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basilio\Desktop\"/>
    </mc:Choice>
  </mc:AlternateContent>
  <bookViews>
    <workbookView xWindow="0" yWindow="0" windowWidth="20490" windowHeight="7350" tabRatio="785"/>
  </bookViews>
  <sheets>
    <sheet name="Resumen" sheetId="1" r:id="rId1"/>
    <sheet name="1. REC" sheetId="2" r:id="rId2"/>
    <sheet name="2. PG" sheetId="3" r:id="rId3"/>
    <sheet name="3. DIRCOM" sheetId="4" r:id="rId4"/>
    <sheet name="4. SG" sheetId="5" r:id="rId5"/>
    <sheet name="5. DPLAN" sheetId="6" r:id="rId6"/>
    <sheet name="6. DBUAC" sheetId="7" r:id="rId7"/>
    <sheet name="7. DAC" sheetId="8" r:id="rId8"/>
    <sheet name="8. VIVP" sheetId="9" r:id="rId9"/>
    <sheet name="9. DIDI" sheetId="10" r:id="rId10"/>
    <sheet name="10. DPOS" sheetId="11" r:id="rId11"/>
    <sheet name="11. DV" sheetId="12" r:id="rId12"/>
    <sheet name="12. VAC" sheetId="13" r:id="rId13"/>
    <sheet name="14. DFP" sheetId="14" r:id="rId14"/>
    <sheet name="13. DA" sheetId="15" r:id="rId15"/>
    <sheet name="15. DEC" sheetId="16" r:id="rId16"/>
    <sheet name="16. VAD" sheetId="17" r:id="rId17"/>
    <sheet name="17. DTIC" sheetId="18" r:id="rId18"/>
    <sheet name="18. DTH" sheetId="19" r:id="rId19"/>
    <sheet name="19. DFIN" sheetId="20" r:id="rId20"/>
    <sheet name="20. DADM" sheetId="21" r:id="rId21"/>
    <sheet name="21.1. FCA" sheetId="22" r:id="rId22"/>
    <sheet name="21.2. FCE" sheetId="23" r:id="rId23"/>
    <sheet name="21.3. FCQS" sheetId="24" r:id="rId24"/>
    <sheet name="21.4. FCS" sheetId="25" r:id="rId25"/>
    <sheet name="21.5. FIC" sheetId="26" r:id="rId26"/>
  </sheets>
  <externalReferences>
    <externalReference r:id="rId27"/>
    <externalReference r:id="rId28"/>
    <externalReference r:id="rId29"/>
  </externalReferences>
  <definedNames>
    <definedName name="_xlnm._FilterDatabase" localSheetId="1" hidden="1">'1. REC'!$U$94:$Z$105</definedName>
    <definedName name="_xlnm._FilterDatabase" localSheetId="10" hidden="1">'10. DPOS'!$T$52:$Y$59</definedName>
    <definedName name="_xlnm._FilterDatabase" localSheetId="11" hidden="1">'11. DV'!$U$249:$Z$268</definedName>
    <definedName name="_xlnm._FilterDatabase" localSheetId="12" hidden="1">'12. VAC'!$U$49:$Z$53</definedName>
    <definedName name="_xlnm._FilterDatabase" localSheetId="15" hidden="1">'15. DEC'!$T$87:$Y$94</definedName>
    <definedName name="_xlnm._FilterDatabase" localSheetId="17" hidden="1">'17. DTIC'!$U$282:$Z$295</definedName>
    <definedName name="_xlnm._FilterDatabase" localSheetId="18" hidden="1">'18. DTH'!$A$8:$AF$384</definedName>
    <definedName name="_xlnm._FilterDatabase" localSheetId="19" hidden="1">'19. DFIN'!$U$286:$Z$294</definedName>
    <definedName name="_xlnm._FilterDatabase" localSheetId="2" hidden="1">'2. PG'!$U$59:$Z$61</definedName>
    <definedName name="_xlnm._FilterDatabase" localSheetId="20" hidden="1">'20. DADM'!$U$344:$Z$371</definedName>
    <definedName name="_xlnm._FilterDatabase" localSheetId="21" hidden="1">'21.1. FCA'!$U$714:$Z$751</definedName>
    <definedName name="_xlnm._FilterDatabase" localSheetId="22" hidden="1">'21.2. FCE'!$T$850:$Y$856</definedName>
    <definedName name="_xlnm._FilterDatabase" localSheetId="23" hidden="1">'21.3. FCQS'!$T$659:$Y$666</definedName>
    <definedName name="_xlnm._FilterDatabase" localSheetId="24" hidden="1">'21.4. FCS'!$T$1284:$Y$1309</definedName>
    <definedName name="_xlnm._FilterDatabase" localSheetId="25" hidden="1">'21.5. FIC'!$U$424:$Z$435</definedName>
    <definedName name="_xlnm._FilterDatabase" localSheetId="3" hidden="1">'3. DIRCOM'!$U$61:$Z$69</definedName>
    <definedName name="_xlnm._FilterDatabase" localSheetId="4" hidden="1">'4. SG'!$U$118:$Z$126</definedName>
    <definedName name="_xlnm._FilterDatabase" localSheetId="5" hidden="1">'5. DPLAN'!$U$122:$Z$125</definedName>
    <definedName name="_xlnm._FilterDatabase" localSheetId="6" hidden="1">'6. DBUAC'!$U$224:$Z$242</definedName>
    <definedName name="_xlnm._FilterDatabase" localSheetId="7" hidden="1">'7. DAC'!$U$68:$Z$78</definedName>
    <definedName name="_xlnm._FilterDatabase" localSheetId="8" hidden="1">'8. VIVP'!$U$167:$Z$178</definedName>
    <definedName name="_xlnm._FilterDatabase" localSheetId="9" hidden="1">'9. DIDI'!$U$227:$Z$241</definedName>
    <definedName name="_xlnm._FilterDatabase" localSheetId="0" hidden="1">Resumen!$B$7:$H$316</definedName>
    <definedName name="_xlnm.Print_Titles" localSheetId="10">'10. DPOS'!$A:$A,'10. DPOS'!$6:$8</definedName>
    <definedName name="_xlnm.Print_Titles" localSheetId="11">'11. DV'!$A:$B,'11. DV'!$6:$8</definedName>
    <definedName name="_xlnm.Print_Titles" localSheetId="12">'12. VAC'!$A:$B,'12. VAC'!$6:$8</definedName>
    <definedName name="_xlnm.Print_Titles" localSheetId="14">'13. DA'!$A:$B,'13. DA'!$6:$8</definedName>
    <definedName name="_xlnm.Print_Titles" localSheetId="13">'14. DFP'!$A:$B,'14. DFP'!$6:$8</definedName>
    <definedName name="_xlnm.Print_Titles" localSheetId="15">'15. DEC'!$A:$A,'15. DEC'!$6:$8</definedName>
    <definedName name="_xlnm.Print_Titles" localSheetId="16">'16. VAD'!$A:$B,'16. VAD'!$6:$8</definedName>
    <definedName name="_xlnm.Print_Titles" localSheetId="17">'17. DTIC'!$A:$B,'17. DTIC'!$6:$8</definedName>
    <definedName name="_xlnm.Print_Titles" localSheetId="18">'18. DTH'!$A:$B,'18. DTH'!$6:$8</definedName>
    <definedName name="_xlnm.Print_Titles" localSheetId="19">'19. DFIN'!$A:$B,'19. DFIN'!$6:$8</definedName>
    <definedName name="_xlnm.Print_Titles" localSheetId="2">'2. PG'!$A:$B,'2. PG'!#REF!</definedName>
    <definedName name="_xlnm.Print_Titles" localSheetId="20">'20. DADM'!$A:$B,'20. DADM'!$6:$8</definedName>
    <definedName name="_xlnm.Print_Titles" localSheetId="21">'21.1. FCA'!$A:$B,'21.1. FCA'!$6:$8</definedName>
    <definedName name="_xlnm.Print_Titles" localSheetId="22">'21.2. FCE'!$A:$B,'21.2. FCE'!$6:$8</definedName>
    <definedName name="_xlnm.Print_Titles" localSheetId="23">'21.3. FCQS'!$A:$A,'21.3. FCQS'!$6:$8</definedName>
    <definedName name="_xlnm.Print_Titles" localSheetId="24">'21.4. FCS'!$A:$A,'21.4. FCS'!$6:$8</definedName>
    <definedName name="_xlnm.Print_Titles" localSheetId="25">'21.5. FIC'!$A:$B,'21.5. FIC'!$6:$8</definedName>
    <definedName name="_xlnm.Print_Titles" localSheetId="3">'3. DIRCOM'!$A:$A,'3. DIRCOM'!#REF!</definedName>
    <definedName name="_xlnm.Print_Titles" localSheetId="4">'4. SG'!$A:$A,'4. SG'!$6:$8</definedName>
    <definedName name="_xlnm.Print_Titles" localSheetId="5">'5. DPLAN'!$A:$B,'5. DPLAN'!$6:$8</definedName>
    <definedName name="_xlnm.Print_Titles" localSheetId="6">'6. DBUAC'!$A:$B,'6. DBUAC'!$6:$8</definedName>
    <definedName name="_xlnm.Print_Titles" localSheetId="7">'7. DAC'!$A:$B,'7. DAC'!$6:$8</definedName>
    <definedName name="_xlnm.Print_Titles" localSheetId="8">'8. VIVP'!$A:$B,'8. VIVP'!$6:$8</definedName>
    <definedName name="_xlnm.Print_Titles" localSheetId="9">'9. DIDI'!$A:$B,'9. DIDI'!$6:$8</definedName>
  </definedNames>
  <calcPr calcId="162913"/>
</workbook>
</file>

<file path=xl/calcChain.xml><?xml version="1.0" encoding="utf-8"?>
<calcChain xmlns="http://schemas.openxmlformats.org/spreadsheetml/2006/main">
  <c r="Z442" i="26" l="1"/>
  <c r="Z441" i="26"/>
  <c r="Z440" i="26"/>
  <c r="Z439" i="26"/>
  <c r="Y1316" i="25"/>
  <c r="Y1315" i="25"/>
  <c r="Y1314" i="25"/>
  <c r="Y1313" i="25"/>
  <c r="Y673" i="24"/>
  <c r="Y672" i="24"/>
  <c r="Y671" i="24"/>
  <c r="Y863" i="23"/>
  <c r="Y862" i="23"/>
  <c r="Y861" i="23"/>
  <c r="Z300" i="20"/>
  <c r="Z299" i="20"/>
  <c r="Z249" i="7"/>
  <c r="Z248" i="7"/>
  <c r="Z247" i="7"/>
  <c r="Z246" i="7"/>
  <c r="Z132" i="6"/>
  <c r="Z131" i="6"/>
  <c r="Z130" i="6"/>
  <c r="Z129" i="6"/>
  <c r="Z133" i="5"/>
  <c r="Z132" i="5"/>
  <c r="Z131" i="5"/>
  <c r="Z130" i="5"/>
  <c r="Z76" i="4"/>
  <c r="Z75" i="4"/>
  <c r="Z74" i="4"/>
  <c r="Z73" i="4"/>
  <c r="Z68" i="3"/>
  <c r="Z67" i="3"/>
  <c r="Z66" i="3"/>
  <c r="Z65" i="3"/>
  <c r="Z112" i="2"/>
  <c r="Z111" i="2"/>
  <c r="Z110" i="2"/>
  <c r="Z109" i="2"/>
  <c r="V1316" i="25" l="1"/>
  <c r="V1315" i="25"/>
  <c r="V1314" i="25"/>
  <c r="V673" i="24"/>
  <c r="V672" i="24"/>
  <c r="V671" i="24"/>
  <c r="W755" i="22"/>
  <c r="V1326" i="25"/>
  <c r="V1321" i="25"/>
  <c r="V683" i="24"/>
  <c r="V678" i="24"/>
  <c r="Z62" i="5" l="1"/>
  <c r="AA62" i="5" s="1"/>
  <c r="AB61" i="5" s="1"/>
  <c r="Z119" i="5" s="1"/>
  <c r="Z434" i="26" l="1"/>
  <c r="AB418" i="26"/>
  <c r="AB397" i="26"/>
  <c r="AB376" i="26"/>
  <c r="AB355" i="26"/>
  <c r="AB314" i="26"/>
  <c r="Y196" i="26"/>
  <c r="Z196" i="26" s="1"/>
  <c r="AA196" i="26" s="1"/>
  <c r="AB195" i="26" s="1"/>
  <c r="Z428" i="26" s="1"/>
  <c r="H306" i="1" s="1"/>
  <c r="Y193" i="26"/>
  <c r="Z193" i="26" s="1"/>
  <c r="AA193" i="26" s="1"/>
  <c r="Y192" i="26"/>
  <c r="Z192" i="26" s="1"/>
  <c r="AA192" i="26" s="1"/>
  <c r="Y191" i="26"/>
  <c r="Z191" i="26" s="1"/>
  <c r="AA191" i="26" s="1"/>
  <c r="Y190" i="26"/>
  <c r="Z190" i="26" s="1"/>
  <c r="AA190" i="26" s="1"/>
  <c r="Y189" i="26"/>
  <c r="Z189" i="26" s="1"/>
  <c r="AA189" i="26" s="1"/>
  <c r="Y186" i="26"/>
  <c r="Z186" i="26" s="1"/>
  <c r="AA186" i="26" s="1"/>
  <c r="Y185" i="26"/>
  <c r="Z185" i="26" s="1"/>
  <c r="AA185" i="26" s="1"/>
  <c r="Y184" i="26"/>
  <c r="Z184" i="26" s="1"/>
  <c r="AA184" i="26" s="1"/>
  <c r="Y181" i="26"/>
  <c r="Z181" i="26" s="1"/>
  <c r="AA181" i="26" s="1"/>
  <c r="Y180" i="26"/>
  <c r="Z180" i="26" s="1"/>
  <c r="AA180" i="26" s="1"/>
  <c r="Y179" i="26"/>
  <c r="Z179" i="26" s="1"/>
  <c r="AA179" i="26" s="1"/>
  <c r="Y176" i="26"/>
  <c r="Z176" i="26" s="1"/>
  <c r="AA176" i="26" s="1"/>
  <c r="Y175" i="26"/>
  <c r="Z175" i="26" s="1"/>
  <c r="AA175" i="26" s="1"/>
  <c r="Y174" i="26"/>
  <c r="Z174" i="26" s="1"/>
  <c r="AA174" i="26" s="1"/>
  <c r="Y173" i="26"/>
  <c r="Z173" i="26" s="1"/>
  <c r="AA173" i="26" s="1"/>
  <c r="Y172" i="26"/>
  <c r="Z172" i="26" s="1"/>
  <c r="AA172" i="26" s="1"/>
  <c r="Y171" i="26"/>
  <c r="Z171" i="26" s="1"/>
  <c r="AA171" i="26" s="1"/>
  <c r="Y170" i="26"/>
  <c r="Z170" i="26" s="1"/>
  <c r="AA170" i="26" s="1"/>
  <c r="Y169" i="26"/>
  <c r="Z169" i="26" s="1"/>
  <c r="AA169" i="26" s="1"/>
  <c r="Y168" i="26"/>
  <c r="Z168" i="26" s="1"/>
  <c r="AA168" i="26" s="1"/>
  <c r="Y167" i="26"/>
  <c r="Z167" i="26" s="1"/>
  <c r="AA167" i="26" s="1"/>
  <c r="Y166" i="26"/>
  <c r="Z166" i="26" s="1"/>
  <c r="AA166" i="26" s="1"/>
  <c r="Y165" i="26"/>
  <c r="Z165" i="26" s="1"/>
  <c r="AA165" i="26" s="1"/>
  <c r="Y164" i="26"/>
  <c r="Z164" i="26" s="1"/>
  <c r="AA164" i="26" s="1"/>
  <c r="Y163" i="26"/>
  <c r="Z163" i="26" s="1"/>
  <c r="AA163" i="26" s="1"/>
  <c r="Y162" i="26"/>
  <c r="Z162" i="26" s="1"/>
  <c r="AA162" i="26" s="1"/>
  <c r="Y161" i="26"/>
  <c r="Z161" i="26" s="1"/>
  <c r="AA161" i="26" s="1"/>
  <c r="Y160" i="26"/>
  <c r="Z160" i="26" s="1"/>
  <c r="AA160" i="26" s="1"/>
  <c r="Y159" i="26"/>
  <c r="Z159" i="26" s="1"/>
  <c r="AA159" i="26" s="1"/>
  <c r="Y158" i="26"/>
  <c r="Z158" i="26" s="1"/>
  <c r="AA158" i="26" s="1"/>
  <c r="Y157" i="26"/>
  <c r="Z157" i="26" s="1"/>
  <c r="AA157" i="26" s="1"/>
  <c r="Y156" i="26"/>
  <c r="Z156" i="26" s="1"/>
  <c r="AA156" i="26" s="1"/>
  <c r="Y155" i="26"/>
  <c r="Z155" i="26" s="1"/>
  <c r="AA155" i="26" s="1"/>
  <c r="Y154" i="26"/>
  <c r="Z154" i="26" s="1"/>
  <c r="AA154" i="26" s="1"/>
  <c r="Y153" i="26"/>
  <c r="Z153" i="26" s="1"/>
  <c r="AA153" i="26" s="1"/>
  <c r="Y152" i="26"/>
  <c r="Z152" i="26" s="1"/>
  <c r="AA152" i="26" s="1"/>
  <c r="Y151" i="26"/>
  <c r="Z151" i="26" s="1"/>
  <c r="AA151" i="26" s="1"/>
  <c r="Y150" i="26"/>
  <c r="Z150" i="26" s="1"/>
  <c r="AA150" i="26" s="1"/>
  <c r="Y149" i="26"/>
  <c r="Z149" i="26" s="1"/>
  <c r="AA149" i="26" s="1"/>
  <c r="Y148" i="26"/>
  <c r="Z148" i="26" s="1"/>
  <c r="AA148" i="26" s="1"/>
  <c r="Y147" i="26"/>
  <c r="Z147" i="26" s="1"/>
  <c r="AA147" i="26" s="1"/>
  <c r="Y146" i="26"/>
  <c r="Z146" i="26" s="1"/>
  <c r="AA146" i="26" s="1"/>
  <c r="Y145" i="26"/>
  <c r="Z145" i="26" s="1"/>
  <c r="AA145" i="26" s="1"/>
  <c r="Y144" i="26"/>
  <c r="Z144" i="26" s="1"/>
  <c r="AA144" i="26" s="1"/>
  <c r="Y143" i="26"/>
  <c r="Z143" i="26" s="1"/>
  <c r="AA143" i="26" s="1"/>
  <c r="Y142" i="26"/>
  <c r="Z142" i="26" s="1"/>
  <c r="AA142" i="26" s="1"/>
  <c r="Y141" i="26"/>
  <c r="Z141" i="26" s="1"/>
  <c r="AA141" i="26" s="1"/>
  <c r="Y140" i="26"/>
  <c r="Z140" i="26" s="1"/>
  <c r="AA140" i="26" s="1"/>
  <c r="Y139" i="26"/>
  <c r="Z139" i="26" s="1"/>
  <c r="AA139" i="26" s="1"/>
  <c r="Y138" i="26"/>
  <c r="Z138" i="26" s="1"/>
  <c r="AA138" i="26" s="1"/>
  <c r="Y137" i="26"/>
  <c r="Z137" i="26" s="1"/>
  <c r="AA137" i="26" s="1"/>
  <c r="Y136" i="26"/>
  <c r="Z136" i="26" s="1"/>
  <c r="AA136" i="26" s="1"/>
  <c r="Y135" i="26"/>
  <c r="Z135" i="26" s="1"/>
  <c r="AA135" i="26" s="1"/>
  <c r="Y134" i="26"/>
  <c r="Z134" i="26" s="1"/>
  <c r="AA134" i="26" s="1"/>
  <c r="Z131" i="26"/>
  <c r="AA131" i="26" s="1"/>
  <c r="Z130" i="26"/>
  <c r="AA130" i="26" s="1"/>
  <c r="Z129" i="26"/>
  <c r="AA129" i="26" s="1"/>
  <c r="AB128" i="26" s="1"/>
  <c r="Z426" i="26" s="1"/>
  <c r="H304" i="1" s="1"/>
  <c r="Z124" i="26"/>
  <c r="AA124" i="26" s="1"/>
  <c r="AB123" i="26" s="1"/>
  <c r="Z44" i="26"/>
  <c r="AA44" i="26" s="1"/>
  <c r="AB43" i="26" s="1"/>
  <c r="Z435" i="26" s="1"/>
  <c r="Z35" i="26"/>
  <c r="AA35" i="26" s="1"/>
  <c r="AB34" i="26" s="1"/>
  <c r="Z429" i="26" s="1"/>
  <c r="H307" i="1" s="1"/>
  <c r="Z30" i="26"/>
  <c r="AA30" i="26" s="1"/>
  <c r="AB29" i="26"/>
  <c r="V1328" i="25"/>
  <c r="V1318" i="25"/>
  <c r="AA1278" i="25"/>
  <c r="Y1277" i="25"/>
  <c r="Z1277" i="25" s="1"/>
  <c r="Y1276" i="25"/>
  <c r="Z1276" i="25" s="1"/>
  <c r="Y1275" i="25"/>
  <c r="Z1275" i="25" s="1"/>
  <c r="Y1272" i="25"/>
  <c r="Z1272" i="25" s="1"/>
  <c r="Y1271" i="25"/>
  <c r="Z1271" i="25" s="1"/>
  <c r="Y1270" i="25"/>
  <c r="Z1270" i="25" s="1"/>
  <c r="Y1207" i="25"/>
  <c r="Z1207" i="25" s="1"/>
  <c r="Y1206" i="25"/>
  <c r="Z1206" i="25" s="1"/>
  <c r="Y1205" i="25"/>
  <c r="Z1205" i="25" s="1"/>
  <c r="Y1201" i="25"/>
  <c r="Z1201" i="25" s="1"/>
  <c r="Y1200" i="25"/>
  <c r="Z1200" i="25" s="1"/>
  <c r="Y1199" i="25"/>
  <c r="Z1199" i="25" s="1"/>
  <c r="Y1198" i="25"/>
  <c r="Z1198" i="25" s="1"/>
  <c r="Y1196" i="25"/>
  <c r="Z1196" i="25" s="1"/>
  <c r="Y1195" i="25"/>
  <c r="Z1195" i="25" s="1"/>
  <c r="Y1194" i="25"/>
  <c r="Z1194" i="25" s="1"/>
  <c r="Y1193" i="25"/>
  <c r="Z1193" i="25" s="1"/>
  <c r="Y1131" i="25"/>
  <c r="Z1131" i="25" s="1"/>
  <c r="Y1130" i="25"/>
  <c r="Z1130" i="25" s="1"/>
  <c r="Y1129" i="25"/>
  <c r="Z1129" i="25" s="1"/>
  <c r="Y1128" i="25"/>
  <c r="Z1128" i="25" s="1"/>
  <c r="AA1126" i="25"/>
  <c r="Y1125" i="25"/>
  <c r="Z1125" i="25" s="1"/>
  <c r="Y1124" i="25"/>
  <c r="Z1124" i="25" s="1"/>
  <c r="Y1123" i="25"/>
  <c r="Z1123" i="25" s="1"/>
  <c r="Y1122" i="25"/>
  <c r="Z1122" i="25" s="1"/>
  <c r="Y1120" i="25"/>
  <c r="Z1120" i="25" s="1"/>
  <c r="Y1119" i="25"/>
  <c r="Z1119" i="25" s="1"/>
  <c r="Y1118" i="25"/>
  <c r="Z1118" i="25" s="1"/>
  <c r="Y1117" i="25"/>
  <c r="Z1117" i="25" s="1"/>
  <c r="Y1055" i="25"/>
  <c r="Z1055" i="25" s="1"/>
  <c r="Y1054" i="25"/>
  <c r="Z1054" i="25" s="1"/>
  <c r="Y1053" i="25"/>
  <c r="Z1053" i="25" s="1"/>
  <c r="Y1052" i="25"/>
  <c r="Z1052" i="25" s="1"/>
  <c r="AA1050" i="25"/>
  <c r="Y979" i="25"/>
  <c r="Z979" i="25" s="1"/>
  <c r="Y978" i="25"/>
  <c r="Z978" i="25" s="1"/>
  <c r="Y977" i="25"/>
  <c r="Z977" i="25" s="1"/>
  <c r="Y976" i="25"/>
  <c r="Z976" i="25" s="1"/>
  <c r="AA974" i="25"/>
  <c r="Y973" i="25"/>
  <c r="Z973" i="25" s="1"/>
  <c r="Y972" i="25"/>
  <c r="Z972" i="25" s="1"/>
  <c r="Y971" i="25"/>
  <c r="Z971" i="25" s="1"/>
  <c r="Y970" i="25"/>
  <c r="Z970" i="25" s="1"/>
  <c r="Y968" i="25"/>
  <c r="Z968" i="25" s="1"/>
  <c r="Y967" i="25"/>
  <c r="Z967" i="25" s="1"/>
  <c r="Y966" i="25"/>
  <c r="Z966" i="25" s="1"/>
  <c r="Y965" i="25"/>
  <c r="Z965" i="25" s="1"/>
  <c r="Y903" i="25"/>
  <c r="Z903" i="25" s="1"/>
  <c r="Y902" i="25"/>
  <c r="Z902" i="25" s="1"/>
  <c r="Y901" i="25"/>
  <c r="Z901" i="25" s="1"/>
  <c r="Y900" i="25"/>
  <c r="Z900" i="25" s="1"/>
  <c r="AA898" i="25"/>
  <c r="Y897" i="25"/>
  <c r="Z897" i="25" s="1"/>
  <c r="Y896" i="25"/>
  <c r="Z896" i="25" s="1"/>
  <c r="Y895" i="25"/>
  <c r="Z895" i="25" s="1"/>
  <c r="Y894" i="25"/>
  <c r="Z894" i="25" s="1"/>
  <c r="Y892" i="25"/>
  <c r="Z892" i="25" s="1"/>
  <c r="Y891" i="25"/>
  <c r="Z891" i="25" s="1"/>
  <c r="Y890" i="25"/>
  <c r="Z890" i="25" s="1"/>
  <c r="Y889" i="25"/>
  <c r="Z889" i="25" s="1"/>
  <c r="Y827" i="25"/>
  <c r="Z827" i="25" s="1"/>
  <c r="Y826" i="25"/>
  <c r="Z826" i="25" s="1"/>
  <c r="Y825" i="25"/>
  <c r="Z825" i="25" s="1"/>
  <c r="Y824" i="25"/>
  <c r="Z824" i="25" s="1"/>
  <c r="Y821" i="25"/>
  <c r="Z821" i="25" s="1"/>
  <c r="Y820" i="25"/>
  <c r="Z820" i="25" s="1"/>
  <c r="Y819" i="25"/>
  <c r="Z819" i="25" s="1"/>
  <c r="Y818" i="25"/>
  <c r="Z818" i="25" s="1"/>
  <c r="Y816" i="25"/>
  <c r="Z816" i="25" s="1"/>
  <c r="Y815" i="25"/>
  <c r="Z815" i="25" s="1"/>
  <c r="Y814" i="25"/>
  <c r="Z814" i="25" s="1"/>
  <c r="Y813" i="25"/>
  <c r="Z813" i="25" s="1"/>
  <c r="Y751" i="25"/>
  <c r="Z751" i="25" s="1"/>
  <c r="Y750" i="25"/>
  <c r="Z750" i="25" s="1"/>
  <c r="Y749" i="25"/>
  <c r="Z749" i="25" s="1"/>
  <c r="Y748" i="25"/>
  <c r="Z748" i="25" s="1"/>
  <c r="Y747" i="25"/>
  <c r="Z747" i="25" s="1"/>
  <c r="Y746" i="25"/>
  <c r="Z746" i="25" s="1"/>
  <c r="Y745" i="25"/>
  <c r="Z745" i="25" s="1"/>
  <c r="Y744" i="25"/>
  <c r="Z744" i="25" s="1"/>
  <c r="Y743" i="25"/>
  <c r="Z743" i="25" s="1"/>
  <c r="Y742" i="25"/>
  <c r="Z742" i="25" s="1"/>
  <c r="AA740" i="25"/>
  <c r="Y739" i="25"/>
  <c r="Z739" i="25" s="1"/>
  <c r="Y738" i="25"/>
  <c r="Z738" i="25" s="1"/>
  <c r="Y737" i="25"/>
  <c r="Z737" i="25" s="1"/>
  <c r="Y736" i="25"/>
  <c r="Z736" i="25" s="1"/>
  <c r="Y734" i="25"/>
  <c r="Z734" i="25" s="1"/>
  <c r="Y733" i="25"/>
  <c r="Z733" i="25" s="1"/>
  <c r="Y732" i="25"/>
  <c r="Z732" i="25" s="1"/>
  <c r="Y731" i="25"/>
  <c r="Z731" i="25" s="1"/>
  <c r="Y669" i="25"/>
  <c r="Z669" i="25" s="1"/>
  <c r="Y668" i="25"/>
  <c r="Z668" i="25" s="1"/>
  <c r="Y667" i="25"/>
  <c r="Z667" i="25" s="1"/>
  <c r="Y666" i="25"/>
  <c r="Z666" i="25" s="1"/>
  <c r="Y663" i="25"/>
  <c r="Z663" i="25" s="1"/>
  <c r="Y662" i="25"/>
  <c r="Z662" i="25" s="1"/>
  <c r="Y661" i="25"/>
  <c r="Z661" i="25" s="1"/>
  <c r="Y660" i="25"/>
  <c r="Z660" i="25" s="1"/>
  <c r="Y658" i="25"/>
  <c r="Z658" i="25" s="1"/>
  <c r="Y657" i="25"/>
  <c r="Z657" i="25" s="1"/>
  <c r="Y656" i="25"/>
  <c r="Z656" i="25" s="1"/>
  <c r="Y655" i="25"/>
  <c r="Z655" i="25" s="1"/>
  <c r="Y610" i="25"/>
  <c r="Z610" i="25" s="1"/>
  <c r="Y593" i="25"/>
  <c r="Z593" i="25" s="1"/>
  <c r="Y592" i="25"/>
  <c r="Z592" i="25" s="1"/>
  <c r="Y591" i="25"/>
  <c r="Z591" i="25" s="1"/>
  <c r="Y590" i="25"/>
  <c r="Z590" i="25" s="1"/>
  <c r="Y587" i="25"/>
  <c r="Z587" i="25" s="1"/>
  <c r="Y586" i="25"/>
  <c r="Z586" i="25" s="1"/>
  <c r="Y585" i="25"/>
  <c r="Z585" i="25" s="1"/>
  <c r="Y583" i="25"/>
  <c r="Z583" i="25" s="1"/>
  <c r="Y537" i="25"/>
  <c r="Z537" i="25" s="1"/>
  <c r="Y534" i="25"/>
  <c r="Z534" i="25" s="1"/>
  <c r="Y531" i="25"/>
  <c r="Z531" i="25" s="1"/>
  <c r="Y530" i="25"/>
  <c r="Z530" i="25" s="1"/>
  <c r="Y529" i="25"/>
  <c r="Z529" i="25" s="1"/>
  <c r="Y528" i="25"/>
  <c r="Z528" i="25" s="1"/>
  <c r="Y525" i="25"/>
  <c r="Z525" i="25" s="1"/>
  <c r="Y524" i="25"/>
  <c r="Z524" i="25" s="1"/>
  <c r="Y522" i="25"/>
  <c r="Z522" i="25" s="1"/>
  <c r="Y521" i="25"/>
  <c r="Z521" i="25" s="1"/>
  <c r="Y520" i="25"/>
  <c r="Z520" i="25" s="1"/>
  <c r="Y519" i="25"/>
  <c r="Z519" i="25" s="1"/>
  <c r="Y501" i="25"/>
  <c r="Z501" i="25" s="1"/>
  <c r="Y500" i="25"/>
  <c r="Z500" i="25" s="1"/>
  <c r="Y499" i="25"/>
  <c r="Z499" i="25" s="1"/>
  <c r="Y498" i="25"/>
  <c r="Z498" i="25" s="1"/>
  <c r="Y450" i="25"/>
  <c r="Z450" i="25" s="1"/>
  <c r="Y448" i="25"/>
  <c r="Z448" i="25" s="1"/>
  <c r="Y447" i="25"/>
  <c r="Z447" i="25" s="1"/>
  <c r="Y445" i="25"/>
  <c r="Z445" i="25" s="1"/>
  <c r="Y444" i="25"/>
  <c r="Z444" i="25" s="1"/>
  <c r="Y443" i="25"/>
  <c r="Z443" i="25" s="1"/>
  <c r="AA425" i="25"/>
  <c r="Y424" i="25"/>
  <c r="Z424" i="25" s="1"/>
  <c r="Y423" i="25"/>
  <c r="Z423" i="25" s="1"/>
  <c r="Y422" i="25"/>
  <c r="Z422" i="25" s="1"/>
  <c r="Y421" i="25"/>
  <c r="Z421" i="25" s="1"/>
  <c r="Y419" i="25"/>
  <c r="Z419" i="25" s="1"/>
  <c r="Y418" i="25"/>
  <c r="Z418" i="25" s="1"/>
  <c r="Y417" i="25"/>
  <c r="Z417" i="25" s="1"/>
  <c r="Y416" i="25"/>
  <c r="Z416" i="25" s="1"/>
  <c r="Y354" i="25"/>
  <c r="Z354" i="25" s="1"/>
  <c r="Y353" i="25"/>
  <c r="Z353" i="25" s="1"/>
  <c r="Y352" i="25"/>
  <c r="Z352" i="25" s="1"/>
  <c r="Y351" i="25"/>
  <c r="Z351" i="25" s="1"/>
  <c r="AA349" i="25"/>
  <c r="Y348" i="25"/>
  <c r="Z348" i="25" s="1"/>
  <c r="Y347" i="25"/>
  <c r="Z347" i="25" s="1"/>
  <c r="Y346" i="25"/>
  <c r="Z346" i="25" s="1"/>
  <c r="Y345" i="25"/>
  <c r="Z345" i="25" s="1"/>
  <c r="Y344" i="25"/>
  <c r="Z344" i="25" s="1"/>
  <c r="Y343" i="25"/>
  <c r="Z343" i="25" s="1"/>
  <c r="Y342" i="25"/>
  <c r="Z342" i="25" s="1"/>
  <c r="Y341" i="25"/>
  <c r="Z341" i="25" s="1"/>
  <c r="Y340" i="25"/>
  <c r="Z340" i="25" s="1"/>
  <c r="Y338" i="25"/>
  <c r="Z338" i="25" s="1"/>
  <c r="Y337" i="25"/>
  <c r="Z337" i="25" s="1"/>
  <c r="Y336" i="25"/>
  <c r="Z336" i="25" s="1"/>
  <c r="Y335" i="25"/>
  <c r="Z335" i="25" s="1"/>
  <c r="Y333" i="25"/>
  <c r="Z333" i="25" s="1"/>
  <c r="Y332" i="25"/>
  <c r="Z332" i="25" s="1"/>
  <c r="Y331" i="25"/>
  <c r="Z331" i="25" s="1"/>
  <c r="Y330" i="25"/>
  <c r="Z330" i="25" s="1"/>
  <c r="Y328" i="25"/>
  <c r="Z328" i="25" s="1"/>
  <c r="Y327" i="25"/>
  <c r="Z327" i="25" s="1"/>
  <c r="Y326" i="25"/>
  <c r="Z326" i="25" s="1"/>
  <c r="Y325" i="25"/>
  <c r="Z325" i="25" s="1"/>
  <c r="Y323" i="25"/>
  <c r="Z323" i="25" s="1"/>
  <c r="Y322" i="25"/>
  <c r="Z322" i="25" s="1"/>
  <c r="Y321" i="25"/>
  <c r="Z321" i="25" s="1"/>
  <c r="Y320" i="25"/>
  <c r="Z320" i="25" s="1"/>
  <c r="Y318" i="25"/>
  <c r="Z318" i="25" s="1"/>
  <c r="Y317" i="25"/>
  <c r="Z317" i="25" s="1"/>
  <c r="Y316" i="25"/>
  <c r="Z316" i="25" s="1"/>
  <c r="Y315" i="25"/>
  <c r="Z315" i="25" s="1"/>
  <c r="Y313" i="25"/>
  <c r="Z313" i="25" s="1"/>
  <c r="Y312" i="25"/>
  <c r="Z312" i="25" s="1"/>
  <c r="Y311" i="25"/>
  <c r="Z311" i="25" s="1"/>
  <c r="Y310" i="25"/>
  <c r="Z310" i="25" s="1"/>
  <c r="AA308" i="25"/>
  <c r="Y307" i="25"/>
  <c r="Z307" i="25" s="1"/>
  <c r="Y306" i="25"/>
  <c r="Z306" i="25" s="1"/>
  <c r="Y305" i="25"/>
  <c r="Z305" i="25" s="1"/>
  <c r="Y304" i="25"/>
  <c r="Z304" i="25" s="1"/>
  <c r="Y302" i="25"/>
  <c r="Z302" i="25" s="1"/>
  <c r="Y301" i="25"/>
  <c r="Z301" i="25" s="1"/>
  <c r="Y300" i="25"/>
  <c r="Z300" i="25" s="1"/>
  <c r="Y299" i="25"/>
  <c r="Z299" i="25" s="1"/>
  <c r="Y297" i="25"/>
  <c r="Z297" i="25" s="1"/>
  <c r="Y296" i="25"/>
  <c r="Z296" i="25" s="1"/>
  <c r="Y295" i="25"/>
  <c r="Z295" i="25" s="1"/>
  <c r="Y294" i="25"/>
  <c r="Z294" i="25" s="1"/>
  <c r="Y292" i="25"/>
  <c r="Z292" i="25" s="1"/>
  <c r="Y291" i="25"/>
  <c r="Z291" i="25" s="1"/>
  <c r="Y290" i="25"/>
  <c r="Z290" i="25" s="1"/>
  <c r="Y289" i="25"/>
  <c r="Z289" i="25" s="1"/>
  <c r="Y287" i="25"/>
  <c r="Z287" i="25" s="1"/>
  <c r="Y286" i="25"/>
  <c r="Z286" i="25" s="1"/>
  <c r="Y285" i="25"/>
  <c r="Z285" i="25" s="1"/>
  <c r="Y284" i="25"/>
  <c r="Z284" i="25" s="1"/>
  <c r="Y282" i="25"/>
  <c r="Z282" i="25" s="1"/>
  <c r="Y281" i="25"/>
  <c r="Z281" i="25" s="1"/>
  <c r="Y280" i="25"/>
  <c r="Z280" i="25" s="1"/>
  <c r="Y279" i="25"/>
  <c r="Z279" i="25" s="1"/>
  <c r="Y277" i="25"/>
  <c r="Z277" i="25" s="1"/>
  <c r="Y276" i="25"/>
  <c r="Z276" i="25" s="1"/>
  <c r="Y275" i="25"/>
  <c r="Z275" i="25" s="1"/>
  <c r="Y274" i="25"/>
  <c r="Z274" i="25" s="1"/>
  <c r="Y272" i="25"/>
  <c r="Z272" i="25" s="1"/>
  <c r="Y271" i="25"/>
  <c r="Z271" i="25" s="1"/>
  <c r="Y270" i="25"/>
  <c r="Z270" i="25" s="1"/>
  <c r="Y269" i="25"/>
  <c r="Z269" i="25" s="1"/>
  <c r="Y267" i="25"/>
  <c r="Z267" i="25" s="1"/>
  <c r="Y266" i="25"/>
  <c r="Z266" i="25" s="1"/>
  <c r="Y265" i="25"/>
  <c r="Z265" i="25" s="1"/>
  <c r="Y264" i="25"/>
  <c r="Z264" i="25" s="1"/>
  <c r="Y262" i="25"/>
  <c r="Z262" i="25" s="1"/>
  <c r="Y261" i="25"/>
  <c r="Z261" i="25" s="1"/>
  <c r="Y260" i="25"/>
  <c r="Z260" i="25" s="1"/>
  <c r="Y259" i="25"/>
  <c r="Z259" i="25" s="1"/>
  <c r="Y257" i="25"/>
  <c r="Z257" i="25" s="1"/>
  <c r="Y256" i="25"/>
  <c r="Z256" i="25" s="1"/>
  <c r="Y255" i="25"/>
  <c r="Z255" i="25" s="1"/>
  <c r="Y254" i="25"/>
  <c r="Z254" i="25" s="1"/>
  <c r="Y252" i="25"/>
  <c r="Z252" i="25" s="1"/>
  <c r="Y251" i="25"/>
  <c r="Z251" i="25" s="1"/>
  <c r="Y250" i="25"/>
  <c r="Z250" i="25" s="1"/>
  <c r="Y249" i="25"/>
  <c r="Z249" i="25" s="1"/>
  <c r="AA247" i="25"/>
  <c r="Y246" i="25"/>
  <c r="Z246" i="25" s="1"/>
  <c r="Y245" i="25"/>
  <c r="Z245" i="25" s="1"/>
  <c r="Y244" i="25"/>
  <c r="Z244" i="25" s="1"/>
  <c r="Y243" i="25"/>
  <c r="Z243" i="25" s="1"/>
  <c r="Y241" i="25"/>
  <c r="Z241" i="25" s="1"/>
  <c r="Y240" i="25"/>
  <c r="Z240" i="25" s="1"/>
  <c r="Y239" i="25"/>
  <c r="Z239" i="25" s="1"/>
  <c r="Y238" i="25"/>
  <c r="Z238" i="25" s="1"/>
  <c r="Y237" i="25"/>
  <c r="Z237" i="25" s="1"/>
  <c r="Y236" i="25"/>
  <c r="Z236" i="25" s="1"/>
  <c r="Y235" i="25"/>
  <c r="Z235" i="25" s="1"/>
  <c r="Y234" i="25"/>
  <c r="Z234" i="25" s="1"/>
  <c r="Y233" i="25"/>
  <c r="Z233" i="25" s="1"/>
  <c r="Y231" i="25"/>
  <c r="Z231" i="25" s="1"/>
  <c r="Y230" i="25"/>
  <c r="Z230" i="25" s="1"/>
  <c r="Y229" i="25"/>
  <c r="Z229" i="25" s="1"/>
  <c r="Y228" i="25"/>
  <c r="Z228" i="25" s="1"/>
  <c r="Y226" i="25"/>
  <c r="Z226" i="25" s="1"/>
  <c r="Y225" i="25"/>
  <c r="Z225" i="25" s="1"/>
  <c r="Y224" i="25"/>
  <c r="Z224" i="25" s="1"/>
  <c r="Y223" i="25"/>
  <c r="Z223" i="25" s="1"/>
  <c r="Y221" i="25"/>
  <c r="Z221" i="25" s="1"/>
  <c r="Y220" i="25"/>
  <c r="Z220" i="25" s="1"/>
  <c r="Y219" i="25"/>
  <c r="Z219" i="25" s="1"/>
  <c r="Y218" i="25"/>
  <c r="Z218" i="25" s="1"/>
  <c r="Y216" i="25"/>
  <c r="Z216" i="25" s="1"/>
  <c r="Y215" i="25"/>
  <c r="Z215" i="25" s="1"/>
  <c r="Y214" i="25"/>
  <c r="Z214" i="25" s="1"/>
  <c r="Y213" i="25"/>
  <c r="Z213" i="25" s="1"/>
  <c r="Y211" i="25"/>
  <c r="Z211" i="25" s="1"/>
  <c r="Y210" i="25"/>
  <c r="Z210" i="25" s="1"/>
  <c r="Y209" i="25"/>
  <c r="Z209" i="25" s="1"/>
  <c r="Y208" i="25"/>
  <c r="Z208" i="25" s="1"/>
  <c r="Y206" i="25"/>
  <c r="Z206" i="25" s="1"/>
  <c r="Y205" i="25"/>
  <c r="Z205" i="25" s="1"/>
  <c r="Y204" i="25"/>
  <c r="Z204" i="25" s="1"/>
  <c r="Y203" i="25"/>
  <c r="Z203" i="25" s="1"/>
  <c r="Y201" i="25"/>
  <c r="Z201" i="25" s="1"/>
  <c r="Y200" i="25"/>
  <c r="Z200" i="25" s="1"/>
  <c r="Y199" i="25"/>
  <c r="Z199" i="25" s="1"/>
  <c r="Y198" i="25"/>
  <c r="Z198" i="25" s="1"/>
  <c r="Y196" i="25"/>
  <c r="Z196" i="25" s="1"/>
  <c r="Y195" i="25"/>
  <c r="Z195" i="25" s="1"/>
  <c r="Y194" i="25"/>
  <c r="Z194" i="25" s="1"/>
  <c r="Y193" i="25"/>
  <c r="Z193" i="25" s="1"/>
  <c r="Y191" i="25"/>
  <c r="Z191" i="25" s="1"/>
  <c r="Y190" i="25"/>
  <c r="Z190" i="25" s="1"/>
  <c r="Y189" i="25"/>
  <c r="Z189" i="25" s="1"/>
  <c r="Y188" i="25"/>
  <c r="Z188" i="25" s="1"/>
  <c r="Y186" i="25"/>
  <c r="Z186" i="25" s="1"/>
  <c r="Y185" i="25"/>
  <c r="Z185" i="25" s="1"/>
  <c r="Y184" i="25"/>
  <c r="Z184" i="25" s="1"/>
  <c r="Y183" i="25"/>
  <c r="Z183" i="25" s="1"/>
  <c r="Y181" i="25"/>
  <c r="Z181" i="25" s="1"/>
  <c r="Y180" i="25"/>
  <c r="Z180" i="25" s="1"/>
  <c r="Y179" i="25"/>
  <c r="Z179" i="25" s="1"/>
  <c r="Y178" i="25"/>
  <c r="Z178" i="25" s="1"/>
  <c r="Y176" i="25"/>
  <c r="Z176" i="25" s="1"/>
  <c r="Y175" i="25"/>
  <c r="Z175" i="25" s="1"/>
  <c r="Y174" i="25"/>
  <c r="Z174" i="25" s="1"/>
  <c r="Y173" i="25"/>
  <c r="Z173" i="25" s="1"/>
  <c r="Y171" i="25"/>
  <c r="Z171" i="25" s="1"/>
  <c r="Y170" i="25"/>
  <c r="Z170" i="25" s="1"/>
  <c r="Y169" i="25"/>
  <c r="Z169" i="25" s="1"/>
  <c r="Y168" i="25"/>
  <c r="Z168" i="25" s="1"/>
  <c r="Y165" i="25"/>
  <c r="Z165" i="25" s="1"/>
  <c r="Y164" i="25"/>
  <c r="Z164" i="25" s="1"/>
  <c r="Y163" i="25"/>
  <c r="Z163" i="25" s="1"/>
  <c r="Y162" i="25"/>
  <c r="Z162" i="25" s="1"/>
  <c r="Y160" i="25"/>
  <c r="Z160" i="25" s="1"/>
  <c r="Y159" i="25"/>
  <c r="Z159" i="25" s="1"/>
  <c r="Y158" i="25"/>
  <c r="Z158" i="25" s="1"/>
  <c r="Y157" i="25"/>
  <c r="Z157" i="25" s="1"/>
  <c r="Y155" i="25"/>
  <c r="Z155" i="25" s="1"/>
  <c r="Y154" i="25"/>
  <c r="Z154" i="25" s="1"/>
  <c r="Y153" i="25"/>
  <c r="Z153" i="25" s="1"/>
  <c r="Y152" i="25"/>
  <c r="Z152" i="25" s="1"/>
  <c r="Y150" i="25"/>
  <c r="Z150" i="25" s="1"/>
  <c r="Y149" i="25"/>
  <c r="Z149" i="25" s="1"/>
  <c r="Y148" i="25"/>
  <c r="Z148" i="25" s="1"/>
  <c r="Y147" i="25"/>
  <c r="Z147" i="25" s="1"/>
  <c r="Y145" i="25"/>
  <c r="Z145" i="25" s="1"/>
  <c r="Y144" i="25"/>
  <c r="Z144" i="25" s="1"/>
  <c r="Y143" i="25"/>
  <c r="Z143" i="25" s="1"/>
  <c r="Y142" i="25"/>
  <c r="Z142" i="25" s="1"/>
  <c r="Y140" i="25"/>
  <c r="Z140" i="25" s="1"/>
  <c r="Y139" i="25"/>
  <c r="Z139" i="25" s="1"/>
  <c r="Y138" i="25"/>
  <c r="Z138" i="25" s="1"/>
  <c r="Y137" i="25"/>
  <c r="Z137" i="25" s="1"/>
  <c r="Y135" i="25"/>
  <c r="Z135" i="25" s="1"/>
  <c r="Y134" i="25"/>
  <c r="Z134" i="25" s="1"/>
  <c r="Y133" i="25"/>
  <c r="Z133" i="25" s="1"/>
  <c r="Y132" i="25"/>
  <c r="Z132" i="25" s="1"/>
  <c r="Y130" i="25"/>
  <c r="Z130" i="25" s="1"/>
  <c r="Y129" i="25"/>
  <c r="Z129" i="25" s="1"/>
  <c r="Y128" i="25"/>
  <c r="Z128" i="25" s="1"/>
  <c r="Y127" i="25"/>
  <c r="Z127" i="25" s="1"/>
  <c r="Y125" i="25"/>
  <c r="Z125" i="25" s="1"/>
  <c r="Y123" i="25"/>
  <c r="Z123" i="25" s="1"/>
  <c r="Y121" i="25"/>
  <c r="Z121" i="25" s="1"/>
  <c r="Y120" i="25"/>
  <c r="Z120" i="25" s="1"/>
  <c r="Y119" i="25"/>
  <c r="Z119" i="25" s="1"/>
  <c r="Y118" i="25"/>
  <c r="Z118" i="25" s="1"/>
  <c r="Y116" i="25"/>
  <c r="Z116" i="25" s="1"/>
  <c r="Y114" i="25"/>
  <c r="Z114" i="25" s="1"/>
  <c r="Y112" i="25"/>
  <c r="Z112" i="25" s="1"/>
  <c r="Y111" i="25"/>
  <c r="Z111" i="25" s="1"/>
  <c r="Y110" i="25"/>
  <c r="Z110" i="25" s="1"/>
  <c r="Y109" i="25"/>
  <c r="Z109" i="25" s="1"/>
  <c r="Y107" i="25"/>
  <c r="Z107" i="25" s="1"/>
  <c r="Y105" i="25"/>
  <c r="Z105" i="25" s="1"/>
  <c r="Y103" i="25"/>
  <c r="Z103" i="25" s="1"/>
  <c r="Y101" i="25"/>
  <c r="Z101" i="25" s="1"/>
  <c r="Y1294" i="25" s="1"/>
  <c r="H287" i="1" s="1"/>
  <c r="Y98" i="25"/>
  <c r="Z98" i="25" s="1"/>
  <c r="Y94" i="25"/>
  <c r="Z94" i="25" s="1"/>
  <c r="Y93" i="25"/>
  <c r="Z93" i="25" s="1"/>
  <c r="Y92" i="25"/>
  <c r="Z92" i="25" s="1"/>
  <c r="Y91" i="25"/>
  <c r="Z91" i="25" s="1"/>
  <c r="Y90" i="25"/>
  <c r="Z90" i="25" s="1"/>
  <c r="Y89" i="25"/>
  <c r="Z89" i="25" s="1"/>
  <c r="Y88" i="25"/>
  <c r="Z88" i="25" s="1"/>
  <c r="Y85" i="25"/>
  <c r="Z85" i="25" s="1"/>
  <c r="Y84" i="25"/>
  <c r="Z84" i="25" s="1"/>
  <c r="Y83" i="25"/>
  <c r="Z83" i="25" s="1"/>
  <c r="Y82" i="25"/>
  <c r="Z82" i="25" s="1"/>
  <c r="Y79" i="25"/>
  <c r="Z79" i="25" s="1"/>
  <c r="Y78" i="25"/>
  <c r="Z78" i="25" s="1"/>
  <c r="Y77" i="25"/>
  <c r="Z77" i="25" s="1"/>
  <c r="Y76" i="25"/>
  <c r="Z76" i="25" s="1"/>
  <c r="Y75" i="25"/>
  <c r="Z75" i="25" s="1"/>
  <c r="Y74" i="25"/>
  <c r="Z74" i="25" s="1"/>
  <c r="Y73" i="25"/>
  <c r="Z73" i="25" s="1"/>
  <c r="Y72" i="25"/>
  <c r="Z72" i="25" s="1"/>
  <c r="Y71" i="25"/>
  <c r="Z71" i="25" s="1"/>
  <c r="Y70" i="25"/>
  <c r="Z70" i="25" s="1"/>
  <c r="Y69" i="25"/>
  <c r="Z69" i="25" s="1"/>
  <c r="Y68" i="25"/>
  <c r="Z68" i="25" s="1"/>
  <c r="Y67" i="25"/>
  <c r="Z67" i="25" s="1"/>
  <c r="Y66" i="25"/>
  <c r="Z66" i="25" s="1"/>
  <c r="Y65" i="25"/>
  <c r="Z65" i="25" s="1"/>
  <c r="Y64" i="25"/>
  <c r="Z64" i="25" s="1"/>
  <c r="Y63" i="25"/>
  <c r="Z63" i="25" s="1"/>
  <c r="Y62" i="25"/>
  <c r="Z62" i="25" s="1"/>
  <c r="Y61" i="25"/>
  <c r="Z61" i="25" s="1"/>
  <c r="Y60" i="25"/>
  <c r="Z60" i="25" s="1"/>
  <c r="Y59" i="25"/>
  <c r="Z59" i="25" s="1"/>
  <c r="Y58" i="25"/>
  <c r="Z58" i="25" s="1"/>
  <c r="Y57" i="25"/>
  <c r="Z57" i="25" s="1"/>
  <c r="Y54" i="25"/>
  <c r="Z54" i="25" s="1"/>
  <c r="Y53" i="25"/>
  <c r="Z53" i="25" s="1"/>
  <c r="Y52" i="25"/>
  <c r="Z52" i="25" s="1"/>
  <c r="Y51" i="25"/>
  <c r="Z51" i="25" s="1"/>
  <c r="Y50" i="25"/>
  <c r="Z50" i="25" s="1"/>
  <c r="Y49" i="25"/>
  <c r="Z49" i="25" s="1"/>
  <c r="Y48" i="25"/>
  <c r="Z48" i="25" s="1"/>
  <c r="Y47" i="25"/>
  <c r="Z47" i="25" s="1"/>
  <c r="Y46" i="25"/>
  <c r="Z46" i="25" s="1"/>
  <c r="Y45" i="25"/>
  <c r="Z45" i="25" s="1"/>
  <c r="Y44" i="25"/>
  <c r="Z44" i="25" s="1"/>
  <c r="Y43" i="25"/>
  <c r="Z43" i="25" s="1"/>
  <c r="Y42" i="25"/>
  <c r="Z42" i="25" s="1"/>
  <c r="Y41" i="25"/>
  <c r="Z41" i="25" s="1"/>
  <c r="Y39" i="25"/>
  <c r="Z39" i="25" s="1"/>
  <c r="Y38" i="25"/>
  <c r="Z38" i="25" s="1"/>
  <c r="Y37" i="25"/>
  <c r="Z37" i="25" s="1"/>
  <c r="Y36" i="25"/>
  <c r="Z36" i="25" s="1"/>
  <c r="Y34" i="25"/>
  <c r="Z34" i="25" s="1"/>
  <c r="Y33" i="25"/>
  <c r="Z33" i="25" s="1"/>
  <c r="Y32" i="25"/>
  <c r="Z32" i="25" s="1"/>
  <c r="Y31" i="25"/>
  <c r="Z31" i="25" s="1"/>
  <c r="Y29" i="25"/>
  <c r="Z29" i="25" s="1"/>
  <c r="Y28" i="25"/>
  <c r="Z28" i="25" s="1"/>
  <c r="Y1298" i="25" s="1"/>
  <c r="H291" i="1" s="1"/>
  <c r="Y26" i="25"/>
  <c r="Z26" i="25" s="1"/>
  <c r="Y25" i="25"/>
  <c r="Z25" i="25" s="1"/>
  <c r="Y24" i="25"/>
  <c r="Z24" i="25" s="1"/>
  <c r="Y23" i="25"/>
  <c r="Z23" i="25" s="1"/>
  <c r="Y22" i="25"/>
  <c r="Z22" i="25" s="1"/>
  <c r="Y21" i="25"/>
  <c r="Z21" i="25" s="1"/>
  <c r="Y20" i="25"/>
  <c r="Z20" i="25" s="1"/>
  <c r="Y19" i="25"/>
  <c r="Z19" i="25" s="1"/>
  <c r="Y18" i="25"/>
  <c r="Z18" i="25" s="1"/>
  <c r="Y17" i="25"/>
  <c r="Z17" i="25" s="1"/>
  <c r="Y16" i="25"/>
  <c r="Z16" i="25" s="1"/>
  <c r="Y15" i="25"/>
  <c r="Z15" i="25" s="1"/>
  <c r="Y13" i="25"/>
  <c r="Z13" i="25" s="1"/>
  <c r="Y12" i="25"/>
  <c r="Z12" i="25" s="1"/>
  <c r="Y11" i="25"/>
  <c r="Z11" i="25" s="1"/>
  <c r="Y10" i="25"/>
  <c r="Z10" i="25" s="1"/>
  <c r="V675" i="24"/>
  <c r="AA653" i="24"/>
  <c r="AA577" i="24"/>
  <c r="AA559" i="24"/>
  <c r="AA483" i="24"/>
  <c r="AA467" i="24"/>
  <c r="AA441" i="24"/>
  <c r="AA400" i="24"/>
  <c r="AA339" i="24"/>
  <c r="Y49" i="24"/>
  <c r="Z49" i="24" s="1"/>
  <c r="Y46" i="24"/>
  <c r="Z46" i="24" s="1"/>
  <c r="Y43" i="24"/>
  <c r="Z43" i="24" s="1"/>
  <c r="Y665" i="24" s="1"/>
  <c r="H276" i="1" s="1"/>
  <c r="Y40" i="24"/>
  <c r="Z40" i="24" s="1"/>
  <c r="Y39" i="24"/>
  <c r="Z39" i="24" s="1"/>
  <c r="Y36" i="24"/>
  <c r="Z36" i="24" s="1"/>
  <c r="Y662" i="24" s="1"/>
  <c r="H273" i="1" s="1"/>
  <c r="Y33" i="24"/>
  <c r="Z33" i="24" s="1"/>
  <c r="X30" i="24"/>
  <c r="Y30" i="24" s="1"/>
  <c r="Z30" i="24" s="1"/>
  <c r="AA844" i="23"/>
  <c r="AA726" i="23"/>
  <c r="AA631" i="23"/>
  <c r="AA544" i="23"/>
  <c r="AA470" i="23"/>
  <c r="AA372" i="23"/>
  <c r="AA262" i="23"/>
  <c r="AA221" i="23"/>
  <c r="AA160" i="23"/>
  <c r="Y46" i="23"/>
  <c r="Z46" i="23" s="1"/>
  <c r="Y43" i="23"/>
  <c r="Z43" i="23" s="1"/>
  <c r="Y856" i="23" s="1"/>
  <c r="V873" i="23" s="1"/>
  <c r="Y40" i="23"/>
  <c r="Z40" i="23" s="1"/>
  <c r="Y855" i="23" s="1"/>
  <c r="H269" i="1" s="1"/>
  <c r="Y37" i="23"/>
  <c r="Z37" i="23" s="1"/>
  <c r="Y36" i="23"/>
  <c r="Z36" i="23" s="1"/>
  <c r="Y851" i="23" s="1"/>
  <c r="Y33" i="23"/>
  <c r="Z33" i="23" s="1"/>
  <c r="Y853" i="23" s="1"/>
  <c r="X30" i="23"/>
  <c r="Y30" i="23" s="1"/>
  <c r="Z30" i="23" s="1"/>
  <c r="AB708" i="22"/>
  <c r="AB632" i="22"/>
  <c r="AB556" i="22"/>
  <c r="AB480" i="22"/>
  <c r="Z400" i="22"/>
  <c r="AA400" i="22" s="1"/>
  <c r="Z304" i="22"/>
  <c r="AA304" i="22" s="1"/>
  <c r="Z280" i="22"/>
  <c r="AA280" i="22" s="1"/>
  <c r="Z279" i="22"/>
  <c r="AA279" i="22" s="1"/>
  <c r="Z278" i="22"/>
  <c r="AA278" i="22" s="1"/>
  <c r="Z275" i="22"/>
  <c r="AA275" i="22" s="1"/>
  <c r="Z274" i="22"/>
  <c r="AA274" i="22" s="1"/>
  <c r="Z273" i="22"/>
  <c r="AA273" i="22" s="1"/>
  <c r="Z272" i="22"/>
  <c r="AA272" i="22" s="1"/>
  <c r="Z271" i="22"/>
  <c r="AA271" i="22" s="1"/>
  <c r="Z270" i="22"/>
  <c r="AA270" i="22" s="1"/>
  <c r="Z269" i="22"/>
  <c r="AA269" i="22" s="1"/>
  <c r="Z268" i="22"/>
  <c r="AA268" i="22" s="1"/>
  <c r="Z264" i="22"/>
  <c r="AA264" i="22" s="1"/>
  <c r="Z261" i="22"/>
  <c r="AA261" i="22" s="1"/>
  <c r="Z260" i="22"/>
  <c r="AA260" i="22" s="1"/>
  <c r="Z259" i="22"/>
  <c r="AA259" i="22" s="1"/>
  <c r="AA258" i="22"/>
  <c r="Z255" i="22"/>
  <c r="AA255" i="22" s="1"/>
  <c r="AA254" i="22"/>
  <c r="Z251" i="22"/>
  <c r="AA251" i="22" s="1"/>
  <c r="Z250" i="22"/>
  <c r="AA250" i="22" s="1"/>
  <c r="Z249" i="22"/>
  <c r="AA249" i="22" s="1"/>
  <c r="Z246" i="22"/>
  <c r="AA246" i="22" s="1"/>
  <c r="Z243" i="22"/>
  <c r="AA243" i="22" s="1"/>
  <c r="Z242" i="22"/>
  <c r="AA242" i="22" s="1"/>
  <c r="Z239" i="22"/>
  <c r="AA239" i="22" s="1"/>
  <c r="Z236" i="22"/>
  <c r="AA236" i="22" s="1"/>
  <c r="AB235" i="22" s="1"/>
  <c r="Z231" i="22"/>
  <c r="AA231" i="22" s="1"/>
  <c r="Z228" i="22"/>
  <c r="AA228" i="22" s="1"/>
  <c r="Z225" i="22"/>
  <c r="AA225" i="22" s="1"/>
  <c r="Z224" i="22"/>
  <c r="AA224" i="22" s="1"/>
  <c r="Z223" i="22"/>
  <c r="AA223" i="22" s="1"/>
  <c r="Z222" i="22"/>
  <c r="AA222" i="22" s="1"/>
  <c r="Z221" i="22"/>
  <c r="AA221" i="22" s="1"/>
  <c r="Z220" i="22"/>
  <c r="AA220" i="22" s="1"/>
  <c r="Z217" i="22"/>
  <c r="AA217" i="22" s="1"/>
  <c r="Z216" i="22"/>
  <c r="AA216" i="22" s="1"/>
  <c r="Z215" i="22"/>
  <c r="AA215" i="22" s="1"/>
  <c r="Z214" i="22"/>
  <c r="AA214" i="22" s="1"/>
  <c r="Z213" i="22"/>
  <c r="AA213" i="22" s="1"/>
  <c r="Z212" i="22"/>
  <c r="AA212" i="22" s="1"/>
  <c r="Z211" i="22"/>
  <c r="AA211" i="22" s="1"/>
  <c r="Z210" i="22"/>
  <c r="AA210" i="22" s="1"/>
  <c r="Z207" i="22"/>
  <c r="AA207" i="22" s="1"/>
  <c r="Z748" i="22" s="1"/>
  <c r="H263" i="1" s="1"/>
  <c r="Z204" i="22"/>
  <c r="AA204" i="22" s="1"/>
  <c r="Z203" i="22"/>
  <c r="AA203" i="22" s="1"/>
  <c r="Z202" i="22"/>
  <c r="AA202" i="22" s="1"/>
  <c r="Z201" i="22"/>
  <c r="AA201" i="22" s="1"/>
  <c r="Z200" i="22"/>
  <c r="AA200" i="22" s="1"/>
  <c r="Z179" i="22"/>
  <c r="AA179" i="22" s="1"/>
  <c r="Z156" i="22"/>
  <c r="AA156" i="22" s="1"/>
  <c r="AB155" i="22" s="1"/>
  <c r="Z153" i="22"/>
  <c r="AA153" i="22" s="1"/>
  <c r="Z719" i="22" s="1"/>
  <c r="H234" i="1" s="1"/>
  <c r="Z140" i="22"/>
  <c r="AA140" i="22" s="1"/>
  <c r="Z137" i="22"/>
  <c r="AA137" i="22" s="1"/>
  <c r="Z134" i="22"/>
  <c r="AA134" i="22" s="1"/>
  <c r="Z133" i="22"/>
  <c r="AA133" i="22" s="1"/>
  <c r="Z118" i="22"/>
  <c r="AA118" i="22" s="1"/>
  <c r="Z74" i="22"/>
  <c r="AA74" i="22" s="1"/>
  <c r="Z71" i="22"/>
  <c r="AA71" i="22" s="1"/>
  <c r="AB70" i="22" s="1"/>
  <c r="Z67" i="22"/>
  <c r="AA67" i="22" s="1"/>
  <c r="Z64" i="22"/>
  <c r="AA64" i="22" s="1"/>
  <c r="Z60" i="22"/>
  <c r="AA60" i="22" s="1"/>
  <c r="Z47" i="22"/>
  <c r="AA47" i="22" s="1"/>
  <c r="AB46" i="22" s="1"/>
  <c r="Z44" i="22"/>
  <c r="AA44" i="22" s="1"/>
  <c r="Z41" i="22"/>
  <c r="AA41" i="22" s="1"/>
  <c r="Z40" i="22"/>
  <c r="AA40" i="22" s="1"/>
  <c r="Z39" i="22"/>
  <c r="AA39" i="22" s="1"/>
  <c r="Z38" i="22"/>
  <c r="AA38" i="22" s="1"/>
  <c r="Z37" i="22"/>
  <c r="AA37" i="22" s="1"/>
  <c r="Z36" i="22"/>
  <c r="AA36" i="22" s="1"/>
  <c r="Z35" i="22"/>
  <c r="AA35" i="22" s="1"/>
  <c r="Z34" i="22"/>
  <c r="AA34" i="22" s="1"/>
  <c r="Z33" i="22"/>
  <c r="AA33" i="22" s="1"/>
  <c r="Z32" i="22"/>
  <c r="AA32" i="22" s="1"/>
  <c r="Z31" i="22"/>
  <c r="AA31" i="22" s="1"/>
  <c r="Z30" i="22"/>
  <c r="AA30" i="22" s="1"/>
  <c r="Z29" i="22"/>
  <c r="AA29" i="22" s="1"/>
  <c r="Z28" i="22"/>
  <c r="AA28" i="22" s="1"/>
  <c r="Z27" i="22"/>
  <c r="AA27" i="22" s="1"/>
  <c r="Z26" i="22"/>
  <c r="AA26" i="22" s="1"/>
  <c r="Z23" i="22"/>
  <c r="AA23" i="22" s="1"/>
  <c r="Z20" i="22"/>
  <c r="AA20" i="22" s="1"/>
  <c r="Z727" i="22" s="1"/>
  <c r="H242" i="1" s="1"/>
  <c r="Z17" i="22"/>
  <c r="AA17" i="22" s="1"/>
  <c r="Z16" i="22"/>
  <c r="AA16" i="22" s="1"/>
  <c r="Z15" i="22"/>
  <c r="AA15" i="22" s="1"/>
  <c r="Y300" i="21"/>
  <c r="Z300" i="21" s="1"/>
  <c r="AA300" i="21" s="1"/>
  <c r="Y295" i="21"/>
  <c r="Z295" i="21" s="1"/>
  <c r="AA295" i="21" s="1"/>
  <c r="Y290" i="21"/>
  <c r="Z290" i="21" s="1"/>
  <c r="AA290" i="21" s="1"/>
  <c r="Z284" i="21"/>
  <c r="AA284" i="21" s="1"/>
  <c r="Y283" i="21"/>
  <c r="Z283" i="21" s="1"/>
  <c r="AA283" i="21" s="1"/>
  <c r="Y282" i="21"/>
  <c r="Z282" i="21" s="1"/>
  <c r="AA282" i="21" s="1"/>
  <c r="Z277" i="21"/>
  <c r="AA277" i="21" s="1"/>
  <c r="Z272" i="21"/>
  <c r="AA272" i="21" s="1"/>
  <c r="Z237" i="21"/>
  <c r="AA237" i="21" s="1"/>
  <c r="Z233" i="21"/>
  <c r="AA233" i="21" s="1"/>
  <c r="AB232" i="21" s="1"/>
  <c r="Z177" i="21"/>
  <c r="AA177" i="21" s="1"/>
  <c r="Z156" i="21"/>
  <c r="AA156" i="21" s="1"/>
  <c r="Y136" i="21"/>
  <c r="Z136" i="21" s="1"/>
  <c r="AA136" i="21" s="1"/>
  <c r="Y132" i="21"/>
  <c r="Z132" i="21" s="1"/>
  <c r="AA132" i="21" s="1"/>
  <c r="Y128" i="21"/>
  <c r="Z128" i="21" s="1"/>
  <c r="AA128" i="21" s="1"/>
  <c r="Y109" i="21"/>
  <c r="Z109" i="21" s="1"/>
  <c r="AA109" i="21" s="1"/>
  <c r="Z106" i="21"/>
  <c r="AA106" i="21" s="1"/>
  <c r="Z105" i="21"/>
  <c r="AA105" i="21" s="1"/>
  <c r="Z100" i="21"/>
  <c r="AA100" i="21" s="1"/>
  <c r="Z92" i="21"/>
  <c r="AA92" i="21" s="1"/>
  <c r="Z89" i="21"/>
  <c r="AA89" i="21" s="1"/>
  <c r="Z88" i="21"/>
  <c r="AA88" i="21" s="1"/>
  <c r="Z84" i="21"/>
  <c r="AA84" i="21" s="1"/>
  <c r="AB83" i="21" s="1"/>
  <c r="Y80" i="21"/>
  <c r="Z80" i="21" s="1"/>
  <c r="AA80" i="21" s="1"/>
  <c r="Z76" i="21"/>
  <c r="AA76" i="21" s="1"/>
  <c r="AB75" i="21" s="1"/>
  <c r="Z356" i="21" s="1"/>
  <c r="H211" i="1" s="1"/>
  <c r="Y72" i="21"/>
  <c r="Z72" i="21" s="1"/>
  <c r="AA72" i="21" s="1"/>
  <c r="AB71" i="21" s="1"/>
  <c r="Z355" i="21" s="1"/>
  <c r="H210" i="1" s="1"/>
  <c r="Z68" i="21"/>
  <c r="AA68" i="21" s="1"/>
  <c r="Z61" i="21"/>
  <c r="AA61" i="21" s="1"/>
  <c r="Z60" i="21"/>
  <c r="AA60" i="21" s="1"/>
  <c r="Z59" i="21"/>
  <c r="AA59" i="21" s="1"/>
  <c r="Z52" i="21"/>
  <c r="AA52" i="21" s="1"/>
  <c r="Z44" i="21"/>
  <c r="AA44" i="21" s="1"/>
  <c r="Z36" i="21"/>
  <c r="AA36" i="21" s="1"/>
  <c r="AB35" i="21" s="1"/>
  <c r="Z349" i="21" s="1"/>
  <c r="H206" i="1" s="1"/>
  <c r="Y27" i="21"/>
  <c r="Z27" i="21" s="1"/>
  <c r="AA27" i="21" s="1"/>
  <c r="AB26" i="21" s="1"/>
  <c r="Z348" i="21" s="1"/>
  <c r="H224" i="1" s="1"/>
  <c r="Y23" i="21"/>
  <c r="Z23" i="21" s="1"/>
  <c r="AA23" i="21" s="1"/>
  <c r="AB22" i="21" s="1"/>
  <c r="Z347" i="21" s="1"/>
  <c r="H205" i="1" s="1"/>
  <c r="Y19" i="21"/>
  <c r="Z19" i="21" s="1"/>
  <c r="AA19" i="21" s="1"/>
  <c r="AB18" i="21" s="1"/>
  <c r="Z346" i="21" s="1"/>
  <c r="H204" i="1" s="1"/>
  <c r="Z15" i="21"/>
  <c r="AA15" i="21" s="1"/>
  <c r="Z292" i="20"/>
  <c r="W308" i="20" s="1"/>
  <c r="Z252" i="20"/>
  <c r="AA252" i="20" s="1"/>
  <c r="AB251" i="20" s="1"/>
  <c r="Z288" i="20" s="1"/>
  <c r="H197" i="1" s="1"/>
  <c r="Z250" i="20"/>
  <c r="AA250" i="20" s="1"/>
  <c r="Z249" i="20"/>
  <c r="AA249" i="20" s="1"/>
  <c r="Z248" i="20"/>
  <c r="AA248" i="20" s="1"/>
  <c r="Z247" i="20"/>
  <c r="AA247" i="20" s="1"/>
  <c r="Z245" i="20"/>
  <c r="AA245" i="20" s="1"/>
  <c r="AB244" i="20" s="1"/>
  <c r="Z210" i="20"/>
  <c r="AA210" i="20" s="1"/>
  <c r="AB209" i="20" s="1"/>
  <c r="Z186" i="20"/>
  <c r="AA186" i="20" s="1"/>
  <c r="AB185" i="20" s="1"/>
  <c r="Z156" i="20"/>
  <c r="AA156" i="20" s="1"/>
  <c r="AB155" i="20" s="1"/>
  <c r="Z151" i="20"/>
  <c r="AA151" i="20" s="1"/>
  <c r="AB150" i="20" s="1"/>
  <c r="Z93" i="20"/>
  <c r="AA93" i="20" s="1"/>
  <c r="AB92" i="20" s="1"/>
  <c r="Z294" i="20" s="1"/>
  <c r="Z91" i="20"/>
  <c r="AA91" i="20" s="1"/>
  <c r="AB90" i="20" s="1"/>
  <c r="Z291" i="20" s="1"/>
  <c r="W307" i="20" s="1"/>
  <c r="Z89" i="20"/>
  <c r="AA89" i="20" s="1"/>
  <c r="AB88" i="20" s="1"/>
  <c r="Z87" i="20"/>
  <c r="AA87" i="20" s="1"/>
  <c r="AB86" i="20" s="1"/>
  <c r="Z31" i="20"/>
  <c r="AA31" i="20" s="1"/>
  <c r="AB30" i="20" s="1"/>
  <c r="AA22" i="20"/>
  <c r="AA21" i="20"/>
  <c r="AB20" i="20"/>
  <c r="Z289" i="20" s="1"/>
  <c r="Z349" i="19"/>
  <c r="AA349" i="19" s="1"/>
  <c r="Z348" i="19"/>
  <c r="AA348" i="19" s="1"/>
  <c r="Z347" i="19"/>
  <c r="AA347" i="19" s="1"/>
  <c r="Z346" i="19"/>
  <c r="AA346" i="19" s="1"/>
  <c r="Z345" i="19"/>
  <c r="AA345" i="19" s="1"/>
  <c r="Z338" i="19"/>
  <c r="AA338" i="19" s="1"/>
  <c r="Z337" i="19"/>
  <c r="AA337" i="19" s="1"/>
  <c r="Z336" i="19"/>
  <c r="AA336" i="19" s="1"/>
  <c r="Z335" i="19"/>
  <c r="AA335" i="19" s="1"/>
  <c r="Z334" i="19"/>
  <c r="AA334" i="19" s="1"/>
  <c r="Z333" i="19"/>
  <c r="AA333" i="19" s="1"/>
  <c r="Z332" i="19"/>
  <c r="AA332" i="19" s="1"/>
  <c r="Z331" i="19"/>
  <c r="AA331" i="19" s="1"/>
  <c r="Z330" i="19"/>
  <c r="AA330" i="19" s="1"/>
  <c r="Z329" i="19"/>
  <c r="AA329" i="19" s="1"/>
  <c r="Z328" i="19"/>
  <c r="AA328" i="19" s="1"/>
  <c r="Z327" i="19"/>
  <c r="AA327" i="19" s="1"/>
  <c r="Z326" i="19"/>
  <c r="AA326" i="19" s="1"/>
  <c r="Z325" i="19"/>
  <c r="AA325" i="19" s="1"/>
  <c r="Z324" i="19"/>
  <c r="AA324" i="19" s="1"/>
  <c r="Z317" i="19"/>
  <c r="AA317" i="19" s="1"/>
  <c r="Z316" i="19"/>
  <c r="AA316" i="19" s="1"/>
  <c r="Z315" i="19"/>
  <c r="AA315" i="19" s="1"/>
  <c r="Z314" i="19"/>
  <c r="AA314" i="19" s="1"/>
  <c r="Z313" i="19"/>
  <c r="AA313" i="19" s="1"/>
  <c r="Z312" i="19"/>
  <c r="AA312" i="19" s="1"/>
  <c r="Z311" i="19"/>
  <c r="AA311" i="19" s="1"/>
  <c r="Z310" i="19"/>
  <c r="AA310" i="19" s="1"/>
  <c r="Z309" i="19"/>
  <c r="AA309" i="19" s="1"/>
  <c r="Z308" i="19"/>
  <c r="AA308" i="19" s="1"/>
  <c r="Z307" i="19"/>
  <c r="AA307" i="19" s="1"/>
  <c r="Z306" i="19"/>
  <c r="AA306" i="19" s="1"/>
  <c r="Z305" i="19"/>
  <c r="AA305" i="19" s="1"/>
  <c r="Z304" i="19"/>
  <c r="AA304" i="19" s="1"/>
  <c r="Z303" i="19"/>
  <c r="AA303" i="19" s="1"/>
  <c r="Z302" i="19"/>
  <c r="AA302" i="19" s="1"/>
  <c r="Z301" i="19"/>
  <c r="AA301" i="19" s="1"/>
  <c r="Z300" i="19"/>
  <c r="AA300" i="19" s="1"/>
  <c r="Z299" i="19"/>
  <c r="AA299" i="19" s="1"/>
  <c r="Z298" i="19"/>
  <c r="AA298" i="19" s="1"/>
  <c r="Z297" i="19"/>
  <c r="AA297" i="19" s="1"/>
  <c r="Z296" i="19"/>
  <c r="AA296" i="19" s="1"/>
  <c r="Z295" i="19"/>
  <c r="AA295" i="19" s="1"/>
  <c r="Z294" i="19"/>
  <c r="AA294" i="19" s="1"/>
  <c r="Z249" i="19"/>
  <c r="AA249" i="19" s="1"/>
  <c r="Z248" i="19"/>
  <c r="AA248" i="19" s="1"/>
  <c r="Z197" i="19"/>
  <c r="AA197" i="19" s="1"/>
  <c r="AB196" i="19" s="1"/>
  <c r="Z413" i="19" s="1"/>
  <c r="H192" i="1" s="1"/>
  <c r="Y188" i="19"/>
  <c r="AA188" i="19" s="1"/>
  <c r="Z187" i="19"/>
  <c r="AA187" i="19" s="1"/>
  <c r="AB186" i="19" s="1"/>
  <c r="Z154" i="19"/>
  <c r="AA154" i="19" s="1"/>
  <c r="Z153" i="19"/>
  <c r="AA153" i="19" s="1"/>
  <c r="Z152" i="19"/>
  <c r="AA152" i="19" s="1"/>
  <c r="Z151" i="19"/>
  <c r="AA151" i="19" s="1"/>
  <c r="AA90" i="19"/>
  <c r="AB90" i="19"/>
  <c r="Z405" i="19" s="1"/>
  <c r="H191" i="1" s="1"/>
  <c r="AA89" i="19"/>
  <c r="Z72" i="19"/>
  <c r="AA72" i="19" s="1"/>
  <c r="AB71" i="19" s="1"/>
  <c r="Z431" i="19" s="1"/>
  <c r="H189" i="1" s="1"/>
  <c r="Z70" i="19"/>
  <c r="AA70" i="19" s="1"/>
  <c r="AB69" i="19"/>
  <c r="Z429" i="19" s="1"/>
  <c r="H188" i="1" s="1"/>
  <c r="Z68" i="19"/>
  <c r="AA68" i="19" s="1"/>
  <c r="AB67" i="19" s="1"/>
  <c r="Z428" i="19" s="1"/>
  <c r="AA66" i="19"/>
  <c r="AB66" i="19" s="1"/>
  <c r="Y65" i="19"/>
  <c r="AA65" i="19" s="1"/>
  <c r="AB65" i="19" s="1"/>
  <c r="Y64" i="19"/>
  <c r="AA64" i="19" s="1"/>
  <c r="AB64" i="19" s="1"/>
  <c r="Y63" i="19"/>
  <c r="AA63" i="19" s="1"/>
  <c r="AB63" i="19" s="1"/>
  <c r="Y62" i="19"/>
  <c r="AA62" i="19" s="1"/>
  <c r="AB62" i="19" s="1"/>
  <c r="Y61" i="19"/>
  <c r="AA61" i="19" s="1"/>
  <c r="AB61" i="19" s="1"/>
  <c r="AA60" i="19"/>
  <c r="AB60" i="19" s="1"/>
  <c r="Z421" i="19" s="1"/>
  <c r="H173" i="1" s="1"/>
  <c r="AA59" i="19"/>
  <c r="AB59" i="19"/>
  <c r="Z403" i="19" s="1"/>
  <c r="H166" i="1" s="1"/>
  <c r="AA58" i="19"/>
  <c r="AB58" i="19"/>
  <c r="Z401" i="19" s="1"/>
  <c r="H165" i="1" s="1"/>
  <c r="AA57" i="19"/>
  <c r="AB57" i="19" s="1"/>
  <c r="Z400" i="19" s="1"/>
  <c r="H164" i="1" s="1"/>
  <c r="AA56" i="19"/>
  <c r="AB56" i="19"/>
  <c r="Z399" i="19" s="1"/>
  <c r="H163" i="1" s="1"/>
  <c r="AA55" i="19"/>
  <c r="AB55" i="19"/>
  <c r="Z398" i="19" s="1"/>
  <c r="H162" i="1" s="1"/>
  <c r="AA54" i="19"/>
  <c r="AB54" i="19" s="1"/>
  <c r="Z397" i="19" s="1"/>
  <c r="H161" i="1" s="1"/>
  <c r="AA53" i="19"/>
  <c r="AB53" i="19" s="1"/>
  <c r="Z396" i="19" s="1"/>
  <c r="H160" i="1" s="1"/>
  <c r="AA52" i="19"/>
  <c r="AB52" i="19" s="1"/>
  <c r="Z395" i="19" s="1"/>
  <c r="H159" i="1" s="1"/>
  <c r="AA51" i="19"/>
  <c r="AB51" i="19" s="1"/>
  <c r="Z394" i="19" s="1"/>
  <c r="H158" i="1" s="1"/>
  <c r="AA50" i="19"/>
  <c r="AB50" i="19" s="1"/>
  <c r="Z393" i="19" s="1"/>
  <c r="H157" i="1" s="1"/>
  <c r="AA49" i="19"/>
  <c r="AB49" i="19" s="1"/>
  <c r="Z392" i="19" s="1"/>
  <c r="H156" i="1" s="1"/>
  <c r="AA48" i="19"/>
  <c r="AB48" i="19" s="1"/>
  <c r="Z391" i="19" s="1"/>
  <c r="H155" i="1" s="1"/>
  <c r="AA47" i="19"/>
  <c r="AB47" i="19" s="1"/>
  <c r="Z390" i="19" s="1"/>
  <c r="H154" i="1" s="1"/>
  <c r="AA46" i="19"/>
  <c r="AB46" i="19" s="1"/>
  <c r="Z389" i="19" s="1"/>
  <c r="H153" i="1" s="1"/>
  <c r="AA45" i="19"/>
  <c r="AB45" i="19" s="1"/>
  <c r="Z388" i="19" s="1"/>
  <c r="H152" i="1" s="1"/>
  <c r="AA44" i="19"/>
  <c r="AB44" i="19" s="1"/>
  <c r="Z387" i="19" s="1"/>
  <c r="H151" i="1" s="1"/>
  <c r="Z38" i="19"/>
  <c r="AA38" i="19" s="1"/>
  <c r="Z37" i="19"/>
  <c r="AA37" i="19" s="1"/>
  <c r="Z36" i="19"/>
  <c r="AA36" i="19" s="1"/>
  <c r="Z35" i="19"/>
  <c r="AA35" i="19" s="1"/>
  <c r="Z32" i="19"/>
  <c r="AA32" i="19" s="1"/>
  <c r="Z30" i="19"/>
  <c r="AA30" i="19" s="1"/>
  <c r="AB29" i="19" s="1"/>
  <c r="Z407" i="19" s="1"/>
  <c r="H182" i="1" s="1"/>
  <c r="Z20" i="19"/>
  <c r="AA20" i="19" s="1"/>
  <c r="Z235" i="18"/>
  <c r="AA235" i="18" s="1"/>
  <c r="Z234" i="18"/>
  <c r="AA234" i="18" s="1"/>
  <c r="Z233" i="18"/>
  <c r="AA233" i="18" s="1"/>
  <c r="Z232" i="18"/>
  <c r="AA232" i="18" s="1"/>
  <c r="Z220" i="18"/>
  <c r="AA220" i="18" s="1"/>
  <c r="Z219" i="18"/>
  <c r="AA219" i="18" s="1"/>
  <c r="Z218" i="18"/>
  <c r="AA218" i="18" s="1"/>
  <c r="Z217" i="18"/>
  <c r="AA217" i="18" s="1"/>
  <c r="Z215" i="18"/>
  <c r="AA215" i="18" s="1"/>
  <c r="Z184" i="18"/>
  <c r="AA184" i="18" s="1"/>
  <c r="Z291" i="18" s="1"/>
  <c r="H146" i="1" s="1"/>
  <c r="Z181" i="18"/>
  <c r="AA181" i="18" s="1"/>
  <c r="Z179" i="18"/>
  <c r="AA179" i="18" s="1"/>
  <c r="Z176" i="18"/>
  <c r="AA176" i="18" s="1"/>
  <c r="Z174" i="18"/>
  <c r="AA174" i="18" s="1"/>
  <c r="Z290" i="18" s="1"/>
  <c r="H145" i="1" s="1"/>
  <c r="Z172" i="18"/>
  <c r="AA172" i="18" s="1"/>
  <c r="Z170" i="18"/>
  <c r="AA170" i="18" s="1"/>
  <c r="Z169" i="18"/>
  <c r="AA169" i="18" s="1"/>
  <c r="Z167" i="18"/>
  <c r="AA167" i="18" s="1"/>
  <c r="Z166" i="18"/>
  <c r="AA166" i="18" s="1"/>
  <c r="Z165" i="18"/>
  <c r="AA165" i="18" s="1"/>
  <c r="Z164" i="18"/>
  <c r="AA164" i="18" s="1"/>
  <c r="Z163" i="18"/>
  <c r="AA163" i="18" s="1"/>
  <c r="Z162" i="18"/>
  <c r="AA162" i="18" s="1"/>
  <c r="AB160" i="18"/>
  <c r="Z78" i="18"/>
  <c r="AA78" i="18" s="1"/>
  <c r="Z77" i="18"/>
  <c r="AA77" i="18" s="1"/>
  <c r="Z75" i="18"/>
  <c r="AA75" i="18" s="1"/>
  <c r="Z73" i="18"/>
  <c r="AA73" i="18" s="1"/>
  <c r="Z72" i="18"/>
  <c r="AA72" i="18" s="1"/>
  <c r="Z71" i="18"/>
  <c r="AA71" i="18" s="1"/>
  <c r="Z70" i="18"/>
  <c r="AA70" i="18" s="1"/>
  <c r="Z69" i="18"/>
  <c r="AA69" i="18" s="1"/>
  <c r="Z68" i="18"/>
  <c r="AA68" i="18" s="1"/>
  <c r="Z67" i="18"/>
  <c r="AA67" i="18" s="1"/>
  <c r="Z66" i="18"/>
  <c r="AA66" i="18" s="1"/>
  <c r="Z65" i="18"/>
  <c r="AA65" i="18" s="1"/>
  <c r="Z37" i="17"/>
  <c r="AA37" i="17" s="1"/>
  <c r="Z35" i="17"/>
  <c r="AA35" i="17" s="1"/>
  <c r="Z10" i="17"/>
  <c r="AA10" i="17" s="1"/>
  <c r="AB9" i="17" s="1"/>
  <c r="Y62" i="16"/>
  <c r="Z62" i="16" s="1"/>
  <c r="Y57" i="16"/>
  <c r="Z57" i="16" s="1"/>
  <c r="AA56" i="16" s="1"/>
  <c r="Y52" i="16"/>
  <c r="Z52" i="16" s="1"/>
  <c r="Y47" i="16"/>
  <c r="Z47" i="16" s="1"/>
  <c r="Y38" i="16"/>
  <c r="Z38" i="16" s="1"/>
  <c r="Y37" i="16"/>
  <c r="Z37" i="16" s="1"/>
  <c r="Y35" i="16"/>
  <c r="Z35" i="16" s="1"/>
  <c r="Y34" i="16"/>
  <c r="Z34" i="16" s="1"/>
  <c r="Y33" i="16"/>
  <c r="Z33" i="16" s="1"/>
  <c r="Y32" i="16"/>
  <c r="Z32" i="16" s="1"/>
  <c r="Y25" i="16"/>
  <c r="Z25" i="16" s="1"/>
  <c r="Y24" i="16"/>
  <c r="Z24" i="16" s="1"/>
  <c r="Y23" i="16"/>
  <c r="Z23" i="16" s="1"/>
  <c r="Y22" i="16"/>
  <c r="Z22" i="16" s="1"/>
  <c r="Y21" i="16"/>
  <c r="Z21" i="16" s="1"/>
  <c r="Y20" i="16"/>
  <c r="Z20" i="16" s="1"/>
  <c r="Y19" i="16"/>
  <c r="Z19" i="16" s="1"/>
  <c r="Y18" i="16"/>
  <c r="Z18" i="16" s="1"/>
  <c r="Y17" i="16"/>
  <c r="Z17" i="16" s="1"/>
  <c r="Y16" i="16"/>
  <c r="Z16" i="16" s="1"/>
  <c r="Y15" i="16"/>
  <c r="Z15" i="16" s="1"/>
  <c r="Y10" i="16"/>
  <c r="Z10" i="16" s="1"/>
  <c r="AA9" i="16" s="1"/>
  <c r="Z77" i="15"/>
  <c r="AA77" i="15" s="1"/>
  <c r="Z76" i="15"/>
  <c r="AA76" i="15" s="1"/>
  <c r="Z16" i="15"/>
  <c r="AA16" i="15" s="1"/>
  <c r="Z15" i="15"/>
  <c r="AA15" i="15" s="1"/>
  <c r="Z10" i="15"/>
  <c r="AA10" i="15" s="1"/>
  <c r="Z99" i="14"/>
  <c r="AA99" i="14" s="1"/>
  <c r="Z97" i="14"/>
  <c r="AA97" i="14" s="1"/>
  <c r="Y40" i="14"/>
  <c r="Z40" i="14" s="1"/>
  <c r="AA40" i="14" s="1"/>
  <c r="Z41" i="13"/>
  <c r="AA41" i="13" s="1"/>
  <c r="Z40" i="13"/>
  <c r="AA40" i="13" s="1"/>
  <c r="Z32" i="13"/>
  <c r="AA32" i="13" s="1"/>
  <c r="Z31" i="13"/>
  <c r="AA31" i="13" s="1"/>
  <c r="Z30" i="13"/>
  <c r="AA30" i="13" s="1"/>
  <c r="Z20" i="13"/>
  <c r="AA20" i="13" s="1"/>
  <c r="Z50" i="13" s="1"/>
  <c r="H121" i="1" s="1"/>
  <c r="Z15" i="13"/>
  <c r="AA15" i="13" s="1"/>
  <c r="AB14" i="13" s="1"/>
  <c r="Z10" i="13"/>
  <c r="AA10" i="13" s="1"/>
  <c r="W273" i="12"/>
  <c r="Z214" i="12"/>
  <c r="AA214" i="12" s="1"/>
  <c r="Z202" i="12"/>
  <c r="AA202" i="12" s="1"/>
  <c r="Z201" i="12"/>
  <c r="AA201" i="12" s="1"/>
  <c r="Z199" i="12"/>
  <c r="AA199" i="12" s="1"/>
  <c r="Z179" i="12"/>
  <c r="AA179" i="12" s="1"/>
  <c r="Z149" i="12"/>
  <c r="AA149" i="12" s="1"/>
  <c r="Z148" i="12"/>
  <c r="AA148" i="12" s="1"/>
  <c r="Z140" i="12"/>
  <c r="AA140" i="12" s="1"/>
  <c r="Z138" i="12"/>
  <c r="AA138" i="12" s="1"/>
  <c r="Z262" i="12" s="1"/>
  <c r="H114" i="1" s="1"/>
  <c r="Z102" i="12"/>
  <c r="AA102" i="12" s="1"/>
  <c r="AB101" i="12" s="1"/>
  <c r="Z99" i="12"/>
  <c r="AA99" i="12" s="1"/>
  <c r="Z97" i="12"/>
  <c r="AA97" i="12" s="1"/>
  <c r="Z94" i="12"/>
  <c r="AA94" i="12" s="1"/>
  <c r="Z92" i="12"/>
  <c r="AA92" i="12" s="1"/>
  <c r="Z90" i="12"/>
  <c r="AA90" i="12" s="1"/>
  <c r="Z89" i="12"/>
  <c r="AA89" i="12" s="1"/>
  <c r="Z59" i="12"/>
  <c r="AA59" i="12" s="1"/>
  <c r="Z52" i="12"/>
  <c r="AA52" i="12" s="1"/>
  <c r="Z50" i="12"/>
  <c r="AA50" i="12" s="1"/>
  <c r="Z48" i="12"/>
  <c r="AA48" i="12" s="1"/>
  <c r="Z46" i="12"/>
  <c r="AA46" i="12" s="1"/>
  <c r="Z45" i="12"/>
  <c r="AA45" i="12" s="1"/>
  <c r="Z44" i="12"/>
  <c r="AA44" i="12" s="1"/>
  <c r="Z42" i="12"/>
  <c r="AA42" i="12" s="1"/>
  <c r="Z41" i="12"/>
  <c r="AA41" i="12" s="1"/>
  <c r="Z40" i="12"/>
  <c r="AA40" i="12" s="1"/>
  <c r="Y44" i="11"/>
  <c r="Z44" i="11" s="1"/>
  <c r="Y57" i="11" s="1"/>
  <c r="H97" i="1" s="1"/>
  <c r="Y39" i="11"/>
  <c r="Z39" i="11" s="1"/>
  <c r="Y33" i="11"/>
  <c r="Z33" i="11" s="1"/>
  <c r="Y28" i="11"/>
  <c r="Z28" i="11" s="1"/>
  <c r="Y24" i="11"/>
  <c r="Z24" i="11" s="1"/>
  <c r="Y23" i="11"/>
  <c r="Z23" i="11" s="1"/>
  <c r="Y56" i="11" s="1"/>
  <c r="H96" i="1" s="1"/>
  <c r="Y20" i="11"/>
  <c r="Z20" i="11" s="1"/>
  <c r="Y19" i="11"/>
  <c r="Z19" i="11" s="1"/>
  <c r="Y18" i="11"/>
  <c r="Z18" i="11" s="1"/>
  <c r="Y17" i="11"/>
  <c r="Z17" i="11" s="1"/>
  <c r="Y16" i="11"/>
  <c r="Z16" i="11" s="1"/>
  <c r="Y15" i="11"/>
  <c r="Z15" i="11" s="1"/>
  <c r="Y12" i="11"/>
  <c r="Z12" i="11" s="1"/>
  <c r="Y11" i="11"/>
  <c r="Z11" i="11" s="1"/>
  <c r="Y10" i="11"/>
  <c r="Z10" i="11" s="1"/>
  <c r="Z204" i="10"/>
  <c r="AA204" i="10" s="1"/>
  <c r="Z202" i="10"/>
  <c r="AA202" i="10" s="1"/>
  <c r="Z149" i="10"/>
  <c r="AA149" i="10" s="1"/>
  <c r="Z109" i="10"/>
  <c r="AA109" i="10" s="1"/>
  <c r="Z240" i="10" s="1"/>
  <c r="H91" i="1" s="1"/>
  <c r="Z105" i="10"/>
  <c r="AA105" i="10" s="1"/>
  <c r="Y104" i="10"/>
  <c r="Z104" i="10" s="1"/>
  <c r="Z88" i="10"/>
  <c r="AA88" i="10" s="1"/>
  <c r="Z237" i="10" s="1"/>
  <c r="H88" i="1" s="1"/>
  <c r="Z75" i="10"/>
  <c r="AA75" i="10" s="1"/>
  <c r="Z70" i="10"/>
  <c r="AA70" i="10" s="1"/>
  <c r="Z67" i="10"/>
  <c r="AA67" i="10" s="1"/>
  <c r="Z65" i="10"/>
  <c r="AA65" i="10" s="1"/>
  <c r="Z43" i="10"/>
  <c r="AA43" i="10" s="1"/>
  <c r="Z42" i="10"/>
  <c r="AA42" i="10" s="1"/>
  <c r="Z41" i="10"/>
  <c r="AA41" i="10" s="1"/>
  <c r="Z40" i="10"/>
  <c r="AA40" i="10" s="1"/>
  <c r="Z30" i="10"/>
  <c r="AA30" i="10" s="1"/>
  <c r="Z27" i="10"/>
  <c r="AA27" i="10" s="1"/>
  <c r="Z25" i="10"/>
  <c r="AA25" i="10" s="1"/>
  <c r="Z229" i="10" s="1"/>
  <c r="H80" i="1" s="1"/>
  <c r="Z140" i="9"/>
  <c r="AA140" i="9" s="1"/>
  <c r="Z139" i="9"/>
  <c r="AA139" i="9" s="1"/>
  <c r="Z138" i="9"/>
  <c r="AA138" i="9" s="1"/>
  <c r="Z137" i="9"/>
  <c r="AA137" i="9" s="1"/>
  <c r="Z136" i="9"/>
  <c r="AA136" i="9" s="1"/>
  <c r="Z135" i="9"/>
  <c r="AA135" i="9" s="1"/>
  <c r="Z133" i="9"/>
  <c r="AA133" i="9" s="1"/>
  <c r="Z132" i="9"/>
  <c r="AA132" i="9" s="1"/>
  <c r="Z130" i="9"/>
  <c r="AA130" i="9" s="1"/>
  <c r="Z169" i="9" s="1"/>
  <c r="H69" i="1" s="1"/>
  <c r="Z118" i="9"/>
  <c r="AA118" i="9" s="1"/>
  <c r="Z117" i="9"/>
  <c r="AA117" i="9" s="1"/>
  <c r="Z116" i="9"/>
  <c r="AA116" i="9" s="1"/>
  <c r="Z65" i="9"/>
  <c r="AA65" i="9" s="1"/>
  <c r="Y46" i="9"/>
  <c r="Z46" i="9" s="1"/>
  <c r="AA46" i="9" s="1"/>
  <c r="Z45" i="9"/>
  <c r="AA45" i="9" s="1"/>
  <c r="Z35" i="9"/>
  <c r="AA35" i="9" s="1"/>
  <c r="Z30" i="9"/>
  <c r="AA30" i="9" s="1"/>
  <c r="Z176" i="9" s="1"/>
  <c r="H76" i="1" s="1"/>
  <c r="Z22" i="9"/>
  <c r="AA22" i="9" s="1"/>
  <c r="AB21" i="9" s="1"/>
  <c r="Z20" i="9"/>
  <c r="AA20" i="9" s="1"/>
  <c r="AB19" i="9" s="1"/>
  <c r="Z16" i="9"/>
  <c r="AA16" i="9" s="1"/>
  <c r="Z15" i="9"/>
  <c r="AA15" i="9" s="1"/>
  <c r="Z52" i="8"/>
  <c r="AA52" i="8" s="1"/>
  <c r="Z51" i="8"/>
  <c r="AA51" i="8" s="1"/>
  <c r="Z50" i="8"/>
  <c r="AA50" i="8" s="1"/>
  <c r="Z48" i="8"/>
  <c r="AA48" i="8" s="1"/>
  <c r="Z43" i="8"/>
  <c r="AA43" i="8" s="1"/>
  <c r="Z73" i="8" s="1"/>
  <c r="H62" i="1" s="1"/>
  <c r="Z40" i="8"/>
  <c r="AA40" i="8" s="1"/>
  <c r="Z39" i="8"/>
  <c r="AA39" i="8" s="1"/>
  <c r="Z38" i="8"/>
  <c r="AA38" i="8" s="1"/>
  <c r="AB37" i="8" s="1"/>
  <c r="Z31" i="8"/>
  <c r="AA31" i="8" s="1"/>
  <c r="Z70" i="8" s="1"/>
  <c r="H59" i="1" s="1"/>
  <c r="Z29" i="8"/>
  <c r="AA29" i="8" s="1"/>
  <c r="Z27" i="8"/>
  <c r="AA27" i="8" s="1"/>
  <c r="Z24" i="8"/>
  <c r="AA24" i="8" s="1"/>
  <c r="Z23" i="8"/>
  <c r="AA23" i="8" s="1"/>
  <c r="Z22" i="8"/>
  <c r="AA22" i="8" s="1"/>
  <c r="Z20" i="8"/>
  <c r="AA20" i="8" s="1"/>
  <c r="Z19" i="8"/>
  <c r="AA19" i="8" s="1"/>
  <c r="Z18" i="8"/>
  <c r="AA18" i="8" s="1"/>
  <c r="Z17" i="8"/>
  <c r="AA17" i="8" s="1"/>
  <c r="Z16" i="8"/>
  <c r="AA16" i="8" s="1"/>
  <c r="Z15" i="8"/>
  <c r="AA15" i="8" s="1"/>
  <c r="Z13" i="8"/>
  <c r="AA13" i="8" s="1"/>
  <c r="Z12" i="8"/>
  <c r="AA12" i="8" s="1"/>
  <c r="Z11" i="8"/>
  <c r="AA11" i="8" s="1"/>
  <c r="Z10" i="8"/>
  <c r="AA10" i="8" s="1"/>
  <c r="Z217" i="7"/>
  <c r="AA217" i="7" s="1"/>
  <c r="Z216" i="7"/>
  <c r="AA216" i="7" s="1"/>
  <c r="Y214" i="7"/>
  <c r="Z214" i="7" s="1"/>
  <c r="AA214" i="7" s="1"/>
  <c r="Z212" i="7"/>
  <c r="AA212" i="7" s="1"/>
  <c r="Z211" i="7"/>
  <c r="AA211" i="7" s="1"/>
  <c r="Z210" i="7"/>
  <c r="AA210" i="7" s="1"/>
  <c r="Z209" i="7"/>
  <c r="AA209" i="7" s="1"/>
  <c r="Z208" i="7"/>
  <c r="AA208" i="7" s="1"/>
  <c r="Z207" i="7"/>
  <c r="AA207" i="7" s="1"/>
  <c r="Z206" i="7"/>
  <c r="AA206" i="7" s="1"/>
  <c r="Z205" i="7"/>
  <c r="AA205" i="7" s="1"/>
  <c r="Z203" i="7"/>
  <c r="AA203" i="7" s="1"/>
  <c r="Z202" i="7"/>
  <c r="AA202" i="7" s="1"/>
  <c r="Z201" i="7"/>
  <c r="AA201" i="7" s="1"/>
  <c r="Z200" i="7"/>
  <c r="AA200" i="7" s="1"/>
  <c r="Z199" i="7"/>
  <c r="AA199" i="7" s="1"/>
  <c r="Z198" i="7"/>
  <c r="AA198" i="7" s="1"/>
  <c r="Z197" i="7"/>
  <c r="AA197" i="7" s="1"/>
  <c r="Z196" i="7"/>
  <c r="AA196" i="7" s="1"/>
  <c r="Z195" i="7"/>
  <c r="AA195" i="7" s="1"/>
  <c r="Z194" i="7"/>
  <c r="AA194" i="7" s="1"/>
  <c r="Z193" i="7"/>
  <c r="AA193" i="7" s="1"/>
  <c r="Z192" i="7"/>
  <c r="AA192" i="7" s="1"/>
  <c r="Z191" i="7"/>
  <c r="AA191" i="7" s="1"/>
  <c r="Z190" i="7"/>
  <c r="AA190" i="7" s="1"/>
  <c r="Z189" i="7"/>
  <c r="AA189" i="7" s="1"/>
  <c r="Z187" i="7"/>
  <c r="AA187" i="7" s="1"/>
  <c r="Z186" i="7"/>
  <c r="AA186" i="7" s="1"/>
  <c r="Z185" i="7"/>
  <c r="AA185" i="7" s="1"/>
  <c r="Z184" i="7"/>
  <c r="AA184" i="7" s="1"/>
  <c r="Z183" i="7"/>
  <c r="AA183" i="7" s="1"/>
  <c r="Z182" i="7"/>
  <c r="AA182" i="7" s="1"/>
  <c r="Z165" i="7"/>
  <c r="AA165" i="7" s="1"/>
  <c r="Z164" i="7"/>
  <c r="AA164" i="7" s="1"/>
  <c r="Z163" i="7"/>
  <c r="AA163" i="7" s="1"/>
  <c r="Z162" i="7"/>
  <c r="AA162" i="7" s="1"/>
  <c r="Z144" i="7"/>
  <c r="AA144" i="7" s="1"/>
  <c r="Z143" i="7"/>
  <c r="AA143" i="7" s="1"/>
  <c r="Z142" i="7"/>
  <c r="AA142" i="7" s="1"/>
  <c r="Z141" i="7"/>
  <c r="AA141" i="7" s="1"/>
  <c r="Z87" i="7"/>
  <c r="AA87" i="7" s="1"/>
  <c r="Z86" i="7"/>
  <c r="AA86" i="7" s="1"/>
  <c r="Z85" i="7"/>
  <c r="AA85" i="7" s="1"/>
  <c r="Z78" i="7"/>
  <c r="AA78" i="7" s="1"/>
  <c r="Z77" i="7"/>
  <c r="AA77" i="7" s="1"/>
  <c r="Z76" i="7"/>
  <c r="AA76" i="7" s="1"/>
  <c r="Z75" i="7"/>
  <c r="AA75" i="7" s="1"/>
  <c r="Z74" i="7"/>
  <c r="AA74" i="7" s="1"/>
  <c r="Z73" i="7"/>
  <c r="AA73" i="7" s="1"/>
  <c r="Z69" i="7"/>
  <c r="AA69" i="7" s="1"/>
  <c r="Z62" i="7"/>
  <c r="AA62" i="7" s="1"/>
  <c r="Z60" i="7"/>
  <c r="AA60" i="7" s="1"/>
  <c r="Z58" i="7"/>
  <c r="AA58" i="7" s="1"/>
  <c r="Z57" i="7"/>
  <c r="AA57" i="7" s="1"/>
  <c r="Z56" i="7"/>
  <c r="AA56" i="7" s="1"/>
  <c r="Z55" i="7"/>
  <c r="AA55" i="7" s="1"/>
  <c r="Z54" i="7"/>
  <c r="AA54" i="7" s="1"/>
  <c r="Z53" i="7"/>
  <c r="AA53" i="7" s="1"/>
  <c r="Z52" i="7"/>
  <c r="AA52" i="7" s="1"/>
  <c r="Z50" i="7"/>
  <c r="AA50" i="7" s="1"/>
  <c r="Z49" i="7"/>
  <c r="AA49" i="7" s="1"/>
  <c r="Z48" i="7"/>
  <c r="AA48" i="7" s="1"/>
  <c r="Z47" i="7"/>
  <c r="AA47" i="7" s="1"/>
  <c r="Z45" i="7"/>
  <c r="AA45" i="7" s="1"/>
  <c r="Z44" i="7"/>
  <c r="AA44" i="7" s="1"/>
  <c r="Z43" i="7"/>
  <c r="AA43" i="7" s="1"/>
  <c r="Z42" i="7"/>
  <c r="AA42" i="7" s="1"/>
  <c r="Z41" i="7"/>
  <c r="AA41" i="7" s="1"/>
  <c r="Z40" i="7"/>
  <c r="AA40" i="7" s="1"/>
  <c r="Z38" i="7"/>
  <c r="AA38" i="7" s="1"/>
  <c r="Z37" i="7"/>
  <c r="AA37" i="7" s="1"/>
  <c r="Z20" i="7"/>
  <c r="AA20" i="7" s="1"/>
  <c r="Z19" i="7"/>
  <c r="AA19" i="7" s="1"/>
  <c r="Z18" i="7"/>
  <c r="AA18" i="7" s="1"/>
  <c r="Z17" i="7"/>
  <c r="AA17" i="7" s="1"/>
  <c r="Z15" i="7"/>
  <c r="AA15" i="7" s="1"/>
  <c r="AB116" i="6"/>
  <c r="Z51" i="6"/>
  <c r="AA51" i="6" s="1"/>
  <c r="Y21" i="6"/>
  <c r="Z21" i="6" s="1"/>
  <c r="AA21" i="6" s="1"/>
  <c r="Z13" i="6"/>
  <c r="AA13" i="6" s="1"/>
  <c r="Z12" i="6"/>
  <c r="AA12" i="6" s="1"/>
  <c r="Z11" i="6"/>
  <c r="AA11" i="6" s="1"/>
  <c r="Z10" i="6"/>
  <c r="AA10" i="6" s="1"/>
  <c r="Z111" i="5"/>
  <c r="AA111" i="5" s="1"/>
  <c r="Z109" i="5"/>
  <c r="AA109" i="5" s="1"/>
  <c r="Z108" i="5"/>
  <c r="AA108" i="5" s="1"/>
  <c r="Z107" i="5"/>
  <c r="AA107" i="5" s="1"/>
  <c r="Z58" i="5"/>
  <c r="AA58" i="5" s="1"/>
  <c r="Z56" i="5"/>
  <c r="AA56" i="5" s="1"/>
  <c r="Z37" i="5"/>
  <c r="AA37" i="5" s="1"/>
  <c r="Z36" i="5"/>
  <c r="AA36" i="5" s="1"/>
  <c r="Z24" i="5"/>
  <c r="AA24" i="5" s="1"/>
  <c r="Z22" i="5"/>
  <c r="AA22" i="5" s="1"/>
  <c r="Z21" i="5"/>
  <c r="AA21" i="5" s="1"/>
  <c r="Z20" i="5"/>
  <c r="AA20" i="5" s="1"/>
  <c r="Z37" i="4"/>
  <c r="AA37" i="4" s="1"/>
  <c r="Z32" i="4"/>
  <c r="AA32" i="4" s="1"/>
  <c r="Z65" i="4" s="1"/>
  <c r="H24" i="1" s="1"/>
  <c r="Z30" i="4"/>
  <c r="AA30" i="4" s="1"/>
  <c r="Z29" i="4"/>
  <c r="AA29" i="4" s="1"/>
  <c r="Z28" i="4"/>
  <c r="AA28" i="4" s="1"/>
  <c r="Z27" i="4"/>
  <c r="AA27" i="4" s="1"/>
  <c r="Z25" i="4"/>
  <c r="AA25" i="4" s="1"/>
  <c r="Z23" i="4"/>
  <c r="AA23" i="4" s="1"/>
  <c r="Z22" i="4"/>
  <c r="AA22" i="4" s="1"/>
  <c r="Z20" i="4"/>
  <c r="AA20" i="4" s="1"/>
  <c r="Z19" i="4"/>
  <c r="AA19" i="4" s="1"/>
  <c r="Z18" i="4"/>
  <c r="AA18" i="4" s="1"/>
  <c r="Z17" i="4"/>
  <c r="AA17" i="4" s="1"/>
  <c r="Z16" i="4"/>
  <c r="AA16" i="4" s="1"/>
  <c r="Z15" i="4"/>
  <c r="AA15" i="4" s="1"/>
  <c r="Z12" i="4"/>
  <c r="AA12" i="4" s="1"/>
  <c r="Z10" i="4"/>
  <c r="AA10" i="4" s="1"/>
  <c r="Z64" i="4" s="1"/>
  <c r="H23" i="1" s="1"/>
  <c r="Z35" i="3"/>
  <c r="AA35" i="3" s="1"/>
  <c r="Z61" i="3" s="1"/>
  <c r="Z16" i="3"/>
  <c r="AA16" i="3" s="1"/>
  <c r="Z15" i="3"/>
  <c r="AA15" i="3" s="1"/>
  <c r="Z13" i="3"/>
  <c r="Z12" i="3"/>
  <c r="Z11" i="3"/>
  <c r="Z10" i="3"/>
  <c r="AB9" i="3"/>
  <c r="Z82" i="2"/>
  <c r="AA82" i="2" s="1"/>
  <c r="Z81" i="2"/>
  <c r="AA81" i="2" s="1"/>
  <c r="Z80" i="2"/>
  <c r="AA80" i="2" s="1"/>
  <c r="Z76" i="2"/>
  <c r="AA76" i="2" s="1"/>
  <c r="Z75" i="2"/>
  <c r="AA75" i="2" s="1"/>
  <c r="Z72" i="2"/>
  <c r="AA72" i="2" s="1"/>
  <c r="Z71" i="2"/>
  <c r="AA71" i="2" s="1"/>
  <c r="Z70" i="2"/>
  <c r="AA70" i="2" s="1"/>
  <c r="Z65" i="2"/>
  <c r="AA65" i="2" s="1"/>
  <c r="Z47" i="2"/>
  <c r="AA47" i="2" s="1"/>
  <c r="AA45" i="2"/>
  <c r="Z105" i="2" s="1"/>
  <c r="H18" i="1" s="1"/>
  <c r="Z45" i="2"/>
  <c r="Z38" i="2"/>
  <c r="AA38" i="2" s="1"/>
  <c r="Z37" i="2"/>
  <c r="AA37" i="2" s="1"/>
  <c r="Z36" i="2"/>
  <c r="AA36" i="2" s="1"/>
  <c r="Z35" i="2"/>
  <c r="AA35" i="2" s="1"/>
  <c r="Y33" i="2"/>
  <c r="Z33" i="2" s="1"/>
  <c r="AA33" i="2" s="1"/>
  <c r="Z32" i="2"/>
  <c r="AA32" i="2" s="1"/>
  <c r="Z30" i="2"/>
  <c r="AA30" i="2" s="1"/>
  <c r="Y17" i="2"/>
  <c r="Z17" i="2" s="1"/>
  <c r="AA17" i="2" s="1"/>
  <c r="Z15" i="2"/>
  <c r="AA15" i="2" s="1"/>
  <c r="H202" i="1"/>
  <c r="H200" i="1"/>
  <c r="H198" i="1"/>
  <c r="H267" i="1" l="1"/>
  <c r="V863" i="23"/>
  <c r="H265" i="1"/>
  <c r="H312" i="1"/>
  <c r="Z170" i="9"/>
  <c r="H70" i="1" s="1"/>
  <c r="V685" i="24"/>
  <c r="AB178" i="26"/>
  <c r="Z430" i="26" s="1"/>
  <c r="H308" i="1" s="1"/>
  <c r="Y1290" i="25"/>
  <c r="H283" i="1" s="1"/>
  <c r="AA533" i="25"/>
  <c r="Y854" i="23"/>
  <c r="AA45" i="23"/>
  <c r="H270" i="1"/>
  <c r="Z717" i="22"/>
  <c r="H232" i="1" s="1"/>
  <c r="AB127" i="21"/>
  <c r="Z362" i="21" s="1"/>
  <c r="H216" i="1" s="1"/>
  <c r="AB276" i="21"/>
  <c r="Z366" i="21" s="1"/>
  <c r="H229" i="1" s="1"/>
  <c r="AB91" i="21"/>
  <c r="Z360" i="21" s="1"/>
  <c r="H214" i="1" s="1"/>
  <c r="W437" i="19"/>
  <c r="AB216" i="18"/>
  <c r="AB14" i="9"/>
  <c r="AB9" i="8"/>
  <c r="Z122" i="5"/>
  <c r="H32" i="1" s="1"/>
  <c r="AB133" i="26"/>
  <c r="Z432" i="26" s="1"/>
  <c r="H310" i="1" s="1"/>
  <c r="AB188" i="26"/>
  <c r="Z431" i="26" s="1"/>
  <c r="AB132" i="22"/>
  <c r="Z747" i="22"/>
  <c r="H262" i="1" s="1"/>
  <c r="AB281" i="21"/>
  <c r="Z369" i="21" s="1"/>
  <c r="H221" i="1" s="1"/>
  <c r="AB271" i="21"/>
  <c r="Z368" i="21" s="1"/>
  <c r="H220" i="1" s="1"/>
  <c r="AB67" i="21"/>
  <c r="Z353" i="21" s="1"/>
  <c r="H225" i="1" s="1"/>
  <c r="AB104" i="21"/>
  <c r="Z354" i="21" s="1"/>
  <c r="H226" i="1" s="1"/>
  <c r="AB135" i="21"/>
  <c r="Z364" i="21" s="1"/>
  <c r="H218" i="1" s="1"/>
  <c r="AB289" i="21"/>
  <c r="AB236" i="21"/>
  <c r="Z367" i="21" s="1"/>
  <c r="H219" i="1" s="1"/>
  <c r="AB299" i="21"/>
  <c r="Z371" i="21" s="1"/>
  <c r="H223" i="1" s="1"/>
  <c r="AB155" i="21"/>
  <c r="AB108" i="21"/>
  <c r="Z358" i="21" s="1"/>
  <c r="H227" i="1" s="1"/>
  <c r="AB294" i="21"/>
  <c r="AB344" i="19"/>
  <c r="Z404" i="19" s="1"/>
  <c r="H180" i="1" s="1"/>
  <c r="H187" i="1"/>
  <c r="AB19" i="19"/>
  <c r="AB323" i="19"/>
  <c r="Z410" i="19" s="1"/>
  <c r="H185" i="1" s="1"/>
  <c r="AB88" i="19"/>
  <c r="Z402" i="19" s="1"/>
  <c r="H193" i="1" s="1"/>
  <c r="Z295" i="18"/>
  <c r="H150" i="1" s="1"/>
  <c r="AB74" i="18"/>
  <c r="Z61" i="17"/>
  <c r="AB34" i="17"/>
  <c r="Y89" i="16"/>
  <c r="H130" i="1" s="1"/>
  <c r="AA46" i="16"/>
  <c r="Y93" i="16"/>
  <c r="H134" i="1" s="1"/>
  <c r="Y92" i="16"/>
  <c r="H133" i="1" s="1"/>
  <c r="AA31" i="16"/>
  <c r="Z128" i="15"/>
  <c r="H125" i="1" s="1"/>
  <c r="C357" i="1" s="1"/>
  <c r="AB9" i="15"/>
  <c r="Z138" i="14"/>
  <c r="H126" i="1" s="1"/>
  <c r="AB96" i="14"/>
  <c r="Z52" i="13"/>
  <c r="H123" i="1" s="1"/>
  <c r="AB29" i="13"/>
  <c r="AA9" i="11"/>
  <c r="Z238" i="10"/>
  <c r="H89" i="1" s="1"/>
  <c r="AA104" i="10"/>
  <c r="AB103" i="10" s="1"/>
  <c r="Z236" i="10"/>
  <c r="H87" i="1" s="1"/>
  <c r="Z228" i="10"/>
  <c r="H79" i="1" s="1"/>
  <c r="Z74" i="8"/>
  <c r="H63" i="1" s="1"/>
  <c r="AB72" i="7"/>
  <c r="AB204" i="7"/>
  <c r="Z126" i="5"/>
  <c r="H36" i="1" s="1"/>
  <c r="H29" i="1"/>
  <c r="Z123" i="5"/>
  <c r="H33" i="1" s="1"/>
  <c r="AB74" i="2"/>
  <c r="AB24" i="4"/>
  <c r="Z69" i="4"/>
  <c r="H28" i="1" s="1"/>
  <c r="Z67" i="4"/>
  <c r="H26" i="1" s="1"/>
  <c r="AB14" i="4"/>
  <c r="W74" i="3"/>
  <c r="H20" i="1"/>
  <c r="AB44" i="2"/>
  <c r="Z102" i="2"/>
  <c r="H15" i="1" s="1"/>
  <c r="Y664" i="24"/>
  <c r="H275" i="1" s="1"/>
  <c r="AA48" i="24"/>
  <c r="AB14" i="2"/>
  <c r="Z100" i="2"/>
  <c r="H13" i="1" s="1"/>
  <c r="Z96" i="2"/>
  <c r="H9" i="1" s="1"/>
  <c r="AB29" i="2"/>
  <c r="Z95" i="2"/>
  <c r="AB64" i="2"/>
  <c r="AB26" i="4"/>
  <c r="Z125" i="5"/>
  <c r="H35" i="1" s="1"/>
  <c r="Z125" i="6"/>
  <c r="Z237" i="7"/>
  <c r="H52" i="1" s="1"/>
  <c r="AB213" i="7"/>
  <c r="Z103" i="2"/>
  <c r="H16" i="1" s="1"/>
  <c r="AB31" i="2"/>
  <c r="AB69" i="2"/>
  <c r="Z101" i="2"/>
  <c r="H14" i="1" s="1"/>
  <c r="Z99" i="2"/>
  <c r="H12" i="1" s="1"/>
  <c r="AB79" i="2"/>
  <c r="Z66" i="4"/>
  <c r="H25" i="1" s="1"/>
  <c r="AB36" i="4"/>
  <c r="AB110" i="5"/>
  <c r="Z121" i="5"/>
  <c r="H31" i="1" s="1"/>
  <c r="Z123" i="6"/>
  <c r="AB20" i="6"/>
  <c r="AB50" i="6"/>
  <c r="Z124" i="6"/>
  <c r="Z236" i="7"/>
  <c r="AB16" i="7"/>
  <c r="Z235" i="7"/>
  <c r="AB51" i="7"/>
  <c r="Z239" i="7"/>
  <c r="H54" i="1" s="1"/>
  <c r="AB84" i="7"/>
  <c r="Z228" i="7"/>
  <c r="H43" i="1" s="1"/>
  <c r="AB140" i="7"/>
  <c r="AB150" i="7" s="1"/>
  <c r="Z97" i="2"/>
  <c r="H10" i="1" s="1"/>
  <c r="AB16" i="2"/>
  <c r="Z98" i="2"/>
  <c r="AB46" i="2"/>
  <c r="AB14" i="3"/>
  <c r="AB54" i="3" s="1"/>
  <c r="Z60" i="3"/>
  <c r="Z62" i="4"/>
  <c r="AB11" i="4"/>
  <c r="Z120" i="5"/>
  <c r="H30" i="1" s="1"/>
  <c r="AB57" i="5"/>
  <c r="AB14" i="7"/>
  <c r="Z227" i="7"/>
  <c r="H42" i="1" s="1"/>
  <c r="Z225" i="7"/>
  <c r="AB61" i="7"/>
  <c r="Z231" i="7"/>
  <c r="H46" i="1" s="1"/>
  <c r="Z232" i="7"/>
  <c r="AB188" i="7"/>
  <c r="AB34" i="2"/>
  <c r="Z104" i="2"/>
  <c r="H17" i="1" s="1"/>
  <c r="Z63" i="4"/>
  <c r="AB21" i="4"/>
  <c r="AB23" i="5"/>
  <c r="Z124" i="5"/>
  <c r="H34" i="1" s="1"/>
  <c r="AB55" i="5"/>
  <c r="AB39" i="7"/>
  <c r="Z242" i="7"/>
  <c r="H57" i="1" s="1"/>
  <c r="AB46" i="7"/>
  <c r="Z241" i="7"/>
  <c r="H56" i="1" s="1"/>
  <c r="AB59" i="7"/>
  <c r="AB34" i="3"/>
  <c r="AB9" i="4"/>
  <c r="AB31" i="4"/>
  <c r="Z68" i="4"/>
  <c r="H27" i="1" s="1"/>
  <c r="AB19" i="5"/>
  <c r="AB35" i="5"/>
  <c r="AB106" i="5"/>
  <c r="AB9" i="6"/>
  <c r="AB181" i="7"/>
  <c r="Z78" i="8"/>
  <c r="H67" i="1" s="1"/>
  <c r="AB21" i="8"/>
  <c r="Z71" i="8"/>
  <c r="H60" i="1" s="1"/>
  <c r="AB26" i="8"/>
  <c r="Z178" i="9"/>
  <c r="H78" i="1" s="1"/>
  <c r="AB44" i="9"/>
  <c r="Z174" i="9"/>
  <c r="H74" i="1" s="1"/>
  <c r="AB131" i="9"/>
  <c r="AB66" i="10"/>
  <c r="AB203" i="10"/>
  <c r="AA38" i="11"/>
  <c r="AB49" i="12"/>
  <c r="Z251" i="12"/>
  <c r="H101" i="1" s="1"/>
  <c r="Z261" i="12"/>
  <c r="H113" i="1" s="1"/>
  <c r="AB96" i="12"/>
  <c r="AB178" i="12"/>
  <c r="Z264" i="12"/>
  <c r="H116" i="1" s="1"/>
  <c r="Z250" i="12"/>
  <c r="Z254" i="12"/>
  <c r="H104" i="1" s="1"/>
  <c r="AB213" i="12"/>
  <c r="Z53" i="13"/>
  <c r="H124" i="1" s="1"/>
  <c r="AB9" i="13"/>
  <c r="AB39" i="14"/>
  <c r="AB80" i="14" s="1"/>
  <c r="Z139" i="14"/>
  <c r="H127" i="1" s="1"/>
  <c r="AB98" i="14"/>
  <c r="AB131" i="14" s="1"/>
  <c r="Z140" i="14"/>
  <c r="H128" i="1" s="1"/>
  <c r="AB14" i="15"/>
  <c r="AB74" i="15" s="1"/>
  <c r="AA51" i="16"/>
  <c r="Y90" i="16"/>
  <c r="H131" i="1" s="1"/>
  <c r="AB31" i="19"/>
  <c r="Z412" i="19" s="1"/>
  <c r="Z422" i="19"/>
  <c r="H174" i="1" s="1"/>
  <c r="Z423" i="19"/>
  <c r="H175" i="1" s="1"/>
  <c r="Z226" i="7"/>
  <c r="H41" i="1" s="1"/>
  <c r="Z234" i="7"/>
  <c r="Z229" i="7"/>
  <c r="H44" i="1" s="1"/>
  <c r="Z240" i="7"/>
  <c r="H55" i="1" s="1"/>
  <c r="AB64" i="9"/>
  <c r="Z173" i="9"/>
  <c r="H73" i="1" s="1"/>
  <c r="AB115" i="9"/>
  <c r="Z177" i="9"/>
  <c r="AB134" i="9"/>
  <c r="AB26" i="10"/>
  <c r="Z233" i="10"/>
  <c r="H84" i="1" s="1"/>
  <c r="Y58" i="11"/>
  <c r="H98" i="1" s="1"/>
  <c r="AA14" i="11"/>
  <c r="Z259" i="12"/>
  <c r="AB39" i="12"/>
  <c r="AB43" i="12"/>
  <c r="Z265" i="12"/>
  <c r="H117" i="1" s="1"/>
  <c r="Z256" i="12"/>
  <c r="H106" i="1" s="1"/>
  <c r="AB58" i="12"/>
  <c r="Z258" i="12"/>
  <c r="H108" i="1" s="1"/>
  <c r="AB88" i="12"/>
  <c r="AB91" i="12"/>
  <c r="Z260" i="12"/>
  <c r="AB98" i="12"/>
  <c r="Z267" i="12"/>
  <c r="H119" i="1" s="1"/>
  <c r="AB39" i="13"/>
  <c r="Z51" i="13"/>
  <c r="H122" i="1" s="1"/>
  <c r="AB36" i="17"/>
  <c r="AB54" i="17" s="1"/>
  <c r="Z60" i="17"/>
  <c r="Z416" i="19"/>
  <c r="H168" i="1" s="1"/>
  <c r="Z415" i="19"/>
  <c r="H167" i="1" s="1"/>
  <c r="Z238" i="7"/>
  <c r="H53" i="1" s="1"/>
  <c r="Z233" i="7"/>
  <c r="H48" i="1" s="1"/>
  <c r="Z230" i="7"/>
  <c r="H45" i="1" s="1"/>
  <c r="W184" i="9"/>
  <c r="Z232" i="10"/>
  <c r="AB39" i="10"/>
  <c r="AB69" i="10"/>
  <c r="Z235" i="10"/>
  <c r="H86" i="1" s="1"/>
  <c r="Z241" i="10"/>
  <c r="H92" i="1" s="1"/>
  <c r="Y55" i="11"/>
  <c r="AB47" i="12"/>
  <c r="Z255" i="12"/>
  <c r="H105" i="1" s="1"/>
  <c r="AB51" i="12"/>
  <c r="AB139" i="12"/>
  <c r="Z263" i="12"/>
  <c r="H115" i="1" s="1"/>
  <c r="Z253" i="12"/>
  <c r="H103" i="1" s="1"/>
  <c r="AB198" i="12"/>
  <c r="AB75" i="15"/>
  <c r="AB121" i="15" s="1"/>
  <c r="Y91" i="16"/>
  <c r="H132" i="1" s="1"/>
  <c r="AA14" i="16"/>
  <c r="Y94" i="16"/>
  <c r="H135" i="1" s="1"/>
  <c r="AA36" i="16"/>
  <c r="V111" i="16"/>
  <c r="V101" i="16"/>
  <c r="Z287" i="18"/>
  <c r="H142" i="1" s="1"/>
  <c r="AB161" i="18"/>
  <c r="AB171" i="18"/>
  <c r="AB178" i="18"/>
  <c r="Z289" i="18"/>
  <c r="H144" i="1" s="1"/>
  <c r="AB180" i="18"/>
  <c r="AB34" i="19"/>
  <c r="Z414" i="19" s="1"/>
  <c r="H194" i="1" s="1"/>
  <c r="Z418" i="19"/>
  <c r="H170" i="1" s="1"/>
  <c r="Z417" i="19"/>
  <c r="H169" i="1" s="1"/>
  <c r="AB36" i="7"/>
  <c r="AB68" i="7"/>
  <c r="AB161" i="7"/>
  <c r="AB215" i="7"/>
  <c r="Z75" i="8"/>
  <c r="H64" i="1" s="1"/>
  <c r="AB14" i="8"/>
  <c r="Z69" i="8"/>
  <c r="AB28" i="8"/>
  <c r="Z72" i="8"/>
  <c r="H61" i="1" s="1"/>
  <c r="AB47" i="8"/>
  <c r="W191" i="9"/>
  <c r="AB29" i="10"/>
  <c r="Z231" i="10"/>
  <c r="H82" i="1" s="1"/>
  <c r="Y54" i="11"/>
  <c r="H94" i="1" s="1"/>
  <c r="AA27" i="11"/>
  <c r="AA32" i="11"/>
  <c r="Y53" i="11"/>
  <c r="Z266" i="12"/>
  <c r="H118" i="1" s="1"/>
  <c r="AB93" i="12"/>
  <c r="Z257" i="12"/>
  <c r="H107" i="1" s="1"/>
  <c r="AB147" i="12"/>
  <c r="W140" i="15"/>
  <c r="W147" i="15" s="1"/>
  <c r="W135" i="15"/>
  <c r="W137" i="15" s="1"/>
  <c r="Z129" i="15"/>
  <c r="Y88" i="16"/>
  <c r="AA61" i="16"/>
  <c r="Z294" i="18"/>
  <c r="H149" i="1" s="1"/>
  <c r="AB64" i="18"/>
  <c r="Z283" i="18"/>
  <c r="AB76" i="18"/>
  <c r="Z292" i="18"/>
  <c r="AB168" i="18"/>
  <c r="Z284" i="18"/>
  <c r="H139" i="1" s="1"/>
  <c r="AB175" i="18"/>
  <c r="Z288" i="18"/>
  <c r="H143" i="1" s="1"/>
  <c r="AB214" i="18"/>
  <c r="Z420" i="19"/>
  <c r="H172" i="1" s="1"/>
  <c r="Z419" i="19"/>
  <c r="H171" i="1" s="1"/>
  <c r="Z76" i="8"/>
  <c r="Z171" i="9"/>
  <c r="H71" i="1" s="1"/>
  <c r="Z175" i="9"/>
  <c r="H75" i="1" s="1"/>
  <c r="Z230" i="10"/>
  <c r="H81" i="1" s="1"/>
  <c r="Z234" i="10"/>
  <c r="H85" i="1" s="1"/>
  <c r="Y59" i="11"/>
  <c r="H99" i="1" s="1"/>
  <c r="AB19" i="13"/>
  <c r="AB173" i="18"/>
  <c r="AB183" i="18"/>
  <c r="Z285" i="18"/>
  <c r="Z293" i="18"/>
  <c r="H148" i="1" s="1"/>
  <c r="AB247" i="19"/>
  <c r="AB79" i="21"/>
  <c r="Z357" i="21" s="1"/>
  <c r="H212" i="1" s="1"/>
  <c r="AB131" i="21"/>
  <c r="Z363" i="21" s="1"/>
  <c r="H217" i="1" s="1"/>
  <c r="AB176" i="21"/>
  <c r="AB30" i="8"/>
  <c r="AB42" i="8"/>
  <c r="AB49" i="8"/>
  <c r="Z77" i="8"/>
  <c r="H66" i="1" s="1"/>
  <c r="AB29" i="9"/>
  <c r="Z168" i="9"/>
  <c r="Z172" i="9"/>
  <c r="H72" i="1" s="1"/>
  <c r="AB24" i="10"/>
  <c r="AB64" i="10"/>
  <c r="AB87" i="10"/>
  <c r="AB108" i="10"/>
  <c r="AA22" i="11"/>
  <c r="AA43" i="11"/>
  <c r="Z252" i="12"/>
  <c r="H102" i="1" s="1"/>
  <c r="Z268" i="12"/>
  <c r="H120" i="1" s="1"/>
  <c r="Z286" i="18"/>
  <c r="Z287" i="20"/>
  <c r="W299" i="20" s="1"/>
  <c r="AB14" i="21"/>
  <c r="AB43" i="21"/>
  <c r="Z350" i="21" s="1"/>
  <c r="H207" i="1" s="1"/>
  <c r="AB58" i="21"/>
  <c r="Z352" i="21" s="1"/>
  <c r="AB87" i="21"/>
  <c r="Z359" i="21" s="1"/>
  <c r="H213" i="1" s="1"/>
  <c r="AB34" i="9"/>
  <c r="AB129" i="9"/>
  <c r="AB74" i="10"/>
  <c r="AB148" i="10"/>
  <c r="AB201" i="10"/>
  <c r="AB137" i="12"/>
  <c r="Z425" i="19"/>
  <c r="H177" i="1" s="1"/>
  <c r="Z424" i="19"/>
  <c r="H176" i="1" s="1"/>
  <c r="AB150" i="19"/>
  <c r="Z406" i="19"/>
  <c r="H181" i="1" s="1"/>
  <c r="AB241" i="19"/>
  <c r="AB34" i="20"/>
  <c r="Z290" i="20"/>
  <c r="AB200" i="12"/>
  <c r="Z426" i="19"/>
  <c r="H178" i="1" s="1"/>
  <c r="Z427" i="19"/>
  <c r="H179" i="1" s="1"/>
  <c r="W445" i="19"/>
  <c r="AB293" i="19"/>
  <c r="AB246" i="20"/>
  <c r="Z293" i="20" s="1"/>
  <c r="AB51" i="21"/>
  <c r="Z351" i="21" s="1"/>
  <c r="H208" i="1" s="1"/>
  <c r="AB99" i="21"/>
  <c r="Z721" i="22"/>
  <c r="H236" i="1" s="1"/>
  <c r="AB25" i="22"/>
  <c r="Z742" i="22"/>
  <c r="H257" i="1" s="1"/>
  <c r="AB43" i="22"/>
  <c r="Z743" i="22"/>
  <c r="H258" i="1" s="1"/>
  <c r="AB63" i="22"/>
  <c r="Z722" i="22"/>
  <c r="H237" i="1" s="1"/>
  <c r="AB73" i="22"/>
  <c r="AB136" i="22"/>
  <c r="Z720" i="22"/>
  <c r="H235" i="1" s="1"/>
  <c r="AB209" i="22"/>
  <c r="Z745" i="22"/>
  <c r="H260" i="1" s="1"/>
  <c r="AB227" i="22"/>
  <c r="Z728" i="22"/>
  <c r="H243" i="1" s="1"/>
  <c r="AB238" i="22"/>
  <c r="Z729" i="22"/>
  <c r="H244" i="1" s="1"/>
  <c r="Z730" i="22"/>
  <c r="H245" i="1" s="1"/>
  <c r="AB245" i="22"/>
  <c r="Y663" i="24"/>
  <c r="H274" i="1" s="1"/>
  <c r="AA32" i="24"/>
  <c r="Y1288" i="25"/>
  <c r="H281" i="1" s="1"/>
  <c r="AA106" i="25"/>
  <c r="Z715" i="22"/>
  <c r="AB66" i="22"/>
  <c r="Z734" i="22"/>
  <c r="H249" i="1" s="1"/>
  <c r="AB117" i="22"/>
  <c r="Z726" i="22"/>
  <c r="H241" i="1" s="1"/>
  <c r="AB139" i="22"/>
  <c r="AB241" i="22"/>
  <c r="Z724" i="22"/>
  <c r="H239" i="1" s="1"/>
  <c r="Z746" i="22"/>
  <c r="H261" i="1" s="1"/>
  <c r="AB248" i="22"/>
  <c r="Z725" i="22"/>
  <c r="H240" i="1" s="1"/>
  <c r="Z739" i="22"/>
  <c r="H254" i="1" s="1"/>
  <c r="Y1289" i="25"/>
  <c r="H282" i="1" s="1"/>
  <c r="AA40" i="25"/>
  <c r="Y1297" i="25"/>
  <c r="H290" i="1" s="1"/>
  <c r="AA81" i="25"/>
  <c r="Y1295" i="25"/>
  <c r="H288" i="1" s="1"/>
  <c r="AA87" i="25"/>
  <c r="Z732" i="22"/>
  <c r="H247" i="1" s="1"/>
  <c r="AB14" i="22"/>
  <c r="Z718" i="22"/>
  <c r="AB59" i="22"/>
  <c r="Z735" i="22"/>
  <c r="H250" i="1" s="1"/>
  <c r="AB178" i="22"/>
  <c r="Z723" i="22"/>
  <c r="H238" i="1" s="1"/>
  <c r="AB199" i="22"/>
  <c r="Z737" i="22"/>
  <c r="H252" i="1" s="1"/>
  <c r="Y852" i="23"/>
  <c r="H266" i="1" s="1"/>
  <c r="AA29" i="23"/>
  <c r="V868" i="23"/>
  <c r="V875" i="23" s="1"/>
  <c r="Y1299" i="25"/>
  <c r="H292" i="1" s="1"/>
  <c r="AA102" i="25"/>
  <c r="AB22" i="22"/>
  <c r="Z733" i="22"/>
  <c r="H248" i="1" s="1"/>
  <c r="Z731" i="22"/>
  <c r="H246" i="1" s="1"/>
  <c r="AB267" i="22"/>
  <c r="AB277" i="22"/>
  <c r="Z740" i="22"/>
  <c r="H255" i="1" s="1"/>
  <c r="AB303" i="22"/>
  <c r="AB363" i="22" s="1"/>
  <c r="Z741" i="22"/>
  <c r="H256" i="1" s="1"/>
  <c r="AB399" i="22"/>
  <c r="AB404" i="22" s="1"/>
  <c r="Z749" i="22"/>
  <c r="AA29" i="24"/>
  <c r="Y661" i="24"/>
  <c r="H272" i="1" s="1"/>
  <c r="Y660" i="24"/>
  <c r="AA38" i="24"/>
  <c r="Y666" i="24"/>
  <c r="H277" i="1" s="1"/>
  <c r="AA45" i="24"/>
  <c r="Y1292" i="25"/>
  <c r="H285" i="1" s="1"/>
  <c r="AA14" i="25"/>
  <c r="Y1293" i="25"/>
  <c r="H286" i="1" s="1"/>
  <c r="AA56" i="25"/>
  <c r="Y1285" i="25"/>
  <c r="AA97" i="25"/>
  <c r="Y1287" i="25"/>
  <c r="H280" i="1" s="1"/>
  <c r="AA104" i="25"/>
  <c r="AB152" i="22"/>
  <c r="AB206" i="22"/>
  <c r="AB219" i="22"/>
  <c r="AB230" i="22"/>
  <c r="AB253" i="22"/>
  <c r="AB257" i="22"/>
  <c r="AB263" i="22"/>
  <c r="Z716" i="22"/>
  <c r="H231" i="1" s="1"/>
  <c r="Z736" i="22"/>
  <c r="H251" i="1" s="1"/>
  <c r="Z744" i="22"/>
  <c r="H259" i="1" s="1"/>
  <c r="AA35" i="23"/>
  <c r="AA42" i="23"/>
  <c r="Y1300" i="25"/>
  <c r="H293" i="1" s="1"/>
  <c r="AA115" i="25"/>
  <c r="Y1308" i="25"/>
  <c r="H301" i="1" s="1"/>
  <c r="AA523" i="25"/>
  <c r="Y1304" i="25"/>
  <c r="H297" i="1" s="1"/>
  <c r="AA536" i="25"/>
  <c r="AA32" i="23"/>
  <c r="AA39" i="23"/>
  <c r="AA35" i="24"/>
  <c r="AA42" i="24"/>
  <c r="Y1305" i="25"/>
  <c r="H298" i="1" s="1"/>
  <c r="AA117" i="25"/>
  <c r="Y1301" i="25"/>
  <c r="H294" i="1" s="1"/>
  <c r="AA122" i="25"/>
  <c r="Y1302" i="25"/>
  <c r="H295" i="1" s="1"/>
  <c r="AA446" i="25"/>
  <c r="AA609" i="25"/>
  <c r="AA664" i="25" s="1"/>
  <c r="Y1309" i="25"/>
  <c r="H302" i="1" s="1"/>
  <c r="Z738" i="22"/>
  <c r="H253" i="1" s="1"/>
  <c r="Y1286" i="25"/>
  <c r="H279" i="1" s="1"/>
  <c r="AA124" i="25"/>
  <c r="AB19" i="22"/>
  <c r="AA27" i="25"/>
  <c r="AA100" i="25"/>
  <c r="AA108" i="25"/>
  <c r="AA113" i="25"/>
  <c r="Y1306" i="25"/>
  <c r="H299" i="1" s="1"/>
  <c r="Y1303" i="25"/>
  <c r="H296" i="1" s="1"/>
  <c r="AA449" i="25"/>
  <c r="Y1291" i="25"/>
  <c r="H284" i="1" s="1"/>
  <c r="AA527" i="25"/>
  <c r="Y1296" i="25"/>
  <c r="H289" i="1" s="1"/>
  <c r="AA741" i="25"/>
  <c r="AA822" i="25" s="1"/>
  <c r="Z425" i="26"/>
  <c r="AB183" i="26"/>
  <c r="Z433" i="26" s="1"/>
  <c r="H311" i="1" s="1"/>
  <c r="Y1307" i="25"/>
  <c r="H300" i="1" s="1"/>
  <c r="Z427" i="26"/>
  <c r="H305" i="1" s="1"/>
  <c r="AB87" i="26"/>
  <c r="H264" i="1" l="1"/>
  <c r="W756" i="22"/>
  <c r="W766" i="22"/>
  <c r="H233" i="1"/>
  <c r="W754" i="22"/>
  <c r="W758" i="22" s="1"/>
  <c r="W761" i="22"/>
  <c r="W768" i="22" s="1"/>
  <c r="V861" i="23"/>
  <c r="H268" i="1"/>
  <c r="V862" i="23"/>
  <c r="H201" i="1"/>
  <c r="W311" i="20"/>
  <c r="H199" i="1"/>
  <c r="W306" i="20"/>
  <c r="W313" i="20" s="1"/>
  <c r="W301" i="20"/>
  <c r="W303" i="20" s="1"/>
  <c r="H309" i="1"/>
  <c r="W443" i="26"/>
  <c r="W442" i="26"/>
  <c r="W444" i="26" s="1"/>
  <c r="W452" i="26"/>
  <c r="W447" i="26"/>
  <c r="Z430" i="19"/>
  <c r="H195" i="1" s="1"/>
  <c r="AB276" i="18"/>
  <c r="W258" i="10"/>
  <c r="W248" i="10"/>
  <c r="Z239" i="10"/>
  <c r="W246" i="10" s="1"/>
  <c r="AA502" i="25"/>
  <c r="W385" i="21"/>
  <c r="Z361" i="21"/>
  <c r="H215" i="1" s="1"/>
  <c r="Z370" i="21"/>
  <c r="H222" i="1" s="1"/>
  <c r="AB243" i="20"/>
  <c r="W448" i="19"/>
  <c r="W70" i="13"/>
  <c r="W185" i="9"/>
  <c r="AB70" i="6"/>
  <c r="AB117" i="6" s="1"/>
  <c r="AB253" i="26"/>
  <c r="AB419" i="26" s="1"/>
  <c r="AB270" i="21"/>
  <c r="AB175" i="21"/>
  <c r="AB338" i="21"/>
  <c r="AB144" i="20"/>
  <c r="AB205" i="20"/>
  <c r="AB123" i="19"/>
  <c r="AB89" i="18"/>
  <c r="AB208" i="18"/>
  <c r="W78" i="17"/>
  <c r="H137" i="1"/>
  <c r="AA82" i="16"/>
  <c r="W145" i="14"/>
  <c r="W149" i="14" s="1"/>
  <c r="W60" i="13"/>
  <c r="W62" i="13" s="1"/>
  <c r="AB177" i="12"/>
  <c r="AA47" i="11"/>
  <c r="AB92" i="10"/>
  <c r="AB89" i="9"/>
  <c r="AB63" i="8"/>
  <c r="AB112" i="5"/>
  <c r="AB60" i="5"/>
  <c r="C348" i="1"/>
  <c r="AB56" i="4"/>
  <c r="Z436" i="26"/>
  <c r="H303" i="1"/>
  <c r="W301" i="18"/>
  <c r="H141" i="1"/>
  <c r="AB221" i="21"/>
  <c r="AB158" i="10"/>
  <c r="W280" i="12"/>
  <c r="W274" i="12"/>
  <c r="Z269" i="12"/>
  <c r="H100" i="1"/>
  <c r="AB104" i="7"/>
  <c r="W81" i="4"/>
  <c r="Z70" i="4"/>
  <c r="W75" i="4"/>
  <c r="H21" i="1"/>
  <c r="W110" i="2"/>
  <c r="H11" i="1"/>
  <c r="W132" i="6"/>
  <c r="H38" i="1"/>
  <c r="W143" i="5"/>
  <c r="AA83" i="24"/>
  <c r="AA654" i="24" s="1"/>
  <c r="AA79" i="23"/>
  <c r="AA845" i="23" s="1"/>
  <c r="Z750" i="22"/>
  <c r="H230" i="1"/>
  <c r="C365" i="1" s="1"/>
  <c r="W302" i="18"/>
  <c r="H140" i="1"/>
  <c r="W152" i="14"/>
  <c r="W159" i="14" s="1"/>
  <c r="W65" i="13"/>
  <c r="W72" i="13" s="1"/>
  <c r="W90" i="8"/>
  <c r="Z79" i="8"/>
  <c r="W83" i="8"/>
  <c r="H58" i="1"/>
  <c r="AB218" i="7"/>
  <c r="C356" i="1"/>
  <c r="W285" i="12"/>
  <c r="W275" i="12"/>
  <c r="H112" i="1"/>
  <c r="AB95" i="12"/>
  <c r="W195" i="9"/>
  <c r="H77" i="1"/>
  <c r="C327" i="1"/>
  <c r="W68" i="3"/>
  <c r="W70" i="3" s="1"/>
  <c r="Z62" i="3"/>
  <c r="W73" i="3"/>
  <c r="W80" i="3" s="1"/>
  <c r="H19" i="1"/>
  <c r="W256" i="7"/>
  <c r="H50" i="1"/>
  <c r="W138" i="5"/>
  <c r="W117" i="2"/>
  <c r="W112" i="2"/>
  <c r="Z106" i="2"/>
  <c r="H8" i="1"/>
  <c r="AB89" i="2"/>
  <c r="AA588" i="25"/>
  <c r="Z409" i="19"/>
  <c r="AB380" i="19"/>
  <c r="Z345" i="21"/>
  <c r="Z296" i="18"/>
  <c r="W300" i="18"/>
  <c r="W307" i="18"/>
  <c r="H138" i="1"/>
  <c r="V106" i="16"/>
  <c r="V113" i="16" s="1"/>
  <c r="Y95" i="16"/>
  <c r="V100" i="16"/>
  <c r="V103" i="16" s="1"/>
  <c r="H129" i="1"/>
  <c r="C359" i="1" s="1"/>
  <c r="AB44" i="13"/>
  <c r="Z58" i="13" s="1"/>
  <c r="W76" i="4"/>
  <c r="H22" i="1"/>
  <c r="AA166" i="25"/>
  <c r="AB116" i="22"/>
  <c r="AB302" i="22"/>
  <c r="W378" i="21"/>
  <c r="Z408" i="19"/>
  <c r="AB185" i="19"/>
  <c r="H209" i="1"/>
  <c r="Z295" i="20"/>
  <c r="H196" i="1"/>
  <c r="W183" i="9"/>
  <c r="W190" i="9"/>
  <c r="Z179" i="9"/>
  <c r="H68" i="1"/>
  <c r="W95" i="8"/>
  <c r="H65" i="1"/>
  <c r="W312" i="18"/>
  <c r="H147" i="1"/>
  <c r="Z141" i="14"/>
  <c r="V64" i="11"/>
  <c r="V71" i="11"/>
  <c r="Y60" i="11"/>
  <c r="H93" i="1"/>
  <c r="Z242" i="10"/>
  <c r="V76" i="11"/>
  <c r="V66" i="11"/>
  <c r="H95" i="1"/>
  <c r="W68" i="17"/>
  <c r="W70" i="17" s="1"/>
  <c r="Z66" i="17" s="1"/>
  <c r="Z62" i="17"/>
  <c r="Z65" i="17" s="1"/>
  <c r="W73" i="17"/>
  <c r="H136" i="1"/>
  <c r="AB122" i="15"/>
  <c r="Z135" i="15" s="1"/>
  <c r="AB161" i="9"/>
  <c r="W444" i="19"/>
  <c r="H190" i="1"/>
  <c r="AB243" i="12"/>
  <c r="W249" i="7"/>
  <c r="W254" i="7"/>
  <c r="Z243" i="7"/>
  <c r="H40" i="1"/>
  <c r="W86" i="4"/>
  <c r="Z127" i="5"/>
  <c r="W122" i="2"/>
  <c r="C323" i="1"/>
  <c r="AB280" i="20"/>
  <c r="Y1310" i="25"/>
  <c r="H278" i="1"/>
  <c r="Y667" i="24"/>
  <c r="H271" i="1"/>
  <c r="C367" i="1" s="1"/>
  <c r="Y857" i="23"/>
  <c r="AB85" i="20"/>
  <c r="AB144" i="21"/>
  <c r="AB221" i="10"/>
  <c r="Z365" i="21"/>
  <c r="W442" i="19"/>
  <c r="Z411" i="19"/>
  <c r="H186" i="1" s="1"/>
  <c r="AB287" i="19"/>
  <c r="Z54" i="13"/>
  <c r="W253" i="10"/>
  <c r="W255" i="10"/>
  <c r="H90" i="1"/>
  <c r="W85" i="8"/>
  <c r="W247" i="10"/>
  <c r="H83" i="1"/>
  <c r="W255" i="7"/>
  <c r="W247" i="7"/>
  <c r="H49" i="1"/>
  <c r="AB132" i="14"/>
  <c r="AB136" i="12"/>
  <c r="W248" i="7"/>
  <c r="H47" i="1"/>
  <c r="C358" i="1"/>
  <c r="W259" i="7"/>
  <c r="H51" i="1"/>
  <c r="W137" i="6"/>
  <c r="Z126" i="6"/>
  <c r="W130" i="6"/>
  <c r="H37" i="1"/>
  <c r="W142" i="6"/>
  <c r="H39" i="1"/>
  <c r="W133" i="5"/>
  <c r="W135" i="5" s="1"/>
  <c r="W113" i="2"/>
  <c r="V865" i="23" l="1"/>
  <c r="C366" i="1"/>
  <c r="W377" i="21"/>
  <c r="C363" i="1"/>
  <c r="AB281" i="20"/>
  <c r="Z301" i="20" s="1"/>
  <c r="C369" i="1"/>
  <c r="W454" i="26"/>
  <c r="AB277" i="18"/>
  <c r="Z299" i="18" s="1"/>
  <c r="Y63" i="11"/>
  <c r="C353" i="1"/>
  <c r="AB222" i="10"/>
  <c r="Z245" i="10" s="1"/>
  <c r="W250" i="10"/>
  <c r="W187" i="9"/>
  <c r="AA1279" i="25"/>
  <c r="Y860" i="23"/>
  <c r="AB381" i="19"/>
  <c r="W304" i="18"/>
  <c r="C360" i="1"/>
  <c r="Z68" i="17" s="1"/>
  <c r="W80" i="17"/>
  <c r="Z67" i="17" s="1"/>
  <c r="Y99" i="16"/>
  <c r="Y98" i="16"/>
  <c r="Y100" i="16"/>
  <c r="Z145" i="14"/>
  <c r="AB162" i="9"/>
  <c r="Z182" i="9" s="1"/>
  <c r="W197" i="9"/>
  <c r="AB113" i="5"/>
  <c r="W443" i="19"/>
  <c r="W450" i="19" s="1"/>
  <c r="Z134" i="15"/>
  <c r="Z57" i="13"/>
  <c r="W287" i="12"/>
  <c r="V68" i="11"/>
  <c r="Y64" i="11" s="1"/>
  <c r="V78" i="11"/>
  <c r="Y65" i="11" s="1"/>
  <c r="W260" i="10"/>
  <c r="Z82" i="8"/>
  <c r="W134" i="6"/>
  <c r="W145" i="5"/>
  <c r="Y670" i="24"/>
  <c r="C352" i="1"/>
  <c r="Z432" i="19"/>
  <c r="C345" i="1"/>
  <c r="Z60" i="13"/>
  <c r="Z132" i="15"/>
  <c r="C340" i="1"/>
  <c r="C320" i="1"/>
  <c r="C355" i="1"/>
  <c r="C339" i="1"/>
  <c r="C329" i="1"/>
  <c r="C350" i="1"/>
  <c r="C349" i="1"/>
  <c r="Z147" i="14"/>
  <c r="W251" i="7"/>
  <c r="W389" i="21"/>
  <c r="H228" i="1"/>
  <c r="W379" i="21"/>
  <c r="W381" i="21" s="1"/>
  <c r="C354" i="1"/>
  <c r="Z144" i="14"/>
  <c r="AB709" i="22"/>
  <c r="Z753" i="22" s="1"/>
  <c r="H184" i="1"/>
  <c r="W438" i="19"/>
  <c r="C330" i="1"/>
  <c r="W97" i="8"/>
  <c r="Z84" i="8" s="1"/>
  <c r="W114" i="2"/>
  <c r="W88" i="4"/>
  <c r="AB339" i="21"/>
  <c r="W144" i="6"/>
  <c r="C368" i="1"/>
  <c r="W261" i="7"/>
  <c r="Z133" i="15"/>
  <c r="H183" i="1"/>
  <c r="W436" i="19"/>
  <c r="Y101" i="16"/>
  <c r="C361" i="1"/>
  <c r="Z372" i="21"/>
  <c r="W384" i="21"/>
  <c r="H203" i="1"/>
  <c r="AB244" i="12"/>
  <c r="Z272" i="12" s="1"/>
  <c r="C351" i="1"/>
  <c r="Z59" i="13"/>
  <c r="C347" i="1"/>
  <c r="C341" i="1"/>
  <c r="C321" i="1"/>
  <c r="AB219" i="7"/>
  <c r="W277" i="12"/>
  <c r="W314" i="18"/>
  <c r="W124" i="2"/>
  <c r="C346" i="1"/>
  <c r="W87" i="8"/>
  <c r="Z83" i="8" s="1"/>
  <c r="Z146" i="14"/>
  <c r="W78" i="4"/>
  <c r="Z756" i="22" l="1"/>
  <c r="Z754" i="22"/>
  <c r="Z755" i="22"/>
  <c r="C333" i="1"/>
  <c r="Z298" i="20"/>
  <c r="Z437" i="19"/>
  <c r="Z435" i="19"/>
  <c r="Z301" i="18"/>
  <c r="Z300" i="18"/>
  <c r="Z273" i="12"/>
  <c r="Z246" i="10"/>
  <c r="Z248" i="10"/>
  <c r="Z247" i="10"/>
  <c r="Z184" i="9"/>
  <c r="Z183" i="9"/>
  <c r="Z377" i="21"/>
  <c r="Z376" i="21"/>
  <c r="W440" i="19"/>
  <c r="Z436" i="19" s="1"/>
  <c r="C322" i="1"/>
  <c r="C324" i="1" s="1"/>
  <c r="D323" i="1" s="1"/>
  <c r="Z274" i="12"/>
  <c r="W391" i="21"/>
  <c r="Z378" i="21" s="1"/>
  <c r="Z275" i="12"/>
  <c r="Z85" i="8"/>
  <c r="Y66" i="11"/>
  <c r="C328" i="1"/>
  <c r="C338" i="1"/>
  <c r="Z185" i="9"/>
  <c r="Z302" i="18"/>
  <c r="C364" i="1"/>
  <c r="C362" i="1"/>
  <c r="H313" i="1"/>
  <c r="D321" i="1" l="1"/>
  <c r="D339" i="1"/>
  <c r="D340" i="1"/>
  <c r="D320" i="1"/>
  <c r="C342" i="1"/>
  <c r="D338" i="1"/>
  <c r="C335" i="1"/>
  <c r="D328" i="1" s="1"/>
  <c r="D341" i="1"/>
  <c r="D322" i="1"/>
  <c r="Z379" i="21"/>
  <c r="Z438" i="19"/>
  <c r="C370" i="1"/>
  <c r="D362" i="1" s="1"/>
  <c r="D342" i="1" l="1"/>
  <c r="D357" i="1"/>
  <c r="D366" i="1"/>
  <c r="D348" i="1"/>
  <c r="D356" i="1"/>
  <c r="D365" i="1"/>
  <c r="D367" i="1"/>
  <c r="D363" i="1"/>
  <c r="D353" i="1"/>
  <c r="D360" i="1"/>
  <c r="D358" i="1"/>
  <c r="D359" i="1"/>
  <c r="D369" i="1"/>
  <c r="D346" i="1"/>
  <c r="D354" i="1"/>
  <c r="D352" i="1"/>
  <c r="D361" i="1"/>
  <c r="D368" i="1"/>
  <c r="D349" i="1"/>
  <c r="D345" i="1"/>
  <c r="D351" i="1"/>
  <c r="D350" i="1"/>
  <c r="D355" i="1"/>
  <c r="D347" i="1"/>
  <c r="D364" i="1"/>
  <c r="D332" i="1"/>
  <c r="D334" i="1"/>
  <c r="D331" i="1"/>
  <c r="D327" i="1"/>
  <c r="D333" i="1"/>
  <c r="D329" i="1"/>
  <c r="D330" i="1"/>
  <c r="D324" i="1"/>
  <c r="D335" i="1" l="1"/>
  <c r="D370" i="1"/>
</calcChain>
</file>

<file path=xl/comments1.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10.xml><?xml version="1.0" encoding="utf-8"?>
<comments xmlns="http://schemas.openxmlformats.org/spreadsheetml/2006/main">
  <authors>
    <author>Eunice Basilio</author>
    <author>Eunicebb</author>
    <author>Eunice</author>
    <author>HP</author>
  </authors>
  <commentList>
    <comment ref="B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C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E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H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I7" authorId="0" shapeId="0">
      <text>
        <r>
          <rPr>
            <sz val="9"/>
            <color indexed="81"/>
            <rFont val="Tahoma"/>
            <family val="2"/>
          </rPr>
          <t xml:space="preserve">
Ingresar la Meta Estratégica/Estándar de Calidad/Meta Operativa/Otras Metas que son de responsabilidad de la dependencia.</t>
        </r>
      </text>
    </comment>
    <comment ref="J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K7" authorId="0" shapeId="0">
      <text>
        <r>
          <rPr>
            <sz val="9"/>
            <color indexed="81"/>
            <rFont val="Tahoma"/>
            <family val="2"/>
          </rPr>
          <t xml:space="preserve">
Representa la forma en cómo se medirá el cumplimiento de la Meta Operativa programada.</t>
        </r>
      </text>
    </comment>
    <comment ref="L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O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P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Q7" authorId="0" shapeId="0">
      <text>
        <r>
          <rPr>
            <sz val="9"/>
            <color indexed="81"/>
            <rFont val="Tahoma"/>
            <family val="2"/>
          </rPr>
          <t xml:space="preserve">
Son las personas que están a cargo de la ejecución de las Metas. Deben ir los nombres de las mismas a más del cargo.</t>
        </r>
      </text>
    </comment>
    <comment ref="AB7" authorId="2" shapeId="0">
      <text>
        <r>
          <rPr>
            <sz val="9"/>
            <color indexed="81"/>
            <rFont val="Tahoma"/>
            <family val="2"/>
          </rPr>
          <t xml:space="preserve">
Marcar con una S en el cuatrimestre que va requerir el insumo para el cumplimiento de la meta.</t>
        </r>
      </text>
    </comment>
    <comment ref="AE7" authorId="2" shapeId="0">
      <text>
        <r>
          <rPr>
            <sz val="9"/>
            <color indexed="81"/>
            <rFont val="Tahoma"/>
            <family val="2"/>
          </rPr>
          <t xml:space="preserve">
Ingresar algún detalle adicional si es necesario.</t>
        </r>
      </text>
    </comment>
    <comment ref="L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M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N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R8" authorId="2" shapeId="0">
      <text>
        <r>
          <rPr>
            <sz val="9"/>
            <color indexed="81"/>
            <rFont val="Tahoma"/>
            <family val="2"/>
          </rPr>
          <t xml:space="preserve">
Ingresar el Programa Presupuestario al que corresponde el bien o servicio a requerir.</t>
        </r>
      </text>
    </comment>
    <comment ref="S8" authorId="2" shapeId="0">
      <text>
        <r>
          <rPr>
            <sz val="9"/>
            <color indexed="81"/>
            <rFont val="Tahoma"/>
            <family val="2"/>
          </rPr>
          <t xml:space="preserve">
Ingresar el código de la Partida a la que corresponde el bien o servicio a requerir.</t>
        </r>
      </text>
    </comment>
    <comment ref="T8" authorId="3" shapeId="0">
      <text>
        <r>
          <rPr>
            <sz val="9"/>
            <color indexed="81"/>
            <rFont val="Tahoma"/>
            <family val="2"/>
          </rPr>
          <t xml:space="preserve">
Ingresar el CPC</t>
        </r>
      </text>
    </comment>
    <comment ref="U8" authorId="2" shapeId="0">
      <text>
        <r>
          <rPr>
            <sz val="9"/>
            <color indexed="81"/>
            <rFont val="Tahoma"/>
            <family val="2"/>
          </rPr>
          <t xml:space="preserve">
Ingresar la descripción del objeto de contratación, agrupada según la partida a la que corresponde.</t>
        </r>
      </text>
    </comment>
    <comment ref="V8" authorId="2" shapeId="0">
      <text>
        <r>
          <rPr>
            <sz val="9"/>
            <color indexed="81"/>
            <rFont val="Tahoma"/>
            <family val="2"/>
          </rPr>
          <t xml:space="preserve">
Es la cantidad de los insumos que se requieren para el cumplimiento de las metas.</t>
        </r>
      </text>
    </comment>
    <comment ref="W8" authorId="2" shapeId="0">
      <text>
        <r>
          <rPr>
            <sz val="9"/>
            <color indexed="81"/>
            <rFont val="Tahoma"/>
            <family val="2"/>
          </rPr>
          <t xml:space="preserve">
Ubicar si es Unidad, Metros, Litros, etc.</t>
        </r>
      </text>
    </comment>
    <comment ref="X8" authorId="2" shapeId="0">
      <text>
        <r>
          <rPr>
            <sz val="9"/>
            <color indexed="81"/>
            <rFont val="Tahoma"/>
            <family val="2"/>
          </rPr>
          <t xml:space="preserve">
Es el valor unitario del producto detallado.</t>
        </r>
      </text>
    </comment>
    <comment ref="Y8" authorId="2" shapeId="0">
      <text>
        <r>
          <rPr>
            <sz val="9"/>
            <color indexed="81"/>
            <rFont val="Tahoma"/>
            <family val="2"/>
          </rPr>
          <t xml:space="preserve">
Ingresar el subtotal, que resulta de multiplicar la cantidad anual por el costo unitario, sin incluir el IVA.</t>
        </r>
      </text>
    </comment>
    <comment ref="Z8" authorId="3" shapeId="0">
      <text>
        <r>
          <rPr>
            <sz val="9"/>
            <color indexed="81"/>
            <rFont val="Tahoma"/>
            <family val="2"/>
          </rPr>
          <t xml:space="preserve">
Ingresar el subtotal, que resulta de multiplicar la cantidad anual por el costo unitario, incluido el IVA.</t>
        </r>
      </text>
    </comment>
    <comment ref="AA8" authorId="2" shapeId="0">
      <text>
        <r>
          <rPr>
            <sz val="9"/>
            <color indexed="81"/>
            <rFont val="Tahoma"/>
            <family val="2"/>
          </rPr>
          <t xml:space="preserve">
Corresponde a la suma total de la Partida Presupuestaria, incluido el IVA.</t>
        </r>
      </text>
    </comment>
  </commentList>
</comments>
</file>

<file path=xl/comments11.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12.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13.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14.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15.xml><?xml version="1.0" encoding="utf-8"?>
<comments xmlns="http://schemas.openxmlformats.org/spreadsheetml/2006/main">
  <authors>
    <author>Eunice Basilio</author>
    <author>Eunicebb</author>
    <author>Eunice</author>
    <author>HP</author>
  </authors>
  <commentList>
    <comment ref="B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C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E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H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I7" authorId="0" shapeId="0">
      <text>
        <r>
          <rPr>
            <sz val="9"/>
            <color indexed="81"/>
            <rFont val="Tahoma"/>
            <family val="2"/>
          </rPr>
          <t xml:space="preserve">
Ingresar la Meta Estratégica/Estándar de Calidad/Meta Operativa/Otras Metas que son de responsabilidad de la dependencia.</t>
        </r>
      </text>
    </comment>
    <comment ref="J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K7" authorId="0" shapeId="0">
      <text>
        <r>
          <rPr>
            <sz val="9"/>
            <color indexed="81"/>
            <rFont val="Tahoma"/>
            <family val="2"/>
          </rPr>
          <t xml:space="preserve">
Representa la forma en cómo se medirá el cumplimiento de la Meta Operativa programada.</t>
        </r>
      </text>
    </comment>
    <comment ref="L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O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P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Q7" authorId="0" shapeId="0">
      <text>
        <r>
          <rPr>
            <sz val="9"/>
            <color indexed="81"/>
            <rFont val="Tahoma"/>
            <family val="2"/>
          </rPr>
          <t xml:space="preserve">
Son las personas que están a cargo de la ejecución de las Metas. Deben ir los nombres de las mismas a más del cargo.</t>
        </r>
      </text>
    </comment>
    <comment ref="AB7" authorId="2" shapeId="0">
      <text>
        <r>
          <rPr>
            <sz val="9"/>
            <color indexed="81"/>
            <rFont val="Tahoma"/>
            <family val="2"/>
          </rPr>
          <t xml:space="preserve">
Marcar con una S en el cuatrimestre que va requerir el insumo para el cumplimiento de la meta.</t>
        </r>
      </text>
    </comment>
    <comment ref="AE7" authorId="2" shapeId="0">
      <text>
        <r>
          <rPr>
            <sz val="9"/>
            <color indexed="81"/>
            <rFont val="Tahoma"/>
            <family val="2"/>
          </rPr>
          <t xml:space="preserve">
Ingresar algún detalle adicional si es necesario.</t>
        </r>
      </text>
    </comment>
    <comment ref="L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M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N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R8" authorId="2" shapeId="0">
      <text>
        <r>
          <rPr>
            <sz val="9"/>
            <color indexed="81"/>
            <rFont val="Tahoma"/>
            <family val="2"/>
          </rPr>
          <t xml:space="preserve">
Ingresar el Programa Presupuestario al que corresponde el bien o servicio a requerir.</t>
        </r>
      </text>
    </comment>
    <comment ref="S8" authorId="2" shapeId="0">
      <text>
        <r>
          <rPr>
            <sz val="9"/>
            <color indexed="81"/>
            <rFont val="Tahoma"/>
            <family val="2"/>
          </rPr>
          <t xml:space="preserve">
Ingresar el código de la Partida a la que corresponde el bien o servicio a requerir.</t>
        </r>
      </text>
    </comment>
    <comment ref="T8" authorId="3" shapeId="0">
      <text>
        <r>
          <rPr>
            <sz val="9"/>
            <color indexed="81"/>
            <rFont val="Tahoma"/>
            <family val="2"/>
          </rPr>
          <t xml:space="preserve">
Ingresar el CPC</t>
        </r>
      </text>
    </comment>
    <comment ref="U8" authorId="2" shapeId="0">
      <text>
        <r>
          <rPr>
            <sz val="9"/>
            <color indexed="81"/>
            <rFont val="Tahoma"/>
            <family val="2"/>
          </rPr>
          <t xml:space="preserve">
Ingresar la descripción del objeto de contratación, agrupada según la partida a la que corresponde.</t>
        </r>
      </text>
    </comment>
    <comment ref="V8" authorId="2" shapeId="0">
      <text>
        <r>
          <rPr>
            <sz val="9"/>
            <color indexed="81"/>
            <rFont val="Tahoma"/>
            <family val="2"/>
          </rPr>
          <t xml:space="preserve">
Es la cantidad de los insumos que se requieren para el cumplimiento de las metas.</t>
        </r>
      </text>
    </comment>
    <comment ref="W8" authorId="2" shapeId="0">
      <text>
        <r>
          <rPr>
            <sz val="9"/>
            <color indexed="81"/>
            <rFont val="Tahoma"/>
            <family val="2"/>
          </rPr>
          <t xml:space="preserve">
Ubicar si es Unidad, Metros, Litros, etc.</t>
        </r>
      </text>
    </comment>
    <comment ref="X8" authorId="2" shapeId="0">
      <text>
        <r>
          <rPr>
            <sz val="9"/>
            <color indexed="81"/>
            <rFont val="Tahoma"/>
            <family val="2"/>
          </rPr>
          <t xml:space="preserve">
Es el valor unitario del producto detallado.</t>
        </r>
      </text>
    </comment>
    <comment ref="Y8" authorId="2" shapeId="0">
      <text>
        <r>
          <rPr>
            <sz val="9"/>
            <color indexed="81"/>
            <rFont val="Tahoma"/>
            <family val="2"/>
          </rPr>
          <t xml:space="preserve">
Ingresar el subtotal, que resulta de multiplicar la cantidad anual por el costo unitario, sin incluir el IVA.</t>
        </r>
      </text>
    </comment>
    <comment ref="Z8" authorId="3" shapeId="0">
      <text>
        <r>
          <rPr>
            <sz val="9"/>
            <color indexed="81"/>
            <rFont val="Tahoma"/>
            <family val="2"/>
          </rPr>
          <t xml:space="preserve">
Ingresar el subtotal, que resulta de multiplicar la cantidad anual por el costo unitario, incluido el IVA.</t>
        </r>
      </text>
    </comment>
    <comment ref="AA8" authorId="2" shapeId="0">
      <text>
        <r>
          <rPr>
            <sz val="9"/>
            <color indexed="81"/>
            <rFont val="Tahoma"/>
            <family val="2"/>
          </rPr>
          <t xml:space="preserve">
Corresponde a la suma total de la Partida Presupuestaria, incluido el IVA.</t>
        </r>
      </text>
    </comment>
  </commentList>
</comments>
</file>

<file path=xl/comments16.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17.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18.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19.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2.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20.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21.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22.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3.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4.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Creación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Creación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5.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6.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7.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8.xml><?xml version="1.0" encoding="utf-8"?>
<comments xmlns="http://schemas.openxmlformats.org/spreadsheetml/2006/main">
  <authors>
    <author>Eunice Basilio</author>
    <author>Eunicebb</author>
    <author>Eunice</author>
    <author>HP</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List>
</comments>
</file>

<file path=xl/comments9.xml><?xml version="1.0" encoding="utf-8"?>
<comments xmlns="http://schemas.openxmlformats.org/spreadsheetml/2006/main">
  <authors>
    <author>Eunice Basilio</author>
    <author>Eunicebb</author>
    <author>Eunice</author>
    <author>HP</author>
    <author>Fanny Eunice Basilio Banchon</author>
  </authors>
  <commentList>
    <comment ref="C7" authorId="0" shapeId="0">
      <text>
        <r>
          <rPr>
            <sz val="9"/>
            <color indexed="81"/>
            <rFont val="Tahoma"/>
            <family val="2"/>
          </rPr>
          <t xml:space="preserve">
Ingresar el Objetivo Nacional al que se alinea de acuerdo al OEI que tributa que la Meta.
Escoger entre las opciones de acuerdo al Plan de Creación de Oportunidades 2021 2025.</t>
        </r>
      </text>
    </comment>
    <comment ref="D7" authorId="0" shapeId="0">
      <text>
        <r>
          <rPr>
            <sz val="9"/>
            <color indexed="81"/>
            <rFont val="Tahoma"/>
            <family val="2"/>
          </rPr>
          <t xml:space="preserve">
Ingresar la Política Pública/Meta Nacional al que se alinea de acuerdo al OEI que tributa que la Meta.
Escoger entre las opciones de acuerdo al Plan de Creación de Oportunidades 2021 2025.</t>
        </r>
      </text>
    </comment>
    <comment ref="E7" authorId="0" shapeId="0">
      <text>
        <r>
          <rPr>
            <sz val="9"/>
            <color indexed="81"/>
            <rFont val="Tahoma"/>
            <family val="2"/>
          </rPr>
          <t xml:space="preserve">
Ingresar el Eje Estratégico al que se alinea la Meta.
Ver Anexo N° 1 Detalle de los Ejes y Lineamientos Estratégicos Institucionales del Instructivo metodológico para la elaboración del POA 2021-2024.</t>
        </r>
      </text>
    </comment>
    <comment ref="F7" authorId="0" shapeId="0">
      <text>
        <r>
          <rPr>
            <sz val="9"/>
            <color indexed="81"/>
            <rFont val="Tahoma"/>
            <family val="2"/>
          </rPr>
          <t xml:space="preserve">
Ingresar el Lineamiento Estratégico al que se alinea la Meta.
Ver Anexo N° 1 Detalle de los Ejes y Lineamientos Estratégicos Institucionales del Instructivo metodológico para la elaboración del POA 2021-2024.</t>
        </r>
      </text>
    </comment>
    <comment ref="G7" authorId="0" shapeId="0">
      <text>
        <r>
          <rPr>
            <sz val="9"/>
            <color indexed="81"/>
            <rFont val="Tahoma"/>
            <family val="2"/>
          </rPr>
          <t xml:space="preserve">
Ingresar el Objetivo Estratégico al que se alinea la Meta.
Ver Anexo N° 1 Detalle de los Ejes y Lineamientos Estratégicos Institucionales del Instructivo metodológico para la elaboración del POA 2021-2024.</t>
        </r>
      </text>
    </comment>
    <comment ref="H7" authorId="0" shapeId="0">
      <text>
        <r>
          <rPr>
            <sz val="9"/>
            <color indexed="81"/>
            <rFont val="Tahoma"/>
            <family val="2"/>
          </rPr>
          <t xml:space="preserve">
Ingresar el Producto Institucional al que se alinea la Meta.
Ver Anexo N° 1 Detalle de los Ejes y Lineamientos Estratégicos Institucionales (Parte 2) del Instructivo metodológico para la elaboración del POA 2021-2024.</t>
        </r>
      </text>
    </comment>
    <comment ref="I7" authorId="0" shapeId="0">
      <text>
        <r>
          <rPr>
            <sz val="9"/>
            <color indexed="81"/>
            <rFont val="Tahoma"/>
            <family val="2"/>
          </rPr>
          <t xml:space="preserve">
Ingresar la Estrategia DAFO al que se alinea la Meta.
Ver Anexo N° 4 Estrategias – Matriz DAFO / FODA del Instructivo metodológico para la elaboración del POA 2021-2024.</t>
        </r>
      </text>
    </comment>
    <comment ref="J7" authorId="0" shapeId="0">
      <text>
        <r>
          <rPr>
            <sz val="9"/>
            <color indexed="81"/>
            <rFont val="Tahoma"/>
            <family val="2"/>
          </rPr>
          <t xml:space="preserve">
Ingresar la Meta Estratégica/Estándar de Calidad/Meta Operativa/Otras Metas que son de responsabilidad de la dependencia.</t>
        </r>
      </text>
    </comment>
    <comment ref="K7" authorId="1" shapeId="0">
      <text>
        <r>
          <rPr>
            <sz val="9"/>
            <color indexed="81"/>
            <rFont val="Tahoma"/>
            <family val="2"/>
          </rPr>
          <t xml:space="preserve">
Para el caso de las Metas Operativas, ingresar OBLIGATORIAMENTE los productos establecidos en el Reglamento de Gestión Organizacional por Procesos de la UTMACH.</t>
        </r>
      </text>
    </comment>
    <comment ref="L7" authorId="0" shapeId="0">
      <text>
        <r>
          <rPr>
            <sz val="9"/>
            <color indexed="81"/>
            <rFont val="Tahoma"/>
            <family val="2"/>
          </rPr>
          <t xml:space="preserve">
Representa la forma en cómo se medirá el cumplimiento de la Meta Operativa programada.</t>
        </r>
      </text>
    </comment>
    <comment ref="M7" authorId="2" shapeId="0">
      <text>
        <r>
          <rPr>
            <sz val="9"/>
            <color indexed="81"/>
            <rFont val="Tahoma"/>
            <family val="2"/>
          </rPr>
          <t xml:space="preserve">
Es la meta a cumplirse representada cuantitativamente y va de acuerdo al indicador de resultado antes planteado.
Para el caso de las Metas Operativa, se DEBERÁ registrar metas cuantificables, expresadas únicamente en términos numéricos, no porcentuales.</t>
        </r>
      </text>
    </comment>
    <comment ref="P7" authorId="0" shapeId="0">
      <text>
        <r>
          <rPr>
            <sz val="9"/>
            <color indexed="81"/>
            <rFont val="Tahoma"/>
            <family val="2"/>
          </rPr>
          <t xml:space="preserve">
- Son las acciones esenciales con las que se propone alcanzar la meta propuesta, ordenadas secuencialmente y numeradas.
- Se debe Iniciar con verbo en infinitivo y demostrar que se cumpla el ciclo de la mejora continua (Planificar, Hacer, Verificar y Actuar)</t>
        </r>
      </text>
    </comment>
    <comment ref="Q7" authorId="0" shapeId="0">
      <text>
        <r>
          <rPr>
            <sz val="9"/>
            <color indexed="81"/>
            <rFont val="Tahoma"/>
            <family val="2"/>
          </rPr>
          <t xml:space="preserve">
- Constituyen los documentos físicos y/o digitales que expresan el cumplimiento de la meta.
- Para el caso del Estándar de Calidad, se deberá registrar en esta columna, OBLIGATORIAMENTE, el medio de verificación definido en el Plan de Aseguramiento de la Calidad.</t>
        </r>
      </text>
    </comment>
    <comment ref="R7" authorId="0" shapeId="0">
      <text>
        <r>
          <rPr>
            <sz val="9"/>
            <color indexed="81"/>
            <rFont val="Tahoma"/>
            <family val="2"/>
          </rPr>
          <t xml:space="preserve">
Son las personas que están a cargo de la ejecución de las Metas. Deben ir los nombres de las mismas a más del cargo.</t>
        </r>
      </text>
    </comment>
    <comment ref="AC7" authorId="2" shapeId="0">
      <text>
        <r>
          <rPr>
            <sz val="9"/>
            <color indexed="81"/>
            <rFont val="Tahoma"/>
            <family val="2"/>
          </rPr>
          <t xml:space="preserve">
Marcar con una S en el cuatrimestre que va requerir el insumo para el cumplimiento de la meta.</t>
        </r>
      </text>
    </comment>
    <comment ref="AF7" authorId="2" shapeId="0">
      <text>
        <r>
          <rPr>
            <sz val="9"/>
            <color indexed="81"/>
            <rFont val="Tahoma"/>
            <family val="2"/>
          </rPr>
          <t xml:space="preserve">
Ingresar algún detalle adicional si es necesario.</t>
        </r>
      </text>
    </comment>
    <comment ref="M8" authorId="2" shapeId="0">
      <text>
        <r>
          <rPr>
            <sz val="9"/>
            <color indexed="81"/>
            <rFont val="Tahoma"/>
            <family val="2"/>
          </rPr>
          <t xml:space="preserve">
Establecer la Meta a cumplirse en el 1er cuatrimestre. Se debe utilizar valores absolutos, más no porcentajes, esto para el caso de las Metas Operativas.</t>
        </r>
      </text>
    </comment>
    <comment ref="N8" authorId="3" shapeId="0">
      <text>
        <r>
          <rPr>
            <sz val="9"/>
            <color indexed="81"/>
            <rFont val="Tahoma"/>
            <family val="2"/>
          </rPr>
          <t xml:space="preserve">
Establecer la Meta a cumplirse en el 2do cuatrimestre. Se debe utilizar valores absolutos, más no porcentajes, esto para el caso de las Metas Operativas.</t>
        </r>
      </text>
    </comment>
    <comment ref="O8" authorId="2" shapeId="0">
      <text>
        <r>
          <rPr>
            <sz val="9"/>
            <color indexed="81"/>
            <rFont val="Tahoma"/>
            <family val="2"/>
          </rPr>
          <t xml:space="preserve">
Establecer la Meta a cumplirse en el 3er cuatrimestre. Se debe utilizar valores absolutos, más no porcentajes, esto para el caso de las Metas Operativas.</t>
        </r>
      </text>
    </comment>
    <comment ref="S8" authorId="2" shapeId="0">
      <text>
        <r>
          <rPr>
            <sz val="9"/>
            <color indexed="81"/>
            <rFont val="Tahoma"/>
            <family val="2"/>
          </rPr>
          <t xml:space="preserve">
Ingresar el Programa Presupuestario al que corresponde el bien o servicio a requerir.</t>
        </r>
      </text>
    </comment>
    <comment ref="T8" authorId="2" shapeId="0">
      <text>
        <r>
          <rPr>
            <sz val="9"/>
            <color indexed="81"/>
            <rFont val="Tahoma"/>
            <family val="2"/>
          </rPr>
          <t xml:space="preserve">
Ingresar el código de la Partida a la que corresponde el bien o servicio a requerir.</t>
        </r>
      </text>
    </comment>
    <comment ref="U8" authorId="3" shapeId="0">
      <text>
        <r>
          <rPr>
            <sz val="9"/>
            <color indexed="81"/>
            <rFont val="Tahoma"/>
            <family val="2"/>
          </rPr>
          <t xml:space="preserve">
Ingresar el CPC</t>
        </r>
      </text>
    </comment>
    <comment ref="V8" authorId="2" shapeId="0">
      <text>
        <r>
          <rPr>
            <sz val="9"/>
            <color indexed="81"/>
            <rFont val="Tahoma"/>
            <family val="2"/>
          </rPr>
          <t xml:space="preserve">
Ingresar la descripción del objeto de contratación, agrupada según la partida a la que corresponde.</t>
        </r>
      </text>
    </comment>
    <comment ref="W8" authorId="2" shapeId="0">
      <text>
        <r>
          <rPr>
            <sz val="9"/>
            <color indexed="81"/>
            <rFont val="Tahoma"/>
            <family val="2"/>
          </rPr>
          <t xml:space="preserve">
Es la cantidad de los insumos que se requieren para el cumplimiento de las metas.</t>
        </r>
      </text>
    </comment>
    <comment ref="X8" authorId="2" shapeId="0">
      <text>
        <r>
          <rPr>
            <sz val="9"/>
            <color indexed="81"/>
            <rFont val="Tahoma"/>
            <family val="2"/>
          </rPr>
          <t xml:space="preserve">
Ubicar si es Unidad, Metros, Litros, etc.</t>
        </r>
      </text>
    </comment>
    <comment ref="Y8" authorId="2" shapeId="0">
      <text>
        <r>
          <rPr>
            <sz val="9"/>
            <color indexed="81"/>
            <rFont val="Tahoma"/>
            <family val="2"/>
          </rPr>
          <t xml:space="preserve">
Es el valor unitario del producto detallado.</t>
        </r>
      </text>
    </comment>
    <comment ref="Z8" authorId="2" shapeId="0">
      <text>
        <r>
          <rPr>
            <sz val="9"/>
            <color indexed="81"/>
            <rFont val="Tahoma"/>
            <family val="2"/>
          </rPr>
          <t xml:space="preserve">
Ingresar el subtotal, que resulta de multiplicar la cantidad anual por el costo unitario, sin incluir el IVA.</t>
        </r>
      </text>
    </comment>
    <comment ref="AA8" authorId="3" shapeId="0">
      <text>
        <r>
          <rPr>
            <sz val="9"/>
            <color indexed="81"/>
            <rFont val="Tahoma"/>
            <family val="2"/>
          </rPr>
          <t xml:space="preserve">
Ingresar el subtotal, que resulta de multiplicar la cantidad anual por el costo unitario, incluido el IVA.</t>
        </r>
      </text>
    </comment>
    <comment ref="AB8" authorId="2" shapeId="0">
      <text>
        <r>
          <rPr>
            <sz val="9"/>
            <color indexed="81"/>
            <rFont val="Tahoma"/>
            <family val="2"/>
          </rPr>
          <t xml:space="preserve">
Corresponde a la suma total de la Partida Presupuestaria, incluido el IVA.</t>
        </r>
      </text>
    </comment>
    <comment ref="E9" authorId="4" shapeId="0">
      <text>
        <r>
          <rPr>
            <b/>
            <sz val="9"/>
            <color indexed="81"/>
            <rFont val="Tahoma"/>
            <family val="2"/>
          </rPr>
          <t>Eunice Basilio:</t>
        </r>
        <r>
          <rPr>
            <sz val="9"/>
            <color indexed="81"/>
            <rFont val="Tahoma"/>
            <family val="2"/>
          </rPr>
          <t xml:space="preserve">
Llenar campos</t>
        </r>
      </text>
    </comment>
    <comment ref="M9" authorId="4" shapeId="0">
      <text>
        <r>
          <rPr>
            <b/>
            <sz val="9"/>
            <color indexed="81"/>
            <rFont val="Tahoma"/>
            <family val="2"/>
          </rPr>
          <t>Eunice Basilio:</t>
        </r>
        <r>
          <rPr>
            <sz val="9"/>
            <color indexed="81"/>
            <rFont val="Tahoma"/>
            <family val="2"/>
          </rPr>
          <t xml:space="preserve">
Ingresar Meta</t>
        </r>
      </text>
    </comment>
    <comment ref="M24" authorId="4" shapeId="0">
      <text>
        <r>
          <rPr>
            <b/>
            <sz val="9"/>
            <color indexed="81"/>
            <rFont val="Tahoma"/>
            <family val="2"/>
          </rPr>
          <t>Eunice Basilio:</t>
        </r>
        <r>
          <rPr>
            <sz val="9"/>
            <color indexed="81"/>
            <rFont val="Tahoma"/>
            <family val="2"/>
          </rPr>
          <t xml:space="preserve">
Ingresar Meta</t>
        </r>
      </text>
    </comment>
    <comment ref="E83" authorId="4" shapeId="0">
      <text>
        <r>
          <rPr>
            <b/>
            <sz val="9"/>
            <color indexed="81"/>
            <rFont val="Tahoma"/>
            <family val="2"/>
          </rPr>
          <t>Eunice Basilio:</t>
        </r>
        <r>
          <rPr>
            <sz val="9"/>
            <color indexed="81"/>
            <rFont val="Tahoma"/>
            <family val="2"/>
          </rPr>
          <t xml:space="preserve">
Llenar campos</t>
        </r>
      </text>
    </comment>
    <comment ref="Q83" authorId="4" shapeId="0">
      <text>
        <r>
          <rPr>
            <b/>
            <sz val="9"/>
            <color indexed="81"/>
            <rFont val="Tahoma"/>
            <family val="2"/>
          </rPr>
          <t>Eunice Basilio:</t>
        </r>
        <r>
          <rPr>
            <sz val="9"/>
            <color indexed="81"/>
            <rFont val="Tahoma"/>
            <family val="2"/>
          </rPr>
          <t xml:space="preserve">
Lo ingresado es igual a Actividades. Ingresar Medios de verificación.</t>
        </r>
      </text>
    </comment>
    <comment ref="E139" authorId="4" shapeId="0">
      <text>
        <r>
          <rPr>
            <b/>
            <sz val="9"/>
            <color indexed="81"/>
            <rFont val="Tahoma"/>
            <family val="2"/>
          </rPr>
          <t>Eunice Basilio:</t>
        </r>
        <r>
          <rPr>
            <sz val="9"/>
            <color indexed="81"/>
            <rFont val="Tahoma"/>
            <family val="2"/>
          </rPr>
          <t xml:space="preserve">
Llenar campos</t>
        </r>
      </text>
    </comment>
    <comment ref="Q143" authorId="4" shapeId="0">
      <text>
        <r>
          <rPr>
            <b/>
            <sz val="9"/>
            <color indexed="81"/>
            <rFont val="Tahoma"/>
            <family val="2"/>
          </rPr>
          <t>Eunice Basilio:</t>
        </r>
        <r>
          <rPr>
            <sz val="9"/>
            <color indexed="81"/>
            <rFont val="Tahoma"/>
            <family val="2"/>
          </rPr>
          <t xml:space="preserve">
El medio de verificación solo debe ser el Plan Operativo 2024.
El POA 2023 lo está presentando ahora en el 2022.</t>
        </r>
      </text>
    </comment>
    <comment ref="Q148" authorId="4" shapeId="0">
      <text>
        <r>
          <rPr>
            <b/>
            <sz val="9"/>
            <color indexed="81"/>
            <rFont val="Tahoma"/>
            <family val="2"/>
          </rPr>
          <t>Eunice Basilio:</t>
        </r>
        <r>
          <rPr>
            <sz val="9"/>
            <color indexed="81"/>
            <rFont val="Tahoma"/>
            <family val="2"/>
          </rPr>
          <t xml:space="preserve">
El POA 2023 se va a evaluar anualmente, no semestral. Por consiguiente corregir lo pertinente.</t>
        </r>
      </text>
    </comment>
    <comment ref="K159" authorId="4" shapeId="0">
      <text>
        <r>
          <rPr>
            <b/>
            <sz val="9"/>
            <color indexed="81"/>
            <rFont val="Tahoma"/>
            <family val="2"/>
          </rPr>
          <t>Eunice Basilio:</t>
        </r>
        <r>
          <rPr>
            <sz val="9"/>
            <color indexed="81"/>
            <rFont val="Tahoma"/>
            <family val="2"/>
          </rPr>
          <t xml:space="preserve">
Los productos y servicios deben estar acorde a los establecidos en el Código Orgánico de gestión Organizacional por Procesos, aprobado con Res. N° 334/2022.
Conforme a los cambios que se de debe cambiar lo pertinente en TODOS los demás campos.</t>
        </r>
      </text>
    </comment>
    <comment ref="M211" authorId="4" shapeId="0">
      <text>
        <r>
          <rPr>
            <b/>
            <sz val="9"/>
            <color indexed="81"/>
            <rFont val="Tahoma"/>
            <family val="2"/>
          </rPr>
          <t>Eunice Basilio:</t>
        </r>
        <r>
          <rPr>
            <sz val="9"/>
            <color indexed="81"/>
            <rFont val="Tahoma"/>
            <family val="2"/>
          </rPr>
          <t xml:space="preserve">
Debe ir cero (0).</t>
        </r>
      </text>
    </comment>
  </commentList>
</comments>
</file>

<file path=xl/sharedStrings.xml><?xml version="1.0" encoding="utf-8"?>
<sst xmlns="http://schemas.openxmlformats.org/spreadsheetml/2006/main" count="23830" uniqueCount="6133">
  <si>
    <t>UNIVERSIDAD TÉCNICA DE MACHALA</t>
  </si>
  <si>
    <t>Calidad, Pertinencia y Calidez</t>
  </si>
  <si>
    <t>POA 2023 - PRESUPUESTO</t>
  </si>
  <si>
    <t>DEPENDENCIA</t>
  </si>
  <si>
    <t>PROGRAMA</t>
  </si>
  <si>
    <t>DESCRIPCION</t>
  </si>
  <si>
    <t>PARTIDA</t>
  </si>
  <si>
    <t>CODIGO TERRITORIAL</t>
  </si>
  <si>
    <t>FUENTE</t>
  </si>
  <si>
    <t>SUBTOTAL</t>
  </si>
  <si>
    <t>1. Rectorado</t>
  </si>
  <si>
    <t>01 - Administración central</t>
  </si>
  <si>
    <t>Viáticos y Subsistencias en el Exterior</t>
  </si>
  <si>
    <t>0701</t>
  </si>
  <si>
    <t>003</t>
  </si>
  <si>
    <t>Atención a Delegados Extranjeros y Nacionales, Deportistas, Entrenadores y Cuerpo Técnico que Representen al País</t>
  </si>
  <si>
    <t>Edificios, Locales, Residencias y Cableado Estructurado (Instalación, Mantenimiento y Reparación)</t>
  </si>
  <si>
    <t>83 - Gestión de la investigación</t>
  </si>
  <si>
    <t>001</t>
  </si>
  <si>
    <t>Mantenimiento y Reparación de Equipos y Sistemas Informáticos</t>
  </si>
  <si>
    <t>Equipos, Sistemas y Paquetes Informáticos</t>
  </si>
  <si>
    <t>531407</t>
  </si>
  <si>
    <t>Mobiliarios</t>
  </si>
  <si>
    <t>202</t>
  </si>
  <si>
    <t>Maquinarias y Equipos</t>
  </si>
  <si>
    <t>2. Produraduría General</t>
  </si>
  <si>
    <t>Edición, Impresión, Reproducción, Publicaciones, Suscripciones, Fotocopiado, Traducción, Empastado, Enmarcación, Serigrafía, Fotografía, Carnetización, Filmación e Imágenes Satelitales</t>
  </si>
  <si>
    <t>Membrecías</t>
  </si>
  <si>
    <t>3. Dirección de Comunicación</t>
  </si>
  <si>
    <t>84 - Gestión de la vinculación con la colectividad</t>
  </si>
  <si>
    <t>002</t>
  </si>
  <si>
    <t>Difusión, Información y Publicidad</t>
  </si>
  <si>
    <t>Maquinarias y Equipos (Instalación, Mantenimiento y Reparación)</t>
  </si>
  <si>
    <t>4. Secretaría General</t>
  </si>
  <si>
    <t>Servicio de Correo</t>
  </si>
  <si>
    <t>Edificios, Locales, Residencias y Cableado Estructurado
(Instalación, Mantenimiento y Reparaciones)</t>
  </si>
  <si>
    <t>Estudio y Diseño de Proyectos</t>
  </si>
  <si>
    <t>Maquinaria y equipos</t>
  </si>
  <si>
    <t>5. Dirección de Planificación</t>
  </si>
  <si>
    <t>82 - Formación y gestión académica</t>
  </si>
  <si>
    <t>Edificios, Locales, Residencias y Cableado Estructurado (Mantenimiento, Reparación e Instalación)</t>
  </si>
  <si>
    <t>Consultoría, Asesoría e Investigación Especializada</t>
  </si>
  <si>
    <t>6. Dirección de Bienestar Universitario, Arte y Cultura</t>
  </si>
  <si>
    <t>Telecomunicaciones</t>
  </si>
  <si>
    <t>Materiales de Impresión, Fotografía, Reproducción y Publicaciones</t>
  </si>
  <si>
    <t>Materiales Didácticos</t>
  </si>
  <si>
    <t>530812</t>
  </si>
  <si>
    <t>Bienes Artísticos, Culturales, Deportivos y Símbolos Patrios</t>
  </si>
  <si>
    <t>Seguros</t>
  </si>
  <si>
    <t>Becas y Ayudas Económicas</t>
  </si>
  <si>
    <t>Equipos Médicos</t>
  </si>
  <si>
    <t>7. Directora de Evaluación Interna y Gestión de la Calidad</t>
  </si>
  <si>
    <t>530402</t>
  </si>
  <si>
    <t>530601</t>
  </si>
  <si>
    <t>Arrendamientos y Licencias de Uso de Paquetes Informáticos</t>
  </si>
  <si>
    <t>530702</t>
  </si>
  <si>
    <t xml:space="preserve">Materiales de Oficina </t>
  </si>
  <si>
    <t>530804</t>
  </si>
  <si>
    <t>Herramientas y Equipos menores</t>
  </si>
  <si>
    <t>531406</t>
  </si>
  <si>
    <t xml:space="preserve">840103 </t>
  </si>
  <si>
    <t>840104</t>
  </si>
  <si>
    <t>Equipos, Sistemas y Paquetes Informaticos</t>
  </si>
  <si>
    <t>840107</t>
  </si>
  <si>
    <t>8. Vicerrectorado de Investigación, Vinculación y Posgrado</t>
  </si>
  <si>
    <t>Pasajes en el Exterior</t>
  </si>
  <si>
    <t>Capacitación a Servidores Públicos</t>
  </si>
  <si>
    <t>Arrendamiento y Licencias de Uso de Paquetes Informáticos</t>
  </si>
  <si>
    <t>Tasas Generales, Impuestos, Contribuciones, Permisos, Licencias y Patentes</t>
  </si>
  <si>
    <t>9. Dirección de Investigación, Desarrollo e Innovación</t>
  </si>
  <si>
    <t>Viáticos y Subsistencias en el Interior</t>
  </si>
  <si>
    <t>Investigaciones Profesionales y Análisis de Laboratorio</t>
  </si>
  <si>
    <t>Dispositivos Médicos para Laboratorio Clínico y de Patología</t>
  </si>
  <si>
    <t>Insumos, Materiales, Suministros y Bienes para Investigación</t>
  </si>
  <si>
    <t>Herramientas y Equipos Menores</t>
  </si>
  <si>
    <t>Libros y Colecciones</t>
  </si>
  <si>
    <t>10. Dirección de Posgrado</t>
  </si>
  <si>
    <t>0702</t>
  </si>
  <si>
    <t>11. Dirección de Vinculación</t>
  </si>
  <si>
    <t>Pasajes al Interior</t>
  </si>
  <si>
    <t xml:space="preserve">Pasajes al Exterior </t>
  </si>
  <si>
    <t>Atención a delegados extranjeros y nacioales, deportistas entrenadores y cuerpo técnico que representan al País</t>
  </si>
  <si>
    <t>12. Vicerrectorado Académico</t>
  </si>
  <si>
    <t>Insumos, Materiales y Suministros para Construcción, Electricidad, Plomería, Carpintería, Señalización Vial, Navegación, Contra Incendios y Placas</t>
  </si>
  <si>
    <t>13. Dirección Académica</t>
  </si>
  <si>
    <t>Consultoria, Asesoría e Investigación Especializada</t>
  </si>
  <si>
    <t>14. Dirección de Formación Profesional</t>
  </si>
  <si>
    <t xml:space="preserve">Capacitación a Servidores Públicos        </t>
  </si>
  <si>
    <t>Capacitación para la Ciudadanía en General</t>
  </si>
  <si>
    <t>15. Dirección de Educación Continua</t>
  </si>
  <si>
    <t>Vestuario, lenceria, prendas de protección.</t>
  </si>
  <si>
    <t>Materiales de Aseo</t>
  </si>
  <si>
    <t>16. Vicerrectorado Administrativo</t>
  </si>
  <si>
    <t>17. Dirección de Tecnologías de la Información y Comunicación</t>
  </si>
  <si>
    <t>Garantía Extendida de Bienes</t>
  </si>
  <si>
    <t>18. Dirección de Talento Humano</t>
  </si>
  <si>
    <t>Remuneraciones Unificadas</t>
  </si>
  <si>
    <t>510105</t>
  </si>
  <si>
    <t>0700</t>
  </si>
  <si>
    <t>Salarios Unificados</t>
  </si>
  <si>
    <t>510106</t>
  </si>
  <si>
    <t>Remuneración Mensual Unificada de Docentes del Magisterio y Docentes e Investigadores Universitarios</t>
  </si>
  <si>
    <t>510108</t>
  </si>
  <si>
    <t>Decimo Tercer Sueldo</t>
  </si>
  <si>
    <t>510203</t>
  </si>
  <si>
    <t>Decimo Cuarto Sueldo</t>
  </si>
  <si>
    <t>510204</t>
  </si>
  <si>
    <t>Compensación por Transporte</t>
  </si>
  <si>
    <t>510304</t>
  </si>
  <si>
    <t>Alimentación</t>
  </si>
  <si>
    <t>510306</t>
  </si>
  <si>
    <t>Por Cargas Familiares</t>
  </si>
  <si>
    <t>510401</t>
  </si>
  <si>
    <t>Subsidios por Antigüedad</t>
  </si>
  <si>
    <t>510408</t>
  </si>
  <si>
    <t>Horas Extras Ordinarias y Suplementarias</t>
  </si>
  <si>
    <t>510509</t>
  </si>
  <si>
    <t>Servicios Personales por Contrato</t>
  </si>
  <si>
    <t>510510</t>
  </si>
  <si>
    <t>Subrogación</t>
  </si>
  <si>
    <t>510512</t>
  </si>
  <si>
    <t>Encargos</t>
  </si>
  <si>
    <t>510513</t>
  </si>
  <si>
    <t>Aporte Patronal</t>
  </si>
  <si>
    <t>510601</t>
  </si>
  <si>
    <t>Fondo de Reserva</t>
  </si>
  <si>
    <t>510602</t>
  </si>
  <si>
    <t>Compensación por Vacaciones no Gozadas por Cesación de Funciones</t>
  </si>
  <si>
    <t>510707</t>
  </si>
  <si>
    <t>Servicios Personales por Contrato de Docentes del Magisterio y Docentes e Investigadores Universitarios</t>
  </si>
  <si>
    <t>510518</t>
  </si>
  <si>
    <t>Almacenamiento, Envalaje, Desenvalaje, Envase, Desenvase y Recarga de Extintores</t>
  </si>
  <si>
    <t>530612</t>
  </si>
  <si>
    <t>Vestuario, Lencería, Prendas de Protección y Accesorios para Uniformes del Personal de Protección, Vigilancia y Seguridad</t>
  </si>
  <si>
    <t>530802</t>
  </si>
  <si>
    <t>530807</t>
  </si>
  <si>
    <t>Medicamentos</t>
  </si>
  <si>
    <t>530809</t>
  </si>
  <si>
    <t>Dispositivos Médicos de Uso General</t>
  </si>
  <si>
    <t>530826</t>
  </si>
  <si>
    <t>Honorarios por Contratos Civiles de Servicios</t>
  </si>
  <si>
    <t>530606</t>
  </si>
  <si>
    <t>570201</t>
  </si>
  <si>
    <t>A Jubilados Patronales</t>
  </si>
  <si>
    <t>580209</t>
  </si>
  <si>
    <t>580208</t>
  </si>
  <si>
    <t>19. Dirección Financiera</t>
  </si>
  <si>
    <t>Comisiones Bancarias</t>
  </si>
  <si>
    <t>Maquinaria y Equipos</t>
  </si>
  <si>
    <t>20. Dirección Administrativa</t>
  </si>
  <si>
    <t>Agua Potable</t>
  </si>
  <si>
    <t>Energía Eléctrica</t>
  </si>
  <si>
    <t>Materiales de Oficina</t>
  </si>
  <si>
    <t>Vehículos (Servicio para Mantenimiento y Reparación)</t>
  </si>
  <si>
    <t>Combustibles y Lubricantes</t>
  </si>
  <si>
    <t>Servicio de Seguridad y Vigilancia</t>
  </si>
  <si>
    <t>Suministros para la Defensa y Seguridad Pública</t>
  </si>
  <si>
    <t>Repuestos y Accesorios</t>
  </si>
  <si>
    <t>Pasajes al Exterior</t>
  </si>
  <si>
    <t>Fondos de reposición de Caja Chicha</t>
  </si>
  <si>
    <t>Maquinarias y equipos</t>
  </si>
  <si>
    <t>21.1. Facultad de Ciencias Agropecuarias</t>
  </si>
  <si>
    <t>Edición, Impresión, Reproducción, Publicaciones y Suscripciones</t>
  </si>
  <si>
    <t xml:space="preserve">Materiales Didácticos  </t>
  </si>
  <si>
    <t>Suministros para Actividades Agropecuarias, Pesca y Caza</t>
  </si>
  <si>
    <t>Egresos para Sanidad Agropecuaria</t>
  </si>
  <si>
    <t>Fondos de Reposición Cajas Chicas</t>
  </si>
  <si>
    <t>21.2. Facultad de Ciencias Empresariales</t>
  </si>
  <si>
    <t>Congresos, Seminarios y Convenciones</t>
  </si>
  <si>
    <t>21.3. Facultad de Ciencias Químicas y de la Salud</t>
  </si>
  <si>
    <t>21.4. Facultad de Ciencias Sociales</t>
  </si>
  <si>
    <t>Mobiliario</t>
  </si>
  <si>
    <t>21.5. Facultad de Ingeniería Civil</t>
  </si>
  <si>
    <t>TOTAL UTMACH:</t>
  </si>
  <si>
    <t>USD $</t>
  </si>
  <si>
    <r>
      <rPr>
        <b/>
        <i/>
        <sz val="12"/>
        <color theme="1"/>
        <rFont val="Arial Narrow"/>
      </rPr>
      <t xml:space="preserve">Fuente: </t>
    </r>
    <r>
      <rPr>
        <i/>
        <sz val="12"/>
        <color theme="1"/>
        <rFont val="Arial Narrow"/>
      </rPr>
      <t>POAS 2023 de las Dependencias Administrativas y Académicas de la UTMACH</t>
    </r>
  </si>
  <si>
    <r>
      <rPr>
        <b/>
        <i/>
        <sz val="12"/>
        <color theme="1"/>
        <rFont val="Arial Narrow"/>
      </rPr>
      <t>Elaboración:</t>
    </r>
    <r>
      <rPr>
        <i/>
        <sz val="12"/>
        <color theme="1"/>
        <rFont val="Arial Narrow"/>
      </rPr>
      <t xml:space="preserve"> Dirección de Planificación</t>
    </r>
  </si>
  <si>
    <r>
      <rPr>
        <b/>
        <i/>
        <sz val="12"/>
        <color theme="1"/>
        <rFont val="Arial Narrow"/>
      </rPr>
      <t>Fecha:</t>
    </r>
    <r>
      <rPr>
        <i/>
        <sz val="12"/>
        <color theme="1"/>
        <rFont val="Arial Narrow"/>
      </rPr>
      <t xml:space="preserve"> 29/09/2022</t>
    </r>
  </si>
  <si>
    <t>RESUMEN DE PRESUPUESTO ESTIMADO POR FUENTE DE FINANCIAMIENTO:</t>
  </si>
  <si>
    <r>
      <rPr>
        <sz val="12"/>
        <color theme="1"/>
        <rFont val="Arial Narrow"/>
      </rPr>
      <t xml:space="preserve">FUENTE </t>
    </r>
    <r>
      <rPr>
        <sz val="12"/>
        <color theme="1"/>
        <rFont val="Arial Narrow"/>
      </rPr>
      <t>1: Recursos fiscales</t>
    </r>
  </si>
  <si>
    <r>
      <rPr>
        <sz val="12"/>
        <color theme="1"/>
        <rFont val="Arial Narrow"/>
      </rPr>
      <t xml:space="preserve">FUENTE </t>
    </r>
    <r>
      <rPr>
        <sz val="12"/>
        <color theme="1"/>
        <rFont val="Arial Narrow"/>
      </rPr>
      <t>2: Recursos fiscales generados por las Instituciones</t>
    </r>
  </si>
  <si>
    <r>
      <rPr>
        <sz val="12"/>
        <color theme="1"/>
        <rFont val="Arial Narrow"/>
      </rPr>
      <t xml:space="preserve">FUENTE </t>
    </r>
    <r>
      <rPr>
        <sz val="12"/>
        <color theme="1"/>
        <rFont val="Arial Narrow"/>
      </rPr>
      <t>3: Recursos Provenientes de Preasignaciones</t>
    </r>
  </si>
  <si>
    <t>FUENTE 202: Préstamos Externos</t>
  </si>
  <si>
    <t>TOTAL:</t>
  </si>
  <si>
    <t>51 Egresos en Personal</t>
  </si>
  <si>
    <r>
      <rPr>
        <sz val="12"/>
        <color rgb="FF000000"/>
        <rFont val="Arial Narrow"/>
      </rPr>
      <t>53</t>
    </r>
    <r>
      <rPr>
        <sz val="12"/>
        <color rgb="FF000000"/>
        <rFont val="Arial Narrow"/>
      </rPr>
      <t xml:space="preserve"> Bienes y Servicios de Consumo</t>
    </r>
  </si>
  <si>
    <r>
      <rPr>
        <sz val="12"/>
        <color rgb="FF000000"/>
        <rFont val="Arial Narrow"/>
      </rPr>
      <t>57</t>
    </r>
    <r>
      <rPr>
        <sz val="12"/>
        <color rgb="FF000000"/>
        <rFont val="Arial Narrow"/>
      </rPr>
      <t xml:space="preserve"> Otros Egresos Corrientes</t>
    </r>
  </si>
  <si>
    <r>
      <rPr>
        <sz val="12"/>
        <color rgb="FF000000"/>
        <rFont val="Arial Narrow"/>
      </rPr>
      <t>58</t>
    </r>
    <r>
      <rPr>
        <sz val="12"/>
        <color rgb="FF000000"/>
        <rFont val="Arial Narrow"/>
      </rPr>
      <t xml:space="preserve"> Transferencias o Donaciones Corrientes </t>
    </r>
  </si>
  <si>
    <r>
      <rPr>
        <sz val="12"/>
        <color rgb="FF000000"/>
        <rFont val="Arial Narrow"/>
      </rPr>
      <t>71</t>
    </r>
    <r>
      <rPr>
        <sz val="12"/>
        <color rgb="FF000000"/>
        <rFont val="Arial Narrow"/>
      </rPr>
      <t xml:space="preserve"> Egresos en Personal para Inversión </t>
    </r>
  </si>
  <si>
    <r>
      <rPr>
        <sz val="12"/>
        <color rgb="FF000000"/>
        <rFont val="Arial Narrow"/>
      </rPr>
      <t>73</t>
    </r>
    <r>
      <rPr>
        <sz val="12"/>
        <color rgb="FF000000"/>
        <rFont val="Arial Narrow"/>
      </rPr>
      <t xml:space="preserve"> Bienes y Servicios para Inversión </t>
    </r>
  </si>
  <si>
    <r>
      <rPr>
        <sz val="12"/>
        <color rgb="FF000000"/>
        <rFont val="Arial Narrow"/>
      </rPr>
      <t>84</t>
    </r>
    <r>
      <rPr>
        <sz val="12"/>
        <color rgb="FF000000"/>
        <rFont val="Arial Narrow"/>
      </rPr>
      <t xml:space="preserve"> Bienes de Larga Duración</t>
    </r>
  </si>
  <si>
    <r>
      <rPr>
        <sz val="12"/>
        <color rgb="FF000000"/>
        <rFont val="Arial Narrow"/>
      </rPr>
      <t>99</t>
    </r>
    <r>
      <rPr>
        <sz val="12"/>
        <color rgb="FF000000"/>
        <rFont val="Arial Narrow"/>
      </rPr>
      <t xml:space="preserve"> Otros Pasivos</t>
    </r>
  </si>
  <si>
    <t>RESUMEN DE PRESUPUESTO ESTIMADO POR PROGRAMA PRESUPUESTARIO</t>
  </si>
  <si>
    <t>RESUMEN DE PRESUPUESTO ESTIMADO POR DEPENDENCIA</t>
  </si>
  <si>
    <t>2. Procuraduría General</t>
  </si>
  <si>
    <r>
      <rPr>
        <b/>
        <i/>
        <sz val="12"/>
        <color theme="1"/>
        <rFont val="Arial Narrow"/>
      </rPr>
      <t xml:space="preserve">Fuente: </t>
    </r>
    <r>
      <rPr>
        <i/>
        <sz val="12"/>
        <color theme="1"/>
        <rFont val="Arial Narrow"/>
      </rPr>
      <t>POAS 2023 de las Unidades Administrativas y Académicas de la UTMACH</t>
    </r>
  </si>
  <si>
    <r>
      <rPr>
        <b/>
        <i/>
        <sz val="12"/>
        <color theme="1"/>
        <rFont val="Arial Narrow"/>
      </rPr>
      <t>Elaboración:</t>
    </r>
    <r>
      <rPr>
        <i/>
        <sz val="12"/>
        <color theme="1"/>
        <rFont val="Arial Narrow"/>
      </rPr>
      <t xml:space="preserve"> Dirección de Planificación</t>
    </r>
  </si>
  <si>
    <r>
      <rPr>
        <b/>
        <i/>
        <sz val="12"/>
        <color theme="1"/>
        <rFont val="Arial Narrow"/>
      </rPr>
      <t>Fecha:</t>
    </r>
    <r>
      <rPr>
        <i/>
        <sz val="12"/>
        <color theme="1"/>
        <rFont val="Arial Narrow"/>
      </rPr>
      <t xml:space="preserve"> 29/09/2022</t>
    </r>
  </si>
  <si>
    <t>RECTORADO</t>
  </si>
  <si>
    <t>PLAN  OPERATIVO  ANUAL  2023</t>
  </si>
  <si>
    <t>Dependencia</t>
  </si>
  <si>
    <t>PLAN NACIONAL DE DESARROLLO</t>
  </si>
  <si>
    <t>PLAN ESTRATÉGICO DE DESARROLLO INSTITUCIONAL</t>
  </si>
  <si>
    <t>INSTITUCIONAL</t>
  </si>
  <si>
    <t>PROGRAMACIÓN DE NECESIDADES DE RECURSOS</t>
  </si>
  <si>
    <t>Objetivo Nacional</t>
  </si>
  <si>
    <t>Políticas Públicas / Meta Nacional</t>
  </si>
  <si>
    <t>Eje Estratégico</t>
  </si>
  <si>
    <t>Lineamiento Estratégico</t>
  </si>
  <si>
    <t>Objetivo Estratégico Institucional</t>
  </si>
  <si>
    <t>Producto Institucional</t>
  </si>
  <si>
    <t>Estrategia DAFO</t>
  </si>
  <si>
    <t>Meta Estratégica / Estándar de Calidad / Meta Operativa / Otras Metas</t>
  </si>
  <si>
    <t>Producto (Resultado Esperado)</t>
  </si>
  <si>
    <t>Indicador de Resultado PEDI / Estándar de Calidad / POA</t>
  </si>
  <si>
    <t>Programación Física de la Meta</t>
  </si>
  <si>
    <t>Actividades</t>
  </si>
  <si>
    <t>Medios de Verificación</t>
  </si>
  <si>
    <t>Responsable</t>
  </si>
  <si>
    <t>Información Detallada del Objeto de la Contratación</t>
  </si>
  <si>
    <t>Presupuesto Estimativo</t>
  </si>
  <si>
    <t>Cronograma de Requisiciones</t>
  </si>
  <si>
    <t>Observaciones</t>
  </si>
  <si>
    <t>Cuatrimestre 1</t>
  </si>
  <si>
    <t>Cuatrimestre 2</t>
  </si>
  <si>
    <t>Cuatrimestre 3</t>
  </si>
  <si>
    <t>Programa Presupuestario</t>
  </si>
  <si>
    <t>Código de la Partida</t>
  </si>
  <si>
    <t>Clasificador central de productos</t>
  </si>
  <si>
    <t>Nombre de la Partida / Detalle del Objeto de Contratación</t>
  </si>
  <si>
    <t>Cantidad Anual</t>
  </si>
  <si>
    <t>Costo Unitario (Dólares)</t>
  </si>
  <si>
    <t>Subtotal (Sin IVA)</t>
  </si>
  <si>
    <t>Subtotal (Incluido el IVA)</t>
  </si>
  <si>
    <t>Total por Partida</t>
  </si>
  <si>
    <t>14 FORTALECER LAS CAPACIDADES DEL ESTADO CON ÉNFASIS EN LA ADMINISTRACIÓN DE JUSTICIA Y EFICIENCIA EN LOS PROCESOS DE REGULACIÓN Y CONTROL, CON INDEPENDENCIA Y AUTONOMÍA.</t>
  </si>
  <si>
    <t>P.14.3. Fortalecer la implementación de las buenas prácticas regulatorias que garanticen la transparencia, eficiencia y competitividad del Estado.</t>
  </si>
  <si>
    <t>_6_Eficiencia_en_la_organización_y_gestión_institucional.</t>
  </si>
  <si>
    <t>2. Garantizar la sustentabilidad económico - financiera de los programas y servicios para el bienestar estudiantil (becas, servicios, movilidad estudiantil, mejora de la infraestructura, equipamiento de laboratorios, acceso a herramientas para el aprendizaje autónomo, servicios de digitalización y copiado, acceso a las rutas urbanas desde la universidad).</t>
  </si>
  <si>
    <t>OEI_1_FORTALECER_LAS_CAPACIDADES_INSTITUCIONALES.</t>
  </si>
  <si>
    <t>FORTALECIMIENTO INSTITUCIONAL</t>
  </si>
  <si>
    <t>Estrategia de REORIENTACIÓN</t>
  </si>
  <si>
    <t>Informe de ejecución presupuestaria.</t>
  </si>
  <si>
    <t>Porcentaje de Ejecución Presupuestaria.</t>
  </si>
  <si>
    <t>_8_La_calidad_como_cultura_universitaria.</t>
  </si>
  <si>
    <t>2. Fortalecer el liderazgo en todos los niveles de decisión para incrementar el compromiso de la comunidad universitaria en el logro de los objetivos institucionales.</t>
  </si>
  <si>
    <t>Sesiones del máximo órgano colegiado y demás órganos dispuestos por el Estatuto y Reglamentos institucionales, presididas.</t>
  </si>
  <si>
    <t>N° de sesiones presididas en Consejo Universitario.</t>
  </si>
  <si>
    <t>871300011</t>
  </si>
  <si>
    <t>Mantenimiento de impresora</t>
  </si>
  <si>
    <t>Servicio</t>
  </si>
  <si>
    <t>S</t>
  </si>
  <si>
    <t>Edificios, Locales Residencias (Instalación, Mantenimiento y Reparación</t>
  </si>
  <si>
    <t>547900411</t>
  </si>
  <si>
    <t>Mantenimiento de sala de Consejo Universitario</t>
  </si>
  <si>
    <t>11. Mejorar la satisfacción del servidor universitario en el ejercicio de sus funciones.</t>
  </si>
  <si>
    <t>TALENTO HUMANO FORTALECIDO</t>
  </si>
  <si>
    <t>Estrategia OFENSIVA</t>
  </si>
  <si>
    <t>Funciones para cargos académicos y/o administrativos delegadas.</t>
  </si>
  <si>
    <t>N° de designaciones encargos, subrogaciones y/o delegaciones realizadas.</t>
  </si>
  <si>
    <t>Cargos Académicos y/o Administrativos, Nombrados, Posesionados y/o Removidos.</t>
  </si>
  <si>
    <t>N° de Cargos Académicos y/o Administrativos Nombrados, Posesionados y/o Removidos.</t>
  </si>
  <si>
    <t>EJES SUSTANTIVOS INTEGRADOS</t>
  </si>
  <si>
    <t>Directrices y lineamientos a los Vicerrectores para el ejercicio de sus funciones, emitidas.</t>
  </si>
  <si>
    <t>N° de Directrices y lineamientos emitidos.</t>
  </si>
  <si>
    <t>6321000</t>
  </si>
  <si>
    <t>Gastos para la atención a delegados en eventos oficiales, protocolarios y de cooperación interinstitucional</t>
  </si>
  <si>
    <t>43934002</t>
  </si>
  <si>
    <t>Dispensadores de agua</t>
  </si>
  <si>
    <t>Unidad</t>
  </si>
  <si>
    <t>445151116</t>
  </si>
  <si>
    <t>Cafetera</t>
  </si>
  <si>
    <t>7 POTENCIAR LAS CAPACIDADES DE LA CIUDADANÍA Y PROMOVER UNA EDUCACIÓN INNOVADORA, INCLUSIVA Y DE CALIDAD EN TODOS LOS NIVELES.</t>
  </si>
  <si>
    <t>P.7.4. Generar redes de conocimiento vinculadas a la educación superior, que promuevan espacios territoriales de innovación adaptados a las necesidades de la sociedad y el sector productivo local.</t>
  </si>
  <si>
    <t>_2_Responsabilidad_social_universitaria.</t>
  </si>
  <si>
    <t>2. Participar activamente en la resolución de problemas de la región mediante el desarrollo de propuestas científicas, tecnológicas y de vinculación social pertinentes y factibles.</t>
  </si>
  <si>
    <t>OEI_4_INCREMENTAR_LA_VINCULACIÓN_CON_LA_COLECTIVIDAD.</t>
  </si>
  <si>
    <t>INTERCULTURALIDAD E IGUALDAD DE CONDICIONES FOMENTADA</t>
  </si>
  <si>
    <t>Estrategia DEFENSIVA</t>
  </si>
  <si>
    <t>Rendición anual de cuentas, presentado.</t>
  </si>
  <si>
    <t>N° de Informe de Rendición de Cuentas presentados.</t>
  </si>
  <si>
    <t>452200061</t>
  </si>
  <si>
    <t>Laptop</t>
  </si>
  <si>
    <t>45230009</t>
  </si>
  <si>
    <t>Computadoras de escritorio</t>
  </si>
  <si>
    <t>461220011</t>
  </si>
  <si>
    <t>Ups</t>
  </si>
  <si>
    <t>731250112</t>
  </si>
  <si>
    <t>Teléfono IP</t>
  </si>
  <si>
    <t>3. Gestionar fondos que permitan la sostenibilidad de recursos humanos calificados.</t>
  </si>
  <si>
    <t xml:space="preserve">Proforma presupuestaria y reformas al presupuesto; así como las propuestas de distribución de recurso de gasto no permanente provenientes de convenios y otras fuentes externas, presentadas ante Consejo Universitario. </t>
  </si>
  <si>
    <t>N° de proformas y reformas presupuestarias gestionadas para aprobación de Consejo Universitario.</t>
  </si>
  <si>
    <t>3. Promover la participación y el empoderamiento de la comunidad universitaria en la toma de decisiones institucionales.</t>
  </si>
  <si>
    <t>ASEGURAMIENTO DE LA CALIDAD</t>
  </si>
  <si>
    <t>Estrategia de SUPERVIVENCIA</t>
  </si>
  <si>
    <t>Mejoras en la ejecución de la planificación institucional gestionadas.</t>
  </si>
  <si>
    <t>N° de acciones de mejora del estándar Planificación estratégica y operativa ejecutadas.</t>
  </si>
  <si>
    <t>4523000821</t>
  </si>
  <si>
    <t>Adquisición de infraestructura tecnológica para mejoramiento de los espacios y procesos destinados a la investigación</t>
  </si>
  <si>
    <t>Adecuación de espacios físicos para la implementación de la nueva infraestructura tecnológica</t>
  </si>
  <si>
    <t>Procesos disciplinarios gestionados.</t>
  </si>
  <si>
    <t>N° de Procesos disciplinarios gestionados.</t>
  </si>
  <si>
    <t>M.7.4.2. Incrementar la tasa bruta de matrícula en educación superior terciaria del 37,34% al 50,27%.</t>
  </si>
  <si>
    <t>_3_Posicionamiento_del_modelo_educativo_integrador_y_desarrollador.</t>
  </si>
  <si>
    <t>2. Desarrollar un sistema de acompañamiento para la gestión eficaz del modelo educativo.</t>
  </si>
  <si>
    <t>OEI_2_INCREMENTAR_LA_FORMACIÓN_DE_PROFESIONALES_CON_EXCELENCIA.</t>
  </si>
  <si>
    <t>OFERTA ACADÉMICA</t>
  </si>
  <si>
    <t>Proceso de refrendación de títulos gestionados.</t>
  </si>
  <si>
    <t>N° de títulos refrendados.</t>
  </si>
  <si>
    <t>6. Afianzar la toma de decisiones basada en evidencias, para fortalecer la objetividad y confianza en la gestión universitaria.</t>
  </si>
  <si>
    <t>Procesos de contratación pública autorizados.</t>
  </si>
  <si>
    <t>N° de Procesos de contratación pública autorizados.</t>
  </si>
  <si>
    <t>_7_Internacionalización.</t>
  </si>
  <si>
    <t>2. Vincular al personal docente y de investigación a redes académicas y productivas internacionales mediante estancias, pasantías, prácticas académicas, entre otras formas de movilidad.</t>
  </si>
  <si>
    <t>PROYECTOS DE VINCULACIÓN CON LA COLECTIVIDAD</t>
  </si>
  <si>
    <t>Convenios suscritos que no comprometan recursos económicos de la institución previo informe jurídico.</t>
  </si>
  <si>
    <t>N° de Convenios suscritos.</t>
  </si>
  <si>
    <t>No aplica</t>
  </si>
  <si>
    <t>3. Fortalecer la interacción de la docencia, investigación y vinculación para el logro de los objetivos operativos del modelo educativo.</t>
  </si>
  <si>
    <t>Contratación del personal académico no titular ocasional, invitado y de apoyo académico, autorizados.</t>
  </si>
  <si>
    <t>N° de contratos de personal académico no titular ocasional, invitados y de apoyo académico realizadas.</t>
  </si>
  <si>
    <t>170700080001</t>
  </si>
  <si>
    <t>Unidades</t>
  </si>
  <si>
    <t>170700160001</t>
  </si>
  <si>
    <t>170403730001</t>
  </si>
  <si>
    <t xml:space="preserve">Audífonos </t>
  </si>
  <si>
    <t>8. Simplificar los trámites administrativos requeridos en la gestión universitaria.</t>
  </si>
  <si>
    <t>Permisos, licencias y/ o comisiones de conformidad con la ley, autorizados.</t>
  </si>
  <si>
    <t>N° de permisos, licencias y/o comisiones atendidas.</t>
  </si>
  <si>
    <t>38122001</t>
  </si>
  <si>
    <t xml:space="preserve">Escritorio </t>
  </si>
  <si>
    <t>38111021</t>
  </si>
  <si>
    <t>Sillas</t>
  </si>
  <si>
    <t>Decisiones oportunas para el buen gobierno institucional adoptadas.</t>
  </si>
  <si>
    <t>N° de decisiones oportunas adoptadas.</t>
  </si>
  <si>
    <t>Mantenimiento y reparación de la infraestructura física para la ejecución de las actividades de las funciones sustantivas de la institución</t>
  </si>
  <si>
    <t>Mejoramiento y reparación de la infraestructura física destinada a las actividades de vinculación</t>
  </si>
  <si>
    <t>5. Optimizar el desempeño institucional mediante la aplicación del principio de mejora continua.</t>
  </si>
  <si>
    <t>Planificación Operativa Anual y Evaluación de la Planificación Operativa Anual entregadas oportunamente.</t>
  </si>
  <si>
    <t>N° de Planes Operativos y Evaluaciones de Planes Operativos entregados oportunamente.</t>
  </si>
  <si>
    <t xml:space="preserve">USD $ </t>
  </si>
  <si>
    <r>
      <rPr>
        <b/>
        <sz val="11"/>
        <color rgb="FF000000"/>
        <rFont val="Arial Narrow"/>
      </rPr>
      <t xml:space="preserve">Elaborado por: </t>
    </r>
    <r>
      <rPr>
        <sz val="11"/>
        <color rgb="FF000000"/>
        <rFont val="Arial Narrow"/>
      </rPr>
      <t>Martha Rojas Lima</t>
    </r>
  </si>
  <si>
    <r>
      <rPr>
        <b/>
        <sz val="11"/>
        <color rgb="FF000000"/>
        <rFont val="Arial Narrow"/>
      </rPr>
      <t xml:space="preserve">Fecha: </t>
    </r>
    <r>
      <rPr>
        <sz val="11"/>
        <color rgb="FF000000"/>
        <rFont val="Century Schoolbook"/>
      </rPr>
      <t>21/09/2022</t>
    </r>
  </si>
  <si>
    <t>RESUMEN PRESUPUESTO ESTIMADO PARA EL 2023</t>
  </si>
  <si>
    <t>DESCRIPCIÓN</t>
  </si>
  <si>
    <t>CÓDIGO</t>
  </si>
  <si>
    <t>TOTAL</t>
  </si>
  <si>
    <t>`</t>
  </si>
  <si>
    <t>RESUMEN POR FUENTE DE FINANCIAMIENTO:</t>
  </si>
  <si>
    <t>Revisado</t>
  </si>
  <si>
    <t>RESUMEN POR GRUPO DE GASTO:</t>
  </si>
  <si>
    <t>PROCURADURÍA GENERAL</t>
  </si>
  <si>
    <t>Pronunciamientos jurídicos elaborados.</t>
  </si>
  <si>
    <t>17. DTIC</t>
  </si>
  <si>
    <t>Computador de escritorio</t>
  </si>
  <si>
    <t>4. Reestructurar el marco jurídico interno y la estructura orgánica para armonizar la gobernabilidad universitaria con las exigencias del sistema universitario actual.</t>
  </si>
  <si>
    <t xml:space="preserve">Proyectos de creación, modificación o derogación de la reglamentación 
interna de la UTMACH, elaborados.
</t>
  </si>
  <si>
    <t>Edición, Impresión, Reproducción, Publicaciones, Suscripciones, Fotocopiado, Traducción, Empastado, Enmarcación, Serigrafía, Fotografía, Carnetización, Filmación e Imágenes Satelitales.</t>
  </si>
  <si>
    <t>Suscripción a base de datos jurídica</t>
  </si>
  <si>
    <t>Servicio de fotocopiadora de trámites varios</t>
  </si>
  <si>
    <t>14. Potenciar las condiciones de trabajo docente y de investigación para desarrollar sus capacidades dinámicas.</t>
  </si>
  <si>
    <t>Informe sobre procesos contractuales emitidos.</t>
  </si>
  <si>
    <t>N° de informe sobre procesos contractuales emitidos.</t>
  </si>
  <si>
    <t>1. Mantener procesos continuos de capacitación para garantizar la implementación efectiva del modelo educativo.</t>
  </si>
  <si>
    <t>N° de convenios elaborados.</t>
  </si>
  <si>
    <t xml:space="preserve"> </t>
  </si>
  <si>
    <t>Patrocinio judicial, administrativos y constitucional Representado.</t>
  </si>
  <si>
    <t>Pagos por trámite judicial, notarial, extrajudicial o disposición de autoridades competente</t>
  </si>
  <si>
    <t>N° de criterios jurídicos unificados.</t>
  </si>
  <si>
    <t>N° de Planificaciones Operativas Anuales y Evaluaciones del POA entregados oportunamente.</t>
  </si>
  <si>
    <t>1. Fortalecer la plataforma tecnológica para la automatización de procesos, con la finalidad de mejorar la capacidad de respuesta oportuna.</t>
  </si>
  <si>
    <t>Archivo de Gestión organizado.</t>
  </si>
  <si>
    <t>DIRECCIÓN DE COMUNICACIÓN</t>
  </si>
  <si>
    <t>9. Promover un programa de actualización de competencias laborales dirigido al personal administrativo y de servicio de la institución.</t>
  </si>
  <si>
    <t>Plan Anual de Comunicación Institucional diseñado.</t>
  </si>
  <si>
    <t>* Director/a de Comunicación</t>
  </si>
  <si>
    <t>Publicidad en prensa, radio y televisión y otras actividades de difusión y promoción institucional</t>
  </si>
  <si>
    <t>Material para difusión de actividades</t>
  </si>
  <si>
    <t>Nivel de Posicionamiento y percepción de la Imagen Institucional medido.</t>
  </si>
  <si>
    <t>* Director/a de Comunicación
* Karen Rubio,
  Técnico Docente</t>
  </si>
  <si>
    <t>DPLAN: Se modifican parcialmente los egresos en la partida 840104 por superar el 20% del máximo disponible para egresos en el grupo 84 del Clasificador Presupuestario; debiendo proponerse una reforma para mover los recursos -internamente- por la Dirección, lo que deberá cumplir el trámite respectivo ante el Consejo Universitario y, posteriormente, el Ministerio de Economía y Finanzas. Se ubicará en la partida 530204 con el concepto "Material para difusión de actividades".</t>
  </si>
  <si>
    <t>Equipo fotográfico</t>
  </si>
  <si>
    <t>Pantalla táctil multimedia</t>
  </si>
  <si>
    <t>Trípode para cámara de vídeo</t>
  </si>
  <si>
    <t>Cámara fotográfica digital</t>
  </si>
  <si>
    <t>Grabadora digital de voz</t>
  </si>
  <si>
    <t>Cámara digital filmadora</t>
  </si>
  <si>
    <t>Periódicos diarios</t>
  </si>
  <si>
    <t>_1_Creatividad_e_innovación_en_la_oferta_académica.</t>
  </si>
  <si>
    <t>3. Generar espacios para la promoción y desarrollo del patrimonio natural y cultural (tangible e intangible) de la Provincia de El Oro.</t>
  </si>
  <si>
    <t>Productos comunicacionales institucionales, diseñados.</t>
  </si>
  <si>
    <t>* Director/a de Comunicación
* Cristhian Rivera y Juan José Cruz,
   Técnicos de fotografía, audio y video
* Luis Chuquirima,
  Jefe de Imprenta</t>
  </si>
  <si>
    <t>Computador IMAC de estudio</t>
  </si>
  <si>
    <t>Parlantes</t>
  </si>
  <si>
    <t>Audífonos</t>
  </si>
  <si>
    <t>Micrófono</t>
  </si>
  <si>
    <t>Interfaz de audio</t>
  </si>
  <si>
    <t>Contenidos en el portal web institucional y otros medios digitales de difusión oficial, cargados.</t>
  </si>
  <si>
    <t>* Director de Comunicación
* Karen Rubio,
  Técnico Docente</t>
  </si>
  <si>
    <t>DPLAN: Se modifican los egresos en la partida 840103 por superar el 20% del máximo disponible para egresos en el grupo 84 del Clasificador Presupuestario; debiendo proponerse una reforma para mover los recursos -internamente- por la Dirección, lo que deberá cumplir el trámite respectivo ante el Consejo Universitario y, posteriormente, el Ministerio de Economía y Finanzas. Se ubicará en la partida 530204 con el concepto "Material para difusión de actividades".</t>
  </si>
  <si>
    <t>Mantenimiento y reparación de la imprenta</t>
  </si>
  <si>
    <t>Sillón</t>
  </si>
  <si>
    <t>6. Impulsar un sistema tecnológico de comunicación interna que mejore la respuesta efectiva en la gestión administrativa.</t>
  </si>
  <si>
    <t>Informes de asesoría técnica a los procesos gobernantes emitidos.</t>
  </si>
  <si>
    <t>Partes, accesorios y piezas para las cámaras fotográficas</t>
  </si>
  <si>
    <t>Nivel de calidad y accesibilidad de la información difundida, medida.</t>
  </si>
  <si>
    <t>* Director de Comunicación
* Cristhian Rivera y Juan José Cruz,
  Técnicos de fotografía, audio y video</t>
  </si>
  <si>
    <t>* Director de Comunicación
* Hugo Gaona,
   Comunicador Social</t>
  </si>
  <si>
    <t>1.- Inventario Documental.</t>
  </si>
  <si>
    <t>* Director de Comunicación
* Hugo Gaona,
  Comunicador Social</t>
  </si>
  <si>
    <r>
      <rPr>
        <b/>
        <sz val="12"/>
        <color theme="1"/>
        <rFont val="Arial Narrow"/>
      </rPr>
      <t xml:space="preserve">Elaborado por: </t>
    </r>
    <r>
      <rPr>
        <sz val="12"/>
        <color theme="1"/>
        <rFont val="Arial Narrow"/>
      </rPr>
      <t xml:space="preserve">JUAN ANDRÉS CARVAJAL ROMERO </t>
    </r>
  </si>
  <si>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</si>
  <si>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r>
      <rPr>
        <b/>
        <sz val="12"/>
        <color theme="1"/>
        <rFont val="Arial Narrow"/>
      </rPr>
      <t xml:space="preserve">Fecha: </t>
    </r>
    <r>
      <rPr>
        <sz val="12"/>
        <color theme="1"/>
        <rFont val="Arial Narrow"/>
      </rPr>
      <t>13 de septiembre de 2022</t>
    </r>
  </si>
  <si>
    <t>SECRETARÍA GENERAL</t>
  </si>
  <si>
    <t>Convocatorias para las sesiones del Órgano Colegiado Superior emitidas.</t>
  </si>
  <si>
    <t>Actas de las Sesiones del Órgano Colegiado Superior redactadas y suscritas.</t>
  </si>
  <si>
    <t>Resoluciones del Órgano Colegiado Superior redactadas y notificadas.</t>
  </si>
  <si>
    <t>Documentación para tratamiento del Órgano Colegiado Superior administrada.</t>
  </si>
  <si>
    <t>Servicio de Certificación de documentos.</t>
  </si>
  <si>
    <t>Títulos conferidos y registrados.</t>
  </si>
  <si>
    <t>452900031</t>
  </si>
  <si>
    <t>UPS</t>
  </si>
  <si>
    <t>15 FORTALECER LAS CAPACIDADES DEL ESTADO CON ÉNFASIS EN LA ADMINISTRACIÓN DE JUSTICIA Y EFICIENCIA EN LOS PROCESOS DE REGULACIÓN Y CONTROL, CON INDEPENDENCIA Y AUTONOMÍA.</t>
  </si>
  <si>
    <t>Diseño de procesos, herramientas y/ o lineamientos de gestión
documental y archivo, gestionado.</t>
  </si>
  <si>
    <t>16 FORTALECER LAS CAPACIDADES DEL ESTADO CON ÉNFASIS EN LA ADMINISTRACIÓN DE JUSTICIA Y EFICIENCIA EN LOS PROCESOS DE REGULACIÓN Y CONTROL, CON INDEPENDENCIA Y AUTONOMÍA.</t>
  </si>
  <si>
    <t>Procesos de gestión documental y archivo, evaluados.</t>
  </si>
  <si>
    <t>1.- Inventario documental</t>
  </si>
  <si>
    <t>Instalación de mamparas de melamina e incluido puerta con chapa de pombo</t>
  </si>
  <si>
    <t>TOTAL PRESUPUESTO ESTIMATIVO SECRETARÍA GENERAL 2023:</t>
  </si>
  <si>
    <t>UNIDAD DE GESTIÓN DOCUMENTAL Y ARCHIVO</t>
  </si>
  <si>
    <t>4. Actualizar los procesos organizacionales para garantizar el comportamiento sistémico y el ajuste contextual de la institución.</t>
  </si>
  <si>
    <t>Disposición Transitoria Tercera.- La recepción y distribución de las comunicaciones internas dirigidas a las máximas autoridades se mantendrá, hasta que se implemente el sistema informático de gestión documental.</t>
  </si>
  <si>
    <t>Contratación del servicio de correo para envío de documentos, paquetes y otros</t>
  </si>
  <si>
    <t>Disposición Transitoria Tercera.- Las transferencias documentales se efectuarán una vez que se implemente la infraestructura física destinada para la conservación de los
documentos.</t>
  </si>
  <si>
    <t>Servicio prestado de consulta de documento.</t>
  </si>
  <si>
    <t>1.- POA 2024.
2.- Evaluación del POA 2023.</t>
  </si>
  <si>
    <t>Archivo General organizado.</t>
  </si>
  <si>
    <t>Deshumidificador</t>
  </si>
  <si>
    <t xml:space="preserve">Aspiradora </t>
  </si>
  <si>
    <t>Cerraduras biométricas para oficinas con huella digital</t>
  </si>
  <si>
    <t>Estudios para el mejoramiento de la infraestructura del archivo físico de la institución</t>
  </si>
  <si>
    <t>TOTAL PRESUPUESTO ESTIMATIVO UNIDAD DE GESTIÓN DOCUMENTAL Y ARCHIVO 2023:</t>
  </si>
  <si>
    <t>Elaborado por:</t>
  </si>
  <si>
    <t>Ab. Gerardo Fernández, Secretario General; Lic. Jessy Jarre Coello, Analista de Actas y Resoluciones; Ing. Roxana Sánchez Liendres, Jefe de Archivo General</t>
  </si>
  <si>
    <t>Fecha:</t>
  </si>
  <si>
    <t>13 de septiembre de 2022</t>
  </si>
  <si>
    <t>DIRECCIÓN DE PLANIFICACIÓN</t>
  </si>
  <si>
    <t>Planificación estratégica institucional implementada.</t>
  </si>
  <si>
    <t>* Abg. Oscar Sánchez López,
  Director de Planificación
* Lcda. Elizabeth Brito Arias,
  Analista de Planificación</t>
  </si>
  <si>
    <t xml:space="preserve">Unidad </t>
  </si>
  <si>
    <t>Silla tipo ejecutiva, sin brazos, espaldar en carcaza exterior en polipropileno bastidor interno en poliuretano espuma de alta densidad forrado en tela sintética</t>
  </si>
  <si>
    <t>Mesa auxiliar sala de espera</t>
  </si>
  <si>
    <t>Sofá tripersonal</t>
  </si>
  <si>
    <t xml:space="preserve">Planificación operativa anual y sus ajustes, con base a la programación de necesidades de recursos, consolidada y validada. </t>
  </si>
  <si>
    <t>N° de planes operativos anuales validados y aprobados.</t>
  </si>
  <si>
    <t>Priorización del Plan Anual de Inversiones gestionada.</t>
  </si>
  <si>
    <t>N° de priorizaciones de proyectos de inversión gestionados.</t>
  </si>
  <si>
    <t>Priorización de los proyectos de inversión realizada en el primer cuatrimestre del 2023.
* El valor de $669.241,99 serán asignados a un proyecto de investigación.</t>
  </si>
  <si>
    <t>Planificación plurianual de la política pública y/o Programación Anual de la Planificación registrada.</t>
  </si>
  <si>
    <t>N° de procesos de registro de la planificación plurianual de la política pública y/o programación anual de la planificación gestionados.</t>
  </si>
  <si>
    <t>Planes, programas y proyectos evaluados.</t>
  </si>
  <si>
    <t>N° de procesos de evaluación de planes, programas y proyectos evaluados.</t>
  </si>
  <si>
    <t xml:space="preserve">Insumos para la elaboración de la proforma presupuestaria y sus reformas emitidos. </t>
  </si>
  <si>
    <t>N° de insumos para la elaboración de la proforma presupuestaria consolidados y entregados.</t>
  </si>
  <si>
    <t>Insumos consolidados de las siguientes dependencias:
Dirección Financiera
Dirección Administrativa
Dirección de Talento Humano.</t>
  </si>
  <si>
    <t>Rendición anual de cuentas ejecutada.</t>
  </si>
  <si>
    <t>N° de fases del proceso de rendición anual de cuentas ejecutadas.</t>
  </si>
  <si>
    <t>Información registrada para el proceso de distribución de recursos y otros fines institucionales.</t>
  </si>
  <si>
    <t>N° de procesos relacionados con la distribución de recursos gestionados.</t>
  </si>
  <si>
    <t>Informes técnicos para la toma de decisiones.</t>
  </si>
  <si>
    <t>N° de informes o criterios técnicos emitidos para la toma de decisiones.</t>
  </si>
  <si>
    <t>7. Optimizar la interacción social de la universidad con los proveedores, empleados y otras partes interesadas.</t>
  </si>
  <si>
    <t>Comité de transparencia institucional en funciones.</t>
  </si>
  <si>
    <t>N° de insumos a entregar al Presidente del Comité de Transparencia para publicación de la información.</t>
  </si>
  <si>
    <t>N° de planes operativos anuales y su evaluación entregados de forma oportuna.</t>
  </si>
  <si>
    <t>N° de registros de procesos o expedientes en el inventario documental.</t>
  </si>
  <si>
    <t>TOTAL PRESUPUESTO ESTIMATIVO DIRECCIÓN DE PLANIFICACIÓN 2023:</t>
  </si>
  <si>
    <t>UNIDAD DE PLANIFICACIÓN, EVALUACIÓN Y SEGUIMIENTO</t>
  </si>
  <si>
    <t>Propuestas de normativa interna y documentos técnicos.</t>
  </si>
  <si>
    <t>N° de Propuestas de Instructivos, Guías Metodológicas o Instrumentos de Evaluación para el Diseño de la Planificación Estratégica Institucional, Planificación Operativa Anual y para el Diseño de Proyectos de Inversión; elaboradas y/o actualizadas.</t>
  </si>
  <si>
    <t>Matrices y/o módulos de la planificación operativa anual actualizados.</t>
  </si>
  <si>
    <t>N° de matrices consolidadas de la planificación operativa anual, actualizadas.</t>
  </si>
  <si>
    <t>Planificación plurianual de la política pública y/o programación anual de la planificación, y de los proyectos de inversión; registrada y evaluada.</t>
  </si>
  <si>
    <t>N° de registros de metas y registro de resultados para la evaluación de la Planificación Institucional (PI), Programación Anual de la Planificación (PAP) y de los proyectos de inversión, efectuados en la plataforma informática del órgano rector de la planificación e inversión pública.</t>
  </si>
  <si>
    <t>Reportes de resultados de la evaluación de planes, programas, proyectos y del proceso de rendición anual de cuentas, emitidos.</t>
  </si>
  <si>
    <t>N° de reportes de evaluación de planes, programas y proyectos y del proceso de rendición de cuentas emitidos para validación.</t>
  </si>
  <si>
    <t>Control Interno al levantamiento de información para el proceso de distribución de recursos aplicado.</t>
  </si>
  <si>
    <t>N° de controles aplicados al levantamiento de información para el proceso de distribución de recursos.</t>
  </si>
  <si>
    <t>Reportes para la elaboración de informes técnicos solicitados a la Dirección de Planificación emitidos.</t>
  </si>
  <si>
    <t>Plantilla de monitoreo al cumplimiento de la Ley Orgánica de Transparencia y Acceso a la Información Pública en la UTMACH emitida.</t>
  </si>
  <si>
    <t>N° de documentos de planificación operativa anual y evaluaciones de la planificación operativa anual entregadas oportunamente.</t>
  </si>
  <si>
    <t>N° de oficios recibidos, enviados y documentación generada.</t>
  </si>
  <si>
    <t>* Ec. Gisell Ríos Ríos,
  Analista de Evaluación y Control Operativo
* Ec. Eunice Basilio Banchón,
  Analista de Formulación y Control Presupuestario</t>
  </si>
  <si>
    <t>TOTAL PRESUPUESTO ESTIMATIVO UPES 2023:</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</si>
  <si>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</si>
  <si>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02 - Formación y gestión académica</t>
  </si>
  <si>
    <t>DIRECCIÓN DE BIENESTAR UNIVERSITARIO, ARTE Y CULTURA</t>
  </si>
  <si>
    <t>MATRICULADOS SEGÚN AUTOIDENTIFICACIÓN ÉTINICA</t>
  </si>
  <si>
    <t>Coordinación de eventos pluricultural de orientación vocacional</t>
  </si>
  <si>
    <t>N° de eventos de orientación vocacional dirigidos a los indígenas, afroecuatorianos y pueblos montubios.</t>
  </si>
  <si>
    <t>1.- Informe de la actividad realizada.</t>
  </si>
  <si>
    <t>5. Crear consejos consultivos para el fomento, la participación y el control social por parte de la sociedad civil y comunidad universitaria.</t>
  </si>
  <si>
    <t>Ejecución de programas y espacios de integración para promover la participación de grupos históricamente vulnerables.</t>
  </si>
  <si>
    <t>N° de programas y espacios de integración intercultural desarrollados.</t>
  </si>
  <si>
    <t>* Lcdo. Carlos Carchi,
  Psicólogo Educativo
* Psci. Marela Gómez,
  Psicóloga Clínica DBU</t>
  </si>
  <si>
    <t>32600.00.1</t>
  </si>
  <si>
    <t>AGENDAS UNIVERSITARIAS DE DIFUSIÓN DE SERVICIOS DE BIENESTAR ARTE Y CULTURA.</t>
  </si>
  <si>
    <t>83610.00.2</t>
  </si>
  <si>
    <t>ROLL UP</t>
  </si>
  <si>
    <t>LÁMINAS DE PVC</t>
  </si>
  <si>
    <t>Socialización de programas de participación de grupos vulnerables.</t>
  </si>
  <si>
    <t>N° de participaciones de grupos vulnerables e históricamente excluidos en eventos y acciones desarrolladas en la comunidad universitaria.</t>
  </si>
  <si>
    <t>Seguimiento y evaluación a la Planificación de Igualdad Institucional, dirigido.</t>
  </si>
  <si>
    <t>N° de seguimiento y evaluación a la Planificación de Igualdad Institucional, dirigidos.</t>
  </si>
  <si>
    <t>Planificación, implementación y evaluación de actividades, programas y proyectos relacionados con el Bienestar Universitario, gestionado.</t>
  </si>
  <si>
    <t>N° de programas y proyectos relacionados con el Bienestar Universitario, planificados.</t>
  </si>
  <si>
    <t>N° de articulaciones  de las acciones, actividades, programas, proyectos y convenios con instituciones públicas y privadas relacionadas con el Bienestar Universitario, Arte y Cultura.</t>
  </si>
  <si>
    <t>MANTENIMIENTO PREVENTIVO Y/O CORRECTIVO INCLUYENDO REPUESTOS SILLONES ODONTOLÓGICOS</t>
  </si>
  <si>
    <t>MANTENIMIENTO PREVENTIVO Y/O CORRECTIVO INCLUYENDO REPUESTOS DE FILTROS DE AGUA DE CONSULTORIOS ODONTOLÓGICOS</t>
  </si>
  <si>
    <t>44811.00</t>
  </si>
  <si>
    <t>ESTERILIZADOR</t>
  </si>
  <si>
    <t>EXTRACTOR DE LECHE ELÉCTRICO</t>
  </si>
  <si>
    <t>Caja</t>
  </si>
  <si>
    <t>35290.10.9</t>
  </si>
  <si>
    <t>CAMILLAS RÍGIDAS</t>
  </si>
  <si>
    <t>49922.00</t>
  </si>
  <si>
    <t>SILLAS DE RUEDAS</t>
  </si>
  <si>
    <t xml:space="preserve">TANQUE DE OXÍGENO </t>
  </si>
  <si>
    <t>ELECTROCARDIÓGRAFO</t>
  </si>
  <si>
    <t>N° de instrumentos técnicos, validados.</t>
  </si>
  <si>
    <t>BECA EXCELENCIA TIPO A</t>
  </si>
  <si>
    <t>BECA EXCELENCIA TIPO B</t>
  </si>
  <si>
    <t>BECA EXCELENCIA TIPO C</t>
  </si>
  <si>
    <t>AYUDA ECONÓMICA B Y C</t>
  </si>
  <si>
    <t>AYUDA ECONÓMICA TIPO A</t>
  </si>
  <si>
    <t>AYUDA ECONÓMICA TIPO B</t>
  </si>
  <si>
    <t>AYUDA ECONÓMICA TIPO C</t>
  </si>
  <si>
    <t>45220.00</t>
  </si>
  <si>
    <t xml:space="preserve">TABLET </t>
  </si>
  <si>
    <t>CONTRATO PENDIENTE - SIM  CARD CON SERVICIOS DE DATOS (FACTURA PENDIENTE DE PAGO)</t>
  </si>
  <si>
    <t>Socialización y difusión de los programas de becas, créditos educativos, ayudas económicas y estímulos que otorga la Senescyt y la UTMACH, dirigidos.</t>
  </si>
  <si>
    <t>N° de programas de ayudas socio-económicas facilitados por la UTMACH y la Senescyt, dirigidos.</t>
  </si>
  <si>
    <t>Servicios asistenciales, otorgados.</t>
  </si>
  <si>
    <t>N° de beneficiarios de la póliza de seguro de vida y accidentes personales, otorgados.</t>
  </si>
  <si>
    <t>71320.00</t>
  </si>
  <si>
    <t>SEGURO DE VIDA Y ACCIDENTES PERSONALE, PARA ESTUDIANTES</t>
  </si>
  <si>
    <t>Acciones para la promoción de ambientes libres de violencia, igualdad de oportunidades entre los miembros de la comunidad universitaria, promovidos.</t>
  </si>
  <si>
    <t>N° de acciones de promoción de espacios libres de violencia e igualdad de oportunidades, promovidos.</t>
  </si>
  <si>
    <t>38440.03</t>
  </si>
  <si>
    <t>38440.00.4</t>
  </si>
  <si>
    <t>TABLERO DE BASQUET</t>
  </si>
  <si>
    <t>RED DE ECUAVOLEY</t>
  </si>
  <si>
    <t>Uso de los espacios físicos dedicados al expendio de alimentos, bebidas, fotocopiado y otros, administrado y planificado.</t>
  </si>
  <si>
    <t>10. Gestionar actividades socio-recreativas que mejoren la identificación y sentido de pertenencia del servidor universitario.</t>
  </si>
  <si>
    <t>Programas para estimular el desempeño de las y los estudiantes en la práctica de actividades científicas, deportivas y culturales, gestionado.</t>
  </si>
  <si>
    <t>N° de programas científicos, deportivos y culturales, ejecutados.</t>
  </si>
  <si>
    <t>43913.01.1</t>
  </si>
  <si>
    <t>BEBEDEROS DE AGUA PURIFICADA</t>
  </si>
  <si>
    <t>BASES MÓVILES REGLAMENTARIAS PARA BASQUET</t>
  </si>
  <si>
    <t>Denuncias respectivas, a las instancias institucionales competentes, en caso de delitos sexuales u otros que atenten a los derechos de los miembros de la comunidad universitaria, direccionadas.</t>
  </si>
  <si>
    <t>N° de denuncias en caso de delitos sexuales u otros que atenten a los derechos de los miembros de la comunidad universitaria, recibidas.</t>
  </si>
  <si>
    <t>N° de planificaciones anuales y evaluaciones del POA entregadas oportunamente.</t>
  </si>
  <si>
    <t>1.- Elaborar el POA 2024.
2.- Evaluar el POA 2023.</t>
  </si>
  <si>
    <t>N° de Archivos de Gestión organizado.</t>
  </si>
  <si>
    <t>1.- Inventario documental.</t>
  </si>
  <si>
    <t>TOTAL PRESUPUESTO ESTIMATIVO DIRECCIÓN DE BIENESTAR UNIVERSITARIO 2023:</t>
  </si>
  <si>
    <t>UNIDAD DE SERVICIOS DE ASISTENCIA SOCIAL</t>
  </si>
  <si>
    <t>Asesoramiento al personal técnico de las áreas involucradas en la sección de asistencia social, efectuado.</t>
  </si>
  <si>
    <t xml:space="preserve">N° de asesoramientos al personal técnico de las áreas involucradas en la sección de asistencia social, efectuado. </t>
  </si>
  <si>
    <t>Servicios de los espacios dedicados al expendio de alimentos, bebidas, fotocopiado y otros, coordinado.</t>
  </si>
  <si>
    <t>N° de informes de servicios y de los espacios dedicados al expendio de alimentos, bebidas, fotocopiado y otros, coordinado.</t>
  </si>
  <si>
    <t>Control de la ejecución de los programas de acción social y afirmativa de la UTMACH, efectuados.</t>
  </si>
  <si>
    <t>Instrumentos técnicos para el análisis de los postulantes a los beneficios de becas y ayudas económicas, diseñados.</t>
  </si>
  <si>
    <t>Ejecución de planes, programas y proyectos de las áreas de trabajo social, psicología, deporte y recreación, coordinados.</t>
  </si>
  <si>
    <t>N° de planes, programas y proyectos de las áreas de trabajo social, psicología, deporte y recreación, coordinadas.</t>
  </si>
  <si>
    <t>Estudios socioeconómicos para el otorgamiento de becas y ayudas económicas a los estudiantes, efectuados.</t>
  </si>
  <si>
    <t>N° de fichas validadas para el otorgamiento de becas y ayudas económicas, efectuadas.</t>
  </si>
  <si>
    <t>Asesoramiento para el proceso de adaptaciones curriculares de las y los estudiantes con necesidades educativas especiales, coordinado.</t>
  </si>
  <si>
    <t>N° de asesoramientos para el proceso de adaptaciones curriculares de las y los estudiantes con necesidades educativas especiales, coordinado.</t>
  </si>
  <si>
    <t>N° de archivos de gestión organizados.</t>
  </si>
  <si>
    <t>TOTAL PRESUPUESTO ESTIMATIVO UNIDAD DE SERVICIOS DE ASISTENCIA SOCIAL 2023:</t>
  </si>
  <si>
    <t>UNIDAD DE ARTE Y CULTURA</t>
  </si>
  <si>
    <t>Planificación anual y mensual de las actividades, realizadas.</t>
  </si>
  <si>
    <t>N° de Planificación anual y mensual de las actividades, realizadas.</t>
  </si>
  <si>
    <t>N° de participaciones de los grupos artísticos no planificados en la Agenda Cultural.</t>
  </si>
  <si>
    <t>Agenda de actividades ejecutadas.</t>
  </si>
  <si>
    <t>N° de Actividades de la Agenda  cultural a realizar.</t>
  </si>
  <si>
    <t>Contenidos Culturales creados para difusión en medios.</t>
  </si>
  <si>
    <t>N° de programas creados en audiovisuales y en boletines de prensa.</t>
  </si>
  <si>
    <t>Actividades en materia de arte y cultura organizadas por las distintas facultades y/ o dependencias de la UTMACH, asistidas.</t>
  </si>
  <si>
    <t>N° de Actividades en materia de arte y cultura organizadas por las distintas facultades y/ o dependencias de la UTMACH., asistidas.</t>
  </si>
  <si>
    <t>Relaciones interinstitucionales que promueven la interculturalidad y la internacionalización, gestionadas.</t>
  </si>
  <si>
    <t>N° de grupos artísticos nacionales e internacionales conformados por  distintas comunidades universitarias.</t>
  </si>
  <si>
    <t>N° de carpetas de la Documentación de la Dirección de Cultura y Arte, organizados y registrados en el Inventario documental.</t>
  </si>
  <si>
    <t>47331.05.1</t>
  </si>
  <si>
    <t>38350.01.1</t>
  </si>
  <si>
    <t>AMPLIFICADOR DE GUITARRA</t>
  </si>
  <si>
    <t>38340.01.1</t>
  </si>
  <si>
    <t>BATERÍAS ELECTRÓNICAS</t>
  </si>
  <si>
    <t>38350.00.1</t>
  </si>
  <si>
    <t>PEDALES DE BOMBO</t>
  </si>
  <si>
    <t>38119.00</t>
  </si>
  <si>
    <t>ASIENTOS</t>
  </si>
  <si>
    <t>GUITARRAS ACÚSTICAS</t>
  </si>
  <si>
    <t>47331.00.1</t>
  </si>
  <si>
    <t>MICRÓFONO ALAMBRICO</t>
  </si>
  <si>
    <t>KIT DE MICROFONO PARA BATERIA</t>
  </si>
  <si>
    <t>46213.00.1</t>
  </si>
  <si>
    <t>CONSOLA ANÁLOGA</t>
  </si>
  <si>
    <t>BAJO ELECTRICO DE 5 CUERDAS</t>
  </si>
  <si>
    <t>PEDAL DE DISTORSION</t>
  </si>
  <si>
    <t>38310.00.1</t>
  </si>
  <si>
    <t>47402.02</t>
  </si>
  <si>
    <t>38360.00.1</t>
  </si>
  <si>
    <t>CABLES PARA PATCHERA</t>
  </si>
  <si>
    <t>PEDESTAL</t>
  </si>
  <si>
    <t>42942.01.1</t>
  </si>
  <si>
    <t>31700.11</t>
  </si>
  <si>
    <t>TARIMA  9X9</t>
  </si>
  <si>
    <t>48322.01</t>
  </si>
  <si>
    <t>CÁMARA FOTOGRÁFICA</t>
  </si>
  <si>
    <t>ESTABILIZADOR PARA CELULAR</t>
  </si>
  <si>
    <t>TOTAL PRESUPUESTO ESTIMATIVO UNIDAD DE ARTE Y CULTURA 2023:</t>
  </si>
  <si>
    <t>TOTAL PRESUPUESTO ESTIMATIVO DIRECCIÓN DE BIENESTAR UNIVERSITARIO, ARTE Y CULTURA 2023:</t>
  </si>
  <si>
    <t>HEISER BARRETO</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</si>
  <si>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</si>
  <si>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DIRECCIÓN DE ASEGURAMIENTO DE LA CALIDAD</t>
  </si>
  <si>
    <t>Porcentaje de actualización del sistema de gestión de quejas y denuncias.</t>
  </si>
  <si>
    <t>* Abg. Melina Sánchez,
  Directora de la DAC
* Econ. Lissete Chuchuca,
  Analista de Evaluación Interna y Gestión de la Calidad
* Ing. Mónica Jara Carrasco,
  Analista de Evaluación Interna y Gestión de la Calidad</t>
  </si>
  <si>
    <t>483231018</t>
  </si>
  <si>
    <t>439140018</t>
  </si>
  <si>
    <t>Dispensador Agua Fria Caliente Refrigerador</t>
  </si>
  <si>
    <t>439130111</t>
  </si>
  <si>
    <t>Porcentaje de ejecución del plan de aseguramiento de la calidad.</t>
  </si>
  <si>
    <t xml:space="preserve">	452900028</t>
  </si>
  <si>
    <t xml:space="preserve">Switch de video Hdmi </t>
  </si>
  <si>
    <t xml:space="preserve">	452900012</t>
  </si>
  <si>
    <t>46122001</t>
  </si>
  <si>
    <t xml:space="preserve">	452900011</t>
  </si>
  <si>
    <t>Teclado</t>
  </si>
  <si>
    <t>452900013</t>
  </si>
  <si>
    <t>472200415</t>
  </si>
  <si>
    <t>Autoevaluación Institucional ejecutada y socializada.</t>
  </si>
  <si>
    <t>45220009</t>
  </si>
  <si>
    <t xml:space="preserve">	452200016</t>
  </si>
  <si>
    <t>452900015</t>
  </si>
  <si>
    <t>Directrices para la conducción de los procesos de autoevaluación de la Universidad Técnica de Machala, gestionadas.</t>
  </si>
  <si>
    <t>831110916</t>
  </si>
  <si>
    <t>Servicios de asesoría externa para el proceso de autoevaluación</t>
  </si>
  <si>
    <t>543410111</t>
  </si>
  <si>
    <t>Adecuación de estaciones de trabajo de personal que labora en la Dirección de Aseguramiento de la Calidad y otras unidades que se utilizan en autoevaluación</t>
  </si>
  <si>
    <t xml:space="preserve">	547900411</t>
  </si>
  <si>
    <t>Ejecución de medidas correctivas en las instalaciones de docencia para la evaluación y autoevaluación</t>
  </si>
  <si>
    <t>Autoevaluación de carreras y/o programas gestionados.</t>
  </si>
  <si>
    <t>Aseguramiento de la Calidad gestionado.</t>
  </si>
  <si>
    <t>38111023110</t>
  </si>
  <si>
    <t>Silla oficina ejecutiva giratoria ergonómica</t>
  </si>
  <si>
    <t>3811102518</t>
  </si>
  <si>
    <t>Sillas atención a usuarios</t>
  </si>
  <si>
    <t xml:space="preserve">	326000955</t>
  </si>
  <si>
    <t>Informes Técnicos aprobados.</t>
  </si>
  <si>
    <t>292200113</t>
  </si>
  <si>
    <t xml:space="preserve">Mochila grande Loneta </t>
  </si>
  <si>
    <t>Procesos de capacitación y asesoría dirigidos.</t>
  </si>
  <si>
    <t>512900011</t>
  </si>
  <si>
    <t>Alojamiento de archivo en nube (DROPBOX)</t>
  </si>
  <si>
    <t xml:space="preserve">	4529000116</t>
  </si>
  <si>
    <t>* Abg. Melina Sánchez,
  Directora de la DAC
* Econ. Lissete Chuchuca,
  Analista de Evaluación Interna y Gestión de la Calidad
*  Ing. Mónica Jara Carrasco,
  Analista de Evaluación Interna y Gestión de la Calidad</t>
  </si>
  <si>
    <t>TOTAL PRESUPUESTO ESTIMATIVO DIRECCIÓN DE ASEGURAMIENTO DE LA CALIDAD 2023:</t>
  </si>
  <si>
    <r>
      <rPr>
        <b/>
        <sz val="11"/>
        <color theme="1"/>
        <rFont val="Arial Narrow"/>
      </rPr>
      <t xml:space="preserve">Elaborado por: </t>
    </r>
    <r>
      <rPr>
        <sz val="11"/>
        <color theme="1"/>
        <rFont val="Arial Narrow"/>
      </rPr>
      <t>Equipo DAC</t>
    </r>
  </si>
  <si>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</si>
  <si>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r>
      <rPr>
        <b/>
        <sz val="11"/>
        <color theme="1"/>
        <rFont val="Arial Narrow"/>
      </rPr>
      <t xml:space="preserve">Fecha: </t>
    </r>
    <r>
      <rPr>
        <sz val="11"/>
        <color theme="1"/>
        <rFont val="Century Schoolbook"/>
      </rPr>
      <t>13/09/2022</t>
    </r>
  </si>
  <si>
    <t>VICERRECTORADO DE INVESTIGACIÓN, VINCULACIÓN Y POSGRADO</t>
  </si>
  <si>
    <t>Consejo de Investigación, Vinculación y Posgrado, presididas.</t>
  </si>
  <si>
    <t>_5_Transferencia_y_producción_del_conocimiento.</t>
  </si>
  <si>
    <t>1. Fortalecer las capacidades de la comunidad para facilitar el emprendimiento.</t>
  </si>
  <si>
    <t>Planificación estratégica de Investigación, Vinculación, y Posgrado impulsada.</t>
  </si>
  <si>
    <t>Pago de inscripciones y publicaciones a eventos académicos on line</t>
  </si>
  <si>
    <t>Pago de servicios de traducción, edición y publicación de artículos en revistas científicas</t>
  </si>
  <si>
    <t>M.7.4.1. Incrementar los artículos publicados por las universidades y escuelas politécnicas en revistas indexadas de 6.624 a 12.423.</t>
  </si>
  <si>
    <t>_4_Competitividad_de_la_investigación_e_innovación_universitaria.</t>
  </si>
  <si>
    <t>1. Desarrollar proyectos de investigación competitivos que respondan a los requerimientos del contexto institucional.</t>
  </si>
  <si>
    <t>OEI_3_INCREMENTAR_LA_PRODUCCIÓN_CIENTÍFICA_Y_TECNOLÓGICA.</t>
  </si>
  <si>
    <t>Propuesta de actualización de los Dominios Científicos y Líneas de Investigación, liderada.</t>
  </si>
  <si>
    <t xml:space="preserve">Adquisición de boletos aéreos en el exterior para la ejecución de carteras de proyectos de investigación vigentes </t>
  </si>
  <si>
    <t xml:space="preserve">Viáticos y Subsistencias en el Exterior para la ejecución de carteras de proyectos de investigación vigentes </t>
  </si>
  <si>
    <t>INVESTIGACIONES</t>
  </si>
  <si>
    <t>Instrumentos para la gestión de fondos internos y/ o externos para el desarrollo de la Investigación, Vinculación, y Posgrado propuestos e implementados.</t>
  </si>
  <si>
    <t>11. Potenciar investigaciones que generen registros de propiedad intelectual.</t>
  </si>
  <si>
    <t>Instrumentos para la protección de los derechos intelectuales de los productos derivados de los procesos de Investigación, Desarrollo e innovación (I+D+i), propuestos e implementados.</t>
  </si>
  <si>
    <t>Pago de servicio de registro ante SENADI</t>
  </si>
  <si>
    <t>6. Revalorizar la participación docente en proyectos de vinculación con fines de acceso a mejoras escalafonarias y/o de méritos para evaluación docente.</t>
  </si>
  <si>
    <t>Procesos de Investigación, Vinculación, y Posgrado gestionados.</t>
  </si>
  <si>
    <t>Pago de membresías a redes académicas y/o de investigación</t>
  </si>
  <si>
    <t>Convocatorias, portafolios de programas y/ o proyectos de 
investigación, vinculación, posgrado y su posterior proceso de cierre técnico, académico y administrativo, propuestos e implementados.</t>
  </si>
  <si>
    <t xml:space="preserve">Organismos, comités y comisiones, que señale la ley, los reglamentos, el Estatuto y la normativa interna, así como también las delegadas por el rector, dentro de las competencias que le son propias o determinadas por el  Consejo Universitario, integrados y presididos. </t>
  </si>
  <si>
    <t xml:space="preserve">Computadora de escritorio  para la ejecución de carteras de proyectos de investigación vigentes </t>
  </si>
  <si>
    <t>Distribución del recurso presupuestario asignado a su gestión, de conformidad con su misión y en concordancia con la normativa vigente, propuesto.</t>
  </si>
  <si>
    <t>9. Implementar un sistema de incentivos que reconozca la producción investigadora del docente universitario.</t>
  </si>
  <si>
    <t>Proceso de reconocimiento del personal académico con relación a los resultados de investigación, desarrollo e innovación, dirigido.</t>
  </si>
  <si>
    <t>4. Aumentar la producción, competitividad y posicionamiento de la editorial universitaria.</t>
  </si>
  <si>
    <t>Actividades relacionadas con la Unidad Editorial, supervisadas.</t>
  </si>
  <si>
    <t xml:space="preserve">Actividades de Investigación, Vinculación, y Posgrado propuestas por las direcciones a su cargo, avaladas y certificadas. </t>
  </si>
  <si>
    <t xml:space="preserve">Plan anual de cursos en competencias investigativas </t>
  </si>
  <si>
    <t xml:space="preserve">Programas de cuarto nivel, fomentados. </t>
  </si>
  <si>
    <t xml:space="preserve">Plan Anual de Becas y sus expedientes académicos, organizados oportunamente. </t>
  </si>
  <si>
    <t>Planificación Operativa Anual y Evaluación de la Planificación 
Operativa Anual entregadas oportunamente.</t>
  </si>
  <si>
    <t>Archivo de gestión organizado.</t>
  </si>
  <si>
    <t>1.- Inventario Documental</t>
  </si>
  <si>
    <t>TOTAL PRESUPUESTO ESTIMATIVO VICERRECTORADO ACADÉMICO 2023:</t>
  </si>
  <si>
    <t>EDITORIAL</t>
  </si>
  <si>
    <r>
      <rPr>
        <b/>
        <sz val="10"/>
        <color rgb="FFFF0000"/>
        <rFont val="Arial Narrow"/>
      </rPr>
      <t>METAS OPERATIVAS</t>
    </r>
    <r>
      <rPr>
        <b/>
        <sz val="9"/>
        <color theme="1"/>
        <rFont val="Century Schoolbook"/>
      </rPr>
      <t xml:space="preserve">
1.-</t>
    </r>
    <r>
      <rPr>
        <sz val="10"/>
        <color theme="1"/>
        <rFont val="Arial Narrow"/>
      </rPr>
      <t xml:space="preserve"> Desarrollar y actualizar la política y planificación editorial de la UTMACH.</t>
    </r>
  </si>
  <si>
    <t>Política y planificación editorial de la UTMACH, desarrollada y
actualizada.</t>
  </si>
  <si>
    <r>
      <rPr>
        <b/>
        <sz val="9"/>
        <color theme="1"/>
        <rFont val="Century Schoolbook"/>
      </rPr>
      <t>2.-</t>
    </r>
    <r>
      <rPr>
        <sz val="10"/>
        <color theme="1"/>
        <rFont val="Arial Narrow"/>
      </rPr>
      <t xml:space="preserve"> Diseñar convocatorias académicas y/o científicas para la producción editorial incluyendo su línea gráfica.</t>
    </r>
  </si>
  <si>
    <t>Convocatorias académicas y/ o científicas para la producción editorial
incluyendo su línea gráfica, diseñadas.</t>
  </si>
  <si>
    <r>
      <rPr>
        <b/>
        <sz val="9"/>
        <color theme="1"/>
        <rFont val="Century Schoolbook"/>
      </rPr>
      <t>3.-</t>
    </r>
    <r>
      <rPr>
        <sz val="10"/>
        <color theme="1"/>
        <rFont val="Arial Narrow"/>
      </rPr>
      <t xml:space="preserve"> Diseñar e implementar instrumentos y/o herramientas para la gestión operativa de los procesos editoriales.</t>
    </r>
  </si>
  <si>
    <t>Instrumentos y/ o herramientas para la gestión operativa de los
procesos editoriales, diseñadas e implementadas.</t>
  </si>
  <si>
    <t>Productos editoriales académicos y/ o científicos editados y revisados.</t>
  </si>
  <si>
    <t>Productos editoriales académicos y/o científicos difundidos y revisado.</t>
  </si>
  <si>
    <t xml:space="preserve">Kit de jaula </t>
  </si>
  <si>
    <t xml:space="preserve">Batería recargable </t>
  </si>
  <si>
    <r>
      <rPr>
        <sz val="10"/>
        <color theme="1"/>
        <rFont val="Arial Narrow"/>
      </rPr>
      <t>Cámara de fotográfica y/o video</t>
    </r>
  </si>
  <si>
    <t>Publicaciones periódicas, y otros productos editoriales vinculados a eventos académicos.</t>
  </si>
  <si>
    <t>Acciones para promover e incentivar la producción científica de los docentes universitarios en la Editorial, coordinadas.</t>
  </si>
  <si>
    <r>
      <rPr>
        <b/>
        <sz val="9"/>
        <color theme="1"/>
        <rFont val="Century Schoolbook"/>
      </rPr>
      <t>9.-</t>
    </r>
    <r>
      <rPr>
        <b/>
        <sz val="10"/>
        <color theme="1"/>
        <rFont val="Arial Narrow"/>
      </rPr>
      <t xml:space="preserve"> </t>
    </r>
    <r>
      <rPr>
        <sz val="10"/>
        <color theme="1"/>
        <rFont val="Arial Narrow"/>
      </rPr>
      <t>Diseñar, diagramar, imprimir y/o digitalizar documentos de la editorial.</t>
    </r>
  </si>
  <si>
    <t>Documentos diseñados, diagramados, impresos y/ o digitalizados.</t>
  </si>
  <si>
    <t>Servicio de impresión de material gráfico publicitario y académico: (Roll ups, Banners, Afiches, Trípticos, Manuales, Guías, Libros)</t>
  </si>
  <si>
    <t>Licencia para gestión editorial (ADOBE)</t>
  </si>
  <si>
    <t>Licencia Paperpile</t>
  </si>
  <si>
    <t>Bases de datos de la Unidad Editorial, administradas y gestionadas.</t>
  </si>
  <si>
    <t>Envato Elements</t>
  </si>
  <si>
    <t>Elementor</t>
  </si>
  <si>
    <t xml:space="preserve">Slider revolution </t>
  </si>
  <si>
    <t>ASTRA</t>
  </si>
  <si>
    <t>SMASH BALLOON</t>
  </si>
  <si>
    <t>iThemes Security Pro</t>
  </si>
  <si>
    <r>
      <rPr>
        <b/>
        <sz val="9"/>
        <color theme="1"/>
        <rFont val="Century Schoolbook"/>
      </rPr>
      <t>11.-</t>
    </r>
    <r>
      <rPr>
        <sz val="10"/>
        <color theme="1"/>
        <rFont val="Arial Narrow"/>
      </rPr>
      <t xml:space="preserve"> Desarrollar y actualizar sistemas informáticos para la Unidad Editorial.</t>
    </r>
  </si>
  <si>
    <t>Sistemas informáticos para la Unidad Editorial, desarrolladas y
actualizadas.</t>
  </si>
  <si>
    <r>
      <rPr>
        <b/>
        <sz val="9"/>
        <color theme="1"/>
        <rFont val="Century Schoolbook"/>
      </rPr>
      <t>12.-</t>
    </r>
    <r>
      <rPr>
        <sz val="10"/>
        <color theme="1"/>
        <rFont val="Arial Narrow"/>
      </rPr>
      <t xml:space="preserve"> Colaborar con las actividades y/o eventos académicos planificados por el Vicerrectorado de Investigación, Vinculación y Posgrado.</t>
    </r>
  </si>
  <si>
    <t>Actividades y/ o eventos académicos planificados por el Vicerrectorado de Investigación, Vinculación y Posgrado.</t>
  </si>
  <si>
    <r>
      <rPr>
        <b/>
        <sz val="9"/>
        <color theme="1"/>
        <rFont val="Century Schoolbook"/>
      </rPr>
      <t>13.-</t>
    </r>
    <r>
      <rPr>
        <sz val="10"/>
        <color theme="1"/>
        <rFont val="Arial Narrow"/>
      </rPr>
      <t xml:space="preserve"> Entregar oportunamente la Planificación Operativa Anual y su respectiva evaluación.</t>
    </r>
  </si>
  <si>
    <t>Planificación Operativa Anual y Evaluación de la Planificación
Operativa Anual entregadas oportunamente.</t>
  </si>
  <si>
    <r>
      <rPr>
        <b/>
        <sz val="9"/>
        <color theme="1"/>
        <rFont val="Century Schoolbook"/>
      </rPr>
      <t>14.-</t>
    </r>
    <r>
      <rPr>
        <sz val="10"/>
        <color theme="1"/>
        <rFont val="Arial Narrow"/>
      </rPr>
      <t xml:space="preserve"> Organizar el Archivo de Gestión.</t>
    </r>
  </si>
  <si>
    <t>TOTAL PRESUPUESTO ESTIMATIVO DE LA EDITORIAL 2023:</t>
  </si>
  <si>
    <t>TOTAL PRESUPUESTO ESTIMATIVO VICERRECTORADO DE INVESTIGACIÓN, VINCULACIÓN Y POSGRADO 2023:</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</si>
  <si>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</si>
  <si>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DIRECCIÓN DE INVESTIGACIÓN, DESARROLLO E INNOVACIÓN</t>
  </si>
  <si>
    <t>Porcentaje de implementación del modelo de transferencia tecnológica y científica.</t>
  </si>
  <si>
    <t>Programas, proyectos, actividades, normativa, colectivos u otros procesos relacionados con la investigación, el desarrollo y la innovación, gestionados.</t>
  </si>
  <si>
    <t>N° de proyectos de investigación aprobados.</t>
  </si>
  <si>
    <t>N° de proyectos de investigación formativa y científica con publicaciones o resultados de impacto en los que participan estudiantes.</t>
  </si>
  <si>
    <t>Proyectos de investigación en fase de transferencia tecnológica con nivel de impacto evaluado.</t>
  </si>
  <si>
    <t>N° de proyectos de investigación en fase de transferencia tecnológica con nivel de impacto evaluado.</t>
  </si>
  <si>
    <t>N° de proyectos de investigación con impacto internacional que formen parte del modelo de transferencia tecnológica y científica orientado a atender los nudos problematizadores identificados a nivel zonal.</t>
  </si>
  <si>
    <t>Planificación de Investigación, Desarrollo e Innovación, dirigida.</t>
  </si>
  <si>
    <t>N° de proyectos de investigación cerrados.</t>
  </si>
  <si>
    <t>Contratación de Licencia PLUGGIN para la página web de la Dirección de investigación y otras aplicaciones web que gestiona la Dependencia</t>
  </si>
  <si>
    <t>Licencia ELOGUIM</t>
  </si>
  <si>
    <t>Renovación de Licencia ECUAPASS</t>
  </si>
  <si>
    <t>Renovación de licencias para la ejecución de proyectos de investigación (Licencia MAXQDA, Licencia Smart-Pls y licencias para análisis de datos)</t>
  </si>
  <si>
    <t>10. Diseñar estrategias de visibilidad y posicionamiento de la producción de los investigadores de la UTMACH, evidenciada en el incremento de las referencias.</t>
  </si>
  <si>
    <t>Planes específicos de capacitación para el desarrollo y fomento de competencias en investigación, desarrollo e innovación, desarrollados.</t>
  </si>
  <si>
    <t>N° de programas de formación y actualización de competencias investigativas diseñados y actualizados.</t>
  </si>
  <si>
    <t>5. Fortalecer la creación de medios de difusión científica (revistas, proceedings) potencialmente indexables en corriente principal.</t>
  </si>
  <si>
    <t>Procesos relacionados con la divulgación y difusión del conocimiento científico, gestionados y dirigidos.</t>
  </si>
  <si>
    <t>N° de eventos científicos gestionados y dirigidos.</t>
  </si>
  <si>
    <t>Procesos para el reconocimiento al profesorado y estudiantado en relación con sus resultados de investigación, desarrollo e innovación, gestionados y dirigidos.</t>
  </si>
  <si>
    <t>N° de programas para el reconocimiento al profesorado y estudiantado gestionados.</t>
  </si>
  <si>
    <t xml:space="preserve">Políticas vigentes para el desarrollo de la propiedad intelectual de los productos derivados de los procesos I+D+i, diseñadas y aplicadas. </t>
  </si>
  <si>
    <t>N° de políticas vigentes para el desarrollo de la propiedad intelectual de los productos derivados de los procesos I+D+i diseñadas y aplicadas.</t>
  </si>
  <si>
    <t>N° de procesos y productos de investigación en los programas de formación de tercer y cuarto nivel, y procesos de perfeccionamiento académico, gestionados.</t>
  </si>
  <si>
    <t>Revisión ética de los procesos o productos de investigación, desarrollo e innovación, gestionada.</t>
  </si>
  <si>
    <t>N° de revisiones éticas de los procesos de investigación, desarrollo e innovación, gestionados.</t>
  </si>
  <si>
    <t>8. Gestionar, a partir de las redes y convenios interinstitucionales, la participación de los grupos de investigación consolidados en proyectos con financiamiento externo.</t>
  </si>
  <si>
    <t>Criterios técnicos para la toma de decisiones relacionados con las actividades de investigación, desarrollo e innovación, emitidos.</t>
  </si>
  <si>
    <t>N° de Criterios técnicos para la toma de decisiones relacionados con las actividades de investigación, desarrollo e innovación, emitidos.</t>
  </si>
  <si>
    <t>N° de Certificaciones codificadas emitidas.</t>
  </si>
  <si>
    <t>Planificaciones Operativas Anuales y Evaluaciones de la Planificaciones Operativas Anuales entregadas oportunamente.</t>
  </si>
  <si>
    <t>N° de Planificaciones Operativas Anuales y Evaluaciones de la Planificaciones Operativas Anuales presentadas oportunamente.</t>
  </si>
  <si>
    <t>N° de documentos registrados en el inventario documental.</t>
  </si>
  <si>
    <t>TOTAL PRESUPUESTO ESTIMATIVO DE LA DIRECCIÓN DE INVESTIGACIÓN, DESARROLLO E INNOVACIÓN 2023:</t>
  </si>
  <si>
    <t>UNIDAD DE GESTIÓN DE PROGRAMAS Y PROYECTOS DE I+D+i</t>
  </si>
  <si>
    <t>Instrumentos, herramientas o procesos para la gestión operativa de los programas y proyectos de I+D+i, diseñados.</t>
  </si>
  <si>
    <t>N° de Documentos y formatos para la gestión operativa de los programas y proyectos de I+D+i, diseñados.</t>
  </si>
  <si>
    <t>Planificaciones específicas de los programas y proyectos de I+D+i, consolidadas.</t>
  </si>
  <si>
    <t>N° de Planificaciones anuales de los grupos de investigación consolidadas.</t>
  </si>
  <si>
    <t>Ejecución de los recursos internos y externos para los programas y proyectos de I+D+i, coordinada.</t>
  </si>
  <si>
    <t>N° de procesos de adquisiciones de bienes y servicios gestionados presupuestariamente.</t>
  </si>
  <si>
    <t>Pago nuevas becas para estudios doctorales de docentes</t>
  </si>
  <si>
    <t>Becas sujetas al convenio específico de cooperación educativa UTMACH y Fundación Carolina</t>
  </si>
  <si>
    <t>Ejecución y evaluación de los procesos, programas y proyectos de I+D+i, coordinada.</t>
  </si>
  <si>
    <t>N° de procesos, programas y proyectos de I+D+i ejecutados.</t>
  </si>
  <si>
    <t>N° de convocatorias, portafolios de programas y/ o investigación diseñadas.</t>
  </si>
  <si>
    <t xml:space="preserve">Seguimiento académico a las actividades organizadas a través de los grupos, programas y proyectos de investigación, efectuado. </t>
  </si>
  <si>
    <t>N° de actividades organizadas a través de los grupos, programas y proyectos de investigación, efectuadas.</t>
  </si>
  <si>
    <t>M.7.4.1. Incrementar los artículos publicados por las universidades y escuelas politécnicas en revistas indexadas de 6.624 a 12.423</t>
  </si>
  <si>
    <t>N° de estrategias para la participación de estudiantes en proyectos de investigación formativa diseñadas.</t>
  </si>
  <si>
    <t>N° de eventos científicos gestionados.</t>
  </si>
  <si>
    <t xml:space="preserve">Gestión de procesos para el desarrollo de la propiedad intelectual, coordinada. </t>
  </si>
  <si>
    <t>N° de procesos para el desarrollo de la propiedad intelectual, coordinados.</t>
  </si>
  <si>
    <t>Plan Anual de Compras entregado oportunamente.</t>
  </si>
  <si>
    <t>N° de Plan Anual de Compras entregado oportunamente.</t>
  </si>
  <si>
    <t>Plan Operativo Anual entregado oportunamente.</t>
  </si>
  <si>
    <t>N° de Plan Operativo Anual entregado oportunamente.</t>
  </si>
  <si>
    <t>Evaluación del Plan Operativo Anual entregado oportunamente.</t>
  </si>
  <si>
    <t>N° de Evaluación del Plan Operativo Anual entregado oportunamente.</t>
  </si>
  <si>
    <t>TOTAL PRESUPUESTO ESTIMATIVO DE LA UNIDAD DE GESTIÓN DE PROGRAMAS Y PROYECTOS DE I+D+i 2023:</t>
  </si>
  <si>
    <t>BIBLIOTECA GENERAL</t>
  </si>
  <si>
    <t>1. Mantener un enfoque en las necesidades educativas de los estudiantes.</t>
  </si>
  <si>
    <t>Sistema de Biblioteca coordinado.</t>
  </si>
  <si>
    <t>N° de actividades ejecutadas.</t>
  </si>
  <si>
    <t>Alerta informativa de biblioteca promocionada.</t>
  </si>
  <si>
    <t>N° de alertas informativas promocionadas.</t>
  </si>
  <si>
    <t>* Belkis Pérez García,
  Jefe de Biblioteca
* Dixa Barreto Illescas,
  Bibliotecario
* Jazmany Alvarado Romero,
  Bibliotecario
* Hermel Ruiz Granda,
  Bibliotecario
* Claudia Cunalata Cabrera,
  Bibliotecaria
* Mercy Peralta León,
  Bibliotecaria
* Pilar Sánchez Carrión,
  Bibliotecaria
* Fidel Sánchez Guevara,
  Bibliotecario</t>
  </si>
  <si>
    <t>Portal web del Sistema de Biblioteca Administrado.</t>
  </si>
  <si>
    <t>N° de acciones ejecutadas para la actualización del  Portal web del Sistema de Biblioteca.</t>
  </si>
  <si>
    <t>* Belkis Pérez García,
  Jefe de Biblioteca
* Jazmany Alvarado Romero,
  Bibliotecario</t>
  </si>
  <si>
    <t>7. Impulsar la producción científica - académica derivada de la investigación formativa, para asegurar la participación masiva de la comunidad estudiantil en la generación de conocimiento.</t>
  </si>
  <si>
    <t>Repositorio digital Académico y Científico administrado.</t>
  </si>
  <si>
    <t>N° de trabajos de titulación ingresados al Repositorio y actualizaciones realizadas.</t>
  </si>
  <si>
    <t>Catálogo en línea actualizado.</t>
  </si>
  <si>
    <t>N° de actividades realizadas para la actualización del Catálogo en línea.</t>
  </si>
  <si>
    <t>Colecciones bibliográficas clasificadas, catalogadas, indizadas y habilitadas.</t>
  </si>
  <si>
    <t>N° de documentos clasificados, catalogados, indizados y habilitados.</t>
  </si>
  <si>
    <t>Documentos bibliográficos prestados.</t>
  </si>
  <si>
    <t>N° de documentos prestados.</t>
  </si>
  <si>
    <t xml:space="preserve">1.- Recibir solicitudes de libros y ejecutar su búsqueda en los estantes.
2.- Ayudar a los usuarios en la búsqueda y recuperación de la información en los libros.
3.- Realizar préstamo automatizados, a través del Sistema Integral de Gestión de Biblioteca "PMB".
</t>
  </si>
  <si>
    <t>Usuarios formados en el uso de la información.</t>
  </si>
  <si>
    <t>N° de capacitaciones ejecutadas.</t>
  </si>
  <si>
    <r>
      <rPr>
        <b/>
        <sz val="10"/>
        <color theme="1"/>
        <rFont val="Arial Narrow"/>
      </rPr>
      <t>9.-</t>
    </r>
    <r>
      <rPr>
        <sz val="10"/>
        <color theme="1"/>
        <rFont val="Arial Narrow"/>
      </rPr>
      <t xml:space="preserve"> Elaborar y/o actualizar el Plan de mantenimiento y conservación de la Biblioteca.</t>
    </r>
  </si>
  <si>
    <t>Plan de mantenimiento y conservación de la Biblioteca elaborado y/o actualizado.</t>
  </si>
  <si>
    <t>N° de acciones ejecutadas para el mantenimiento y conservación de las colecciones bibliográficas de las bibliotecas.</t>
  </si>
  <si>
    <t>Bibliografía seleccionada y adquirida.</t>
  </si>
  <si>
    <t>N° de libros seleccionados y adquiridos.</t>
  </si>
  <si>
    <t>Adquisición de libros para las bibliotecas de las facultades</t>
  </si>
  <si>
    <t>Adquisición</t>
  </si>
  <si>
    <t>Sistema integral de Gestión de Biblioteca administrado.</t>
  </si>
  <si>
    <t>N° de acciones ejecutadas para la administración del Sistema integral de Gestión de Biblioteca.</t>
  </si>
  <si>
    <t>Planificaciones Operativas Anuales y Evaluaciones de la Planificación Operativa Anual entregadas oportunamente.</t>
  </si>
  <si>
    <t>N° de Planificaciones Operativas Anuales y Evaluaciones de la Planificaciones entregadas.</t>
  </si>
  <si>
    <t>N° de archivo de gestión organizado.</t>
  </si>
  <si>
    <t>* Belkis Pérez García,
  Jefe de Biblioteca
* Dixa Barreto Illescas,
  Bibliotecario
* Jazmany Alvarado Romero,
  Bibliotecario</t>
  </si>
  <si>
    <t>TOTAL PRESUPUESTO ESTIMATIVO DE LA BIBLIOTECA GENERAL 2023:</t>
  </si>
  <si>
    <t>TOTAL PRESUPUESTO ESTIMATIVO DIRECCIÓN DE INVESTIGACIÓN, DESARROLLO E INNOVACIÓN 2023:</t>
  </si>
  <si>
    <r>
      <rPr>
        <b/>
        <sz val="10"/>
        <color theme="1"/>
        <rFont val="Arial Narrow"/>
      </rPr>
      <t xml:space="preserve">Elaborado por: </t>
    </r>
    <r>
      <rPr>
        <sz val="10"/>
        <color theme="1"/>
        <rFont val="Arial Narrow"/>
      </rPr>
      <t>Dirección de Investigación, Desarrollo e Innovación</t>
    </r>
  </si>
  <si>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</si>
  <si>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DIRECCIÓN DE POSGRADO</t>
  </si>
  <si>
    <t>2. Diseñar carreras y programas de postgrado que respondan a los requerimientos del radio de influencia de la UTMACH.</t>
  </si>
  <si>
    <t>Proceso de Diseño y/o rediseño de la Oferta de Posgrado, coordinado.</t>
  </si>
  <si>
    <t>3812200621</t>
  </si>
  <si>
    <t>ARCHIVADOR AEREO</t>
  </si>
  <si>
    <t>3811100001</t>
  </si>
  <si>
    <t>SILLA  QHAPAX</t>
  </si>
  <si>
    <t>3813000011</t>
  </si>
  <si>
    <t>GABINETE BAJO CAFETERÍA</t>
  </si>
  <si>
    <t>Proceso de Admisión y Matrícula de los Programas de Posgrado, ejecutado.</t>
  </si>
  <si>
    <t>4523000811</t>
  </si>
  <si>
    <t>COMPUTADOR TODO EN UNO</t>
  </si>
  <si>
    <t>483231011</t>
  </si>
  <si>
    <t>PROYECTOR</t>
  </si>
  <si>
    <t>452900019</t>
  </si>
  <si>
    <t xml:space="preserve">DISCOS DUROS EXTERNOS </t>
  </si>
  <si>
    <t>452900014</t>
  </si>
  <si>
    <t>SCANNER</t>
  </si>
  <si>
    <t>TELÉFONO</t>
  </si>
  <si>
    <t>Oferta Académica de posgrado gestionada.</t>
  </si>
  <si>
    <t>SILLA DE VISITA</t>
  </si>
  <si>
    <t>SOFÁ BIPERSONAL</t>
  </si>
  <si>
    <t>Proceso de titulación Coordinado.</t>
  </si>
  <si>
    <t xml:space="preserve">SERVICIO DE ELABORACIÓN DE TRÍPTICOS, PANCARTAS, FOLLETOS, </t>
  </si>
  <si>
    <t>Procesos de pagos de bienes y servicios de los programas de posgrado gestionados.</t>
  </si>
  <si>
    <t>SERVICIO DE PUBLICIDAD</t>
  </si>
  <si>
    <t>446400111</t>
  </si>
  <si>
    <t>TOTAL PRESUPUESTO ESTIMATIVO DIRECCIÓN DE POSGRADO 2023:</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</si>
  <si>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</si>
  <si>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0703</t>
  </si>
  <si>
    <t>0704</t>
  </si>
  <si>
    <t>0705</t>
  </si>
  <si>
    <t>0706</t>
  </si>
  <si>
    <t>0707</t>
  </si>
  <si>
    <t>DIRECCIÓN DE VINCULACIÓN</t>
  </si>
  <si>
    <t>Programas y/o proyectos de vinculación con la sociedad gestionados.</t>
  </si>
  <si>
    <t>Proyectos de vinculación a través de la valoración del grado de contribución a la solución de los problemas identificados en los estudios de pertinencia de la oferta académica.</t>
  </si>
  <si>
    <t>Proyectos de vinculación a través de la implementación del modelo de transferencia tecnológica y científica con énfasis en los nudos problematizadores identificados a nivel zonal.</t>
  </si>
  <si>
    <t>sd</t>
  </si>
  <si>
    <t>1. Potenciar la presencia de la UTMACH en su contexto de influencia, a través de la ejecución de proyectos de vinculación con la sociedad que promuevan el desarrollo productivo de la provincia.</t>
  </si>
  <si>
    <t>Alianzas estratégicas institucionales a través de la evaluación de impacto de los convenios sobre el desarrollo de los ejes sustantivos.</t>
  </si>
  <si>
    <t>Porcentaje de procesos académicos de investigación y vinculación con la sociedad beneficiados a partir de la ejecución de las alianzas estratégicas vigentes.</t>
  </si>
  <si>
    <t>73125.01</t>
  </si>
  <si>
    <t>3</t>
  </si>
  <si>
    <t>46122.00</t>
  </si>
  <si>
    <t>8</t>
  </si>
  <si>
    <t>no aplica</t>
  </si>
  <si>
    <t>Pad mouse ergonómicos</t>
  </si>
  <si>
    <t>4</t>
  </si>
  <si>
    <t>Audífonos para computadoras</t>
  </si>
  <si>
    <t>45290.00.1</t>
  </si>
  <si>
    <t>Cámara web de alta definición</t>
  </si>
  <si>
    <t>Pasajes</t>
  </si>
  <si>
    <t>Atención a delegados extranjeros y nacionales, deportistas entrenadores y cuerpo técnico que representan al País</t>
  </si>
  <si>
    <t>Atención a delegados extranjeros y nacionales recibidas</t>
  </si>
  <si>
    <t>2</t>
  </si>
  <si>
    <t>Planificación Anual de la Dirección de Vinculación, aprobado.</t>
  </si>
  <si>
    <t>929000014</t>
  </si>
  <si>
    <t>Servicio de capacitación a colectivos de vinculación con la sociedad</t>
  </si>
  <si>
    <t>1</t>
  </si>
  <si>
    <t>Proceso de elaboración de programas, planes y proyectos en las diferentes modalidades en que se ejecuta la vinculación con la sociedad, dirigido.</t>
  </si>
  <si>
    <t>87130</t>
  </si>
  <si>
    <t>Mantenimiento de computadores portátiles</t>
  </si>
  <si>
    <t>SILLÓN QHAPAX</t>
  </si>
  <si>
    <t>45220.00.11</t>
  </si>
  <si>
    <t>TOTAL PRESUPUESTO ESTIMATIVO DE LA DIRECCIÓN DE VINCULACIÓN 2023:</t>
  </si>
  <si>
    <t>UNIDAD DE GESTIÓN DE PROGRAMAS Y PROYECTOS</t>
  </si>
  <si>
    <t>Proceso de planificación, ejecución, monitoreo y evaluación de programas y/o proyectos de vinculación con la sociedad, coordinado.</t>
  </si>
  <si>
    <t>45220.00.5</t>
  </si>
  <si>
    <t>Eventos de capacitación y/o inducción en temas de gestión de proyectos sociales al estamento docente y/o estudiantil, coordinados y ejecutados.</t>
  </si>
  <si>
    <t>TOTAL PRESUPUESTO ESTIMATIVO DE LA UNIDAD DE GESTIÓN DE PROGRAMAS Y PROYECTOS 2023:</t>
  </si>
  <si>
    <t>UNIDAD DE PRÁCTICAS, PASANTÍAS Y SEGUIMIENTO A GRADUADOS</t>
  </si>
  <si>
    <t xml:space="preserve"> 381120117</t>
  </si>
  <si>
    <t>Monitoreo del proceso de prácticas preprofesionales y seguimiento a 
graduados, en conjunto con Subdecanos y Carreras efectuado.</t>
  </si>
  <si>
    <t>DPLAN: Se registran dos necesidades de procesos de capacitación; los mismos que deberán articularse a las políticas de plan de perfeccionamiento y/o educación continúa.</t>
  </si>
  <si>
    <t>Servicio de capacitación a colectivo de prácticas pre profesionales y seguimiento a graduados, docentes.</t>
  </si>
  <si>
    <t>Resultados del proceso de seguimiento del proceso de pasantías, prácticas preprofesionales y Seguimiento a Graduados de las carreras, evaluados.</t>
  </si>
  <si>
    <t>Procesos de seguimiento a graduados e inserción laboral, coordinados.</t>
  </si>
  <si>
    <t>3. Fortalecer la bolsa de empleo de la UTMACH mediante el establecimiento de alianzas estratégicas con el sector público - privado.</t>
  </si>
  <si>
    <t>Estrategias para la gestión de la bolsa de empleo institucional, establecidas.</t>
  </si>
  <si>
    <t>TOTAL PRESUPUESTO ESTIMATIVO DE LA UNIDAD DE PRÁCTICAS, PASANTÍAS Y SEGUIMIENTO A GRADUADOS 2023:</t>
  </si>
  <si>
    <t>UNIDAD DE MOVILIDAD Y RELACIONES INTERINSTITUCIONALES</t>
  </si>
  <si>
    <t>Acciones para el establecimiento y actualización de la base de datos de nexos con organismos e instituciones públicas, privadas, nacionales e internacionales; organizadas.</t>
  </si>
  <si>
    <t>Participación institucional en espacios relevantes, de cooperación nacional e internacional, coordinada.</t>
  </si>
  <si>
    <t>66110</t>
  </si>
  <si>
    <t>Membrecía AIESEC</t>
  </si>
  <si>
    <t>Membrecía OUI</t>
  </si>
  <si>
    <t>3. Impulsar las formas de movilidad estudiantil hacia otras IES, instituciones productivas, organismos de estado a nivel internacional.</t>
  </si>
  <si>
    <t>Pasajes áreas para estudiantes universitarios en base a los compromisos asumidos por convenios y membresías</t>
  </si>
  <si>
    <t>Informes de pertinencia relacionado a la movilidad académica, cooperación y relaciones interinstitucionales, emitidos.</t>
  </si>
  <si>
    <t>TOTAL PRESUPUESTO ESTIMATIVO DE LA UNIDAD DE MOVILIDAD Y RELACIONES INTERINSTITUCIONALES 2023:</t>
  </si>
  <si>
    <t>TOTAL PRESUPUESTO ESTIMATIVO DE LA DIRECCIÓN DE VIMCORI 2023:</t>
  </si>
  <si>
    <r>
      <rPr>
        <b/>
        <sz val="11"/>
        <color theme="1"/>
        <rFont val="Arial Narrow"/>
      </rPr>
      <t xml:space="preserve">Elaborado por: </t>
    </r>
    <r>
      <rPr>
        <sz val="11"/>
        <color theme="1"/>
        <rFont val="Arial Narrow"/>
      </rPr>
      <t>Diana Reinoso Miranda</t>
    </r>
  </si>
  <si>
    <t>VICERRECTORADO ACADÉMICO</t>
  </si>
  <si>
    <t>SISTEMA DE AUDIO PARA CONFERENCIAS (Poly Studio) para uso institucional</t>
  </si>
  <si>
    <t>Planificación gestionada de los procesos académicos.</t>
  </si>
  <si>
    <t>N° de Planificaciones gestionada de los procesos académicos.</t>
  </si>
  <si>
    <t>LAPTOP/NOTEBOOK HP ENVY X360 AMD R5-4500U 2.3GHZ-8GB-256GB SSD-NIGHTFALL BLACK-13.3″FHD TOUCH-W11</t>
  </si>
  <si>
    <t>1. Afianzar el proceso de rediseño y contextualización curricular.</t>
  </si>
  <si>
    <t>Plan de Perfeccionamiento Académico</t>
  </si>
  <si>
    <t xml:space="preserve">Unidad  </t>
  </si>
  <si>
    <t>Escritorio</t>
  </si>
  <si>
    <t>Sillón Qhapax</t>
  </si>
  <si>
    <t>Sillón Qhapax visita</t>
  </si>
  <si>
    <t>Cable HDMI</t>
  </si>
  <si>
    <t>EXTENSIÓN TIPO SJT 2X16 AWG 10 METROS</t>
  </si>
  <si>
    <r>
      <rPr>
        <b/>
        <sz val="11"/>
        <color theme="1"/>
        <rFont val="Arial Narrow"/>
      </rPr>
      <t xml:space="preserve">Elaborado por:  </t>
    </r>
    <r>
      <rPr>
        <sz val="11"/>
        <color theme="1"/>
        <rFont val="Arial Narrow"/>
      </rPr>
      <t>Fernanda Samaniego  Valle</t>
    </r>
  </si>
  <si>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</si>
  <si>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Proceso de admisión y nivelación en el ámbito de su competencia, dirigidos.</t>
  </si>
  <si>
    <t>6. Implementar un plan de perfeccionamiento académico que facilite el desarrollo profesional del docente.</t>
  </si>
  <si>
    <t xml:space="preserve">Plan de Perfeccionamiento Académico  </t>
  </si>
  <si>
    <t>Evaluación curricular con las facultades coordinado.</t>
  </si>
  <si>
    <t>Actividades de formación de profesionales en contextos de las modalidades no presenciales con competencias adaptadas al contexto social, coordinadas.</t>
  </si>
  <si>
    <t>Necesidades de capacitación para el personal académico con base en los resultados de la evaluación integral del desempeño docente, identificadas.</t>
  </si>
  <si>
    <t>Certificaciones emitidas por la dependencia codificadas.</t>
  </si>
  <si>
    <t>TOTAL PRESUPUESTO ESTIMATIVO DIRECCIÓN 2023:</t>
  </si>
  <si>
    <t>UNIDAD DE NIVELACIÓN Y ADMISIÓN</t>
  </si>
  <si>
    <t>Proceso de admisión y nivelación para su aprobación por el Órgano Colegiado Superior, dirigido y gestionado.</t>
  </si>
  <si>
    <t>4. Ampliar la oferta de programas de educación continua y educación avanzada.</t>
  </si>
  <si>
    <t>Propuesta de oferta académica, coordinada con las carreras.</t>
  </si>
  <si>
    <t>Consolidación de información de la oferta académica, efectuada.</t>
  </si>
  <si>
    <t>Publicación y difusión de la oferta académica.</t>
  </si>
  <si>
    <t>DPLAN: Los recursos adicionales se planifican en la Unidad de Nivelación y Admisión.</t>
  </si>
  <si>
    <t>M.7.4.2. Incrementar la tasa bruta de matrícula en educación superior terciaria del 37,34% al 50,27%</t>
  </si>
  <si>
    <t>Sistema de Evaluación del proceso de admisión y nivelación para el primer nivel de las carreras de la UTMACH, elaborado.</t>
  </si>
  <si>
    <t>Informes técnico del proceso  de admisión y nivelación de las carreras, solicitados por los órganos de control del sistema de educación superior, elaborado.</t>
  </si>
  <si>
    <t>N° de Informes técnico del proceso de admisión presentados.</t>
  </si>
  <si>
    <t>Implementación de la infraestructura tecnológica, y/o actualizaciones, del proceso de admisión y nivelación, dirigidas y coordinadas.</t>
  </si>
  <si>
    <t>Asesoría en las diferentes etapas del proceso de postulación para el ingreso a la educación superior, brindada.</t>
  </si>
  <si>
    <t>N° de aspirantes que han sido atendidos con información relacionada a la admisión, reseteo de clave, inscripción.</t>
  </si>
  <si>
    <t>5. Desarrollar un sistema de incentivos que reconozca la eficiencia individual y colectiva en la gestión administrativa.</t>
  </si>
  <si>
    <t>N° de comunicaciones archivadas de la UNIDAD DE NIVELACIÓN Y ADMISIÓN, en el inventario documental.</t>
  </si>
  <si>
    <t>TOTAL PRESUPUESTO ESTIMATIVO UNIDAD DE NIVELACION Y ADMISION 2023:</t>
  </si>
  <si>
    <t>TOTAL PRESUPUESTO ESTIMATIVO DIRECCIÓN DE FORMACIÒN PROFESIONAL 2023:</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</si>
  <si>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</si>
  <si>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DIRECCIÓN ACADÉMICA</t>
  </si>
  <si>
    <t>Servicios especializados de consultoría, asesoría e investigación profesional y técnica.</t>
  </si>
  <si>
    <t>Equipos, Paquetes y Sistemas Informáticos</t>
  </si>
  <si>
    <t>Computadoras de escritorio medio alto</t>
  </si>
  <si>
    <t>UNIDAD</t>
  </si>
  <si>
    <t>Modelo de gestión académica y curricular implementado.</t>
  </si>
  <si>
    <t>Calendario académico institucional difundido.</t>
  </si>
  <si>
    <t>Elaboración y difusión de la programación anual de las actividades académicas institucionales, gestionada.</t>
  </si>
  <si>
    <t>Normativa académica institucional actualizada.</t>
  </si>
  <si>
    <t>Proceso de diseño curricular de las nuevas carreras y el rediseño y actualización de las existentes, dirigidos.</t>
  </si>
  <si>
    <t>Proceso de evaluación de la calidad y acreditación de las carreras, asistido.</t>
  </si>
  <si>
    <t>Implementación del currículo de las carreras, en coordinación con las estructuras académicas, gestionado.</t>
  </si>
  <si>
    <t>TOTAL PRESUPUESTO ESTIMATIVO DIRECCIÓN ACADÉMICA 2023:</t>
  </si>
  <si>
    <t>UNIDAD DE GESTIÓN CURRICULAR</t>
  </si>
  <si>
    <t>Lineamientos estratégicos y operativos para la gestión curricular generados.</t>
  </si>
  <si>
    <t>PROYECTOR DE VIDEO</t>
  </si>
  <si>
    <t>Lineamientos estratégicos y operativos para la gestión académica generados.</t>
  </si>
  <si>
    <t>Proceso de diseño y actualización curricular de las carreras, en coordinación
con la Dirección Académica, elaborado.</t>
  </si>
  <si>
    <r>
      <rPr>
        <b/>
        <sz val="11"/>
        <color theme="1"/>
        <rFont val="Arial Narrow"/>
      </rPr>
      <t xml:space="preserve">Elaborado por: </t>
    </r>
    <r>
      <rPr>
        <sz val="11"/>
        <color theme="1"/>
        <rFont val="Arial Narrow"/>
      </rPr>
      <t>Jacqueline Valarezo Valarezo</t>
    </r>
  </si>
  <si>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</si>
  <si>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r>
      <rPr>
        <b/>
        <sz val="11"/>
        <color theme="1"/>
        <rFont val="Arial Narrow"/>
      </rPr>
      <t xml:space="preserve">Fecha: </t>
    </r>
    <r>
      <rPr>
        <sz val="11"/>
        <color theme="1"/>
        <rFont val="Arial Narrow"/>
      </rPr>
      <t>12 de septiembre 2022</t>
    </r>
  </si>
  <si>
    <t>DIRECCIÓN DE EDUCACIÓN CONTINUA</t>
  </si>
  <si>
    <t>Capacitaciones, cursos, talleres y demás similares, ejecutadas y evaluadas.</t>
  </si>
  <si>
    <t>Contratos civiles</t>
  </si>
  <si>
    <t>Programación de cursos de aprendizaje de lenguas extranjeras, dirigida.</t>
  </si>
  <si>
    <t>Rollo</t>
  </si>
  <si>
    <t>AMBIENTAL CONCENTRADO LIQUIDO GALON</t>
  </si>
  <si>
    <t>Galón</t>
  </si>
  <si>
    <t>Funda</t>
  </si>
  <si>
    <t>Caneca</t>
  </si>
  <si>
    <t>Recursos autogestionados y administrados.</t>
  </si>
  <si>
    <t>Matrículas, homologaciones, gestionados.</t>
  </si>
  <si>
    <t>Evaluaciones de conocimientos de lengua extranjera, dirigidos.</t>
  </si>
  <si>
    <t>Scanner Cannon</t>
  </si>
  <si>
    <t>Certificaciones de cursos, talleres de formación o perfeccionamiento profesional, formación académica y de competencias laborales específicas, generadas.</t>
  </si>
  <si>
    <t>Capacitaciones inherentes a proyectos de vinculación con la sociedad, ejecutadas.</t>
  </si>
  <si>
    <t>DPLAN: Los recursos adicionales se planifican en este producto y actividades.</t>
  </si>
  <si>
    <t>Capacitaciones a instituciones o empresas, públicas o privadas, ejecutadas.</t>
  </si>
  <si>
    <t>Vestuario, lencería, prendas de protección.</t>
  </si>
  <si>
    <t>SERVICIOS DE CONFECCION DE UNIFORMES</t>
  </si>
  <si>
    <t>Cartera de capacitaciones, difundida.</t>
  </si>
  <si>
    <t>Equipo de Aire Acondicionados tipo split.</t>
  </si>
  <si>
    <t>Personal de apoyo académico coordinado.</t>
  </si>
  <si>
    <t>Mantenimiento de aulas</t>
  </si>
  <si>
    <t>Base de datos de los facilitadores de los cursos, talleres y demás similares, actualizada.</t>
  </si>
  <si>
    <t>Certificados de cursos, talleres de formación o perfeccionamiento profesional, formación académica y de competencias laborales específicas, codificadas.</t>
  </si>
  <si>
    <t>TOTAL PRESUPUESTO ESTIMATIVO DIRECCIÓN DE EDUCACIÓN CONTINUA 2023:</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</si>
  <si>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</si>
  <si>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VICERRECTORADO ADMINISTRATIVO</t>
  </si>
  <si>
    <r>
      <rPr>
        <b/>
        <sz val="10"/>
        <color rgb="FFFF0000"/>
        <rFont val="Arial Narrow"/>
      </rPr>
      <t>METAS OPERATIVAS</t>
    </r>
    <r>
      <rPr>
        <b/>
        <sz val="9"/>
        <color theme="1"/>
        <rFont val="Century Schoolbook"/>
      </rPr>
      <t xml:space="preserve">
1.-</t>
    </r>
    <r>
      <rPr>
        <sz val="10"/>
        <color theme="1"/>
        <rFont val="Arial Narrow"/>
      </rPr>
      <t xml:space="preserve"> Coordinar y Supervisar las áreas y/o unidades adscritas al Vicerrectorado Administrativo, conforme constan en el organigrama estructural. </t>
    </r>
  </si>
  <si>
    <t>Áreas y/o unidades adscritas al Vicerrectorado Administrativo coordinadas y supervisadas, conforme constan en el organigrama estructural.</t>
  </si>
  <si>
    <t>N° de supervisiones realizadas a las áreas y/o unidades adscritas al Vicerrectorado Administrativo.</t>
  </si>
  <si>
    <t>Equipos y Sistemas Informáticos</t>
  </si>
  <si>
    <t>452200019</t>
  </si>
  <si>
    <r>
      <rPr>
        <b/>
        <sz val="9"/>
        <color theme="1"/>
        <rFont val="Century Schoolbook"/>
      </rPr>
      <t>2.-</t>
    </r>
    <r>
      <rPr>
        <sz val="10"/>
        <color theme="1"/>
        <rFont val="Arial Narrow"/>
      </rPr>
      <t xml:space="preserve"> Gestionar acciones de mejoras y/o correctivas a los resultados de la ejecución de los planes de capacitación y evaluación del desempeño; control de asistencia y permanencia del talento humano régimen LOSEP y Código de Trabajo; y estado de quejas, denuncias y/o contravenciones gestionadas, relacionadas con el personal administrativo y trabajadores.</t>
    </r>
  </si>
  <si>
    <t>Acciones de mejoras y/o correctivas a los resultados de la ejecución de los planes de capacitación y evaluación del desempeño; control de asistencia y permanencia del talento humano régimen LOSEP y Código de Trabajo; y estado actual de las quejas, denuncias y/o contravenciones, relacionadas con el personal administrativo y trabajadores, gestionadas.</t>
  </si>
  <si>
    <t>N° de acciones de mejoras y/o correctivas gestionadas, en base a los resultados de los planes de capacitación y evaluación, informes de asistencia y permanencia del personal sujeto a la LOSEP y Código de Trabajo, y sobre las quejas, denuncias y/o contravenciones, relacionadas con el personal administrativo y trabajadores.</t>
  </si>
  <si>
    <r>
      <rPr>
        <b/>
        <sz val="9"/>
        <color theme="1"/>
        <rFont val="Century Schoolbook"/>
      </rPr>
      <t>3.-</t>
    </r>
    <r>
      <rPr>
        <sz val="10"/>
        <color theme="1"/>
        <rFont val="Arial Narrow"/>
      </rPr>
      <t xml:space="preserve"> Coordinar y emitir directrices para el control administrativo del patrimonio institucional.</t>
    </r>
  </si>
  <si>
    <t>Directrices para el control administrativo del patrimonio institucional, coordinadas y emitidas.</t>
  </si>
  <si>
    <t>N° de directrices para el control administrativo del patrimonio institucional coordinadas y emitidas.</t>
  </si>
  <si>
    <r>
      <rPr>
        <b/>
        <sz val="9"/>
        <color theme="1"/>
        <rFont val="Century Schoolbook"/>
      </rPr>
      <t>4.-</t>
    </r>
    <r>
      <rPr>
        <sz val="10"/>
        <color theme="1"/>
        <rFont val="Arial Narrow"/>
      </rPr>
      <t xml:space="preserve"> Coordinar el proceso de elaboración y/o actualización de documentos de definición de estructura orgánica, descripción, valoración y clasificación de puestos, en conjunto con las instancias pertinentes.</t>
    </r>
  </si>
  <si>
    <t>Proceso coordinado de elaboración y/o actualización de documentos de definición de estructura orgánica, descripción, valoración y clasificación de puestos, en conjunto con las instancias pertinentes.</t>
  </si>
  <si>
    <t>N° de procesos elaborados y actualizados de documentos de definición de estructura orgánica, descripción, valoración y clasificación de puestos.</t>
  </si>
  <si>
    <r>
      <rPr>
        <b/>
        <sz val="9"/>
        <color theme="1"/>
        <rFont val="Century Schoolbook"/>
      </rPr>
      <t>5.-</t>
    </r>
    <r>
      <rPr>
        <sz val="10"/>
        <color theme="1"/>
        <rFont val="Arial Narrow"/>
      </rPr>
      <t xml:space="preserve"> Gestionar acciones de mejora y/o correctivas en base a la aplicación de normas de conservación del ambiente, mantenimiento de edificios, aseo, ornato, vialidad e iluminación.</t>
    </r>
  </si>
  <si>
    <t>Acciones de mejora y/o correctivas en base a la aplicación de normas de conservación del ambiente, mantenimiento de edificios, aseo, ornato, vialidad e iluminación gestionadas.</t>
  </si>
  <si>
    <t>N° de acciones de mejora y/o correctivas gestionadas con base a la aplicación de normas de conservación del ambiente, mantenimiento de edificios, aseo, ornato, vialidad e iluminación.</t>
  </si>
  <si>
    <r>
      <rPr>
        <b/>
        <sz val="9"/>
        <color theme="1"/>
        <rFont val="Century Schoolbook"/>
      </rPr>
      <t>6.-</t>
    </r>
    <r>
      <rPr>
        <sz val="10"/>
        <color theme="1"/>
        <rFont val="Arial Narrow"/>
      </rPr>
      <t xml:space="preserve"> Coordinar el proceso del diseño y/o actualización de proyectos de infraestructura física y tecnológico con las instancias pertinentes.</t>
    </r>
  </si>
  <si>
    <t>Proceso del diseño y/o actualización de proyectos de infraestructura física y tecnológica con las instancias pertinentes coordinado.</t>
  </si>
  <si>
    <t>N° de procesos de diseño y/o actualización de proyectos coordinados.</t>
  </si>
  <si>
    <t>482700021</t>
  </si>
  <si>
    <t>Proyecto de seguridad institucional</t>
  </si>
  <si>
    <r>
      <rPr>
        <b/>
        <sz val="9"/>
        <color theme="1"/>
        <rFont val="Century Schoolbook"/>
      </rPr>
      <t>7.-</t>
    </r>
    <r>
      <rPr>
        <sz val="10"/>
        <color theme="1"/>
        <rFont val="Arial Narrow"/>
      </rPr>
      <t xml:space="preserve"> Ejecutar actividades dispuestas por la máxima autoridad y/o máximo órgano colegiado.</t>
    </r>
  </si>
  <si>
    <t>Actividades dispuestas por la máxima autoridad y/o máximo órgano colegiado, ejecutadas.</t>
  </si>
  <si>
    <t>N° de actividades dispuestas  por la máxima autoridad y/o máximo organismo colegiado, ejecutadas.</t>
  </si>
  <si>
    <r>
      <rPr>
        <b/>
        <sz val="9"/>
        <color theme="1"/>
        <rFont val="Century Schoolbook"/>
      </rPr>
      <t>8.-</t>
    </r>
    <r>
      <rPr>
        <sz val="10"/>
        <color theme="1"/>
        <rFont val="Arial Narrow"/>
      </rPr>
      <t xml:space="preserve"> Presentar la Planificación Operativa Anual y Evaluación de la Planificación Operativa Anual.</t>
    </r>
  </si>
  <si>
    <t>Planificación Operativa Anual y Evaluación de la Planificación Operativa Anual, entregadas oportunamente.</t>
  </si>
  <si>
    <t>N° de Planificaciones Operativas Anual y Evaluaciones de las Planificaciones Operativas Anual, presentados.</t>
  </si>
  <si>
    <r>
      <rPr>
        <b/>
        <sz val="9"/>
        <color theme="1"/>
        <rFont val="Century Schoolbook"/>
      </rPr>
      <t>9.-</t>
    </r>
    <r>
      <rPr>
        <sz val="10"/>
        <color theme="1"/>
        <rFont val="Arial Narrow"/>
      </rPr>
      <t xml:space="preserve"> Organizar el Archivo de Gestión.</t>
    </r>
  </si>
  <si>
    <t>N° de cajas del archivo del Vicerrectorado Administrativo registradas en el inventario documental.</t>
  </si>
  <si>
    <t>TOTAL PRESUPUESTO ESTIMATIVO VICERRECTORADO ADMINISTRATIVO 2023:</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</si>
  <si>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</si>
  <si>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DIRECCIÓN DE TECNOLOGÍAS DE LA INFORMACIÓN Y COMUNICACIÓN</t>
  </si>
  <si>
    <t>Comité Informático implementado.</t>
  </si>
  <si>
    <t>Asesorías relacionadas con los procesos tecnológicos, gestionadas.</t>
  </si>
  <si>
    <t>Definición e implementación del modelo de gestión institucional de la información y comunicación, gestionado.</t>
  </si>
  <si>
    <t xml:space="preserve">Planificación Estratégica de Tecnologías de la Información y Comunicación, implementada. </t>
  </si>
  <si>
    <t>Planificación anual de contingencia de desarrollo de software, gestionada.</t>
  </si>
  <si>
    <t>Número de planes de contingencia de desarrollo de software UTMACH, gestionados</t>
  </si>
  <si>
    <t>1. Solicitar a la unidad de sistemas (USI DTIC), el diseño del plan anual de contingencia de desarrollo de software, para aprobación 
2. Diseñar un informe de valoración de la ejecución del plan anual de desarrollo de software versus el plan de contingencia de desarrollo de software</t>
  </si>
  <si>
    <t>1. Solicitud a la unidad de sistemas el diseño del plan anual de contingencia de desarrollo de software 
2. Plan anual de contingencia de desarrollo de software UTMACH, aprobado</t>
  </si>
  <si>
    <t>* Director TIC
* Jefa de sistemas DTIC</t>
  </si>
  <si>
    <t>Modelo de sistemas de información, implementado.</t>
  </si>
  <si>
    <t>Seguimiento y monitoreo a la política general de seguridad de la información, dirigido.</t>
  </si>
  <si>
    <t>Evaluación del impacto de los procesos automatizados, gestionada.</t>
  </si>
  <si>
    <t>Planificación de contingencias de procesos tecnológicos, gestionada.</t>
  </si>
  <si>
    <t>Proyectos tecnológicos, gestionados.</t>
  </si>
  <si>
    <t>Planificación de capacitación informática, gestionada.</t>
  </si>
  <si>
    <t>Planificación de desarrollo y adquisición de software e infraestructura tecnológica, gestionada.</t>
  </si>
  <si>
    <t>DTH (5), DAdm (5), Dirección Financiera (2), PG (1), SG (1), DPOS (1), DA (2)</t>
  </si>
  <si>
    <t>Computador portátil</t>
  </si>
  <si>
    <t>DFIN (1), PG (1), SG (2), VAC (1), 13. DA (4), 16. VAD (1)</t>
  </si>
  <si>
    <t>Servidor NAS</t>
  </si>
  <si>
    <t>Impresora</t>
  </si>
  <si>
    <t>DFIN (3), PG (1), SG (1)</t>
  </si>
  <si>
    <t>DFIN (2)</t>
  </si>
  <si>
    <t>DFIN (1)</t>
  </si>
  <si>
    <t>Proyector de vídeo</t>
  </si>
  <si>
    <t>13. DA (1)</t>
  </si>
  <si>
    <t>Por definir</t>
  </si>
  <si>
    <t>Contrato del servicio de arrendamiento de equipos para infraestructura WIFI y seguridad lógica</t>
  </si>
  <si>
    <t>Archivo de gestión, organizado.</t>
  </si>
  <si>
    <t>TOTAL PRESUPUESTO ESTIMATIVO DTIC 2023:</t>
  </si>
  <si>
    <t>UNIDAD DE SISTEMAS Y SEGURIDAD INFORMÁTICA</t>
  </si>
  <si>
    <t>Propuestas de políticas, procedimientos, proyectos, manuales y otros instrumentos, que contribuyan a la implementación del modelo de gestión institucional de tecnologías de la información y comunicación, relacionado con aplicaciones informáticas, diseñadas y/o actualizadas.</t>
  </si>
  <si>
    <t>Planificación anual de desarrollo de Software, efectuada.</t>
  </si>
  <si>
    <t>Planificación anual de contingencia de desarrollo de software, efectuada.</t>
  </si>
  <si>
    <t>Aplicaciones informáticas, implementadas.</t>
  </si>
  <si>
    <t>Planificación de capacitación en el uso de las aplicaciones informáticas, diseñada y supervisada.</t>
  </si>
  <si>
    <t>Soporte técnico a usuarios en lo relacionado al uso de las aplicaciones informáticas, coordinado.</t>
  </si>
  <si>
    <t>Funcionalidad del aspecto tecnológico del sitio web oficial de la institución, coordinado.</t>
  </si>
  <si>
    <t>Administración del correo electrónico institucional, coordinada y supervisada.</t>
  </si>
  <si>
    <t>Cumplimiento de la Política General de Seguridad de la Información, en el ámbito de las aplicaciones informáticas, coordinado.</t>
  </si>
  <si>
    <t>UNIDAD DE REDES Y TELECOMUNICACIONES</t>
  </si>
  <si>
    <t>Propuestas de políticas, procedimientos, proyectos, manuales y otros instrumentos, que contribuyan a la implementación del modelo de gestión institucional de tecnologías de la información y comunicación, relacionado con los procesos de la Unidad de Redes y Telecomunicaciones, diseñar y/o actualizadas.</t>
  </si>
  <si>
    <t>Reparación de varios UPS de distintas capacidades</t>
  </si>
  <si>
    <t>Mantenimiento de UPS de TR FACULTADES UTMACH</t>
  </si>
  <si>
    <t>Mantenimiento preventivo para acondicionador de aire de precisión</t>
  </si>
  <si>
    <t xml:space="preserve">Servicio de Mantenimiento de impresoras </t>
  </si>
  <si>
    <t>DFIN (3)</t>
  </si>
  <si>
    <t>SERVICIO DE MANTENIMIENTO Y REPARACIÓN DE MAQUINARIA DE FOTOCOPIA</t>
  </si>
  <si>
    <t>Reparación y Mantenimiento de impresoras, Computadoras</t>
  </si>
  <si>
    <t>Acondicionador de aire de precisión TR Civil y Empresariales</t>
  </si>
  <si>
    <t>Planificación del proceso de mantenimiento de infraestructura de red (activa y/o pasiva) diseñado.</t>
  </si>
  <si>
    <t>Renovación Smartnet equipos CISCO y FLEXPOD</t>
  </si>
  <si>
    <t>Mantenimiento de la infraestructura de red (activa y/o pasiva), coordinado y evaluado.</t>
  </si>
  <si>
    <t>Mantenimiento y readecuación de enlaces de FO</t>
  </si>
  <si>
    <t>Proyectos para la implementación de la infraestructura de red (activa y/o pasiva) diseñados.</t>
  </si>
  <si>
    <t>Cumplimiento de la Política General de Seguridad de la Información, en el ámbito de las competencias de la Unidad de Redes y Telecomunicaciones, coordinado.</t>
  </si>
  <si>
    <t>Servicios del centro de datos, administrados.</t>
  </si>
  <si>
    <t>N° de Planificaciones Operativas Anuales y Evaluaciones de las Planificaciones Operativas Anuales entregadas oportunamente.</t>
  </si>
  <si>
    <t>TOTAL PRESUPUESTO ESTIMATIVO UNIDAD DE REDES Y TELECOMUNICACIONES 2023:</t>
  </si>
  <si>
    <t>UNIDAD DE MANTENIMIENTO DE EQUIPOS INFORMÁTICOS</t>
  </si>
  <si>
    <t>Planificación de mantenimiento preventivo de equipos informáticos,
efectuada.</t>
  </si>
  <si>
    <t>Servicio de mantenimiento, reparación y atención de equipos de computación</t>
  </si>
  <si>
    <t>Renovación de Licencias de Microsoft (Windows, Office, Visio, Project)</t>
  </si>
  <si>
    <t>Renovación de Licencias antivirus ESET Endpoint Protection, Linux, Windows, Mac</t>
  </si>
  <si>
    <t>Adquisición de Licencias IBM SPSS statistics</t>
  </si>
  <si>
    <t>Adquisición de Licencias Adobe Suite</t>
  </si>
  <si>
    <t>Escenarios de riesgos relacionados al parque informático, determinados.</t>
  </si>
  <si>
    <t>Levantamiento y/ o actualización del inventario de Hardware,
coordinado con la Unidad de Control de Bienes.</t>
  </si>
  <si>
    <t>TOTAL PRESUPUESTO ESTIMATIVO UMEI 2023:</t>
  </si>
  <si>
    <t>TOTAL PRESUPUESTO ESTIMATIVO DIRECCIÓN DE TECNOLOGÍAS DE LA INFORMACIÓN Y COMUNICACIÓN 2023:</t>
  </si>
  <si>
    <t>Oscar Riofrío Orozco, Director de Tecnologías de la Información y Comunicación; Betty Pachucho Hernández, Jefe de la Unidad de Sistemas y Seguridad Informática; Byron Fabricio Ramírez Carrillo, Jefe de la Unidad de Redes y Telecomunicaciones.</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</si>
  <si>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</si>
  <si>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DIRECCIÓN DE TALENTO HUMANO</t>
  </si>
  <si>
    <t>Porcentaje de población estudiantil, docente y de servidores capacitados.</t>
  </si>
  <si>
    <t>12. Modernizar los sistemas de gestión del talento humano.</t>
  </si>
  <si>
    <t>Directrices para la organización interna con las unidades que dependen de la Dirección de Talento Humano gestionadas.</t>
  </si>
  <si>
    <t>Control de asistencia y permanencia del personal, gestionados.</t>
  </si>
  <si>
    <t>Adquisición Reloj Biometrico para control de asistencia del personal por medio de huella digital/Rostro/Tarjeta</t>
  </si>
  <si>
    <t>Planificación del Talento Humano gestionada.</t>
  </si>
  <si>
    <t>Recursos para los procesos relacionados con la salud y seguridad ocupacional, prevención de riesgos laborales, gestionados.</t>
  </si>
  <si>
    <t>88122 </t>
  </si>
  <si>
    <t>Uniformes Personal Código de trabajo</t>
  </si>
  <si>
    <t>Seguros de Fidelidad de Caución</t>
  </si>
  <si>
    <t>Proceso de elaboración y/o actualización de la Estructura Organizacional y Manual de Descripción y Valoración de Puestos, dirigido.</t>
  </si>
  <si>
    <t>Archivador Aereo</t>
  </si>
  <si>
    <t>Silla Chukuy</t>
  </si>
  <si>
    <t>Concursos de Méritos y Oposición para el personal administrativo dirigidos.</t>
  </si>
  <si>
    <t>Cumplimiento de requisitos técnicos previo a la emisión de contratos o nombramientos para el personal académico y de apoyo académico, certificado.</t>
  </si>
  <si>
    <t>Décimo Tercer Sueldo</t>
  </si>
  <si>
    <t>Décimo Cuarto Sueldo</t>
  </si>
  <si>
    <t>Para la gestión y formación académica</t>
  </si>
  <si>
    <t>Para la gestión de proyectos de investigación</t>
  </si>
  <si>
    <t>Para la gestión de proyectos de vinculación</t>
  </si>
  <si>
    <t>Capacitación y formación de los servidores administrativos y de servicio gestionada.</t>
  </si>
  <si>
    <t>Evaluación de desempeño del personal administrativo gestionado.</t>
  </si>
  <si>
    <t>Información solicitada por organismos externos respecto de la Administración del Talento Humano, gestionada.</t>
  </si>
  <si>
    <t>Procesos de desvinculación de los servidores de la institución, gestionados.</t>
  </si>
  <si>
    <t>Quejas y denuncias realizadas por usuarios internos y externos, en contra de servidores universitarios, gestionadas.</t>
  </si>
  <si>
    <t>Procesos de movimientos de personal, gestionados.</t>
  </si>
  <si>
    <t>Implementación de normativas e instrumentos relacionada con los procesos de Talento Humano, gestionada.</t>
  </si>
  <si>
    <t>Proceso de diseño y/o actualización del sistema de evaluación de desempeño de los trabajadores amparados en el Código de Trabajo, gestionado.</t>
  </si>
  <si>
    <t>N° de Planificación Operativa Anual y evaluación de la planificación operativa anual, presentada.</t>
  </si>
  <si>
    <t>TOTAL PRESUPUESTO ESTIMATIVO DIRECCIÓN DE TALENTO HUMANO 2023:</t>
  </si>
  <si>
    <t>UNIDAD DE GESTIÓN DEL TALENTO HUMANO</t>
  </si>
  <si>
    <t>Procesos de contratación (todos los regímenes laborales, y en el caso de régimen LOES previa intervención de las instancias académicas pertinentes) y/o concursos de méritos y oposición (LOSEP) para el ingreso de personal coordinados y ejecutados.</t>
  </si>
  <si>
    <t>Requerimientos de cambios en los contratos y/o acciones de personal ejecutados.</t>
  </si>
  <si>
    <t>DE PREFERENCIA COLOR VERDE OSCURO 
(3212920156)-FOLDER COLGANTE METÁLICAS</t>
  </si>
  <si>
    <t>Registro de asistencia (todos los regímenes laborales) y permanencia de personal (LOSEP, Código de Trabajo), supervisado.</t>
  </si>
  <si>
    <t>N° de procesos realizados inherentes al registro de la asistencia y la permanencia de personal  ejecutados y supervisados.</t>
  </si>
  <si>
    <t>Actualización de información en el sistema del ente rector del Control Fiscal, para efecto de validación de las declaraciones juramentadas patrimoniales de los servidores, efectuada.</t>
  </si>
  <si>
    <t>N° de actualizaciones de información en el sistema del ente rector del Control Fiscal, sobre validación de las declaraciones juramentadas patrimoniales.</t>
  </si>
  <si>
    <t>Expedientes del personal respecto del ingreso, desvinculación y otros cambios de su situación laboral; organizados y/o actualizados.</t>
  </si>
  <si>
    <t>Planificación Anual de Vacaciones personal efectuada y controlada.</t>
  </si>
  <si>
    <t>N° de Procesos de Ejecución de las vacaciones del personal planificada y controlada.</t>
  </si>
  <si>
    <t>Procesos de desvinculación de personal, coordinados.</t>
  </si>
  <si>
    <t>Proceso de aplicación de las resoluciones adoptadas por el máximo órgano colegiado superior, relacionado con sanciones impuestas por faltas disciplinarias a los servidores de la UTMACH, coordinado.</t>
  </si>
  <si>
    <t>Informes técnicos relacionados con permisos, licencias, comisiones de servicios, vacaciones, y demás procesos que se lleven a cabo en la Unidad de Gestión de Talento Humano emitidos.</t>
  </si>
  <si>
    <t>N° de reportes de Informes Técnicos por permisos,licencias en general y demás requerimientos atendidos.</t>
  </si>
  <si>
    <t>Información relacionada con el Talento Humano, solicitada por organismos externos que rigen a la institución en el área de competencia, emitidos.</t>
  </si>
  <si>
    <t>N° de Planificaciones Operativas Anuales y evaluaciones de la planificación operativa anual, presentadas.</t>
  </si>
  <si>
    <t>N° de carpetas registradas en el inventario documental.</t>
  </si>
  <si>
    <t>TOTAL PRESUPUESTO ESTIMATIVO UNIDAD DE GESTIÓN DEL TALENTO HUMANO 2023:</t>
  </si>
  <si>
    <t>UNIDAD DE DESARROLLO DEL TALENTO HUMANO</t>
  </si>
  <si>
    <t>Planificación anual de capacitación del personal administrativo perteneciente a la Ley Orgánica de Servicio Público y trabajadores amparados bajo el régimen de Código de Trabajo, coordinada.</t>
  </si>
  <si>
    <t>N° de Planes de Capacitación de los servidores amparados por la Ley Orgánica del Servicio Público y Código del Trabajo, coordinados.</t>
  </si>
  <si>
    <t>Capacitación a Servidores Administrativos y Trabajadores</t>
  </si>
  <si>
    <t>Para sumar a la partida 580209 "A Jubilados Patronales"</t>
  </si>
  <si>
    <t>Seguimiento y evaluación de la ejecución de la planificación anual de capacitación del personal, efectuada.</t>
  </si>
  <si>
    <t>Planificación anual de apoyo institucional para formación de los servidores administrativos de la UTMACH, coordinada.</t>
  </si>
  <si>
    <t>N° de Planes de Apoyo Institucional para formación de servidores administrativos, coordinados.</t>
  </si>
  <si>
    <t>Apoyo Institucional  para servidores administrativos</t>
  </si>
  <si>
    <t>Seguimiento y evaluación de la planificación anual de apoyo institucional para los servidores administrativos, efectuado.</t>
  </si>
  <si>
    <t>Planificación anual de evaluación de desempeño de los servidores, coordinada.</t>
  </si>
  <si>
    <t>N° de Planes de Evaluación de Desempeño, coordinados.</t>
  </si>
  <si>
    <t>Seguimiento y evaluación de la planificación anual de evaluación del desempeño de los servidores, efectuado.</t>
  </si>
  <si>
    <t>N° de Fases del Proceso de Evaluación de Desempeño de los servidores amparados por la LOSEP, ejecutadas.</t>
  </si>
  <si>
    <t>Informes técnicos respecto a la capacitación, formación y evaluación, peticiones de becas y/o ayudas económicas, apoyo institucional, comisiones de servicio, licencias y permisos para estudios de tercer o cuarto nivel para los servidores universitarios; emitidos.</t>
  </si>
  <si>
    <t>N° de Informes técnicos solicitados por los servidores universitarios, relacionados con  el desarrollo del talento humano (capacitación, formación y evaluación, peticiones de becas y/o ayudas económicas, apoyo institucional, comisiones de servicio, licencias y permisos para estudios de tercer o cuarto nivel), emitidos.</t>
  </si>
  <si>
    <t>Actualización de la información de capacitación de los servidores, ejecutada.</t>
  </si>
  <si>
    <t>N° de servidores con información  en el módulo de Capacitación del SIITH, actualizada.</t>
  </si>
  <si>
    <t>* Ing. Rina Loayza Ramírez,
  Jefe de Desarrollo del Talento Humano
* Ing. Verónica Delgado Bermeo,
  Analista de Desarrollo del Talento Humano</t>
  </si>
  <si>
    <t>Información solicitada por organismos externos respecto de la Administración de Talento Humano, coordinada.</t>
  </si>
  <si>
    <t>N° de solicitudes de información por parte de organismos externos, atendidas.</t>
  </si>
  <si>
    <t>N° de Planificación Operativa Anual y evaluación de la planificación operativa anual, presentadas.</t>
  </si>
  <si>
    <t>TOTAL PRESUPUESTO ESTIMATIVO UNIDAD DE DESARROLLO DEL TALENTO HUMANO 2023:</t>
  </si>
  <si>
    <t>UNIDAD DE GESTIÓN ORGANIZACIONAL</t>
  </si>
  <si>
    <t>Proceso de elaboración y/o actualización de la Estructura Organizacional y Manual de Descripción y Valoración de Puestos, coordinado.</t>
  </si>
  <si>
    <t>Actualización de la estructura orgánica institucional y el Manual de Descripción, Clasificación, Valoración de Puestos y Escala Salarial.</t>
  </si>
  <si>
    <t>Criterios técnicos relacionados con cambios de la estructura organizacional, movimiento de personal y análisis de perfiles de puestos, emitidos.</t>
  </si>
  <si>
    <t>MOUSE</t>
  </si>
  <si>
    <t>TECLADO</t>
  </si>
  <si>
    <t>Proceso de Planificación de Talento Humano, coordinado.</t>
  </si>
  <si>
    <t>Auditoría administrativa con base a las brechas resultantes del proceso de planificación del Talento Humano, coordinada.</t>
  </si>
  <si>
    <t>Quejas y denuncias realizadas por usuarios internos y externos, en contra de servidores universitarios, coordinadas y monitoreadas.</t>
  </si>
  <si>
    <t>Información relacionada con distributivo de personal, establecida en la Ley Orgánica de Transparencia y Acceso de Información Pública, emitida.</t>
  </si>
  <si>
    <t>Información solicitada por organismos externos respecto de la Administración del Talento Humano, coordinada.</t>
  </si>
  <si>
    <t>TOTAL PRESUPUESTO ESTIMATIVO UNIDAD DE GESTIÓN ORGANIZACIONAL 2023:</t>
  </si>
  <si>
    <t>UNIDAD DE GESTIÓN DE SEGURIDAD, SALUD Y RIESGO DEL TRABAJO</t>
  </si>
  <si>
    <t>Programas, proyectos y planes relacionados con la seguridad y salud ocupacional, prevención de riesgos laborales y de respuesta a los riesgos identificados, implementados.</t>
  </si>
  <si>
    <t>Control y monitoreo de riesgos laborales, efectuado.</t>
  </si>
  <si>
    <t>VOLTAREN GEL TUBO</t>
  </si>
  <si>
    <t>NASTIZOL COMPOSITUM TABLETA: PARACETAMOL + CLORFENAMINA + PSEUDOEFEDRINA</t>
  </si>
  <si>
    <t>Procesos de promoción y capacitación a los servidores de la UTMACH, en materia de salud y riesgos laborales, desarrollados.</t>
  </si>
  <si>
    <t>Informes técnicos relacionados con enfermedades profesionales, accidentes laborales e inspección y comprobación de buen funcionamiento de equipos, emitidos.</t>
  </si>
  <si>
    <t>TORUNDAS DE ALGODÓN HIDRÓFILO PAQUETE</t>
  </si>
  <si>
    <t>GUANTES QUIRÚRGICOS  "L"</t>
  </si>
  <si>
    <t>ALCOHOL ANTISÉPTICO</t>
  </si>
  <si>
    <t>AGUA OXIGENADA</t>
  </si>
  <si>
    <t>GUANTES DE EXAMINACIÓN TALLA M DE LATEX</t>
  </si>
  <si>
    <t>Registros de accidentalidad, ausentismo y evaluación estadística de los resultados, actualizados.</t>
  </si>
  <si>
    <t>NO SE PLANIFICA POR NO TENER EL TRABAJADOR SOCIAL</t>
  </si>
  <si>
    <t>Asesoramiento técnico en prevención de riesgos laborales, ejecutado.</t>
  </si>
  <si>
    <t>Almacenamiento, Embalaje, Desembalaje, Envase, Desenvase y Recarga de Extintores</t>
  </si>
  <si>
    <t>Comité Paritario, Subcomités y delegados de Seguridad y Salud Ocupacional, Comité Interinstitucional y otros que determinen los organismos competentes; conformados.</t>
  </si>
  <si>
    <t>Cumplimiento de las normativas sobre prevención de riesgos laborales y salud ocupacional, verificado.</t>
  </si>
  <si>
    <t>Prestación de servicios asistenciales, coordinado.</t>
  </si>
  <si>
    <t>Propuesta de políticas institucionales, reglamento interno y demás normativa vinculada a la seguridad y salud ocupacional, emitidas y/o actualizadas.</t>
  </si>
  <si>
    <t>TOTAL PRESUPUESTO ESTIMATIVO UGSSRT 2023:</t>
  </si>
  <si>
    <t>Mariuxi Apolo Silva</t>
  </si>
  <si>
    <t xml:space="preserve">RESUMEN PRESUPUESTO ESTIMADO PARA EL 2023                                        </t>
  </si>
  <si>
    <t>DIRECCIÓN FINANCIERA</t>
  </si>
  <si>
    <t>Directrices emitidas y/o actualizadas para la coordinación del trabajo con las Unidades de Presupuesto, Contabilidad, Tesorería, Remuneraciones y Control Interno y Coactivas.</t>
  </si>
  <si>
    <t>N° de directrices y /o normativas emitidas.</t>
  </si>
  <si>
    <t>Proceso de elaboración de la Proforma Presupuestaria Anual de la institución coordinada.</t>
  </si>
  <si>
    <t>N° de procesos de elaboración de proforma y /o reformas presupuestarias coordinadas.</t>
  </si>
  <si>
    <t>Información financiera y/o estados financieros, legalizados.</t>
  </si>
  <si>
    <t>N° de documentos financieros legalizados.</t>
  </si>
  <si>
    <t>Obligaciones de Ejercicios Anteriores por Egresos de Personal</t>
  </si>
  <si>
    <t>Al sector Privado Financiero</t>
  </si>
  <si>
    <t>Planificación Operativa Anual y Evaluación de la Planificación Operativa Anual entregados oportunamente.</t>
  </si>
  <si>
    <t>N° de Plan Operativo y Evaluación del POA.</t>
  </si>
  <si>
    <t>TOTAL PRESUPUESTO ESTIMATIVO DIRECCIÓN FINANCIERA 2023:</t>
  </si>
  <si>
    <t>UNIDAD DE PRESUPUESTO</t>
  </si>
  <si>
    <t>Proforma Presupuestaria Anual de la institución registrada.</t>
  </si>
  <si>
    <t>Nº de Proformas Presupuestarias subidas al sistema e-sigef, en espera de la aprobación del Ministerio de Finanzas.</t>
  </si>
  <si>
    <t>Reformas presupuestarias registradas y notificadas.</t>
  </si>
  <si>
    <t>Nº de comprobantes de Reformas Presupuestarias registrados y notificados.</t>
  </si>
  <si>
    <t>Certificaciones Presupuestarias previa aplicación de control interno emitidas.</t>
  </si>
  <si>
    <t>Nº de Certificaciones Presupuestarias emitidas para la adquisición de bienes y servicios.</t>
  </si>
  <si>
    <t>Control a la utilización de las Certificaciones Presupuestarias, aplicado.</t>
  </si>
  <si>
    <t>N° de controles aplicados a la utilización de certificaciones presupuestarias.</t>
  </si>
  <si>
    <t>Comprobantes Únicos de Registro (CUR) de compromiso previa aplicación de control interno elaborados.</t>
  </si>
  <si>
    <t>Nº de CURs de Compromiso elaborados para el pago a Proveedores de bienes y servicios.</t>
  </si>
  <si>
    <t>Informes de ejecución y evaluación presupuestaria elaborados.</t>
  </si>
  <si>
    <t>Nº de Informes de ejecución y evaluación presupuestaria presentados.</t>
  </si>
  <si>
    <t>Comprobantes de Reprogramación Financiera elaborados.</t>
  </si>
  <si>
    <t>Nº de comprobantes de Reprogramación Financiera elaborados.</t>
  </si>
  <si>
    <t>Información de la Ley Orgánica de Transparencia y Acceso de Información Pública, emitida.</t>
  </si>
  <si>
    <t>Nº de plantillas emitidas del literal g y el literal l.</t>
  </si>
  <si>
    <t>Nº de Plan Operativo Anual y evaluación del POA presentados.</t>
  </si>
  <si>
    <t>Nº  de Cajas del archivo de la Unidad de Presupuesto registradas en el inventario documental.</t>
  </si>
  <si>
    <t>TOTAL PRESUPUESTO ESTIMATIVO UNIDAD DE PRESUPUESTO 2023:</t>
  </si>
  <si>
    <t>UNIDAD DE CONTABILIDAD</t>
  </si>
  <si>
    <t>Comprobantes de Registro Único de ingreso elaborados previa aplicación del control interno, Comprobantes únicos de registro de gastos con sus respectivas retenciones electrónicas, previa aplicación del control interno elaborados.</t>
  </si>
  <si>
    <t>N° de Comprobantes de Registros de Ingresos aprobados oportunamente y Comprobantes Únicos de Registros de Gasto con sus respectivas retenciones y comprobante interno elaborados previo al control interno.</t>
  </si>
  <si>
    <t>* Ing. Norma Solano,
  Jefe de Contabilidad
* Ing. Nidia Gorotiza M                                                            * Ing. Fanny Ulloa P                                                              * Ing. Indira Mosquera                                      * Ing. Renato Gómez,
  Analistas de Contabilidad</t>
  </si>
  <si>
    <t>Impresión de Retenciones Físicas</t>
  </si>
  <si>
    <t>Block</t>
  </si>
  <si>
    <t>Meses</t>
  </si>
  <si>
    <t>Calculadora Sumadora</t>
  </si>
  <si>
    <t>Estados Financieros consolidados y sus respectivas notas explicativas.</t>
  </si>
  <si>
    <t>N° de Estados Financieros y Anexos presentados dentro de los plazos legales.</t>
  </si>
  <si>
    <t xml:space="preserve">1.- Revisar y actualizar saldos.                                                                                                                                                                                           </t>
  </si>
  <si>
    <t>* Ing. Norma Solano,
  Jefe de Contabilidad
* Ing. Indira Mosquera,
  Analista de Contabilidad</t>
  </si>
  <si>
    <t>-</t>
  </si>
  <si>
    <t xml:space="preserve">    </t>
  </si>
  <si>
    <t xml:space="preserve">  </t>
  </si>
  <si>
    <t>Obligaciones Tributarias pagadas oportunamente.</t>
  </si>
  <si>
    <t>N° de obligaciones tributarias de la UTMACH realizadas de forma oportuna.</t>
  </si>
  <si>
    <t>* Norma Solano C.,
  Jefe de Contabilidad
* Ing. Nidia Gorotiza                                                    * Ing. Indira Mosquera,
  Analistas de Contabilidad</t>
  </si>
  <si>
    <t>Comprobantes de anticipo, rendición, reposición y liquidación de fondos por viáticos y movilización; y de caja chica elaborados.</t>
  </si>
  <si>
    <t>N° de Comprobante de Anticipos, Rendiciones, Reposición y Liquidaciones de Fondos de: Caja Chica y de Viáticos elaborados.</t>
  </si>
  <si>
    <t>* Ing. Norma Solano,
  Jefe de Contabilidad
* Ing. Indira Mosquera                                      * Ing. Renato Gómez,
  Analistas de Contabilidad</t>
  </si>
  <si>
    <t>Saldos de inventarios de bienes muebles e inmuebles, semovientes, suministros y especies, ajustados y actualizados.</t>
  </si>
  <si>
    <t>N° de ajustes y actualizaciones de saldos de inventarios.</t>
  </si>
  <si>
    <t>* Ing. Norma Solano,
  Jefe de Contabilidad                                         * Ing. Indira Mosquera
* Ing.  Renato Gómez,
  Analistas de Contabilidad</t>
  </si>
  <si>
    <t>Ajustes por depreciación de bienes muebles e inmuebles, y de cierre del ejercicio fiscal elaborados.</t>
  </si>
  <si>
    <t>N° de comprobantes elaborados por depreciaciones y ajustes de cierres.</t>
  </si>
  <si>
    <t>Proceso ejecutado para el trámite de devolución del IVA, ante el ente rector de Rentas Internas.</t>
  </si>
  <si>
    <t>Asientos Contables de Roles de Pago revisados y registrados en el Sistema Interno.</t>
  </si>
  <si>
    <t>N° de Asientos Contables de los roles de pago del personal docente, administrativo y trabajadores realizados.</t>
  </si>
  <si>
    <t>* Ing. Norma Solano,
  Jefe de Contabilidad
* Ing. Renato Gómez,
  Analista de Contabilidad</t>
  </si>
  <si>
    <t>Informes de ingresos y gastos de los Programas Generados con los fondos propios y provenientes de convenios interinstitucionales, elaborados.</t>
  </si>
  <si>
    <t>N° de Informes de ingresos y gastos de los programas realizados.</t>
  </si>
  <si>
    <t>* Ing. Norma Solano,
  Jefe de Contabilidad                        * Ing. Nidia Gorotiza,
  Analista de Contabilidad</t>
  </si>
  <si>
    <t>N° de POA y Evaluación de POA entregados.</t>
  </si>
  <si>
    <t>* Ing. Norma Solano,
  Jefe de Contabilidad
* Ing. Nidia Gorotiza M.
* Ing. Fanny Ulloa P.
* Ing. Indira Mosquera
* Ing. Renato Gómez,
  Analistas de Contabilidad
* Sr. Jesús Navia,
  Auxiliar de Servicio</t>
  </si>
  <si>
    <t>TOTAL PRESUPUESTO ESTIMATIVO UNIDAD DE CONTABILIDAD 2023:</t>
  </si>
  <si>
    <t>UNIDAD DE TESORERÍA</t>
  </si>
  <si>
    <t>Comprobantes Únicos de Ingreso por recaudación de valores, emitidos.</t>
  </si>
  <si>
    <t>N° DE COMPROBANTES ÚNICOS DE INGRESO A CAJA EMITIDOS.</t>
  </si>
  <si>
    <t>* ING. BLANCA CARVAJAL ALBAN,
  JEFE DE TESORERÍA GENERAL SUBROGANTE
* ING. SANDRA RAMIREZ ROMERO,
  ANALISTA DE TESORERÍA
* ING. EDUARDO PALOMEQUE GARCES,
  ANALISTA DE TESORERÍA</t>
  </si>
  <si>
    <t>Especies custodiadas y entregadas para su impresión.</t>
  </si>
  <si>
    <t>N° DE ACTAS DE ENTREGA-RECEPCIÓN DE ESPECIES SUSCRITAS.</t>
  </si>
  <si>
    <t>* ING. BLANCA CARVAJAL ALBAN, 
  JEFE DE TESORERÍA GENERAL SUBROGANTE
* ING. SANDRA RAMIREZ ROMERO,
  ANALISTA DE TESORERIA</t>
  </si>
  <si>
    <t>Mouse</t>
  </si>
  <si>
    <t>Comprobantes de Registro Único de Ingresos por recaudación de valores y amortizaciones aprobadas en la plataforma del ente rector de las Finanzas Públicas.</t>
  </si>
  <si>
    <t>N° DE COMPROBANTES DE REGISTRO ÚNICO DE INGRESOS POR RECAUDACIONES DE VALORES Y AMORTIZACIONES APROBADOS EN EL SISTEMA eSIGEF.</t>
  </si>
  <si>
    <t>* ING. BLANCA CARVAJAL ALBAN,
  JEFE DE TESORERÍA GENERAL SUBROGANTE
ING. EDUARDO, PALOMEQUE GARCES
  ANALISTA DE TESORERIA</t>
  </si>
  <si>
    <t>Beneficiarios, cuentas monetarias y fondos globales creados y aprobados en la plataforma del ente rector de las Finanzas Públicas.</t>
  </si>
  <si>
    <t>N° DE BENEFICIARIOS, CUENTAS MONETARIAS Y FONDOS GLOBALES CREADOS Y APROBADOS EN EL SISTEMA ESIGEF.</t>
  </si>
  <si>
    <t>* ING. BLANCA CARVAJAL ALBAN,
  JEFE DE TESORERÍA GENERAL SUBROGANTE
ING. EDUARDO PALOMEQUE GARCES,
  ANALISTA DE TESORERIA</t>
  </si>
  <si>
    <t>Pólizas de garantía y de letras de cambio controladas.</t>
  </si>
  <si>
    <t>N° DE REPORTES DE CONTROL DE VENCIMIENTO Y SOLICITUD DE RENOVACION DE GARANTIAS CONTRACTUALES, PÓLIZAS DE CAUCIONES Y FIDELIDAD, LETRAS DE CAMBIO.</t>
  </si>
  <si>
    <t>Información de la Ley Orgánica de Transparencia y Acceso de Información Pública, emitida</t>
  </si>
  <si>
    <t>N° DE PLANILLAS MENSUALES DE REEMBOLSOS Y ANTICIPOS DE VIÁTICOS, INFORMES DE TRABAJO Y JUSTIFICATIVOS POR MOVILIZACIONES NACIONAL O INTERNACIONAL DE AUTORIDADES Y SERVIDORES DE LA INSTITUCIÓN PARA CUMPLIMIENTO DE LA LEY DE TRANSPARENCIA, ENTREGADOS.</t>
  </si>
  <si>
    <t>* ING. BLANCA CARVAJAL ALBAN,
  JEFE DE TESORERÍA GENERAL SUBROGANTE
* ING. SANDRA RAMIREZ ROMERO,
  ANALISTA DE TESORERIA</t>
  </si>
  <si>
    <t>Fondos transferidos a proveedores previa aplicación del control interno.</t>
  </si>
  <si>
    <t>N° DE CURS REVISADOS Y APROBADOS PARA PAGAR A PROVEEDORES.</t>
  </si>
  <si>
    <t>* ING. BLANCA CARVAJAL ALBAN,
  JEFE DE TESORERÍA GENERAL SUBROGANTE
* ING. SANDRA RAMIREZ ROMERO,
*ING. EDUARDO PALOMEQUE GARCES ANALISTAS DE TESORERÍA</t>
  </si>
  <si>
    <t>Certificaciones de remuneraciones percibidas y roles de pago emitidos y validadas.</t>
  </si>
  <si>
    <t>N° DE CERTIFICACIONES DE REMUNERACIONES PERCIBIDAS Y ROLES DE PAGOS ENTREGADOS.</t>
  </si>
  <si>
    <t>* ING. BLANCA CARVAJAL ALBAN,
  JEFE DE TESORERÍA GENERAL SUBROGANTE
* ING. SANDRA RAMIREZ 
  ANALISTA DE TESORERIA</t>
  </si>
  <si>
    <t>Depósitos y transferencias conciliadas entre el banco corresponsal y el Banco Central del Ecuador.</t>
  </si>
  <si>
    <t>N° DE CONCILIACIONES BANCARIAS REALIZADAS.</t>
  </si>
  <si>
    <t>* ING. BLANCA CARVAJAL ALBAN,
  JEFE DE TESORERÍA GENERAL SUBROGANTE
* ING. EDUARDO PALOMEQUE GARCES
  ANALISTA DE TESORERIA</t>
  </si>
  <si>
    <t>Procesos coactivos tramitados.</t>
  </si>
  <si>
    <t>N° DE TRÁMITES REALIZADOS PARA PROCESO DE CUENTAS POR COBRAR.</t>
  </si>
  <si>
    <t>NO APLICA</t>
  </si>
  <si>
    <t>CON OFICIO NRO. UTMACH-UT-2021-0365-OF, DIRIGIDO A LA DIRECTORA FINANCIERA, SE SOLICITA LA REVISIÓN DE ESTE PRODUCTO, POR CUANTO ESTÁ CREADA LA UNIDAD DE COACTIVAS QUIEN ESTARÍA  A CARGO DE LOS PROCESOS COACTIVOS.</t>
  </si>
  <si>
    <t>N° DE POA Y EVALUACIONES  ENTREGADAS.</t>
  </si>
  <si>
    <t>* ING. BLANCA CARVAJAL ALBAN,
  JEFE DE TESORERÍA GENERAL SUBROGANTE
* ING. SANDRA RAMIREZ ROMERO
* ING. EDUARDO PALOMEQUE GARCES.
  ANALISTAS DE TESORERÍA</t>
  </si>
  <si>
    <t>N° DE CAJAS REGISTRADAS EN EL INVENTARIO DOCUMENTAL.</t>
  </si>
  <si>
    <t>* ING.EDUARDO PALOMEQUE GARCES
  ANALISTA DE TESORERIA</t>
  </si>
  <si>
    <t>TOTAL PRESUPUESTO ESTIMATIVO UNIDAD DE TESORERÍA 2023:</t>
  </si>
  <si>
    <t>UNIDAD DE REMUNERACIONES</t>
  </si>
  <si>
    <t>Roles de pago elaborados previa aplicación de control interno.</t>
  </si>
  <si>
    <t>N° de roles de pago ejecutados.</t>
  </si>
  <si>
    <t>Equipos, Sistemas y Paquetes informáticos</t>
  </si>
  <si>
    <t>Roles de Liquidación de haberes y/o bonificaciones e indemnizaciones por desvinculación de los Servidores universitarios.</t>
  </si>
  <si>
    <t>N° de roles elaborados de liquidación de haberes personal que cesa en sus funciones.</t>
  </si>
  <si>
    <t>Reformas web centralizadas y/o descentralizadas, elaboradas.</t>
  </si>
  <si>
    <t>N° de reformas web centralizadas y/o descentralizadas elaboradas.</t>
  </si>
  <si>
    <t>Cuadre de sueldos y aportaciones de los servidores universitarios entre el subsistema de nóminas del ente rector de las Finanzas Públicas y el IESS, elaborado.</t>
  </si>
  <si>
    <t>N° de cuadres mensuales de sueldos y aportaciones de los servidores universitarios elaborados.</t>
  </si>
  <si>
    <t>N° de Planificaciones y Evaluaciones del POA entregadas oportunamente.</t>
  </si>
  <si>
    <t>1.- Plan Operativo Anual.
2.- Evaluación del POA.</t>
  </si>
  <si>
    <t>N° de cajas donde reposa la documentación de la unidad registrada en el inventario documental.</t>
  </si>
  <si>
    <t>TOTAL PRESUPUESTO ESTIMATIVO UNIDAD DE REMUNERACIONES 2023:</t>
  </si>
  <si>
    <t>UNIDAD DE COACTIVAS</t>
  </si>
  <si>
    <t xml:space="preserve">Procedimientos coactivos ejecutados. </t>
  </si>
  <si>
    <t>N° de procedimientos coactivos ejecutados.</t>
  </si>
  <si>
    <t>En el presente producto, está sujeto al inicio de las diligencias previas que duran seis meses por tanto no se podría establecer la emisión de títulos de crédito en el primer y segundo cuatrimestre.</t>
  </si>
  <si>
    <t xml:space="preserve">UPS </t>
  </si>
  <si>
    <t>ARCHIVADOR VERTICAL DE CUATRO GAVETAS</t>
  </si>
  <si>
    <t>SILLA EJECUTIVA</t>
  </si>
  <si>
    <t>ESTACIÓN DE TRABAJO EN L</t>
  </si>
  <si>
    <t>Suscripción de convenios de pago gestionada</t>
  </si>
  <si>
    <t xml:space="preserve">N° de Convenios de Pago suscritos. </t>
  </si>
  <si>
    <t>PUBLICACIONES POR LA PRENSA CITACIONES A COACTIVADOS</t>
  </si>
  <si>
    <t>Medidas cautelares ejecutadas</t>
  </si>
  <si>
    <t>N° de medidas cautelares ejecutadas.</t>
  </si>
  <si>
    <t>LOS PROCESOS AÚN NO ESTARÍAN EN LA ETAPA DE EMBARGOS.</t>
  </si>
  <si>
    <t>Embargos ejecutados</t>
  </si>
  <si>
    <t>N° de embargos ejecutados.</t>
  </si>
  <si>
    <t>LOS PROCESOS AÚN NO ESTARÍAN EN LA ETAPA DE REMATES.</t>
  </si>
  <si>
    <t xml:space="preserve">Remates ejecutados. </t>
  </si>
  <si>
    <t>N° de remates ejecutados.</t>
  </si>
  <si>
    <t>Ventas directas ejecutadas.</t>
  </si>
  <si>
    <t>N° de Ventas directas ejecutadas.</t>
  </si>
  <si>
    <t>LOS PROCESOS AÚN NO ESTARÍAN EN LA ETAPA DE VENTAS DIRECTAS.</t>
  </si>
  <si>
    <t xml:space="preserve">Planificación operativa anual y Evaluación de la Planificación Operativa Anual,  entregadas oportunamente. </t>
  </si>
  <si>
    <r>
      <rPr>
        <sz val="10"/>
        <color theme="1"/>
        <rFont val="Arial Narrow"/>
      </rPr>
      <t xml:space="preserve">N° de Planificaciones </t>
    </r>
    <r>
      <rPr>
        <sz val="10"/>
        <color theme="1"/>
        <rFont val="Arial Narrow"/>
      </rPr>
      <t xml:space="preserve">Operativas Anuales </t>
    </r>
    <r>
      <rPr>
        <sz val="10"/>
        <color theme="1"/>
        <rFont val="Arial Narrow"/>
      </rPr>
      <t>y evaluaciones de las planificaciones operativas anuales, presentadas.</t>
    </r>
  </si>
  <si>
    <t xml:space="preserve">Archivo de gestión organizado. </t>
  </si>
  <si>
    <t>TOTAL PRESUPUESTO ESTIMATIVO UNIDAD DE COACTIVAS  2023:</t>
  </si>
  <si>
    <r>
      <rPr>
        <b/>
        <sz val="11"/>
        <color theme="1"/>
        <rFont val="Arial Narrow"/>
      </rPr>
      <t xml:space="preserve">Elaborado por: </t>
    </r>
    <r>
      <rPr>
        <sz val="11"/>
        <color theme="1"/>
        <rFont val="Arial Narrow"/>
      </rPr>
      <t>Patricia Niebla Gómez, Dirección Financiera; Ing. Alfonso Silva Sánchez, Unidad de Presupuesto; Ing. Nancy Aguilar Reyes, Ing. Indira Mosquera V. Analistas de Contabilidad e Ing. Norma Solano Correa, Jefe de Contabilidad; ING. EDUARDO PALOMEQUE GARCES, Unidad de Tesorería; María Espinoza Bajaña, Unidad de Remuneraciones; Ab. Fernanda Rojas Ramírez, Unidad de Coactivas.</t>
    </r>
  </si>
  <si>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</si>
  <si>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r>
      <rPr>
        <b/>
        <sz val="11"/>
        <color theme="1"/>
        <rFont val="Arial Narrow"/>
      </rPr>
      <t xml:space="preserve">Fecha de presentación: </t>
    </r>
    <r>
      <rPr>
        <sz val="11"/>
        <color theme="1"/>
        <rFont val="Arial Narrow"/>
      </rPr>
      <t>13 septiembre de 2022</t>
    </r>
  </si>
  <si>
    <r>
      <rPr>
        <b/>
        <sz val="11"/>
        <color theme="1"/>
        <rFont val="Arial Narrow"/>
      </rPr>
      <t xml:space="preserve">Fecha de presentación corregido: </t>
    </r>
    <r>
      <rPr>
        <sz val="11"/>
        <color theme="1"/>
        <rFont val="Arial Narrow"/>
      </rPr>
      <t>14 septiembre de 2022</t>
    </r>
  </si>
  <si>
    <t>Al Sector Privado no Financiero</t>
  </si>
  <si>
    <t>DIRECCIÓN ADMINISTRATIVA</t>
  </si>
  <si>
    <t>PAGO DE SERVICIOS BÀSICOS DE LA UTMACH</t>
  </si>
  <si>
    <t>Consumo de agua potable, pagos mensuales</t>
  </si>
  <si>
    <t>Consumo de energía eléctrica, pagos mensuales</t>
  </si>
  <si>
    <t>Consumo de telecomunicaciones, pagos mensuales</t>
  </si>
  <si>
    <t>DIRECCIÓN ADMINISTRATIVA PAGO DE PREDIOS URBANOS DE LA UTMACH</t>
  </si>
  <si>
    <t>Tasas e impuestos institucionales</t>
  </si>
  <si>
    <t>ESTE PRODUCTO ESTÁ CONSIDERADO EN LA PLANIFICACIÓN ANUAL DE CONTRATACIONES, APROBADA, ADICIONAL ES IMPORTANTE INDICAR QUE MEDIANTE EL OFICIO NRO. UTMACH-DADM-2021-621-OF DE FECHA 17 DE SEPTIEMBRE DEL AÑO 2021 SE REPORTÓ AL SEÑOR RECTOR NOVEDADES EN RELACIÓN A LA PLANTILLA DE LA DTH; DERIVADAS DEL ROGOP 2021 (Resol. 345/2021) Y SUS PRODUCTOS CON LA SIGUIENTE PETICIÒN "me permito solicitar a usted, se haga conocer dichas observaciones a la Comisión designada en este proceso, a fin de proceder a subsanar dicha observaciones y esta Dirección y sus dependencias pueda proceder a llenar las plantillas correspondientes"</t>
  </si>
  <si>
    <t>Proceso</t>
  </si>
  <si>
    <t>NECESIDADES DE LA DIRECCIÓN ADMINISTRATIVA Y SUS ÁREAS ADSCRITAS</t>
  </si>
  <si>
    <t>DISCO DURO EXTERNO</t>
  </si>
  <si>
    <t>TELEFONOS IP</t>
  </si>
  <si>
    <t>PAGO DE SEGURO DE BIENES DE LA UTMACH POR LA DIR-ADMIN</t>
  </si>
  <si>
    <t>Seguro para bienes institucionales</t>
  </si>
  <si>
    <t>ÁREA DE TRANSPORTE</t>
  </si>
  <si>
    <t>Mantenimiento vehícular</t>
  </si>
  <si>
    <t>COMBUSTIBLES Y LUBRICANTES PARA LOS AUTOMOTORES</t>
  </si>
  <si>
    <t>ÁREA DE VIGILANCIA Y SEGURIDAD</t>
  </si>
  <si>
    <t>Seguridad en las instalaciones de la institución</t>
  </si>
  <si>
    <t>PAGO POR PERMISO DE MATRÍCULA DE ARMAS, PROPIEDAD DE LA UTMACH</t>
  </si>
  <si>
    <t>CONO REFLECTIVO</t>
  </si>
  <si>
    <t>PROCESO DE LA DIRECCIÓN ADMINISTRATIVA</t>
  </si>
  <si>
    <t>REPUESTOS PARA ACTIVIDADES DE LA DIRECCIÓN ADMINISTRATIVA</t>
  </si>
  <si>
    <t>DISCOS DUROS INTERNOS DE ESTADO SÓLIDO SSD</t>
  </si>
  <si>
    <t>PROCESO DEL ÁREA DE TRANSPORTE</t>
  </si>
  <si>
    <t>Seguro para vehículos institucionales</t>
  </si>
  <si>
    <t>Para cubrir el saldo del seguro de bienes institucionales</t>
  </si>
  <si>
    <t>Matrícula de vehículos institucionales</t>
  </si>
  <si>
    <t>PROCESOS DE PASAJES Y VIÁTICOS DE LA UTMACH</t>
  </si>
  <si>
    <t>PASAJES AL INTERIOR</t>
  </si>
  <si>
    <t>PASAJES AL EXTERIOR</t>
  </si>
  <si>
    <t>ARCHIVOS DIGITALES A PARTIR DEL AÑO 2020</t>
  </si>
  <si>
    <t>TOTAL PRESUPUESTO ESTIMATIVO DIRECCIÓN ADMINISTRATIVA 2023:</t>
  </si>
  <si>
    <t>UNIDAD DE COMPRAS PÚBLICAS</t>
  </si>
  <si>
    <t>Plan Anual de Contrataciones registrado en el Portal del Órgano Rector de la Contratación Pública.</t>
  </si>
  <si>
    <t>* Ing. Fausto Figueroa,
  Jefe de Compras Públicas
* Ing.Thayana Juárez Núñez,
  Analista de Compras Públicas</t>
  </si>
  <si>
    <t>Procesos de Contratación Pública revisados y publicados en el Portal del Órgano Rector de la Contratación Pública.</t>
  </si>
  <si>
    <t>Plan Anual de Compras supervisado.</t>
  </si>
  <si>
    <t>Directrices para el cumplimiento del Plan Anual de Contratación emitidas.</t>
  </si>
  <si>
    <t>TOTAL PRESUPUESTO ESTIMATIVO UNIDAD DE COMPRAS PÚBLICAS 2023:</t>
  </si>
  <si>
    <t>UNIDAD DE BIENES</t>
  </si>
  <si>
    <t>Bienes Ingresados.</t>
  </si>
  <si>
    <t>Bienes adquiridos asignados a los Administradores de Bienes o Custodios Administrativos.</t>
  </si>
  <si>
    <t>Documentos de propiedad de los bienes proporcionados.</t>
  </si>
  <si>
    <t>OBSERVACIÓN:
Este producto es habilitado por otras dependencias, por lo que no es posible  establecer meta.</t>
  </si>
  <si>
    <t>Garantías técnicas de bienes muebles aplicadas.</t>
  </si>
  <si>
    <t>Reportes de bienes entregados.</t>
  </si>
  <si>
    <t>Inventario de bienes actualizado.</t>
  </si>
  <si>
    <t>Levantamiento de información para el registro del gasto de las existencias de la Institución, coordinado.</t>
  </si>
  <si>
    <t>Nº de procesos de levantamiento de información para el registro del gasto de las existencias de la Institución, coordinado.</t>
  </si>
  <si>
    <t>N° de Planificaciones Operativas Anuales y Evaluaciones de la Planificación Operativa Anual entregadas.</t>
  </si>
  <si>
    <t>TOTAL PRESUPUESTO ESTIMATIVO UNIDAD DE BIENES 2023:</t>
  </si>
  <si>
    <t>UNIDAD DE CONTROL DE BIENES</t>
  </si>
  <si>
    <t>Bienes Institucionales constatados.</t>
  </si>
  <si>
    <t>Salidas de Bienes Institucionales autorizados.</t>
  </si>
  <si>
    <t>Devoluciones de Bienes receptadas.</t>
  </si>
  <si>
    <t>MONTACARGA DE ALTURA HIDRÁULICO MANUAL</t>
  </si>
  <si>
    <t xml:space="preserve">	369209011</t>
  </si>
  <si>
    <t>Bienes inservibles, obsoletos o que han dejado de tener utilidad enajenados.</t>
  </si>
  <si>
    <t>Información emitida para el aseguramiento de bienes.</t>
  </si>
  <si>
    <t>Informes técnicos elaborados.</t>
  </si>
  <si>
    <t>Conciliación permanente de las cuentas de inventario de los bienes y existencias de la Institución, coordinada.</t>
  </si>
  <si>
    <t>TOTAL PRESUPUESTO ESTIMATIVO UNIDAD CONTROL DE BIENES 2023:</t>
  </si>
  <si>
    <t>UNIDAD DE OBRAS E INFRAESTRUCTURA UNIVERSITARIA</t>
  </si>
  <si>
    <t>Informe técnico de ejecución de obras contratadas.</t>
  </si>
  <si>
    <t>Mantenimiento de infraestructura de la IES</t>
  </si>
  <si>
    <t>Informe de avance del Plan del Desarrollo de la Infraestructura.
Número de estudios técnicos para adecuación y/o construcción, realizados.</t>
  </si>
  <si>
    <t>Varias maquinarias para áreas verdes</t>
  </si>
  <si>
    <t xml:space="preserve">Informes técnicos para la construcción o adecuación de la infraestructura. 
</t>
  </si>
  <si>
    <t>Maquinarias y Equipos (Mantenimiento, Reparación e Instalación)</t>
  </si>
  <si>
    <t>Mantenimiento de varias maquinarias (ascensores, generador eléctrico, otros)</t>
  </si>
  <si>
    <t>Mantenimiento de varias maquinarias (para trabajos de áreas verdes); (escenarios deportivos)</t>
  </si>
  <si>
    <t>Reparación y Mantenimiento de acondicionadores de aire</t>
  </si>
  <si>
    <t>Varios insumos para las actividades del personal de mantenimiento general</t>
  </si>
  <si>
    <t>Varios repuestos para las maquinarias de áreas verdes y otros</t>
  </si>
  <si>
    <t>Fondos de reposición de Caja Chica</t>
  </si>
  <si>
    <t>TOTAL PRESUPUESTO ESTIMATIVO UOIU 2023:</t>
  </si>
  <si>
    <t>Juan Carlos Merino Gaona</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</si>
  <si>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</si>
  <si>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 xml:space="preserve">Autorizado por: </t>
  </si>
  <si>
    <t>Roberto F. Córdova Romero</t>
  </si>
  <si>
    <t>22 de septiembre de 2022</t>
  </si>
  <si>
    <t>FACULTAD DE CIENCIAS AGROPECUARIAS</t>
  </si>
  <si>
    <t>DECANATO</t>
  </si>
  <si>
    <t xml:space="preserve">Directrices para garantizar la ejecución de los procesos administrativos y académicos emitidas. </t>
  </si>
  <si>
    <t>N° de directrices de procesos administrativos y académicos emitidos.</t>
  </si>
  <si>
    <t>1.- Difundir las directrices emitidas mediante Resoluciones HCU.
2.- Receptar  documentos y correos con disposiciones,  para enviar al personal  académico y administrativo previa sumilla de la autoridad.</t>
  </si>
  <si>
    <t>1.- Reporte de la difusión de las directrices.
2.- Documentos y correos recibidos con disposiciones emanadas de HCU.</t>
  </si>
  <si>
    <t>2.- Ejecutar los procesos administrativos y académicos.</t>
  </si>
  <si>
    <t>Ejecución de los procesos administrativos y académicos supervisados.</t>
  </si>
  <si>
    <t>N° de procesos administrativos y académicos supervisados.</t>
  </si>
  <si>
    <t>1.- Receptar las comunicaciones y notificaciones internas y/o organismos externos.
2.- Planificar y organizar la distribución de espacios físicos para los cubículos para la actividad presencial.
3.- Elaborar los procesos de compra.
4.- Elaborar Registro de entrega de materiales de aseo y oficina.</t>
  </si>
  <si>
    <t>1.- Reporte del estado actual de los procesos administrativos y académicos.
2.- Distributivo de Cubículos.     
3.- Reporte de las solicitudes de los procesos de adquisiciones de los bienes y/o servicios.
4.- Registro de control de materiales de aseo y oficina.</t>
  </si>
  <si>
    <t>36990.05</t>
  </si>
  <si>
    <t xml:space="preserve">CARRETILLA </t>
  </si>
  <si>
    <t>42921.00</t>
  </si>
  <si>
    <t>PALA PALIN DE FONDO</t>
  </si>
  <si>
    <t>LLAVE/GRIFO De FREGADERO, FLEXIBLE PARA PARED</t>
  </si>
  <si>
    <t>LETRERO INFORMATIVO - PISO MOJADO</t>
  </si>
  <si>
    <t>46541.00.1</t>
  </si>
  <si>
    <t>FLANGER DE URINARIO</t>
  </si>
  <si>
    <t>35110.01</t>
  </si>
  <si>
    <t>35110.14</t>
  </si>
  <si>
    <t>Saco</t>
  </si>
  <si>
    <t>32149.11</t>
  </si>
  <si>
    <t>Pliego</t>
  </si>
  <si>
    <t>Para actividades administrativas</t>
  </si>
  <si>
    <t>Base de datos para actividades académicas</t>
  </si>
  <si>
    <t>3.- Gestionar la Propuesta del distributivo académico en conjunto con los Subdecanatos.</t>
  </si>
  <si>
    <t>Propuesta del distributivo académico en conjunto con los Subdecanatos, gestionada.</t>
  </si>
  <si>
    <t>N° de distributivos académicos gestionados.</t>
  </si>
  <si>
    <t>1.- Participar de la socialización Decanato y Subdecanato.</t>
  </si>
  <si>
    <t>1.- Reporte de Resoluciones de Aprobación del Distributivo Académico FCA.</t>
  </si>
  <si>
    <t>4.- Supervisar la ejecución de las convocatorias a los consejos de facultad.</t>
  </si>
  <si>
    <t>Sesiones de Consejo Directivo, convocadas y presididas.</t>
  </si>
  <si>
    <t>N° de sesiones convocadas y presididas.</t>
  </si>
  <si>
    <t>1.- Receptar documentos para Consejo Directivo.</t>
  </si>
  <si>
    <t>1.- Reporte de Convocatorias a Sesiones de Consejos Directivos.</t>
  </si>
  <si>
    <t>5.- Gestionar los Procesos que garantizan el cumplimiento de las funciones sustantivas de la educación superior: docencia, investigación y vinculación.</t>
  </si>
  <si>
    <t>Procesos que garantizan el cumplimiento de las funciones sustantivas de la educación superior: docencia, investigación y vinculación, gestionados.</t>
  </si>
  <si>
    <t>N° de procesos realizados, para garantizar el cumplimiento de las funciones sustantivas.</t>
  </si>
  <si>
    <t xml:space="preserve">1.- Tramitar los procesos de las funciones sustantivas: Subdecacnato, Direccion de Investigacion y Vinculacion. </t>
  </si>
  <si>
    <t>1.- Reporte de Informes recibidos: de los procesos de las Funciones Sustantivas: Docencia, investigación y vinculación.</t>
  </si>
  <si>
    <t>43913.00.1</t>
  </si>
  <si>
    <t>44110.03</t>
  </si>
  <si>
    <t>EQUIPAMIENTO PARA INVESTIGACIONES AGROPECUARIAS PARA EL DESARROLLO DE PROYECTOS DE INVESTIGACIÓN</t>
  </si>
  <si>
    <t xml:space="preserve">PUBLICACIÓN Y EDICIÓN CIENTÍFICA EN REVISTAS INDEXADAS </t>
  </si>
  <si>
    <t>44110.03.1</t>
  </si>
  <si>
    <t>MANTENIMIENTO DE INFRAESTRUCTURA INTERNA Y EXTERNA DE LAS ÁREAS DE LABORATORIOS DE FACULTAD</t>
  </si>
  <si>
    <t xml:space="preserve">EDICIÓN DE REVISTA SEMESTRAL </t>
  </si>
  <si>
    <t>6.- Presentar el Informe de Rendición de Cuentas.</t>
  </si>
  <si>
    <t>Informe de Rendición de Cuentas, presentado.</t>
  </si>
  <si>
    <t>N° de Rendición de Cuentas, presentado.</t>
  </si>
  <si>
    <t>1.- Realizar Informe de Rendición de Cuentas.</t>
  </si>
  <si>
    <t>1.- Informe de Rendición de Cuentas 2022 de la FCA, aprobado por HCD.</t>
  </si>
  <si>
    <t>7.- Gestionar trámite de licencias solicitadas por el personal docente y administrativo.</t>
  </si>
  <si>
    <t>Licencias solicitadas por el personal docente y administrativo, gestionadas.</t>
  </si>
  <si>
    <t>N° de licencias solicitadas y gestionadas por el personal docente y administrativo.</t>
  </si>
  <si>
    <t>1.- Receptar las solicitudes de permiso del personal académico y administrativo.
2.- Redactar y tramitar ante autoridades las solicitudes de permiso, licencias del personal docentes y administrativo.</t>
  </si>
  <si>
    <t>1.- Reporte de licencias personal docente y administrativo, tramitados.</t>
  </si>
  <si>
    <t xml:space="preserve">8.- Gestionar las actividades  culturales, deportivas, sociales, y proyectos de responsabilidad social e influencia en políticas públicas </t>
  </si>
  <si>
    <t xml:space="preserve">Actividades culturales, deportivas, sociales, y proyectos de responsabilidad social e influencia en políticas públicas gestionadas.
</t>
  </si>
  <si>
    <t>N° de Actividades culturales, deportivas, sociales, y proyectos de responsabilidad social e influencia en políticas públicas gestionadas.</t>
  </si>
  <si>
    <t xml:space="preserve">1.- Tramitar las actividades  culturales, deportivas, sociales, y proyectos de responsabilidad social e influencia en políticas públicas. </t>
  </si>
  <si>
    <t>1.- Reporte de las actividades  culturales, deportivas, sociales, y proyectos de responsabilidad social e influencia en políticas públicas, aprobadas.</t>
  </si>
  <si>
    <t>9.- Coordinar y gestionar el Proceso de contratación de personal docente para las carreras o programas vigentes en la Facultad.</t>
  </si>
  <si>
    <t>Proceso de contratación de personal docente para las carreras o programas vigentes en la Facultad, coordinado.</t>
  </si>
  <si>
    <t>N° de Procesos de contratación de personal docente para las carreras o programas vigentes en la Facultad, coordinados y gestionados.</t>
  </si>
  <si>
    <t>1.- Gestionar la Selección de docentes no titulares en base a necesidades.
2.- Gestionar la contratación de Técnicos Docentes, Técnicos de Laboratorio.</t>
  </si>
  <si>
    <t>1.- Reporte de Resolución de aprobación del listado de docentes no titulares seleccionados por Consejo Directivo.                     
2.- Oficios tramitados.</t>
  </si>
  <si>
    <t>Los criterios técnicos corresponden a la comisión académica u jurídicos.</t>
  </si>
  <si>
    <t>10.- Emitir criterios técnicos para la sustentación de las decisiones adoptadas a nivel de facultad.</t>
  </si>
  <si>
    <t>Criterios técnicos para la sustentación de las decisiones adoptadas a nivel de facultad emitidos.</t>
  </si>
  <si>
    <t>N° de Criterios técnicos emitidos para la sustentación de las decisiones adoptadas a nivel de facultad.</t>
  </si>
  <si>
    <t>1.- Gestionar decisiones de Comisión Académica.
2.- Gestionar criterios técnicos jurídicos.</t>
  </si>
  <si>
    <t>1.- Reporte de Resoluciones adoptadas por Consejo Directivo y/o oficios.</t>
  </si>
  <si>
    <t>11.- Supervisar las Gestiones efectuadas por el Subdecanato, los directores académicos departamentales, personal académico y administrativo de la Facultad.</t>
  </si>
  <si>
    <t>Gestiones efectuadas por el Subdecano, los directores académicos
departamentales, personal académico y administrativo de la Facultad,
supervisadas.</t>
  </si>
  <si>
    <t>N° de Informes efectuados por el Subdecano, los Directores Académicos, personal académico y administrativo, supervisadas.</t>
  </si>
  <si>
    <t>1.- Gestionar informes presentados del Subdecano, Directores Académicos y personal administrativo sobre gestiones realizadas.</t>
  </si>
  <si>
    <t>1.- Reporte de Informes Recibidos.</t>
  </si>
  <si>
    <t>12.- Presentar la Planificación Operativa Anual y Evaluar la Planificación Operativa Anual.</t>
  </si>
  <si>
    <t>1.- Elaborar la Evaluación del POA 2023.
2.- Elaborar el POA 2024.</t>
  </si>
  <si>
    <t>1.- Oficio y presentación de la Evaluación del Plan Operativo Anual 2023.
2.- Oficio y presentación del Plan Operativo Anual 2024.</t>
  </si>
  <si>
    <t>13.- Organizar el Archivo de Gestión.</t>
  </si>
  <si>
    <t>N° de Oficios organizados.</t>
  </si>
  <si>
    <t>1.- Clasificar, organizar y registrar el Archivo de Decanato, Oficios emitidos por Decanato FCA 2023.</t>
  </si>
  <si>
    <t>1.- Registro Ingreso información en el SIUTMACH 2023, comunicaciones enviadas y recibidas.</t>
  </si>
  <si>
    <t>TOTAL PRESUPUESTO ESTIMATIVO DEL DECANATO 2023:</t>
  </si>
  <si>
    <t>SUBDECANATO</t>
  </si>
  <si>
    <t>Procedimientos Académicos internos estandarizados, emitidos o actualizados.</t>
  </si>
  <si>
    <t>N° de procedimientos académicos estandarizados, emitidos o actualizados.</t>
  </si>
  <si>
    <t>1.- Coordinar y socializar al interior de la Facultad las directrices emitidas por el òrgano superior.
2.- Receptar, analizar y realizar oficios, correos electrónicos, informes, llamadas telefónicas y otros documentos que emanen de los procesos que se lleva a cabo en el subdecanato.
3.- Actualizar la agenda del Subdecanato.
4.- Designar a los responsables de los colectivos de vinculación, prácticas preprofesionales, evaluación, gestión de la calidad, seguimiento graduados y seguimiento al sílabo por carreras.</t>
  </si>
  <si>
    <t>1.- Reporte del estado actual de la emisión o actualización de procedimientos académicos internos.
2.- Reporte de Oficios elaborados ingresados al SIUTMACH.
3.- Reporte de Oficios recibidos ingresados SIUTMACH.
4.- Agenda del subdecanato.
5.- Matriz de responsables de colectivos.</t>
  </si>
  <si>
    <t>2.- Convocar y presidir Sesiones de Comisión Académica de la Facultad.</t>
  </si>
  <si>
    <t>Sesiones de Comisión Académica de la Facultad, convocadas y presididas.</t>
  </si>
  <si>
    <t>N° de Sesiones de Comisión Académica de la Facultad convocadas y presididas.</t>
  </si>
  <si>
    <t>1.- Convocar y presidir las sesiones de Comisión Académica de la Facultad para el monitoreo de los procesos académicos.</t>
  </si>
  <si>
    <t>1.- Convocatorias.
2.- Actas de Sesiones.
3.- Resoluciones u oficios.</t>
  </si>
  <si>
    <t>3.- Orientar y supervisar las propuestas para la creación, fusión y extinción de carreras y programas, así como los planes de estudios de las mismas emanados del trabajo de rediseño curricular.</t>
  </si>
  <si>
    <t>Propuestas para la creación, fusión y extinción de carreras y programas, así como los planes de estudios de las mismas emanados del trabajo de rediseño curricular, orientados y supervisados.</t>
  </si>
  <si>
    <t>N° de Sesiones de trabajo convocadas.</t>
  </si>
  <si>
    <t>1.- Convocar y presidir las sesiones de trabajo de avance de propuesta de creación de nueva carrera.
2.- Presentar informes de avance de propuestas de creación y/o extinción de carreras.
2. Presentar el proyecto de creación y/o extinción de carrera a los organismos competentes de la FCA.</t>
  </si>
  <si>
    <t>1.- Resoluciones y/u oficios.
2. Convocatorias.
3. Registro de asistencia.
4. Informes.</t>
  </si>
  <si>
    <t>4.- Supervisar la ejecución de los procesos académicos.</t>
  </si>
  <si>
    <t>Ejecución de los procesos académicos supervisados.</t>
  </si>
  <si>
    <t>N° de procesos académicos supervisados.</t>
  </si>
  <si>
    <t>1.- Coordinar el proceso de elaboración, ingreso, revisión y seguimiento al silabo. 
2.- Coordinar el proceso de Supervisiòn de tutorìas.</t>
  </si>
  <si>
    <t>1.- Reporte del estado actual de la supervisión a la ejecución de los procesos académicos supervisados.</t>
  </si>
  <si>
    <t>Este proceso se realiza dos veces al año.</t>
  </si>
  <si>
    <t>87130.00</t>
  </si>
  <si>
    <t>Mantenimiento de UPS</t>
  </si>
  <si>
    <t xml:space="preserve">87159.06 </t>
  </si>
  <si>
    <t>MANTENIMIENTO PREVENTIVO Y CORRECTIVO DE LOS EQUIPOS DE LABORATORIO DE LA FACULTAD</t>
  </si>
  <si>
    <t>Anual</t>
  </si>
  <si>
    <t xml:space="preserve">INSUMOS Y SUMINISTROS MÉDICOS PARA LOS LABORATORIOS DE LA FACULTAD </t>
  </si>
  <si>
    <t>REACTIVOS PARA INVESTIGACIÓN FORMATIVA Y PRÁCTICAS ESTUDIANTILES (REACTIVOS)</t>
  </si>
  <si>
    <t>5.- Elaborar distributivos, horarios y el calendario académico.</t>
  </si>
  <si>
    <t>Distributivos, horarios y el calendario académico, elaborados.</t>
  </si>
  <si>
    <t>N° de Distributivos, horarios coordinados y supervisados.</t>
  </si>
  <si>
    <t xml:space="preserve">1.- Coordinar y supervisar el proceso de elaboración de los Distributivos, horarios de clases-extraclase y Cronograma de actividades complementarias. </t>
  </si>
  <si>
    <t>1.- Reporte de Distributivo validado.
2.- Horarios de profesores y de clases ingresados al SIUTMACH.
3.- Cronograma de actividades complementarias.</t>
  </si>
  <si>
    <t>6.- Emitir documentos de planificación académica y curricular.</t>
  </si>
  <si>
    <t>Planificación académica, coordinada.</t>
  </si>
  <si>
    <t>Nº de planificaciones acadèmicas coordinadas segùn el Modelo Genèrico de Evaluaciòn del Entorno de Aprendizaje de Carreras.</t>
  </si>
  <si>
    <t>1.- Asignar horas para Evaluación y Acreditación de la Calidad en el Distributivo Académico de acuerdo a la sugerencia de los Coordinadores de Carrera.
2. Coordinar y supervisar el proceso de evaluación interna de carreras.</t>
  </si>
  <si>
    <t>1.- Informe de los responsables de cada carrera.
2.- Reporte de la Dirección de Aseguramiento de la calidad.</t>
  </si>
  <si>
    <t>7.- Supervisar el logro de resultados o avances de procesos académicos, de Investigación y de vinculación con la sociedad.</t>
  </si>
  <si>
    <t>Procesos académicos de docencia, investigación y vinculación con la sociedad, coordinados.</t>
  </si>
  <si>
    <t>Nº  de proyectos de investigación y vinculación con la sociedad coordinados.</t>
  </si>
  <si>
    <t>1.- Asignar horas de investigaciòn y de vinculación en el Distributivo Acadèmico de acuerdo a las sugerencias de las Direcciones correspondientes.
2.- Solicitar los informes de resultados o avances de los proyectos de investigaciòn y vinculaciòn con la sociedad.</t>
  </si>
  <si>
    <t>1.- Reporte del estado actual de resultados o avances de los proyectos de Investigación y de vinculación con la sociedad.
2.- Reporte de horas sugeridas por  las Direcciones correspondientes.</t>
  </si>
  <si>
    <t>83349.00</t>
  </si>
  <si>
    <t xml:space="preserve">ESTUDIO PARA LA CONSTRUCCIÓN DE UNA INCUBADORA DE EMPRENDIMIENTO AGROPECUARIOS </t>
  </si>
  <si>
    <t xml:space="preserve">482610011
</t>
  </si>
  <si>
    <t>ADQUISICIÓN DE EQUIPOS MICROSCOPIOS DIGITALES PARA EL ÁREA DE LABORATORIO DE MICROSCOPÍA</t>
  </si>
  <si>
    <t>8.- Evaluar al personal administrativo bajo su responsabilidad.</t>
  </si>
  <si>
    <t>Personal administrativo bajo su responsabilidad, evaluados.</t>
  </si>
  <si>
    <t>Nº de personal administrativo evaluado.</t>
  </si>
  <si>
    <t>1.- Evaluar al personal administrativo bajo dependencia del Subdecanato en la plataforma SIITH del Ministerio de Trabajo en lo relacionado a niveles de eficiencia del desempeño individual.</t>
  </si>
  <si>
    <t>1.- Formulario de Evaluaciòn niveles de eficiencia del desempeño individual aplicado.
2.- Notificación UATH.</t>
  </si>
  <si>
    <t>Este proceso se realiza una vez al año, al finalizar este.</t>
  </si>
  <si>
    <t>9.- Coordinar el Proceso referente a las pasantías y prácticas pre-profesionales de las y los estudiantes de las carreras de pregrado.</t>
  </si>
  <si>
    <t>Proceso referente a las pasantías y prácticas pre-profesionales de las y los estudiantes de las carreras de pregrado, coordinado.</t>
  </si>
  <si>
    <t>Nº de Informes realizados de pasantías y prácticas pre-profesionales de las carreras de pregrado.</t>
  </si>
  <si>
    <t>1.- Coordinar las prácticas de vinculación y pasantías preprofesionales con los colectivos académicos, en coordinación con el VIMCORI.</t>
  </si>
  <si>
    <t>1.- Planes de pasantías y prácticas pre-profesionales de las tres carreras de pregrado.
2.- Reporte de gestión de pasantías y prácticas preprofesionales de las tres carreras de pregrado.</t>
  </si>
  <si>
    <t>Este proceso se realiza dos veces al año, una al finalizar cada periodo académico.</t>
  </si>
  <si>
    <t>10.- Controlar la ejecución de los procesos de titulación.</t>
  </si>
  <si>
    <t>Ejecución de los procesos de titulación, controlado.</t>
  </si>
  <si>
    <t>Nº de reportes realizados de los procesos de titulación.</t>
  </si>
  <si>
    <t>1.- Solicitar y/o receptar reportes de los procesos de titulación a los Coordinadores de Carrera.</t>
  </si>
  <si>
    <t>1.- Reportes de los procesos de titulación.
2.- Cronograma del proceso de titulaciòn.
3.- Oficio sugiriendo a Consejo Directivo la designación de tutores y comitè evaluador.</t>
  </si>
  <si>
    <t>11.- Ejecutar el proceso de evaluación integral del desempeño docente de acuerdo a las directrices emitidas a nivel institucional.</t>
  </si>
  <si>
    <t>Proceso de evaluación integral del desempeño docente de acuerdo a las directrices emitidas a nivel institucional ejecutadas.</t>
  </si>
  <si>
    <t>Nº de evaluaciones integrales del desempeño docente de acuerdo a las directrices emitidas a nivel institucional.</t>
  </si>
  <si>
    <t>1.- Elaborar y aprobar la matriz de Comisiones para el proceso de evaluaciòn integral del desempeño docente.
2.- Elaborar y entregar oficios a los pares informando la nómina de los profesores a evaluar.</t>
  </si>
  <si>
    <t>1.- Resoluciones del proceso de evaluaciòn integral del desempeño docente.
2.- Reportes de resultados del proceso de evaluaciòn integral del desempeño docente.</t>
  </si>
  <si>
    <t>Este proceso se realiza dos veces al año, una en cada periodo académico.</t>
  </si>
  <si>
    <t>12.- Supervisar las actividades académicas que se realizan en los diferentes laboratorios, aulas, salas tics y unidades académicas experimentales de las Facultades.</t>
  </si>
  <si>
    <t>Actividades académicas que se realizan en los diferentes laboratorios, aulas y unidades académicas experimentales de las Facultades supervisadas.</t>
  </si>
  <si>
    <t>N° de practicas realizadas en el laboratorio de Microbiología.</t>
  </si>
  <si>
    <t xml:space="preserve">1.- Elaborar y presentar el Registro y listado de práctica según especialidad.
2.- Elaborar y presentar el registro de mantenimiento de equipos del Laboratorio.
3.- Solicitar el Acta de constatacion de bienes actualizados del Laboratorio.
4.- Supervisar la limpieza de laboratorio
5.- Elaborar y presentar el POA y la Programación de necesidades de recursos (PAC), y Evaluación del POA al Subdecanato.
6.- Atender a usuarios internos y externos.                                                                                                           </t>
  </si>
  <si>
    <t>1.- Registros y listados de prácticas.
2.- Registro de mantenimiento preventivo de equipos del Laboratorio.
3.- Acta de constatacion de bienes e Inventario de equipos y materiales del Laboratorio. 
4.- Registro de limpieza del laboratorio.
5.- POA-PAC 2023 y Evaluaciones del POA del Laboratorio.
6.- Registro de Atención a Usuarios.</t>
  </si>
  <si>
    <t>LABORATORIO DE MICROBIOLOGÍA</t>
  </si>
  <si>
    <t>N° de prácticas realizadas en el Laboratorio de MICROSCOPÍA.</t>
  </si>
  <si>
    <t>1.- Llenar el registro de la práctica realizada.
2.- Realizar lista de práctica.
3.- Registrar el uso de equipos y de laboratorio.
4.- Facilitar materiales, equipos y reactivos para la práctica.
5.- Realizar una limpieza preventiva de los equipo y materiales.
6.- Realizar el informe mensual de actividades realizadas al Subdecanato.
7.- Digitalizar la información, subirla al drive.
8.- Entrega del POA-PAC 2023  a Subdecanato y Decanato.</t>
  </si>
  <si>
    <t>1.- Registros de Prácticas de Laboratorio.
2.- Informe mensual de actividades.
3.- Registro de uso de equipos y laboratorio.
4.- Registro de limpieza de Laboratorio.
5.- DRIVE actualizado compartido con Subdecanato.
6.- POA-PAC 2023.</t>
  </si>
  <si>
    <t>LABORATORIO DE MICROSCOPÍA</t>
  </si>
  <si>
    <t>N° de prácticas realizadas en el Laboratorio de CITOGENÉTICA.</t>
  </si>
  <si>
    <t>1.- Llenar el registro de la práctica realizada.
2.- Realizar lista de práctica 3.- Registrar el uso de equipos y de laboratorio.
4.- Facilitar materiales, equipos y reactivos para la práctica.
5.- Realizar una limpieza preventiva de los equipo y materiales
6.- Realizar el informe mensual de actividades realizadas al Subdecanato.
7.- Digitalizar la información, subirla al drive.
8. Entrega del POA-PAC 2023  a Subdecanato y Decanato.</t>
  </si>
  <si>
    <t>LABORATORIO DE CITOGENÉTICA</t>
  </si>
  <si>
    <t>N° de prácticas realizadas en el Laboratorio de MARICULTURA y PLANCTON.</t>
  </si>
  <si>
    <t>1.- Llenar el registro de la práctica realizada.
2.- Realizar lista de práctica.
3.- Registrar el uso de equipos y de laboratorio.
4.- Facilitar materiales, equipos y reactivos para la práctica.
5.- Realizar una limpieza preventiva de los equipo y materiales.
6.- Realizar el informe mensual de actividades realizadas al Subdecanato.
7.- Digitalizar la información, subirla al drive.
8. Entrega del POA-PAC 2023  a Subdecanato y Decanato.</t>
  </si>
  <si>
    <t>LABORATORIO DE MARICULTURA Y PLANCTON</t>
  </si>
  <si>
    <t>N° de prácticas realizadas en las Salas TIC y Aula virtual.</t>
  </si>
  <si>
    <t>1.- Llenar el registro de la práctica realizada.
2.- Facilitar materiales y equipos para la práctica.
3.- Elaborar y ejecutar el cronograma de mantenimiento preventivo y/o correctivo, de los equipos informáticos de la FCA.
4.- Digitalizar la información, subirla al drive.
5.- Realizar el informe mensual para Subdecanato.</t>
  </si>
  <si>
    <t>1.- Llenar el registro de la práctica realizada.
2.- Facilitar materiales y equipos para la práctica.
3.- Elaborar y ejecutar el cronograma de mantenimiento preventivo y/o correctivo.</t>
  </si>
  <si>
    <t>SALAS TICS Y AULA VIRTUAL</t>
  </si>
  <si>
    <t>MOUSE USB</t>
  </si>
  <si>
    <t>TECLADO USB</t>
  </si>
  <si>
    <t>Fuente de poder para pc</t>
  </si>
  <si>
    <t>Fuente de poder para pc hp escritorio</t>
  </si>
  <si>
    <t>N° de prácticas realizadas en la Clínica Docente de Especialidades Veterinarias,</t>
  </si>
  <si>
    <t>1.- Llenar el registro de la práctica realizada.
2.- Facilitar materiales y equipos para la práctica.
3.- Digitalizar la información, subirla al drive.
4.- realizar registro de atenciones a pacientes en la clínica.
5.- Realizar el informe mensual para Subdecanato.</t>
  </si>
  <si>
    <t>1.- Registros de Prácticas de Laboratorio.
2.- Informe mensual de actividades.
3.- Registros de usuarios Atendidos en clínica.</t>
  </si>
  <si>
    <t>CLÍNICA DOCENTE DE ESPECIALIDADES VETERINARIAS</t>
  </si>
  <si>
    <t>NEUROESTIMULADOR</t>
  </si>
  <si>
    <t>MAQUINA DE ANESTESIA ISOFLURANO</t>
  </si>
  <si>
    <t>LÁPIZ QUIRÚRGICO REUTILIZABLE</t>
  </si>
  <si>
    <t>PINZA BIPOLAR SELLADORA DE ARTERIA</t>
  </si>
  <si>
    <t>CABLE PARA PINZA BIPOLAR SELLADORA DE ARTERIA</t>
  </si>
  <si>
    <t>ADAPTADOR DE PINZA BIPOLAR</t>
  </si>
  <si>
    <t>N° de practicas realizadas en el laboratorio de Biotecnologia e Investigacion Aplicada.</t>
  </si>
  <si>
    <t>1.- Supervisar la limpieza de laboratorio.
2.- Realizar el plan y mantenimiento de  equipos de Laboratorio.
3.- Solicitar el Acta de constatacion de bienes actualizados del Laboratorio.
4.- Elaborar lista de prácticas realizadas, y presentar guías de prácticas recibidas.
5.- Elaborar y presentar el POA y la Programación de necesidades de recursos y Evaluación del POA al Subdecanato.
6.- Atender a usuarios internos y externos.
7.- Realizar los cronogramas de actividades de laboratorio.</t>
  </si>
  <si>
    <t>1.- Registro de limpieza del laboratorio.
2.- Registros de mantenimiento preventivo de equipos del Laboratorio.
3.- Acta de constatacion de bienes e Inventario de equipos y materiales del Laboratorio.
4.- Registros de prácticas.
5.- POA 2023 y Evaluaciones del POA del Laboratorio.
6.- Registro de Atención a Usuarios.
7.- Cronogramas de actividades.</t>
  </si>
  <si>
    <t>LABORATORIO DE BIOTECNOLOGÍA E INVESTIGACIONES APLICADAS</t>
  </si>
  <si>
    <t>N° de practicas realizadas en el laboratorio de Sanidad Vegetal.</t>
  </si>
  <si>
    <t>1.- Colaborar con las prácticas, facilitar materiales y reactivos.
2.- Atender a usuarios internos y externos.
3.- Llevar el registro de uso de materiales y equipos.
4.- Mantener el registro de uso de reactivos.
5.- Realizar el plan de mantenimiento preventivo y correctivo de equipos de laboratorio.
6.- Mantener la información actualizada del inventario del laboratorio.
7.- Actualización de los manuales del laboratorio.
8.- Entregar informes mensuales al subdecanato de las actividades realizadas en el LSV.
9.- Entrega del POA-PAC a subdecanato para su condensación.</t>
  </si>
  <si>
    <t>1.- Registro de prácticas.
2.- Registro de usuarios internos y externos.
3.- Registro de uso de equipos y materiales.
4.- Registro de gasto de reactivos.
5.- Registro de mantenimiento de equipos de laboratorio.
6.- Registro de inventario actualizado de equipos de laboratorio.
7.- Manuales de laboratorio.
8.- Informe mensual de actividades.
9.- POA-PAC.
10.- Carpeta compartida en Drive de subdecanato.</t>
  </si>
  <si>
    <t>LABORATORIO DE SANIDAD VEGETAL</t>
  </si>
  <si>
    <t>35440011</t>
  </si>
  <si>
    <t>Medios de cultivo preparados para el desarrollo de microorganismos</t>
  </si>
  <si>
    <t>279980011</t>
  </si>
  <si>
    <t>Mecha para mechero de alcohol</t>
  </si>
  <si>
    <t>N° de practicas realizadas en el laboratorio de Suelos.</t>
  </si>
  <si>
    <t>1.- Colaborar con las prácticas, facilitar materiales, equipos y reactivos.
2.-  Atender a Usuarios internos y externos.
3.- Llenar registro de uso de materiales y equipos.
4.- Mantener el registro de uso de reactivos.
5.- Realizar el plan y mantenimiento de equipos de laboratorio.
6.- Solicitar inventario actualizado de equipos de laboratorio.
7.- Actualizar los Manuales del Laboratorio.
8.- Realizar el informe mensual de actividades realizadas al Subdecanato.
9.- Entrega de POA-PAC 2023 al Subdecanato.
10.- Gestionar y digitalizar la información, subirla al drive.</t>
  </si>
  <si>
    <t>1.- Registro de prácticas.
2.- Registros de Usuarios Internos y Externos.
3.- Registro de uso de equipos y materiales.
4.- Registro de Gasto de Reactivo.
5.- Registro de mantenimiento de equipos de laboratorio.
6.- Registro de Inventario actualizado de equipos de laboratorio.
7.-  Manuales de Laboratorio.
8.- Informe mensual de actividades.
9.- POA - PAC 2023.
10.- Carpeta drive compartida por Subdecanato.</t>
  </si>
  <si>
    <t>LABORATORIO DE SUELOS</t>
  </si>
  <si>
    <t>Extractor de aire</t>
  </si>
  <si>
    <t>48253.05</t>
  </si>
  <si>
    <t>Medidor de pH multiparámetro</t>
  </si>
  <si>
    <t>48251.00</t>
  </si>
  <si>
    <t>Hidrómetro de Suelos</t>
  </si>
  <si>
    <t>342740.33</t>
  </si>
  <si>
    <t>Hexametaphosfato de Sodio</t>
  </si>
  <si>
    <t>34615.01.1</t>
  </si>
  <si>
    <t>Cloruro de Potasio (KCL)</t>
  </si>
  <si>
    <t>N° de prácticas realizadas en el Laboratorio Quimica.</t>
  </si>
  <si>
    <t>1.- Elaborar lista de práctica según por asignaturas y presentar guías de prácticas recibidas.
2.- Elaborar y presentar el cronograma de mantenimiento de infraestructura y equipos del Laboratorio.
3.- Solicitar el Acta de constatacion de bienes actualizados del Laboratorio.
4.- Supervisar la limpieza de laboratorio.
5.- Elaborar y presentar el POA y la Programación de necesidades de recursos y Evaluación del POA al Subdecanato.
6.- Atender a usuarios internos y externos.</t>
  </si>
  <si>
    <t>1.- Registros de prácticas.
2.- Cronogramas y registro de mantenimiento preventivo de equipos del Laboratorio.
3.- Acta de constatacion de bienes e Inventario de equipos y materiales del Laboratorio. 
4.- Registro de limpieza del laboratorio.
5.- POA 2021 y Evaluaciones del POA del Laboratorio.
6.- Registro de Atención a Usuarios.</t>
  </si>
  <si>
    <t>LABORATORIO DE QUÍMICA</t>
  </si>
  <si>
    <t xml:space="preserve">PURIFICADOR DE AGUA </t>
  </si>
  <si>
    <t>CONDUCTÍMETRO medidor de pH</t>
  </si>
  <si>
    <t>N° de practicas realizadas en el Laboratorio de Micropropagación Vegetal.</t>
  </si>
  <si>
    <t>1.- Colaborar con las prácticas, facilitar materiales, equipos y reactivos.
2.-  Atender a Usuarios internos y externos.
3.- Llenar registro de uso de materiales y equipos.
4.- Mantener el registro de uso de reactivos.
5.- Realizar el plan y mantenimiento de equipos de laboratorio.
6.- Solicitar inventario actualizado de equipos de laboratorio.
7.- Actualizar los Manuales del Laboratorio.
8.- Realizar el informe mensual de actividades realizadas al Subdecanato.   
9.- Entrega de POA-PAC 2023 al Subdecanato.
10.- Gestionar y digitalizar la información, subirla al drive.</t>
  </si>
  <si>
    <t>LABORATORIO DE MICROPROPAGACIÓN VEGETAL</t>
  </si>
  <si>
    <t>QUEMADOR / MECHEROS DE ALCOHOL</t>
  </si>
  <si>
    <t>REJILLA DE ASBESTO</t>
  </si>
  <si>
    <t>TRIPODE METALICO DE LABORATORIO</t>
  </si>
  <si>
    <t>13.- Coordinar el desarrollo de actividades culturales, deportivas, sociales, y proyectos de responsabilidad social e influencia en políticas públicas, entre los miembros de la comunidad de la Facultad.</t>
  </si>
  <si>
    <t>Proceso referente a las actividades culturales, deportivas, sociales y proyectos de responsabilidad social e influencia en políticas públicas de los estudiantes y profesores de las carreras de pregrado, coordinado.</t>
  </si>
  <si>
    <t>Nº de actividades culturales, deportivas, sociales y proyectos de responsabilidad social e influencia en políticas públicas realizadas en las carreras de pregrado.</t>
  </si>
  <si>
    <t>1.- Elaborar y aprobar el Cronograma de actividades culturales, deportivas, sociales y proyectos de responsabilidad social e influencia en políticas públicas realizadas en las carreras de pregrado.</t>
  </si>
  <si>
    <t>1.- Cronograma de actividades culturales, deportivas, sociales y proyectos de responsabilidad social, aprobado.
2.- Informe de actividades culturales, deportivas, sociales ejecutado.</t>
  </si>
  <si>
    <t>14.- Conocer y atender los requerimientos estudiantiles respecto al área académica y docente.</t>
  </si>
  <si>
    <t>Requerimientos estudiantiles respecto al área académica y docente, conocidos y atendidos.</t>
  </si>
  <si>
    <t xml:space="preserve">Nº de requerimientos estudiantiles respecto al área académica y docente conocidos y atendidos </t>
  </si>
  <si>
    <t>1.- Receptar y tramitar requerimientos estudiantiles de tercera matrícula, homologaciones, validación de conocimientos. 
2.- Receptar y Tramitar requerimientos de docentes.</t>
  </si>
  <si>
    <t>1.- Reporte de requerimientos estudiantiles de tercera matrícula.
2.- Reporte de requerimiento de homologaciones atendidas. 
3.- Reporte de requerimientos estudiantiles de validación de conocimientos atendidos.</t>
  </si>
  <si>
    <t>Este proceso se realiza dos veces al año, uno en cada periodo académico.</t>
  </si>
  <si>
    <t>15.- Presentar la Planificación Operativa Anual y Evaluación de la Planificación Operativa Anual.</t>
  </si>
  <si>
    <t>N° de Planificaciones Operativas Anuales y Evaluaciones del POA entregadas</t>
  </si>
  <si>
    <t>1.- Elaborar el POA 2024.
2.- Elaborar la Evaluación del POA 2023.</t>
  </si>
  <si>
    <t>1.- Oficio y presentación de la Evaluación del POA 2023.
2.- Oficio y presentación del POA 2024.</t>
  </si>
  <si>
    <t>16.- Organizar el Archivo de Gestión.</t>
  </si>
  <si>
    <t>N° de carpetas registradas en el inventario documental</t>
  </si>
  <si>
    <t>1.- Realizar el inventario documental de carpetas del archivo que reposan en el Subdecanato.</t>
  </si>
  <si>
    <t>TOTAL PRESUPUESTO ESTIMATIVO DEL SUBDECANATO 2023:</t>
  </si>
  <si>
    <t>UNIDAD DE MATRICULACIÓN, MOVILIDAD Y GRADUACIÓN</t>
  </si>
  <si>
    <t>Proceso de matrículas en cada período académico, organizados y dirigidos.</t>
  </si>
  <si>
    <t>N° de estudiantes legalmente matriculados.</t>
  </si>
  <si>
    <t>1.- Hoja Matrícula.
2.- Validar Matrícula.</t>
  </si>
  <si>
    <t>1.- Reporte de Matriculados en la plataforma del Siutmach.</t>
  </si>
  <si>
    <t>2.- Ejecutar y validar los cambios de paralelos, cambios de sección y retiros de carrera y/o asignaturas autorizados por el Consejo Directivo.</t>
  </si>
  <si>
    <t>Matrículas, los cambios de paralelos, cambios de sección y retiros de carrera y/o asignaturas autorizados por el Consejo Directivo, ejecutadas y validadas.</t>
  </si>
  <si>
    <t>N° de estudiantes que solicitan cambio de paralelos y  retiro de asignaturas.</t>
  </si>
  <si>
    <t>1.- Identificar al estudiante.
2. Invalidar  la matrícula.
3.- Aplicar las observaciones de la Resolución H.C.Directivo.
4.- Reportar matrículas invalidadas.
5.- Autorización de cambio.</t>
  </si>
  <si>
    <t>1.- Resolución Consejo Directivo.
2.- Reporte de Matrículas invalidadas descargadas del Siutmach.</t>
  </si>
  <si>
    <t>3.- Coordinar y Ejecutar los Procesos de Movilidad.</t>
  </si>
  <si>
    <t>Solicitudes de movilidad de los peticionarios para la elaboración del Informe Técnico de Reconocimiento u Homologación de Estudios de asignaturas, cursos o sus equivalentes de grado, revisados y remitidos.</t>
  </si>
  <si>
    <t>N° de Solicitudes de peticionarios de homologación de otras IES y de la misma IES.</t>
  </si>
  <si>
    <t>1.- Atender a estudiantes provenientes de otras IES y de la misma IES.</t>
  </si>
  <si>
    <t>1.- Reporte de Estudiantes Homologados.
2.- Solicitud.
3.- Pases de Año.
4.- Matrículas.
5.- Malla Curricular.
6.- Certificado de no Poseer tercera matrícula.
7.- Certificado de conducta.
8.- Xerox Copia Reglamento de Calificaciones.
9.- Hoja de Puntaje de ser Bachiller.
10.- Xerox Copia Título.
11.- Xerox copia de C. Identidad o Pasaporte.
12.- Syllabus de cada asignatura.
13.- Oficio a Coordinador de Carrera.</t>
  </si>
  <si>
    <t>4.- Coordinar los procesos de registros y/o validación de calificaciones.</t>
  </si>
  <si>
    <t>Atención de los casos de solicitudes de Reconocimiento u Homologación de Estudios de asignaturas, cursos o sus equivalentes de grado, coordinados.</t>
  </si>
  <si>
    <t>N° de estudiantes Homologados.</t>
  </si>
  <si>
    <t>1.- Atender el registro de la validación de calificaciones de estudiantes homologados por Resolución de H.Consejo Directivo.</t>
  </si>
  <si>
    <t>1.- Oficio a Subdecanato para Comisión Académica.
2.- Resolución Consejo Directivo, aprobando las asignaturas homologadas.
3.- Ingreso de calificaciones de  las asignaturas homologadas.</t>
  </si>
  <si>
    <t>5.- Apertura del Sistema para registro de calificaciones extemporáneas según resolución del Consejo Directivo.</t>
  </si>
  <si>
    <t>Actas de calificaciones recibidas de los docentes en cada periodo académico para el control del récord académico de las y los estudiantes en la plataforma informática de la UTMACH, revisados y validados.</t>
  </si>
  <si>
    <t>N° de actas aperturadas con  Resoluciones de Consejo Directivo de estudiantes con calificaciones extemporáneas.</t>
  </si>
  <si>
    <t>1.-Atender las resoluciones del Consejo Directivo de registro de calificaciones extemporáneas.</t>
  </si>
  <si>
    <t>1.- Oficio de la Resolución Consejo Directivo que autoriza la apertura del acta y al docente la corrección de la calificación y detalla nombre del estudiante y Número de acta.</t>
  </si>
  <si>
    <t>6.- Organizar y supervisar las fases del proceso de titulación.</t>
  </si>
  <si>
    <t>Fases del proceso de titulación, organizado y supervisado.</t>
  </si>
  <si>
    <t>N° de Procesos de Titulación; Modalidad Titulación y Examen Complexivo.</t>
  </si>
  <si>
    <t>1.- Supervisar los procesos de titulación.</t>
  </si>
  <si>
    <t>1.- Cronograma de Titulación.
2.- Reporte de estudiantes matriculados.
3.- Oficio de Comisión Académica y reportes de tutores y Comité evaluador.
4.- Oficio al Decanato listado de estudiantes a graduarse con cuadro de tesorería que indica la gratuidad, segundo titulo y menos del 30%.
5.- Aptitud Legal.
6.- Actas Consolidadas.
7.- Actas de Graduación.
8.- Programa de Incorporación.</t>
  </si>
  <si>
    <t>7.- Emitir Informes de designación de tutor y comité evaluador.</t>
  </si>
  <si>
    <t>Informes de designación de tutor y comité evaluador, efectuado.</t>
  </si>
  <si>
    <t>N° de Reportes de Tutores y Comité evaluador.</t>
  </si>
  <si>
    <t>1.- Atender los reportes de los coordinadores de las Carreras de la designación de tutores y comites evaluadores.</t>
  </si>
  <si>
    <t>1.- Descargar de la plataforma de titulación los  reportes de los tutores y especialistas,Modalidad Titulación y Complexivo de las carreras.
2.- Oficio a Comisión Académica de Comité evaluador.</t>
  </si>
  <si>
    <t>8.- Coordinar y Ejecutar los Procesos de Graduación.</t>
  </si>
  <si>
    <t>Informes al Consejo Directivo sobre la aptitud legal y graduación, revisado y emitido.</t>
  </si>
  <si>
    <t>N° de Graduados en el proceso de Titulación.</t>
  </si>
  <si>
    <t>1.- Despachar los procesos de graduación de acuerdo al Cronograma de Titulación.</t>
  </si>
  <si>
    <t>1.- Oficios Aptitud Legal.
2.- Oficio a Decanato con listado de estudiante a graduarse.
3.- Actas  Consolidadas.
4-- Actas de Graduación.</t>
  </si>
  <si>
    <t>9.- Emitir Informes para certificaciones de procesos de matrícula, movilidad, graduación y estadística.</t>
  </si>
  <si>
    <t>Informes para certificaciones de procesos de matrícula, movilidad, graduación y estadística, emitido.</t>
  </si>
  <si>
    <t>N° de Certificaciones.</t>
  </si>
  <si>
    <t>1.- Despachar las certificaciones.</t>
  </si>
  <si>
    <t>1.- Reporte de certificados de Matrícula.
2.- Reporte de Pases de Año.
3.- Reporte de certificados de culminación de estudio.</t>
  </si>
  <si>
    <t>10.- Emitir Informes Técnicos para procesos internos y externos.</t>
  </si>
  <si>
    <t>Levantamiento y/o actualización de información de los estudiantes y graduados, solicitados por los entes reguladores internos y externos, efectuado.</t>
  </si>
  <si>
    <t>N° de Informes Técnico.</t>
  </si>
  <si>
    <t>1.- Atender informes procedentes de otras dependencias.</t>
  </si>
  <si>
    <t>1.- Oficios.
2.- Informe.</t>
  </si>
  <si>
    <t>11.- Presentar la Planificación Operativa Anual y Evaluación de la Planificación Operativo Anual.</t>
  </si>
  <si>
    <t>N° de Planificación Operativa  Anual y evaluaciones del POA presentados.</t>
  </si>
  <si>
    <t>1.- POA 2024.
2.- Oficio de la entrega del POA 2024.
3.- Evaluación del POA 2023.
4.- Oficio de la entrega de la Evaluación del POA 2023.</t>
  </si>
  <si>
    <t>12.- Organizar el Archivo Intermedio.</t>
  </si>
  <si>
    <t>N° de oficios organizados.</t>
  </si>
  <si>
    <t>1.- Clasificar, organizar y registrar el Archivo del UMMOG, emitidos por la Unidad de Matrícula y Movilidad.</t>
  </si>
  <si>
    <t>1.- Realizar el Ingreso de la documentación al Inventario de Archivo.
2.- Etiquetar las Carpetas.
3.- Detallar en las cajas la documentación que se archiva.</t>
  </si>
  <si>
    <t>TOTAL PRESUPUESTO ESTIMATIVO DE LA UNIDAD DE MATRICULACIÓN, MOVILIDAD Y GRADUACIÓN 2023:</t>
  </si>
  <si>
    <t>SECRETARÍA Y ARCHIVO</t>
  </si>
  <si>
    <t>Sesiones de Consejo Directivo, efectuadas.</t>
  </si>
  <si>
    <t>N° de sesiones de Consejo Directivo efectuadas.</t>
  </si>
  <si>
    <t>1.- Organizar documentos.
2.- Elaborar Orden del dia.
3.- Elaborar Convocatorias.
4.- Elaborar Resoluciones.
5.- Elaborar Actas de Sesiones.</t>
  </si>
  <si>
    <t>1.- Reporte de Sesiones de Consejo Directivo.</t>
  </si>
  <si>
    <t>2.- Emitir y/o legalizar las Certificaciones de la Facultad.</t>
  </si>
  <si>
    <t>Copias, compulsas de actos administrativos y documentos oficiales que reposan en la Facultad, certificadas.</t>
  </si>
  <si>
    <t>N° de Copias, compulsas de actos administrativos y documentos oficiales que reposan en la Facultad, certificadas.</t>
  </si>
  <si>
    <t>1.- Suscribir certificados y certificaciones de estudiantes de la FCA.
2.- Suscribir certificaciones según petición de usuarios.
3.- Emitir Copias y compulsas Certificadas.</t>
  </si>
  <si>
    <t>1.- Reporte de Certificaciones de estudiantes.
2.- Reporte de Certificaciones al personal académico y administrativo.
3.- Reporte de Solicitudes de Certificación de copias.</t>
  </si>
  <si>
    <t>3.- Registrar y distribuir la correspondencia interna y externa de la Facultad.</t>
  </si>
  <si>
    <t>Correspondencia interna y externa de la facultad registrada y despachada.</t>
  </si>
  <si>
    <t>N° de oficios enviados y recibidos.</t>
  </si>
  <si>
    <t>1.- Receptar documentos y correos con disposiciones, para Consejo Directivo.
2.- Elaborar Oficios para notificar resoluciones de Consejo Directivo.</t>
  </si>
  <si>
    <t>1.- Reporte de oficios recibidos.
2.- Reporte de Oficios enviados.</t>
  </si>
  <si>
    <t>4.- Brindar asesoría jurídica a las Autoridades y dependencias de la Facultad.</t>
  </si>
  <si>
    <t>Asesoría jurídica a las Autoridades y dependencias de la Facultad, brindada.</t>
  </si>
  <si>
    <t>N° de asesorías Jurídicas efectuadas  a las Autoridades y usuarios de la Facultad.</t>
  </si>
  <si>
    <t>1.- Brindar asesoramiento jurídico a autoridades en tramites administrativos y académicos.
2.- Ofrecer Asesorías jurídicas a estudiantes en cuanto a terceras matrículas, retiro de carrera, retiro de asignaturas, titulación, etc.</t>
  </si>
  <si>
    <t xml:space="preserve"> 1.- Reporte de Asesoramientos Juridicos a Autidades y usuarios.</t>
  </si>
  <si>
    <t>5.- Emitir Informes jurídicos de los procesos disciplinarios, académicos y/o administrativos de la Facultad.</t>
  </si>
  <si>
    <t>Informes jurídicos requeridos por las autoridades académicas y de los procesos disciplinarios, académicos y/o administrativos de la Facultad emitidos.</t>
  </si>
  <si>
    <t>N° de Informes jurídicos emitidos.</t>
  </si>
  <si>
    <t>1.- Remitir informes jurídicos solicitados por las autoridades, referente a entrega de documentación, terceras matrículas, caso fortuito y fuerza mayor, retiro de asignaturas, etc.</t>
  </si>
  <si>
    <t>1.- Reporte de Informes Jurídicos.</t>
  </si>
  <si>
    <t>6.- Receptar y tramitar la documentación sumillada para Consejo Directivo</t>
  </si>
  <si>
    <t xml:space="preserve">Documentación para tratamiento del Consejo Directivo administrada. </t>
  </si>
  <si>
    <t>N° de documentación enviada por correo electrónico para tratamiento para Consejo Directivo.</t>
  </si>
  <si>
    <t>1.- Organizar documentos para el tratamiento de Consejo Directivo.</t>
  </si>
  <si>
    <t>1.- Reporte de Correos electrónicos emitidos para el tratamiento en Consejo Directivo.</t>
  </si>
  <si>
    <t>7.- Presentar la Planificación Operativa Anual y Evaluación de la Planificación Operativa Anual.</t>
  </si>
  <si>
    <t>N° de la Planificación Operativa Anual y Evaluación de la Planificación Operativa Anual entregadas.</t>
  </si>
  <si>
    <t>1.- Elaborar el POA 2024.
2.- Elaborar la Evaluación del POA 2023..</t>
  </si>
  <si>
    <t>8.- Organizar el Archivo intermedio.</t>
  </si>
  <si>
    <t>Archivo intermedio organizado.</t>
  </si>
  <si>
    <t>N° de Cajas de archivo organizado.</t>
  </si>
  <si>
    <t>1.- Clasificar, organizar y registrar el Archivo.</t>
  </si>
  <si>
    <t>1.- Reporte de Inventario Documental.</t>
  </si>
  <si>
    <t>Scanner para libros, empastados y archivo</t>
  </si>
  <si>
    <t>TOTAL PRESUPUESTO ESTIMATIVO DE SECRETARÍA Y ARCHIVO 2023:</t>
  </si>
  <si>
    <t>ACUICULTURA</t>
  </si>
  <si>
    <t>Conformar la Comisión Académica, ejecutado.</t>
  </si>
  <si>
    <t>N° de sesiones de Comisión Académica, ejecutadas.</t>
  </si>
  <si>
    <t>1.- Participar en las comisiones académicas convocadas.</t>
  </si>
  <si>
    <t>1.- Registro de asistencia a las sesiones.</t>
  </si>
  <si>
    <t>Sesiones de Comité de Evaluación Interna de Carrera, ejecutado.</t>
  </si>
  <si>
    <t>N° de participaciones en las Sesiones de Comité de Evaluación Interna de Carrera, ejecutadas.</t>
  </si>
  <si>
    <t>1.- Participar en las Sesiones de Comité de Evaluación Interna de Carrera.</t>
  </si>
  <si>
    <t>Terna del personal académico y estudiantil que integrará el Comité de Evaluación Interna de Carrera, gestionado.</t>
  </si>
  <si>
    <t>N° de elaboración de la terna del Comité de Evaluación Interna de Carrera, gestionadas.</t>
  </si>
  <si>
    <t>1.- Elaborar de la terna del Comité de Evaluación Interna de Carrera.</t>
  </si>
  <si>
    <t>1.- Oficio entregado al Subdecanato.</t>
  </si>
  <si>
    <t>Responsables de colectivos académicos de carrera: Titulación, Evaluación y Acreditación de la Calidad, Prácticas Pre-profesionales o laborales, y servicio comunitario, realizado.</t>
  </si>
  <si>
    <t>N° de informes de los responsables de colectivos académicos de carrera: Titulación, Evaluación y Acreditación de la Calidad, Prácticas Pre-profesionales o laborales, y servicio comunitario, realizados.</t>
  </si>
  <si>
    <t>1.- Designar a los docentes que serán responsables de los colectivos.</t>
  </si>
  <si>
    <t xml:space="preserve">1.- Oficio entregado al docente con su designación. </t>
  </si>
  <si>
    <t>Procesos que garantizan el cumplimiento de las funciones sustantivas de la educación superior: docencia, investigación y vinculación en la facultad que dirige; ejecutados.</t>
  </si>
  <si>
    <t>N° de procesos que garantizan el cumplimiento de las funciones sustantivas de la educación superior: docencia, investigación y vinculación en la facultad que dirige; ejecutados.</t>
  </si>
  <si>
    <t>1.- Ejecutar el proceso de elaboración, ingreso, revisión y seguimiento al silabo.
2.- Ejecutar el proceso del colectivo de vinculación.</t>
  </si>
  <si>
    <t>1.- Informes de la comisión de revisión y seguimiento al syllabus.
1.- Informe del colectivo de vinculación.</t>
  </si>
  <si>
    <t>6.- Participar en las Sesiones de  trabajo convocadas por las Autoridades correspondientes.</t>
  </si>
  <si>
    <t>Sesiones de trabajo convocadas por las Autoridades correspondientes, sesionado.</t>
  </si>
  <si>
    <t>N° de participaciones en las Sesiones de trabajo convocadas por las Autoridades correspondientes, sesionadas.</t>
  </si>
  <si>
    <t>1.- Participar en las sesiones convocadas por las autoridades correspondientes.</t>
  </si>
  <si>
    <t>7.- Informar al Subdecanato las  Irregularidades, inconformidades y/o polémicas surgidas en el ambiente académico de su carrera.</t>
  </si>
  <si>
    <t>Irregularidades, inconformidades y/o polémicas surgidas en el ambiente académico de su carrera, informadas.</t>
  </si>
  <si>
    <t>N° de Irregularidades, inconformidades y/o polémicas surgidas en el ambiente académico de su carrera, informadas.</t>
  </si>
  <si>
    <t>1.- Informar de las Irregularidades, inconformidades y/o polémicas surgidas en el ambiente académico de su carrera.</t>
  </si>
  <si>
    <t>1.- Oficios.
2.- e-mails.</t>
  </si>
  <si>
    <t>8.- Elaborar el  Distributivo académico de la carrera.</t>
  </si>
  <si>
    <t>Distributivo académico de su carrera, elaborado.</t>
  </si>
  <si>
    <t>N° de distributivo académico de la carrera, elaborado.</t>
  </si>
  <si>
    <t>1.- Elaborar el distributivo de la carrera.</t>
  </si>
  <si>
    <t xml:space="preserve">1.- Resolución del H. Consejo Directivo. </t>
  </si>
  <si>
    <t>9.- Realizar reuniones periódicas del personal académico</t>
  </si>
  <si>
    <t>Reuniones periódicas del personal académico, gestionadas.</t>
  </si>
  <si>
    <t>N° de reuniones periódicas del personal académico, gestionadas.</t>
  </si>
  <si>
    <t xml:space="preserve">1.- Realizar las reuniones periódicas del personal académico. </t>
  </si>
  <si>
    <t>1.- Registro de asistencia a las reuniones.</t>
  </si>
  <si>
    <t>10.- Gestionar el sistema de tutorías del proceso enseñanza-aprendizaje de la carrera.</t>
  </si>
  <si>
    <t>Sistema de tutorías del proceso enseñanza-aprendizaje de la carrera; gestionado.</t>
  </si>
  <si>
    <t>N° de informes de tutorías del proceso enseñanza-aprendizaje de la carrera; gestionado.</t>
  </si>
  <si>
    <t>1.- Informes realizados por el Director Académico de Carrera, gestionados.</t>
  </si>
  <si>
    <t>1.- Oficio entregado al Subdecano.</t>
  </si>
  <si>
    <t xml:space="preserve">11.- Asesorar al claustro docente del Plan de estudio de la carrera. </t>
  </si>
  <si>
    <t>Plan de estudio de la carrera; asesorado.</t>
  </si>
  <si>
    <t>N° de asesoramiento al claustro docente del Plan de estudio de la carrera.</t>
  </si>
  <si>
    <t>1.- Asesorar al claustro docente del Plan de estudio de la carrera.</t>
  </si>
  <si>
    <t>1.- Registro de asistencia a los asesoramientos.</t>
  </si>
  <si>
    <t>12.- Visitar las aulas de clase con fines formativos y de asesoramiento</t>
  </si>
  <si>
    <t>Aulas de clase con fines formativos y de asesoramiento, realizadas.</t>
  </si>
  <si>
    <t>N° de visitas a las aulas de clase con fines formativos y de asesoramiento, realizadas.</t>
  </si>
  <si>
    <t>1.- Visitar las aulas de clase.</t>
  </si>
  <si>
    <t>1.- Registro de las visitas a las aulas.</t>
  </si>
  <si>
    <t>13.- Participación en las actividades relacionadas con diseño curricular de la carrera.</t>
  </si>
  <si>
    <t>Actividades relacionadas con diseño curricular de la carrera; gestionadas.</t>
  </si>
  <si>
    <t>N° de actividades relacionadas con diseño curricular de la carrera; gestionadas.</t>
  </si>
  <si>
    <t>1.- Participación en las actividades relacionadas con diseño curricular de la carrera.</t>
  </si>
  <si>
    <t>14.- Controlar la entrega de actas de calificaciones parciales y/o finales de las asignaturas.</t>
  </si>
  <si>
    <t>Entrega de actas de calificaciones parciales y/o finales de las asignaturas; efectuado.</t>
  </si>
  <si>
    <t>N° de actas de calificaciones parciales y/o finales de las asignaturas; gestionadas.</t>
  </si>
  <si>
    <t>1.- Controlar la entrega de actas de calificaciones parciales y/o finales de las asignaturas.</t>
  </si>
  <si>
    <t>1.- Actas de calificaciones gestionadas.</t>
  </si>
  <si>
    <t>15.- Atender a la brevedad posible las actividades que soliciten.</t>
  </si>
  <si>
    <t>Otras que se deriven de las disposiciones emitidas por las autoridades, Consejo Directivo, el presente Estatuto, y demás normativa vigente.</t>
  </si>
  <si>
    <t>N° de actividades solicitadas.</t>
  </si>
  <si>
    <t>1.- Dependiendo de lo solicitado.</t>
  </si>
  <si>
    <t>TOTAL PRESUPUESTO ESTIMATIVO CARRERA DE ACUICULTURA 2023:</t>
  </si>
  <si>
    <t>AGRONOMÍA</t>
  </si>
  <si>
    <t>2.- Participar en las Sesiones de Comité de Evaluación Interna de Carrera.</t>
  </si>
  <si>
    <t>3.- Elaborar la  terna del personal académico y estudiantil que integrará el Comité de Evaluación Interna de Carrera.</t>
  </si>
  <si>
    <t>4.- Designar a los responsables de colectivos académicos de carrera: Titulación, Evaluación y Acreditación de la Calidad, Prácticas Pre-profesionales o laborales, y servicio comunitario.</t>
  </si>
  <si>
    <t>1.- Oficio entregado al docente con su designación.</t>
  </si>
  <si>
    <t>5.- Gestionar los procesos que garantizan el cumplimiento de las funciones sustantivas de la educación superior: docencia , investigación y vinculación en la facultad que dirige.</t>
  </si>
  <si>
    <t>N° de procesos que garantizan el cumplimiento de las funciones sustantivas de la educación superior: docencia , investigación y vinculación en la facultad que dirige; ejecutados.</t>
  </si>
  <si>
    <t>1.- Informes de la comisión de revisión y seguimiento al syllabus.
2.- Informe del colectivo de vinculación.</t>
  </si>
  <si>
    <t xml:space="preserve">1.- Aprobación del Distributivo por Resolución del H. Consejo Directivo. </t>
  </si>
  <si>
    <t>9.- Realizar reuniones periódicas del personal académico.</t>
  </si>
  <si>
    <t>12.- Visitar las aulas de clase con fines formativos y de asesoramiento.</t>
  </si>
  <si>
    <t>TOTAL PRESUPUESTO ESTIMATIVO DE AGRONOMÍA 2023:</t>
  </si>
  <si>
    <t>ECONOMÍA AGROPECUARIA</t>
  </si>
  <si>
    <t>1.-  Participar en las comisiones académicas convocadas.</t>
  </si>
  <si>
    <t>Procesos que garantizan el cumplimiento de las funciones sustantivas de la educación superior: docencia , investigación y vinculación en la facultad que dirige; ejecutados.</t>
  </si>
  <si>
    <t>N° de participaciones en las Sesiones de  trabajo convocadas por las Autoridades correspondientes, sesionadas.</t>
  </si>
  <si>
    <t>TOTAL PRESUPUESTO ESTIMATIVO DE ECONOMÍA AGROPECUARIA 2023:</t>
  </si>
  <si>
    <t>MEDICINA VETERINARIA</t>
  </si>
  <si>
    <t>1- Ejecutar el proceso de elaboración, ingreso, revisión y seguimiento al silabo.
2.- Ejecutar el proceso del colectivo de vinculación.</t>
  </si>
  <si>
    <t>1.- Realizar las reuniones periódicas del personal académico.</t>
  </si>
  <si>
    <t>TOTAL PRESUPUESTO ESTIMATIVO DE MEDICINA VETERINARIA 2023:</t>
  </si>
  <si>
    <t>TOTAL PRESUPUESTO ESTIMATIVO FCA 2023:</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</si>
  <si>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</si>
  <si>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FACULTAD DE CIENCIAS EMPRESARIALES</t>
  </si>
  <si>
    <r>
      <rPr>
        <sz val="12"/>
        <color theme="1"/>
        <rFont val="Cambria"/>
      </rPr>
      <t xml:space="preserve">Unidad </t>
    </r>
    <r>
      <rPr>
        <sz val="10"/>
        <color rgb="FF000000"/>
        <rFont val="Cambria"/>
      </rPr>
      <t>(metros, litros etc.)</t>
    </r>
  </si>
  <si>
    <r>
      <rPr>
        <b/>
        <sz val="10"/>
        <color rgb="FFFF0000"/>
        <rFont val="Arial Narrow"/>
      </rPr>
      <t>METAS OPERATIVAS</t>
    </r>
    <r>
      <rPr>
        <b/>
        <sz val="9"/>
        <color theme="1"/>
        <rFont val="Century Schoolbook"/>
      </rPr>
      <t xml:space="preserve">
1.-</t>
    </r>
    <r>
      <rPr>
        <sz val="10"/>
        <color theme="1"/>
        <rFont val="Arial Narrow"/>
      </rPr>
      <t xml:space="preserve"> Emitir directrices para garantizar la ejecución de los procesos administrativos y académicos.</t>
    </r>
  </si>
  <si>
    <t>N° de directrices emitidas desde el decanato de la Facultad.</t>
  </si>
  <si>
    <t>1.- Elaborar el distributivo del personal de limpieza en bloques de aulas y oficinas administrativas.
2.- Elaborar el reporte de Autorización de Tercera Matrícula.
3.- Elaborar el reporte de Autorización del cambio de condición de estado de Activo a Retirado. 
4.- Elaborar el reporte de Autorización de Retiro de Asignaturas.</t>
  </si>
  <si>
    <t>1.- Distributivo en el  primer cuatrimestre del personal de servicios con sus horarios.
2.- Reporte en el primer y tercer cuatrimestre de las autorizaciones emitidas por Consejo Directivo, para acceder a Tercera Matrícula.
3.- Reporte en el segundo y tercer cuatrimestre de las autorizaciones emitidas por Consejo Directivo, para anulación de Matrícula.
4.- Reporte en el segundo y tercer cuatrimestre de las autorizaciones emitidas por Consejo Directivo, para el retiro de asignaturas.</t>
  </si>
  <si>
    <t>* Autoridad del Decanato Ing. Javier Bermeo Pacheco
* Analista Administrativo del Decanato, Ing. Maura Mora Quevedo
* Secretaria Abogada Teresa Vivanco Alama
* Administrador de bienes, Ing. Ronald Echeverría Ramón</t>
  </si>
  <si>
    <r>
      <rPr>
        <b/>
        <sz val="9"/>
        <color theme="1"/>
        <rFont val="Century Schoolbook"/>
      </rPr>
      <t>2.-</t>
    </r>
    <r>
      <rPr>
        <sz val="10"/>
        <color theme="1"/>
        <rFont val="Arial Narrow"/>
      </rPr>
      <t xml:space="preserve"> Supervisar y ejecutar los procesos administrativos y académicos.</t>
    </r>
  </si>
  <si>
    <t>N° de supervisiones ejecutadas de los procesos administrativos y académicos.</t>
  </si>
  <si>
    <t>1.- Elaborar el proceso de cumplimiento de Adquisición de Bienes.
2.- Elaborar el reporte del cumplimiento del proceso de Matrícula de periodo académico. 
3.- Elaborar el reporte del cumplimiento del proceso de Titulación. 
4.- Elaborar el reporte del Cronograma de Mantenimiento Preventivo y Correctivo de los Equipos.
5.- Elaborar el reporte de las Capacitaciones efectuadas al personal de la Facultad.
6.- Elaborar el reporte de los equipos informáticos y teléfonos convencionales que no funcionan.</t>
  </si>
  <si>
    <t>1.- Reporte detallado en el segundo y tercer cuatrimestre  del proceso de Adquisición Bienes, dotación de materiales de oficina y limpieza ejecutados. 
2.- Reporte detallado en el segundo y tercer cuatrimestre del proceso de Matrícula ejecutado.
3.- Reporte detallado en el segundo y tercer cuatrimestre  del proceso de titulación ejecutado.
4. Informe en el tercer cuatrimestre del mantenimiento preventivo y correctivo de los equipos informáticos. 
5.- Reporte detallado en el primer y tercer cuatrimestre del proceso de Capacitaciones ejecutado.
6.- Reporte detallado en el segundo cuatrimestre de los equipos informáticos y teléfonos convencionales que no funcionan.</t>
  </si>
  <si>
    <t>* Autoridad del Decanato Ing. Javier Bermeo Pacheco
* Administrador de Bienes Ing. Ronald Echeverría Ramón
* Jefa de la UMMOG Ing. Morayma Vélez Espinoza
* Analista Informático Lic. Marcos Ontaneda Villavicencio
* Auxiliar Administrativo del Decanato, Econ. Cristhian Salcedo Barrezueta, Analista Administrativo de decanato Ing. Maura Mora Quevedo</t>
  </si>
  <si>
    <r>
      <rPr>
        <b/>
        <sz val="9"/>
        <color theme="1"/>
        <rFont val="Century Schoolbook"/>
      </rPr>
      <t>3.-</t>
    </r>
    <r>
      <rPr>
        <sz val="10"/>
        <color theme="1"/>
        <rFont val="Arial Narrow"/>
      </rPr>
      <t xml:space="preserve"> Gestionar la Propuesta del distributivo académico en conjunto con los Subdecanatos.</t>
    </r>
  </si>
  <si>
    <t>N° de Distributivos Aprobados.</t>
  </si>
  <si>
    <t>1.- Revisar con Subdecanato el Distributivo Académico de la Facultad.
2.- Aprobar por Consejo Directivo el Distributivo Académico.
3.- Enviar la Resolución de Consejo Directivo a Rectorado para la Aprobación en Consejo Universitario.</t>
  </si>
  <si>
    <t>1. Resolución de Consejo Universitario de Aprobación del Distributivo.</t>
  </si>
  <si>
    <t>Decano, Ing. Javier Bermeo Pacheco
Subdecano, Abg. Ernesto González
Analista Administrativo de Decanato, Ing. Maura Mora Quevedo</t>
  </si>
  <si>
    <r>
      <rPr>
        <b/>
        <sz val="9"/>
        <color theme="1"/>
        <rFont val="Century Schoolbook"/>
      </rPr>
      <t>4.-</t>
    </r>
    <r>
      <rPr>
        <sz val="10"/>
        <color theme="1"/>
        <rFont val="Arial Narrow"/>
      </rPr>
      <t xml:space="preserve"> Supervisar la ejecución de las convocatorias a los consejos de facultad.</t>
    </r>
  </si>
  <si>
    <t xml:space="preserve">Sesiones de Consejo Directivo, convocadas y presididas. </t>
  </si>
  <si>
    <t>N° de informe de las convocatorias ejecutadas y supervisadas de los Consejos Directivos.</t>
  </si>
  <si>
    <t xml:space="preserve">1.- Elaborar el reporte de Control y Supervisión de ejecución de las convocatorias de Consejo Directivo. </t>
  </si>
  <si>
    <t>1.- Reporte detallado de las Convocatorias de Consejo Directivo efectuadas.
2.- Reporte detallado de las Convocatorias de Consejo de la Facultad efectuadas.
3.- Matriz de control y supervisión a la ejecución de las Convocatorios de los Consejo de Facultad.</t>
  </si>
  <si>
    <t>* Autoridad del Decanato Ing. Javier Bermeo Pacheco
* Secretaria Abogada Teresa Vivanco Alaña
* Analista Administrativo del Decanato, Ing. Maura Mora Quevedo</t>
  </si>
  <si>
    <r>
      <rPr>
        <b/>
        <sz val="9"/>
        <color theme="1"/>
        <rFont val="Century Schoolbook"/>
      </rPr>
      <t>5.-</t>
    </r>
    <r>
      <rPr>
        <sz val="10"/>
        <color theme="1"/>
        <rFont val="Arial Narrow"/>
      </rPr>
      <t xml:space="preserve"> Gestionar los Procesos que garantizan el cumplimiento de las funciones sustantivas de la educación superior: docencia, investigación y vinculación.</t>
    </r>
  </si>
  <si>
    <t>N° de procesos de cumplimiento de docencia, investigación y vinculación.</t>
  </si>
  <si>
    <t xml:space="preserve">1.- Solicitar a los directores académicos departamentales un  informe de cumplimiento de docencia, investigación y vinculación. </t>
  </si>
  <si>
    <t>1.- Informes de Cumplimiento de actividades de docencia, investigación y vinculación.</t>
  </si>
  <si>
    <t xml:space="preserve">* Autoridad del Decanato Ing. Javier Bermeo Pacheco
* Auxiliar Administrativo del Decanato, Econ. Cristhian Salcedo Barrezueta.
*Analista Administrativo de Decanato, Ing. Maura Mora Quevedo. </t>
  </si>
  <si>
    <t>Para gestión de Biblioteca General</t>
  </si>
  <si>
    <r>
      <rPr>
        <b/>
        <sz val="9"/>
        <color theme="1"/>
        <rFont val="Century Schoolbook"/>
      </rPr>
      <t>6.-</t>
    </r>
    <r>
      <rPr>
        <sz val="10"/>
        <color theme="1"/>
        <rFont val="Arial Narrow"/>
      </rPr>
      <t xml:space="preserve"> Presentar el Informe de Rendición de Cuentas.</t>
    </r>
  </si>
  <si>
    <t xml:space="preserve">Informe de rendición de cuentas, presentado. </t>
  </si>
  <si>
    <t>Nº de informe de Rendición de Cuentas presentado.</t>
  </si>
  <si>
    <t>1.- Elaborar el Informe de Rendición de Cuentas.</t>
  </si>
  <si>
    <t>1.- Informe de Rendición de Cuentas.</t>
  </si>
  <si>
    <t>* Autoridad del Decanato Ing. Javier Bermeo Pacheco
* Analista Administrativo del Decanato, Ing. Maura Mora Quevedo</t>
  </si>
  <si>
    <r>
      <rPr>
        <b/>
        <sz val="9"/>
        <color theme="1"/>
        <rFont val="Century Schoolbook"/>
      </rPr>
      <t>7.-</t>
    </r>
    <r>
      <rPr>
        <sz val="10"/>
        <color theme="1"/>
        <rFont val="Arial Narrow"/>
      </rPr>
      <t xml:space="preserve"> Gestionar trámite de licencias solicitadas por el personal docente y administrativo.</t>
    </r>
  </si>
  <si>
    <t>N° de informe de las solicitudes de licencias, justificadas y gestionadas por el personal docente y administrativo.</t>
  </si>
  <si>
    <t>1.- Receptar solicitudes de licencia del personal docente y administrativo.
2.- Tramitar las solicitudes a los departamentos correspondientes.</t>
  </si>
  <si>
    <t xml:space="preserve">1.- Informe de las peticiones de licencias y permisos gestionadas del personal docente y administrativo. </t>
  </si>
  <si>
    <t>* Autoridad del Decanato Ing. Javier Bermeo Pacheco
* Analista Administrativo del Decanato, Ing. Maura Mora Quevedo
* Auxiliar Administrativo del Decanato, Econ. Cristhian Salcedo Barrezueta</t>
  </si>
  <si>
    <r>
      <rPr>
        <b/>
        <sz val="9"/>
        <color theme="1"/>
        <rFont val="Century Schoolbook"/>
      </rPr>
      <t>8.-</t>
    </r>
    <r>
      <rPr>
        <sz val="10"/>
        <color theme="1"/>
        <rFont val="Arial Narrow"/>
      </rPr>
      <t xml:space="preserve"> Gestionar el desarrollo de actividades culturales, deportivas, sociales, y proyectos de responsabilidad social e influencia en políticas públicas gestionadas.</t>
    </r>
  </si>
  <si>
    <t>Actividades culturales, deportivas, sociales, y proyectos de responsabilidad social e influencia en políticas públicas gestionadas.</t>
  </si>
  <si>
    <t>Nº de informe de actividades culturales, deportivas, sociales, y proyectos de responsabilidad social e influencia en políticas públicas gestionadas.</t>
  </si>
  <si>
    <t>1.- Receptar las Solicitudes de comisión académica para la ejecución de actividades culturales, deportivas, sociales, y proyectos de responsabilidad social e influencia en políticas públicas gestionadas.</t>
  </si>
  <si>
    <t xml:space="preserve">1.- Informe de las peticiones de actividades culturales, deportivas, sociales, y proyectos de responsabilidad social e influencia en políticas públicas, aprobados por el Consejo Directivo de la Facultad. </t>
  </si>
  <si>
    <t>* Autoridad del Decanato Ing. Javier Bermeo Pacheco
*Subdecano, Abg. Ernesto González
* Analista Administrativo del Decanato, Ing. Maura Mora Quevedo
* Auxiliar Administrativo del Decanato, Econ. Cristhian Salcedo Barrezueta</t>
  </si>
  <si>
    <r>
      <rPr>
        <b/>
        <sz val="9"/>
        <color theme="1"/>
        <rFont val="Century Schoolbook"/>
      </rPr>
      <t>9.-</t>
    </r>
    <r>
      <rPr>
        <sz val="10"/>
        <color theme="1"/>
        <rFont val="Arial Narrow"/>
      </rPr>
      <t xml:space="preserve"> Coordinar y gestionar el Proceso de contratación de personal docente para las carreras o programas vigentes en la Facultad.</t>
    </r>
  </si>
  <si>
    <t>N° de procesos de contratación de personal docente para las carreras o programas vigentes en la Facultad, coordinado y gestionado.</t>
  </si>
  <si>
    <t xml:space="preserve">1.- Receptar oficio de Subdecanato para la contratación de docentes en base a las necesidades de la Facultad. 
2.- Tramitar la contratación del personal docente ante la autoridad pertinente. </t>
  </si>
  <si>
    <t>1.- Resolución de Consejo Directivo que solicita la contratación de docentes.</t>
  </si>
  <si>
    <r>
      <rPr>
        <b/>
        <sz val="9"/>
        <color theme="1"/>
        <rFont val="Century Schoolbook"/>
      </rPr>
      <t>10.-</t>
    </r>
    <r>
      <rPr>
        <sz val="10"/>
        <color theme="1"/>
        <rFont val="Arial Narrow"/>
      </rPr>
      <t xml:space="preserve"> Emitir criterios técnicos para la sustentación de las decisiones adoptadas a nivel de facultad.</t>
    </r>
  </si>
  <si>
    <t>Nº de criterios técnicos adoptados que sustenten las decisiones adoptadas desde el Consejo Directivo de la Facultad.</t>
  </si>
  <si>
    <t>1.- Elaborar el reporte detallado de las Resoluciones de Comisión Académica, aprobadas por Consejo Directivo. 
2.- Elaborar el reporte detallado de las resoluciones adoptadas por Consejo Directivo.</t>
  </si>
  <si>
    <t>1.- Matriz de los procesos administrativos y académicos, gestionados.</t>
  </si>
  <si>
    <r>
      <rPr>
        <b/>
        <sz val="9"/>
        <color theme="1"/>
        <rFont val="Century Schoolbook"/>
      </rPr>
      <t>11.-</t>
    </r>
    <r>
      <rPr>
        <sz val="10"/>
        <color theme="1"/>
        <rFont val="Arial Narrow"/>
      </rPr>
      <t xml:space="preserve"> Supervisar las Gestiones efectuadas por el Subdecanato, los Directores Académicos departamentales, personal académico y administrativo de la Facultad.</t>
    </r>
  </si>
  <si>
    <t>Gestiones efectuadas por el Subdecano, los directores académicos departamentales, personal académico y administrativo de la Facultad, supervisadas.</t>
  </si>
  <si>
    <t>1.- Solicitar reporte a los directores de carrera, sobre gestiones administrativas: cambio de sección, cambio de paralelo, informe del menos del 60% de créditos, homologación.
2.- Solicitar informe de evaluación del desempeño del personal académico.
3.- Solicitar informe de cumplimiento de actividades del personal de servicio.</t>
  </si>
  <si>
    <t>1.- Reportes enviados de los directores de carrera.
2.- Reporte en el segundo y tercer cuatrimestre del Jefe Departamental en el que indique los permisos concedidos.
3.- Reporte en el segundo y tercer cuatrimestre del cumplimiento de labores en los bloques de aulas y baños estudiantiles.</t>
  </si>
  <si>
    <t>* Jefes departamentales 
* Directores de carrera
*Administrador de bienes - Ing. Ronald Echeverría
* Analista administrativo del decanato - Ing. Maura Mora</t>
  </si>
  <si>
    <r>
      <rPr>
        <b/>
        <sz val="9"/>
        <color theme="1"/>
        <rFont val="Century Schoolbook"/>
      </rPr>
      <t>12.-</t>
    </r>
    <r>
      <rPr>
        <sz val="10"/>
        <color theme="1"/>
        <rFont val="Arial Narrow"/>
      </rPr>
      <t xml:space="preserve"> Presentar la Planificación Operativa Anual y Evaluar la Planificación Operativa Anual.</t>
    </r>
  </si>
  <si>
    <t>N° de planificaciones operativas anuales y evaluaciones de los POAS entregados.</t>
  </si>
  <si>
    <t>1.- Elaborar el poa 2024.
2.- Elaborar la evaluación del poa 2023.</t>
  </si>
  <si>
    <t>1.- Evaluación anual  POA 2023.
2.- POA 2024.</t>
  </si>
  <si>
    <t>* Analista Administrativo del Decanato, Ing. Maura Mora Quevedo
*Aux. Administrativo de decanato, Econ. Cristhian Salcedo.</t>
  </si>
  <si>
    <r>
      <rPr>
        <b/>
        <sz val="9"/>
        <color theme="1"/>
        <rFont val="Century Schoolbook"/>
      </rPr>
      <t>13.-</t>
    </r>
    <r>
      <rPr>
        <sz val="10"/>
        <color theme="1"/>
        <rFont val="Arial Narrow"/>
      </rPr>
      <t xml:space="preserve"> Organizar el Archivo de Gestión.</t>
    </r>
  </si>
  <si>
    <t>1.- Sistematizar la documentación.
2.- Organizar e inventariar la documentación.</t>
  </si>
  <si>
    <t xml:space="preserve">1.- Registro e ingreso de información en el SIUTMACH-
2.- Archivo de comunicaciones enviadas y recibidas, digital y físico. </t>
  </si>
  <si>
    <t>"Decano, Ing. Javier Bermeo Pacheco
* Secretaria Abogada Teresa Vivanco Alaña
*Analista Administrativo de Decanato, Ing. Maura Mora Quevedo"</t>
  </si>
  <si>
    <r>
      <rPr>
        <b/>
        <sz val="10"/>
        <color rgb="FFFF0000"/>
        <rFont val="Arial Narrow"/>
      </rPr>
      <t>METAS OPERATIVAS</t>
    </r>
    <r>
      <rPr>
        <b/>
        <sz val="9"/>
        <color theme="1"/>
        <rFont val="Century Schoolbook"/>
      </rPr>
      <t xml:space="preserve">
1.-</t>
    </r>
    <r>
      <rPr>
        <sz val="10"/>
        <color theme="1"/>
        <rFont val="Arial Narrow"/>
      </rPr>
      <t xml:space="preserve"> Emitir o actualizar los Procedimientos Académicos internos estandarizados.</t>
    </r>
  </si>
  <si>
    <t>Procedimientos Académicos internos estandarizados, emitidos o
actualizados.</t>
  </si>
  <si>
    <t>1.- Coordinar y socializar al interior de la Facultad las directrices emitidas por el órgano superior.</t>
  </si>
  <si>
    <t>1.- Reporte del estado actual de la emisión o actualización de procedimientos académicos internos.</t>
  </si>
  <si>
    <t>Abg. Ernesto González Ramón, Subdecano.
Ing. Gabriela Poma, Auxiliar Administrativa.
Ing. Cindy Arias Jaramillo, Analista Administrativa.</t>
  </si>
  <si>
    <t>Procedimientos Académicos:
 1.- Sílabos
 2.- Tutorías Académicas
El cumplimiento efectivo de las actividades planificadas en los cuatrimestres dependen de la planificación del calendario académico institucional.</t>
  </si>
  <si>
    <r>
      <rPr>
        <b/>
        <sz val="9"/>
        <color theme="1"/>
        <rFont val="Century Schoolbook"/>
      </rPr>
      <t>2.-</t>
    </r>
    <r>
      <rPr>
        <sz val="10"/>
        <color theme="1"/>
        <rFont val="Arial Narrow"/>
      </rPr>
      <t xml:space="preserve"> Convocar y presidir Sesiones de Comisión Académica de la Facultad.</t>
    </r>
  </si>
  <si>
    <t>1.- Reporte de Convocatorias.
2.- Reporte de Informes de Comisión Académica.</t>
  </si>
  <si>
    <t>Abg. Ernesto González Ramón, Subdecano.
Ing. Cindy Arias Jaramillo, Analista Administrativa.</t>
  </si>
  <si>
    <r>
      <rPr>
        <b/>
        <sz val="10"/>
        <color theme="1"/>
        <rFont val="Arial Narrow"/>
      </rPr>
      <t>3.-</t>
    </r>
    <r>
      <rPr>
        <sz val="10"/>
        <color theme="1"/>
        <rFont val="Arial Narrow"/>
      </rPr>
      <t xml:space="preserve"> Orientar y supervisar las propuestas para la creación, fusión y extinción de carreras y programas, así como los planes de estudios de las mismas emanados del trabajo de rediseño curricular.</t>
    </r>
  </si>
  <si>
    <t>N° de propuestas para la creación, fusión y extinción de carreras y programas, así como los planes de estudios de las mismas, supervisadas.</t>
  </si>
  <si>
    <t>Esta meta se desarrollará siempre y cuando existan propuestas o resoluciones por parte de los organismos pertinentes, quienes disponen la correspondiente creación, fusión o extinción de carreras y programas, así como los planes de estudios.</t>
  </si>
  <si>
    <r>
      <rPr>
        <b/>
        <sz val="9"/>
        <color theme="1"/>
        <rFont val="Century Schoolbook"/>
      </rPr>
      <t>4.-</t>
    </r>
    <r>
      <rPr>
        <sz val="10"/>
        <color theme="1"/>
        <rFont val="Arial Narrow"/>
      </rPr>
      <t xml:space="preserve"> Supervisar la ejecución de los procesos académicos.</t>
    </r>
  </si>
  <si>
    <t>1.- Coordinar el proceso de elaboración, ingreso, revisión y seguimiento al silabo. 
2.- Supervisar el proceso de ingreso de avances académicos.</t>
  </si>
  <si>
    <t>Abg. Ernesto González Ramón, Subdecano.
Ing. Gabriela Poma, Auxiliar Administrativa.</t>
  </si>
  <si>
    <t>Los procesos académicos corresponden a:
 1. Seguimiento al sílabo.
 2. Supervisión de avances académicos
El cumplimiento efectivo de las actividades planificadas en los cuatrimestres dependen de la planificación del calendario académico institucional.</t>
  </si>
  <si>
    <r>
      <rPr>
        <b/>
        <sz val="9"/>
        <color theme="1"/>
        <rFont val="Century Schoolbook"/>
      </rPr>
      <t>5.-</t>
    </r>
    <r>
      <rPr>
        <sz val="10"/>
        <color theme="1"/>
        <rFont val="Arial Narrow"/>
      </rPr>
      <t xml:space="preserve"> Elaborar distributivos, horarios y el calendario académico.</t>
    </r>
  </si>
  <si>
    <t>N° de Distributivos, horarios y calendario académico, elaborado.</t>
  </si>
  <si>
    <t>1.- Coordinar y supervisar el proceso de elaboración de los Distributivo, horarios y calendario académico.</t>
  </si>
  <si>
    <t>1.- Reporte del estado actual de la elaboración de los Distributivo, horarios.
2.- Calendario Académico aprobado.</t>
  </si>
  <si>
    <t>Abg. Ernesto González Ramón, Subdecano.
Ing. Sandra Solórzano, Coordinadora Comercio Exterior.
Ing. Liana Sánchez, Coordinadora Administración de Empresas.
Ing. Gonzalo Chávez, Coordinador Contabilidad y Auditoría.
Lcda. María Bastidas, Coordinadora Turismo.
Econ. Vladimir Ávila, Coordinador Mercadotecnia.
Econ. Flor Vega, Coordinadora Economía.
Ing. Gabriela Poma, Auxiliar Administrativa.
Ing. Cindy Arias Jaramillo, Analista Administrativa.</t>
  </si>
  <si>
    <t>Los calendarios académicos son elaborados por la Dirección Académica y aprobados de forma institucional por Consejo Universitario, considerando las actividades académicas de cada Facultad.
El cumplimiento efectivo de las actividades planificadas en los cuatrimestres dependen de la planificación del calendario académico institucional.</t>
  </si>
  <si>
    <r>
      <rPr>
        <b/>
        <sz val="9"/>
        <color theme="1"/>
        <rFont val="Century Schoolbook"/>
      </rPr>
      <t>6.-</t>
    </r>
    <r>
      <rPr>
        <sz val="10"/>
        <color theme="1"/>
        <rFont val="Arial Narrow"/>
      </rPr>
      <t xml:space="preserve"> Monitorear actividades académicas que se realizan en las diferentes salas tics, aulas y unidades académicas experimentales de la Facultad.</t>
    </r>
  </si>
  <si>
    <t>Actividades académicas que se realizan en los diferentes laboratorios, aulas y unidades académicas experimentales de las Facultades, monitoreadas.</t>
  </si>
  <si>
    <t>N° de prácticas por semestres de acuerdo a las necesidades del docente en las Salas TICS de la FCE.</t>
  </si>
  <si>
    <t xml:space="preserve">1.- Monitorear las actividades académicas realizadas en las aulas TICS de la Facultad. </t>
  </si>
  <si>
    <t>1.- Reporte de actividades que se realizan en laboratorios, aulas y salas tics.</t>
  </si>
  <si>
    <t>Administrador de Salas TICS</t>
  </si>
  <si>
    <t>El cumplimiento de esta meta dependerá del retorno a la presencialidad que se dará en el 2023. Además, la facultad no cuenta con Administrador de salas TICS, por lo tanto no se ubica el nombre del servidor.</t>
  </si>
  <si>
    <r>
      <rPr>
        <b/>
        <sz val="9"/>
        <color theme="1"/>
        <rFont val="Century Schoolbook"/>
      </rPr>
      <t>7.-</t>
    </r>
    <r>
      <rPr>
        <sz val="10"/>
        <color theme="1"/>
        <rFont val="Arial Narrow"/>
      </rPr>
      <t xml:space="preserve"> Emitir documentos de planificación académica y curricular.</t>
    </r>
  </si>
  <si>
    <t>Nº de planificaciones académicas coordinadas según el Modelo Genèrico de Evaluaciòn del Entorno de Aprendizaje de Carreras.</t>
  </si>
  <si>
    <t>1.- Coordinar la presentación de la planificación académica según el Modelo Genérico de Evaluación del Entorno de Aprendizaje de Carreras.</t>
  </si>
  <si>
    <t>1.- Reporte de planificaciones académicas - curriculares presentadas.</t>
  </si>
  <si>
    <t>Abg. Ernesto González Ramón, Subdecano.
Ing. Sandra Solórzano, Coordinadora Comercio Exterior.
Ing. Liana Sánchez, Coordinadora Administración de Empresas.
Ing. Gonzalo Chávez, Coordinador Contabilidad y Auditoría.
Lcda. María Bastidas, Coordinadora Turismo.
Econ. Vladimir Ávila, Coordinador Mercadotecnia.
Econ. Flor Vega, Coordinadora Economía.
Ing. Gabriela Poma, Auxiliar Administrativa.</t>
  </si>
  <si>
    <t>El cumplimiento efectivo de las actividades planificadas en los cuatrimestres dependen de la planificación del calendario académico institucional.</t>
  </si>
  <si>
    <r>
      <rPr>
        <b/>
        <sz val="9"/>
        <color theme="1"/>
        <rFont val="Century Schoolbook"/>
      </rPr>
      <t>8.-</t>
    </r>
    <r>
      <rPr>
        <sz val="10"/>
        <color theme="1"/>
        <rFont val="Arial Narrow"/>
      </rPr>
      <t xml:space="preserve"> Coordinar los procesos académicos de docencia, investigación y vinculación con la sociedad.</t>
    </r>
  </si>
  <si>
    <t>Nº de procesos académicos de docencia, investigación y vinculación con la sociedad, coordinados.</t>
  </si>
  <si>
    <t>1.- Asignar horas de docencia, investigación y de vinculación en el Distributivo Académico de acuerdo a las sugerencias de las Direcciones correspondientes y al Reglamento de Carrera y Escalafón.
 2.- Solicitar los informes de resultados o avances de los proyectos de investigación y vinculación con la sociedad en ejecución, y el cumplimiento de las actividades académicas de docencia.</t>
  </si>
  <si>
    <t>1.- Reporte del estado actual de resultados o avances de los proyectos de Investigación y de vinculación con la sociedad y actividades académicas de docencia.
2.- Reporte de horas sugeridas por las Direcciones correspondientes.</t>
  </si>
  <si>
    <r>
      <rPr>
        <b/>
        <sz val="9"/>
        <color theme="1"/>
        <rFont val="Century Schoolbook"/>
      </rPr>
      <t>9.-</t>
    </r>
    <r>
      <rPr>
        <sz val="10"/>
        <color theme="1"/>
        <rFont val="Arial Narrow"/>
      </rPr>
      <t xml:space="preserve"> Evaluar al personal administrativo bajo su responsabilidad.</t>
    </r>
  </si>
  <si>
    <t>1.- Evaluar al personal administrativo bajo la dependencia del Subdecanato en la plataforma SIITH del Ministerio de Trabajo.</t>
  </si>
  <si>
    <t>1.- Formulario de Evaluación aplicado.</t>
  </si>
  <si>
    <t>Abg. Ernesto González Ramón, Subdecano.</t>
  </si>
  <si>
    <r>
      <rPr>
        <b/>
        <sz val="9"/>
        <color theme="1"/>
        <rFont val="Century Schoolbook"/>
      </rPr>
      <t>10.-</t>
    </r>
    <r>
      <rPr>
        <sz val="10"/>
        <color theme="1"/>
        <rFont val="Arial Narrow"/>
      </rPr>
      <t xml:space="preserve"> Coordinar el Proceso referente a las pasantías y prácticas pre-profesionales de las y los estudiantes de las carreras de pregrado.</t>
    </r>
  </si>
  <si>
    <t>Nº de planes de pasantías y prácticas pre-profesionales de las carreras de pregrado, coordinados.</t>
  </si>
  <si>
    <t>1.- Coordinar las prácticas y pasantías preprofesionales con los colectivos académicos, en coordinación con el VIMCORI.</t>
  </si>
  <si>
    <t>1.- Planificación de pasantías y prácticas pre-profesionales de las carreras de pregrado, con informe favorable.</t>
  </si>
  <si>
    <r>
      <rPr>
        <b/>
        <sz val="9"/>
        <color theme="1"/>
        <rFont val="Century Schoolbook"/>
      </rPr>
      <t>11.-</t>
    </r>
    <r>
      <rPr>
        <sz val="10"/>
        <color theme="1"/>
        <rFont val="Arial Narrow"/>
      </rPr>
      <t xml:space="preserve"> Controlar la ejecución de los procesos de titulación.</t>
    </r>
  </si>
  <si>
    <t>Nº de reportes de los procesos de titulación, controlados.</t>
  </si>
  <si>
    <t>1.- Solicitar y/o receptar reportes de los procesos de titulación a la UMMOG.</t>
  </si>
  <si>
    <t>1.- Reportes de los procesos de titulación.
2.- Cronograma del proceso de titulación.
3.- Informes favorables adoptados por Comisión Acadèmica de asignación de tutores y comité evaluador.</t>
  </si>
  <si>
    <r>
      <rPr>
        <b/>
        <sz val="9"/>
        <color theme="1"/>
        <rFont val="Century Schoolbook"/>
      </rPr>
      <t>12.-</t>
    </r>
    <r>
      <rPr>
        <sz val="10"/>
        <color theme="1"/>
        <rFont val="Arial Narrow"/>
      </rPr>
      <t xml:space="preserve"> Ejecutar el proceso de evaluación integral del desempeño docente de acuerdo a las directrices emitidas a nivel institucional.</t>
    </r>
  </si>
  <si>
    <t>1.- Elaborar los horarios para llevar a cabo el proceso de evaluación integral del desempeño docente.
2.- Aprobar la matriz de Comisiones para el proceso de evaluación integral del desempeño docente.</t>
  </si>
  <si>
    <t>1.- Resoluciones del proceso de evaluación integral del desempeño docente.
2.- Reporte de resultados del proceso de evaluación integral del desempeño docente.</t>
  </si>
  <si>
    <t>Abg. Ernesto González Ramón, Subdecano.
Ing. Sandra Solórzano, Coordinadora Comercio Exterior.
Ing. Liana Sánchez, Coordinadora Administración de Empresas.
Ing. Gonzalo Chávez, Coordinador Contabilidad y Auditoría.
Lcda. María Bastidas, Coordinadora Turismo.
Econ. Vladimir Ávila, Coordinador Mercadotecnia.
Econ. Flor Vega, Coordinadora Economía.
Ing. Cindy Arias Jaramillo, Analista Administrativa.</t>
  </si>
  <si>
    <r>
      <rPr>
        <b/>
        <sz val="9"/>
        <color theme="1"/>
        <rFont val="Century Schoolbook"/>
      </rPr>
      <t>13.-</t>
    </r>
    <r>
      <rPr>
        <sz val="10"/>
        <color theme="1"/>
        <rFont val="Arial Narrow"/>
      </rPr>
      <t xml:space="preserve"> Supervisar actividades académicas que se realizan en las diferentes salas tics, aulas y unidades académicas experimentales de la Facultad.</t>
    </r>
  </si>
  <si>
    <t>Se repiten los producto 6 y 13.</t>
  </si>
  <si>
    <t>8. Fortalecer la cultura deportiva como insumo para la promoción del estilo de vida saludable.</t>
  </si>
  <si>
    <r>
      <rPr>
        <b/>
        <sz val="10"/>
        <color theme="1"/>
        <rFont val="Arial Narrow"/>
      </rPr>
      <t>14.-</t>
    </r>
    <r>
      <rPr>
        <sz val="10"/>
        <color theme="1"/>
        <rFont val="Arial Narrow"/>
      </rPr>
      <t xml:space="preserve"> Coordinar las actividades culturales, deportivas, sociales, y proyectos de responsabilidad social e influencia en políticas públicas.</t>
    </r>
  </si>
  <si>
    <t>Actividades culturales, deportivas, sociales, y proyectos de responsabilidad social e influencia en políticas públicas coordinadas.</t>
  </si>
  <si>
    <t>N° de actividades culturales, deportivas, sociales y proyectos de responsabilidad social e influencia en políticas públicas, coordinadas.</t>
  </si>
  <si>
    <t>1.- Coordinar la presentación de proyectos que contengan actividades culturales, deportivas, sociales y proyectos de responsabilidad social e influencia en políticas públicas.</t>
  </si>
  <si>
    <t>1.- Resoluciones de aprobación de proyectos que contengan actividades culturales, deportivas, sociales y proyectos de responsabilidad social e influencia en políticas públicas.</t>
  </si>
  <si>
    <r>
      <rPr>
        <b/>
        <sz val="9"/>
        <color theme="1"/>
        <rFont val="Century Schoolbook"/>
      </rPr>
      <t>15.-</t>
    </r>
    <r>
      <rPr>
        <sz val="10"/>
        <color theme="1"/>
        <rFont val="Arial Narrow"/>
      </rPr>
      <t xml:space="preserve"> Conocer y atender los requerimientos estudiantiles respecto al área académica y docente.</t>
    </r>
  </si>
  <si>
    <t>Nº de requerimientos estudiantiles respecto al área académica y docente conocidos y atendidos.</t>
  </si>
  <si>
    <t>1.- Receptar requerimientos estudiantiles.
2.- Tramitar requerimientos estudiantiles.</t>
  </si>
  <si>
    <t>1.- Reporte de requerimientos estudiantiles atendidos.</t>
  </si>
  <si>
    <r>
      <rPr>
        <b/>
        <sz val="9"/>
        <color theme="1"/>
        <rFont val="Century Schoolbook"/>
      </rPr>
      <t>16.-</t>
    </r>
    <r>
      <rPr>
        <sz val="10"/>
        <color theme="1"/>
        <rFont val="Arial Narrow"/>
      </rPr>
      <t xml:space="preserve"> Presentar la Planificación Operativa Anual y Evaluación de la Planificación Operativa Anual.</t>
    </r>
  </si>
  <si>
    <t>N° de planificaciones Operativas Anuales y Evaluaciones del POA entregadas.</t>
  </si>
  <si>
    <t>1.- Elaborar el Plan Operativo Anual del Subdecanato.
 2.- Elaborar la Evaluación al POA.
 3.- Remitir al Decanato el POA y su Evaluación.</t>
  </si>
  <si>
    <r>
      <rPr>
        <b/>
        <sz val="9"/>
        <color theme="1"/>
        <rFont val="Century Schoolbook"/>
      </rPr>
      <t>17.-</t>
    </r>
    <r>
      <rPr>
        <sz val="10"/>
        <color theme="1"/>
        <rFont val="Arial Narrow"/>
      </rPr>
      <t xml:space="preserve"> Organizar el Archivo de Gestión.</t>
    </r>
  </si>
  <si>
    <t>Ing. Cindy Arias Jaramillo, Analista Administrativa.</t>
  </si>
  <si>
    <t>MATRICULADOS SEGÚN AUTOIDENTIFICACIÓN ÉTNICA</t>
  </si>
  <si>
    <r>
      <rPr>
        <b/>
        <sz val="10"/>
        <color rgb="FFFF0000"/>
        <rFont val="Arial Narrow"/>
      </rPr>
      <t>METAS OPERATIVAS</t>
    </r>
    <r>
      <rPr>
        <b/>
        <sz val="9"/>
        <color theme="1"/>
        <rFont val="Century Schoolbook"/>
      </rPr>
      <t xml:space="preserve">
1.-</t>
    </r>
    <r>
      <rPr>
        <sz val="10"/>
        <color theme="1"/>
        <rFont val="Arial Narrow"/>
      </rPr>
      <t xml:space="preserve"> Coordinar y ejecutar los Procesos de Matriculación.</t>
    </r>
  </si>
  <si>
    <t>N° de procesos de matriculación coordinados y ejecutados.</t>
  </si>
  <si>
    <t xml:space="preserve">1.- Coordinar y planificar el proceso de matrícula a nivel de facultad.
2.- Revisar requisitos,  cartilla y datos cargados en el SIUTMACH.
3.- Validar matrículas.
4.- Seleccionar fecha de inicio de estudios de expedientes históricos.
5.- Generar matrícula de los estudiantes con menos del 60%, con reconocimiento u homologación, tercera matricula, matricula especial, plan especial.
6.- Generar órdenes de pago, de los estudiantes con menos del 60%, con reconocimiento u homologación, tercera matricula, matricula especial, plan especial.
7.- Revisar curso, cupo y paralelo en períodos de matrículas.
8.- Crear registros de carrera de expedientes históricos.
9.- Actualizar datos en el SIUTMACH.
10.- Anular órdenes de pago en el SIUTMACH.
11.- Insubsistir matrículas no legalizadas.
12.- Anular matrículas aprobadas por Consejo Universitario.
13.- Gestionar logística, bienes y materiales para el proceso de matrícula.
14.- Elaborar certificados de matrícula.
15.- Atender a usuarios internos y externos.
</t>
  </si>
  <si>
    <t>1.- Cronograma de Matrículas.
2.- Reporte de estudiantes matriculados.</t>
  </si>
  <si>
    <t>"Ing. Morayma Vélez E.
JEFA DE LA UMMOG-FCE
Ing. Tania Brito G., 
Ing. Nancy Calva A.,
Lcda. Ketty Ajila A.
Lcda. Mónica Lapo P.,
Ing. Karol Valarezo P.,
Ing. Lizbeth Ortiz P.,
ANALISTAS DE LA UMMOG-FCE
Lcda. Bertha Sicho M., 
Ing. Walter Romero A.,
Sr. Herman José Aguilar,
ANALISTAS DE ESTADÍSTICA-FCE</t>
  </si>
  <si>
    <t>El cumplimineto efectivo de las metas y entrega de productos en los cuatrimestres dependen de la planificación institucional (Calendario Académico), por lo cual cualquier reforma o actualización al calendario afecta a los procesos.</t>
  </si>
  <si>
    <r>
      <rPr>
        <b/>
        <sz val="9"/>
        <color theme="1"/>
        <rFont val="Century Schoolbook"/>
      </rPr>
      <t>2.-</t>
    </r>
    <r>
      <rPr>
        <sz val="10"/>
        <color theme="1"/>
        <rFont val="Arial Narrow"/>
      </rPr>
      <t xml:space="preserve"> Ejecutar y validar los cambios de paralelos, cambios de sección y retiros de carrera y/o asignaturas autorizados por el Consejo Directivo.</t>
    </r>
  </si>
  <si>
    <t>N° de cambios de paralelos, cambios de sección y retiros de carrera y/o asignaturas autorizados por el Consejo Directivo.</t>
  </si>
  <si>
    <t>1.- Cambiar paralelos y sección autorizados por Consejo Directivo.
2.- Retirar asignaturas aprobados por Consejo Directivo.
3.- Cambiar estado de activo a inactivo y/o retirado aprobados por Consejo Directivo.</t>
  </si>
  <si>
    <t>1.- Resoluciones de Consejo Directivo receptadas y ejecutadas.</t>
  </si>
  <si>
    <t>Ing. Morayma Vélez E.
JEFA DE LA UMMOG-FCE
Ing. Tania Brito G., 
Ing. Nancy Calva A.,
Lcda. Ketty Ajila A.
ANALISTAS DE LA UMMOG-FCE</t>
  </si>
  <si>
    <r>
      <rPr>
        <b/>
        <sz val="9"/>
        <color theme="1"/>
        <rFont val="Century Schoolbook"/>
      </rPr>
      <t>3.-</t>
    </r>
    <r>
      <rPr>
        <sz val="10"/>
        <color theme="1"/>
        <rFont val="Arial Narrow"/>
      </rPr>
      <t xml:space="preserve"> Coordinar y Ejecutar los Procesos de Movilidad.</t>
    </r>
  </si>
  <si>
    <t>N° de solicitudes de movilidad  para la elaboración del Informe de Reconocimiento u Homologación de Estudios de asignaturas, cursos o sus equivalentes, revisados y remitidos a Coordinaciones de Carrera.</t>
  </si>
  <si>
    <t>1.- Coordinar y planificar el proceso de movilidad a nivel de Facultad.
2.- Receptar y revisar los documentos habilitantes para procesos de movilidad.
3.- Emitir oficios a coordinación de carrera con la documentación respectiva para su análisis académico y elaboración del informe.
4.- Atender a usuarios internos y externos.</t>
  </si>
  <si>
    <t>1.- Reporte de  solicitudes de movilidad  para la elaboración del Informe de Reconocimiento u Homologación de Estudios de asignaturas, cursos o sus equivalentes recibidas.
2.- Oficios emitidos a los Coordinadores de Carreras para la elaboración de los informes de Reconocimiento u Homologación de Estudios, Asignaturas, Cursos o sus Equivalentes.</t>
  </si>
  <si>
    <t>Ing. Morayma Vélez E.
JEFA DE LA UMMOG-FCE
Ing. Lizbeth Ortiz P.
ANALISTA DE LA UMMOG-FCE</t>
  </si>
  <si>
    <t>-------</t>
  </si>
  <si>
    <t>Este producto es parte del producto de la Meta Operativa N° 3.</t>
  </si>
  <si>
    <r>
      <rPr>
        <b/>
        <sz val="9"/>
        <color theme="1"/>
        <rFont val="Century Schoolbook"/>
      </rPr>
      <t>5.-</t>
    </r>
    <r>
      <rPr>
        <sz val="10"/>
        <color theme="1"/>
        <rFont val="Arial Narrow"/>
      </rPr>
      <t xml:space="preserve"> Aperturar del Sistema para registro de calificaciones extemporáneas según resolución del Consejo Directivo.</t>
    </r>
  </si>
  <si>
    <t>N° de Resoluciones de Consejo Directivo de autorización de apertura del sistema para el registro de calificaciones extemporáneas ejecutadas.</t>
  </si>
  <si>
    <t>1.- Verificar en el SIUTMACH  el ingreso de las actas de calificaciones generadas por los docentes.
2.- Registrar manualmente en el SIUTMACH  las calificaciones  de plan especial, homologaciones, rectificación de calificaciones, recalificaciones y calificaciones históricas.
3.- Emitir certificados de promoción o record académico.
4.- Emitir certificados de culminación de malla.
5.- Emitir certificados de promedio global de notas.
6.- Emitir reporte de mejores estudiantes por semestre, carrera y periodo.
7.- Emitir reporte de mejor egresado por periodo y/o carrera.
8.- Emitir certificado de inicio y fin de carrera.
9.- Emitir certificado de reprobación de asignaturas por tercera vez.
10.- Actualizar en el SIUTMACH  cartillas históricas de estudiantes.
11.- Aperturar del sistema previa aprobación del Consejo Directivo  para registro y/o corrección de calificaciones por parte de los docentes.
12.- Atender a usuarios internos y externos.
13.-Emitir certificados de aprobación de prerrequisitos computación/ofimática.
14.- Emitir certificados de no adeudar.</t>
  </si>
  <si>
    <t>1.- Reporte de actas de calificaciones finalizadas y guardadas.</t>
  </si>
  <si>
    <t>Ing. Morayma Vélez E.
JEFA DE LA UMMOG-FCE
Lcda. Bertha Sicho M., 
Ing. Walter Romero A.,
Sr. Herman José Aguilar,
ANALISTAS DE ESTADÍSTICA - FCE</t>
  </si>
  <si>
    <t>Por reforma del RRA de la UTMACH, las Actas de Calificaciones no son físicas solo digitales, por lo que el mismo docente al finalizar y guardar el acta válida la misma en el SIUTMACH.</t>
  </si>
  <si>
    <r>
      <rPr>
        <b/>
        <sz val="9"/>
        <color theme="1"/>
        <rFont val="Century Schoolbook"/>
      </rPr>
      <t>6.-</t>
    </r>
    <r>
      <rPr>
        <sz val="10"/>
        <color theme="1"/>
        <rFont val="Arial Narrow"/>
      </rPr>
      <t xml:space="preserve"> Organizar y supervisar las fases del proceso de titulación.</t>
    </r>
  </si>
  <si>
    <t>N° de proceso de titulación, organizados y supervisados.</t>
  </si>
  <si>
    <t>1.- Coordinar y planificar proceso de titulación a nivel de facultad.
2.- Registrar fecha de fin de carrera para cumplimiento de la inscripción al proceso de titulación.
3.- Revisar y validar el cumplimiento de la malla.
4.- Revisar perdida de gratuidad por acumular más del 30% de créditos reprobados.
5.- Revisar en la Senescyt segundo o más títulos profesionales obtenidos.
6.- Revisar requisitos habilitantes para matricula en proceso de titulación.
7.- Validar matrícula de proceso de titulación.
8.- Imprimir y/o descargar listados de estudiantes aptos para rendir examen complexivo.
9.- Supervisar y coordinar la toma del examen complexivo.
10.- Ingresar a la plataforma de titulación fecha, hora y lugar de sustentación.
11.- Supervisar y coordinar las sustentaciones de trabajo de titulación y examen complexivo.
12.- Activar especialista suplente del comité evaluador a petición del coordinador de carrera.
13.- Generar actas de calificaciones de las sustentaciones .
14.- Validar trabajo escrito de ambas opciones de titulación en la plataforma de titulación.
15.- Descargar acta de graduación e insertar en expediente de estudiante.
16.- Revisar y grabar los promedios de grado a fin de generar acta consolidada.
17.- Convocar y asistir en la inducción presencial y/o virtual para el evento de incorporación.
18.- Coordinar con decanato y secretaría de la facultad la organización del evento de incorporación virtual y/o presencial.
19.- Coordinar con dirección de comunicación eventos de incorporación.
20.- Emitir certificados de estar legalmente matriculados en el proceso de titulación.
21.- Remitir copias certificadas de oficios de autorización de la compra de títulos de promociones antiguas.
22.- Remitir oficio al decanato para el traslado y/o compra de especies de tesorería a secretaria general.
23.- Generar acta consolidada.
24.- Remitir al decanato oficio solicitando el registro e impresión de títulos por parte de secretaría general de los estudiantes graduados.
25.- Cargar en drive los expedientes de los estudiantes graduados para el registro e impresión de los títulos y compartir con las partes pertinentes.
26.- Atender a usuarios internos y externos.</t>
  </si>
  <si>
    <t>1.- Reporte de estudiantes inscritos en el proceso de titulación.</t>
  </si>
  <si>
    <t>"Ing. Morayma Vélez E.
JEFA DE LA UMMOG-FCE
Ing. Tania Brito G., 
Ing. Nancy Calva A.,
Lcda. Ketty Ajila A.
Lcda. Mónica Lapo P.,
Ing. Karol Valarezo P.,
Ing. Lizbeth Ortiz P.,
ANALISTAS DE LA UMMOG-FCE
Lcda. Bertha Sicho M., 
Ing. Walter Romero A.,
Sr. Herman José Aguilar,
ANALISTAS DE ESTADÍSTICA-FCE
"</t>
  </si>
  <si>
    <t>No podemos eliminar o simplificar actividades,  ya que son todas las que se realizan para cumplir la meta, y han sido las mismas en los POAS anteriores.
El cumplimineto efectivo de las metas y entrega de productos en los cuatrimestres dependen de la planificación institucional (Calendario Académico), por lo cual cualquier reforma o actualización al calendario afecta a los procesos.</t>
  </si>
  <si>
    <r>
      <rPr>
        <b/>
        <sz val="9"/>
        <color theme="1"/>
        <rFont val="Century Schoolbook"/>
      </rPr>
      <t>7.-</t>
    </r>
    <r>
      <rPr>
        <sz val="10"/>
        <color theme="1"/>
        <rFont val="Arial Narrow"/>
      </rPr>
      <t xml:space="preserve"> Emitir Informes de designación de tutor y comité evaluador.</t>
    </r>
  </si>
  <si>
    <t>N° de informes de designación de tutores y comité evaluador, emitidos.</t>
  </si>
  <si>
    <t>1.- Solicitar a coordinadores de carrera el registro de tutores en la plataforma de titulación en cada proceso.
2.- Generar desde la plataforma de titulación reporte de tutores y comité evaluador para aprobación de Comisión Académica y Consejo Directivo.
3.- Receptar los reportes de tutor y comité evaluador legalizados.</t>
  </si>
  <si>
    <t>1.- Resoluciones de Consejo Directivo de aprobación de los Informes de designación de tutor y comité evaluador.</t>
  </si>
  <si>
    <t>Ing. Morayma Vélez E.
JEFA DE LA UMMOG-FCE
Lcda. Mónica Lapo P.,
Ing. Karol Valarezo Procel
ANALISTAS DE LA UMMOG-FCE</t>
  </si>
  <si>
    <t>Por reforma del RRA de la UTMACH, las Actas de Calificaciones no son físicas solo digitales, por lo que el mismo docente al finalizar y guardar el acta válida la misma en el SIUTMACH.
El cumplimineto efectivo de las metas y entrega de productos en los cuatrimestres dependen de la planificación institucional (Calendario Académico), por lo cual cualquier reforma o actualización al calendario afecta a los procesos.</t>
  </si>
  <si>
    <r>
      <rPr>
        <b/>
        <sz val="9"/>
        <color theme="1"/>
        <rFont val="Century Schoolbook"/>
      </rPr>
      <t xml:space="preserve">8.- </t>
    </r>
    <r>
      <rPr>
        <sz val="10"/>
        <color theme="1"/>
        <rFont val="Arial Narrow"/>
      </rPr>
      <t>Revisar y emitir informes al Consejo Directivo sobre la aptitud legal y graduación.</t>
    </r>
  </si>
  <si>
    <t>N° de informes de aptitud legal y actas de graduación emitidos y aprobadas por Consejo Directivo.</t>
  </si>
  <si>
    <t>1.- Receptar certificados de no adeudar y recibo único de ingreso a caja de estudiantes que pierden gratuidad y/o poseen otro título.
2.- Generar y/o imprimir informes de aptitud legal por carrera, para aprobación de Consejo Directivo.
3.- Registrar la firma electrónica en el SIUTMACH.
4.- Emitir informe al consejo directo sobre la aprobación de la aptitud legal y graduación de los estudiantes que aprobaron el proceso de titulación.
5.- Ingresar, revisar y actualizar la información cargada en el SIUTMACH  para la impresión de títulos y registro en la Senescyt.</t>
  </si>
  <si>
    <t>1.- Resoluciones de Consejo Directivo de aprobación de los Informes de Actitud Legal y Actas de Graduación generadas.</t>
  </si>
  <si>
    <t>Ing. Morayma Vélez E.
JEFA DE LA UMMOG-FCE
Lcda. Mónica Lapo P.,
Ing. Karol Valarezo P.,
ANALISTAS DE LA UMMOG-FCE</t>
  </si>
  <si>
    <r>
      <rPr>
        <b/>
        <sz val="9"/>
        <color theme="1"/>
        <rFont val="Century Schoolbook"/>
      </rPr>
      <t>9.-</t>
    </r>
    <r>
      <rPr>
        <sz val="10"/>
        <color theme="1"/>
        <rFont val="Arial Narrow"/>
      </rPr>
      <t xml:space="preserve"> Emitir Informes para certificaciones de procesos de matrícula, movilidad, graduación y estadística.</t>
    </r>
  </si>
  <si>
    <t>N° de informes para certificaciones de procesos de matrícula, movilidad, graduación y estadística, emitidos.</t>
  </si>
  <si>
    <t>1.- Emitir informe para certificar los procesos de matrícula, movilidad, gradación y estadística, solicitados por los estudiantes.
2.- Remitir copias certificadas de actas de calificaciones.
3.- Remitir copias certificadas de actas de graduación.
4.- Remitir copias certificadas de actas de consolidada.
5.- Atender a usuarios internos y externos.</t>
  </si>
  <si>
    <t>1.- Reporte de Certificados de proceso de matrícula, movilidad, graduación y estadística emitidos.</t>
  </si>
  <si>
    <t xml:space="preserve">Ing. Morayma Vélez E.
JEFA DE LA UMMOG-FCE
Ing. Tania Brito G., 
Ing. Nancy Calva A.,
Lcda. Ketty Ajila A.
Lcda. Mónica Lapo P.,
Ing. Karol Valarezo P.,
Ing. Lizbeth Ortiz P.,
ANALISTAS DE LA UMMOG-FCE
Lcda. Bertha Sicho M., 
Ing. Walter Romero A.,
Sr. Herman José Aguilar,
ANALISTAS DE ESTADÍSTICA-FCE
</t>
  </si>
  <si>
    <r>
      <rPr>
        <b/>
        <sz val="9"/>
        <color theme="1"/>
        <rFont val="Century Schoolbook"/>
      </rPr>
      <t>10.-</t>
    </r>
    <r>
      <rPr>
        <sz val="10"/>
        <color theme="1"/>
        <rFont val="Arial Narrow"/>
      </rPr>
      <t xml:space="preserve"> Emitir Informes Técnicos para procesos internos y externos.</t>
    </r>
  </si>
  <si>
    <t>N° de informes de estudiantes y graduados, solicitados por los entes reguladores internos y externos, efectuado.</t>
  </si>
  <si>
    <t>1.- Receptar y atender requerimientos de los organismos de control internos y externos.
2.- Revisar la información existente el en SIUTMACH  y archivo físico.
3.- Elaborar informes, reportes solicitados de matrículas, movilidad y graduación.</t>
  </si>
  <si>
    <t>1.- Matrices de estudiantes y graduados, solicitados por los entes reguladores internos y externos, efectuado.</t>
  </si>
  <si>
    <r>
      <rPr>
        <b/>
        <sz val="9"/>
        <color theme="1"/>
        <rFont val="Century Schoolbook"/>
      </rPr>
      <t>11.-</t>
    </r>
    <r>
      <rPr>
        <sz val="10"/>
        <color theme="1"/>
        <rFont val="Arial Narrow"/>
      </rPr>
      <t xml:space="preserve"> Presentar la Planificación Operativa Anual y Evaluación de la Planificación Operativo Anual.</t>
    </r>
  </si>
  <si>
    <t>N° de Planificación Operativa Anual y Evaluación de la Planificación Operativa Anual entregadas oportunamente.</t>
  </si>
  <si>
    <t>1.- Elaborar la Planificación Operativa Anual.
2.- Autoevaluar la Planificación Operativa Anual.</t>
  </si>
  <si>
    <t xml:space="preserve">Ing. Morayma Vélez E.
JEFA DE LA UMMOG-FCE
Lcda. Mónica Lapo P.,
ANALISTAS DE LA UMMOG-FCE
</t>
  </si>
  <si>
    <r>
      <rPr>
        <b/>
        <sz val="9"/>
        <color theme="1"/>
        <rFont val="Century Schoolbook"/>
      </rPr>
      <t>12.-</t>
    </r>
    <r>
      <rPr>
        <sz val="10"/>
        <color theme="1"/>
        <rFont val="Arial Narrow"/>
      </rPr>
      <t xml:space="preserve"> Organizar el Archivo Intermedio.</t>
    </r>
  </si>
  <si>
    <t>N° de Expedientes archivados en físico y/o digital, del 2020-2.</t>
  </si>
  <si>
    <t>1.- Receptar oficios.
2.- Elaborar y despachar oficios.
3.- Registrar oficios enviados y recibidos en el SIUTMACH.
4.- Consolidar expediente de estudiantes.
5.- Archivar cronológicamente los oficios, resoluciones y expedientes de estudiantes.
6.- Archivar expedientes de actas de calificaciones.</t>
  </si>
  <si>
    <t>1.- Expediente archivados.
2.- Matriz del inventario Documental.</t>
  </si>
  <si>
    <t xml:space="preserve">Ing. Morayma Vélez E.
JEFA DE LA UMMOG-FCE
Ing. Tania Brito G., 
Ing. Nancy Calva A.,
Lcda. Ketty Ajila A.
Lcda. Mónica Lapo P.,
Ing. Karol Valarezo P.,
Ing. Lizbeth Ortiz P.,
ANALISTAS DE LA UMMOG-FCE
</t>
  </si>
  <si>
    <t>El periodo que se va archivar es correcto 2020-2</t>
  </si>
  <si>
    <r>
      <rPr>
        <b/>
        <sz val="10"/>
        <color rgb="FFFF0000"/>
        <rFont val="Arial Narrow"/>
      </rPr>
      <t>METAS OPERATIVAS</t>
    </r>
    <r>
      <rPr>
        <b/>
        <sz val="9"/>
        <color theme="1"/>
        <rFont val="Century Schoolbook"/>
      </rPr>
      <t xml:space="preserve">
1.-</t>
    </r>
    <r>
      <rPr>
        <sz val="10"/>
        <color theme="1"/>
        <rFont val="Arial Narrow"/>
      </rPr>
      <t xml:space="preserve"> Emitir y notificar las convocatorias, actas y resoluciones de Consejo Directivo.</t>
    </r>
  </si>
  <si>
    <t>1.- Receptar, analizar y organizar los documentos a tratar en Consejo Directivo.
2.- Ingresar al Siutmach las solicitudes o comunicaciones para Consejo Directivo.
3.- Elaborar convocatorias con el orden del día.
4.- Notificar la convocatoria.
5.- Constatar el quórum reglamentario e instalación de Consejo Directivo.
6.- Dar lectura al orden del día.
7.- Revisar Leyes y Reglamentos para elaborar las resoluciones.
8.- Realizar las resoluciones adoptadas en Consejo Directivo.
9.- Elaborar oficios de notificación de resoluciones de Consejo Directivo.
10.- Certificar resoluciones.
11.- Registrar y notificar las resoluciones.
12.- Redactar y revisar Actas de Consejo Directivo.
13.- Notificar las actas a los miembros de Consejo Directivo.
14.- Suscribir acta de Consejo Directivo conjuntamente con el Decano.</t>
  </si>
  <si>
    <t>1.- Reporte de convocatorias elaboradas.
2.- Reporte de resoluciones de Consejo Directivo elaboradas.
3.- Reporte de actas de Consejo Directivo emitidas.</t>
  </si>
  <si>
    <t>Abg. Teresa Vivanco, Secretaria Abogada
Lic. María Merino Guillén, Analista de Archivo</t>
  </si>
  <si>
    <r>
      <rPr>
        <b/>
        <sz val="9"/>
        <color theme="1"/>
        <rFont val="Century Schoolbook"/>
      </rPr>
      <t>2.-</t>
    </r>
    <r>
      <rPr>
        <sz val="10"/>
        <color theme="1"/>
        <rFont val="Arial Narrow"/>
      </rPr>
      <t xml:space="preserve"> Emitir y/o legalizar las Certificaciones de la Facultad.</t>
    </r>
  </si>
  <si>
    <t>N° de copias, compulsas de actos administrativos y documentos oficiales que reposan en la Facultad certificadas.</t>
  </si>
  <si>
    <t>1.- Emitir certificaciones.
2.- Legalizar certificaciones.</t>
  </si>
  <si>
    <t>1.- Reporte de certificaciones emitidas y legalizadas.</t>
  </si>
  <si>
    <r>
      <rPr>
        <b/>
        <sz val="9"/>
        <color theme="1"/>
        <rFont val="Century Schoolbook"/>
      </rPr>
      <t>3.-</t>
    </r>
    <r>
      <rPr>
        <sz val="10"/>
        <color theme="1"/>
        <rFont val="Arial Narrow"/>
      </rPr>
      <t xml:space="preserve"> Registrar y distribuir la correspondencia interna y externa de la Facultad.</t>
    </r>
  </si>
  <si>
    <t>N° de correspondencia interna y externa de la Facultad registrada y despachada.</t>
  </si>
  <si>
    <t>1.- Atender al usuario.
2.- Receptar la correspondencia interna y externa.
3.- Elaborar oficios de la Secretaria.
4.- Registrar la correspondencia interna y externa en el SIUTMACH.
5.- Organizar y despachar la correspondencia interna y externa.
6.- Examinar la documentación para su respectivo registro en el inventario documental.
7.- Registrar el inventario documental.</t>
  </si>
  <si>
    <t>1.- Reporte de la correspondencia recibida y enviada de Decanato y Secretaría.
2.- Archivo físico y digital de la documentación recibida y enviada (distribuida).</t>
  </si>
  <si>
    <t>Abg. Teresa Vivanco, Secretaria Abogada                                     Lic. María Merino Guillén, Analista de Archivo</t>
  </si>
  <si>
    <r>
      <rPr>
        <b/>
        <sz val="9"/>
        <color theme="1"/>
        <rFont val="Century Schoolbook"/>
      </rPr>
      <t>4.-</t>
    </r>
    <r>
      <rPr>
        <sz val="10"/>
        <color theme="1"/>
        <rFont val="Arial Narrow"/>
      </rPr>
      <t xml:space="preserve"> Brindar asesoría jurídica a las Autoridades y dependencias de la Facultad.</t>
    </r>
  </si>
  <si>
    <t>N° de asesorías jurídicas a las Autoridades y dependencias de la Facultad brindadas.</t>
  </si>
  <si>
    <t>1.- Orientar en materia legal actualizada a los diferentes estamentos universitarios.</t>
  </si>
  <si>
    <t>1.- Reporte de asesorías jurídicas a las Autoridades y dependencias de la Facultad.</t>
  </si>
  <si>
    <t>Abg. Teresa Vivanco, Secretaria Abogada</t>
  </si>
  <si>
    <r>
      <rPr>
        <b/>
        <sz val="9"/>
        <color theme="1"/>
        <rFont val="Century Schoolbook"/>
      </rPr>
      <t>5.-</t>
    </r>
    <r>
      <rPr>
        <sz val="10"/>
        <color theme="1"/>
        <rFont val="Arial Narrow"/>
      </rPr>
      <t xml:space="preserve"> Emitir Informes jurídicos de los procesos disciplinarios, académicos y/o administrativos de la Facultad.</t>
    </r>
  </si>
  <si>
    <t>N° de informes jurídicos requeridos por las autoridades académicas y de los procesos disciplinarios, académicos y/o administrativos de la Facultad emitidos.</t>
  </si>
  <si>
    <t>1.- Analizar la documentación.
2.- Elaborar informes jurídicos de los procesos disciplinarios, académicos y/o administrativos.</t>
  </si>
  <si>
    <t>1.- Reporte de informes jurídicos de los procesos disciplinarios, académicos y/o administrativos de la Facultad.</t>
  </si>
  <si>
    <r>
      <rPr>
        <b/>
        <sz val="10"/>
        <color theme="1"/>
        <rFont val="Arial Narrow"/>
      </rPr>
      <t>6.-</t>
    </r>
    <r>
      <rPr>
        <sz val="10"/>
        <color theme="1"/>
        <rFont val="Arial Narrow"/>
      </rPr>
      <t xml:space="preserve"> Presentar documentación para el tratamiento del consejo directivo administrada.</t>
    </r>
  </si>
  <si>
    <t>Documentación para tratamiento del consejo directivo administrada.</t>
  </si>
  <si>
    <t>N° de matrices de la documentación para tratamiento del consejo directivo administrada.</t>
  </si>
  <si>
    <t>1.- Analizar la documentación.
2. Elaborar matriz de la documentación para el tratamiento en el consejo directivo.</t>
  </si>
  <si>
    <t>1.- Matrices y documentos que reposan en el drive.</t>
  </si>
  <si>
    <r>
      <rPr>
        <b/>
        <sz val="9"/>
        <color theme="1"/>
        <rFont val="Century Schoolbook"/>
      </rPr>
      <t>7.-</t>
    </r>
    <r>
      <rPr>
        <sz val="10"/>
        <color theme="1"/>
        <rFont val="Arial Narrow"/>
      </rPr>
      <t xml:space="preserve"> Presentar la Planificación Operativa Anual y Evaluación de la Planificación Operativa Anual.</t>
    </r>
  </si>
  <si>
    <t>N° de Planificaciones Operativas Anuales y evaluaciones de la planificación operativa anual entregadas.</t>
  </si>
  <si>
    <t>1.- Consolidar los requerimientos de la Unidad de Secretaría y Archivo.
2.- Elaborar las Planificación Operativa Anual 2024.
3.- Efectuar el control, seguimiento y evaluación del POA 2023.</t>
  </si>
  <si>
    <t>1.- Evaluación POA 2023.
2.- POA 2024.</t>
  </si>
  <si>
    <t xml:space="preserve">Abg. Teresa Vivanco, Secretaria Abogada
Lic. María Merino Guillén, Analista de Archivo
</t>
  </si>
  <si>
    <r>
      <rPr>
        <b/>
        <sz val="9"/>
        <color theme="1"/>
        <rFont val="Century Schoolbook"/>
      </rPr>
      <t>8.-</t>
    </r>
    <r>
      <rPr>
        <sz val="10"/>
        <color theme="1"/>
        <rFont val="Arial Narrow"/>
      </rPr>
      <t xml:space="preserve"> Organizar el Archivo intermedio.</t>
    </r>
  </si>
  <si>
    <t>N° de documentos archivados.</t>
  </si>
  <si>
    <t>1.- Consolidar cronológicamente las comunicaciones.
2.- Archivar la documentación.
3.- Realizar el seguimiento y control del archivo.
4.- Clasificar, organizar y archivar de manera cronológica y numérica el archivo histórico.</t>
  </si>
  <si>
    <t>1.- Inventario documental Secretaria-Archivo (formato excel drive).</t>
  </si>
  <si>
    <t>El cumplimiento de esta meta está sujeto a la provisión del material que se necesita.</t>
  </si>
  <si>
    <t>ADMINISTRACIÓN DE EMPRESAS</t>
  </si>
  <si>
    <r>
      <rPr>
        <b/>
        <sz val="10"/>
        <color rgb="FFFF0000"/>
        <rFont val="Arial Narrow"/>
      </rPr>
      <t>METAS OPERATIVAS</t>
    </r>
    <r>
      <rPr>
        <b/>
        <sz val="9"/>
        <color theme="1"/>
        <rFont val="Century Schoolbook"/>
      </rPr>
      <t xml:space="preserve">
1.- </t>
    </r>
    <r>
      <rPr>
        <sz val="10"/>
        <color theme="1"/>
        <rFont val="Arial Narrow"/>
      </rPr>
      <t>Conformar la Comisión Académica.</t>
    </r>
  </si>
  <si>
    <t>N° de Reuniones asistidas de Comisión Académica.</t>
  </si>
  <si>
    <t>1.- Conformar y participar en las sesiones de Comisiones Académicas convocadas por el Subdecano de la Facultad.</t>
  </si>
  <si>
    <t>1.- Registro de Convocatoria a Comisión Académica.</t>
  </si>
  <si>
    <t>Ing. Lina Sanchez Cabrera</t>
  </si>
  <si>
    <r>
      <rPr>
        <b/>
        <sz val="9"/>
        <color theme="1"/>
        <rFont val="Century Schoolbook"/>
      </rPr>
      <t>2.-</t>
    </r>
    <r>
      <rPr>
        <sz val="10"/>
        <color theme="1"/>
        <rFont val="Arial Narrow"/>
      </rPr>
      <t xml:space="preserve"> Presidir las sesiones de Comité de Evaluación Interna de Carrera.</t>
    </r>
  </si>
  <si>
    <t>N° de Reuniones elaboradas del Comité de Evaluación Interna.</t>
  </si>
  <si>
    <t>1.- Convocar y Presidir las sesiones de Evaluación Interna de la Carrera.</t>
  </si>
  <si>
    <t>1.- Reportes de las convocatorias.
2.- Registro de Asistencias.</t>
  </si>
  <si>
    <t>Ing. Liana Sanchez Cabrera
Ing. Edith Rogel Gutierrez
Ing. Marcia Jarrin Salcan
Ing. Vinicio Mora Sánchez
Ing.Cecibel Espinoza Carrión
Ing. Lewis Chimarro Chipantiza
Ing. Ronald garcés Quilambaqui
Ing. Ivan Jaya Pineda
Ing. Jhon Burgos Burgos</t>
  </si>
  <si>
    <t>Los nombres de los Responsables del comité de evaluación Interna, variarán de acuerdo a la Resolución de Designación de Consejo Directivo.</t>
  </si>
  <si>
    <r>
      <rPr>
        <b/>
        <sz val="9"/>
        <color theme="1"/>
        <rFont val="Century Schoolbook"/>
      </rPr>
      <t>3.-</t>
    </r>
    <r>
      <rPr>
        <sz val="10"/>
        <color theme="1"/>
        <rFont val="Arial Narrow"/>
      </rPr>
      <t xml:space="preserve"> Proponer el Terna del personal académico y estudiantil que integrará el Comité de Evaluación Interna de Carrera.</t>
    </r>
  </si>
  <si>
    <t>N° de Oficios aprobados de la Comisión Académica.</t>
  </si>
  <si>
    <t>1.- Proponer a Comisión Académica la Terna del personal académico y estudiantil que integrará el Comité de Evaluación Interna de Carrera.</t>
  </si>
  <si>
    <t>1.- Resoluciones de designación de la Terna del personal académico y estudiantil que integrará el Comité de Evaluación Interna de Carrera.</t>
  </si>
  <si>
    <t>Ing. Liana Sanchez Cabrera</t>
  </si>
  <si>
    <t>El cumplimiento efectivo de las actividades planificadas en los cuatrimestres dependen de la planificación del calendario académico institucional</t>
  </si>
  <si>
    <r>
      <rPr>
        <b/>
        <sz val="9"/>
        <color theme="1"/>
        <rFont val="Century Schoolbook"/>
      </rPr>
      <t>4.-</t>
    </r>
    <r>
      <rPr>
        <sz val="10"/>
        <color theme="1"/>
        <rFont val="Arial Narrow"/>
      </rPr>
      <t xml:space="preserve"> Designar a los responsables de colectivos académicos de Titulación, Evaluación y Acreditación de la Calidad, Prácticas Preprofesionales
o laborales, y servicio comunitario.</t>
    </r>
  </si>
  <si>
    <t>Responsables de colectivos académicos de carrera: de Titulación, Evaluación y Acreditación de la Calidad, Prácticas Pre-Profesionales
laborales, y servicio comunitario, realizado.</t>
  </si>
  <si>
    <t>N° de Oficios aprobados de  la Comisión Académica.</t>
  </si>
  <si>
    <t>1.- Establecer y sugerir los responsables de colectivos académicos de carrera: de Titulación, Evaluación y Acreditación de la Calidad, Prácticas Pre-Profesionales
laborales, y servicio comunitario.</t>
  </si>
  <si>
    <t>1.- Resolución de designación los responsables de colectivos académicos de carrera: de Titulación, Evaluación y Acreditación de la Calidad, Prácticas Pre-Profesionales
laborales, y servicio comunitario.</t>
  </si>
  <si>
    <t xml:space="preserve">Ing. Liana Sanchez Cabrera
</t>
  </si>
  <si>
    <t>Los nombres de los Responsables de los Colectivos de la Carrera, variarán de acuerdo a la Resolución de Designación de Consejo Directivo.</t>
  </si>
  <si>
    <t>6. Desarrollar un sistema de incentivos para incrementar la competitividad de grupos y semilleros de investigación.</t>
  </si>
  <si>
    <r>
      <rPr>
        <b/>
        <sz val="9"/>
        <color theme="1"/>
        <rFont val="Century Schoolbook"/>
      </rPr>
      <t>5.-</t>
    </r>
    <r>
      <rPr>
        <b/>
        <sz val="9"/>
        <color theme="1"/>
        <rFont val="Arial"/>
      </rPr>
      <t xml:space="preserve"> </t>
    </r>
    <r>
      <rPr>
        <sz val="9"/>
        <color theme="1"/>
        <rFont val="Arial Narrow"/>
      </rPr>
      <t>Ejecutar</t>
    </r>
    <r>
      <rPr>
        <sz val="10"/>
        <color theme="1"/>
        <rFont val="Arial Narrow"/>
      </rPr>
      <t xml:space="preserve"> los procesos que garantizan el cumplimiento de las funciones sustantivas de la educación superior:docencia, investigación y vinculación en la facultad que dirige; ejecutados.</t>
    </r>
  </si>
  <si>
    <t xml:space="preserve">N° de informes realizados  de investigación y vinculación. </t>
  </si>
  <si>
    <t>1.- Asignar horas de Docencia, investigación y vinculación y en el distributivo académico.
2.- Verificar el cumplimiento de los resultados de la Investigación y vinculación.</t>
  </si>
  <si>
    <t>1.- Reportes de cumplimiento de vinculación e investigación.</t>
  </si>
  <si>
    <t>El cumplimiento efectivo de las actividades planificadas en los cuatrimestres dependen de la planificación del calendario académico institucional
DPLAN: La necesidad y egreso de la partida 530204 que forma parte de este producto, con u. valor de $11.000,00 (sin IVA), pasa a formar parte del POA 2023 DIDI, en virtud de la gestión de Biblioteca General.</t>
  </si>
  <si>
    <r>
      <rPr>
        <b/>
        <sz val="9"/>
        <color theme="1"/>
        <rFont val="Century Schoolbook"/>
      </rPr>
      <t>6.-</t>
    </r>
    <r>
      <rPr>
        <sz val="10"/>
        <color theme="1"/>
        <rFont val="Arial Narrow"/>
      </rPr>
      <t xml:space="preserve"> Asistir Sesiones de trabajo convocadas por las Autoridades correspondientes.</t>
    </r>
  </si>
  <si>
    <t>Sesiones de trabajo convocadas por las Autoridades correspondientes,
sesionado.</t>
  </si>
  <si>
    <t>N° de Sesiones asistidas para gestionar mejoras en la academia.</t>
  </si>
  <si>
    <t>1.- Participar en las sesiones de trabajo convocadas por las autoridades correspondientes.</t>
  </si>
  <si>
    <t>1.- Registros de Convocatorias a Sesiones de trabajo emitidas por las Autoridades correspondientes, sesionado.</t>
  </si>
  <si>
    <t>Ing. Liana Sanchez Cabrera
Comité interno de la carrera</t>
  </si>
  <si>
    <r>
      <rPr>
        <b/>
        <sz val="9"/>
        <color theme="1"/>
        <rFont val="Century Schoolbook"/>
      </rPr>
      <t xml:space="preserve">7.- </t>
    </r>
    <r>
      <rPr>
        <sz val="10"/>
        <color theme="1"/>
        <rFont val="Arial Narrow"/>
      </rPr>
      <t>Informar las irregularidades, inconformidades y/ o polémicas surgidas en el ambiente académico de su carrera.</t>
    </r>
  </si>
  <si>
    <t>Irregularidades, inconformidades y/ o polémicas surgidas en el
ambiente académico de su carrera, informadas.</t>
  </si>
  <si>
    <t>N° de las peticiones presentadas, ante los organismos correspondientes.</t>
  </si>
  <si>
    <t>1.- Reporte de los informes de las irregularidades, inconformidades y/o polémicas surgidas en el ambiente académico de la carrera.</t>
  </si>
  <si>
    <t>1.- Informes de las irregularidades, inconformidades y/o polémicas surgidas en el ambiente académico de la carrera.</t>
  </si>
  <si>
    <r>
      <rPr>
        <b/>
        <sz val="9"/>
        <color theme="1"/>
        <rFont val="Century Schoolbook"/>
      </rPr>
      <t>8.-</t>
    </r>
    <r>
      <rPr>
        <sz val="10"/>
        <color theme="1"/>
        <rFont val="Arial Narrow"/>
      </rPr>
      <t xml:space="preserve"> Elaborar el Distributivo académico de su carrera.</t>
    </r>
  </si>
  <si>
    <t>N° de Distributivos y horarios elaborados.</t>
  </si>
  <si>
    <t>1.- Elaborar Distributivo, de acuerdo a las directrices emitidas por el Consejo Universitario.</t>
  </si>
  <si>
    <t>1.- Resolución de Distributivo académico Aprobado.</t>
  </si>
  <si>
    <r>
      <rPr>
        <b/>
        <sz val="9"/>
        <color theme="1"/>
        <rFont val="Century Schoolbook"/>
      </rPr>
      <t>9.-</t>
    </r>
    <r>
      <rPr>
        <sz val="10"/>
        <color theme="1"/>
        <rFont val="Arial Narrow"/>
      </rPr>
      <t xml:space="preserve"> Organizar y convocar a reuniones periódicas del personal académico.</t>
    </r>
  </si>
  <si>
    <t>N° de Sesiones realizadas al interior de la Carrera con el claustro Docente.</t>
  </si>
  <si>
    <t>1.- Convocar y presidir las sesiones con el personal académico.</t>
  </si>
  <si>
    <t>1.- Actas de reuniones con el claustro docente.</t>
  </si>
  <si>
    <t>Ing. Liana Sanchez Cabrera
Ing. Edith Rogel Gutierrez</t>
  </si>
  <si>
    <r>
      <rPr>
        <b/>
        <sz val="9"/>
        <color theme="1"/>
        <rFont val="Century Schoolbook"/>
      </rPr>
      <t>10.-</t>
    </r>
    <r>
      <rPr>
        <sz val="10"/>
        <color theme="1"/>
        <rFont val="Arial Narrow"/>
      </rPr>
      <t xml:space="preserve"> Gestionar la organización del sistema de tutorías del proceso enseñanza- aprendizaje de la carrera.</t>
    </r>
  </si>
  <si>
    <t>Sistema de tutorías del proceso enseñanza- aprendizaje de la carrera; gestionado.</t>
  </si>
  <si>
    <t>N° de Verificación de avances realizados y de cumplimiento de Tutorías.</t>
  </si>
  <si>
    <t>1.- Elaborar la planificación de tutorías del proceso enseñanza - aprendizaje de la carrera.</t>
  </si>
  <si>
    <t>1.- Planificaciones de tutorías aprobados por Consejo Universitario.</t>
  </si>
  <si>
    <t xml:space="preserve">Ing. Liana Sanchez Cabrera
Docente responsable de tutorías </t>
  </si>
  <si>
    <r>
      <rPr>
        <b/>
        <sz val="9"/>
        <color theme="1"/>
        <rFont val="Century Schoolbook"/>
      </rPr>
      <t>11.-</t>
    </r>
    <r>
      <rPr>
        <sz val="10"/>
        <color theme="1"/>
        <rFont val="Arial Narrow"/>
      </rPr>
      <t xml:space="preserve"> Asesorar al Claustro docente sobre el plan de estudio de la carrera.</t>
    </r>
  </si>
  <si>
    <t>N° de Planificaciones académicas elaboradas.</t>
  </si>
  <si>
    <t>1.- Brindar asesoría para la elaboración y/o actualización de los planes de estudio de la carrera.</t>
  </si>
  <si>
    <t>1.- Registro de reunión de asesoría.</t>
  </si>
  <si>
    <t>Ing. Liana Sanchez Cabrera
Comisión interna de la Carrera</t>
  </si>
  <si>
    <r>
      <rPr>
        <b/>
        <sz val="9"/>
        <color theme="1"/>
        <rFont val="Century Schoolbook"/>
      </rPr>
      <t>12.-</t>
    </r>
    <r>
      <rPr>
        <sz val="10"/>
        <color theme="1"/>
        <rFont val="Arial Narrow"/>
      </rPr>
      <t xml:space="preserve"> Visitar aulas de clase con fines formativos y de asesoramiento.</t>
    </r>
  </si>
  <si>
    <t>N° de visitas realizadas a las aulas de clase con fines formativos y de asesoramiento.</t>
  </si>
  <si>
    <t>1.- Realizar las visitas en las aulas de clase con fines formativos y de asesoramiento de acuerdo a la Resolución 263 del año 2018.</t>
  </si>
  <si>
    <t>1.- Registros de visitas en las Aulas de clase.</t>
  </si>
  <si>
    <r>
      <rPr>
        <b/>
        <sz val="9"/>
        <color theme="1"/>
        <rFont val="Century Schoolbook"/>
      </rPr>
      <t>13.-</t>
    </r>
    <r>
      <rPr>
        <sz val="10"/>
        <color theme="1"/>
        <rFont val="Arial Narrow"/>
      </rPr>
      <t xml:space="preserve"> Participar en actividades relacionadas con diseño curricular de la carrera.</t>
    </r>
  </si>
  <si>
    <t>Actividades relacionadas con diseño curricular de la carrera;
gestionadas.</t>
  </si>
  <si>
    <t>N° de actividades realizadas con el diseño curricular de la carrera.</t>
  </si>
  <si>
    <t>1.- Gestionar con los docentes las actividades relacionadas con el diseño curricular de la carrera.</t>
  </si>
  <si>
    <t>1.- Reportes entregados de syllabus.
2.- Reportes entregados de Guías de Estudio.</t>
  </si>
  <si>
    <r>
      <rPr>
        <b/>
        <sz val="9"/>
        <color theme="1"/>
        <rFont val="Century Schoolbook"/>
      </rPr>
      <t>14.-</t>
    </r>
    <r>
      <rPr>
        <sz val="10"/>
        <color theme="1"/>
        <rFont val="Arial Narrow"/>
      </rPr>
      <t xml:space="preserve"> Supervisar la entrega de actas de calificaciones parciales y/ o finales de las asignaturas.</t>
    </r>
  </si>
  <si>
    <t>Entrega de actas de calificaciones parciales y/ o finales de las asignaturas; efectuado.</t>
  </si>
  <si>
    <t>N° de reportes de actas de calificaciones entregados.</t>
  </si>
  <si>
    <t>1.- Gestionar la entrega oportuna de entrega de actas de calificaciones parciales y/o finales de las asignaturas.</t>
  </si>
  <si>
    <t>1.- Reportes de entrega de Actas, Calificaciones.</t>
  </si>
  <si>
    <t>TOTAL PRESUPUESTO ESTIMATIVO DE ADMINISTRACIÓN DE EMPRESAS 2023:</t>
  </si>
  <si>
    <t>COMERCIO EXTERIOR</t>
  </si>
  <si>
    <r>
      <rPr>
        <b/>
        <sz val="10"/>
        <color rgb="FFFF0000"/>
        <rFont val="Arial Narrow"/>
      </rPr>
      <t>METAS OPERATIVAS</t>
    </r>
    <r>
      <rPr>
        <b/>
        <sz val="9"/>
        <color theme="1"/>
        <rFont val="Century Schoolbook"/>
      </rPr>
      <t xml:space="preserve">
1.- </t>
    </r>
    <r>
      <rPr>
        <sz val="10"/>
        <color theme="1"/>
        <rFont val="Arial Narrow"/>
      </rPr>
      <t>Conformar la Comisión Académica.</t>
    </r>
  </si>
  <si>
    <t>N° de Reuniones de Comisión Académica convocadas.</t>
  </si>
  <si>
    <t>Ing. Sandra Solórzano Solórzano
Coordinadora de Carrera</t>
  </si>
  <si>
    <r>
      <rPr>
        <b/>
        <sz val="9"/>
        <color theme="1"/>
        <rFont val="Century Schoolbook"/>
      </rPr>
      <t>2.-</t>
    </r>
    <r>
      <rPr>
        <sz val="10"/>
        <color theme="1"/>
        <rFont val="Arial Narrow"/>
      </rPr>
      <t xml:space="preserve"> Presidir las sesiones de Comité de Evaluación Interna de Carrera.</t>
    </r>
  </si>
  <si>
    <t>N° de Reuniones de Comité de Evaluación Interna convocados.</t>
  </si>
  <si>
    <t>1.- Reporte de las convocatorias y Registro de Asistencias.</t>
  </si>
  <si>
    <r>
      <rPr>
        <b/>
        <sz val="9"/>
        <color theme="1"/>
        <rFont val="Century Schoolbook"/>
      </rPr>
      <t>3.-</t>
    </r>
    <r>
      <rPr>
        <sz val="10"/>
        <color theme="1"/>
        <rFont val="Arial Narrow"/>
      </rPr>
      <t xml:space="preserve"> Proponer la Terna del personal académico y estudiantil que integrará el Comité de Evaluación Interna de Carrera.</t>
    </r>
  </si>
  <si>
    <t>N° de Oficio de la coordinación de carrera de la terna propuesta realizada.</t>
  </si>
  <si>
    <r>
      <rPr>
        <b/>
        <sz val="9"/>
        <color theme="1"/>
        <rFont val="Century Schoolbook"/>
      </rPr>
      <t>4.-</t>
    </r>
    <r>
      <rPr>
        <sz val="10"/>
        <color theme="1"/>
        <rFont val="Arial Narrow"/>
      </rPr>
      <t xml:space="preserve"> Designar a los responsables de colectivos académicos de Titulación, Evaluación y Acreditación de la Calidad, Prácticas Preprofesionales
o laborales, y servicio comunitario.</t>
    </r>
  </si>
  <si>
    <t>Responsables de colectivos académicos de carrera: Titulación, Evaluación y Acreditación de la Calidad, Prácticas Preprofesionales o laborales, y servicio comunitario, realizado.</t>
  </si>
  <si>
    <t>N° de Oficio de la coordinación de carrera de la propuesta realizada.</t>
  </si>
  <si>
    <t>1.- Establecer y sugerir los responsables de colectivos académicos de Titulación, Evaluación y Acreditación de la Calidad, Prácticas Preprofesionales o laborales, y servicio comunitario.</t>
  </si>
  <si>
    <t>1.- Resolución de designación los responsables de colectivos académicos de Titulación, Evaluación y Acreditación de la Calidad, Prácticas Preprofesionales o laborales, y servicio comunitario.</t>
  </si>
  <si>
    <r>
      <rPr>
        <b/>
        <sz val="9"/>
        <color theme="1"/>
        <rFont val="Century Schoolbook"/>
      </rPr>
      <t>5.-</t>
    </r>
    <r>
      <rPr>
        <b/>
        <sz val="9"/>
        <color theme="1"/>
        <rFont val="Arial"/>
      </rPr>
      <t xml:space="preserve"> </t>
    </r>
    <r>
      <rPr>
        <sz val="10"/>
        <color theme="1"/>
        <rFont val="Arial Narrow"/>
      </rPr>
      <t xml:space="preserve">Ejecutar los procesos que garantizan el cumplimiento de las funciones sustantivas de la educación superior: docencia, investigación en la facultad que dirige; ejecutados. </t>
    </r>
  </si>
  <si>
    <t>N° de informes de investigación presentados.</t>
  </si>
  <si>
    <t>1.- Asignar horas de Docencia, investigación y vinculación en el distributivo académico.
2.- Verificar el cumplimiento de los resultados de la Investigación.</t>
  </si>
  <si>
    <t>1.- Reportes de los Informes.</t>
  </si>
  <si>
    <r>
      <rPr>
        <b/>
        <sz val="9"/>
        <color theme="1"/>
        <rFont val="Century Schoolbook"/>
      </rPr>
      <t>6.-</t>
    </r>
    <r>
      <rPr>
        <sz val="10"/>
        <color theme="1"/>
        <rFont val="Arial Narrow"/>
      </rPr>
      <t xml:space="preserve"> Asistir Sesiones de trabajo convocadas por las Autoridades correspondientes.</t>
    </r>
  </si>
  <si>
    <t>N° de Sesiones para gestionar mejoras en la academia, convocadas.</t>
  </si>
  <si>
    <t>1.- Convocatorias asistidas.</t>
  </si>
  <si>
    <r>
      <rPr>
        <b/>
        <sz val="9"/>
        <color theme="1"/>
        <rFont val="Century Schoolbook"/>
      </rPr>
      <t xml:space="preserve">7.- </t>
    </r>
    <r>
      <rPr>
        <sz val="10"/>
        <color theme="1"/>
        <rFont val="Arial Narrow"/>
      </rPr>
      <t>Informar las irregularidades, inconformidades y/ o polémicas surgidas en el ambiente académico de su carrera.</t>
    </r>
  </si>
  <si>
    <t>N° de las peticiones, ante los organismos correspondientes, presentadas.</t>
  </si>
  <si>
    <t>1.- Presentar los informes de las irregularidades, inconformidades y/o polémicas surgidas en el ambiente académico de la carrera.</t>
  </si>
  <si>
    <t>1.- Reportes de los Informes de irregularidades surgidas en el ambiente académico.</t>
  </si>
  <si>
    <r>
      <rPr>
        <b/>
        <sz val="9"/>
        <color theme="1"/>
        <rFont val="Century Schoolbook"/>
      </rPr>
      <t>8.-</t>
    </r>
    <r>
      <rPr>
        <sz val="10"/>
        <color theme="1"/>
        <rFont val="Arial Narrow"/>
      </rPr>
      <t xml:space="preserve"> Elaborar el Distributivo académico de su carrera.</t>
    </r>
  </si>
  <si>
    <r>
      <rPr>
        <b/>
        <sz val="9"/>
        <color theme="1"/>
        <rFont val="Century Schoolbook"/>
      </rPr>
      <t>9.-</t>
    </r>
    <r>
      <rPr>
        <sz val="10"/>
        <color theme="1"/>
        <rFont val="Arial Narrow"/>
      </rPr>
      <t xml:space="preserve"> Organizar y convocar a reuniones periódicas del personal académico.</t>
    </r>
  </si>
  <si>
    <t>N° de reuniones con el claustro Docente de la carrera, ejecutadas.</t>
  </si>
  <si>
    <r>
      <rPr>
        <b/>
        <sz val="9"/>
        <color theme="1"/>
        <rFont val="Century Schoolbook"/>
      </rPr>
      <t>10.-</t>
    </r>
    <r>
      <rPr>
        <sz val="10"/>
        <color theme="1"/>
        <rFont val="Arial Narrow"/>
      </rPr>
      <t xml:space="preserve"> Gestionar la organización del sistema de tutorías del proceso enseñanza- aprendizaje de la carrera.</t>
    </r>
  </si>
  <si>
    <t>N° de Verificación de avances y de cumplimiento de Tutorías, organizadas.</t>
  </si>
  <si>
    <t>1.- Informes de tutorías de acuerdo a los lineamientos aprobados por el Consejo Universitario.</t>
  </si>
  <si>
    <r>
      <rPr>
        <b/>
        <sz val="9"/>
        <color theme="1"/>
        <rFont val="Century Schoolbook"/>
      </rPr>
      <t>11.-</t>
    </r>
    <r>
      <rPr>
        <sz val="10"/>
        <color theme="1"/>
        <rFont val="Arial Narrow"/>
      </rPr>
      <t xml:space="preserve"> Asesorar al Claustro docente sobre el plan de estudio de la carrera.</t>
    </r>
  </si>
  <si>
    <r>
      <rPr>
        <b/>
        <sz val="9"/>
        <color theme="1"/>
        <rFont val="Century Schoolbook"/>
      </rPr>
      <t>12.-</t>
    </r>
    <r>
      <rPr>
        <sz val="10"/>
        <color theme="1"/>
        <rFont val="Arial Narrow"/>
      </rPr>
      <t xml:space="preserve"> Visitar aulas de clase con fines formativos y de asesoramiento.</t>
    </r>
  </si>
  <si>
    <t>N° de Clases con Fines formativos y de asesoramiento.</t>
  </si>
  <si>
    <t>1.- Brindar la asesoría de las visitas en las aulas de clase con fines formativos y de asesoramiento de acuerdo a la Resolución 263 del año 2018.</t>
  </si>
  <si>
    <t>1.- Registro de visitas en las Aulas de clase con fines formativos y de asesoramiento.</t>
  </si>
  <si>
    <r>
      <rPr>
        <b/>
        <sz val="9"/>
        <color theme="1"/>
        <rFont val="Century Schoolbook"/>
      </rPr>
      <t>13.-</t>
    </r>
    <r>
      <rPr>
        <sz val="10"/>
        <color theme="1"/>
        <rFont val="Arial Narrow"/>
      </rPr>
      <t xml:space="preserve"> Participar en actividades relacionadas con diseño curricular de la carrera.</t>
    </r>
  </si>
  <si>
    <t>N° de actividades relacionadas con diseño curricular de la carrera, realizadas.</t>
  </si>
  <si>
    <t>1.- Reporte entrega de syllabus.
2.- Reporte entrega de avances académicos.</t>
  </si>
  <si>
    <r>
      <rPr>
        <b/>
        <sz val="9"/>
        <color theme="1"/>
        <rFont val="Century Schoolbook"/>
      </rPr>
      <t>14.-</t>
    </r>
    <r>
      <rPr>
        <sz val="10"/>
        <color theme="1"/>
        <rFont val="Arial Narrow"/>
      </rPr>
      <t xml:space="preserve"> Supervisar la entrega de actas de calificaciones parciales y/ o finales de las asignaturas.</t>
    </r>
  </si>
  <si>
    <t>N° de reportes de actas de calificaciones, entregados.</t>
  </si>
  <si>
    <t>1.- Reportes de entrega de Actas, calificaciones parciales y/o finales de las asignaturas.</t>
  </si>
  <si>
    <t>TOTAL DEL PRESUPUESTO ESTIMADO DE COMERCIO EXTERIOR:</t>
  </si>
  <si>
    <t>CONTABILIDAD Y AUDITORÍA</t>
  </si>
  <si>
    <r>
      <rPr>
        <b/>
        <sz val="10"/>
        <color rgb="FFFF0000"/>
        <rFont val="Arial Narrow"/>
      </rPr>
      <t>METAS OPERATIVAS</t>
    </r>
    <r>
      <rPr>
        <b/>
        <sz val="9"/>
        <color theme="1"/>
        <rFont val="Century Schoolbook"/>
      </rPr>
      <t xml:space="preserve">
1.- </t>
    </r>
    <r>
      <rPr>
        <sz val="10"/>
        <color theme="1"/>
        <rFont val="Arial Narrow"/>
      </rPr>
      <t>Conformar la Comisión Académica.</t>
    </r>
  </si>
  <si>
    <t>N° de Reuniones de Comisión Académica, conformadas.</t>
  </si>
  <si>
    <t>Ing. Gonzalo Chávez Cruz
   Coordinador de la Carrera</t>
  </si>
  <si>
    <r>
      <rPr>
        <b/>
        <sz val="9"/>
        <color theme="1"/>
        <rFont val="Century Schoolbook"/>
      </rPr>
      <t>2.-</t>
    </r>
    <r>
      <rPr>
        <sz val="10"/>
        <color theme="1"/>
        <rFont val="Arial Narrow"/>
      </rPr>
      <t xml:space="preserve"> Presidir las sesiones de Comité de Evaluación Interna de Carrera.</t>
    </r>
  </si>
  <si>
    <t>N° de Reuniones de Comité de Evaluación Interna, ejecutadas.</t>
  </si>
  <si>
    <t>1.- Reporte de las convocatorias.
2.- Registro de Asistencias.</t>
  </si>
  <si>
    <t>Ing. Gonzalo Chávez Cruz
       Coordinador de la Carrera
Ing. Anita Maribel Ramirez Blacio
      Docente Contratada
Ing. Ronny Leonardo Olaya Cum
      Docente Titular
Armijos Alvarado Angie Antonella 
      Representante Estudiantes</t>
  </si>
  <si>
    <r>
      <rPr>
        <b/>
        <sz val="9"/>
        <color theme="1"/>
        <rFont val="Century Schoolbook"/>
      </rPr>
      <t>3.-</t>
    </r>
    <r>
      <rPr>
        <sz val="10"/>
        <color theme="1"/>
        <rFont val="Arial Narrow"/>
      </rPr>
      <t xml:space="preserve"> Proponer la Terna del personal académico y estudiantil que integrará el Comité de Evaluación Interna de Carrera.</t>
    </r>
  </si>
  <si>
    <t>N° de Oficio a la Comisión Académica, gestionadas.</t>
  </si>
  <si>
    <t>1.- Resoluciones de designación del Comité de Evaluación Interna de Carrera.</t>
  </si>
  <si>
    <t>Ing. Gonzalo Chávez Cruz
 Coordinador de la Carrera</t>
  </si>
  <si>
    <r>
      <rPr>
        <b/>
        <sz val="9"/>
        <color theme="1"/>
        <rFont val="Century Schoolbook"/>
      </rPr>
      <t>4.-</t>
    </r>
    <r>
      <rPr>
        <sz val="10"/>
        <color theme="1"/>
        <rFont val="Arial Narrow"/>
      </rPr>
      <t xml:space="preserve"> Designar a los responsables de colectivos académicos de Evaluación y Acreditación de la Calidad Ó Prácticas laborales, y servicio comunitario.</t>
    </r>
  </si>
  <si>
    <t>Responsables de colectivos académicos de carrera: Titulación, Evaluación y Acreditación de la Calidad, Prácticas Pre-Profesionales laborales, y servicio comunitario, realizado.</t>
  </si>
  <si>
    <t>N° de Oficio a la Comisión Académica, realizadas.</t>
  </si>
  <si>
    <t>1.- Establecer y sugerir los responsables de colectivos académicos de Evaluación y Acreditación de la Calidad Ó Prácticas laborales, y servicio comunitario.</t>
  </si>
  <si>
    <t>1.- Resolución de designación los responsables de colectivos académicos de Evaluación y Acreditación de la Calidad Ó Prácticas laborales, y servicio comunitario.</t>
  </si>
  <si>
    <t xml:space="preserve">Ing. Gonzalo Chávez Cruz
 Coordinador de la Carrera
Ing. Alexander Herrera
Docente Titular
Econ. Néstor Gutiérrez
Docente Titular
Dra. Leny Capa
Docente Contratada
Ing. José Maza
Docente Titular
</t>
  </si>
  <si>
    <t>N° de Planificación del Semestre de los distintos criterios (Se designan 10 responsables para el cumplimiento del criterio de Evaluación), ejecutadas.</t>
  </si>
  <si>
    <t>1.- Asignar horas de Docencia, investigación y Vinculación con la Sociedad en el distributivo académico.
2.- Revisar el cumplimiento de los resultados de la Investigación y Vinculación.</t>
  </si>
  <si>
    <t>1.- Matriz Carga de Información de la Evaluación Interna.</t>
  </si>
  <si>
    <r>
      <rPr>
        <b/>
        <sz val="9"/>
        <color theme="1"/>
        <rFont val="Century Schoolbook"/>
      </rPr>
      <t xml:space="preserve">5.- </t>
    </r>
    <r>
      <rPr>
        <sz val="10"/>
        <color theme="1"/>
        <rFont val="Arial Narrow"/>
      </rPr>
      <t>Ejecutar los procesos que garantizan el cumplimiento de las funciones sustantivas de la educación superior: docencia, investigación y vinculación en la facultad que dirige.</t>
    </r>
  </si>
  <si>
    <t>Ing. Gonzalo Chávez Cruz
Coordinador de la Carrera</t>
  </si>
  <si>
    <t>El cumplimiento efectivo de las actividades planificadas en los cuatrimestres dependen de la planificación del calendario académico institucional
Los Equipos, sistemas y paquetes informáticos considerados en esta actividad son requeridos para vinculación e investigación.</t>
  </si>
  <si>
    <r>
      <rPr>
        <b/>
        <sz val="9"/>
        <color theme="1"/>
        <rFont val="Century Schoolbook"/>
      </rPr>
      <t>6.-</t>
    </r>
    <r>
      <rPr>
        <sz val="10"/>
        <color theme="1"/>
        <rFont val="Arial Narrow"/>
      </rPr>
      <t xml:space="preserve"> Asistir Sesiones de trabajo convocadas por las Autoridades correspondientes.</t>
    </r>
  </si>
  <si>
    <t>N° de Sesiones para gestionar mejoras en la academia, sesionadas.</t>
  </si>
  <si>
    <t>1.- Reporte del Registro de Asistencia a las reuniones convocadas por las autoridades competentes.</t>
  </si>
  <si>
    <t>Ing. Gonzalo Chávez Cruz
Coordinador de la Carrera
Comité Interno de la Carrera</t>
  </si>
  <si>
    <r>
      <rPr>
        <b/>
        <sz val="9"/>
        <color theme="1"/>
        <rFont val="Century Schoolbook"/>
      </rPr>
      <t xml:space="preserve">7.- </t>
    </r>
    <r>
      <rPr>
        <sz val="10"/>
        <color theme="1"/>
        <rFont val="Arial Narrow"/>
      </rPr>
      <t>Informar las irregularidades, inconformidades y/ o polémicas surgidas en el ambiente académico de su carrera.</t>
    </r>
  </si>
  <si>
    <t>N° de las peticiones, ante los organismos correspondientes, informadas.</t>
  </si>
  <si>
    <t>1.- Elaborar informes de las irregularidades, inconformidades y/o polémicas surgidas en el ambiente académico de la carrera.</t>
  </si>
  <si>
    <t>1.- Reportes de los Informes de las irregularidades, inconformidades y/o polémicas surgidas en el ambiente académico de la carrera.</t>
  </si>
  <si>
    <r>
      <rPr>
        <b/>
        <sz val="9"/>
        <color theme="1"/>
        <rFont val="Century Schoolbook"/>
      </rPr>
      <t>8.-</t>
    </r>
    <r>
      <rPr>
        <sz val="10"/>
        <color theme="1"/>
        <rFont val="Arial Narrow"/>
      </rPr>
      <t xml:space="preserve"> Elaborar el Distributivo académico de su carrera.</t>
    </r>
  </si>
  <si>
    <t>N° de Distributivos y horarios, elaborados.</t>
  </si>
  <si>
    <r>
      <rPr>
        <b/>
        <sz val="9"/>
        <color theme="1"/>
        <rFont val="Century Schoolbook"/>
      </rPr>
      <t>9.-</t>
    </r>
    <r>
      <rPr>
        <sz val="10"/>
        <color theme="1"/>
        <rFont val="Arial Narrow"/>
      </rPr>
      <t xml:space="preserve"> Organizar y convocar a reuniones periódicas del personal académico.</t>
    </r>
  </si>
  <si>
    <t>N° de Sesiones al interior de la Carrera con el claustro Docente (Debate), gestionadas.</t>
  </si>
  <si>
    <t>1.- Actas de cada Debate.</t>
  </si>
  <si>
    <r>
      <rPr>
        <b/>
        <sz val="9"/>
        <color theme="1"/>
        <rFont val="Century Schoolbook"/>
      </rPr>
      <t>10.-</t>
    </r>
    <r>
      <rPr>
        <sz val="10"/>
        <color theme="1"/>
        <rFont val="Arial Narrow"/>
      </rPr>
      <t xml:space="preserve"> Gestionar la organización del sistema de tutorías del proceso enseñanza- aprendizaje de la carrera.</t>
    </r>
  </si>
  <si>
    <t>N° de Verificación de avances y de cumplimiento de Tutorías, gestionado.</t>
  </si>
  <si>
    <r>
      <rPr>
        <b/>
        <sz val="9"/>
        <color theme="1"/>
        <rFont val="Century Schoolbook"/>
      </rPr>
      <t>11.-</t>
    </r>
    <r>
      <rPr>
        <sz val="10"/>
        <color theme="1"/>
        <rFont val="Arial Narrow"/>
      </rPr>
      <t xml:space="preserve"> Asesorar al Claustro docente sobre el plan de estudio de la carrera.</t>
    </r>
  </si>
  <si>
    <t>Ing. Gonzalo Chávez Cruz
 Coordinador de la Carrera
Dra. Leny Capa
 Docente Contratada</t>
  </si>
  <si>
    <r>
      <rPr>
        <b/>
        <sz val="9"/>
        <color theme="1"/>
        <rFont val="Century Schoolbook"/>
      </rPr>
      <t>12.-</t>
    </r>
    <r>
      <rPr>
        <sz val="10"/>
        <color theme="1"/>
        <rFont val="Arial Narrow"/>
      </rPr>
      <t xml:space="preserve"> Visitar aulas de clase con fines formativos y de asesoramiento.</t>
    </r>
  </si>
  <si>
    <t>N° de visitas realizadas a las aulas de clase con fines formativos y de asesoramiento, realizadas.</t>
  </si>
  <si>
    <t>1.- Elaborar las visitas en las aulas de clase con fines formativos y de asesoramiento de acuerdo a la Resolución 263 del año 2018.</t>
  </si>
  <si>
    <r>
      <rPr>
        <b/>
        <sz val="9"/>
        <color theme="1"/>
        <rFont val="Century Schoolbook"/>
      </rPr>
      <t>13.-</t>
    </r>
    <r>
      <rPr>
        <sz val="10"/>
        <color theme="1"/>
        <rFont val="Arial Narrow"/>
      </rPr>
      <t xml:space="preserve"> Participar en actividades relacionadas con diseño curricular de la carrera.</t>
    </r>
  </si>
  <si>
    <t>N° de actividades relacionadas con diseño curricular de la carrera., realizadas.</t>
  </si>
  <si>
    <t>1.- Reporte entrega de syllabus.
2.- Reporte entrega de Guía de Estudio.
3.- Reporte Guía Práctica.</t>
  </si>
  <si>
    <t>Ing. Gonzalo Chávez Cruz
  Coordinador de la Carrera</t>
  </si>
  <si>
    <r>
      <rPr>
        <b/>
        <sz val="9"/>
        <color theme="1"/>
        <rFont val="Century Schoolbook"/>
      </rPr>
      <t>14.-</t>
    </r>
    <r>
      <rPr>
        <sz val="10"/>
        <color theme="1"/>
        <rFont val="Arial Narrow"/>
      </rPr>
      <t xml:space="preserve"> Supervisar la entrega de actas de calificaciones parciales y/ o finales de las asignaturas.</t>
    </r>
  </si>
  <si>
    <t>N° de Actas de Calificaciones parciales y/o finales de las asignaturas, efectuado.</t>
  </si>
  <si>
    <t>TOTAL PRESUPUESTO ESTIMATIVO DE CONTABILIDAD Y AUDITORÍA 2023:</t>
  </si>
  <si>
    <t>ECONOMÍA</t>
  </si>
  <si>
    <r>
      <rPr>
        <b/>
        <sz val="10"/>
        <color rgb="FFFF0000"/>
        <rFont val="Arial Narrow"/>
      </rPr>
      <t>METAS OPERATIVAS</t>
    </r>
    <r>
      <rPr>
        <b/>
        <sz val="9"/>
        <color theme="1"/>
        <rFont val="Century Schoolbook"/>
      </rPr>
      <t xml:space="preserve">
1.- </t>
    </r>
    <r>
      <rPr>
        <sz val="10"/>
        <color theme="1"/>
        <rFont val="Arial Narrow"/>
      </rPr>
      <t>Conformar la Comisión Académica.</t>
    </r>
  </si>
  <si>
    <t xml:space="preserve">Econ. Yelena Vega Jaramillo      Coordinadora de Carrera
</t>
  </si>
  <si>
    <r>
      <rPr>
        <b/>
        <sz val="9"/>
        <color theme="1"/>
        <rFont val="Century Schoolbook"/>
      </rPr>
      <t>2.-</t>
    </r>
    <r>
      <rPr>
        <sz val="10"/>
        <color theme="1"/>
        <rFont val="Arial Narrow"/>
      </rPr>
      <t xml:space="preserve"> Presidir las sesiones de Comité de Evaluación Interna de Carrera.</t>
    </r>
  </si>
  <si>
    <t>N° de Reuniones ejecutadas de Comité de Evaluación Interna.</t>
  </si>
  <si>
    <t>1.- Reportes de las convocatorias.  
2.- Registro de Asistencias.</t>
  </si>
  <si>
    <r>
      <rPr>
        <b/>
        <sz val="9"/>
        <color theme="1"/>
        <rFont val="Century Schoolbook"/>
      </rPr>
      <t>3.-</t>
    </r>
    <r>
      <rPr>
        <sz val="10"/>
        <color theme="1"/>
        <rFont val="Arial Narrow"/>
      </rPr>
      <t xml:space="preserve"> Proponer la terna del personal académico y estudiantil que integrará el Comité de Evaluación Interna de Carrera.</t>
    </r>
  </si>
  <si>
    <r>
      <rPr>
        <b/>
        <sz val="9"/>
        <color theme="1"/>
        <rFont val="Century Schoolbook"/>
      </rPr>
      <t>4.-</t>
    </r>
    <r>
      <rPr>
        <sz val="10"/>
        <color theme="1"/>
        <rFont val="Arial Narrow"/>
      </rPr>
      <t xml:space="preserve"> Designar a los responsables de colectivos académicos de Titulación, Evaluación y Acreditación de la Calidad, Prácticas Preprofesionales o laborales, y servicio comunitario.</t>
    </r>
  </si>
  <si>
    <t>1.- Establecer y sugerir los responsables de colectivos académicos de carrera: de Titulación, Evaluación y Acreditación de la Calidad, Prácticas Pre-Profesionales laborales, y servicio comunitario.</t>
  </si>
  <si>
    <t>1.- Resolución de designación los responsables de colectivos académicos de carrera: de Titulación, Evaluación y Acreditación de la Calidad, Prácticas Pre-Profesionales laborales, y servicio comunitario.</t>
  </si>
  <si>
    <r>
      <rPr>
        <b/>
        <sz val="9"/>
        <color theme="1"/>
        <rFont val="Arial"/>
      </rPr>
      <t xml:space="preserve">5.- </t>
    </r>
    <r>
      <rPr>
        <sz val="10"/>
        <color theme="1"/>
        <rFont val="Arial Narrow"/>
      </rPr>
      <t xml:space="preserve">Ejecutar los procesos que garantizan el cumplimiento de las funciones sustantivas de la educación superior: docencia, investigación en la facultad que dirige; ejecutados. </t>
    </r>
  </si>
  <si>
    <t>N° de informes realizados  de investigación y vinculación.</t>
  </si>
  <si>
    <t>1.- Reportes  de cumplimiento de vinculación e investigación.</t>
  </si>
  <si>
    <r>
      <rPr>
        <b/>
        <sz val="9"/>
        <color theme="1"/>
        <rFont val="Century Schoolbook"/>
      </rPr>
      <t xml:space="preserve">6.- </t>
    </r>
    <r>
      <rPr>
        <sz val="10"/>
        <color theme="1"/>
        <rFont val="Arial Narrow"/>
      </rPr>
      <t>Asistir Sesiones de trabajo convocadas por las Autoridades correspondientes.</t>
    </r>
  </si>
  <si>
    <t>N° de Sesiones realizadas para gestionar mejoras en la academia.</t>
  </si>
  <si>
    <r>
      <rPr>
        <b/>
        <sz val="9"/>
        <color theme="1"/>
        <rFont val="Century Schoolbook"/>
      </rPr>
      <t xml:space="preserve">7.- </t>
    </r>
    <r>
      <rPr>
        <sz val="10"/>
        <color theme="1"/>
        <rFont val="Arial Narrow"/>
      </rPr>
      <t>Informar las irregularidades, inconformidades y/ o polémicas surgidas en el ambiente académico de su carrera.</t>
    </r>
  </si>
  <si>
    <t>Irregularidades, inconformidades y/ o polémicas surgidas en el ambiente académico de su carrera, informadas.</t>
  </si>
  <si>
    <t>N° de peticiones presentadas, ante los organismos correspondientes.</t>
  </si>
  <si>
    <t>1.- Elaborar los Reporte de los informes de las irregularidades, inconformidades y/o polémicas surgidas en el ambiente académico de la carrera.</t>
  </si>
  <si>
    <r>
      <rPr>
        <b/>
        <sz val="9"/>
        <color theme="1"/>
        <rFont val="Century Schoolbook"/>
      </rPr>
      <t>8.-</t>
    </r>
    <r>
      <rPr>
        <sz val="10"/>
        <color theme="1"/>
        <rFont val="Arial Narrow"/>
      </rPr>
      <t xml:space="preserve"> Elaborar el Distributivo académico de su carrera.</t>
    </r>
  </si>
  <si>
    <t>1.- Resolución de Distributivo Académico aprobado.</t>
  </si>
  <si>
    <r>
      <rPr>
        <b/>
        <sz val="9"/>
        <color theme="1"/>
        <rFont val="Century Schoolbook"/>
      </rPr>
      <t>9.-</t>
    </r>
    <r>
      <rPr>
        <sz val="10"/>
        <color theme="1"/>
        <rFont val="Arial Narrow"/>
      </rPr>
      <t xml:space="preserve"> Organizar y convocar a reuniones periódicas del personal académico.</t>
    </r>
  </si>
  <si>
    <r>
      <rPr>
        <b/>
        <sz val="9"/>
        <color theme="1"/>
        <rFont val="Century Schoolbook"/>
      </rPr>
      <t>10.-</t>
    </r>
    <r>
      <rPr>
        <sz val="10"/>
        <color theme="1"/>
        <rFont val="Arial Narrow"/>
      </rPr>
      <t xml:space="preserve"> Gestionar la organización del sistema de tutorías del proceso enseñanza- aprendizaje de la carrera.</t>
    </r>
  </si>
  <si>
    <r>
      <rPr>
        <b/>
        <sz val="9"/>
        <color theme="1"/>
        <rFont val="Century Schoolbook"/>
      </rPr>
      <t>11.-</t>
    </r>
    <r>
      <rPr>
        <sz val="10"/>
        <color theme="1"/>
        <rFont val="Arial Narrow"/>
      </rPr>
      <t xml:space="preserve"> Asesorar al Claustro docente sobre el plan de estudio de la carrera.</t>
    </r>
  </si>
  <si>
    <r>
      <rPr>
        <b/>
        <sz val="9"/>
        <color theme="1"/>
        <rFont val="Century Schoolbook"/>
      </rPr>
      <t>12.-</t>
    </r>
    <r>
      <rPr>
        <sz val="10"/>
        <color theme="1"/>
        <rFont val="Arial Narrow"/>
      </rPr>
      <t xml:space="preserve"> Visitar aulas de clase con fines formativos y de asesoramiento.</t>
    </r>
  </si>
  <si>
    <r>
      <rPr>
        <b/>
        <sz val="9"/>
        <color theme="1"/>
        <rFont val="Century Schoolbook"/>
      </rPr>
      <t>13.-</t>
    </r>
    <r>
      <rPr>
        <sz val="10"/>
        <color theme="1"/>
        <rFont val="Arial Narrow"/>
      </rPr>
      <t xml:space="preserve"> Participar en actividades relacionadas con diseño curricular de la carrera.</t>
    </r>
  </si>
  <si>
    <r>
      <rPr>
        <b/>
        <sz val="9"/>
        <color theme="1"/>
        <rFont val="Century Schoolbook"/>
      </rPr>
      <t>14.-</t>
    </r>
    <r>
      <rPr>
        <sz val="10"/>
        <color theme="1"/>
        <rFont val="Arial Narrow"/>
      </rPr>
      <t xml:space="preserve"> Supervisar la entrega de actas de calificaciones parciales y/ o finales de las asignaturas.</t>
    </r>
  </si>
  <si>
    <t>1.- Reportes de entrega de Actas, calificaciones.</t>
  </si>
  <si>
    <t>TOTAL DEL PRESUPUESTO ESTIMADO DE ECONOMÍA:</t>
  </si>
  <si>
    <t>MERCADOTECNIA</t>
  </si>
  <si>
    <r>
      <rPr>
        <b/>
        <sz val="10"/>
        <color rgb="FFFF0000"/>
        <rFont val="Arial Narrow"/>
      </rPr>
      <t>METAS OPERATIVAS</t>
    </r>
    <r>
      <rPr>
        <b/>
        <sz val="9"/>
        <color theme="1"/>
        <rFont val="Century Schoolbook"/>
      </rPr>
      <t xml:space="preserve">
1.- </t>
    </r>
    <r>
      <rPr>
        <sz val="10"/>
        <color theme="1"/>
        <rFont val="Arial Narrow"/>
      </rPr>
      <t>Conformar la Comisión Académica.</t>
    </r>
  </si>
  <si>
    <t>Econ Vladimir Avila Rivas</t>
  </si>
  <si>
    <r>
      <rPr>
        <b/>
        <sz val="9"/>
        <color theme="1"/>
        <rFont val="Century Schoolbook"/>
      </rPr>
      <t>2.-</t>
    </r>
    <r>
      <rPr>
        <sz val="10"/>
        <color theme="1"/>
        <rFont val="Arial Narrow"/>
      </rPr>
      <t xml:space="preserve"> Presidir las sesiones de Comité de Evaluación Interna de Carrera.</t>
    </r>
  </si>
  <si>
    <t>N° de Reuniones de Comité de Evaluación Interna convocadas.</t>
  </si>
  <si>
    <t>Econ Valdimir Avila Rivas
Ing. Manuel Muñoz</t>
  </si>
  <si>
    <r>
      <rPr>
        <b/>
        <sz val="9"/>
        <color theme="1"/>
        <rFont val="Century Schoolbook"/>
      </rPr>
      <t>3.-</t>
    </r>
    <r>
      <rPr>
        <sz val="10"/>
        <color theme="1"/>
        <rFont val="Arial Narrow"/>
      </rPr>
      <t xml:space="preserve"> Proponer la Terna del personal académico y estudiantil que integrará el Comité de Evaluación Interna de Carrera.</t>
    </r>
  </si>
  <si>
    <r>
      <rPr>
        <b/>
        <sz val="9"/>
        <color theme="1"/>
        <rFont val="Century Schoolbook"/>
      </rPr>
      <t>4.-</t>
    </r>
    <r>
      <rPr>
        <sz val="10"/>
        <color theme="1"/>
        <rFont val="Arial Narrow"/>
      </rPr>
      <t xml:space="preserve"> Designar a los responsables de colectivos académicos de Titulación, Evaluación y Acreditación de la Calidad, Prácticas Preprofesionales
o laborales, y servicio comunitario.</t>
    </r>
  </si>
  <si>
    <t>Econ Valdimir Avila Rivas</t>
  </si>
  <si>
    <r>
      <rPr>
        <b/>
        <sz val="9"/>
        <color theme="1"/>
        <rFont val="Arial"/>
      </rPr>
      <t xml:space="preserve">5.- </t>
    </r>
    <r>
      <rPr>
        <sz val="10"/>
        <color theme="1"/>
        <rFont val="Arial Narrow"/>
      </rPr>
      <t>Ejecutar los procesos que garantizan el cumplimiento de las funciones sustantivas de la educación superior: docencia, investigación en la facultad que dirige; ejecutados.</t>
    </r>
  </si>
  <si>
    <r>
      <rPr>
        <b/>
        <sz val="9"/>
        <color theme="1"/>
        <rFont val="Century Schoolbook"/>
      </rPr>
      <t>7.-</t>
    </r>
    <r>
      <rPr>
        <sz val="10"/>
        <color theme="1"/>
        <rFont val="Arial Narrow"/>
      </rPr>
      <t xml:space="preserve"> Asistir Sesiones de trabajo convocadas por las Autoridades correspondientes.</t>
    </r>
  </si>
  <si>
    <r>
      <rPr>
        <b/>
        <sz val="9"/>
        <color theme="1"/>
        <rFont val="Century Schoolbook"/>
      </rPr>
      <t xml:space="preserve">8.- </t>
    </r>
    <r>
      <rPr>
        <sz val="10"/>
        <color theme="1"/>
        <rFont val="Arial Narrow"/>
      </rPr>
      <t>Informar las irregularidades, inconformidades y/ o polémicas surgidas en el ambiente académico de su carrera.</t>
    </r>
  </si>
  <si>
    <r>
      <rPr>
        <b/>
        <sz val="9"/>
        <color theme="1"/>
        <rFont val="Century Schoolbook"/>
      </rPr>
      <t>9.-</t>
    </r>
    <r>
      <rPr>
        <sz val="10"/>
        <color theme="1"/>
        <rFont val="Arial Narrow"/>
      </rPr>
      <t xml:space="preserve"> Elaborar el Distributivo académico de su carrera.</t>
    </r>
  </si>
  <si>
    <r>
      <rPr>
        <b/>
        <sz val="9"/>
        <color theme="1"/>
        <rFont val="Century Schoolbook"/>
      </rPr>
      <t>10.-</t>
    </r>
    <r>
      <rPr>
        <sz val="10"/>
        <color theme="1"/>
        <rFont val="Arial Narrow"/>
      </rPr>
      <t xml:space="preserve"> Organizar y convocar a reuniones periódicas del personal académico.</t>
    </r>
  </si>
  <si>
    <r>
      <rPr>
        <b/>
        <sz val="9"/>
        <color theme="1"/>
        <rFont val="Century Schoolbook"/>
      </rPr>
      <t>11.-</t>
    </r>
    <r>
      <rPr>
        <sz val="10"/>
        <color theme="1"/>
        <rFont val="Arial Narrow"/>
      </rPr>
      <t xml:space="preserve"> Gestionar la organización del sistema de tutorías del proceso enseñanza- aprendizaje de la carrera.</t>
    </r>
  </si>
  <si>
    <r>
      <rPr>
        <b/>
        <sz val="9"/>
        <color theme="1"/>
        <rFont val="Century Schoolbook"/>
      </rPr>
      <t>12.-</t>
    </r>
    <r>
      <rPr>
        <sz val="10"/>
        <color theme="1"/>
        <rFont val="Arial Narrow"/>
      </rPr>
      <t xml:space="preserve"> Asesorar al Claustro docente sobre el plan de estudio de la carrera.</t>
    </r>
  </si>
  <si>
    <r>
      <rPr>
        <b/>
        <sz val="9"/>
        <color theme="1"/>
        <rFont val="Century Schoolbook"/>
      </rPr>
      <t>13.-</t>
    </r>
    <r>
      <rPr>
        <sz val="10"/>
        <color theme="1"/>
        <rFont val="Arial Narrow"/>
      </rPr>
      <t xml:space="preserve"> Visitar aulas de clase con fines formativos y de asesoramiento.</t>
    </r>
  </si>
  <si>
    <r>
      <rPr>
        <b/>
        <sz val="9"/>
        <color theme="1"/>
        <rFont val="Century Schoolbook"/>
      </rPr>
      <t>14.-</t>
    </r>
    <r>
      <rPr>
        <sz val="10"/>
        <color theme="1"/>
        <rFont val="Arial Narrow"/>
      </rPr>
      <t xml:space="preserve"> Participar en actividades relacionadas con diseño curricular de la carrera.</t>
    </r>
  </si>
  <si>
    <t>N° de actividades relacionadas con diseño curricular de la carrera realizadas.</t>
  </si>
  <si>
    <r>
      <rPr>
        <b/>
        <sz val="9"/>
        <color theme="1"/>
        <rFont val="Century Schoolbook"/>
      </rPr>
      <t>15.-</t>
    </r>
    <r>
      <rPr>
        <sz val="10"/>
        <color theme="1"/>
        <rFont val="Arial Narrow"/>
      </rPr>
      <t xml:space="preserve"> Supervisar la entrega de actas de calificaciones parciales y/ o finales de las asignaturas.</t>
    </r>
  </si>
  <si>
    <t>TURISMO</t>
  </si>
  <si>
    <r>
      <rPr>
        <b/>
        <sz val="10"/>
        <color rgb="FFFF0000"/>
        <rFont val="Arial Narrow"/>
      </rPr>
      <t>METAS OPERATIVAS</t>
    </r>
    <r>
      <rPr>
        <b/>
        <sz val="9"/>
        <color theme="1"/>
        <rFont val="Century Schoolbook"/>
      </rPr>
      <t xml:space="preserve">
1.- </t>
    </r>
    <r>
      <rPr>
        <sz val="10"/>
        <color theme="1"/>
        <rFont val="Arial Narrow"/>
      </rPr>
      <t>Conformar la Comisión Académica.</t>
    </r>
  </si>
  <si>
    <t>N° de Reuniones de Comisión Académica atendidas.</t>
  </si>
  <si>
    <t>1.- Registro de Convocatoria a Comisión Académica.
2.- Registro de asistencia.</t>
  </si>
  <si>
    <t xml:space="preserve">María Isabel Bastidas                    Directora de Carrera
</t>
  </si>
  <si>
    <r>
      <rPr>
        <b/>
        <sz val="9"/>
        <color theme="1"/>
        <rFont val="Century Schoolbook"/>
      </rPr>
      <t>2.-</t>
    </r>
    <r>
      <rPr>
        <sz val="10"/>
        <color theme="1"/>
        <rFont val="Arial Narrow"/>
      </rPr>
      <t xml:space="preserve"> Presidir las sesiones de Comité de Evaluación Interna de Carrera.</t>
    </r>
  </si>
  <si>
    <t>N° de Reuniones de Comité de Evaluación Interna convocadas y presididas.</t>
  </si>
  <si>
    <t>1.- Reporte de las convocatorias.
2.- Registro de Asistencias.
3.- Actas de sesiones.</t>
  </si>
  <si>
    <r>
      <rPr>
        <b/>
        <sz val="9"/>
        <color theme="1"/>
        <rFont val="Century Schoolbook"/>
      </rPr>
      <t>3.-</t>
    </r>
    <r>
      <rPr>
        <sz val="10"/>
        <color theme="1"/>
        <rFont val="Arial Narrow"/>
      </rPr>
      <t xml:space="preserve"> Proponer la Terna del personal académico y estudiantil que integrará el Comité de Evaluación Interna de Carrera.</t>
    </r>
  </si>
  <si>
    <t>N° de Comité de Evaluación Interna de Carrera aprobado por Comisión Académica y Consejo Directivo.</t>
  </si>
  <si>
    <t>1.- Resolución de Comisión Académica y de Consejo Directivo de designación de la Terna del personal académico y estudiantil que integrará el Comité de Evaluación Interna de Carrera.</t>
  </si>
  <si>
    <r>
      <rPr>
        <b/>
        <sz val="9"/>
        <color theme="1"/>
        <rFont val="Century Schoolbook"/>
      </rPr>
      <t>4.-</t>
    </r>
    <r>
      <rPr>
        <sz val="10"/>
        <color theme="1"/>
        <rFont val="Arial Narrow"/>
      </rPr>
      <t xml:space="preserve"> Designar a los responsables de actividades académicas de Titulación, Evaluación y Acreditación de la Calidad, Prácticas Preprofesionales
o laborales, y servicio comunitario.</t>
    </r>
  </si>
  <si>
    <t>N° de Oficio a Comisión Académica proponiendo los responsables de las actividades académicas de carrera: Titulación, Evaluación y Acreditación de la Calidad, Prácticas Pre-Profesionales laborales y servicio comunitario.</t>
  </si>
  <si>
    <t>1.- Proponer los responsables de colectivos académicos de Titulación, Evaluación y Acreditación de la Calidad, Prácticas Preprofesionales
o laborales, y servicio comunitario.</t>
  </si>
  <si>
    <t>1.- Oficio de propuesta de responsable de actividades académicas de la carrera.
2.- Resolución de designación los responsables de colectivos académicos de Titulación, Evaluación y Acreditación de la Calidad, Prácticas Preprofesionales o laborales, y servicio comunitario.</t>
  </si>
  <si>
    <r>
      <rPr>
        <b/>
        <sz val="9"/>
        <color theme="1"/>
        <rFont val="Century Schoolbook"/>
      </rPr>
      <t>5.-</t>
    </r>
    <r>
      <rPr>
        <sz val="9"/>
        <color theme="1"/>
        <rFont val="Arial"/>
      </rPr>
      <t xml:space="preserve"> </t>
    </r>
    <r>
      <rPr>
        <sz val="10"/>
        <color theme="1"/>
        <rFont val="Arial Narrow"/>
      </rPr>
      <t>Ejecutar los procesos que garantizan el cumplimiento de las funciones sustantivas de la educación superior: docencia, investigación y vinculación en la facultad que dirige.</t>
    </r>
  </si>
  <si>
    <t>N° de informe de cumplimiento de investigación y vinculación.</t>
  </si>
  <si>
    <t xml:space="preserve">1.- Asignar horas de Docencia, investigación y vinculación en el distributivo académico.
2.- Verificar el cumplimiento de los resultados de la Investigación y vinculación. </t>
  </si>
  <si>
    <t>1.- Distributivo académico.
2.- Informe de cumplimiento de actividades de investigación  y vinculación.</t>
  </si>
  <si>
    <r>
      <rPr>
        <b/>
        <sz val="9"/>
        <color theme="1"/>
        <rFont val="Century Schoolbook"/>
      </rPr>
      <t>6.-</t>
    </r>
    <r>
      <rPr>
        <sz val="10"/>
        <color theme="1"/>
        <rFont val="Arial Narrow"/>
      </rPr>
      <t xml:space="preserve"> Asistir Sesiones de trabajo convocadas por las Autoridades correspondientes.</t>
    </r>
  </si>
  <si>
    <t>Sesiones de trabajo convocadas por las Autoridades correspondientes asistidas.</t>
  </si>
  <si>
    <t>N° de sesiones de trabajo convocadas y asistidas por parte de la Dirección de Carrera.</t>
  </si>
  <si>
    <t>1.- Convocatorias.
2.- Actas de asistencia.</t>
  </si>
  <si>
    <r>
      <rPr>
        <b/>
        <sz val="9"/>
        <color theme="1"/>
        <rFont val="Century Schoolbook"/>
      </rPr>
      <t xml:space="preserve">7.- </t>
    </r>
    <r>
      <rPr>
        <sz val="10"/>
        <color theme="1"/>
        <rFont val="Arial Narrow"/>
      </rPr>
      <t>Informar las irregularidades, inconformidades y/ o polémicas surgidas en el ambiente académico de su carrera.</t>
    </r>
  </si>
  <si>
    <t>N° de las peticiones ante los organismos correspondientes atendidas.</t>
  </si>
  <si>
    <t>1.- Reportar las irregularidades, inconformidades y/o polémicas surgidas en el ambiente académico de la carrera.</t>
  </si>
  <si>
    <t>1.- Reporte de las irregularidades, inconformidades y/o polémicas surgidas en el ambiente académico de la carrera.</t>
  </si>
  <si>
    <r>
      <rPr>
        <b/>
        <sz val="9"/>
        <color theme="1"/>
        <rFont val="Century Schoolbook"/>
      </rPr>
      <t>8.-</t>
    </r>
    <r>
      <rPr>
        <sz val="10"/>
        <color theme="1"/>
        <rFont val="Arial Narrow"/>
      </rPr>
      <t xml:space="preserve"> Elaborar el Distributivo académico de su carrera.</t>
    </r>
  </si>
  <si>
    <t>1.- Elaborar Distributivo de acuerdo a las directrices emitidas por el Consejo Universitario.</t>
  </si>
  <si>
    <t>1.- Resolución de Distributivo Académico aprobado.
2.- Distributivo académico aprobado.</t>
  </si>
  <si>
    <r>
      <rPr>
        <b/>
        <sz val="9"/>
        <color theme="1"/>
        <rFont val="Century Schoolbook"/>
      </rPr>
      <t>9.-</t>
    </r>
    <r>
      <rPr>
        <sz val="10"/>
        <color theme="1"/>
        <rFont val="Arial Narrow"/>
      </rPr>
      <t xml:space="preserve"> Organizar y convocar a reuniones periódicas del personal académico.</t>
    </r>
  </si>
  <si>
    <t>N° de Sesiones al interior de la Carrera con el claustro Docente realizadas.</t>
  </si>
  <si>
    <r>
      <rPr>
        <b/>
        <sz val="9"/>
        <color theme="1"/>
        <rFont val="Century Schoolbook"/>
      </rPr>
      <t>10.-</t>
    </r>
    <r>
      <rPr>
        <sz val="10"/>
        <color theme="1"/>
        <rFont val="Arial Narrow"/>
      </rPr>
      <t xml:space="preserve"> Gestionar la organización del sistema de tutorías del proceso enseñanza- aprendizaje de la carrera.</t>
    </r>
  </si>
  <si>
    <t>N° de Verificación de avances y de cumplimiento de Tutorías.</t>
  </si>
  <si>
    <t>1.- Elaborar la planificación de tutorías del proceso enseñanza - aprendizaje de la carrera.
2.- Socializar directrices de tutorías con el personal docente de la carrera.
3.- Asesorar al personal académico en función de las necesidades de los estudiantes con menos del 70% de rendimiento.
4.- Elaborar informe final.</t>
  </si>
  <si>
    <t>1.- Planificación del proceso de tutorías de la carrera.
2.- Informe final del proceso de tutorías del periodo académico vigente.</t>
  </si>
  <si>
    <r>
      <rPr>
        <b/>
        <sz val="9"/>
        <color theme="1"/>
        <rFont val="Century Schoolbook"/>
      </rPr>
      <t>11.-</t>
    </r>
    <r>
      <rPr>
        <sz val="10"/>
        <color theme="1"/>
        <rFont val="Arial Narrow"/>
      </rPr>
      <t xml:space="preserve"> Asesorar al Claustro docente sobre el plan de estudio de la carrera.</t>
    </r>
  </si>
  <si>
    <t>1.- Brindar asesoría para la elaboración y/o actualización de los sílabos y del proceso enseñanza - aprendizaje a los docentes de la carrera.</t>
  </si>
  <si>
    <t>1.- Registro de reunión de asesorías y seguimiento al silabo.
2.-.Reporte de sílabos elaborados y probados.
3.- Reporte de seguimiento al sílabo de las asignaturas de la carrera.</t>
  </si>
  <si>
    <r>
      <rPr>
        <b/>
        <sz val="9"/>
        <color theme="1"/>
        <rFont val="Century Schoolbook"/>
      </rPr>
      <t>12.-</t>
    </r>
    <r>
      <rPr>
        <sz val="10"/>
        <color theme="1"/>
        <rFont val="Arial Narrow"/>
      </rPr>
      <t xml:space="preserve"> Visitar aulas de clase con fines formativos y de asesoramiento.</t>
    </r>
  </si>
  <si>
    <t>Visitas a las aulas de clase con fines formativos y de asesoramiento realizadas.</t>
  </si>
  <si>
    <t>N° de Visitas a las aulas de clase con fines formativos y de asesoramiento realizadas.</t>
  </si>
  <si>
    <t>1.- Visitar las aulas de clase con fines formativos y de asesoramiento.</t>
  </si>
  <si>
    <t>1.- Registro de visitas a las aulas de clase con fines formativos y de asesoramiento realizadas.</t>
  </si>
  <si>
    <r>
      <rPr>
        <b/>
        <sz val="9"/>
        <color theme="1"/>
        <rFont val="Century Schoolbook"/>
      </rPr>
      <t>13.-</t>
    </r>
    <r>
      <rPr>
        <sz val="10"/>
        <color theme="1"/>
        <rFont val="Arial Narrow"/>
      </rPr>
      <t xml:space="preserve"> Participar en actividades relacionadas con diseño curricular de la carrera.</t>
    </r>
  </si>
  <si>
    <t>N° de actividades relacionadas con diseño curricular de la carrera gestionadas.</t>
  </si>
  <si>
    <t xml:space="preserve">1.- Reporte de actividades relacionadas con el diseño curricular de la carrera. </t>
  </si>
  <si>
    <r>
      <rPr>
        <b/>
        <sz val="9"/>
        <color theme="1"/>
        <rFont val="Century Schoolbook"/>
      </rPr>
      <t>14.-</t>
    </r>
    <r>
      <rPr>
        <sz val="10"/>
        <color theme="1"/>
        <rFont val="Arial Narrow"/>
      </rPr>
      <t xml:space="preserve"> Supervisar la entrega de actas de calificaciones parciales y/ o finales de las asignaturas.</t>
    </r>
  </si>
  <si>
    <t>Entrega de actas de calificaciones parciales y/ o finales de las asignaturas efectuado.</t>
  </si>
  <si>
    <t>N° de reportes de actas de calificaciones del 1er y 2do parcial emitidas.</t>
  </si>
  <si>
    <t>1.- Gestionar la entrega de actas de calificaciones parciales y/ o finales de las asignaturas efectuado.</t>
  </si>
  <si>
    <t>1.- Reporte de gestión de  entrega de actas de calificaciones parciales y/ o finales de las asignaturas efectuado.</t>
  </si>
  <si>
    <t>TOTAL PRESUPUESTO ESTIMATIVO DE TURISMO 2023:</t>
  </si>
  <si>
    <t>TOTAL PRESUPUESTO ESTIMATIVO FCE 2023:</t>
  </si>
  <si>
    <r>
      <rPr>
        <b/>
        <sz val="11"/>
        <color rgb="FF000000"/>
        <rFont val="Arial Narrow"/>
      </rPr>
      <t xml:space="preserve">Elaborado por: </t>
    </r>
    <r>
      <rPr>
        <sz val="11"/>
        <color rgb="FF000000"/>
        <rFont val="Arial Narrow"/>
      </rPr>
      <t>Cristhian Salcedo</t>
    </r>
  </si>
  <si>
    <r>
      <rPr>
        <b/>
        <sz val="11"/>
        <color rgb="FF000000"/>
        <rFont val="Arial Narrow"/>
      </rPr>
      <t>NOTA:</t>
    </r>
    <r>
      <rPr>
        <sz val="11"/>
        <color rgb="FF000000"/>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</si>
  <si>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r>
      <rPr>
        <b/>
        <sz val="11"/>
        <color theme="0"/>
        <rFont val="Arial Narrow"/>
      </rPr>
      <t xml:space="preserve">Fecha: </t>
    </r>
    <r>
      <rPr>
        <sz val="11"/>
        <color theme="0"/>
        <rFont val="Arial Narrow"/>
      </rPr>
      <t>13 de septiembre de 2022</t>
    </r>
  </si>
  <si>
    <t>CODIGO</t>
  </si>
  <si>
    <t>FACULTAD DE CIENCIAS QUÍMICAS Y DE LA SALUD</t>
  </si>
  <si>
    <r>
      <rPr>
        <sz val="12"/>
        <color theme="1"/>
        <rFont val="Cambria"/>
      </rPr>
      <t xml:space="preserve">Unidad </t>
    </r>
    <r>
      <rPr>
        <sz val="10"/>
        <color rgb="FF000000"/>
        <rFont val="Cambria"/>
      </rPr>
      <t>(metros, litros etc.)</t>
    </r>
  </si>
  <si>
    <r>
      <rPr>
        <b/>
        <sz val="10"/>
        <color rgb="FFFF0000"/>
        <rFont val="Arial Narrow"/>
      </rPr>
      <t>METAS OPERATIVAS</t>
    </r>
    <r>
      <rPr>
        <b/>
        <sz val="9"/>
        <color theme="1"/>
        <rFont val="Century Schoolbook"/>
      </rPr>
      <t xml:space="preserve">
1.-</t>
    </r>
    <r>
      <rPr>
        <sz val="10"/>
        <color theme="1"/>
        <rFont val="Arial Narrow"/>
      </rPr>
      <t xml:space="preserve"> Emitir directrices para garantizar la ejecución de los procesos administrativos y académicos.</t>
    </r>
  </si>
  <si>
    <t>Directrices para garantizar la ejecución de los procesos administrativos y académicos emitidas.</t>
  </si>
  <si>
    <t>N° de directrices emitidas</t>
  </si>
  <si>
    <t>1.- Socializar reglamentos.
2.- Planificar reuniones de trabajo con personal administrativo y académico.</t>
  </si>
  <si>
    <t>1.- Reporte de validación de las directrices.</t>
  </si>
  <si>
    <t>* Lcda. Jovanny Santos Luna       Decana
*Abg. Nelly Fajardo
  Analista del Decanato</t>
  </si>
  <si>
    <r>
      <rPr>
        <b/>
        <sz val="9"/>
        <color theme="1"/>
        <rFont val="Century Schoolbook"/>
      </rPr>
      <t>2.-</t>
    </r>
    <r>
      <rPr>
        <sz val="10"/>
        <color theme="1"/>
        <rFont val="Arial Narrow"/>
      </rPr>
      <t xml:space="preserve"> Supervisar y ejecutar los procesos administrativos y académicos.</t>
    </r>
  </si>
  <si>
    <t>N° de procesos administrativos supervisados y ejecutados</t>
  </si>
  <si>
    <t>1.- Receptar las comunicaciones y notificaciones internas y/o organismos externos.
2.- Redactar, remitir y supervisar la ejecución  de los procesos administrativos y académicos.
3.- Planificar y organizar la distribución de espacios físicos para los cubículos y equipos informáticos para la actividad presencial.
4.- Distribuir, administrar, controlar y custodiar los bienes destinados al área académica, administrativa de la Facultad.
5.- Gestionar la adquisición de bienes y materiales para la FCQS.</t>
  </si>
  <si>
    <t>1.- Reporte del estado actual de los procesos administrativos y académicos
2.- Distributivo de Cubículos y Equipos Informáticos.
3.- Reporte de solicitudes de reasignación de bienes.                4. Constatación y Reporte de  Bienes</t>
  </si>
  <si>
    <t>* Lcda. Jovanny Santos Luna       Decana
*Abg. Nelly Fajardo
  Analista del Decanato           *Ing. Juan Díaz Calle,
  Administrador de Bienes FCQS</t>
  </si>
  <si>
    <r>
      <rPr>
        <b/>
        <sz val="9"/>
        <color theme="1"/>
        <rFont val="Century Schoolbook"/>
      </rPr>
      <t>3.-</t>
    </r>
    <r>
      <rPr>
        <sz val="10"/>
        <color theme="1"/>
        <rFont val="Arial Narrow"/>
      </rPr>
      <t xml:space="preserve"> Gestionar la Propuesta del distributivo académico en conjunto con los Subdecanatos.</t>
    </r>
  </si>
  <si>
    <t>N° de distributivos académicos gestionados en conjunto con los subdecanatos</t>
  </si>
  <si>
    <t>1. Trasladar las directrices otorgados por el Consejo Universitario a subdecanato de la FCQS.              
2. Autorizar el envío de distributivos para la aprobación del Consejo Directivo.</t>
  </si>
  <si>
    <t>1.- Distributivos por carreras de la Facultad</t>
  </si>
  <si>
    <r>
      <rPr>
        <b/>
        <sz val="9"/>
        <color theme="1"/>
        <rFont val="Century Schoolbook"/>
      </rPr>
      <t>4.-</t>
    </r>
    <r>
      <rPr>
        <sz val="10"/>
        <color theme="1"/>
        <rFont val="Arial Narrow"/>
      </rPr>
      <t xml:space="preserve"> Supervisar la ejecución de las convocatorias a los consejos de facultad.</t>
    </r>
  </si>
  <si>
    <t>N° de convocatorias supervisadas</t>
  </si>
  <si>
    <t>1. Sesionar y presidir Consejo Directivo de la Facultad.</t>
  </si>
  <si>
    <t>1.- Matriz de Control y Supervisión a la ejecución de las convocatorias a los consejos de facultad.</t>
  </si>
  <si>
    <r>
      <rPr>
        <b/>
        <sz val="9"/>
        <color theme="1"/>
        <rFont val="Century Schoolbook"/>
      </rPr>
      <t>5.-</t>
    </r>
    <r>
      <rPr>
        <sz val="10"/>
        <color theme="1"/>
        <rFont val="Arial Narrow"/>
      </rPr>
      <t xml:space="preserve"> Gestionar los Procesos que garantizan el cumplimiento de las funciones sustantivas de la educación superior: docencia, investigación y vinculación.</t>
    </r>
  </si>
  <si>
    <t>N° de procesos que garanticen el cumplimiento de las funciones sustantivas de la educación superior: docencia, investigación y vinculación gestionados</t>
  </si>
  <si>
    <t>1. Solicitar a los Cordinadores informes de cumplimeinto</t>
  </si>
  <si>
    <t>1. Informes de Cumplimiento</t>
  </si>
  <si>
    <r>
      <rPr>
        <b/>
        <sz val="9"/>
        <color theme="1"/>
        <rFont val="Century Schoolbook"/>
      </rPr>
      <t>6.-</t>
    </r>
    <r>
      <rPr>
        <sz val="10"/>
        <color theme="1"/>
        <rFont val="Arial Narrow"/>
      </rPr>
      <t xml:space="preserve"> Presentar el Informe de Rendición de Cuentas.</t>
    </r>
  </si>
  <si>
    <t>N° de Informes de Rendición de Cuentas presentados</t>
  </si>
  <si>
    <t xml:space="preserve"> 1. Elaborar el Informe de Rendicion de Cuenta</t>
  </si>
  <si>
    <t>1. Informe de Rendición de Cuenta</t>
  </si>
  <si>
    <r>
      <rPr>
        <b/>
        <sz val="9"/>
        <color theme="1"/>
        <rFont val="Century Schoolbook"/>
      </rPr>
      <t>7.-</t>
    </r>
    <r>
      <rPr>
        <sz val="10"/>
        <color theme="1"/>
        <rFont val="Arial Narrow"/>
      </rPr>
      <t xml:space="preserve"> Gestionar trámite de licencias solicitadas por el personal docente y administrativo.</t>
    </r>
  </si>
  <si>
    <t xml:space="preserve">                                                                                                                                                                                                                                                                      N° de trámites de licencias solicitadas por el personal docente y administrativo gestionados.
</t>
  </si>
  <si>
    <t>1.- Receptar solicitudes de licencia del personal administrativo y docentes
2.- Tramitar las solicitudes a los departamentos encargados</t>
  </si>
  <si>
    <t>1. Oficio y/o petición de licencias y permisos</t>
  </si>
  <si>
    <r>
      <rPr>
        <b/>
        <sz val="9"/>
        <color theme="1"/>
        <rFont val="Century Schoolbook"/>
      </rPr>
      <t>8.-</t>
    </r>
    <r>
      <rPr>
        <sz val="10"/>
        <color theme="1"/>
        <rFont val="Arial Narrow"/>
      </rPr>
      <t xml:space="preserve"> Coordinar y gestionar Actividades culturales, deportivas, sociales, y proyectos de responsabilidad social e influencia en políticas públicas gestionadas.</t>
    </r>
  </si>
  <si>
    <t>1.-Coordinar Actividades culturales, deportivas, sociales, y proyectos de responsabilidad social e influencia en políticas públicas gestionadas.            2.- Gestionar Actividades culturales, deportivas, sociales, y proyectos de responsabilidad social e influencia en políticas públicas gestionadas</t>
  </si>
  <si>
    <r>
      <rPr>
        <b/>
        <sz val="9"/>
        <color theme="1"/>
        <rFont val="Century Schoolbook"/>
      </rPr>
      <t>1.-</t>
    </r>
    <r>
      <rPr>
        <sz val="10"/>
        <color theme="1"/>
        <rFont val="Arial Narrow"/>
      </rPr>
      <t xml:space="preserve"> Reporte de propuestas de actividades desarrolladas por las Carreras</t>
    </r>
  </si>
  <si>
    <r>
      <rPr>
        <b/>
        <sz val="9"/>
        <color theme="1"/>
        <rFont val="Century Schoolbook"/>
      </rPr>
      <t>9.-</t>
    </r>
    <r>
      <rPr>
        <sz val="10"/>
        <color theme="1"/>
        <rFont val="Arial Narrow"/>
      </rPr>
      <t xml:space="preserve"> Coordinar y gestionar el Proceso de contratación de personal docente para las carreras o programas vigentes en la Facultad.</t>
    </r>
  </si>
  <si>
    <t>N° de Procesos de contratación de personal docente para las carreras o programas vigentes en la Facultad coordinados y gestionados</t>
  </si>
  <si>
    <t xml:space="preserve">1.- Receptar oficio de Subdecanato para la contratación de docentes
2.- Solicitar la Contratación de Docentes </t>
  </si>
  <si>
    <t xml:space="preserve">1. Resolución de Consejo Directivo que Solicita la Contratación de Docentes  </t>
  </si>
  <si>
    <r>
      <rPr>
        <b/>
        <sz val="9"/>
        <color theme="1"/>
        <rFont val="Century Schoolbook"/>
      </rPr>
      <t>10.-</t>
    </r>
    <r>
      <rPr>
        <sz val="10"/>
        <color theme="1"/>
        <rFont val="Arial Narrow"/>
      </rPr>
      <t xml:space="preserve"> Emitir criterios técnicos para la sustentación de las decisiones adoptadas a nivel de facultad.</t>
    </r>
  </si>
  <si>
    <t>N° de criterios técnicos acogidos en Consejo Directivo</t>
  </si>
  <si>
    <t>1.- Solicitar documentos.
2.- Convocar a reuniones</t>
  </si>
  <si>
    <t>1.- Registro resumen de resoluciones de Consejo Directivo, emitidas.</t>
  </si>
  <si>
    <r>
      <rPr>
        <b/>
        <sz val="9"/>
        <color theme="1"/>
        <rFont val="Century Schoolbook"/>
      </rPr>
      <t>11.-</t>
    </r>
    <r>
      <rPr>
        <sz val="10"/>
        <color theme="1"/>
        <rFont val="Arial Narrow"/>
      </rPr>
      <t xml:space="preserve"> Supervisar las Gestiones efectuadas por el Subdecanato, los Directores de  Carrera, personal académico y administrativo de la Facultad.</t>
    </r>
  </si>
  <si>
    <t>Gestiones efectuadas por el Subdecano, los Directores  de Carrera, personal académico y administrativo de la Facultad, supervisadas.</t>
  </si>
  <si>
    <t>N° de supervisiones ejecutadas de los procesos administrativos y académicos</t>
  </si>
  <si>
    <t>1.- Solicitar la documentación a las coordinaciones de carreras.
2.- Revisar y validar los procesos ejecutados.</t>
  </si>
  <si>
    <t>1.- Matriz del estado actual de los procesos administrativos y académicos.</t>
  </si>
  <si>
    <r>
      <rPr>
        <b/>
        <sz val="9"/>
        <color theme="1"/>
        <rFont val="Century Schoolbook"/>
      </rPr>
      <t>12.-</t>
    </r>
    <r>
      <rPr>
        <sz val="10"/>
        <color theme="1"/>
        <rFont val="Arial Narrow"/>
      </rPr>
      <t xml:space="preserve"> Presentar la Planificación Operativa Anual y Evaluar la Planificación Operativa Anual.</t>
    </r>
  </si>
  <si>
    <t>N° de planificaciones y evaluaciones entregadas</t>
  </si>
  <si>
    <t>1,Elaborar las Planificaciones Operativas Anuales,                         2,Efectuar los seguimientos a las planificaciones operativas.
3. Realizar las evaluaciones al POA.
4.- Remitir los POAS y sus Evaluaciones.</t>
  </si>
  <si>
    <t xml:space="preserve">1.- Plan Operativo Anual 2024        
2.- Evaluación del  del POA 2023.                                              </t>
  </si>
  <si>
    <r>
      <rPr>
        <b/>
        <sz val="9"/>
        <color theme="1"/>
        <rFont val="Century Schoolbook"/>
      </rPr>
      <t>13.-</t>
    </r>
    <r>
      <rPr>
        <sz val="10"/>
        <color theme="1"/>
        <rFont val="Arial Narrow"/>
      </rPr>
      <t xml:space="preserve"> Organizar el Archivo de Gestión.</t>
    </r>
  </si>
  <si>
    <t>N° de documentos inventariados</t>
  </si>
  <si>
    <t>1.- Realizar el inventario documental de carpetas del archivo que reposa en el Decanato</t>
  </si>
  <si>
    <r>
      <rPr>
        <b/>
        <sz val="10"/>
        <color rgb="FFFF0000"/>
        <rFont val="Arial Narrow"/>
      </rPr>
      <t>METAS OPERATIVAS</t>
    </r>
    <r>
      <rPr>
        <b/>
        <sz val="10"/>
        <color theme="1"/>
        <rFont val="Arial Narrow"/>
      </rPr>
      <t xml:space="preserve">
1.-</t>
    </r>
    <r>
      <rPr>
        <sz val="10"/>
        <color theme="1"/>
        <rFont val="Arial Narrow"/>
      </rPr>
      <t xml:space="preserve"> Emitir o actualizar los Procedimientos Académicos internos estandarizados.</t>
    </r>
  </si>
  <si>
    <t>N° de procedimientos académicos estandarizados, emitidos o actualizados</t>
  </si>
  <si>
    <t>1.- Coordinar y socializar al interior de la Facultad las directrices emitidas por el òrgano superior.</t>
  </si>
  <si>
    <t xml:space="preserve">1.- Reporte del estado actual de la emisión o actualización de procedimientos académicos internos.
</t>
  </si>
  <si>
    <t xml:space="preserve">Ing. Jonathan Aguilar Alvarado 
Lcda. Priscila Illescas Lucin </t>
  </si>
  <si>
    <r>
      <rPr>
        <b/>
        <sz val="10"/>
        <color theme="1"/>
        <rFont val="Arial Narrow"/>
      </rPr>
      <t>2.-</t>
    </r>
    <r>
      <rPr>
        <sz val="10"/>
        <color theme="1"/>
        <rFont val="Arial Narrow"/>
      </rPr>
      <t xml:space="preserve"> Convocar y presidir Sesiones de Comisión Académica de la Facultad.</t>
    </r>
  </si>
  <si>
    <t>Nº de Sesiones de Comisión Académica de la Facultad convocadas y presididas</t>
  </si>
  <si>
    <t>1.- Reporte de Convocatorias.
2.- Reporte de Resoluciones.</t>
  </si>
  <si>
    <t>Ing. Jonathan Aguilar Alvarado
Subdecano 
Lcda. Priscila Illescas Lucin
Analista Academico
Mary Alvarado Salazar, Analista Académica</t>
  </si>
  <si>
    <r>
      <rPr>
        <b/>
        <sz val="10"/>
        <color theme="1"/>
        <rFont val="Arial Narrow"/>
      </rPr>
      <t>3.-</t>
    </r>
    <r>
      <rPr>
        <sz val="10"/>
        <color theme="1"/>
        <rFont val="Arial Narrow"/>
      </rPr>
      <t xml:space="preserve"> Orientar y supervisar las propuestas para la creación, fusión y extinción de carreras y programas, así como los planes de estudios de las mismas emanados del trabajo de rediseño curricular.</t>
    </r>
  </si>
  <si>
    <t>Nº de Propuestas para la creación, fusión y extinción de carreras y programas</t>
  </si>
  <si>
    <t>Esta meta se desarrollará siempre y cuando existan propuestas o resoluciones por parte de los organismos pertinentes, quienes disponen la correspondiente creación, fusión o extinción de carreras y programas, así como los planes de estudios</t>
  </si>
  <si>
    <r>
      <rPr>
        <b/>
        <sz val="10"/>
        <color theme="1"/>
        <rFont val="Arial Narrow"/>
      </rPr>
      <t>4.-</t>
    </r>
    <r>
      <rPr>
        <sz val="10"/>
        <color theme="1"/>
        <rFont val="Arial Narrow"/>
      </rPr>
      <t xml:space="preserve"> Supervisar la ejecución de los procesos académicos.</t>
    </r>
  </si>
  <si>
    <t>N° de procesos académicos supervisados</t>
  </si>
  <si>
    <t>1.- Supervisar el proceso de ingreso, revisión y seguimiento de silabos
2.- Supervisar el proceso de ingreso de avances académicos</t>
  </si>
  <si>
    <t>1.- Reporte del estado actual de la supervisión a la ejecución de los procesos académicos supervisados</t>
  </si>
  <si>
    <t xml:space="preserve">Ing. Jonathan Aguilar Alvarado
Subdecano 
Lcda. Priscila Illescas Lucin
Analista Academico
</t>
  </si>
  <si>
    <r>
      <rPr>
        <b/>
        <sz val="10"/>
        <color theme="1"/>
        <rFont val="Arial Narrow"/>
      </rPr>
      <t>5.-</t>
    </r>
    <r>
      <rPr>
        <sz val="10"/>
        <color theme="1"/>
        <rFont val="Arial Narrow"/>
      </rPr>
      <t xml:space="preserve"> Coordinar y supervisar la elaboraciòn de distributivos y horarios.</t>
    </r>
  </si>
  <si>
    <t>N° de Distributivos, horarios calendarios académicos, coordinados y supervisados</t>
  </si>
  <si>
    <t xml:space="preserve">1.- Coordinar y supervisar el proceso de  elaboración de los Distributivo,  horarios y calendarios académicos. </t>
  </si>
  <si>
    <t>1.- Reporte del estado actual de la coordinación y supervisión de elaboración de los Distributivo y horarios.</t>
  </si>
  <si>
    <t xml:space="preserve">Ing.Jonathan Aguilar Alvarado, Subdecano
Dra. Thayana Núñez Quezada, Coordinadora de la Carrera Bioquímica y Farmacia
Lcda. Sara Saraguro Salinas, Coordinadora de la Carrera Enfermería.
Ing. Verónica Bravo Bravo, Coordinadora de la Carrera de Alimentos-Ingeniería en Alimentos
Ing. Katty Gadvay Yambay, 
Dr. Franklin Paladines Figueroa, Coordinador de la Carrera de Medicina-Ciencias Médicas
Lcda.Priscila Illescas
Analista Académico
</t>
  </si>
  <si>
    <r>
      <rPr>
        <b/>
        <sz val="10"/>
        <color theme="1"/>
        <rFont val="Arial Narrow"/>
      </rPr>
      <t>6.-</t>
    </r>
    <r>
      <rPr>
        <sz val="10"/>
        <color theme="1"/>
        <rFont val="Arial Narrow"/>
      </rPr>
      <t xml:space="preserve"> Monitorear actividades académicas que se realizan en los diferentes laboratorios, aulas y unidades académicas experimentales de la Facultad.</t>
    </r>
  </si>
  <si>
    <t>Actividades académicas que se realizan en los diferentes laboratorios, aulas y unidades académicas experimentales de la Facultad, monitoreadas.</t>
  </si>
  <si>
    <t>N° de prácticas por cuatrimestres de acuerdo a las necesidades del docente en los Laboratorio de la FCQS.</t>
  </si>
  <si>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</si>
  <si>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t>1. Guías de prácticas                                                                       2. Registro de inducción
3. Cronograma de prácticas de laboratorio
4. Listado de prácticas de laboratorio
5. Registro de prácticas de laboratorio
6. Registro de adquisición de materiales, reactivos y equipos</t>
  </si>
  <si>
    <t>LABORATORIO DE: MICROBIOLOGÍA Y PARASITOLOGÍA                           RESPONSABLE: SILVANA GABRIELA MANZANARES LOAIZA</t>
  </si>
  <si>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</si>
  <si>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r>
      <rPr>
        <b/>
        <sz val="10"/>
        <color theme="1"/>
        <rFont val="Arial Narrow"/>
      </rPr>
      <t xml:space="preserve">
</t>
    </r>
    <r>
      <rPr>
        <sz val="10"/>
        <color theme="1"/>
        <rFont val="Arial Narrow"/>
      </rPr>
      <t xml:space="preserve">
LABORATORIO DE:</t>
    </r>
    <r>
      <rPr>
        <b/>
        <sz val="10"/>
        <color theme="1"/>
        <rFont val="Arial Narrow"/>
      </rPr>
      <t xml:space="preserve"> BIOQUIMICA                           RESPONSABLE: SILVANA GABRIELA MANZANARES LOAIZA  </t>
    </r>
  </si>
  <si>
    <t>1. Registro de inducción
2. Cronograma de prácticas de laboratorio
3. Listado de prácticas de laboratorio
4. Registro de prácticas de laboratorio
5. Registro de adquisición de materiales, reactivos y equipos
6. Listado de Estudiante Examen Complexivo  con las Dependencias NO ADEUDAR                                                                     7.Listado de Estudiante Titulación con las Dependencias NO ADEUDAR                8. Acta Institucional de constatación de bien</t>
  </si>
  <si>
    <r>
      <rPr>
        <sz val="10"/>
        <color theme="1"/>
        <rFont val="Arial Narrow"/>
      </rPr>
      <t xml:space="preserve">LABORATORIO DE: </t>
    </r>
    <r>
      <rPr>
        <b/>
        <sz val="10"/>
        <color theme="1"/>
        <rFont val="Arial Narrow"/>
      </rPr>
      <t xml:space="preserve">ANÁLISIS ORGÁNICO </t>
    </r>
    <r>
      <rPr>
        <sz val="10"/>
        <color theme="1"/>
        <rFont val="Arial Narrow"/>
      </rPr>
      <t xml:space="preserve">                           RESPONSABLE: </t>
    </r>
    <r>
      <rPr>
        <b/>
        <sz val="10"/>
        <color theme="1"/>
        <rFont val="Arial Narrow"/>
      </rPr>
      <t>GRACE LILIANA JARAMILLO PROCEL</t>
    </r>
  </si>
  <si>
    <t>1. Registro de inducción
2. Cronograma de prácticas de laboratorio
3. Listado de prácticas de laboratorio
4. Registro de prácticas de laboratorio
5. Registro de adquisición de materiales, reactivos y equipos
6. Listado de Estudiante Examen Complexivo con las Dependencias NO ADEUDAR                                                               7. Listado de Estudiantes Titulación con las Dependencias NO ADEUDAR
   8. Acta Institucional de constatación de bienes.</t>
  </si>
  <si>
    <r>
      <rPr>
        <sz val="10"/>
        <color theme="1"/>
        <rFont val="Arial Narrow"/>
      </rPr>
      <t xml:space="preserve">LABORATORIO DE:                  </t>
    </r>
    <r>
      <rPr>
        <b/>
        <sz val="10"/>
        <color theme="1"/>
        <rFont val="Arial Narrow"/>
      </rPr>
      <t>I+D DE ALIMENTOS</t>
    </r>
    <r>
      <rPr>
        <sz val="10"/>
        <color theme="1"/>
        <rFont val="Arial Narrow"/>
      </rPr>
      <t xml:space="preserve">                           RESPONSABLE: </t>
    </r>
    <r>
      <rPr>
        <b/>
        <sz val="10"/>
        <color theme="1"/>
        <rFont val="Arial Narrow"/>
      </rPr>
      <t>GRACE LILIANA JARAMILLO PROCEL</t>
    </r>
  </si>
  <si>
    <t>1. Registro de inducción
2. Cronograma de prácticas de laboratorio
3. Registro de mantenimiento de equipos de laboratorio
4. Registro de prácticas de laboratorio
5. Registro de adquisición de materiales, reactivos y equipos
6. Listado de estudiantes examen complexivo y trabajo de titulación con las dependencias NO ADEUDAR.
7. Acta Institucional de constatación de bienes.</t>
  </si>
  <si>
    <r>
      <rPr>
        <sz val="10"/>
        <color theme="1"/>
        <rFont val="Arial Narrow"/>
      </rPr>
      <t xml:space="preserve">LABORATORIO DE: </t>
    </r>
    <r>
      <rPr>
        <b/>
        <sz val="10"/>
        <color theme="1"/>
        <rFont val="Arial Narrow"/>
      </rPr>
      <t xml:space="preserve">FARMACOLOGIA Y TOXICOLOGIA </t>
    </r>
    <r>
      <rPr>
        <sz val="10"/>
        <color theme="1"/>
        <rFont val="Arial Narrow"/>
      </rPr>
      <t xml:space="preserve">                           RESPONSABLE: </t>
    </r>
    <r>
      <rPr>
        <b/>
        <sz val="10"/>
        <color theme="1"/>
        <rFont val="Arial Narrow"/>
      </rPr>
      <t>ANDREA DEL ROCIO HURTADO ZAPATA</t>
    </r>
  </si>
  <si>
    <r>
      <rPr>
        <sz val="10"/>
        <color theme="1"/>
        <rFont val="Arial Narrow"/>
      </rPr>
      <t xml:space="preserve">LABORATORIO DE: </t>
    </r>
    <r>
      <rPr>
        <b/>
        <sz val="10"/>
        <color theme="1"/>
        <rFont val="Arial Narrow"/>
      </rPr>
      <t xml:space="preserve">AMBIENTE E INSTRUMENTAL </t>
    </r>
    <r>
      <rPr>
        <sz val="10"/>
        <color theme="1"/>
        <rFont val="Arial Narrow"/>
      </rPr>
      <t xml:space="preserve">                           RESPONSABLE: </t>
    </r>
    <r>
      <rPr>
        <b/>
        <sz val="10"/>
        <color theme="1"/>
        <rFont val="Arial Narrow"/>
      </rPr>
      <t>ANDREA DEL ROCIO HURTADO ZAPATA</t>
    </r>
  </si>
  <si>
    <r>
      <rPr>
        <sz val="10"/>
        <color theme="1"/>
        <rFont val="Arial Narrow"/>
      </rPr>
      <t xml:space="preserve">LABORATORIO DE: </t>
    </r>
    <r>
      <rPr>
        <b/>
        <sz val="10"/>
        <color theme="1"/>
        <rFont val="Arial Narrow"/>
      </rPr>
      <t xml:space="preserve">QUIMICA ANALITICA CUALITATIVA </t>
    </r>
    <r>
      <rPr>
        <sz val="10"/>
        <color theme="1"/>
        <rFont val="Arial Narrow"/>
      </rPr>
      <t xml:space="preserve">                           RESPONSABLE: </t>
    </r>
    <r>
      <rPr>
        <b/>
        <sz val="10"/>
        <color theme="1"/>
        <rFont val="Arial Narrow"/>
      </rPr>
      <t>ANDREA DEL ROCIO HURTADO ZAPATA</t>
    </r>
  </si>
  <si>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</si>
  <si>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t>1. Registro de usuarios internos.
2. Registro de ensayos preclínicos.
3. Listado de estudiantes exámen complexivo con las dependencias NO ADEUDAR.
4. Listado de estudiantes trabajo de titulación con las dependencias NO ADEUDAR.
5. Inventario interno de reactivos.</t>
  </si>
  <si>
    <r>
      <rPr>
        <b/>
        <sz val="10"/>
        <color theme="1"/>
        <rFont val="Arial Narrow"/>
      </rPr>
      <t xml:space="preserve">LABORATORIO: </t>
    </r>
    <r>
      <rPr>
        <sz val="10"/>
        <color theme="1"/>
        <rFont val="Arial Narrow"/>
      </rPr>
      <t xml:space="preserve">BIOTERIO               </t>
    </r>
    <r>
      <rPr>
        <b/>
        <sz val="10"/>
        <color theme="1"/>
        <rFont val="Arial Narrow"/>
      </rPr>
      <t>RESPONSABLE</t>
    </r>
    <r>
      <rPr>
        <sz val="10"/>
        <color theme="1"/>
        <rFont val="Arial Narrow"/>
      </rPr>
      <t>:             JEFFERSON MANUEL TOCTO LEÓN</t>
    </r>
  </si>
  <si>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</si>
  <si>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t>1. Registro de inducción
2. Cronograma de prácticas de laboratorio
3. Listado de prácticas de laboratorio
4. Registro de prácticas de laboratorio
5. Registro de adquisición de materiales, reactivos y equipos
6. Listado de estudiantes exámen complexivo con las dependencias NO ADEUDAR.
7. Listado de estudiantes trabajo de titulación con las dependencias NO ADEUDAR</t>
  </si>
  <si>
    <r>
      <rPr>
        <b/>
        <sz val="10"/>
        <color theme="1"/>
        <rFont val="Arial Narrow"/>
      </rPr>
      <t xml:space="preserve">LABORATORIO DE: </t>
    </r>
    <r>
      <rPr>
        <sz val="10"/>
        <color theme="1"/>
        <rFont val="Arial Narrow"/>
      </rPr>
      <t xml:space="preserve">TECNOLOGÍA FARMACÉUTICA             </t>
    </r>
    <r>
      <rPr>
        <b/>
        <sz val="10"/>
        <color theme="1"/>
        <rFont val="Arial Narrow"/>
      </rPr>
      <t>RESPONSABLE</t>
    </r>
    <r>
      <rPr>
        <sz val="10"/>
        <color theme="1"/>
        <rFont val="Arial Narrow"/>
      </rPr>
      <t>:             JEFFERSON MANUEL TOCTO LEÓN</t>
    </r>
  </si>
  <si>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</si>
  <si>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t>1. Registro de inducción.
2. Cronograma de prácticas de laboratorio.
3. Listado de prácticas de laboratorio.
4. Registro de prácticas de laboratorio.
5. Registro de adquisición de materiales, reactivos y equipos.
6. Listado de Estudiantes examen complexivo con las dependencias no adeudar.
7. Listado de Estudiante de titulación con las Dependencias No Adeudar.
8. Acta Institucional de Constatación de bienes</t>
  </si>
  <si>
    <r>
      <rPr>
        <sz val="10"/>
        <color theme="1"/>
        <rFont val="Arial Narrow"/>
      </rPr>
      <t xml:space="preserve">LABORATORIO DE: </t>
    </r>
    <r>
      <rPr>
        <b/>
        <sz val="10"/>
        <color theme="1"/>
        <rFont val="Arial Narrow"/>
      </rPr>
      <t>BROMATOLOGÍA</t>
    </r>
    <r>
      <rPr>
        <sz val="10"/>
        <color theme="1"/>
        <rFont val="Arial Narrow"/>
      </rPr>
      <t xml:space="preserve">                           RESPONSABLE: </t>
    </r>
    <r>
      <rPr>
        <b/>
        <sz val="10"/>
        <color theme="1"/>
        <rFont val="Arial Narrow"/>
      </rPr>
      <t>KRISTHEL MISHELLE LEÓN PELÁEZ</t>
    </r>
  </si>
  <si>
    <t>1. Registro de inducción.
2. Cronograma de prácticas de laboratorio.
3. Listado de prácticas de laboratorio.
4. Registro de prácticas de laboratorio.
5. Registro de adquisición de materiales, reactivos y equipos.
6. Listado de Estudiantes examen complexivo con las dependencias no adeudar.
7. Listado de Estudiante de titulación con las Dependencias No Adeudar.
8. Acta Institucional de Constatación de bienes.</t>
  </si>
  <si>
    <r>
      <rPr>
        <sz val="10"/>
        <color theme="1"/>
        <rFont val="Arial Narrow"/>
      </rPr>
      <t xml:space="preserve">LABORATORIO DE: </t>
    </r>
    <r>
      <rPr>
        <b/>
        <sz val="10"/>
        <color theme="1"/>
        <rFont val="Arial Narrow"/>
      </rPr>
      <t>OPERACIONES UNITARIAS</t>
    </r>
    <r>
      <rPr>
        <sz val="10"/>
        <color theme="1"/>
        <rFont val="Arial Narrow"/>
      </rPr>
      <t xml:space="preserve">                           RESPONSABLE: </t>
    </r>
    <r>
      <rPr>
        <b/>
        <sz val="10"/>
        <color theme="1"/>
        <rFont val="Arial Narrow"/>
      </rPr>
      <t>KRISTHEL MISHELLE LEÓN PELÁEZ;</t>
    </r>
    <r>
      <rPr>
        <sz val="10"/>
        <color theme="1"/>
        <rFont val="Arial Narrow"/>
      </rPr>
      <t xml:space="preserve"> INGRESO LABORAL A PARTIR DEL MES DE MAYO DE 2022</t>
    </r>
    <r>
      <rPr>
        <b/>
        <sz val="10"/>
        <color theme="1"/>
        <rFont val="Arial Narrow"/>
      </rPr>
      <t xml:space="preserve"> </t>
    </r>
  </si>
  <si>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</si>
  <si>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r>
      <rPr>
        <sz val="10"/>
        <color theme="1"/>
        <rFont val="Arial Narrow"/>
      </rPr>
      <t xml:space="preserve">LABORATORIO DE:  </t>
    </r>
    <r>
      <rPr>
        <b/>
        <sz val="10"/>
        <color theme="1"/>
        <rFont val="Arial Narrow"/>
      </rPr>
      <t>QUÍMICA ANALÍTICA CUANTITATIVA</t>
    </r>
    <r>
      <rPr>
        <sz val="10"/>
        <color theme="1"/>
        <rFont val="Arial Narrow"/>
      </rPr>
      <t xml:space="preserve">                           RESPONSABLE: </t>
    </r>
    <r>
      <rPr>
        <b/>
        <sz val="10"/>
        <color theme="1"/>
        <rFont val="Arial Narrow"/>
      </rPr>
      <t>KRISTHEL MISHELLE LEÓN PELÁEZ</t>
    </r>
  </si>
  <si>
    <t>1.- Ejecutar y  supervisar actividades y demás trabajos que se realizan en el laboratorio. 
2. Dar mantenimiento preventivo y correctivos a los equipos, de acuerdo al Plan semestral institucional.
3. Brindar asesoramiento a usuarios internos y externos del Laboratorio de Informática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7.- Controlar y realizar los inventarios de equipos y bienes del laboratorio.</t>
  </si>
  <si>
    <t>1. Horarios                                                                       2. Registro asistencia de usuarios
3. Cronograma de actividades
4. Solicitudes para uso de laboratorio por instituciones internas y externas</t>
  </si>
  <si>
    <r>
      <rPr>
        <sz val="10"/>
        <color theme="1"/>
        <rFont val="Arial Narrow"/>
      </rPr>
      <t xml:space="preserve">LABORATORIO DE: </t>
    </r>
    <r>
      <rPr>
        <b/>
        <sz val="10"/>
        <color theme="1"/>
        <rFont val="Arial Narrow"/>
      </rPr>
      <t>COMPUTACIÓN</t>
    </r>
    <r>
      <rPr>
        <sz val="10"/>
        <color theme="1"/>
        <rFont val="Arial Narrow"/>
      </rPr>
      <t xml:space="preserve">            RESPONSABLE: </t>
    </r>
    <r>
      <rPr>
        <b/>
        <sz val="10"/>
        <color theme="1"/>
        <rFont val="Arial Narrow"/>
      </rPr>
      <t>JOHN ORELLANA PRECIADO</t>
    </r>
  </si>
  <si>
    <t>1.- Ejecutar y  supervisar actividades y demás trabajos que se realizan en el laboratorio.
2.- Asesorar el uso de materiales y equipos para prácticas afines al laboratorio.
3.  Validar y emitir certificados de NO ADEUDAR al laboratorio
4.- Controlar el buen funcionamiento del laboratorio y el cumplimiento de los reglamentos, normas y procedimientos correspondientes.
5.- Controlar el correcto uso por parte de usuarios y estudiantes y realizar el mantenimiento de laboratorio, equipos, materiales a su cargo.
6.- Controlar y realizar los inventarios de equipos, material, insumos y bienes del laboratorio.</t>
  </si>
  <si>
    <t>1. Registro de inducción
2. Cronograma de prácticas de laboratorio
3. Listado de prácticas de laboratorio
4. Registro de prácticas de laboratorio
5. Listado de estudiantes examen complexivo con las dependencias NO adeudar
6. Listado de estudiantes trabajo de titulación con las dependencias NO adeuda</t>
  </si>
  <si>
    <t>LABORATORIO: ANFITEATRO           RESPONSABLE:  JUAN CARLOS PILALOA</t>
  </si>
  <si>
    <t>LABORATORIO DE: HISTOLOGÍA           RESPONSABLE: JUAN CARLOS PILALOA</t>
  </si>
  <si>
    <t>1. Registro de inducción
2. Cronograma de prácticas de laboratorio
3. Listado de prácticas de laboratorio
4. Registro de prácticas de laboratorio
5. Listado de estudiantes examen complexivo con las dependencias NO adeudar
6. Listado de estudiantes trabajo de titulación con las dependencias NO adeudar</t>
  </si>
  <si>
    <t>LABORATORIO DE: SIMULACIÓN           RESPONSABLE: JUAN CARLOS PILALOA</t>
  </si>
  <si>
    <t>1.- Ejecutar y  supervisar actividades y demás trabajos que se realizan en el laboratorio.
2.Asesorar el uso de materiales, insumos y equipos para practicas afines al laboratorio.
3.Solicitar materiales y reactivos a las bodegas correspondientes para prácticas afines de laboratorio.
4. Validar y emitir certificados de NO ADEUDAR al laboratorio.
5. Supervisar y Controlar el buen funcionamiento de laboratorio, el cumplimiento de reglamentos, normas y procedimientos.
6. Supervisar y controlar los bienes de Laboratorio , materiales e insumos.</t>
  </si>
  <si>
    <t>1. Registro de Prácticas
2. Cronograma de prácticas de laboratorio
3. Listado de prácticas de laboratorio
4. Inventario actualizado
5. Registro de adquisición de materiales, reactivos y equipos
6. Listado De Estudiantes atendidos con el certificado de  NO ADEUDAR</t>
  </si>
  <si>
    <t>Lab Procesamiento de Alimentos #1 
Tgo. Luis Carpio</t>
  </si>
  <si>
    <t>1.- Ejecutar y  supervisar actividades y demás trabajos que se realizan en el laboratorio.
2.- Asesorar el uso de materiales y equipos para prácticas afines al laboratorio.
3. Solicitar a las bodegas correspondientes materiales,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a su cargo.
7.- Controlar y realizar los inventarios de equipos, material, insumos y bienes del laboratorio.</t>
  </si>
  <si>
    <t>Laboratorio de Procesamiento de Alimentos 2  . Tgo.Luis Alberto Carpio F</t>
  </si>
  <si>
    <t>1.- Ejecutar y  supervisar actividades y demás trabajos que se realizan en el laboratorio.
2.- Asesorar el uso de materiales y equipos para prácticas afines al laboratorio.
3. Solicitar a las bodegas correspondientes materiales,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a su cargo.
7.- Controlar y realizar los inventarios de equipos, material, insumos y bienes del laboratorio.</t>
  </si>
  <si>
    <t>1. Registro de inducción
2. Cronograma de prácticas de laboratorio
3. Listado de prácticas de laboratorio
4. Registro de prácticas de laboratorio
5. Registro de adquisición de materiales y equipos
6. Listado de estudiantes exámen complexivo y trabajo de titulación con las dependencias NO ADEUDAR.</t>
  </si>
  <si>
    <t>Juana Camacho R.
Técnico de Laboratorio de Enfermería Materno Infantil.</t>
  </si>
  <si>
    <t>Juana Camacho R.
Técnico de Laboratorio de Enfermería Básica</t>
  </si>
  <si>
    <t>1. Registro de inducción
2. Cronograma de prácticas de laboratorio
3. Listado de prácticas de laboratorio
4. Registro de prácticas de laboratorio
5. Registro de adquisición de materiales y equipos
6. Listado de estudiantes de titulación con la dependencia de no adeudar.</t>
  </si>
  <si>
    <t>Juana Camacho R.
Técnico de Laboratorio de Enfermería Clínico Quirúrgico.</t>
  </si>
  <si>
    <t>N° de pedidos  por cuatrimestres de acuerdo a las necesidades de los técnicos y docentes de la FCQS</t>
  </si>
  <si>
    <t>1. Controlar y realizar el inventario de reactivos de la Bodega General de Reactivos.
2. Recibir y despachar los reactivos, sustancias solicitados por los técnicos, docentes de la UTMACH.
3. Validar y emitir certificados de NO ADEUDAR al laboratorio.</t>
  </si>
  <si>
    <t>1. Registro de adquisición de materiales, equipos y reactivos.
2. Listado de estudiantes exámen complexivo con las dependencias NO ADEUDAR.
3. Listado de estudiantes trabajo de titulación con las dependencias NO ADEUDAR.
4. Inventario interno de reactivos</t>
  </si>
  <si>
    <t>JEFFERSON MANUEL TOCTO LEÓN
Técnico de Laboratorio
Bodega General de Reactivos</t>
  </si>
  <si>
    <t>N° de pedidos  por cuatrimestres de acuerdo a las necesidades de los Técnicos y Docente de los laboratorios de la FCQS</t>
  </si>
  <si>
    <t>1.- Controlar y realizar el inventario de materiales de la Bodega General de Materiales.
2.- Recibir y despachar los materiales solicitados por los Técnicos y Docentes de la FCQS.
3.- Validar y emitir certificados de NO ADEUDAR al laboratorio</t>
  </si>
  <si>
    <t>1.- Registro de Adquisición de materiales, equipos y reactivos.
2.- Listado de estudiantes examen complexivo con las dependencias NO ADEUDAR.
3.-Listado de Estudiantes Titulación con las Dependencias NO ADEUDAR                                                               4.- Inventario interno de materiales.</t>
  </si>
  <si>
    <t>GRACE LILIANA JARAMILLO PROCEL ADMINISTRADOR  DE LABORATORIO (BODEGA DE MATERIALES)</t>
  </si>
  <si>
    <r>
      <rPr>
        <b/>
        <sz val="10"/>
        <color theme="1"/>
        <rFont val="Arial Narrow"/>
      </rPr>
      <t>7.-</t>
    </r>
    <r>
      <rPr>
        <sz val="10"/>
        <color theme="1"/>
        <rFont val="Arial Narrow"/>
      </rPr>
      <t xml:space="preserve"> Emitir documentos de planificación académica y curricular.</t>
    </r>
  </si>
  <si>
    <t>Nº de planificaciones académicas coordinadas segùn el Modelo Genèrico de Evaluaciòn del Entorno de Aprendizaje de Carreras</t>
  </si>
  <si>
    <t>1.- Coordinar la presentación de la planificación académica de acuerdo al Modelo Genèrico de Evaluaciòn del Entorno de Aprendizaje de Carreras</t>
  </si>
  <si>
    <t xml:space="preserve"> Reporte de planificaciones académicas - curriculares presentadas.</t>
  </si>
  <si>
    <t>Ing.Jonathan Aguilar Alvarado, Subdecano
Dra. Thayana Núñez Quezada, Coordinadora de la Carrera Bioquímica y Farmacia
Lcda. Sara Saraguro Salinas, Coordinadora de la Carrera Enfermería.
Ing. Verónica Bravo Bravo, Coordinadora de la Carrera de Alimentos-Ingeniería en Alimentos
Ing. Katty Gadvay Yambay, 
Dr. Franklin Paladines Figueroa, Coordinador de la Carrera de Medicina-Ciencias Médicas
Dr. Víctor Hugo Gonzalez, Coordinador Académico
Lcda.Priscila Illescas, Analista Academico</t>
  </si>
  <si>
    <r>
      <rPr>
        <b/>
        <sz val="10"/>
        <color theme="1"/>
        <rFont val="Arial Narrow"/>
      </rPr>
      <t>8.-</t>
    </r>
    <r>
      <rPr>
        <sz val="10"/>
        <color theme="1"/>
        <rFont val="Arial Narrow"/>
      </rPr>
      <t xml:space="preserve"> Coordinar el logro de resultados o avances de procesos académicos, de Investigación y de vinculación con la sociedad.</t>
    </r>
  </si>
  <si>
    <t>Procesos académicos de docencia, investigación y vinculación con la sociedad, coordinados</t>
  </si>
  <si>
    <t>Ing.Jonathan Aguilar Alvarado, Subdecano
Dra. Thayana Núñez Quezada, Coordinadora de la Carrera Bioquímica y Farmacia
Lcda. Sara Saraguro Salinas, Coordinadora de la Carrera Enfermería.
Ing. Verónica Bravo Bravo, Coordinadora de la Carrera de Alimentos-Ingeniería en Alimentos
Ing. Katty Gadvay Yambay, 
Dr. Franklin Paladines Figueroa, Coordinador de la Carrera de Medicina-Ciencias Médicas
Lcda.Priscila Illescas, Analista Académico</t>
  </si>
  <si>
    <r>
      <rPr>
        <b/>
        <sz val="10"/>
        <color theme="1"/>
        <rFont val="Arial Narrow"/>
      </rPr>
      <t>9.-</t>
    </r>
    <r>
      <rPr>
        <sz val="10"/>
        <color theme="1"/>
        <rFont val="Arial Narrow"/>
      </rPr>
      <t xml:space="preserve"> Evaluar al personal administrativo bajo su responsabilidad.</t>
    </r>
  </si>
  <si>
    <t>Nº de personal administrativo evaluado</t>
  </si>
  <si>
    <t>1.- Formulario de Evaluaciòn aplicado.</t>
  </si>
  <si>
    <t xml:space="preserve">Ing. Jonathan Aguilar Alvarado
Subdecano
</t>
  </si>
  <si>
    <r>
      <rPr>
        <b/>
        <sz val="10"/>
        <color theme="1"/>
        <rFont val="Arial Narrow"/>
      </rPr>
      <t>10.-</t>
    </r>
    <r>
      <rPr>
        <sz val="10"/>
        <color theme="1"/>
        <rFont val="Arial Narrow"/>
      </rPr>
      <t xml:space="preserve"> Coordinar el Proceso referente a las pasantías y prácticas pre-profesionales de las y los estudiantes de las carreras de pregrado.</t>
    </r>
  </si>
  <si>
    <t>Nº de planes de pasantías y prácticas pre-profesionales de las carreras de pregrado aprobados</t>
  </si>
  <si>
    <t>1.- Coordinar las prácticas de vinculación y pasantías preprofesionales con los colectivos académicos, en coordinación con el VINCOPP.</t>
  </si>
  <si>
    <t>1.-  Planificaciones de pasantías y prácticas pre-profesionales de las carreras de pregrado.</t>
  </si>
  <si>
    <r>
      <rPr>
        <b/>
        <sz val="10"/>
        <color theme="1"/>
        <rFont val="Arial Narrow"/>
      </rPr>
      <t>11.-</t>
    </r>
    <r>
      <rPr>
        <sz val="10"/>
        <color theme="1"/>
        <rFont val="Arial Narrow"/>
      </rPr>
      <t xml:space="preserve"> Controlar la ejecución de los procesos de titulación.</t>
    </r>
  </si>
  <si>
    <t xml:space="preserve">Nº de reportes de los procesos de titulación controlados. </t>
  </si>
  <si>
    <t>1.- Reportes de los procesos de titulación.
2.- Cronograma del proceso de titulaciòn.
3.- Resoluciones adoptadas por Comisiòn Acadèmica de asignaciòn de tutores y comitè evaluador.</t>
  </si>
  <si>
    <r>
      <rPr>
        <b/>
        <sz val="10"/>
        <color theme="1"/>
        <rFont val="Arial Narrow"/>
      </rPr>
      <t>12.-</t>
    </r>
    <r>
      <rPr>
        <sz val="10"/>
        <color theme="1"/>
        <rFont val="Arial Narrow"/>
      </rPr>
      <t xml:space="preserve"> Ejecutar el proceso de evaluación integral del desempeño docente de acuerdo a las directrices emitidas a nivel institucional.</t>
    </r>
  </si>
  <si>
    <t xml:space="preserve">Nº de evaluaciones integrales del desempeño docente de acuerdo a las directrices emitidas a nivel institucional ejecutadas. </t>
  </si>
  <si>
    <t>1.- Elaborar cronogramas  para llevar a cabo el proceso de evaluaciòn integral del desempeño docente.
2.- Aprobar la matriz de Comisiones para el proceso de evaluaciòn integral del desempeño docente.</t>
  </si>
  <si>
    <r>
      <rPr>
        <b/>
        <sz val="10"/>
        <color theme="1"/>
        <rFont val="Arial Narrow"/>
      </rPr>
      <t>13.-</t>
    </r>
    <r>
      <rPr>
        <sz val="10"/>
        <color theme="1"/>
        <rFont val="Arial Narrow"/>
      </rPr>
      <t xml:space="preserve"> Supervisar actividades académicas que se realizan en los diferentes laboratorios, aulas, salas tics y unidades académicas experimentales de las Facultades.</t>
    </r>
  </si>
  <si>
    <t>Se repite con la Meta N° 6 y 13</t>
  </si>
  <si>
    <r>
      <rPr>
        <b/>
        <sz val="10"/>
        <color theme="1"/>
        <rFont val="Arial Narrow"/>
      </rPr>
      <t xml:space="preserve">14.- </t>
    </r>
    <r>
      <rPr>
        <sz val="10"/>
        <color theme="1"/>
        <rFont val="Arial Narrow"/>
      </rPr>
      <t>Coordinar las actividades culturales, deportivas, sociales, y proyectos de responsabilidad social e influencia en políticas públicas.</t>
    </r>
  </si>
  <si>
    <t>Actividades culturales, deportivas, sociales, y proyectos de responsabilidad social e influencia en las políticas públicas coordinadas.</t>
  </si>
  <si>
    <t>1.- Coordinar la presentación de proyectos que contengan actividades culturales, deportivas, sociales y proyectos de responsabilidad social e influencia en políticas públicas</t>
  </si>
  <si>
    <t>1.- Resoluciones de aprobación de proyectos que contengan actividades culturales, deportivas, sociales y proyectos de responsabilidad social e influencia en políticas públicas</t>
  </si>
  <si>
    <r>
      <rPr>
        <b/>
        <sz val="10"/>
        <color theme="1"/>
        <rFont val="Arial Narrow"/>
      </rPr>
      <t>15.-</t>
    </r>
    <r>
      <rPr>
        <sz val="10"/>
        <color theme="1"/>
        <rFont val="Arial Narrow"/>
      </rPr>
      <t xml:space="preserve"> Conocer y atender los requerimientos estudiantiles respecto al área académica y docente.</t>
    </r>
  </si>
  <si>
    <t>Nº de requerimientos estudiantiles respecto al área académica y docente conocidos y atendidos</t>
  </si>
  <si>
    <r>
      <rPr>
        <b/>
        <sz val="10"/>
        <color theme="1"/>
        <rFont val="Arial Narrow"/>
      </rPr>
      <t>16.-</t>
    </r>
    <r>
      <rPr>
        <sz val="10"/>
        <color theme="1"/>
        <rFont val="Arial Narrow"/>
      </rPr>
      <t xml:space="preserve"> Presentar las Planificaciones Operativas Anuales y las Evaluaciones de las Planificaciones Operativas Anuales.</t>
    </r>
  </si>
  <si>
    <t>N° de planificaciones Operativas Anuales y Evaluaciones del POA entregadas</t>
  </si>
  <si>
    <t>1. Elaborar la Planificación Operativa Anual 2024
2. Efectuar el seguimientos a las planificaciones operativa de Secretaría.
3. Realizar la evaluación al POA 2023
4 . Remitir al Decano el POA y su Evaluación.</t>
  </si>
  <si>
    <t xml:space="preserve">1.- POA 2024 
2.- Evaluación del POA 2023 
</t>
  </si>
  <si>
    <t>Ing. Jonathan Aguilar Alvarado
Lcda. Priscila Illescas</t>
  </si>
  <si>
    <r>
      <rPr>
        <b/>
        <sz val="10"/>
        <color theme="1"/>
        <rFont val="Arial Narrow"/>
      </rPr>
      <t>17.-</t>
    </r>
    <r>
      <rPr>
        <sz val="10"/>
        <color theme="1"/>
        <rFont val="Arial Narrow"/>
      </rPr>
      <t xml:space="preserve"> Organizar el Archivo de Gestión.</t>
    </r>
  </si>
  <si>
    <t xml:space="preserve">
Lcda.Priscila Illescas
Analista Acdemico</t>
  </si>
  <si>
    <t>TOTAL PRESUPUESTO ESTIMATIVO DEL SUBDECANATO 2022:</t>
  </si>
  <si>
    <r>
      <rPr>
        <b/>
        <sz val="10"/>
        <color rgb="FFFF0000"/>
        <rFont val="Arial Narrow"/>
      </rPr>
      <t>METAS OPERATIVAS</t>
    </r>
    <r>
      <rPr>
        <b/>
        <sz val="9"/>
        <color theme="1"/>
        <rFont val="Century Schoolbook"/>
      </rPr>
      <t xml:space="preserve">
1.-</t>
    </r>
    <r>
      <rPr>
        <sz val="10"/>
        <color theme="1"/>
        <rFont val="Arial Narrow"/>
      </rPr>
      <t xml:space="preserve"> Coordinar y ejecutar los Procesos de Matriculación.</t>
    </r>
  </si>
  <si>
    <t>N° de procesos de matriculación coordinados y ejecutados</t>
  </si>
  <si>
    <t>1.- Coordinar y planificar el proceso de matrícula a nivel de facultad.
2.- Revisar requisitos, cartilla y datos cargados en el SIUTMACH.
3.- Validar las matrículas de los estudiantes.
4.- Seleccionar fecha de inicio de estudios de expedientes históricos.
5.- Generar la matrícula y orden de pago de los estudiantes con menos
     del 60%, tercera matricula, matricula especial, plan de reingreso.
6.- Revisar curso, cupo y paralelo en períodos de matrículas.
7.- Crear registros de carrera de expedientes históricos.
8.- Actualizar datos en el SIUTMACH.
9.- Anular órdenes de pago en el SIUTMACH.
10.- Anular matrículas aprobadas por Consejo Universitario.
11- Atender a usuarios internos y externos.</t>
  </si>
  <si>
    <t xml:space="preserve">1.- Reporte de estudiantes matriculados. </t>
  </si>
  <si>
    <t>Ing. Alicia Riera Flores,Mg.Sc.
JEFA DE UMMOG FCQS
Lic. Jessenia Aguayo Mora,
ANALISTA UMMOG FCQS
Ing. Kleber Cedillo Montes,
ANALISTA ESTADÍSTICA-UMMOG</t>
  </si>
  <si>
    <r>
      <rPr>
        <b/>
        <sz val="9"/>
        <color theme="1"/>
        <rFont val="Century Schoolbook"/>
      </rPr>
      <t>2.-</t>
    </r>
    <r>
      <rPr>
        <sz val="10"/>
        <color theme="1"/>
        <rFont val="Arial Narrow"/>
      </rPr>
      <t xml:space="preserve"> Ejecutar y validar los cambios de paralelos, cambios de sección y retiros de carrera y/o asignaturas autorizados por el Consejo Directivo.</t>
    </r>
  </si>
  <si>
    <t>1.- Cambiar paralelos y sección autorizados por Consejo Directivo.
2.- Retirar asignaturas aprobados por Consejo Directivo.
3.- Cambiar el estado de activo a inactivo y/o retirado aprobados por
    Consejo Directivo.</t>
  </si>
  <si>
    <t xml:space="preserve">1.- Reporte de estudiantes con retiro de asignaturas,
     cambio de paralelo, estado inactivo o retiro de
     carrera, autorizados por Consejo Directivo. </t>
  </si>
  <si>
    <r>
      <rPr>
        <b/>
        <sz val="9"/>
        <color theme="1"/>
        <rFont val="Century Schoolbook"/>
      </rPr>
      <t>3.-</t>
    </r>
    <r>
      <rPr>
        <sz val="10"/>
        <color theme="1"/>
        <rFont val="Arial Narrow"/>
      </rPr>
      <t xml:space="preserve"> Coordinar y Ejecutar los Procesos de Movilidad.</t>
    </r>
  </si>
  <si>
    <t>N° de solicitudes de movilidad para la elaboración del Informe de Reconocimiento u Homologación de Estudios de asignaturas, cursos o sus equivalentes, revisados y remitidos a Coordinaciones de Carrera y Comisión académica.</t>
  </si>
  <si>
    <t>1.- Coordinar y planificar el proceso de movilidad a nivel de Facultad.
2.- Receptar y revisar los documentos habilitantes para procesos de
     movilidad.
3.- Emitir oficios a coordinación de carrera con la documentación 
     respectiva para su análisis académico y elaboración del informe.
4.- Emitir oficios para la Comisión Académica para la aprobación de
    los informes de Reconocimiento y Homologación de estudios.
5.-Generar la matrícula y orden de pago de los estudiantes con 
    reconocimiento u homologación de estudios aprobados por el 
    Consejo Directivo.
6.- Registrar en el SIUTMACH. las calificaciones homologadas.
7.- Atender a usuarios internos y externos.</t>
  </si>
  <si>
    <t>1.- Reporte de solicitudes de movilidad para la
     elaboración del Informe de Reconocimiento u
     Homologación de Estudios de asignaturas,
     cursos o sus equivalentes recibidas.
 2.- Oficios enviados a los Coordinadores de 
      Carreras para la elaboración de los informes de
      Reconocimiento u Homologación de Estudios,
      Asignaturas, Cursos o sus Equivalentes.
3.- Oficios enviados a la Comisión académica de los
     informes de Reconocimiento y Homologación de
     estudios para aprobación.
4.- Reporte de estudiantes matriculados por 
     homologación.</t>
  </si>
  <si>
    <r>
      <rPr>
        <b/>
        <sz val="9"/>
        <color theme="1"/>
        <rFont val="Century Schoolbook"/>
      </rPr>
      <t>4.-</t>
    </r>
    <r>
      <rPr>
        <sz val="10"/>
        <color theme="1"/>
        <rFont val="Arial Narrow"/>
      </rPr>
      <t xml:space="preserve"> Coordinar los procesos de registros y/o validación de calificaciones.</t>
    </r>
  </si>
  <si>
    <t>----------</t>
  </si>
  <si>
    <r>
      <rPr>
        <b/>
        <sz val="9"/>
        <color theme="1"/>
        <rFont val="Century Schoolbook"/>
      </rPr>
      <t>5.-</t>
    </r>
    <r>
      <rPr>
        <sz val="10"/>
        <color theme="1"/>
        <rFont val="Arial Narrow"/>
      </rPr>
      <t xml:space="preserve"> Apertura del Sistema para registro de calificaciones extemporáneas según resolución del Consejo Directivo.</t>
    </r>
  </si>
  <si>
    <t>N° de Registros de calificaciones.</t>
  </si>
  <si>
    <r>
      <rPr>
        <sz val="10"/>
        <color rgb="FF000000"/>
        <rFont val="Arial Narrow"/>
      </rPr>
      <t>1.- Verificar en el SIUTMACH el ingreso de las actas de calificaciones
     generadas por los docentes.
2.- Registrar manualmente en el SIUTMACH las calificaciones por</t>
    </r>
    <r>
      <rPr>
        <sz val="10"/>
        <color rgb="FFFF0000"/>
        <rFont val="Arial Narrow"/>
      </rPr>
      <t xml:space="preserve"> 
     </t>
    </r>
    <r>
      <rPr>
        <sz val="10"/>
        <color rgb="FF000000"/>
        <rFont val="Arial Narrow"/>
      </rPr>
      <t>homologaciones, rectificación de calificaciones, recalificaciones y
     calificaciones históricas.
3.-</t>
    </r>
    <r>
      <rPr>
        <sz val="10"/>
        <color rgb="FFFF0000"/>
        <rFont val="Arial Narrow"/>
      </rPr>
      <t xml:space="preserve"> </t>
    </r>
    <r>
      <rPr>
        <sz val="10"/>
        <color rgb="FF000000"/>
        <rFont val="Arial Narrow"/>
      </rPr>
      <t>Actualizar en el SIUTMACH las cartillas históricas de estudiantes.
4.- Aperturar el sistema, previa aprobación del Consejo Directivo para
     registro y/o corrección de calificaciones por parte de los docentes.
5.- Atender a usuarios internos y externos.</t>
    </r>
  </si>
  <si>
    <r>
      <rPr>
        <sz val="10"/>
        <color rgb="FFFF0000"/>
        <rFont val="Arial Narrow"/>
      </rPr>
      <t xml:space="preserve">
</t>
    </r>
    <r>
      <rPr>
        <sz val="10"/>
        <color rgb="FF000000"/>
        <rFont val="Arial Narrow"/>
      </rPr>
      <t>1. Reporte de registro de calificaciones en cartillas
   de calificaciones.</t>
    </r>
  </si>
  <si>
    <t>Ing. Alicia Riera Flores,Mg.Sc.
JEFA DE UMMOG FCQS
Ing. Kleber Cedillo Montes,
ANALISTA ESTADÍSTICA-UMMOG</t>
  </si>
  <si>
    <r>
      <rPr>
        <b/>
        <sz val="9"/>
        <color theme="1"/>
        <rFont val="Century Schoolbook"/>
      </rPr>
      <t>6.-</t>
    </r>
    <r>
      <rPr>
        <sz val="10"/>
        <color theme="1"/>
        <rFont val="Arial Narrow"/>
      </rPr>
      <t xml:space="preserve"> Organizar y supervisar las fases del proceso de titulación.</t>
    </r>
  </si>
  <si>
    <t>N° de procesos de titulación, organizados, supervisados y ejecutados.</t>
  </si>
  <si>
    <t xml:space="preserve"> 1.- Coordinar y planificar el proceso de titulacion a nivel de facultad.
 2.- Registrar la fecha de fin de carrera para cumplimiento de la 
      inscripcion al proceso de titulación y  graduación.
 3.- Revisar y validar del cumplimiento de la malla.
 4.- Revisar la perdida de gratuidad por acumular más del 30% de
      créditos reprobados.
 5.- Revisar en la SENESCYT el registro de un segundo o más títulos
     de tercer nivel.
 6.- Revisar requisitos habilitantes para validar la matricula en el
     proceso de titulación.
 7.- Validar la matricula en el proceso de titulación.
 8.- Supervisar y coordinar la toma del examen complexivo.
 9.- Ingresar a la plataforma de titulacion fecha, hora y lugar de 
      sustentacion.
10.- Supervisar y coordinar las sustentaciones de trabajo de titulacion
       y examen complexivo.
11.- Activar especialista suplente del comite evaluador a peticion del
      coordinador de carrera.
12.- Generar actas de calificaciones de las sustentaciones.
13.- Validar el trabajo escrito de ambas opciones de titulacion en la
       plataforma de titulación.
14.-  Validar la estructura del documento del trabajo de integración
       curricular en el SIUTMACH.</t>
  </si>
  <si>
    <t>1.- Reporte de estudiantes inscritos en el proceso
    de titulación.</t>
  </si>
  <si>
    <r>
      <rPr>
        <b/>
        <sz val="9"/>
        <color theme="1"/>
        <rFont val="Century Schoolbook"/>
      </rPr>
      <t>7.-</t>
    </r>
    <r>
      <rPr>
        <sz val="10"/>
        <color theme="1"/>
        <rFont val="Arial Narrow"/>
      </rPr>
      <t xml:space="preserve"> Emitir Informes de designación de tutor y comité evaluador.</t>
    </r>
  </si>
  <si>
    <t>N° de informes para designación de tutores y comité evaluador emitidos.</t>
  </si>
  <si>
    <t>1.- Solicitar a coordinadores de carrera el registro de tutores en la 
     plataforma de titulación en cada proceso.
2.- Generar desde la plataforma de titulación el reporte de tutores y 
     comité evaluador para aprobación de Comisión Académica y 
     Consejo Directivo.
3.- Receptar los reportes de tutor y comité evaluador legalizados.</t>
  </si>
  <si>
    <t xml:space="preserve">1.- Informes de designación de tutores enviados
     para aprobación de Comisión académica.
</t>
  </si>
  <si>
    <t xml:space="preserve">Ing. Alicia Riera Flores,Mg.Sc.
JEFA DE UMMOG FCQS
</t>
  </si>
  <si>
    <r>
      <rPr>
        <b/>
        <sz val="9"/>
        <color theme="1"/>
        <rFont val="Century Schoolbook"/>
      </rPr>
      <t>8.-</t>
    </r>
    <r>
      <rPr>
        <sz val="10"/>
        <color theme="1"/>
        <rFont val="Arial Narrow"/>
      </rPr>
      <t xml:space="preserve"> Coordinar y Ejecutar los Procesos de Graduación.</t>
    </r>
  </si>
  <si>
    <t>N° de estudiantes graduados.</t>
  </si>
  <si>
    <t>1.- Revisar y validar o emitir certificados de no adeudar.
2.- Receptar los certificados de no adeudar y recibo único de ingreso
    a caja de estudiantes que pierden gratuidad y/o poseen otro título.
3.- Remitir oficio al decanato para el traslado y/o compra de especies
    de tesorería a secretaria general.
4.- Revisar y grabar los promedios de grado a fin de generar acta
     consolidada.
5.- Generar la acta consolidada por estudiante.
6.- Generar y/o imprimir informes de aptitud legal por carrera, para 
     aprobación de Consejo Directivo.
7.- Registrar la firma electrónica en el SIUTMACH.
8.- Emitir informe al Consejo Directo sobre la aprobación de la aptitud 
     legal y graduación de los estudiantes que aprobaron el proceso de
     titulación.
9.- Ingresar, revisar y actualizar la información cargada en el SIUTMACH
     para la impresion de titulos y registro en la SENESCYT.
10.- Descargar acta de graduación e insertar en expediente de 
      estudiante.
11.- Remitir al decanato el oficio solicitando el registro e impresión dE
      los títulos por parte de secretaria general de los estudiantes 
      graduados.
12.- Cargar en drive los expedientes de los estudiantes graduados
      para el registro e impresión de los titulos y compartir con las partes
      pertinentes.
13.- Coordinar con decanato y secretaría de la facultad la organizacion
      del evento de incorporación virtual y/o presencial.
14.- Coordinar con direccion de comunicacion el evento de 
       incorporación.
15.- Convocar y asistir en la inducción presencial y/o virtual para el 
       evento de incorporación.</t>
  </si>
  <si>
    <t xml:space="preserve">
1.- Reporte de estudiantes graduados.</t>
  </si>
  <si>
    <r>
      <rPr>
        <b/>
        <sz val="9"/>
        <color theme="1"/>
        <rFont val="Century Schoolbook"/>
      </rPr>
      <t>9.-</t>
    </r>
    <r>
      <rPr>
        <sz val="10"/>
        <color theme="1"/>
        <rFont val="Arial Narrow"/>
      </rPr>
      <t xml:space="preserve"> Emitir Informes para certificaciones de procesos de matrícula, movilidad, graduación y estadística.</t>
    </r>
  </si>
  <si>
    <t>N° de certificados emitidos en los procesos de matrícula, movilidad, graduación y estadística.</t>
  </si>
  <si>
    <r>
      <rPr>
        <sz val="10"/>
        <color theme="1"/>
        <rFont val="Arial Narrow"/>
      </rPr>
      <t xml:space="preserve"> 1.- Recibir las solicitudes de los estudiantes para remitir a los
      funcionarios para que se generen los certificados en los
      procesos de matricula, movilidad, graduación y estadistica.
 2.- Generar certificados de estar legalmente matriculados.
 3.- Emitir certificados de promocion o record académico.
 4.- Emitir certificados de culminación de malla.
 5.- Emitir certificados de promedio global de notas.
 6.- Emitir certificados de inicio y fin de carrera.
 7.- Emitir certificados de reprobacion de asignaturas por tercera vez.
 8.- Emitir certificados de Reconocimiento y Homologación de estudios.
 9.- Emitir certificados de estar legalmente matriculados en el
      proceso de titulacion.
10.- Remitir copias certificadas de acta de consolidada.
11.- Remitir copias certificadas de acta de graduacion.
12.- Remitir copias certificadas de oficios de autorizacion de la
      compra de titulos de promociones antiguas.
13.- Remitir copias certificadas de actas de calificaciones.
</t>
    </r>
    <r>
      <rPr>
        <sz val="10"/>
        <color rgb="FF434343"/>
        <rFont val="Arial Narrow"/>
      </rPr>
      <t xml:space="preserve">14.- </t>
    </r>
    <r>
      <rPr>
        <sz val="10"/>
        <color theme="1"/>
        <rFont val="Arial Narrow"/>
      </rPr>
      <t>Atender a usuarios internos y externos.</t>
    </r>
  </si>
  <si>
    <t>1.- Reportes de Certificados emitidos en los
     procesos de matrícula, movilidad, graduación
     y estadística generados y/o emitidos.
2.- Certificados generados.</t>
  </si>
  <si>
    <r>
      <rPr>
        <b/>
        <sz val="9"/>
        <color theme="1"/>
        <rFont val="Century Schoolbook"/>
      </rPr>
      <t>10.-</t>
    </r>
    <r>
      <rPr>
        <sz val="10"/>
        <color theme="1"/>
        <rFont val="Arial Narrow"/>
      </rPr>
      <t xml:space="preserve"> Emitir Informes Técnicos para procesos internos y externos.</t>
    </r>
  </si>
  <si>
    <t>N° de informes de estudiantes y de graduados, solicitados por los entes reguladores internos y externos, entregados.</t>
  </si>
  <si>
    <t>1.- Receptar y atender los requerimientos de los organismos de
     control internos y externos.
2.- Revisar la información existente el en SIUTMACH y archivo físico.
3.- Elaborar informes, generar reportes solicitados de matrículas,
     movilidad graduación y estadística.
4.- Emitir el reporte de mejor egresado por periodo y/o carrera.</t>
  </si>
  <si>
    <t>1.- Informes, reportes de estudiantes y de
     graduados, entregados a los entes
     reguladores internos y externos.</t>
  </si>
  <si>
    <r>
      <rPr>
        <b/>
        <sz val="9"/>
        <color theme="1"/>
        <rFont val="Century Schoolbook"/>
      </rPr>
      <t>11.-</t>
    </r>
    <r>
      <rPr>
        <sz val="10"/>
        <color theme="1"/>
        <rFont val="Arial Narrow"/>
      </rPr>
      <t xml:space="preserve"> Presentar la Planificación Operativa Anual y Evaluación de la Planificación Operativo Anual.</t>
    </r>
  </si>
  <si>
    <t>N° de Planificación Operativa Anual y Evaluaciones de la Planificación Operativa Anual entregadas oportunamente.</t>
  </si>
  <si>
    <t>1.- Elaborar la planificación operativa anual del año 2024.
2.- Autoevaluar la planificación operativa anual del año 2023</t>
  </si>
  <si>
    <r>
      <rPr>
        <sz val="9"/>
        <color theme="1"/>
        <rFont val="Century Schoolbook"/>
      </rPr>
      <t xml:space="preserve">1.- </t>
    </r>
    <r>
      <rPr>
        <sz val="10"/>
        <color theme="1"/>
        <rFont val="Arial Narrow"/>
      </rPr>
      <t xml:space="preserve">Plan operativo anual 2024.
</t>
    </r>
    <r>
      <rPr>
        <sz val="9"/>
        <color theme="1"/>
        <rFont val="Century Schoolbook"/>
      </rPr>
      <t>2.-</t>
    </r>
    <r>
      <rPr>
        <sz val="10"/>
        <color theme="1"/>
        <rFont val="Arial Narrow"/>
      </rPr>
      <t xml:space="preserve"> Evaluación del POA 2023.</t>
    </r>
  </si>
  <si>
    <r>
      <rPr>
        <b/>
        <sz val="9"/>
        <color theme="1"/>
        <rFont val="Century Schoolbook"/>
      </rPr>
      <t>12.-</t>
    </r>
    <r>
      <rPr>
        <sz val="10"/>
        <color theme="1"/>
        <rFont val="Arial Narrow"/>
      </rPr>
      <t xml:space="preserve"> Organizar el Archivo Intermedio.</t>
    </r>
  </si>
  <si>
    <t>N° de Expedientes archivados en físico y/o digital.</t>
  </si>
  <si>
    <t xml:space="preserve"> 1.-  Receptar oficios, elaborar, despachar oficios y registrar en
       SIUTMACH
 2.-  Archivar cronológicamente los oficios, resoluciones del año 2023
       y expedientes de estudiantes 2018 y 2019-1
 3.-  Consolidar expediente de los estudiantes (CIENCIAS MEDICAS,
       ENFERMERIA, período académico 2019-1)
 5.- Registrar los expedientes archivados en el inventario documental
       digital.</t>
  </si>
  <si>
    <t xml:space="preserve">1.- Expedientes archivados 2018 y 2019-1
2.- Matriz del inventario Documental.
3.- Reporte de oficios enviados y recibidos en el 
     SIUTMACH.
</t>
  </si>
  <si>
    <r>
      <rPr>
        <b/>
        <sz val="10"/>
        <color rgb="FFFF0000"/>
        <rFont val="Arial Narrow"/>
      </rPr>
      <t>METAS OPERATIVAS</t>
    </r>
    <r>
      <rPr>
        <b/>
        <sz val="9"/>
        <color theme="1"/>
        <rFont val="Century Schoolbook"/>
      </rPr>
      <t xml:space="preserve">
1.-</t>
    </r>
    <r>
      <rPr>
        <sz val="10"/>
        <color theme="1"/>
        <rFont val="Arial Narrow"/>
      </rPr>
      <t xml:space="preserve"> Emitir y notificar las convocatorias, actas y resoluciones de Consejo Directivo.</t>
    </r>
  </si>
  <si>
    <t>N°. De Convocatorias, actas y resoluciones de Consejo Directivo elaboradas y emitidas</t>
  </si>
  <si>
    <t>1.Elaborar la convocatoria.
2.Notificar la convocatoria.
3.Constatar el quórum reglamentario.
4. Dar lectura al orden del dia.
5.Elaborar las resoluciones adoptadas en consejo directivo.
6.Certificar las resoluciones.
7.Registrar y notificar las resoluciones
8.Redactar y revisar actas de consejo directivo
9.Suscribir acta de consejo directivo conjuntamente con el señor decano
10.Notificar el acta a los miembros del consejo directivo</t>
  </si>
  <si>
    <t>1.- Reporte de emisión y notificación de convocatorias, resoluciones y actas de Consejo Directivo.</t>
  </si>
  <si>
    <t xml:space="preserve">Ab. Stalin Rodríguez Pérez, Secretario-Abogado                Tecnico de Documentacion y Archivo                                            Sr. Pedro Jimenez,                   Auxiliar administrativo de Secretaría y Archivo                                         </t>
  </si>
  <si>
    <r>
      <rPr>
        <b/>
        <sz val="9"/>
        <color theme="1"/>
        <rFont val="Century Schoolbook"/>
      </rPr>
      <t>2.-</t>
    </r>
    <r>
      <rPr>
        <sz val="10"/>
        <color theme="1"/>
        <rFont val="Arial Narrow"/>
      </rPr>
      <t xml:space="preserve"> Emitir y/o legalizar las Certificaciones de la Facultad.</t>
    </r>
  </si>
  <si>
    <t>N° De Certificados de la Facultad emitidas y legalizadas.</t>
  </si>
  <si>
    <t>1.- Receptar, ingresar y distribuir las certificaciones de procesos administrativos y académicos, compulsas, reproducción de documentos oficiales.</t>
  </si>
  <si>
    <t>1.- Registro de certificaciones emitidas.</t>
  </si>
  <si>
    <t xml:space="preserve">Ab. Stalin Rodríguez Pérez, Secretario-Abogado                  Tecnico de Documentacion y Archivo                                      Sr. Pedro Jimenez, Auxiliar administrativo de Secretaría y Archivo                                         </t>
  </si>
  <si>
    <r>
      <rPr>
        <b/>
        <sz val="9"/>
        <color theme="1"/>
        <rFont val="Century Schoolbook"/>
      </rPr>
      <t>3.-</t>
    </r>
    <r>
      <rPr>
        <sz val="10"/>
        <color theme="1"/>
        <rFont val="Arial Narrow"/>
      </rPr>
      <t xml:space="preserve"> Registrar y distribuir la correspondencia interna y externa de la Facultad.</t>
    </r>
  </si>
  <si>
    <t>N° de correspondencia interna y externa registrada y distribuida.</t>
  </si>
  <si>
    <t>1.- Receptar, ingresar y distribuir los documentos dirigidos a la Unidad Académica.
2.- Despachar la correspondencia a usuarios externos de la Unidad Académica.</t>
  </si>
  <si>
    <t>1.- Reporte de distribución de correspondencia.</t>
  </si>
  <si>
    <t xml:space="preserve">Ab. Stalin Rodríguez Pérez, Secretario-Abogado                              Sr. Pedro Jiménez,                             Auxiliar administrativo de Secretaría y Archivo                                         </t>
  </si>
  <si>
    <r>
      <rPr>
        <b/>
        <sz val="9"/>
        <color theme="1"/>
        <rFont val="Century Schoolbook"/>
      </rPr>
      <t>4.-</t>
    </r>
    <r>
      <rPr>
        <sz val="10"/>
        <color theme="1"/>
        <rFont val="Arial Narrow"/>
      </rPr>
      <t xml:space="preserve"> Brindar asesoría jurídica a las Autoridades y dependencias de la Facultad.</t>
    </r>
  </si>
  <si>
    <t>N° de informes de asesoría jurídica brindada a las autoridades y dependencias de la Facultad.</t>
  </si>
  <si>
    <t>1.- Orientar con legislación  actualizada a los  diferentes departamentos de la facultad.</t>
  </si>
  <si>
    <t xml:space="preserve">1.- Informes  jurídicos             2.- Resoluciones de Consejo Directivo.                            </t>
  </si>
  <si>
    <t xml:space="preserve">Ab. Stalin Rodríguez Pérez, Secretario-Abogado                                                   </t>
  </si>
  <si>
    <r>
      <rPr>
        <b/>
        <sz val="9"/>
        <color theme="1"/>
        <rFont val="Century Schoolbook"/>
      </rPr>
      <t>5.-</t>
    </r>
    <r>
      <rPr>
        <sz val="10"/>
        <color theme="1"/>
        <rFont val="Arial Narrow"/>
      </rPr>
      <t xml:space="preserve"> Emitir Informes jurídicos de los procesos disciplinarios, académicos y/o administrativos de la Facultad.</t>
    </r>
  </si>
  <si>
    <t>N° de procesos disciplinarios, académicos y administrativos  emitidos.</t>
  </si>
  <si>
    <t>1.- Elaborar informes internos de criterios y asesoría legal de procesos disciplinarios, académicos y/o administrativos.</t>
  </si>
  <si>
    <t>1.- Reporte de informes jurídicos de los procesos disciplinarios, académicos y/o administrativo de Facultad emitidos.</t>
  </si>
  <si>
    <r>
      <rPr>
        <b/>
        <sz val="9"/>
        <color theme="1"/>
        <rFont val="Century Schoolbook"/>
      </rPr>
      <t>6.-</t>
    </r>
    <r>
      <rPr>
        <sz val="10"/>
        <color theme="1"/>
        <rFont val="Arial Narrow"/>
      </rPr>
      <t xml:space="preserve"> Administrar la Documentación para tratamiento del Consejo Directivo de la Facultad.</t>
    </r>
  </si>
  <si>
    <t>Documentación para tratamiento del Consejo Directivo administrada.</t>
  </si>
  <si>
    <t>N° de documentos administrados para el tratamiento del Consejo Directivo</t>
  </si>
  <si>
    <t xml:space="preserve">1. Receptar la documentación a tratar por consejo directivo.   
2. Analizar  la documentación a tratar por consejo directivo.  </t>
  </si>
  <si>
    <t>1.- Reporte de documentación receptada y administrada para el tratamiento del Consejo Directivo.</t>
  </si>
  <si>
    <t xml:space="preserve">Ab. Stalin Rodríguez Pérez, Secretario-Abogado                  Tecnico de Documentacion y Archivo                                          Sr. Pedro Jimenez,                     Auxiliar administrativo de Secretaría y Archivo                                         </t>
  </si>
  <si>
    <r>
      <rPr>
        <b/>
        <sz val="9"/>
        <color theme="1"/>
        <rFont val="Century Schoolbook"/>
      </rPr>
      <t>7.-</t>
    </r>
    <r>
      <rPr>
        <sz val="10"/>
        <color theme="1"/>
        <rFont val="Arial Narrow"/>
      </rPr>
      <t xml:space="preserve"> Presentar las Planificaciones  Operativas Anuales y Evaluaciones de las Planificaciones Operativas Anuales.</t>
    </r>
  </si>
  <si>
    <t>N° de Planificaciones Operativas Anuales y Evaluaciones de las Planificaciones Operativas Anuales entregadas oportunamente</t>
  </si>
  <si>
    <t>1,Elaborar la Planificación Operativa Anual                2,Efectuar el seguimientos a la planificaciones operativa de Secretaría.                            3. Realizar la evaluación al POA                                     4, Remitir al Decanato el POA y su Evaluación.</t>
  </si>
  <si>
    <t xml:space="preserve">1.- Planificación Operativa Anual 2023.
2.-  Evaluación de la Planificación Operativa 2023.    
3.- Planificación Operativa Anual 2024.                              </t>
  </si>
  <si>
    <r>
      <rPr>
        <b/>
        <sz val="9"/>
        <color theme="1"/>
        <rFont val="Century Schoolbook"/>
      </rPr>
      <t>7.-</t>
    </r>
    <r>
      <rPr>
        <sz val="10"/>
        <color theme="1"/>
        <rFont val="Arial Narrow"/>
      </rPr>
      <t xml:space="preserve"> Organizar el Archivo intermedio.</t>
    </r>
  </si>
  <si>
    <t>N° de Carpetas inventariadas</t>
  </si>
  <si>
    <t>1. Organizar, clasificar y realizar el inventario documental  de carpetas del archivo que reposa en la secretaría de la FCQS</t>
  </si>
  <si>
    <t xml:space="preserve">Ab. Stalin Rodríguez Pérez, Secretario-Abogado                   Tecnico de Documentacion y Archivo                                      Sr. Pedro Jimenez,                    Auxiliar administrativo de Secretaría y Archivo                                         </t>
  </si>
  <si>
    <t>ALIMENTOS</t>
  </si>
  <si>
    <t>4. Impulsar la interdisciplinariedad en la gestión microcurricular.</t>
  </si>
  <si>
    <r>
      <rPr>
        <b/>
        <sz val="10"/>
        <color rgb="FFFF0000"/>
        <rFont val="Arial Narrow"/>
      </rPr>
      <t>METAS OPERATIVAS</t>
    </r>
    <r>
      <rPr>
        <b/>
        <sz val="9"/>
        <color theme="1"/>
        <rFont val="Century Schoolbook"/>
      </rPr>
      <t xml:space="preserve">
1.-</t>
    </r>
    <r>
      <rPr>
        <sz val="10"/>
        <color theme="1"/>
        <rFont val="Arial Narrow"/>
      </rPr>
      <t xml:space="preserve"> Ejecutar los procesos académicos.</t>
    </r>
  </si>
  <si>
    <t>Ejecución de los procesos académicos realizados.</t>
  </si>
  <si>
    <t xml:space="preserve">N° de Procesos académicos </t>
  </si>
  <si>
    <t>1.- Ejecutar el proceso de seguimiento al silabo
2.- Ejecutar el proceso de evaluación integral de desempeño docente.
3.- Gestionar el sistema de tutorías del proceso enseñanza - aprendizaje.
4.- Elaborar comunicaciones para trámites académicos- administrativos.
5.- Elaborar informes de actividades realizadas.
6.- Gestionar reuniones periódicas del personal académico.              
7.- Liderar los colectivos académico de la carrera: Titulación, Evaluación y Acreditación de la calidad, Prácticas preprofesionales o laborales, y servicio comunitario.
8.- Asesorar el plan de estudio de la carrera.
9.- Gestionar Actividades relacionadas con diseño curricular.
10.- Informar irregularidades, inconformidades y/o polémicas surgidas en el ambiente académico.</t>
  </si>
  <si>
    <t>1.- Reporte del estado actual de los procesos académicos ejecutados</t>
  </si>
  <si>
    <t xml:space="preserve">Ing. Verónica Bravo B
Coordinadora de Carrera
Ramiro Quezada
Nubia Matute
Omar Martinez
Luis Cedeño
Humberto Ayala
</t>
  </si>
  <si>
    <r>
      <rPr>
        <b/>
        <sz val="9"/>
        <color theme="1"/>
        <rFont val="Century Schoolbook"/>
      </rPr>
      <t>2.-</t>
    </r>
    <r>
      <rPr>
        <sz val="10"/>
        <color theme="1"/>
        <rFont val="Arial Narrow"/>
      </rPr>
      <t xml:space="preserve"> Dar seguimiento de documentos de planificación académica y curricular.</t>
    </r>
  </si>
  <si>
    <t>Documentos de planificación académica y curricular.</t>
  </si>
  <si>
    <t>Nº de Distributivos</t>
  </si>
  <si>
    <t xml:space="preserve">1. Ejecutar el proceso de elaboración de los distributivos  </t>
  </si>
  <si>
    <t xml:space="preserve">1. Reporte del estado actual de la coordinación y supervisión de elaboración de distributivos </t>
  </si>
  <si>
    <t>Ing. Linda Cabrera
Ing. Carolina Beltran
Docentes del Colectivo Estudiantil</t>
  </si>
  <si>
    <r>
      <rPr>
        <b/>
        <sz val="9"/>
        <color theme="1"/>
        <rFont val="Century Schoolbook"/>
      </rPr>
      <t>3.-</t>
    </r>
    <r>
      <rPr>
        <sz val="10"/>
        <color theme="1"/>
        <rFont val="Arial Narrow"/>
      </rPr>
      <t xml:space="preserve"> Entregar la Planificación Operativa Anual y Evaluación de la Planificación Operativa Anual.</t>
    </r>
  </si>
  <si>
    <t xml:space="preserve">N° de planificaciones  Operativas Anuales y Evaluaciones del POA </t>
  </si>
  <si>
    <t xml:space="preserve">1.- Elaborar los planes operativos anuales de la Carrera.
2.- Elaborar las Evaluaciones del  POA.
3.- Remitir al Decanato los POAs y sus Evaluaciones.
</t>
  </si>
  <si>
    <t xml:space="preserve">1.- POA 2023
2.- Evaluación del primer semestre del POA 2023
3.- POA 2024
4.- Evaluación del segundo semestre del POA 2023
</t>
  </si>
  <si>
    <t xml:space="preserve">Ing. Verónica Bravo B
Coordinadora de Carrera
</t>
  </si>
  <si>
    <r>
      <rPr>
        <b/>
        <sz val="9"/>
        <color theme="1"/>
        <rFont val="Century Schoolbook"/>
      </rPr>
      <t>4.-</t>
    </r>
    <r>
      <rPr>
        <sz val="10"/>
        <color theme="1"/>
        <rFont val="Arial Narrow"/>
      </rPr>
      <t xml:space="preserve"> Presentar las propuestas de procesos de investigación y vinculación con la sociedad ante las instancias encargadas de emitir las directrices a nivel institucional.</t>
    </r>
  </si>
  <si>
    <t>Propuestas de procesos de investigación y vinculación con la sociedad ante las instancias encargadas de emitir las directrices a nivel institucional supervisadas.</t>
  </si>
  <si>
    <t>Nº de Avances de proyectos de investigación y de Vinculación en ejecución.</t>
  </si>
  <si>
    <t>1.- Ejecutar el procesos de vinculación con la sociedad e investigación.</t>
  </si>
  <si>
    <t>1.- Informe de avance de procesos de vinculación con la sociedad e investigación</t>
  </si>
  <si>
    <t>Ing. Verónica Bravo
Coordinador de Carrera 
Ing. Wilson Carrión E.
Ing. Erik Vivanco
Colectivo de vinculación y práctica preprofesional</t>
  </si>
  <si>
    <r>
      <rPr>
        <b/>
        <sz val="9"/>
        <color theme="1"/>
        <rFont val="Century Schoolbook"/>
      </rPr>
      <t>5.-</t>
    </r>
    <r>
      <rPr>
        <sz val="10"/>
        <color theme="1"/>
        <rFont val="Arial Narrow"/>
      </rPr>
      <t xml:space="preserve"> Apoyar el archivo de gestión.</t>
    </r>
  </si>
  <si>
    <t>Nº  de carpetas registradas en el inventario documental</t>
  </si>
  <si>
    <t>1.- Realizar el inventario documental de carpetas del archivo que reposan en la Coordinación de Carrera.</t>
  </si>
  <si>
    <t>Lcda. Mary Alvarado
Asistente</t>
  </si>
  <si>
    <t>TOTAL PRESUPUESTO ESTIMATIVO DE ALIMENTOS 2023:</t>
  </si>
  <si>
    <t>BIOQUÍMICA Y FARMACIA</t>
  </si>
  <si>
    <r>
      <rPr>
        <b/>
        <sz val="10"/>
        <color rgb="FFFF0000"/>
        <rFont val="Arial Narrow"/>
      </rPr>
      <t>METAS OPERATIVAS</t>
    </r>
    <r>
      <rPr>
        <b/>
        <sz val="9"/>
        <color theme="1"/>
        <rFont val="Century Schoolbook"/>
      </rPr>
      <t xml:space="preserve">
</t>
    </r>
    <r>
      <rPr>
        <sz val="9"/>
        <color theme="1"/>
        <rFont val="Arial Narrow"/>
      </rPr>
      <t>1. Conformar la comisión académica</t>
    </r>
  </si>
  <si>
    <t>Ejecución de actividades  Comisión Académica</t>
  </si>
  <si>
    <t>N° de actividades de Comisión Académica ejecutadas.</t>
  </si>
  <si>
    <t xml:space="preserve">
1.- Elaborar comunicaciones para trámites académicos
2.- Elevar oportunamente informes de actividades.
</t>
  </si>
  <si>
    <t>1.- Informe de actividades de  procesos académicos realizados</t>
  </si>
  <si>
    <t>Dra Thayana Nunez Quezada                                                     Coordinadora de Carrera</t>
  </si>
  <si>
    <t>2.- Presidir el Comité de Evaluación Interna de Carrera</t>
  </si>
  <si>
    <t>Ejecución de sesiones  de Comité de Evaluación Interna  de Carrera</t>
  </si>
  <si>
    <t>N° de sesiones  de Comité de Evaluación Interna de Carrera</t>
  </si>
  <si>
    <t>1. Convocar a sesiones de trabajo al Comité de Evaluación Interna de Carrera.                                                                                                                                                                                                                                2. Liderar  sesiones de Comité de  Evaluación de  Carrera</t>
  </si>
  <si>
    <t>1. Informe de sesiones de Comité de Evaluación Interna de Carrera.</t>
  </si>
  <si>
    <t>3. Proponer la terna del personal académico y estudiantil que integran el comité de Evaluación Interna de la Carrera</t>
  </si>
  <si>
    <t>Gestionar la terna del personal académico y estudiantil que integrará en Comité de Evaluación Interna de Carrera</t>
  </si>
  <si>
    <t>N° de integrantes de la terna de Comité de Evaluación Interna</t>
  </si>
  <si>
    <t>1. Elaborar la terna  de personal académico y estudiantil.                                                                          2. Remitir a autoridades correspondientes la terna académico y estudiantil.                                                               3. Notificar al personal  académico y estudiantil  designación al Comité de Evaluación Interna de Carrera</t>
  </si>
  <si>
    <t xml:space="preserve">1. Resolución de Designación de Comité de Evaluación Interna de Carrera </t>
  </si>
  <si>
    <t>4. Designar  a los responsables de los colectivos académicos de carrera: Titulación, Evaluación y Acreditación de la calidad, Prácticas Preprofesionales o laborales y servicio comunitario</t>
  </si>
  <si>
    <t>Designar los responsables de los colectivos académicos: Titulación, Evaluación y Acreditación de la Calidad, Prácticas Pre Profesionales o laborales y servicio comunitario</t>
  </si>
  <si>
    <t>N° Colectivos académicos conformados</t>
  </si>
  <si>
    <t>1. Elaborar propuesta para responsables de colectivos  académicos de carrera.                                                                                   2. Remitir a las autoridades correspondientes para la revisión y aprobación de  propuesta.                                                                 3. Notificar a los responsables designación .</t>
  </si>
  <si>
    <t>1. Documento de asignación de colectivos académicos .</t>
  </si>
  <si>
    <t>5. Ejecutar los procesos que garantizan el cumplimiento de las funciones sustantivas de la educación superior: Docencia, investigación y vinculación</t>
  </si>
  <si>
    <t>Ejecutar  los procesos que garanticen el cumplimiento de las funciones  sustantivas de la educación superior: docencia, investigación y  vinculación</t>
  </si>
  <si>
    <t>N° de propuestas de procesos de investigación y vinculación con la sociedad</t>
  </si>
  <si>
    <t>1. Asistir a reuniones de seguimiento de proyectos de vinculación e investigación.                                                                           2. Elaborar propuestas de  proyectos de vinculación con la sociedad.                                                                                          3. Remitir a departamentos correspondientes las propuestas de proyectos de vinculación para  la revisión y aprobación</t>
  </si>
  <si>
    <t>1. Documento de aprobación de propuestas de proyectos de vinculación.                                                                                           2. Reporte de seguimiento de proyectos de vinculación e investigación</t>
  </si>
  <si>
    <t>6. Asistir a sesiones  de trabajo convocadas por las  Autoridades correspondientes</t>
  </si>
  <si>
    <t>Participar en  sesiones de  trabajo convocadas por las Autoridades correspondientes</t>
  </si>
  <si>
    <t>N° de sesiones de trabajo asistidas</t>
  </si>
  <si>
    <t>1. Asistir a reuniones convocadas por autoridades.</t>
  </si>
  <si>
    <t>1. Informes de actividades</t>
  </si>
  <si>
    <t>7. Informar al Subdecanato sobre irregularidades, inconformidades y/o polémicas surgidas en el ambiente académico de la carrera</t>
  </si>
  <si>
    <t>Informar las irregularidades, inconformidades y/o polémicas surgidas en el ambiente académico de la carrera</t>
  </si>
  <si>
    <t>N° de  informes presentados</t>
  </si>
  <si>
    <t xml:space="preserve">1.- Recopilar información sobre irregularidades, inconformidades y/o polémicas  en el ambiente académico.
2.- Remitir a Subdecanatos informe  de novedades encontradas en el ámbito académico
</t>
  </si>
  <si>
    <t>1. Informe de novedades presentadas en el ambiente académico</t>
  </si>
  <si>
    <t>8. Elaborar el distributivo académico de la carrera</t>
  </si>
  <si>
    <t>Elaborar el distributivo académico</t>
  </si>
  <si>
    <t>N° de distributivos académicos elaborados</t>
  </si>
  <si>
    <t>9. Organizar y convocar a reuniones periódicas del personal académico con el fin  de monitorear y mejorar continuamente la calidad de enseñanza</t>
  </si>
  <si>
    <t>Convocar a reuniones periódicas al personal académico</t>
  </si>
  <si>
    <t>N° de reuniones  realizadas con el personal académico</t>
  </si>
  <si>
    <t>1. Planificar las reuniones  con personal académico                                                        2. Convocar a sesiones de trabajo con personal académico.                                                                                  3. Elaborar acta de reuniones  con personal académico.</t>
  </si>
  <si>
    <t>1. Informe de sesiones de trabajo con personal académico</t>
  </si>
  <si>
    <t>10. Gestionar  la organización del sistema de tutorías del proceso enseñanza-aprendizaje de la carrera.</t>
  </si>
  <si>
    <t>Gestionar  la organización del sistema de tutorías  del proceso enseñanza-aprendizaje de la carrera.</t>
  </si>
  <si>
    <t>N° de gestiones realizadas de la organización del sistema de tutorías</t>
  </si>
  <si>
    <t>1. Elevar oficio de requerimiento de la organización del sistema de tutorías de la carrera.</t>
  </si>
  <si>
    <t>1. Informes de requerimientos  presentados.</t>
  </si>
  <si>
    <t>11. Asesorar  al claustro docente sobre el plan de estudio de la carrera.</t>
  </si>
  <si>
    <t>Realizar asesorías sobre el plan de estudio al claustro docente de la carrera</t>
  </si>
  <si>
    <t>N° de asesorías al claustro docente ejecutadas</t>
  </si>
  <si>
    <t>1. Planificar las capacitaciones al claustro docente  sobre el plan de estudio.                                                                      2. Convocar a capacitaciones sobre plan de estudio.                                                                 3. Elaborar registro de asistencias  del claustro docente  a capacitaciones.</t>
  </si>
  <si>
    <t>1. Informe de capacitaciones sobre plan de estudios.</t>
  </si>
  <si>
    <t>12. Visitar  aulas de clase con fines formativos y de asesoramiento</t>
  </si>
  <si>
    <t>Realizar aulas de clase  con fines formativos y de asesoramiento</t>
  </si>
  <si>
    <t xml:space="preserve">N° de aulas visitadas </t>
  </si>
  <si>
    <t>1. Planificar las visitas a las aulas.                                                          2. Informar a claustro docente  cronograma de visita a las aulas clase.                                                                                          3. Visitar las aulas clase de acuerdo a cronograma establecido.</t>
  </si>
  <si>
    <t>1. Informe de visita a las aulas clase.</t>
  </si>
  <si>
    <t>13. Participar en las actividades  relacionadas con el diseño curricular  de la carrera.</t>
  </si>
  <si>
    <t>Ejecutar actividades  relacionadas con el diseño curricular de la carrera</t>
  </si>
  <si>
    <t>N° de actividades efectuadas con el diseño curricular</t>
  </si>
  <si>
    <t>1. Asistir a sesiones de trabajo relacionadas con el diseño  curricular de la carrera.</t>
  </si>
  <si>
    <t>1. Informe de actividades sobre  diseño curricular.</t>
  </si>
  <si>
    <t>14. Supervisar  la entrega de actas de calificaciones parciales y/o finales de las asignaturas.</t>
  </si>
  <si>
    <t>Ejecutar la entrega de actas de calificaciones parciales y/o finales de las asignaturas.</t>
  </si>
  <si>
    <t>N° de actas de calificaciones  entregadas.</t>
  </si>
  <si>
    <t>1. Elevar oficio solicitando la entrega de actas de parciales y/o finales de las asignaturas.                                                          2. Generar el reporte de ingreso de actas en Plataforma SIUTMACH.                                              3. Notificar  a claustro docente  incumplimiento de esta actividad</t>
  </si>
  <si>
    <t>1. Informe  de supervisión de la entrega de actas de calificaciones  parciales y/o finales de las asignaturas.</t>
  </si>
  <si>
    <t>15. Otras que se deriven de las disposiciones emitidas por las autoridades, Consejo Directivo, el presente estatuto y demás normativas vigentes.</t>
  </si>
  <si>
    <t>Ejecutar  disposiciones  emitidas por las autoridades, Consejo Directivo, el presente estatuto y demás normativa vigente.</t>
  </si>
  <si>
    <t>N° de disposiciones ejecutas.</t>
  </si>
  <si>
    <t>1.- Elaborar  los requerimientos  emitidos por las autoridades.                                                                   2. Remitir  los requerimientos  a las instancias correspondientes.</t>
  </si>
  <si>
    <t>1. Informes de requerimientos presentados a las autoridades.</t>
  </si>
  <si>
    <t>TOTAL PRESUPUESTO ESTIMATIVO DE BIOQUÍMICA Y FARMACIA 2023:</t>
  </si>
  <si>
    <t>ENFERMERÍA</t>
  </si>
  <si>
    <r>
      <rPr>
        <b/>
        <sz val="10"/>
        <color rgb="FFFF0000"/>
        <rFont val="Arial Narrow"/>
      </rPr>
      <t>METAS OPERATIVAS</t>
    </r>
    <r>
      <rPr>
        <b/>
        <sz val="9"/>
        <color theme="1"/>
        <rFont val="Century Schoolbook"/>
      </rPr>
      <t xml:space="preserve">
</t>
    </r>
    <r>
      <rPr>
        <sz val="9"/>
        <color theme="1"/>
        <rFont val="Arial Narrow"/>
      </rPr>
      <t>1. Conformar la comisión académica</t>
    </r>
  </si>
  <si>
    <t>Comisiones académicas conformadas</t>
  </si>
  <si>
    <t>Lcda. Sara Saraguro Salinas                                                     Coordinadora de Carrera</t>
  </si>
  <si>
    <t>Reuniones   de Comité de Evaluación Interna  de Carrera ejecutadas</t>
  </si>
  <si>
    <t>Terna de personal académico y estudiantil conformados</t>
  </si>
  <si>
    <t>Responsables de los colectivos académicos: Titulación, Evaluación y Acreditación de la Calidad, Prácticas Pre Profesionales o laborales y servicio comunitario designados.</t>
  </si>
  <si>
    <t xml:space="preserve">1. Elaborar propuesta para responsables de colectivos  académicos de carrera.
2. Remitir a las autoridades correspondientes para la revisión y aprobación de  propuesta.
3. Notificar a los responsables designación .
</t>
  </si>
  <si>
    <t>Propuestas de investigación y vinculación elaboradas.</t>
  </si>
  <si>
    <t>Irregularidades e inconformidades del ambiente académico de la carrera informadas.</t>
  </si>
  <si>
    <t>Distributivo académico elaborado y aprobado para cada PAO</t>
  </si>
  <si>
    <t>Reuniones periódicas con el  personal académico ejecutadas</t>
  </si>
  <si>
    <t>Procedimientos de tutorías  del proceso enseñanza-aprendizaje de la carrera.ejecutadas</t>
  </si>
  <si>
    <t>Claustro docente asesorado sobre el plan de estudio</t>
  </si>
  <si>
    <t>Aulas clase utilizadas para fines  formativas.</t>
  </si>
  <si>
    <t>Actividades de diseño curricular ejecutadas</t>
  </si>
  <si>
    <t>Actas de calificaciones parciales y/o finales de las asignaturas entregadas oportunamente.</t>
  </si>
  <si>
    <t>Disposiciones  emitidas por las autoridades, Consejo Directivo, el presente estatuto y demás normativa vigente ejecutadas</t>
  </si>
  <si>
    <t>TOTAL PRESUPUESTO ESTIMATIVO DE ENFERMERÍA 2023:</t>
  </si>
  <si>
    <t xml:space="preserve"> INGENIERÍA QUÍMICA</t>
  </si>
  <si>
    <r>
      <rPr>
        <b/>
        <sz val="10"/>
        <color rgb="FFFF0000"/>
        <rFont val="Arial Narrow"/>
      </rPr>
      <t>METAS OPERATIVAS</t>
    </r>
    <r>
      <rPr>
        <b/>
        <sz val="9"/>
        <color theme="1"/>
        <rFont val="Century Schoolbook"/>
      </rPr>
      <t xml:space="preserve">
</t>
    </r>
    <r>
      <rPr>
        <sz val="9"/>
        <color theme="1"/>
        <rFont val="Arial Narrow"/>
      </rPr>
      <t>1. Conformar la comisión académica</t>
    </r>
  </si>
  <si>
    <t>Ejecución de actividades de la Comisión Académica</t>
  </si>
  <si>
    <t xml:space="preserve">
1.- Elaborar oficios para trámites académicos
</t>
  </si>
  <si>
    <t>1.- Registro de asistencia a las comisiones académicas.         2..Informes técnicos correspondiente a la Carrera.</t>
  </si>
  <si>
    <t>Ing. Katty Gadvay Yambay Coordinadora de Carrera</t>
  </si>
  <si>
    <t xml:space="preserve">1. Convocar a sesiones de trabajo periódicas al Comité de Evaluación Interna de Carrera.                                                                                                                                                                                                                               </t>
  </si>
  <si>
    <t>1. Registro de asistencia.                  2. Informe de actividades realizadas por el Comité de Evaluación Interna de Carrera.</t>
  </si>
  <si>
    <t>1. Elaborar la terna  de personal académico y estudiantil.                                                                          2. Notificar por correo electrónico al personal  académico y estudiantil  designación al Comité de Evaluación Interna de Carrera.</t>
  </si>
  <si>
    <t xml:space="preserve">1. Resolución de Designación de Comité de Evaluación Interna de Carrera o ratificación de la resolución aprobada. </t>
  </si>
  <si>
    <t>Designación de responsables de los colectivos académicos: Titulación, Evaluación y Acreditación de la Calidad, Prácticas Pre Profesionales o laborales y servicio comunitario</t>
  </si>
  <si>
    <t>1. Elaborar el oficio para designación de responsables de colectivos  académicos de carrera.                                                                                                                                                    2. Notificar a los responsables por medio de correo electrónico sobre la designación .</t>
  </si>
  <si>
    <r>
      <rPr>
        <b/>
        <sz val="9"/>
        <color theme="1"/>
        <rFont val="Century Schoolbook"/>
      </rPr>
      <t>5.-</t>
    </r>
    <r>
      <rPr>
        <sz val="10"/>
        <color theme="1"/>
        <rFont val="Arial Narrow"/>
      </rPr>
      <t xml:space="preserve"> Ejecutar los procesos que garantizan el cumplimiento de las funciones sustantivas de la educación superior: docencia, investigación y vinculación en la facultad que dirige;</t>
    </r>
  </si>
  <si>
    <t>Ejecución de los procesos que garantizan el cumplimiento de las funciones sustantivas de la educación superior: docencia, investigación y vinculación en la facultad que dirige;</t>
  </si>
  <si>
    <t>Ing. Katty Gadvay Yambay Coordinadora de Carrera              Ing. Gary Muñoz                     Docente                                         Ing. Washington Espinoza        Docente</t>
  </si>
  <si>
    <t xml:space="preserve">
1.- Remitir a Subdecanatos informe  de novedades encontradas en el ambito académico
</t>
  </si>
  <si>
    <t>Elaboración del distributivo académico de la carrera</t>
  </si>
  <si>
    <t xml:space="preserve">1. Resolución de la aprobación de distributivos </t>
  </si>
  <si>
    <t>1. Solicitar por correo electrónico la entrega de actas de parciales y/o finales de las asignaturas.                                                          2. Generar el reporte de ingreso de actas en Plataforma SIUTMACH.                                              3. Notificar  a claustro docente  incumplimiento de esta actividad</t>
  </si>
  <si>
    <t>TOTAL PRESUPUESTO ESTIMATIVO DE  INGENIERÍA QUÍMICA 2023:</t>
  </si>
  <si>
    <t>MEDICINA</t>
  </si>
  <si>
    <r>
      <rPr>
        <b/>
        <sz val="10"/>
        <color rgb="FFFF0000"/>
        <rFont val="Arial Narrow"/>
      </rPr>
      <t>METAS OPERATIVAS</t>
    </r>
    <r>
      <rPr>
        <b/>
        <sz val="9"/>
        <color theme="1"/>
        <rFont val="Century Schoolbook"/>
      </rPr>
      <t xml:space="preserve">
</t>
    </r>
    <r>
      <rPr>
        <sz val="9"/>
        <color theme="1"/>
        <rFont val="Arial Narrow"/>
      </rPr>
      <t>1. Conformar la comisión académica</t>
    </r>
  </si>
  <si>
    <t xml:space="preserve">Dr. Franklin Benjamin Paladines Figueroa                                                   Director  de Carrera </t>
  </si>
  <si>
    <t>TOTAL PRESUPUESTO ESTIMATIVO DE MEDICINA 2023:</t>
  </si>
  <si>
    <t>TOTAL PRESUPUESTO ESTIMATIVO FCQS 2023:</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</si>
  <si>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</si>
  <si>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FACULTAD DE CIENCIAS SOCIALES</t>
  </si>
  <si>
    <r>
      <rPr>
        <sz val="12"/>
        <color theme="1"/>
        <rFont val="Cambria"/>
      </rPr>
      <t xml:space="preserve">Unidad </t>
    </r>
    <r>
      <rPr>
        <sz val="10"/>
        <color rgb="FF000000"/>
        <rFont val="Cambria"/>
      </rPr>
      <t>(metros, litros etc.)</t>
    </r>
  </si>
  <si>
    <r>
      <rPr>
        <b/>
        <sz val="10"/>
        <color rgb="FFFF0000"/>
        <rFont val="Arial Narrow"/>
      </rPr>
      <t>METAS OPERATIVAS</t>
    </r>
    <r>
      <rPr>
        <b/>
        <sz val="9"/>
        <color theme="1"/>
        <rFont val="Century Schoolbook"/>
      </rPr>
      <t xml:space="preserve">
1.-</t>
    </r>
    <r>
      <rPr>
        <sz val="10"/>
        <color theme="1"/>
        <rFont val="Arial Narrow"/>
      </rPr>
      <t xml:space="preserve"> Monitorear la ejecución de eventos de capacitación para desarrollar competencias en los docentes de la Facultad</t>
    </r>
  </si>
  <si>
    <t xml:space="preserve">Directrices para garantizar la ejecución de los procesos administrativos
y académicos emitidas. </t>
  </si>
  <si>
    <t>N° de directrices emitidas garantizando la ejecución de los procesos administrativos y académicos</t>
  </si>
  <si>
    <t>1. Convocar a reuniones.
2. Emitir actos de simple administración
3. Presidir el Consejo Directivo
4. Coordinar y supervisar la ejecución del POA
5. Distribuir la atención de peticiones y trámites administrativos y académicos</t>
  </si>
  <si>
    <t>1. Registro de asistencia a reuniones
2. Convocatorias a Consejo Directivo
3. Actos de simple administración
4. Informe de rendición de cuentas</t>
  </si>
  <si>
    <t>*  Abg. José Correa Calderón,
  Decano
* Lcda. Marina Cabrera Sánchez
  Analista Administrativa
* Ab. Servio Ordoñez
  Secretario Abogado</t>
  </si>
  <si>
    <t>2.- Supervisar y ejecutar los procesos administrativos y académicos.</t>
  </si>
  <si>
    <t xml:space="preserve">N° de supervisiones ejecutadas de los procesos ejecutados </t>
  </si>
  <si>
    <t>1. Enviar comunicaciones y notificaciones internas y a organismos externos.
2. Convocar a reuniones.</t>
  </si>
  <si>
    <t>1. Comunicaciones enviadas.
2. Registro de asistencia a reuniones.</t>
  </si>
  <si>
    <t>* Abg. José Correa Calderón,
Decano
* Lcda. Marina Cabrera Sánchez
Analista Administrativa
* Lic. Danny Guadalupe, Administrador de Bienes</t>
  </si>
  <si>
    <t>FOCOS 40 WAST.</t>
  </si>
  <si>
    <t>JUEGO DE HERRAJE PARA SANITARIO UNIVERSAL</t>
  </si>
  <si>
    <t>SAPITOS PARA INODORO (FLAPPER.)</t>
  </si>
  <si>
    <t>SIFON PARA LAVAMANOS DE 1⁄4 TIPO ACORDEÓN CON REGISTRO</t>
  </si>
  <si>
    <t>ROSETÓN VAQUELITA.</t>
  </si>
  <si>
    <t>LLAVE PARA LAVAMANOS PARA MEDIA PULGADA</t>
  </si>
  <si>
    <t>PINTURA DE TRAFICO COLOR AMARILLO</t>
  </si>
  <si>
    <t>MANGUERA DE MEDIA PARA JARDIN (50 metros)</t>
  </si>
  <si>
    <t>PINTURA LATEX SUPREMO BLANCO HUESO</t>
  </si>
  <si>
    <t>TUBO DE ABASTO PARA INODORO</t>
  </si>
  <si>
    <t>Bombas de agua de 2HP</t>
  </si>
  <si>
    <t>TUBO DE ABATO PARA LAVAMANOS.</t>
  </si>
  <si>
    <t>Adquisición de equipos de oficina y administracion/aire acondicionado pared 36000 BTU (instalación)</t>
  </si>
  <si>
    <r>
      <rPr>
        <b/>
        <sz val="9"/>
        <color theme="1"/>
        <rFont val="Century Schoolbook"/>
      </rPr>
      <t>3.-</t>
    </r>
    <r>
      <rPr>
        <sz val="10"/>
        <color theme="1"/>
        <rFont val="Arial Narrow"/>
      </rPr>
      <t xml:space="preserve"> Gestionar la Propuesta del distributivo académico en conjunto con los Subdecanatos.</t>
    </r>
  </si>
  <si>
    <t>Propuesta del distributivo académico en conjunto con los
Subdecanatos, gestionada</t>
  </si>
  <si>
    <t>N° de Distributivos Académicos Aprobados.</t>
  </si>
  <si>
    <t>1.- Revisar con Subdecanato el Distributivo Académico de la Facultad.
2.- Aprobar por Consejo Directivo el Distributivo Académico.</t>
  </si>
  <si>
    <t>1.- Resolución de Consejo Directivo de Aprobación del Distributivo Académico.</t>
  </si>
  <si>
    <t>*  Abg. José Correa Calderón,
  Decano
* Lcda. Marina Cabrera Sanchez
  Analista Administrativa
* Lic. Rosa Caamaño Zambrano, Subdecana</t>
  </si>
  <si>
    <r>
      <rPr>
        <b/>
        <sz val="9"/>
        <color theme="1"/>
        <rFont val="Century Schoolbook"/>
      </rPr>
      <t>4.-</t>
    </r>
    <r>
      <rPr>
        <sz val="10"/>
        <color theme="1"/>
        <rFont val="Arial Narrow"/>
      </rPr>
      <t xml:space="preserve"> Supervisar la ejecución de las convocatorias a los consejos de facultad.</t>
    </r>
  </si>
  <si>
    <t>N° de Convocatorias ejecutadas y supervisadas de los Consejos Directivos.</t>
  </si>
  <si>
    <t xml:space="preserve">1.- Revisar  la documentación para reuniones de Consejo Directivo.
</t>
  </si>
  <si>
    <t>2. Convocatorias a Consejo Directivo</t>
  </si>
  <si>
    <t>*  Abg. José Correa Calderón,
  Decano
* Abg. Servio Ordóñez Mendoza,  Secretario Abogado</t>
  </si>
  <si>
    <r>
      <rPr>
        <b/>
        <sz val="9"/>
        <color theme="1"/>
        <rFont val="Century Schoolbook"/>
      </rPr>
      <t>5.-</t>
    </r>
    <r>
      <rPr>
        <sz val="10"/>
        <color theme="1"/>
        <rFont val="Arial Narrow"/>
      </rPr>
      <t xml:space="preserve"> Gestionar los Procesos que garantizan el cumplimiento de las funciones sustantivas de la educación superior: docencia, investigación y vinculación.</t>
    </r>
  </si>
  <si>
    <t>N° de procesos de cumplimiento de las funciones sustantivas de la educación superior.</t>
  </si>
  <si>
    <t>1. Impulsar la creación del Proyecto de Vinculación "Centro de atención psicológico y psicopedagógico - CAP".
2. Mejorar los espacios destinados a las actividades de investigación formativa.
3. Fortalecer la infraestructura tecnológica para los procesos de investigación en las carreras de pedagogías.
4. Contratar licencias de base de datos para los procesos de investigación.</t>
  </si>
  <si>
    <t>1. Resolución de aprobación del Proyecto de Vinculación "Centro de Desarrollo Psico-educativo".
2. Contratos de adquisición de bienes, prestación de servicios y/o construcción de obras.</t>
  </si>
  <si>
    <t xml:space="preserve">*  Abg. José Correa Calderón,
  Decano
</t>
  </si>
  <si>
    <t>Proyecto de vinculación "Centro de atención psicológico y psicopedagógico - CAP".</t>
  </si>
  <si>
    <t>Resma de papel bond A4 75 gr</t>
  </si>
  <si>
    <t>Resma</t>
  </si>
  <si>
    <t>Archivador tamaño oficio lomo 8 cms</t>
  </si>
  <si>
    <t>Lápiz HB con goma caja de 12 unidades</t>
  </si>
  <si>
    <t>Borrador (grande) para lápiz</t>
  </si>
  <si>
    <t>unidad</t>
  </si>
  <si>
    <t>Esferografico azul punta fina</t>
  </si>
  <si>
    <t xml:space="preserve">Sacapuntas Eléctrico Para Lapices 7-8mm </t>
  </si>
  <si>
    <t>Pincel plano No. 12</t>
  </si>
  <si>
    <r>
      <rPr>
        <sz val="10"/>
        <color theme="1"/>
        <rFont val="Century Schoolbook"/>
      </rPr>
      <t xml:space="preserve">Grapas </t>
    </r>
    <r>
      <rPr>
        <sz val="10"/>
        <color theme="1"/>
        <rFont val="Century Schoolbook"/>
      </rPr>
      <t>26/6</t>
    </r>
    <r>
      <rPr>
        <sz val="10"/>
        <color theme="1"/>
        <rFont val="Arial Narrow"/>
      </rPr>
      <t xml:space="preserve"> caja de </t>
    </r>
    <r>
      <rPr>
        <sz val="10"/>
        <color theme="1"/>
        <rFont val="Century Schoolbook"/>
      </rPr>
      <t>5000</t>
    </r>
    <r>
      <rPr>
        <sz val="10"/>
        <color theme="1"/>
        <rFont val="Arial Narrow"/>
      </rPr>
      <t xml:space="preserve"> u</t>
    </r>
  </si>
  <si>
    <t>Perforadora Grande</t>
  </si>
  <si>
    <t>Grapadora Eagle Eléctrica</t>
  </si>
  <si>
    <t>Carpeta colgante de Cartón para Archivador</t>
  </si>
  <si>
    <r>
      <rPr>
        <sz val="10"/>
        <color theme="1"/>
        <rFont val="Century Schoolbook"/>
      </rPr>
      <t>Sobre manila F</t>
    </r>
    <r>
      <rPr>
        <sz val="10"/>
        <color theme="1"/>
        <rFont val="Century Schoolbook"/>
      </rPr>
      <t>4</t>
    </r>
  </si>
  <si>
    <t>Caja de Plastilina Pelikan JUMBO</t>
  </si>
  <si>
    <t>Tempera Escolar en kit de 6 colores Económica</t>
  </si>
  <si>
    <t>Legos de construcción para niños</t>
  </si>
  <si>
    <t>Pelotas</t>
  </si>
  <si>
    <t>Muñecos</t>
  </si>
  <si>
    <t xml:space="preserve">Láminas números, dibujos, letras, etc </t>
  </si>
  <si>
    <t xml:space="preserve">	385500011</t>
  </si>
  <si>
    <t>Rompecabezas Didáctico Preescolar Bebé</t>
  </si>
  <si>
    <t>Pop It Rompecabezas Juguete Sensorial</t>
  </si>
  <si>
    <t>Rompecabeza infantil de madera</t>
  </si>
  <si>
    <t>Abacus Educativo</t>
  </si>
  <si>
    <t>Pelotas saltarinas para niños</t>
  </si>
  <si>
    <t>Pliego de Fomix De Colores</t>
  </si>
  <si>
    <t>Cubos De Estimulación Multicubos Didacticos</t>
  </si>
  <si>
    <t>Jenga con bloques de madera</t>
  </si>
  <si>
    <t>Fichas pedagógicas</t>
  </si>
  <si>
    <t>Puzzles infantiles</t>
  </si>
  <si>
    <t>Letras artesanales de madera</t>
  </si>
  <si>
    <t>Test Wisc</t>
  </si>
  <si>
    <t>Test wais</t>
  </si>
  <si>
    <t>Test rias</t>
  </si>
  <si>
    <t xml:space="preserve">Test lecto escritura  </t>
  </si>
  <si>
    <t>Test batel</t>
  </si>
  <si>
    <t>Test cumanes</t>
  </si>
  <si>
    <t>Test cumanin</t>
  </si>
  <si>
    <t>Sofa cuero</t>
  </si>
  <si>
    <t>Archivador Metalico De 4 Gavetas Para Oficina</t>
  </si>
  <si>
    <t xml:space="preserve">	381120117</t>
  </si>
  <si>
    <t>Silla Giratoria De Oficina Base</t>
  </si>
  <si>
    <t>Silla Yute color azul</t>
  </si>
  <si>
    <t>Mesa cuadrada de madera</t>
  </si>
  <si>
    <t xml:space="preserve">Cajoneras para guardar juguetes </t>
  </si>
  <si>
    <t>Mesas de plastico</t>
  </si>
  <si>
    <t>Estanterías Industriales, Archivadores,muebles De Oficina</t>
  </si>
  <si>
    <t xml:space="preserve">Archivador Aéreo </t>
  </si>
  <si>
    <t>Librero Archivador</t>
  </si>
  <si>
    <t>Trabajos de mejoramiento</t>
  </si>
  <si>
    <t>Fondos concursables para investigación</t>
  </si>
  <si>
    <t>Auriculares de estimulación sensorial licenica</t>
  </si>
  <si>
    <t>Licencias para bases de datos de biblioteca</t>
  </si>
  <si>
    <t>Laptop  I7 de 15p</t>
  </si>
  <si>
    <t>Terapia de lenguaje sondaw</t>
  </si>
  <si>
    <t>Gafas 3d realidad virtual</t>
  </si>
  <si>
    <t xml:space="preserve">Auriculares de estimulación sensorial </t>
  </si>
  <si>
    <t>45230.00.9</t>
  </si>
  <si>
    <r>
      <rPr>
        <sz val="11"/>
        <color theme="1"/>
        <rFont val="Arial Narrow"/>
      </rPr>
      <t>Computadora</t>
    </r>
    <r>
      <rPr>
        <sz val="11"/>
        <color theme="1"/>
        <rFont val="Arial Narrow"/>
      </rPr>
      <t xml:space="preserve"> escritorio software privado 12</t>
    </r>
  </si>
  <si>
    <t>Fondos para investigación</t>
  </si>
  <si>
    <t>Dispensador de agua</t>
  </si>
  <si>
    <t xml:space="preserve">	4391301112</t>
  </si>
  <si>
    <t>Adquisición de equipos de oficina y administración/aire acondicionado pared 24000 BTU (instalacion)</t>
  </si>
  <si>
    <t xml:space="preserve">	
473130022</t>
  </si>
  <si>
    <t xml:space="preserve">Televisor de 55p </t>
  </si>
  <si>
    <t>Adquisición de equipos de oficina y administración/aire acondicionado pared 36000 BTU (instalación)</t>
  </si>
  <si>
    <t>Salas de investigación formativa</t>
  </si>
  <si>
    <r>
      <rPr>
        <b/>
        <sz val="9"/>
        <color theme="1"/>
        <rFont val="Century Schoolbook"/>
      </rPr>
      <t>6.-</t>
    </r>
    <r>
      <rPr>
        <sz val="10"/>
        <color theme="1"/>
        <rFont val="Arial Narrow"/>
      </rPr>
      <t xml:space="preserve"> Presentar el Informe de Rendición de Cuentas.</t>
    </r>
  </si>
  <si>
    <t>N° de Informe de Rendición de Cuentas presentado.</t>
  </si>
  <si>
    <t>1.- Elaborar el Informe de Rendición de Cuenta.</t>
  </si>
  <si>
    <t>1.- Informe de Rendición de Cuenta.</t>
  </si>
  <si>
    <r>
      <rPr>
        <b/>
        <sz val="9"/>
        <color theme="1"/>
        <rFont val="Century Schoolbook"/>
      </rPr>
      <t>7.-</t>
    </r>
    <r>
      <rPr>
        <sz val="10"/>
        <color theme="1"/>
        <rFont val="Arial Narrow"/>
      </rPr>
      <t xml:space="preserve"> Gestionar trámite de licencias solicitadas por el personal docente y administrativo.</t>
    </r>
  </si>
  <si>
    <t>Licencias solicitadas por el personal docente y administrativo, 
gestionadas.</t>
  </si>
  <si>
    <t>N° de licencias justificadas y gestionadas.</t>
  </si>
  <si>
    <t xml:space="preserve">
1.- Gestionar ante autoridades las solicitudes de permiso, licencias y avales por parte de los docentes y servidores.</t>
  </si>
  <si>
    <t>1.- Solicitudes de licencias y permisos.
2. Actos de simple administración.</t>
  </si>
  <si>
    <t>*  Abg. José Correa Calderón,
  Decano
* Lcda. Marina Cabrera Sánchez
  Analista Administrativa</t>
  </si>
  <si>
    <r>
      <rPr>
        <b/>
        <sz val="9"/>
        <color theme="1"/>
        <rFont val="Century Schoolbook"/>
      </rPr>
      <t>8.-</t>
    </r>
    <r>
      <rPr>
        <sz val="10"/>
        <color theme="1"/>
        <rFont val="Arial Narrow"/>
      </rPr>
      <t xml:space="preserve"> Coordinar y gestionar el Proceso de contratación de personal docente para las carreras o programas vigentes en la Facultad.</t>
    </r>
  </si>
  <si>
    <t>Proceso de contratación de personal docente para las carreras o
programas vigentes en la Facultad, coordinado.</t>
  </si>
  <si>
    <t>*  Abg. José Correa Calderón,
  Decano
 * Abg. Servio Ordóñez Mendoza,
  Secretario</t>
  </si>
  <si>
    <r>
      <rPr>
        <b/>
        <sz val="9"/>
        <color theme="1"/>
        <rFont val="Century Schoolbook"/>
      </rPr>
      <t>9.-</t>
    </r>
    <r>
      <rPr>
        <sz val="10"/>
        <color theme="1"/>
        <rFont val="Arial Narrow"/>
      </rPr>
      <t xml:space="preserve"> Emitir criterios técnicos para la sustentación de las decisiones adoptadas a nivel de facultad.</t>
    </r>
  </si>
  <si>
    <t>Criterios técnicos para la sustentación de las decisiones adoptadas a
nivel de facultad emitidos.</t>
  </si>
  <si>
    <t>N° de criterios técnicos para la sustentación de las decisiones adoptadas a nivel de facultad emitidos.</t>
  </si>
  <si>
    <t>1.- Elaborar informes técnicos.</t>
  </si>
  <si>
    <t>1.- Actos de simple administración</t>
  </si>
  <si>
    <r>
      <rPr>
        <b/>
        <sz val="9"/>
        <color theme="1"/>
        <rFont val="Century Schoolbook"/>
      </rPr>
      <t>10.-</t>
    </r>
    <r>
      <rPr>
        <sz val="10"/>
        <color theme="1"/>
        <rFont val="Arial Narrow"/>
      </rPr>
      <t xml:space="preserve"> Supervisar las Gestiones efectuadas por el Subdecanato, los Coordinadores de Carrera, personal académico y administrativo de la Facultad.</t>
    </r>
  </si>
  <si>
    <t>N° de supervisiones ejecutadas a los procesos administrativos y académicos.</t>
  </si>
  <si>
    <t>1.- Supervisar las gestiones efectuadas por el Subdecano, coordinador académico y coordinadores de carrera
4.- Supervisar la gestión del jefes de la UMMOG</t>
  </si>
  <si>
    <t>*  Abg. José Correa Calderón,
  Decano
* Lcda. Rosa Caamaño Zambrano
  Subdecana
* Dr. Julio Cisneros León, Jefe de UMMOG</t>
  </si>
  <si>
    <r>
      <rPr>
        <b/>
        <sz val="9"/>
        <color theme="1"/>
        <rFont val="Century Schoolbook"/>
      </rPr>
      <t>11.-</t>
    </r>
    <r>
      <rPr>
        <sz val="10"/>
        <color theme="1"/>
        <rFont val="Arial Narrow"/>
      </rPr>
      <t xml:space="preserve"> Supervisar la asistencia y permanencia de los servidores.</t>
    </r>
  </si>
  <si>
    <t>Asistencia y permanencia de los servidores supervisadas.</t>
  </si>
  <si>
    <t>N° de Supervisiones de asistencia y permanencia de los servidores realizadas.</t>
  </si>
  <si>
    <t xml:space="preserve">1.- Receptar las solicitudes de permiso del personal administrativo y académico
2.- Redactar y tramitar ante autoridades las solicitudes de permiso licencias y avales por parte de los servidores de la facultad
3.- Suscribir la matriz de justificación de inasistencia de los servidores	</t>
  </si>
  <si>
    <t>1.-  Reporte de justificación de inasistencia</t>
  </si>
  <si>
    <r>
      <rPr>
        <b/>
        <sz val="9"/>
        <color theme="1"/>
        <rFont val="Century Schoolbook"/>
      </rPr>
      <t>12.-</t>
    </r>
    <r>
      <rPr>
        <sz val="10"/>
        <color theme="1"/>
        <rFont val="Arial Narrow"/>
      </rPr>
      <t xml:space="preserve"> Presentar la Planificación Operativa Anual y Evaluar la Planificación Operativa Anual.</t>
    </r>
  </si>
  <si>
    <t>N° de Planificaciones Operativas Anuales y Evaluaciones del POA entregadas.</t>
  </si>
  <si>
    <t>1.- Elaborar los planes operativos anuales del Decanato.
2.- Elaborar las evaluaciones al POA del Decanato.
3.- Remitir oportunamente a la Dir. Planificación, los planes operativos anuales y sus evaluaciones.</t>
  </si>
  <si>
    <t>1.-Plan operativo anual 2023
2.- Evaluación del POA 2023.
3.- Plan operativo anual 2024</t>
  </si>
  <si>
    <t>*  Abg. José Correa Calderón,
Decano
* Lic Danny Guadalupe Administrador de Bienes</t>
  </si>
  <si>
    <r>
      <rPr>
        <b/>
        <sz val="9"/>
        <color theme="1"/>
        <rFont val="Century Schoolbook"/>
      </rPr>
      <t>13.-</t>
    </r>
    <r>
      <rPr>
        <sz val="10"/>
        <color theme="1"/>
        <rFont val="Arial Narrow"/>
      </rPr>
      <t xml:space="preserve"> Organizar el Archivo de Gestión del año </t>
    </r>
    <r>
      <rPr>
        <sz val="10"/>
        <color theme="1"/>
        <rFont val="Century Schoolbook"/>
      </rPr>
      <t>2019.</t>
    </r>
  </si>
  <si>
    <t>N° de Cajas registradas en el inventario documental del Decanato.</t>
  </si>
  <si>
    <t>1.- Sistematizar la documentación semestralmente.
2.- Organizar e inventariar la documentación.</t>
  </si>
  <si>
    <t>1.- Inventario Documental Digital.</t>
  </si>
  <si>
    <t>* Lcda. Marina Cabrera Sánchez
  Analista Administrativa</t>
  </si>
  <si>
    <r>
      <rPr>
        <b/>
        <sz val="10"/>
        <color rgb="FFFF0000"/>
        <rFont val="Arial Narrow"/>
      </rPr>
      <t>METAS OPERATIVAS</t>
    </r>
    <r>
      <rPr>
        <b/>
        <sz val="9"/>
        <color theme="1"/>
        <rFont val="Century Schoolbook"/>
      </rPr>
      <t xml:space="preserve">
1.-</t>
    </r>
    <r>
      <rPr>
        <sz val="10"/>
        <color theme="1"/>
        <rFont val="Arial Narrow"/>
      </rPr>
      <t xml:space="preserve"> Emitir o actualizar los Procedimientos Académicos internos estandarizados.</t>
    </r>
  </si>
  <si>
    <t>1.- Coordinar con Directores Académicos de Carrera los procedimientos académicos internos.</t>
  </si>
  <si>
    <t>1.- Reporte de los procedimientos académicos internos emitidos</t>
  </si>
  <si>
    <t>* Lic. Rosa Caamaño Zambrano, Subdecana
* Lic. Liz Cedillo, Analista Académico</t>
  </si>
  <si>
    <t>Procedimientos Académicos:
1.- Distributivo
2.- Sílabos.
3.- Evaluación integral del desempeño docente.
(I. Dist-Siabol/II. Eval/III. Dist.silabo.Eval)</t>
  </si>
  <si>
    <r>
      <rPr>
        <b/>
        <sz val="9"/>
        <color theme="1"/>
        <rFont val="Century Schoolbook"/>
      </rPr>
      <t>2.-</t>
    </r>
    <r>
      <rPr>
        <sz val="10"/>
        <color theme="1"/>
        <rFont val="Arial Narrow"/>
      </rPr>
      <t xml:space="preserve"> Convocar y presidir Sesiones de Comisión Académica de la Facultad.</t>
    </r>
  </si>
  <si>
    <t>1.- Convocar y presidir las sesiones de Comisión Académica de la Facultad.
2.- Supervisar los procesos de recepción y despacho de documentación que se generan en las sesiones de Comisión Académica.</t>
  </si>
  <si>
    <t>1.- Reporte de documentos emitidos por Comisión Académica FCS.</t>
  </si>
  <si>
    <t>Documentos:
1.- Convocatorias.
2.- Resoluciones u oficios.
3.- Actas de Sesiones.</t>
  </si>
  <si>
    <r>
      <rPr>
        <b/>
        <sz val="9"/>
        <color theme="1"/>
        <rFont val="Century Schoolbook"/>
      </rPr>
      <t>3.-</t>
    </r>
    <r>
      <rPr>
        <sz val="10"/>
        <color theme="1"/>
        <rFont val="Arial Narrow"/>
      </rPr>
      <t xml:space="preserve"> Orientar y supervisar las propuestas para la creación, fusión y extinción de carreras y programas, así como los planes de estudios de las mismas emanados del trabajo de rediseño curricular.</t>
    </r>
  </si>
  <si>
    <t>N° de propuesta presentadas y aprobadas.</t>
  </si>
  <si>
    <t>1.- Realizar propuestas de conformidad a lo solicitado por los organismos pertinentes.</t>
  </si>
  <si>
    <t>1.- Reporte de propuestas presentadas y aprobadas.</t>
  </si>
  <si>
    <t>*  Lic. Rosa Caamaño Zambrano, Subdecana
* Directores de Carreras
* Analista Administrativo del Subdecanato</t>
  </si>
  <si>
    <t>Esta meta se desarrollará siempre y cuando existan propuestas o resoluciones por parte de los organismos pertinentes, quienes disponen la correspondiente creación, fusión o extensión de carreras y programas, así como los planes de estudios.</t>
  </si>
  <si>
    <r>
      <rPr>
        <b/>
        <sz val="9"/>
        <color theme="1"/>
        <rFont val="Century Schoolbook"/>
      </rPr>
      <t>4.-</t>
    </r>
    <r>
      <rPr>
        <sz val="10"/>
        <color theme="1"/>
        <rFont val="Arial Narrow"/>
      </rPr>
      <t xml:space="preserve"> Supervisar la ejecución de los procesos académicos y administrativos.</t>
    </r>
  </si>
  <si>
    <t>1.- Constatar nómina de docentes con carga horaria en GEAC.
2.- Revisar cumplimiento de subida de  documentos en las carpetas de portafolio docente (drive institucional)</t>
  </si>
  <si>
    <t>1.- Reporte de Seguimiento de carga de evidencias del portafolio profesor en el drive institucional</t>
  </si>
  <si>
    <t>* Lic. Rosa Caamaño Zambrano, Subdecana
* Directores de Carreras
* Analista Administrativo del Subdecanato
* Comité de evaluación interna de carrera.
* Docentes con carga horaria en GEAC</t>
  </si>
  <si>
    <t>Revisar cumplimiento de la subida de documentos en carpetas de portafolio docente (drive institucional), reporte que emite la Dirección de Aseguramiento de la Calidad y Directores Académicos de carreras.</t>
  </si>
  <si>
    <r>
      <rPr>
        <b/>
        <sz val="9"/>
        <color theme="1"/>
        <rFont val="Century Schoolbook"/>
      </rPr>
      <t>5.-</t>
    </r>
    <r>
      <rPr>
        <sz val="10"/>
        <color theme="1"/>
        <rFont val="Arial Narrow"/>
      </rPr>
      <t xml:space="preserve"> Elaborar distributivos, horarios y el calendario académico.</t>
    </r>
  </si>
  <si>
    <t>N° de Distributivos y horarios coordinados y supervisados.</t>
  </si>
  <si>
    <t>1.- Coordinar y supervisar el proceso de elaboración e ingreso al SIUTMACH de los distributivos y horarios.</t>
  </si>
  <si>
    <t>1.- Reporte de la coordinación y supervisión de elaboración de distributivos y horarios.</t>
  </si>
  <si>
    <t>* Lic. Rosa Caamaño Zambrano, Subdecana
* Directores de Carreras
* Lic. Liz Cedillo, Analista Académico
* Analista Administrativo del Subdecanato</t>
  </si>
  <si>
    <t>Revisar cumplimiento de la subida de documentos en carpetas de portafolio docente (drive institucional), reporte que emite la Dirección de Aseguramiento de la Calidad y Directores Académicos de carreras</t>
  </si>
  <si>
    <r>
      <rPr>
        <b/>
        <sz val="9"/>
        <color theme="1"/>
        <rFont val="Century Schoolbook"/>
      </rPr>
      <t>6.-</t>
    </r>
    <r>
      <rPr>
        <sz val="10"/>
        <color theme="1"/>
        <rFont val="Arial Narrow"/>
      </rPr>
      <t xml:space="preserve"> Monitorear actividades académicas que se realizan en los diferentes laboratorios, aulas y unidades académicas experimentales de la Facultad.</t>
    </r>
  </si>
  <si>
    <t>N° de informes de actividades realizadas.</t>
  </si>
  <si>
    <t>1.- Supervisar el uso de las salas de TICs.
2.- Coordinar el mantenimiento y provisión de las salas tics de la Facultad.
3.- Administrar el uso de salas de TIC.
4.- Facilitar los servicios que la Facultad brinda a otras instituciones o personas naturales.
5.- Realizar inventario general actualizado de las salas tics.
6.- Informar sobre las actividades realizadas dentro del departamento de administración de salas tics.</t>
  </si>
  <si>
    <t>1.- Reporte de actividades que se realizan en salas tics. (6 salas de Tics).</t>
  </si>
  <si>
    <t>* Segundo Guillermo Bermúdez Roque, Administrador de las 6 Salas de Tics</t>
  </si>
  <si>
    <t>Esta meta se desarrollará de acuerdo a las planificaciones de las carreras, ya que nos encontramos en modalidad de estudios híbrida por motivos de pandemia.
(La misma meta ha sido considerada en el punto 13)</t>
  </si>
  <si>
    <r>
      <rPr>
        <b/>
        <sz val="9"/>
        <color theme="1"/>
        <rFont val="Century Schoolbook"/>
      </rPr>
      <t>7.-</t>
    </r>
    <r>
      <rPr>
        <sz val="10"/>
        <color theme="1"/>
        <rFont val="Arial Narrow"/>
      </rPr>
      <t xml:space="preserve"> Emitir documentos de planificación académica y curricular.</t>
    </r>
  </si>
  <si>
    <t>Nº de planificaciones académicas administrativas coordinadas</t>
  </si>
  <si>
    <t>1. Elaborar la planificación académica administrativa de la FCS.</t>
  </si>
  <si>
    <t>1. Planificación académica administrativa de la FCS.</t>
  </si>
  <si>
    <t>* Lic. Rosa Caamaño Zambrano, Subdecana
* Directores  de Carreras
* Lic. Liz Cedillo, Analista Académico
* Analista Administrativo del Subdecanato</t>
  </si>
  <si>
    <t>1. Planificación académica administrativa que se elabora cada año</t>
  </si>
  <si>
    <r>
      <rPr>
        <b/>
        <sz val="9"/>
        <color theme="1"/>
        <rFont val="Century Schoolbook"/>
      </rPr>
      <t>8.-</t>
    </r>
    <r>
      <rPr>
        <sz val="10"/>
        <color theme="1"/>
        <rFont val="Arial Narrow"/>
      </rPr>
      <t xml:space="preserve"> Supervisar el logro de resultados o avances de procesos académicos, de Investigación y de vinculación con la sociedad.</t>
    </r>
  </si>
  <si>
    <t>Nº de proyectos de investigación y vinculación con la sociedad coordinados.</t>
  </si>
  <si>
    <t>1.- Asignar horas de investigación y de vinculación en el Distributivo Académico de acuerdo a las sugerencias de las Direcciones correspondientes.
2.- Solicitar los informes de resultados o avances de los proyectos de investigación y vinculación con la sociedad.</t>
  </si>
  <si>
    <t>1.- Reporte del estado actual de resultados o avances de los proyectos de Investigación y de vinculación con la sociedad.</t>
  </si>
  <si>
    <t>* Lic. Rosa Caamaño Zambrano, Subdecana
* Directores de Carreras
* Lic. Liz Cedillo, Analista Académico</t>
  </si>
  <si>
    <t>En esta meta estarán considerados sólo los proyectos de investigación y vinculación.</t>
  </si>
  <si>
    <r>
      <rPr>
        <b/>
        <sz val="9"/>
        <color theme="1"/>
        <rFont val="Century Schoolbook"/>
      </rPr>
      <t>9.-</t>
    </r>
    <r>
      <rPr>
        <sz val="10"/>
        <color theme="1"/>
        <rFont val="Arial Narrow"/>
      </rPr>
      <t xml:space="preserve"> Evaluar al personal administrativo bajo su responsabilidad.</t>
    </r>
  </si>
  <si>
    <t>1.- Formularios de Evaluación aplicado.</t>
  </si>
  <si>
    <t>* Lic. Rosa Caamaño Zambrano, Subdecana</t>
  </si>
  <si>
    <t>Se realizara evaluación a: Guillermo Bermudez, Liz Cedillo, Patricia Velastegui y al personal contratado desde Subdecanato</t>
  </si>
  <si>
    <r>
      <rPr>
        <b/>
        <sz val="9"/>
        <color theme="1"/>
        <rFont val="Century Schoolbook"/>
      </rPr>
      <t>10.-</t>
    </r>
    <r>
      <rPr>
        <sz val="10"/>
        <color theme="1"/>
        <rFont val="Arial Narrow"/>
      </rPr>
      <t xml:space="preserve"> Coordinar el Proceso referente a las pasantías y prácticas pre-profesionales de las y los estudiantes de las carreras de pregrado.</t>
    </r>
  </si>
  <si>
    <t>Nº de planes de pasantías y prácticas pre-profesionales de las carreras de pregrado coordinados.</t>
  </si>
  <si>
    <t>1.- Coordinar el proceso para la elaboración y aprobación de los Planes Semestrales  para el desarrollo de las prácticas de vinculación y pasantías preprofesionales con las carreras de la Facultad.</t>
  </si>
  <si>
    <t>1.- Reporte de Planes de pasantías y prácticas pre-profesionales de las carreras de pregrado aprobados.</t>
  </si>
  <si>
    <t>* Lic. Rosa Caamaño Zambrano,  Subdecana
* Directores Académicos de Carreras
* Ing. Patricia Velastegui, Analista Académico</t>
  </si>
  <si>
    <t>El proceso se refiere a:
Aprobación de Planes Semestrales de Pasantías y Prácticas Pre-profesionales presentadas por los Directores Académicos de Carreras.</t>
  </si>
  <si>
    <r>
      <rPr>
        <b/>
        <sz val="9"/>
        <color theme="1"/>
        <rFont val="Century Schoolbook"/>
      </rPr>
      <t>11.-</t>
    </r>
    <r>
      <rPr>
        <sz val="10"/>
        <color theme="1"/>
        <rFont val="Arial Narrow"/>
      </rPr>
      <t xml:space="preserve"> Controlar la ejecución de los procesos de titulación.</t>
    </r>
  </si>
  <si>
    <t>Nº de reportes de los procesos de titulación controlados.</t>
  </si>
  <si>
    <t xml:space="preserve">
1.- Adoptar resoluciones por  Comisión Académica de asignación de tutores y Comité Evaluador.
2.- Aprobación de aptitud legal
3.- Solicitar y/o receptar reportes de número de graduados a la UMMOG.</t>
  </si>
  <si>
    <t>1.- Reportes de los procesos de titulación</t>
  </si>
  <si>
    <t>* Lic. Rosa Caamaño Zambrano,   Subdecana
* Jefatura de UMMOG
* Directores Académicos de Carreras
* Ing. Patricia Velastegui,
  Analista Académico</t>
  </si>
  <si>
    <t>Los reportes  son remitidos por la UMMOG-FCS</t>
  </si>
  <si>
    <r>
      <rPr>
        <b/>
        <sz val="9"/>
        <color theme="1"/>
        <rFont val="Century Schoolbook"/>
      </rPr>
      <t>12.-</t>
    </r>
    <r>
      <rPr>
        <sz val="10"/>
        <color theme="1"/>
        <rFont val="Arial Narrow"/>
      </rPr>
      <t xml:space="preserve"> Ejecutar el proceso de evaluación integral del desempeño docente de acuerdo a las directrices emitidas a nivel institucional.</t>
    </r>
  </si>
  <si>
    <t>Nº de evaluaciones integrales del desempeño docente ejecutadas</t>
  </si>
  <si>
    <t>1.- Aprobar la matriz de comisiones para el proceso de evaluación integral del desempeño docente.
2.- Adoptar resoluciones.
3.- Elaborar horarios para el desarrollo del proceso de  evaluación.
4.- Notificar a miembros de Comisión.
5.- Compartir drive con miembros de Comisiones
6.- Generar resultados.</t>
  </si>
  <si>
    <t>1.- Reporte de la planificación y ejecución del proceso de evaluación integral del desempeño docente.</t>
  </si>
  <si>
    <t>* Lic. Rosa Caamaño Zambrano,   Subdecana
* Directores Académicos de Carreras
* Comisiones de evaluación
* Ing. Patricia Velastegui,
  Analista Académico
* Analista Administrativo del Subdecanato</t>
  </si>
  <si>
    <r>
      <rPr>
        <b/>
        <sz val="9"/>
        <color theme="1"/>
        <rFont val="Century Schoolbook"/>
      </rPr>
      <t>14.-</t>
    </r>
    <r>
      <rPr>
        <sz val="10"/>
        <color theme="1"/>
        <rFont val="Arial Narrow"/>
      </rPr>
      <t xml:space="preserve"> Coordinar las actividades culturales, deportivas, sociales, y proyectos de
responsabilidad social e influencia en políticas públicas</t>
    </r>
  </si>
  <si>
    <t>Actividades culturales, deportivas, sociales, y proyectos de
responsabilidad social e influencia en políticas públicas coordinadas.</t>
  </si>
  <si>
    <t>Nº de propuestas de actividades coordinadas y aprobadas</t>
  </si>
  <si>
    <t>1.- Receptar propuestas de actividades culturales, sociales de parte de los Directores Académicos de Carrera
2.- Adoptar resolución por Comisión Académica para desarrollo de eventos</t>
  </si>
  <si>
    <t>1.- Reporte de propuestas de actividades desarrolladas por las Carreras</t>
  </si>
  <si>
    <t>* Lic. Rosa Caamaño Zambrano,   Subdecana
* Directores Académicos de Carrera
* Analista Administrativo del Subdecanato</t>
  </si>
  <si>
    <t>La meta 13 se repite en la meta 6
Se refiere a: 
Actividades extracurriculares que realizan las carreras y se encuentran en Calendario Académico.</t>
  </si>
  <si>
    <t>15.- Conocer y atender los requerimientos estudiantiles respecto al área académica y docente.</t>
  </si>
  <si>
    <t>* Lic. Rosa Caamaño Zambrano,   Subdecana
* Ing. Patricia Velastegui, Analista Académico
* Analista Administrativo del Subdecanato</t>
  </si>
  <si>
    <t>1. Certificaciones solicitadas por estudiantes y docentes
2.  Estudios de homologaciones
3. Planes remediales</t>
  </si>
  <si>
    <r>
      <rPr>
        <b/>
        <sz val="9"/>
        <color theme="1"/>
        <rFont val="Century Schoolbook"/>
      </rPr>
      <t>16.-</t>
    </r>
    <r>
      <rPr>
        <sz val="10"/>
        <color theme="1"/>
        <rFont val="Arial Narrow"/>
      </rPr>
      <t xml:space="preserve"> Presentar la Planificación Operativa Anual y Evaluación de la Planificación Operativa Anual.</t>
    </r>
  </si>
  <si>
    <t>1.- Elaborar el plan operativo anual del Subdecanato.
2.- Elaborar la evaluación al POA del Subdecanato.
3.- Remitir al Decanato el plan operativo anual y su evaluación.</t>
  </si>
  <si>
    <t>1.-Plan operativo anual 2024
2.- Evaluación del POA. 2023</t>
  </si>
  <si>
    <t>* Lic. Rosa Caamaño Zambrano,   Subdecana
* Ing. Patricia Velastegui,
  Analista Académico
* Analista Administrativo del Subdecanato</t>
  </si>
  <si>
    <r>
      <rPr>
        <b/>
        <sz val="9"/>
        <color theme="1"/>
        <rFont val="Century Schoolbook"/>
      </rPr>
      <t>17-</t>
    </r>
    <r>
      <rPr>
        <sz val="10"/>
        <color theme="1"/>
        <rFont val="Arial Narrow"/>
      </rPr>
      <t xml:space="preserve"> Organizar el Archivo de Gestión.</t>
    </r>
  </si>
  <si>
    <t>1.- Inventario Documental Digital</t>
  </si>
  <si>
    <t>* Lic. Liz. Cedillo Camacho,
  Analista Académico</t>
  </si>
  <si>
    <t>Se realizará inventario del año 2022 de forma digital</t>
  </si>
  <si>
    <r>
      <rPr>
        <b/>
        <sz val="10"/>
        <color rgb="FFFF0000"/>
        <rFont val="Arial Narrow"/>
      </rPr>
      <t>METAS OPERATIVAS</t>
    </r>
    <r>
      <rPr>
        <b/>
        <sz val="9"/>
        <color theme="1"/>
        <rFont val="Century Schoolbook"/>
      </rPr>
      <t xml:space="preserve">
1.-</t>
    </r>
    <r>
      <rPr>
        <sz val="10"/>
        <color theme="1"/>
        <rFont val="Arial Narrow"/>
      </rPr>
      <t xml:space="preserve"> Coordinar y ejecutar los Procesos de Matriculación.</t>
    </r>
  </si>
  <si>
    <t>1.- Coordinar y planificar el proceso de matrícula a nivel de facultad.
2.- Revisar requisitos, cartilla y datos cargados en el SIUTMACH.
3.- Validar las matrículas de los estudiantes.
4.- Seleccionar fecha de inicio de estudios de expedientes históricos.
5.- Generar la matrícula y orden de pago de los estudiantes con menos del 60%, tercera matricula, matricula especial, plan de reingreso.
6.- Revisar curso, cupo y paralelo en periodos de matrículas.
7.- Crear registros de carrera de expedientes históricos.
8.- Actualizar datos en el SIUTMACH.
9.- Anular órdenes de pago en el SIUTMACH.
10.- Anular matrículas aprobadas por Consejo Universitario.
11- Atender a usuarios internos y externos.</t>
  </si>
  <si>
    <t>Dr. Julio Cisneros León.
JEFE DE UMMOG-FCS
Ing. Betsy Sánchez Mateo.
ANALISTA DE UMMOG-FCS
Ing. Ciboney Granda Ordoñez.
Lcda. Andrea Mejía Ramírez.
ANALISTAS DE ESTADÍSTICA-FCS
Lcda. Jenny Velez Balandra.
ANALISTA ADMINISTRATIVO UMMOG-FCS
Lcdo. Julian Solano Caama</t>
  </si>
  <si>
    <r>
      <rPr>
        <b/>
        <sz val="9"/>
        <color theme="1"/>
        <rFont val="Century Schoolbook"/>
      </rPr>
      <t>2.-</t>
    </r>
    <r>
      <rPr>
        <sz val="10"/>
        <color theme="1"/>
        <rFont val="Arial Narrow"/>
      </rPr>
      <t xml:space="preserve"> Ejecutar y validar los cambios de paralelos, cambios de sección y retiros de carrera y/o asignaturas autorizados por el Consejo Directivo.</t>
    </r>
  </si>
  <si>
    <t>1.- Cambiar paralelos y sección autorizados por Consejo Directivo.
2.- Retirar asignaturas aprobados por Consejo Directivo.
3.- Cambiar el estado de activo a inactivo y/o retirado aprobados por Consejo Directivo.</t>
  </si>
  <si>
    <t xml:space="preserve">1.- Reporte de estudiantes con retiro de asignaturas, cambio de paralelo, estado inactivo o retiro de carrera, autorizados por Consejo Directivo. </t>
  </si>
  <si>
    <t>Dr. Julio Cisneros León.
JEFE DE UMMOG-FCS
Ing. Betsy Sánchez Mateo.
ANALISTA DE UMMOG-FCS
Lcda. Andrea Mejía Ramírez.
ANALISTA DE ESTADISTICA-FCS
Lcdo. Julian Solano Caamaño.</t>
  </si>
  <si>
    <r>
      <rPr>
        <b/>
        <sz val="9"/>
        <color theme="1"/>
        <rFont val="Century Schoolbook"/>
      </rPr>
      <t>3.-</t>
    </r>
    <r>
      <rPr>
        <sz val="10"/>
        <color theme="1"/>
        <rFont val="Arial Narrow"/>
      </rPr>
      <t xml:space="preserve"> Coordinar y Ejecutar los Procesos de Movilidad.</t>
    </r>
  </si>
  <si>
    <t>1.- Coordinar y planificar el proceso de movilidad a nivel de Facultad.
2.- Receptar y revisar los documentos habilitantes para procesos de movilidad.
3.- Emitir oficios a coordinación de carrera con la documentación respectiva para su análisis académico y elaboración del informe.
4.- Emitir oficios para la Comisión Académica para la aprobación de los informes de Reconocimiento y Homologación de estudios.
5.-Generar la matrícula y orden de pago de los estudiantes con reconocimiento u homologación de estudios aprobados por el Consejo Directivo.
6.- Registrar en el SIUTMACH. las calificaciones homologadas.
7.- Atender a usuarios internos y externos.</t>
  </si>
  <si>
    <t>1.- Reporte de solicitudes de movilidad para la elaboración del Informe de Reconocimiento u Homologación de Estudios de asignaturas, cursos o sus equivalentes recibidas.
 2.- Oficios enviados a los Coordinadores de Carreras para la elaboración de los informes de Reconocimiento u Homologación de Estudios, Asignaturas, Cursos o sus Equivalentes.
3.- Oficios enviados a la Comisión académica de los informes de Reconocimiento y Homologación de estudios para aprobación.
4.- Reporte de estudiantes matriculados por homologación.</t>
  </si>
  <si>
    <t>Dr. Julio Cisneros León.
JEFE DE UMMOG-FCS
Ing. Ciboney Granda Ordóñez.
ANALISTA DE ESTADISTICA-FCS</t>
  </si>
  <si>
    <r>
      <rPr>
        <b/>
        <sz val="9"/>
        <color theme="1"/>
        <rFont val="Century Schoolbook"/>
      </rPr>
      <t>4.-</t>
    </r>
    <r>
      <rPr>
        <sz val="10"/>
        <color theme="1"/>
        <rFont val="Arial Narrow"/>
      </rPr>
      <t xml:space="preserve"> Coordinar los procesos de registros y/o validación de calificaciones.</t>
    </r>
  </si>
  <si>
    <r>
      <rPr>
        <b/>
        <sz val="9"/>
        <color theme="1"/>
        <rFont val="Century Schoolbook"/>
      </rPr>
      <t>5.-</t>
    </r>
    <r>
      <rPr>
        <sz val="10"/>
        <color theme="1"/>
        <rFont val="Arial Narrow"/>
      </rPr>
      <t xml:space="preserve"> Aperturar el Sistema para registro de calificaciones extemporáneas según resolución del Consejo Directivo.</t>
    </r>
  </si>
  <si>
    <t>1.- Verificar en el SIUTMACH el ingreso de las actas de calificaciones generadas por los docentes.
2.- Registrar manualmente en el SIUTMACH las calificaciones por homologaciones, rectificación de calificaciones, recalificaciones y calificaciones históricas.
3.- Actualizar en el SIUTMACH las cartillas históricas de estudiantes.
4.- Aperturar el sistema, previa aprobación del Consejo Directivo para registro y/o corrección de calificaciones por parte de los docentes.
5.- Atender a usuarios internos y externos.</t>
  </si>
  <si>
    <t xml:space="preserve">
1. Reporte de registro de calificaciones en cartillas de calificaciones.</t>
  </si>
  <si>
    <t>Dr. Julio Cisneros León.
JEFE DE UMMOG-FCS
Lcda. Andrea Mejía Ramírez.
ANALISTA DE ESTADISTICA-FCS
Lcdo. Julian Solano Caamaño.</t>
  </si>
  <si>
    <r>
      <rPr>
        <b/>
        <sz val="9"/>
        <color theme="1"/>
        <rFont val="Century Schoolbook"/>
      </rPr>
      <t>6.-</t>
    </r>
    <r>
      <rPr>
        <sz val="10"/>
        <color theme="1"/>
        <rFont val="Arial Narrow"/>
      </rPr>
      <t xml:space="preserve"> Organizar y supervisar las fases del proceso de titulación.</t>
    </r>
  </si>
  <si>
    <t xml:space="preserve"> 1.- Coordinar y planificar el proceso de titulacion a nivel de facultad.
 2.- Registrar la fecha de fin de carrera para cumplimiento de la inscripcion al proceso de titulación y  graduación.
 3.- Revisar y validar del cumplimiento de la malla.
 4.- Revisar la perdida de gratuidad por acumular más del 30% de créditos reprobados.
 5.- Revisar en la SENESCYT el registro de un segundo o más títulos de tercer nivel.
 6.- Revisar requisitos habilitantes para validar la matricula en el proceso de titulación.
 7.- Validar la matricula en el proceso de titulación.
 8.- Supervisar y coordinar la toma del examen complexivo.
 9.- Ingresar a la plataforma de titulacion fecha, hora y lugar de sustentacion.
10.- Supervisar y coordinar las sustentaciones de trabajo de titulacion y examen complexivo.
11.- Activar especialista suplente del comite evaluador a peticion del coordinador de carrera.
12.- Generar actas de calificaciones de las sustentaciones.
13.- Validar el trabajo escrito de ambas opciones de titulacion en la plataforma de titulación.
14.-  Validar la estructura del documento del trabajo de integración curricular en el SIUTMACH.</t>
  </si>
  <si>
    <t>Dr. Julio Cisneros León.
JEFE DE UMMOG-FCS
Ing. Ciboney Granda Ordóñez.
Lcda. Andrea Mejía Ramírez.
ANALISTAS DE ESTADÍSTICA-FCS
Lcdo. Julian Solano Caamaño.</t>
  </si>
  <si>
    <r>
      <rPr>
        <b/>
        <sz val="9"/>
        <color theme="1"/>
        <rFont val="Century Schoolbook"/>
      </rPr>
      <t>7.-</t>
    </r>
    <r>
      <rPr>
        <sz val="10"/>
        <color theme="1"/>
        <rFont val="Arial Narrow"/>
      </rPr>
      <t xml:space="preserve"> Emitir Informes de designación de tutor y comité evaluador.</t>
    </r>
  </si>
  <si>
    <t>1.- Solicitar a coordinadores de carrera el registro de tutores en la plataforma de titulación en cada proceso.
2.- Generar desde la plataforma de titulación el reporte de tutores y comité evaluador para aprobacion de Comision Academica y Consejo Directivo.
3.- Receptar los reportes de tutor y comité evaluador legalizados.</t>
  </si>
  <si>
    <t>1.- Informes de designación de tutores enviados para aprobación de Comisión académica.</t>
  </si>
  <si>
    <r>
      <rPr>
        <b/>
        <sz val="9"/>
        <color theme="1"/>
        <rFont val="Century Schoolbook"/>
      </rPr>
      <t>8.-</t>
    </r>
    <r>
      <rPr>
        <sz val="10"/>
        <color theme="1"/>
        <rFont val="Arial Narrow"/>
      </rPr>
      <t xml:space="preserve"> Coordinar y Ejecutar los Procesos de Graduación.</t>
    </r>
  </si>
  <si>
    <t>1.- Revisar y validar o emitir certificados de no adeudar.
2.- Receptar los certificados de no adeudar y recibo único de ingreso a caja de estudiantes que pierden gratuidad y/o poseen otro título.
3.- Remitir oficio al decanato para el traslado y/o compra de especies de tesorería a secretaria general.
4.- Revisar y grabar los promedios de grado a fin de generar acta consolidada.
5.- Generar la acta consolidada por estudiante.
6.- Generar y/o imprimir informes de aptitud legal por carrera, para aprobación de Consejo Directivo.
7.- Registrar la firma electrónica en el SIUTMACH.
8.- Emitir informe al Consejo Directo sobre la aprobación de la aptitud legal y graduación de los estudiantes que aprobaron el proceso de titulación.
9.- Ingresar, revisar y actualizar la información cargada en el SIUTMACH para la impresion de titulos y registro en la SENESCYT.
10.- Descargar acta de graduación e insertar en expediente de estudiante.
11.- Remitir al decanato el oficio solicitando el registro e impresión de los títulos por parte de secretaria general de los estudiantes graduados.
12.- Cargar en drive los expedientes de los estudiantes graduados para el registro e impresión de los titulos y compartir con las partes pertinentes.
13.- Coordinar con decanato y secretaría de la facultad la organizacion del evento de incorporación virtual y/o presencial.
14.- Coordinar con direccion de comunicacion el evento de incorporación.
15.- Convocar y asistir en la inducción presencial y/o virtual para el evento de incorporación.</t>
  </si>
  <si>
    <t>Dr. Julio Cisneros León.
JEFE DE UMMOG-FCS
Ing. Ciboney Granda Ordóñez.
ANALISTA DE ESTADISTICA-FCS
Lcdo. Julian Solano Caamaño.
Ing. Betsy Sánchez Mateo.
ANALISTA DE UMMOG-FCS</t>
  </si>
  <si>
    <r>
      <rPr>
        <b/>
        <sz val="9"/>
        <color theme="1"/>
        <rFont val="Century Schoolbook"/>
      </rPr>
      <t>9.-</t>
    </r>
    <r>
      <rPr>
        <sz val="10"/>
        <color theme="1"/>
        <rFont val="Arial Narrow"/>
      </rPr>
      <t xml:space="preserve"> Emitir Informes para certificaciones de procesos de matrícula, movilidad, graduación y estadística.</t>
    </r>
  </si>
  <si>
    <t xml:space="preserve"> 1.- Recibir las solicitudes de los estudiantes para remitir a los funcionarios para que se generen los certificados en los procesos de matricula, movilidad, graduación y estadistica.
 2.- Generar certificados de estar legalmente matriculados.
 3.- Emitir certificados de promocion o record académico.
 4.- Emitir certificados de culminación de malla.
 5.- Emitir certificados de promedio global de notas.
 6.- Emitir certificados de inicio y fin de carrera.
 7.- Emitir certificados de reprobacion de asignaturas por tercera vez.
 8.- Emitir certificados de Reconocimiento y Homologación de estudios.
 9.- Emitir certificados de estar legalmente matriculados en el proceso de titulacion.
10.- Remitir copias certificadas de acta de consolidada.
11.- Remitir copias certificadas de acta de graduacion.
12.- Remitir copias certificadas de oficios de autorizacion de la compra de titulos de promociones antiguas.
13.- Remitir copias certificadas de actas de calificaciones.
14.- Atender a usuarios internos y externos.</t>
  </si>
  <si>
    <t>1.- Reportes de Certificados emitidos en los procesos de matrícula, movilidad, graduación y estadística generados y/o emitidos.
2.- Certificados generados.</t>
  </si>
  <si>
    <t>Dr. Julio Cisneros León.
JEFE DE UMMOG-FCS
Ing. Betsy Sanchez Mateo.
ANALISTA DE UMMOG-FCS
Ing. Ciboney Granda Ordóñez.
Lcda. Andrea Mejía Ramírez.
 ANALISTAS DE ESTADÍSTICA-FCS
Lcda. Jenny Velez Balandra.
ANALISTA ADMINISTRATIVO UMMOG-FCS
Lcdo. Julian Solano Caamaño.</t>
  </si>
  <si>
    <r>
      <rPr>
        <b/>
        <sz val="9"/>
        <color theme="1"/>
        <rFont val="Century Schoolbook"/>
      </rPr>
      <t>10.-</t>
    </r>
    <r>
      <rPr>
        <sz val="10"/>
        <color theme="1"/>
        <rFont val="Arial Narrow"/>
      </rPr>
      <t xml:space="preserve"> Emitir Informes Técnicos para procesos internos y externos.</t>
    </r>
  </si>
  <si>
    <t>1.- Receptar y atender los requerimientos de los organismos de control internos y externos.
2.- Revisar la información existente el en SIUTMACH y archivo físico.
3.- Elaborar informes, generar reportes solicitados de matrículas, movilidad graduación y estadística.
4.- Emitir el reporte de mejor egresado por periodo y/o carrera.
5.- Emitir informe de mejor graduado por proceso.</t>
  </si>
  <si>
    <t>1.- Informes, reportes de estudiantes y de graduados, entregados a los entes reguladores internos y externos.</t>
  </si>
  <si>
    <t>Dr. Julio Cisneros León.
JEFE DE UMMOG-FCS
Ing. Betsy Sanchez Mateo.
ANALISTA DE UMMOG-FCS
Ing. Ciboney Granda Ordóñez.
Lcda. Andrea Mejía Ramírez.
ANALISTAS DE ESTADÍSTICA-FCS
Lcda. Jenny Velez Balandra.
ANALISTA ADMINISTRATIVO UMMOG-FCS
Lcdo. Julian Solano Caamaño.</t>
  </si>
  <si>
    <r>
      <rPr>
        <b/>
        <sz val="9"/>
        <color theme="1"/>
        <rFont val="Century Schoolbook"/>
      </rPr>
      <t>11.-</t>
    </r>
    <r>
      <rPr>
        <sz val="10"/>
        <color theme="1"/>
        <rFont val="Arial Narrow"/>
      </rPr>
      <t xml:space="preserve"> Presentar la Planificación Operativa Anual y Evaluación de la Planificación Operativo Anual.</t>
    </r>
  </si>
  <si>
    <t>N° de Planificaciones Operativas Anuales y Evaluaciones de la Planificación Operativa Anual entregadas oportunamente.</t>
  </si>
  <si>
    <t>1.- Elaborar las planificaciones operativas anuales del año 2024.
2.- Autoevaluar la planificación operativa anual del año 2023.</t>
  </si>
  <si>
    <t>1.-Plan operativo anual 2024.
2.- Evaluación del POA 2023.</t>
  </si>
  <si>
    <r>
      <rPr>
        <b/>
        <sz val="9"/>
        <color theme="1"/>
        <rFont val="Century Schoolbook"/>
      </rPr>
      <t>12.-</t>
    </r>
    <r>
      <rPr>
        <sz val="10"/>
        <color theme="1"/>
        <rFont val="Arial Narrow"/>
      </rPr>
      <t xml:space="preserve"> Organizar el Archivo Intermedio.</t>
    </r>
  </si>
  <si>
    <t>N° de Expedientes archivados en físico y/o digital, del año 2019-2 y 2023.</t>
  </si>
  <si>
    <t>1.- Receptar oficios, resoluciones y solicitudes.
 2.- Elaborar y despachar oficios.
 3.- Registrar oficios, resoluciones enviados y recibidos en el SIUTMACH.
 4.- Consolidar expediente de los estudiantes (EDUCACIÓN BÄSICA y EDUCACIÓN  PARVULARIA, período académico 2019-2)
 5.- Archivar cronológicamente los oficios, resoluciones del año 2023 y expedientes de estudiantes 2019-2.</t>
  </si>
  <si>
    <t>1.- Expedientes archivados 2019-2 y 2023.
2.- Matriz del inventario Documental.</t>
  </si>
  <si>
    <t>Dr. Julio Cisneros León.
JEFE DE UMMOG-FCS
Lcda. Jenny Velez Balandra.
ANALISTA ADMINISTRATIVO UMMOG-FCS
COLABORADORES
Ing. Betsy Sanchez Mateo.
ANALISTA DE UMMOG-FCS
Ing. Ciboney Granda Ordóñez.
Lcda. Andrea Mejía Ramírez.
ANALISTAS DE ESTADÍSTICA-FCS
Lcdo. Julian Solano Caamaño.</t>
  </si>
  <si>
    <r>
      <rPr>
        <b/>
        <sz val="10"/>
        <color rgb="FFFF0000"/>
        <rFont val="Arial Narrow"/>
      </rPr>
      <t>METAS OPERATIVAS</t>
    </r>
    <r>
      <rPr>
        <b/>
        <sz val="9"/>
        <color theme="1"/>
        <rFont val="Century Schoolbook"/>
      </rPr>
      <t xml:space="preserve">
1.-</t>
    </r>
    <r>
      <rPr>
        <sz val="10"/>
        <color theme="1"/>
        <rFont val="Arial Narrow"/>
      </rPr>
      <t xml:space="preserve"> Emitir y notificar las convocatorias, actas y resoluciones de Consejo Directivo.</t>
    </r>
  </si>
  <si>
    <t>N° de convocatorias, actas y resoluciones de Consejo Directivo elaboradas y emitidas.</t>
  </si>
  <si>
    <t>1.- Elaborar la convocatoria.
2.- Notificar la convocatoria.
3.- Constatar el quórum reglamentario.
4.- Dar lectura al orden del día.
5.- Elaborar las resoluciones adoptadas en Consejo Directivo.
6.- Certificar las resoluciones.
7.- Registrar y notificar las resoluciones.
8.- Redactar y revisar actas de Consejo Directivo.
9.- Suscribir acta de consejo directivo conjuntamente con el señor decano.
10.- Notificar el acta a los miembros del Consejo Directivo.</t>
  </si>
  <si>
    <t>* Ab. Servio Ordoñez Mendoza,
  Secretario-Abogado
* Ing. Patricia Velastegui Balandra, Analista Académico</t>
  </si>
  <si>
    <r>
      <rPr>
        <b/>
        <sz val="9"/>
        <color theme="1"/>
        <rFont val="Century Schoolbook"/>
      </rPr>
      <t>2.-</t>
    </r>
    <r>
      <rPr>
        <sz val="10"/>
        <color theme="1"/>
        <rFont val="Arial Narrow"/>
      </rPr>
      <t xml:space="preserve"> Emitir y/o legalizar las Certificaciones de la Facultad.</t>
    </r>
  </si>
  <si>
    <t>N° de Certificados de la Facultad emitidas y legalizadas.</t>
  </si>
  <si>
    <t>* Ab. Servio Ordoñez Mendoza,
  Secretario-Abogado</t>
  </si>
  <si>
    <r>
      <rPr>
        <b/>
        <sz val="9"/>
        <color theme="1"/>
        <rFont val="Century Schoolbook"/>
      </rPr>
      <t>3.-</t>
    </r>
    <r>
      <rPr>
        <sz val="10"/>
        <color theme="1"/>
        <rFont val="Arial Narrow"/>
      </rPr>
      <t xml:space="preserve"> Registrar y distribuir la correspondencia interna y externa de la Facultad.</t>
    </r>
  </si>
  <si>
    <r>
      <rPr>
        <b/>
        <sz val="9"/>
        <color theme="1"/>
        <rFont val="Century Schoolbook"/>
      </rPr>
      <t>4.-</t>
    </r>
    <r>
      <rPr>
        <sz val="10"/>
        <color theme="1"/>
        <rFont val="Arial Narrow"/>
      </rPr>
      <t xml:space="preserve"> Brindar asesoría jurídica a las Autoridades y dependencias de la Facultad.</t>
    </r>
  </si>
  <si>
    <t>1.- Orientar con legislación actualizada a los diferentes departamentos de la Facultad.</t>
  </si>
  <si>
    <t>1.- Reporte de informes de asesorías jurídicas brindadas a las autoridades y dependencias de la Facultad.</t>
  </si>
  <si>
    <r>
      <rPr>
        <b/>
        <sz val="9"/>
        <color theme="1"/>
        <rFont val="Century Schoolbook"/>
      </rPr>
      <t>5.-</t>
    </r>
    <r>
      <rPr>
        <sz val="10"/>
        <color theme="1"/>
        <rFont val="Arial Narrow"/>
      </rPr>
      <t xml:space="preserve"> Emitir Informes jurídicos de los procesos disciplinarios, académicos y/o administrativos de la Facultad.</t>
    </r>
  </si>
  <si>
    <t>N° de procesos disciplinarios, académicos y administrativos emitidos.</t>
  </si>
  <si>
    <r>
      <rPr>
        <b/>
        <sz val="9"/>
        <color theme="1"/>
        <rFont val="Century Schoolbook"/>
      </rPr>
      <t>6.-</t>
    </r>
    <r>
      <rPr>
        <sz val="10"/>
        <color theme="1"/>
        <rFont val="Arial Narrow"/>
      </rPr>
      <t xml:space="preserve"> Administrar la documentación para tratamiento del Consejo Directivo.</t>
    </r>
  </si>
  <si>
    <t>No. de documentación para tratamiento del Consejo Directivo administrada</t>
  </si>
  <si>
    <t>1.- Receptar y analizar la documentación a tratar por Consejo Directivo.</t>
  </si>
  <si>
    <t>1.- Reporte de documentos administrados para tratamiento por Consejo Directivo.</t>
  </si>
  <si>
    <r>
      <rPr>
        <b/>
        <sz val="9"/>
        <color theme="1"/>
        <rFont val="Century Schoolbook"/>
      </rPr>
      <t>7.-</t>
    </r>
    <r>
      <rPr>
        <sz val="10"/>
        <color theme="1"/>
        <rFont val="Arial Narrow"/>
      </rPr>
      <t xml:space="preserve">  Presentar la Planificación Operativa Anual y Evaluación de la Planificación Operativa Anual..</t>
    </r>
  </si>
  <si>
    <t>1.- Elaborar el plan operativo anual de la Secretaría y Archivo
2.- Elaborar la evaluación al POA de la Secretaría y Archivo
3.- Remitir al Decanato el plan operativo anual y su evaluación</t>
  </si>
  <si>
    <t>1.-Plan operativo anual 2024
2.- Evaluación del POA 2023.</t>
  </si>
  <si>
    <t>* Ab. Servio Ordoñez Mendoza, Secretario-Abogado
* Ing. Patricia Velastegui Balandra, Analista Académico</t>
  </si>
  <si>
    <t>N° de Carpetas inventariadas.</t>
  </si>
  <si>
    <t>1.- Organizar, clasificar y realizar el inventario documental de carpetas del archivo que reposa en la secretaría de la FCS.</t>
  </si>
  <si>
    <t>ARTES PLÁSTICAS</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</si>
  <si>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</si>
  <si>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Comisión Académica, ejecutado.</t>
  </si>
  <si>
    <t>1.- Asistir a reuniones de Comisión Académica</t>
  </si>
  <si>
    <t>1. Registro de asistencia a reuniones
2. Convocatorias a Consejo Directivo</t>
  </si>
  <si>
    <t>*Lcd. Rosa Caamaño, Mgs
Subdecana de la FCS
* Directores de Carrera de la FCS</t>
  </si>
  <si>
    <t>2.- Presidir el Comité de Evaluación Interna de Carrera.</t>
  </si>
  <si>
    <t>2. Sesiones de Comité de Evaluación Interna de Carrera, ejecutado.</t>
  </si>
  <si>
    <t>1.- Convocar a reuniones
2.- Asistir a reuniones con el Comité de Evaluación Interna de Carrera</t>
  </si>
  <si>
    <t>1. Registro de asistencia a reuniones
2.- Reporte de actas</t>
  </si>
  <si>
    <t>* Lic. Lenin Romero Espinoza, 
    Director de Carrera 
* Comité de Evaluación Interna de la Carrera</t>
  </si>
  <si>
    <t>3.- Proponer la terna del personal académico y estudiantil que integrará el Comité de Evaluación Interna de Carrera, gestionado.</t>
  </si>
  <si>
    <t xml:space="preserve">3.Terna del personal académico y estudiantil que integrará el Comité de Evaluación Interna de Carrera, gestionado. </t>
  </si>
  <si>
    <t>Ejecución de los procesos académicos coordinados.</t>
  </si>
  <si>
    <t>1.- Entrega de la terna del personal académico y estudiantil que integrará el Comité de Evaluación Interna de Carrera a Decanato</t>
  </si>
  <si>
    <t>1.- Aprobación del Comité de Evaluación Interna de la Carrera, bajo Resolución del consejo directivo</t>
  </si>
  <si>
    <t xml:space="preserve">* Lic. Lenin Romero Espinoza, 
  Director de Carrera </t>
  </si>
  <si>
    <t>4.-Designar a los responsables de los colectivos académicos de carrera:
Titulación, Evaluación y Acreditación de la Calidad, Prácticas Preprofesionales o laborales, y servicio comunitario.</t>
  </si>
  <si>
    <t xml:space="preserve">4. Responsables de colectivos académicos de carrera: Titulación, Evaluación y acreditación de la calidad, prácticas pre-profesionales o laborales y servicio comunitario, realizado. </t>
  </si>
  <si>
    <t>1.- Designación de responsables de colectivos académicos de la carrera</t>
  </si>
  <si>
    <t>1.- Oficio de designación</t>
  </si>
  <si>
    <t>5.- Ejecutar los procesos que garantizan el cumplimiento de las funciones sustantivas de la educación superior: docencia, investigación y vinculación en la facultad que dirige</t>
  </si>
  <si>
    <t>5. Procesos que garantizan el cumplimiento de las funciones sustantivas de la educación superior: docencia, investigación y vinculación en la facultad que dirige; ejecutados.</t>
  </si>
  <si>
    <t>1.- Asignar horas de investigación y de vinculación en el Distributivo Académico de acuerdo a las sugerencias de las Direcciones correspondientes.
2.- Solicitar los informes de resultados o avances de los proyectos de</t>
  </si>
  <si>
    <t xml:space="preserve">* Lic. Lenin Romero Espinoza, 
  Director de Carrera 
* Docentes con carga horaria en en investigación y vinculación </t>
  </si>
  <si>
    <t>6.- Asistir a sesiones de trabajo convocadas por las Autoridades
correspondientes.</t>
  </si>
  <si>
    <t xml:space="preserve">6. Sesiones de trabajo convocadas por las Autoridades correspondientes, sesionado. </t>
  </si>
  <si>
    <t>N° de Sesiones de trabajo  presididas.</t>
  </si>
  <si>
    <t>1.-  Asistir a  las sesiones de trabajo</t>
  </si>
  <si>
    <t>1.- Registro de asistencia</t>
  </si>
  <si>
    <t>7.- Informar al Subdecano sobre irregularidades, inconformidades y/ o
polémicas surgidas en el ambiente académico de su carrera.</t>
  </si>
  <si>
    <t>7. Irregularidades, inconformidades y/ o polémicas surgidas en el ambiente académico de su carrera, informadas.</t>
  </si>
  <si>
    <t>1.- Convocar a sesiones de trabajo y mediación en caso de ser necesario</t>
  </si>
  <si>
    <t>1.- Informe en caso de ser necesario</t>
  </si>
  <si>
    <t>8.- Elaborar el distributivo académico de su carrera, para conocimiento y análisis ante la Comisión Académica y posterior aprobación por el Consejo
Directivo.</t>
  </si>
  <si>
    <t xml:space="preserve">8. Distributivo académico de su carrera, elaborado. </t>
  </si>
  <si>
    <t>1.- Elaboración de distributivo académico
2.- Elaboración de horarios</t>
  </si>
  <si>
    <t>1.- Reporte del estado actual de los procesos académicos ejecutados.</t>
  </si>
  <si>
    <t>9.- Organizar y convocar a reuniones periódicas del personal académico con el fin de monitorear y mejorar continuamente la calidad de enseñanza</t>
  </si>
  <si>
    <t xml:space="preserve">9. Reuniones periódicas del personal académico, gestionadas. </t>
  </si>
  <si>
    <t xml:space="preserve">N° de Convocatorias ejecutadas y supervisadas </t>
  </si>
  <si>
    <t>1.- Convocar a reuniones al personal académico docente</t>
  </si>
  <si>
    <t>1.- Registro de convocatorias emitidas por correo electrónico 
2.- Reporte de actas</t>
  </si>
  <si>
    <t>* Lic. Lenin Romero Espinoza, 
  Director de Carrera 
* Docentes de la Carrera</t>
  </si>
  <si>
    <t>10.- Gestionar la organización del sistema de tutorías del proceso
enseñanza- aprendizaje de la carrera</t>
  </si>
  <si>
    <t xml:space="preserve">10. Sistema de tutorías del proceso enseñanza- aprendizaje de la carrera; gestionado. </t>
  </si>
  <si>
    <t>1.- Solicitar y/o receptar reportes de tutorías académicas de los docentes</t>
  </si>
  <si>
    <t>1.- Reporte general de tutorías académicas</t>
  </si>
  <si>
    <t>11.- Asesorar al claustro docente sobre el plan de estudio de la carrera</t>
  </si>
  <si>
    <t xml:space="preserve">11. Plan de estudio de la carrera; asesorado. </t>
  </si>
  <si>
    <t>1.- Convocar reunión de trabajo a los docentes</t>
  </si>
  <si>
    <t>1.- Registro de convocatorias emitidas por correo electrónico</t>
  </si>
  <si>
    <t>12.- Visitar aulas de clase con fines formativos y de asesoramiento</t>
  </si>
  <si>
    <t xml:space="preserve">12. Aulas de clase con fines formativos y de asesoramiento, realizadas. </t>
  </si>
  <si>
    <t>N° de supervisiones ejecutadas</t>
  </si>
  <si>
    <t>1.- Supervisar el uso de las aulas</t>
  </si>
  <si>
    <t>1.- Reporte de registro de visita  in situ</t>
  </si>
  <si>
    <t>13.- Participar en las actividades relacionadas con diseño curricular de la carrera</t>
  </si>
  <si>
    <t xml:space="preserve">13. Actividades relacionadas con diseño curricular de la carrera; gestionadas. </t>
  </si>
  <si>
    <t>14.- Supervisar la entrega de actas de calificaciones parciales y/ o finales de
las asignaturas</t>
  </si>
  <si>
    <t>14. Entrega de actas de calificaciones parciales y/ o finales de las asignaturas; efectuado.</t>
  </si>
  <si>
    <t>1.- Enviar comunicaciones al personal docente de la carrera, para la entrega de actas</t>
  </si>
  <si>
    <t>1.- Reporte del estado entrega de actas de calificaciones</t>
  </si>
  <si>
    <t>* Lic. Lenin Romero Espinoza, 
  Director de Carrera 
*Docentes de la Carrera</t>
  </si>
  <si>
    <t>15.- Elaborar informes periódicos sobre las actividades realizadas; y Otras que se deriven de las disposiciones emitidas por las autoridades, Consejo Directivo, el presente Estatuto, y demás normativa vigente.</t>
  </si>
  <si>
    <t>15. Informes periódicos de actividades realizadas; y Otras que se deriven de las disposiciones emitidas por las autoridades, Consejo Directivo, el presente Estatuto, y demás normativa vigente.</t>
  </si>
  <si>
    <t>1.- Remitir al Subdecanato el informe mensual de coordinación de carrera</t>
  </si>
  <si>
    <t>1.- Reporte de los informes mensuales de Coordinación</t>
  </si>
  <si>
    <t>TOTAL PRESUPUESTO ESTIMATIVO DE ARTES PLÁSTICAS 2023:</t>
  </si>
  <si>
    <t>COMUNICACIÓN</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</si>
  <si>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</si>
  <si>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 Lcd. José Luis López Aguilar,
    Director de Carrera 
* Comité de Evaluación Interna de la Carrera</t>
  </si>
  <si>
    <t xml:space="preserve">* Lcd. José Luis López Aguilar,
  Director de Carrera </t>
  </si>
  <si>
    <t>3.- Incrementar los resultados de desarrollo e innovación a través de la gestión de proyectos de investigación.</t>
  </si>
  <si>
    <t>Proyecto de investigación: "Producción de videos  educativos para youtube y su incidencia en el rendimiento académico"</t>
  </si>
  <si>
    <t>Nº de proyecto de investigación gestionado</t>
  </si>
  <si>
    <t>1. Elaborar el proyecto de investigación
2. Ejecutar el proyecto de investigación Producción de videos  educativos para youtube y su incidencia en el rendimiento académico
3. Diseño de una metodología de investigación para valorar de forma empírica la
incidencia estrategias didácticas relacionadas con la comunicación educativa en la
satisfacción y rendimiento académico de estudiantes universitarios.
4. Organización de Diseño instruccional de un curso de formación sobre comunicación en la era digital
para estudiantes universitarios.
5. Gestionar la implementación del laboratorio audiovisual para la carrera de Comunicación
6. Gestionar la producción científica dentro del proyecto</t>
  </si>
  <si>
    <t>1. Proyecto de investigación
2. Elaborar plan de capacitación curso de formación sobre comunicación en la era digital
para estudiantes universitarios.
3. Diseño de guìa metodología de investigación para valorar de forma empírica la
incidencia estrategias didácticas relacionadas con la comunicación educativa en la
satisfacción y rendimiento académico de estudiantes universitarios.
4. Publicación de Artículos científicos presentados</t>
  </si>
  <si>
    <t>* Lcd. José Luis López Aguilar,  
   Director de Carrera
* Docentes participantes del proyecto</t>
  </si>
  <si>
    <t xml:space="preserve">A partir del proyecto de Investigación denominado Producción de videos  educativos para youtube y su incidencia en el rendimiento académico, se gestiona la implementación del laboratorio de producción audiovisual de la carrera de comunicación </t>
  </si>
  <si>
    <t>EQUIPO ELECTRONICO/IMPRESORAS/IMPRESORA MULTIFUNCIONAL</t>
  </si>
  <si>
    <t>COMPUTADOR ESCRITORIO SOFTWARE PRIVADO 12</t>
  </si>
  <si>
    <t>Adquisición de EQUIPOS DE OFICINA Y ADMINISTRACION/AIRE ACONDICIONADO/AIRE ACONDICIONADO PARED 36000 BTU (instalación)</t>
  </si>
  <si>
    <t xml:space="preserve">* Lcd. José Luis López Aguilar,  
  Director de Carrera </t>
  </si>
  <si>
    <t>* Lcd. José Luis López Aguilar,  
  Director de Carrera 
* Docentes de la Carrera</t>
  </si>
  <si>
    <t>* Lcd. José Luis López Aguilar,  
  Director de Carrera 
*Docentes de la Carrera</t>
  </si>
  <si>
    <t>TOTAL PRESUPUESTO ESTIMATIVO DE COMUNICACIÓN 2023:</t>
  </si>
  <si>
    <t>DERECHO</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</si>
  <si>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</si>
  <si>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 Dra. Monica Ramon Merchan, 
    Director de Carrera 
* Comité de Evaluación Interna de la Carrera</t>
  </si>
  <si>
    <t xml:space="preserve">* Dra. Monica Ramon Merchan, 
  Director de Carrera </t>
  </si>
  <si>
    <t>1.- Mejorar las instalaciones del Consultorio Jurídico Gratuito de la UTMACH
2.- Asignar horas de investigación y de vinculación en el Distributivo Académico de acuerdo a las sugerencias de las Direcciones correspondientes.
3.- Solicitar los informes de resultados o avances de los proyectos de investigación y vinculación con la sociedad.                                                                                                                                                                       4.-Ejecutar el Proceso referente a las pasantías y prácticas pre-profesionales de las y los estudiantes de las carreras de pregrado aprobados.</t>
  </si>
  <si>
    <t>1.- Reporte del estado actual de resultados o avances de los proyectos de Investigación y de vinculación con la sociedad. 
2.- Reporte de los pasantes o practicantes que realizaron pasantías y prácticas pre-profesionales de las carreras de pregrado aprobados en el Consultorio Jurídico Gratuito
3.- Contratos de adquisición de bienes, prestación de servicios y/o ejecución de obras.</t>
  </si>
  <si>
    <t>* Dra. Monica Ramon Merchan, 
Directora de Carrera
* Docentes Equipo Académico
* Ab. Leonardo Falconí
  Técnico de Laboratorio</t>
  </si>
  <si>
    <t>45220.00.12</t>
  </si>
  <si>
    <t>Tinta color rojo Epson para impresora</t>
  </si>
  <si>
    <t>Tinta color azul  Epson para impresora</t>
  </si>
  <si>
    <t>Tinta color negro  Epson para impresora</t>
  </si>
  <si>
    <t>Tinta color amarillo Epson para impresora</t>
  </si>
  <si>
    <t>Materiales de oficina</t>
  </si>
  <si>
    <t xml:space="preserve">* Dra. Monica Ramon Merchan,
  Director de Carrera </t>
  </si>
  <si>
    <t>* Dra. Monica Ramon Merchan,
  Director de Carrera 
* Docentes de la Carrera</t>
  </si>
  <si>
    <t>* Dra. Monica Ramon Merchan,
  Director de Carrera 
*Docentes de la Carrera</t>
  </si>
  <si>
    <t>TOTAL PRESUPUESTO ESTIMATIVO DE DERECHO 2023:</t>
  </si>
  <si>
    <t>EDUCACIÓN BÁSICA</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</si>
  <si>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</si>
  <si>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 Lcda. Paquita Tinoco, 
    Director de Carrera 
* Comité de Evaluación Interna de la Carrera</t>
  </si>
  <si>
    <t xml:space="preserve">* Lcda. Paquita Tinoco, 
  Director de Carrera </t>
  </si>
  <si>
    <t xml:space="preserve">1.- Asignar horas de investigación y de vinculación en el Distributivo Académico de acuerdo a las sugerencias de las Direcciones correspondientes.
2.- Solicitar los informes de resultados o avances de los proyectos de 
1. Impulsar la creación del Proyecto de "Fortalecimiento pedagógico en estrategias metodológicas de educación básica en el área de lengua y literatura </t>
  </si>
  <si>
    <t xml:space="preserve">* Lcda. Paquita Tinoco, 
  Director de Carrera 
* Docentes con carga horaria en en investigación y vinculación </t>
  </si>
  <si>
    <t>* Lcda. Paquita Tinoco, 
  Director de Carrera 
* Docentes de la Carrera</t>
  </si>
  <si>
    <t>* Lcda. Paquita Tinoco, 
  Director de Carrera 
*Docentes de la Carrera</t>
  </si>
  <si>
    <t>TOTAL PRESUPUESTO ESTIMATIVO DE EDUCACIÓN BÁSICA 2023:</t>
  </si>
  <si>
    <t>EDUCACIÓN INICIAL</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</si>
  <si>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</si>
  <si>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 Dra. Consuelo Reyes Cedeño,  
    Director de Carrera 
* Comité de Evaluación Interna de la Carrera</t>
  </si>
  <si>
    <t xml:space="preserve">* Dra. Consuelo Reyes Cedeño,  
  Director de Carrera </t>
  </si>
  <si>
    <t xml:space="preserve">* Dra. Consuelo Reyes Cedeño,  
  Director de Carrera 
* Docentes con carga horaria en en investigación y vinculación </t>
  </si>
  <si>
    <t>* Dra. Consuelo Reyes Cedeño,  
  Director de Carrera 
* Docentes de la Carrera</t>
  </si>
  <si>
    <t>* Dra. Consuelo Reyes Cedeño,   
  Director de Carrera 
*Docentes de la Carrera</t>
  </si>
  <si>
    <t xml:space="preserve">* Dra. Consuelo Reyes Cedeño,   
  Director de Carrera </t>
  </si>
  <si>
    <t>TOTAL PRESUPUESTO ESTIMATIVO DE EDUCACIÓN INICIAL 2023:</t>
  </si>
  <si>
    <t>PEDAGOGÍA DE LA ACTIVIDAD FÍSICA Y DEPORTE</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</si>
  <si>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</si>
  <si>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Balones de fútbol # 5 modelo FT-5 fifa</t>
  </si>
  <si>
    <t>Balones de basquet</t>
  </si>
  <si>
    <t>Balones de volley</t>
  </si>
  <si>
    <t>Net para Volley</t>
  </si>
  <si>
    <t>Conos de 39 de alto por 20 de ancho</t>
  </si>
  <si>
    <t>Conos de 31 de alto por 37 de ancho</t>
  </si>
  <si>
    <t>Conos de 15 cm</t>
  </si>
  <si>
    <t>Mesa de tenis de mesa</t>
  </si>
  <si>
    <t>Raqueta para tenis de mesa</t>
  </si>
  <si>
    <t xml:space="preserve">Pelotas para tenis de mesa </t>
  </si>
  <si>
    <t>* Lic. Felipe Montero Ordoñez,   
    Director de Carrera 
* Comité de Evaluación Interna de la Carrera</t>
  </si>
  <si>
    <t xml:space="preserve">* Lic. Felipe Montero Ordoñez, 
  Director de Carrera </t>
  </si>
  <si>
    <t xml:space="preserve">* Lic. Felipe Montero Ordoñez, 
  Director de Carrera 
* Docentes con carga horaria en en investigación y vinculación </t>
  </si>
  <si>
    <t>* Lic. Felipe Montero Ordoñez, 
  Director de Carrera 
* Docentes de la Carrera</t>
  </si>
  <si>
    <t>* Lic. Felipe Montero Ordoñez, 
  Director de Carrera 
*Docentes de la Carrera</t>
  </si>
  <si>
    <t>TOTAL PRESUPUESTO ESTIMATIVO DE PEDAGOGÍA DE LA ACTIVIDAD FÍSICA Y DEPORTE 2023:</t>
  </si>
  <si>
    <t>PEDAGOGÍA DE LAS CIENCIAS EXPERIMENTALES</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</si>
  <si>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</si>
  <si>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 Ing. Marcos David Arboleda, 
    Director de Carrera 
* Comité de Evaluación Interna de la Carrera</t>
  </si>
  <si>
    <t xml:space="preserve">* Ing. Marcos David Arboleda, 
  Director de Carrera </t>
  </si>
  <si>
    <t xml:space="preserve">* Ing. Marcos David Arboleda, 
  Director de Carrera 
* Docentes con carga horaria en en investigación y vinculación </t>
  </si>
  <si>
    <t>* Ing. Marcos David Arboleda, 
  Director de Carrera 
* Docentes de la Carrera</t>
  </si>
  <si>
    <t>* Ing. Marcos David Arboleda, 
  Director de Carrera 
*Docentes de la Carrera</t>
  </si>
  <si>
    <t>TOTAL PRESUPUESTO ESTIMATIVO DE PEDAGOGÍA DE LAS CIENCIAS EXPERIMENTALES 2023:</t>
  </si>
  <si>
    <t>PEDAGOGÍA DE LOS IDIOMAS NACIONALES Y EXTRANJEROS</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</si>
  <si>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</si>
  <si>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 Lic. Jhon Chamba, 
  Director de Carrera 
* Comité de Evaluación Interna de la Carrera</t>
  </si>
  <si>
    <t xml:space="preserve">* Lic. Jhon Chamba, 
  Director de Carrera </t>
  </si>
  <si>
    <t xml:space="preserve">* Lic. Jhon Chamba, 
  Director de Carrera 
* Docentes con carga horaria en en investigación y vinculación </t>
  </si>
  <si>
    <t>* Lic. Jhon Chamba, 
  Director de Carrera 
* Docentes de la Carrera</t>
  </si>
  <si>
    <t>* Lic. Jhon Chamba, 
  Director de Carrera 
*Docentes de la Carrera</t>
  </si>
  <si>
    <t>TOTAL PRESUPUESTO ESTIMATIVO DE PEDAGOGÍA DE LOS IDIOMAS NACIONALES Y EXTRANJEROS 2023:</t>
  </si>
  <si>
    <t>PSICOPEDAGOGÍA</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</si>
  <si>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</si>
  <si>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 Lic. Wilson Peñaloza Peñaloza
  Director de Carrera 
* Comité de Evaluación Interna de la Carrera</t>
  </si>
  <si>
    <t xml:space="preserve">* Lic. Wilson Peñaloza Peñaloza
  Director de Carrera </t>
  </si>
  <si>
    <t xml:space="preserve">* Lic. Wilson Peñaloza Peñaloza
  Director de Carrera 
* Docentes con carga horaria en en investigación y vinculación </t>
  </si>
  <si>
    <t>* Lic. Wilson Peñaloza Peñaloza
  Director de Carrera 
* Docentes de la Carrera</t>
  </si>
  <si>
    <t>* Lic. Wilson Peñaloza Peñaloza
  Director de Carrera 
*Docentes de la Carrera</t>
  </si>
  <si>
    <t>TOTAL PRESUPUESTO ESTIMATIVO DE PSICOPEDAGOGÍA 2023:</t>
  </si>
  <si>
    <t>PSICOLOGÍA CLÍNICA</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</si>
  <si>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</si>
  <si>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 Psic. Carlos Carpio Mosquera,
  Director de Carrera 
* Comité de Evaluación Interna de la Carrera</t>
  </si>
  <si>
    <t xml:space="preserve">* Psic. Carlos Carpio Mosquera,
  Director de Carrera </t>
  </si>
  <si>
    <t xml:space="preserve">* Psic. Carlos Carpio Mosquera,
  Director de Carrera 
* Docentes con carga horaria en en investigación y vinculación </t>
  </si>
  <si>
    <t>* Psic. Carlos Carpio Mosquera,
  Director de Carrera 
* Docentes de la Carrera</t>
  </si>
  <si>
    <t>* Psic. Carlos Carpio Mosquera,
  Director de Carrera 
*Docentes de la Carrera</t>
  </si>
  <si>
    <t>TOTAL PRESUPUESTO ESTIMATIVO DE PSICOLOGÍA CLÍNICA 2023:</t>
  </si>
  <si>
    <t>SOCIOLOGÍA</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</si>
  <si>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</si>
  <si>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*Soc. Francisco Sánchez Flores
  Director de Carrera 
* Comité de Evaluación Interna de la Carrera</t>
  </si>
  <si>
    <t xml:space="preserve">*Soc. Francisco Sánchez Flores
  Director de Carrera </t>
  </si>
  <si>
    <t xml:space="preserve">*Soc. Francisco Sánchez Flores
  Director de Carrera 
* Docentes con carga horaria en en investigación y vinculación </t>
  </si>
  <si>
    <t>*Soc. Francisco Sánchez Flores
  Director de Carrera 
* Docentes de la Carrera</t>
  </si>
  <si>
    <t>*Soc. Francisco Sánchez Flores
  Director de Carrera 
*Docentes de la Carrera</t>
  </si>
  <si>
    <t>TOTAL PRESUPUESTO ESTIMATIVO DE SOCIOLOGÍA 2023:</t>
  </si>
  <si>
    <t>TRABAJO SOCIAL</t>
  </si>
  <si>
    <r>
      <rPr>
        <b/>
        <sz val="10"/>
        <color rgb="FFFF0000"/>
        <rFont val="Arial Narrow"/>
      </rPr>
      <t>METAS OPERATIVAS</t>
    </r>
    <r>
      <rPr>
        <b/>
        <sz val="9"/>
        <color theme="1"/>
        <rFont val="Century Schoolbook"/>
      </rPr>
      <t xml:space="preserve">
1.-</t>
    </r>
    <r>
      <rPr>
        <sz val="10"/>
        <color theme="1"/>
        <rFont val="Arial Narrow"/>
      </rPr>
      <t xml:space="preserve"> Coordinar la ejecución de los procesos académicos.</t>
    </r>
  </si>
  <si>
    <t>* Ing. Jorge Valarezo Castro, PhD.
  Director de Carrera 
* Comité de Evaluación Interna de la Carrera</t>
  </si>
  <si>
    <t xml:space="preserve">* Ing. Jorge Valarezo Castro, PhD.
  Director de Carrera </t>
  </si>
  <si>
    <t xml:space="preserve">* Ing. Jorge Valarezo Castro, PhD.
  Director de Carrera 
* Docentes con carga horaria en en investigación y vinculación </t>
  </si>
  <si>
    <t>* Ing. Jorge Valarezo Castro, PhD.
  Director de Carrera 
* Docentes de la Carrera</t>
  </si>
  <si>
    <t>* Ing. Jorge Valarezo Castro, PhD.
  Director de Carrera 
*Docentes de la Carrera</t>
  </si>
  <si>
    <t>TOTAL PRESUPUESTO ESTIMATIVO DE TRABAJO SOCIAL 2023:</t>
  </si>
  <si>
    <t>TOTAL PRESUPUESTO ESTIMATIVO FCS 2023:</t>
  </si>
  <si>
    <r>
      <rPr>
        <b/>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</si>
  <si>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FACULTAD DE INGENIERÍA CIVIL</t>
  </si>
  <si>
    <r>
      <rPr>
        <b/>
        <sz val="10"/>
        <color rgb="FFFF0000"/>
        <rFont val="Arial Narrow"/>
      </rPr>
      <t>METAS OPERATIVAS</t>
    </r>
    <r>
      <rPr>
        <b/>
        <sz val="10"/>
        <color theme="1"/>
        <rFont val="Arial Narrow"/>
      </rPr>
      <t xml:space="preserve">
1.-</t>
    </r>
    <r>
      <rPr>
        <sz val="10"/>
        <color theme="1"/>
        <rFont val="Arial Narrow"/>
      </rPr>
      <t xml:space="preserve"> Emitir directrices para garantizar la ejecución de los procesos administrativos y académicos.</t>
    </r>
  </si>
  <si>
    <t>N° de directrices emitidas se garantiza la ejecución de los procesos administrativos</t>
  </si>
  <si>
    <t>1.- Convocar a reuniones.
2.- Asignar de tareas o actividades (sumillas).</t>
  </si>
  <si>
    <t>Ing. Mariuxi Zea Ordóñez, Decana
Srta. Mayra Vera Yépez, Analista de Decanato</t>
  </si>
  <si>
    <r>
      <rPr>
        <b/>
        <sz val="10"/>
        <color theme="1"/>
        <rFont val="Arial Narrow"/>
      </rPr>
      <t>2.-</t>
    </r>
    <r>
      <rPr>
        <sz val="10"/>
        <color theme="1"/>
        <rFont val="Arial Narrow"/>
      </rPr>
      <t xml:space="preserve"> Supervisar y ejecutar los procesos administrativos y académicos.</t>
    </r>
  </si>
  <si>
    <r>
      <rPr>
        <b/>
        <sz val="10"/>
        <color theme="1"/>
        <rFont val="Arial Narrow"/>
      </rPr>
      <t>3.-</t>
    </r>
    <r>
      <rPr>
        <sz val="10"/>
        <color theme="1"/>
        <rFont val="Arial Narrow"/>
      </rPr>
      <t xml:space="preserve"> Gestionar la Propuesta del distributivo académico en conjunto con los Subdecanatos.</t>
    </r>
  </si>
  <si>
    <t>Número de Distributivos Aprobados</t>
  </si>
  <si>
    <t>1.- Revisar con Subdecananto el Distributivo Académico de la Facultad.
2.- Aprobar por Consejo Directivo el Distributivo Académico.
3.- Enviar la Resolución de Consejo Directivo a Rectorado para la Aprobación de Consejo Universitario.</t>
  </si>
  <si>
    <t>1. Resolución de Consejo Universitario de Aprobación del Distributivo</t>
  </si>
  <si>
    <t>Ing. Mariuxi Zea Ordóñez, Decana
Ing. Freddy Urgilés, Subdecano
Srta. Mayra Vera Yépez, Analista de Decanato</t>
  </si>
  <si>
    <r>
      <rPr>
        <b/>
        <sz val="10"/>
        <color theme="1"/>
        <rFont val="Arial Narrow"/>
      </rPr>
      <t>4.-</t>
    </r>
    <r>
      <rPr>
        <sz val="10"/>
        <color theme="1"/>
        <rFont val="Arial Narrow"/>
      </rPr>
      <t xml:space="preserve"> Supervisar la ejecución de las convocatorias a los consejos de facultad.</t>
    </r>
  </si>
  <si>
    <t>N° de Convocatorias ejecutadas y supervisadas de los consejos directivos</t>
  </si>
  <si>
    <t>1.- Revisar la documentación para reuniones de Consejo Directivo.
2.- Revisar y validar cada semestre del control de convocatorias a Consejo Directivo.</t>
  </si>
  <si>
    <t>1. Matriz de Control y Supervisión a la ejecución de las convocatorias a los consejos de facultad.</t>
  </si>
  <si>
    <r>
      <rPr>
        <b/>
        <sz val="10"/>
        <color theme="1"/>
        <rFont val="Arial Narrow"/>
      </rPr>
      <t>5.-</t>
    </r>
    <r>
      <rPr>
        <sz val="10"/>
        <color theme="1"/>
        <rFont val="Arial Narrow"/>
      </rPr>
      <t xml:space="preserve"> Gestionar los Procesos que garantizan el cumplimiento de las funciones sustantivas de la educación superior: docencia, investigación y vinculación.</t>
    </r>
  </si>
  <si>
    <t>N° de procesos de cumplimiento de Investigacion y Vinculacion</t>
  </si>
  <si>
    <t>Los proyectos de investigación se encuentran en proceso de formación
Los proyectos de vinculación se encuentran en proceso de formación</t>
  </si>
  <si>
    <t>Pago de inscripciones y publicaciones académicas</t>
  </si>
  <si>
    <t>Insumos, materiales y bienes para ejecutar proyectos de investigación</t>
  </si>
  <si>
    <t>AIRE ACONDICIONADO PARED 60000 BTU</t>
  </si>
  <si>
    <r>
      <rPr>
        <b/>
        <sz val="10"/>
        <color theme="1"/>
        <rFont val="Arial Narrow"/>
      </rPr>
      <t>6.-</t>
    </r>
    <r>
      <rPr>
        <sz val="10"/>
        <color theme="1"/>
        <rFont val="Arial Narrow"/>
      </rPr>
      <t xml:space="preserve"> Presentar el Informe de Rendición de Cuentas.</t>
    </r>
  </si>
  <si>
    <t>N° de Informes de Rendición de Cuenta realizados</t>
  </si>
  <si>
    <t>1. Elaborar el Informe de Rendición de Cuenta</t>
  </si>
  <si>
    <r>
      <rPr>
        <b/>
        <sz val="10"/>
        <color theme="1"/>
        <rFont val="Arial Narrow"/>
      </rPr>
      <t>7.-</t>
    </r>
    <r>
      <rPr>
        <sz val="10"/>
        <color theme="1"/>
        <rFont val="Arial Narrow"/>
      </rPr>
      <t xml:space="preserve"> Gestionar trámite de licencias solicitadas por el personal docente y administrativo.</t>
    </r>
  </si>
  <si>
    <t>N° de Licencias solicitadas por el personal docente y administrativo, gestionadas</t>
  </si>
  <si>
    <t>8.-  Organizar actividades culturales, deportivas, sociales y proyectos de responsabilidad social e influencia en políticas públicas, en la Facultad.</t>
  </si>
  <si>
    <t>Actividades culturales, deportivas sociales y proyectos de responsabilidad social e influencia en políticas públicas gestionadas</t>
  </si>
  <si>
    <t>N. de actividades culturales, deportivas, sociales realizadas</t>
  </si>
  <si>
    <t>1.- Elaborar programa de sesión solemne por aniversario de la facultad
2.- Desarrollar evento de concurso estudiantil de conocimiento
3. Desarrollar jornadas deportivas</t>
  </si>
  <si>
    <t>1. Informes de actividades
2. Reportes de redes sociales de la facultad</t>
  </si>
  <si>
    <t>Ing. Mariuxi Zea Ordóñez, Decana
Srta. Mayra Vera Yepez, Analista de Decanato
Subdecanato</t>
  </si>
  <si>
    <r>
      <rPr>
        <b/>
        <sz val="10"/>
        <color theme="1"/>
        <rFont val="Arial Narrow"/>
      </rPr>
      <t>9.-</t>
    </r>
    <r>
      <rPr>
        <sz val="10"/>
        <color theme="1"/>
        <rFont val="Arial Narrow"/>
      </rPr>
      <t xml:space="preserve"> Coordinar y gestionar el Proceso de contratación de personal docente para las carreras o programas vigentes en la Facultad.</t>
    </r>
  </si>
  <si>
    <t>N° de solicitudes de coordinadores de carrera</t>
  </si>
  <si>
    <r>
      <rPr>
        <b/>
        <sz val="10"/>
        <color theme="1"/>
        <rFont val="Arial Narrow"/>
      </rPr>
      <t>10.-</t>
    </r>
    <r>
      <rPr>
        <sz val="10"/>
        <color theme="1"/>
        <rFont val="Arial Narrow"/>
      </rPr>
      <t xml:space="preserve"> Emitir criterios técnicos para la sustentación de las decisiones adoptadas a nivel de facultad.</t>
    </r>
  </si>
  <si>
    <t>Criterios técnicos para la sustentación de las decisiones adoptadas a nivel de facultades emitidos.</t>
  </si>
  <si>
    <t>1.- Solicitar de documentos.
2.- Convocar a reuniones.</t>
  </si>
  <si>
    <r>
      <rPr>
        <b/>
        <sz val="10"/>
        <color theme="1"/>
        <rFont val="Arial Narrow"/>
      </rPr>
      <t>11.-</t>
    </r>
    <r>
      <rPr>
        <sz val="10"/>
        <color theme="1"/>
        <rFont val="Arial Narrow"/>
      </rPr>
      <t xml:space="preserve"> Supervisar las Gestiones efectuadas por el Subdecanato, los Coordinadores de Carrera, personal académico y administrativo de la Facultad.</t>
    </r>
  </si>
  <si>
    <t>Ing. Freddy Espinoza U., Decano
Srta. Mayra Vera Yépez, Analista de Decanato</t>
  </si>
  <si>
    <r>
      <rPr>
        <b/>
        <sz val="10"/>
        <color theme="1"/>
        <rFont val="Arial Narrow"/>
      </rPr>
      <t>12.-</t>
    </r>
    <r>
      <rPr>
        <sz val="10"/>
        <color theme="1"/>
        <rFont val="Arial Narrow"/>
      </rPr>
      <t xml:space="preserve"> Presentar la Planificación Operativa Anual y Evaluar la Planificación Operativa Anual.</t>
    </r>
  </si>
  <si>
    <t>N° de Planificaciones de los Planes Operativos Anuales y Evaluaciones de los POA entregadas</t>
  </si>
  <si>
    <t xml:space="preserve">1.- Elaborar el POA 2024.
2.- Elaborar la evaluación del POA 2023.
</t>
  </si>
  <si>
    <t>1.- POA 2024
2.-  Evaluación del POA 2023</t>
  </si>
  <si>
    <t>Ing. Mariuxi Zea Ordóñez, Decana
Srta. Mayra Vera Yepez, Analista de Decanato
Soc. Angel Cardenas Cueva, Administrador de Bienes</t>
  </si>
  <si>
    <r>
      <rPr>
        <b/>
        <sz val="10"/>
        <color theme="1"/>
        <rFont val="Arial Narrow"/>
      </rPr>
      <t>13.-</t>
    </r>
    <r>
      <rPr>
        <sz val="10"/>
        <color theme="1"/>
        <rFont val="Arial Narrow"/>
      </rPr>
      <t xml:space="preserve"> Organizar el Archivo de Gestión.</t>
    </r>
  </si>
  <si>
    <t>N° de Cajas registradas en el inventario documental del decanato</t>
  </si>
  <si>
    <t xml:space="preserve">
Srta. Mayra Vera Yepez, Analista de Decanato</t>
  </si>
  <si>
    <r>
      <rPr>
        <b/>
        <sz val="10"/>
        <color rgb="FFFF0000"/>
        <rFont val="Arial Narrow"/>
      </rPr>
      <t>METAS OPERATIVAS</t>
    </r>
    <r>
      <rPr>
        <b/>
        <sz val="10"/>
        <color theme="1"/>
        <rFont val="Arial Narrow"/>
      </rPr>
      <t xml:space="preserve">
1.-</t>
    </r>
    <r>
      <rPr>
        <sz val="10"/>
        <color theme="1"/>
        <rFont val="Arial Narrow"/>
      </rPr>
      <t xml:space="preserve"> Emitir o actualizar los Procedimientos Académicos internos estandarizados.</t>
    </r>
  </si>
  <si>
    <t>Nº de procedimientos académicos estandarizados, emitidos o actualizados</t>
  </si>
  <si>
    <t>1.-Coordinar y socializar al interior de la Facultad, las directrices emitidas por el Órgano Superior.</t>
  </si>
  <si>
    <t>Ing. Freddy Espinoza Urgilés, Subdecano
Lic.Esther Cepeda Zambrano, Analista del Subdecanato</t>
  </si>
  <si>
    <r>
      <rPr>
        <b/>
        <sz val="10"/>
        <color theme="1"/>
        <rFont val="Arial Narrow"/>
      </rPr>
      <t>2.-</t>
    </r>
    <r>
      <rPr>
        <sz val="10"/>
        <color theme="1"/>
        <rFont val="Arial Narrow"/>
      </rPr>
      <t xml:space="preserve"> Convocar y presidir Sesiones de Comisión Académica de la Facultad.</t>
    </r>
  </si>
  <si>
    <r>
      <rPr>
        <b/>
        <sz val="10"/>
        <color theme="1"/>
        <rFont val="Arial Narrow"/>
      </rPr>
      <t>3.-</t>
    </r>
    <r>
      <rPr>
        <sz val="10"/>
        <color theme="1"/>
        <rFont val="Arial Narrow"/>
      </rPr>
      <t xml:space="preserve"> Orientar y supervisar las propuestas para la creación, fusión y extinción de carreras y programas, así como los planes de estudios de las mismas emanados del trabajo de rediseño curricular.</t>
    </r>
  </si>
  <si>
    <t>Nº de Distributivos Aprobados</t>
  </si>
  <si>
    <r>
      <rPr>
        <b/>
        <sz val="10"/>
        <color theme="1"/>
        <rFont val="Arial Narrow"/>
      </rPr>
      <t>4.-</t>
    </r>
    <r>
      <rPr>
        <sz val="10"/>
        <color theme="1"/>
        <rFont val="Arial Narrow"/>
      </rPr>
      <t xml:space="preserve"> Supervisar la ejecución de los procesos académicos.</t>
    </r>
  </si>
  <si>
    <t>Nº de procesos académicos supervisados</t>
  </si>
  <si>
    <t>1.- Coordinar el proceso de elaboración, ingreso, revisión y seguimiento al sílabo
2.- Coordinar el proceso de Supervisión de tutorías</t>
  </si>
  <si>
    <r>
      <rPr>
        <b/>
        <sz val="10"/>
        <color theme="1"/>
        <rFont val="Arial Narrow"/>
      </rPr>
      <t>5.-</t>
    </r>
    <r>
      <rPr>
        <sz val="10"/>
        <color theme="1"/>
        <rFont val="Arial Narrow"/>
      </rPr>
      <t xml:space="preserve"> Elaborar distributivos, horarios y el calendario académico.</t>
    </r>
  </si>
  <si>
    <t>Nº de Distributivos, horarios coordinados y supervisados</t>
  </si>
  <si>
    <t>1.- Coordinar y supervisar el proceso de elaboración de los Distributivos y Horarios.</t>
  </si>
  <si>
    <t>1.- Reporte del estado actual de la coordinación y supervisión de elaboración de los Distributivos y Horarios.</t>
  </si>
  <si>
    <t>Ing. Freddy Espinoza Urgilés, Subdecano
Ing. Jesús Espinoza Correa, Coordinador Carrera Ing. Ambiental
Ing. Leyden Carrión Romero, Coordinador Carrera Ing. Civil
Ing. Joofre Honores Tapia, Coordinador Carrera Tecnologías de la Información
Arq. Luisana Campuzano, Coordinadora Académica
Lic.Esther Cepeda, Analista del Subdecanato</t>
  </si>
  <si>
    <r>
      <rPr>
        <b/>
        <sz val="10"/>
        <color theme="1"/>
        <rFont val="Arial Narrow"/>
      </rPr>
      <t>6.-</t>
    </r>
    <r>
      <rPr>
        <sz val="10"/>
        <color theme="1"/>
        <rFont val="Arial Narrow"/>
      </rPr>
      <t xml:space="preserve"> Monitorear actividades académicas que se realizan en los diferentes laboratorios, aulas y unidades académicas experimentales de la Facultad.</t>
    </r>
  </si>
  <si>
    <t>Nº de informes elaborados por semestre de las actividades académicas de los administradores de los Laboratorios de Facultad</t>
  </si>
  <si>
    <t>1.- Elaborar listado de guías prácticas.
2.- Controlar el registro del uso del laboratorio.
3.- Solicitar a los responsables de laboratorios el informe al finalizar el periodo académico.</t>
  </si>
  <si>
    <t xml:space="preserve">Ing. Ronald Elizalde López, Administrador de Laboratorio
</t>
  </si>
  <si>
    <t>No de prácticas realizadas por semestres de acuerdo a las necesidades del docente en el Laboratorio de Telecomunicaciones</t>
  </si>
  <si>
    <t>1.- Realizar el informe mensual de las guías prácticas.</t>
  </si>
  <si>
    <t>Nº de prácticas realizadas por semestres de acuerdo a las necesidades del docente en el Laboratorio de Tecnología Nº1</t>
  </si>
  <si>
    <t>Nº de prácticas realizadas por semestres de acuerdo a las necesidades del docente en el Laboratorio de Tecnología Nº2</t>
  </si>
  <si>
    <t xml:space="preserve">Ing. Ronald Elizalde López, Administrador de Laboratorios
</t>
  </si>
  <si>
    <t>Nº de prácticas realizadas por semestres de acuerdo a las necesidades del docente en el Laboratorio de Tecnología Nº3</t>
  </si>
  <si>
    <t>Nº de prácticas realizadas por semestres de acuerdo a las necesidades del docente en el Laboratorio Mac, Diseño y Multimedia</t>
  </si>
  <si>
    <t>Nº de prácticas realizadas por semestres de acuerdo a las necesidades del docente en el Laboratorio de Hardware &amp; Software Nº1</t>
  </si>
  <si>
    <t>Nº de prácticas realizadas por semestres de acuerdo a las necesidades del docente en el Laboratorio de Hardware &amp; Software Nº2</t>
  </si>
  <si>
    <t>Nº de prácticas realizadas por semestres de acuerdo a las necesidades del docente en el Laboratorio de Hardware &amp; Software Nº3</t>
  </si>
  <si>
    <t>Nº de prácticas realizadas por semestres de acuerdo a las necesidades del docente en el Laboratorio de Electrónica</t>
  </si>
  <si>
    <t>Nº de prácticas por semestre de acuerdo a las necesidades del docente en el Laboratorio de Comportamiento de Materiales</t>
  </si>
  <si>
    <t>1.- Reporte de actividades que se realizan en el Laboratorios de Comportamiento de Materiales.</t>
  </si>
  <si>
    <t>Ing. Elvis Sánchez Rogel, Administrador de Laboratorio</t>
  </si>
  <si>
    <t>53290.00</t>
  </si>
  <si>
    <t>Mantenimiento y reparación del área de topografía</t>
  </si>
  <si>
    <t>Mantenimiento preventivo de  la máquina de tracción de aceros</t>
  </si>
  <si>
    <t>Mantenimiento correctivo de horno de secado</t>
  </si>
  <si>
    <t>Mantenimiento correctivo de extractora de núcleos</t>
  </si>
  <si>
    <t>Proyecto de inversión 2023</t>
  </si>
  <si>
    <t>Estaciones totales(provistas de miras y prismas)</t>
  </si>
  <si>
    <t>Niveles digitales( la estación, prisma, mira o reglas )</t>
  </si>
  <si>
    <t>GPS Diferencial RTK( base y demás accesorios)</t>
  </si>
  <si>
    <t>Sistemas automático de pruebas Avanzadas de hormigón</t>
  </si>
  <si>
    <t>Anillo retenedor para cilindros de hormigón</t>
  </si>
  <si>
    <t>Sierra de corte universal para probetas de hormigón</t>
  </si>
  <si>
    <t>Aparato para Límite Líquido Manual</t>
  </si>
  <si>
    <t>Juego de tamiz certificado de 8" de diámetro de bronce No #200;#100;#50;#40;#30;#20;#18;#12; #10;#8;#4</t>
  </si>
  <si>
    <t>Deflectómetro Liviano HFGpro</t>
  </si>
  <si>
    <t>Equipo para pruebas de resistencia con placa estática HMP PDGpro</t>
  </si>
  <si>
    <t>Celda para Pruebas de Carga Variable de Permeabilidad</t>
  </si>
  <si>
    <t xml:space="preserve">Conjunto de Equipo para Hidrómetro
</t>
  </si>
  <si>
    <t>Conjunto de Equipo Para Inspecciones en Campo</t>
  </si>
  <si>
    <t>Cono para Prueba de Densidad de Arena de 6.5"</t>
  </si>
  <si>
    <t>Máquina Automática para Corte Directo / Residual</t>
  </si>
  <si>
    <t>Máquina Automática para Ensayos de CBR</t>
  </si>
  <si>
    <t>Martillo Compactador para Suelos Proctor Estándar 4.5 kg</t>
  </si>
  <si>
    <t>Martillo Compactador para Suelos Proctor Modificado 2.5 kg</t>
  </si>
  <si>
    <t>Equipo, Juego de Moldes CBR y Accesorios ASTM; molde CBR, pesas abiertas y cerradas, placa de expansión CBR, disco espaciador</t>
  </si>
  <si>
    <t>Equipo, Sistema de pruebas triaxial completo</t>
  </si>
  <si>
    <t>Equipo, amoladora de suelos</t>
  </si>
  <si>
    <t>Equipo, Placa para Medir Expansión para Pruebas de CBR; trípode y manómetro digital</t>
  </si>
  <si>
    <t>Equipo de perforación de Suelos, SPT</t>
  </si>
  <si>
    <t>Conjunto de Equipo para Pruebas de Carga Constante de Permeabilidad</t>
  </si>
  <si>
    <t>Aparato Vicat Automático</t>
  </si>
  <si>
    <t>Contenido de aire hormigón ligero</t>
  </si>
  <si>
    <t>Martillo de rebote para Pruebas en Concreto</t>
  </si>
  <si>
    <t>Frasco Le Chatelier</t>
  </si>
  <si>
    <t>Horno para Laboratorio de 250 litros</t>
  </si>
  <si>
    <t>Medidor de contenido de Aire</t>
  </si>
  <si>
    <t>Laboratorio de mecánica de Fluidos e Hidráulica</t>
  </si>
  <si>
    <t>Equipo de consolidación automática de suelos</t>
  </si>
  <si>
    <t>Equipo, compactadora automática Marshall para especímenes de 4”, con caja anti-sonido</t>
  </si>
  <si>
    <t>Equipo para determinar la densidad máxima teórica mezclas bituminosas</t>
  </si>
  <si>
    <t>Mezcladora de Laboratorio de 20 L suelo y asfalto</t>
  </si>
  <si>
    <t>Molde para Compactación Marshall</t>
  </si>
  <si>
    <t>Penetrómetro Automático Electrónico para asfalto</t>
  </si>
  <si>
    <t>Equipo,Termómetro Digital Infrarrojo, -50°C a +650°C</t>
  </si>
  <si>
    <t>Equipo de perforación de Suelos CPT</t>
  </si>
  <si>
    <t>Balanza de precisión 420g</t>
  </si>
  <si>
    <t>Balanza de precisión 4200g</t>
  </si>
  <si>
    <t>Balanza de precisión 35000g</t>
  </si>
  <si>
    <t>Acondicionador de aire Split Inverter 36000 BTU</t>
  </si>
  <si>
    <t>Picnómetro Gravedad específica 25 ml</t>
  </si>
  <si>
    <t>Termómetro Digital Tipo de Mano para inmersión -50 oC a 300 oC</t>
  </si>
  <si>
    <t>Almohadilla para cabeceo de cilindros de hormigón</t>
  </si>
  <si>
    <t>Proyector de video Epson Power-lite 955wh</t>
  </si>
  <si>
    <t>Impresora multifunción</t>
  </si>
  <si>
    <t>Computador de escritorio ALL ONE</t>
  </si>
  <si>
    <t>Escritorios</t>
  </si>
  <si>
    <t>Sillones ergonómicos</t>
  </si>
  <si>
    <t>Anaqueles aéreos</t>
  </si>
  <si>
    <t>Locker</t>
  </si>
  <si>
    <t>Anaqueles de pared</t>
  </si>
  <si>
    <t>Instalación de Acondicionadores de Aire</t>
  </si>
  <si>
    <r>
      <rPr>
        <b/>
        <sz val="10"/>
        <color theme="1"/>
        <rFont val="Arial Narrow"/>
      </rPr>
      <t>7.-</t>
    </r>
    <r>
      <rPr>
        <sz val="10"/>
        <color theme="1"/>
        <rFont val="Arial Narrow"/>
      </rPr>
      <t xml:space="preserve"> Emitir documentos de planificación académica y curricular.</t>
    </r>
  </si>
  <si>
    <t>Nº de planificaciones coordinadas según el Modelo Genérico de Evaluación del Entorno de Aprendizaje de Carreras</t>
  </si>
  <si>
    <t>1.- Organizar el proceso de elaboración y revisión de syllabus</t>
  </si>
  <si>
    <t>1.- Syllabus subidos y evaluados en el Siutmach</t>
  </si>
  <si>
    <t>Ing. Freddy Espinoza Urgilés, Subdecano
Ing. Jesús Espinoza Correa, Coordinador Carrera Ing. Ambiental
Ing. Leyden Carrión Romero, Coordinador Carrera Ing. Civil
Ing. Joofre Honores Tapia, Coordinador Carrera Tecnologías de la Información</t>
  </si>
  <si>
    <r>
      <rPr>
        <b/>
        <sz val="10"/>
        <color theme="1"/>
        <rFont val="Arial Narrow"/>
      </rPr>
      <t>8.-</t>
    </r>
    <r>
      <rPr>
        <sz val="10"/>
        <color theme="1"/>
        <rFont val="Arial Narrow"/>
      </rPr>
      <t xml:space="preserve"> Supervisar el logro de resultados o avances de procesos académicos, de Investigación y de vinculación con la sociedad.</t>
    </r>
  </si>
  <si>
    <t>Nº de proyectos de investigación y vinculación con la sociedad coordinados</t>
  </si>
  <si>
    <t>1.- Reporte del estado actual de resultados o avances de los proyectos de Investigación y de Vinculación con la sociedad.
2.- Reporte de horas sugerida por las Direcciones correspondientes</t>
  </si>
  <si>
    <r>
      <rPr>
        <b/>
        <sz val="10"/>
        <color theme="1"/>
        <rFont val="Arial Narrow"/>
      </rPr>
      <t>9.-</t>
    </r>
    <r>
      <rPr>
        <sz val="10"/>
        <color theme="1"/>
        <rFont val="Arial Narrow"/>
      </rPr>
      <t xml:space="preserve"> Evaluar al personal administrativo bajo su responsabilidad.</t>
    </r>
  </si>
  <si>
    <t>1.- Evaluar al personal administrativo bajo la dependencia del Subdecanato en la plataforma SIITH del Ministerio de Trabajo</t>
  </si>
  <si>
    <t>1.- Formulario de Evaluación aplicado</t>
  </si>
  <si>
    <t>Ing. Freddy Espinoza Urgiles, Subdecano</t>
  </si>
  <si>
    <r>
      <rPr>
        <b/>
        <sz val="10"/>
        <color theme="1"/>
        <rFont val="Arial Narrow"/>
      </rPr>
      <t>10.-</t>
    </r>
    <r>
      <rPr>
        <sz val="10"/>
        <color theme="1"/>
        <rFont val="Arial Narrow"/>
      </rPr>
      <t xml:space="preserve"> Coordinar el Proceso referente a las pasantías y prácticas pre-profesionales de las y los estudiantes de las carreras de pregrado.</t>
    </r>
  </si>
  <si>
    <t>Nº de procesos de pasantías y prácticas pre-profesionales de las y los estudiantes de las carreras de pregrado, coordinados.</t>
  </si>
  <si>
    <t>1.- Coordinar las prácticas de vinculación y pasantías preprofesionales con los colectivos académicos, en coordinación con VIMCORI</t>
  </si>
  <si>
    <t>1.- Planes de pasantías y prácticas pre-profesionales de las carreras de pregrado</t>
  </si>
  <si>
    <t>Ing. Freddy Espinoza Urgilés, Subdecano
Ing. Jesús Espinoza Correa, Coordinador Carrera Ing. Ambiental
Ing. Leyden Carrión Romero, Coordinador Carrera Ing. Civil
Ing. Joofre Honores Tapia, Coordinador Carrera Tecnologías de la Información
Arq. Luisana Campuzano, Coordinadora Académica
Lic. Esther Cepeda, Analista del Subdecanato</t>
  </si>
  <si>
    <r>
      <rPr>
        <b/>
        <sz val="10"/>
        <color theme="1"/>
        <rFont val="Arial Narrow"/>
      </rPr>
      <t>11.-</t>
    </r>
    <r>
      <rPr>
        <sz val="10"/>
        <color theme="1"/>
        <rFont val="Arial Narrow"/>
      </rPr>
      <t xml:space="preserve"> Controlar la ejecución de los procesos de titulación.</t>
    </r>
  </si>
  <si>
    <t>Nº de ejecución de los procesos de titulación controlados.</t>
  </si>
  <si>
    <t>1.- Solicitar y/o receptar reportes de los procesos de titulación a la Ummog.</t>
  </si>
  <si>
    <t>1.- Reportes de los procesos de titulación
2.- Cronograma del proceso de titulación
3.- Resoluciones adoptadas por Comisión Académica de asignación de tutores y comité evaluador</t>
  </si>
  <si>
    <t>Ing. Freddy Espinoza Urgiles, Subdecano
Lic. César Peñaherrera M., Jefe de la Ummog
Ing. Jesús Espinoza Correa, Coordinador Carrera Ing. Ambiental
Ing. Leyden Carrión Romero, Coordinador Carrera Ing. Civil
Ing. Joofre Honores Tapia, Coordinador Carrera Tecnologías de la Información
Arq. Luisana Campuzano, Coordinadora Académica
Lic. Esther Cepeda, Analista del Subdecanato</t>
  </si>
  <si>
    <r>
      <rPr>
        <b/>
        <sz val="10"/>
        <color theme="1"/>
        <rFont val="Arial Narrow"/>
      </rPr>
      <t>12.-</t>
    </r>
    <r>
      <rPr>
        <sz val="10"/>
        <color theme="1"/>
        <rFont val="Arial Narrow"/>
      </rPr>
      <t xml:space="preserve"> Ejecutar el proceso de evaluación integral del desempeño docente de acuerdo a las directrices emitidas a nivel institucional.</t>
    </r>
  </si>
  <si>
    <t>1.- Elaborar los horarios para llevar a cabo el proceso de evaluación integral del desempeño docente.</t>
  </si>
  <si>
    <t>1.- Resoluciones del proceso de evaluación integral del desempeño docente.
2.- Reportes de resultados del proceso de evaluación integral del desempeño docente.</t>
  </si>
  <si>
    <r>
      <rPr>
        <b/>
        <sz val="10"/>
        <color theme="1"/>
        <rFont val="Arial Narrow"/>
      </rPr>
      <t>13.-</t>
    </r>
    <r>
      <rPr>
        <sz val="10"/>
        <color theme="1"/>
        <rFont val="Arial Narrow"/>
      </rPr>
      <t xml:space="preserve"> Supervisar las actividades académicas que se realizan en los diferentes laboratorios, aulas, salas tics y unidades académicas experimentales de las Facultades.</t>
    </r>
  </si>
  <si>
    <t>_</t>
  </si>
  <si>
    <t>No se ha colocado ningún dato debido a que esta meta es igual a la Meta Nro 6</t>
  </si>
  <si>
    <r>
      <rPr>
        <b/>
        <sz val="10"/>
        <color theme="1"/>
        <rFont val="Arial Narrow"/>
      </rPr>
      <t>14.-</t>
    </r>
    <r>
      <rPr>
        <sz val="10"/>
        <color theme="1"/>
        <rFont val="Arial Narrow"/>
      </rPr>
      <t xml:space="preserve"> Coordinar el desarrollo de actividades culturales, deportivas, sociales y proyectos de responsabilidad social e influencia en políticas públicas, entre los miembros de la comunidad de la Facultad.</t>
    </r>
  </si>
  <si>
    <t>Actividades culturales, deportivas, sociales y proyectos de responsabilidad social e influencia en políticas públicas coordinadas.</t>
  </si>
  <si>
    <t xml:space="preserve">1.-Coordinar las actividades culturales, deportivas y sociales. </t>
  </si>
  <si>
    <t xml:space="preserve">1. Cronograma de actividades culturales, deportivas y sociales.
</t>
  </si>
  <si>
    <r>
      <rPr>
        <b/>
        <sz val="10"/>
        <color theme="1"/>
        <rFont val="Arial Narrow"/>
      </rPr>
      <t>15.-</t>
    </r>
    <r>
      <rPr>
        <sz val="10"/>
        <color theme="1"/>
        <rFont val="Arial Narrow"/>
      </rPr>
      <t xml:space="preserve"> Conocer y atender los requerimientos estudiantiles respecto al área académica y docente.</t>
    </r>
  </si>
  <si>
    <t>1.- Reporte de requerimientos estudiantiles atendidos</t>
  </si>
  <si>
    <r>
      <rPr>
        <b/>
        <sz val="10"/>
        <color theme="1"/>
        <rFont val="Arial Narrow"/>
      </rPr>
      <t>16.-</t>
    </r>
    <r>
      <rPr>
        <sz val="10"/>
        <color theme="1"/>
        <rFont val="Arial Narrow"/>
      </rPr>
      <t xml:space="preserve"> Presentar la Planificación Operativa Anual y Evaluación de la Planificación Operativa Anual.</t>
    </r>
  </si>
  <si>
    <t>Nº de Planificación del Plan Operativo Anual y Evaluación del POA entregado</t>
  </si>
  <si>
    <t>1.- Elaborar el Plan Operativo Anual 
2.- Elaborar la Evaluación de POA 
3.- Remitir al Decanato el POA y su Evaluación</t>
  </si>
  <si>
    <t xml:space="preserve">1.- Plan Operativo Anual 2024
2.- Evaluación del POA 2023
</t>
  </si>
  <si>
    <t>Ing. Freddy Espinoza Urgilés, Subdecano
Lic. Esther Cepeda Zambrano, Analista del Subdecanato</t>
  </si>
  <si>
    <r>
      <rPr>
        <b/>
        <sz val="10"/>
        <color theme="1"/>
        <rFont val="Arial Narrow"/>
      </rPr>
      <t>17.-</t>
    </r>
    <r>
      <rPr>
        <sz val="10"/>
        <color theme="1"/>
        <rFont val="Arial Narrow"/>
      </rPr>
      <t xml:space="preserve"> Organizar el Archivo de Gestión.</t>
    </r>
  </si>
  <si>
    <t>Nº de carpetas registradas en el inventario documental</t>
  </si>
  <si>
    <t>Lic. Esther Cepeda Zambrano, Analista del Subdecanto</t>
  </si>
  <si>
    <r>
      <rPr>
        <b/>
        <sz val="10"/>
        <color rgb="FFFF0000"/>
        <rFont val="Arial Narrow"/>
      </rPr>
      <t>METAS OPERATIVAS</t>
    </r>
    <r>
      <rPr>
        <b/>
        <sz val="10"/>
        <color theme="1"/>
        <rFont val="Arial Narrow"/>
      </rPr>
      <t xml:space="preserve">
1.-</t>
    </r>
    <r>
      <rPr>
        <sz val="10"/>
        <color theme="1"/>
        <rFont val="Arial Narrow"/>
      </rPr>
      <t xml:space="preserve"> Coordinar y ejecutar los Procesos de Matriculación.</t>
    </r>
  </si>
  <si>
    <t>1.- COORDINAR Y PLANIFICAR EL PROCESO DE MATRÍCULA A NIVEL DE FACULTAD
2.- REVISAR REQUISITOS,  CARTILLA Y DATOS CARGADOS EN EL SIUTMACH, VALIDAR MATRÍCULA
3.- SELECCIONAR FECHA DE INICIO DE ESTUDIOS DE EXPEDIENTES HISTÓRICOS
4.- GENERAR MATRICULA Y ORDENES DE PAGO DE LOS ESTUDIANTES CON MENOS DEL 60%, CON RECONOCIMIENTO U HOMOLOGACIÓN, TERCERA MATRICULA, MATRICULA ESPECIAL, PLAN ESPECIAL
5.- REVISAR CURSO, CUPO Y PARALELO EN PERÍODOS DE MATRÍCULAS
6.- CREAR REGISTROS DE CARRERA DE EXPEDIENTES HISTÓRICOS
7.- ANULAR ÓRDENES DE PAGO EN EL SIUTMACH
8.- INSUBSISTIR MATRÍCULAS NO LEGALIZADAS Y ANULAR MATRÍCULAS APROBADAS POR CONSEJO UNIVERSITARIO
9.- ELABORAR CERTIFICADOS DE MATRÍCULA
10.- ATENDER A USUARIOS INTERNOS Y EXTERNOS</t>
  </si>
  <si>
    <t>Lic.César Peñaherrera Mosquera
JEFE DE LA UMMOG-FIC
Lic. Rosa Zapata  Eras
Analista de Matrícula UMMOG
Lic. Mercedes Quimi Quirola
Analista de Estadistica y Matrícula UMMOG</t>
  </si>
  <si>
    <r>
      <rPr>
        <b/>
        <sz val="10"/>
        <color theme="1"/>
        <rFont val="Arial Narrow"/>
      </rPr>
      <t>2.-</t>
    </r>
    <r>
      <rPr>
        <sz val="10"/>
        <color theme="1"/>
        <rFont val="Arial Narrow"/>
      </rPr>
      <t xml:space="preserve"> Ejecutar y validar los cambios de paralelos, cambios de sección y retiros de carrera y/o asignaturas autorizados por el Consejo Directivo.</t>
    </r>
  </si>
  <si>
    <t>N° de cambios de paralelos y retiros de carrera y/o asignaturas autorizados por el Consejo Directivo.</t>
  </si>
  <si>
    <t xml:space="preserve">1.- CAMBIAR PARALELOS  AUTORIZADOS POR CONSEJO DIRECTIVO
2.- RETIRAR ASIGNATURAS APROBADOS POR CONSEJO DIRECTIVO
3.- CAMBIAR DE ESTADO DE ACTIVO A INACTIVO Y/O RETIRADO APROBADOS POR CONSEJO DIRECTIVO </t>
  </si>
  <si>
    <t>1.- Resoluciones de Consejo Directivo receptadas y ejecutadas</t>
  </si>
  <si>
    <r>
      <rPr>
        <b/>
        <sz val="10"/>
        <color theme="1"/>
        <rFont val="Arial Narrow"/>
      </rPr>
      <t>3.-</t>
    </r>
    <r>
      <rPr>
        <sz val="10"/>
        <color theme="1"/>
        <rFont val="Arial Narrow"/>
      </rPr>
      <t xml:space="preserve"> Coordinar y Ejecutar los Procesos de Movilidad.</t>
    </r>
  </si>
  <si>
    <t>1.- COORDINAR Y PLANIFICAR EL PROCESO DE MOVILIDAD A NIVEL DE FACULTAD
2.- RECEPTAR Y REVISAR LOS DOCUMENTOS HABILITANTES PARA PROCESOS DE MOVILIDAD
3.- EMITIR OFICIOS A COORDINACIÓN DE CARRERA CON LA DOCUMENTACIÓN RESPECTIVA PARA SU ANÁLISIS ACADÉMICO Y ELABORACIÓN DEL INFORME
4.- ATENDER A USUARIOS INTERNOS Y EXTERNOS</t>
  </si>
  <si>
    <t>1.- Reporte de  solicitudes de movilidad  para la elaboración del Informe de Reconocimiento u Homologación de Estudios de asignaturas, cursos o sus equivalentes recibidas.
2.- Oficios emitidos a los Coordinadores de Carreras para la elaboración de los informes de Reconocimiento u Homologación de Estudios, Asignaturas, Cursos o sus Equivalentes</t>
  </si>
  <si>
    <t xml:space="preserve">Lic.César Peñaherrera Mosquera
JEFE DE LA UMMOG-FIC
</t>
  </si>
  <si>
    <r>
      <rPr>
        <b/>
        <sz val="10"/>
        <color theme="1"/>
        <rFont val="Arial Narrow"/>
      </rPr>
      <t>4.-</t>
    </r>
    <r>
      <rPr>
        <sz val="10"/>
        <color theme="1"/>
        <rFont val="Arial Narrow"/>
      </rPr>
      <t xml:space="preserve"> Coordinar los procesos de registros y/o validación de calificaciones.</t>
    </r>
  </si>
  <si>
    <t>Este producto es parte del producto de la Meta Operativa Nro. 3</t>
  </si>
  <si>
    <r>
      <rPr>
        <b/>
        <sz val="10"/>
        <color theme="1"/>
        <rFont val="Arial Narrow"/>
      </rPr>
      <t>5.-</t>
    </r>
    <r>
      <rPr>
        <sz val="10"/>
        <color theme="1"/>
        <rFont val="Arial Narrow"/>
      </rPr>
      <t xml:space="preserve"> Apertura del Sistema para registro de calificaciones extemporáneas según resolución del Consejo Directivo.</t>
    </r>
  </si>
  <si>
    <t>N° de Resoluciones de Consejo Directivo de autorización de apertura del sistema para el registro de calificaciones extemporáneas.</t>
  </si>
  <si>
    <t>1.- VERIFICAR EN EL SIUTMACH EL INGRESO DE LAS ACTAS DE CALIFICACIONES GENERADAS POR LOS DOCENTES
2.- REGISTRAR MANUALMENTE EN EL SIUTMACH LAS CALIFICACIONES  DE PLAN ESPECIAL, HOMOLOGACIONES, RECTIFICACIÓN DE CALIFICACIONES, RECALIFICACIONES Y CALIFICACIONES HISTÓRICAS
3.- EMITIR CERTIFICADOS DE PROMOCIÓN O RECORD ACADÉMICO
4.- EMITIR CERTIFICADOS DE CULMINACIÓN DE MALLA
5.- EMITIR CERTIFICADOS DE PROMEDIO GLOBAL DE NOTAS
6.- EMITIR REPORTE DE MEJORES ESTUDIANTES POR SEMESTRE, CARRERA Y PERIODO
7.- EMITIR REPORTE DE MEJOR EGRESADO POR PERIODO Y/O CARRERA
8.- EMITIR CERTIFICADO DE INICIO Y FIN DE CARRERA
9.- EMITIR CERTIFICADO DE REPROBACIÓN DE ASIGNATURAS POR TERCERA VEZ
10.- ACTUALIZAR EN EL SIUTMACH CARTILLAS HISTÓRICAS DE ESTUDIANTES
11.- APERTURAR EL SISTEMA PREVIA APROBACIÓN DEL CONSEJO DIRECTIVO PARA REGISTRO Y/O CORRECCIÓN DE CALIFICACIONES POR PARTE DE LOS DOCENTES
12.- ATENDER A USUARIOS INTERNOS Y EXTERNOS</t>
  </si>
  <si>
    <t>1.- Reporte de actas de calificaciones finalizadas y guardadas</t>
  </si>
  <si>
    <t xml:space="preserve">Lic.Cesar Peñaherrera Mosquera
JEFE DE LA UMMOG-FIC
Lic. Mercedes Quimi Quirola
Analista de Estadistica y Matricula UMMOG
</t>
  </si>
  <si>
    <t>Por reforma del RRA de la UTMACH, las Actas de Calificaciones no son físicas solo digitales, por lo que el mismo docente al finalizar y guardar el acta valida la misma en el SIUTMACH</t>
  </si>
  <si>
    <r>
      <rPr>
        <b/>
        <sz val="10"/>
        <color theme="1"/>
        <rFont val="Arial Narrow"/>
      </rPr>
      <t>6.-</t>
    </r>
    <r>
      <rPr>
        <sz val="10"/>
        <color theme="1"/>
        <rFont val="Arial Narrow"/>
      </rPr>
      <t xml:space="preserve"> Organizar y supervisar las fases del proceso de titulación.</t>
    </r>
  </si>
  <si>
    <t>1.- COORDINAR Y PLANIFICAR PROCESO DE TITULACION A NIVEL DE FACULTAD
2.- REGISTRAR FECHA DE FIN DE CARRERA PARA CUMPLIMIENTO DE LA INSCRIPCION AL PROCESO DE TITULACION Y REVISAR Y VALIDAR LA MALLA
4.- REVISAR PERDIDA DE GRATUIDAD POR ACUMULAR MAS DEL 30% DE CREDITOS REPROBADOS Y/O SEGUNDO O MAS TITULOS PROFESIONALES OBTENIDOS REGISTRADOS EN EL SENESCYT 
5.- REVISAR REQUISITOS HABILITANTES PARA MATRICULA EN PROCESO DE TITULACION Y VALIDAR MATRICULA 
6.- IMPRIMIR Y/O DESCARGAR LISTADOS DE ESTUDIANTES APTOS PARA RENDIR EXAMEN COMPLEXIVO
7.- SUPERVISAR Y COORDINAR LA TOMA DEL EXAMEN COMPLEXIVO
8.- INGRESAR A LA PLATAFORMA DE TITULACION FECHA, HORA Y LUGAR DE SUSTENTACION Y SUPERVISAR Y COORDINAR LAS SUSTENTACIONES DE TRABAJO DE TITULACION Y EXAMEN COMPLEXIVO
9.- ACTIVAR ESPECIALISTA SUPLENTE DEL COMITE EVALUADOR A PETICION DEL COORDINADOR DE CARRERA
10.- GENERAR ACTAS DE CALIFICACIONES DE LAS SUSTENTACIONES 
11.- VALIDAR TRABAJO ESCRITO DE AMBAS OPCIONES DE TITULACION EN LA PLATAFORMA DE TITULACION
12.- DESCARGAR ACTA DE GRADUACION E INSERTAR EN EXPEDIENTE DE ESTUDIANTE
13.- REVISAR Y GRABAR LOS PROMEDIOS DE GRADO A FIN DE GENERAR ACTA CONSOLIDADA
14.- CONVOCAR Y ASISTIR EN LA INDUCCION PRESENCIAL Y/O VIRTUAL PARA EL EVENTO DE INCORPORACION
15.- COORDINAR CON DECANATO, SECRETARIA DE LA FACULTAD Y DIRECCIÓN DE COMUNICACIÓN LA ORGANIZACION DEL EVENTO DE INCORPORACION VIRTUAL Y/O PRESENCIAL
16.- EMITIR CERTIFICADOS DE ESTAR LEGALMENTE MATRICULADOS EN EL PROCESO DE TITULACION
17.- CARGAR EN DRIVE LOS EXPEDIENTES DE LOS ESTUDIANTES GRADUADOS PARA EL REGISTRO E IMPRESION DE LOS TITULOS Y COMPARTIR CON LAS PARTES PERTINENTES
18.- ATENDER A USUARIOS INTERNOS Y EXTERNOS</t>
  </si>
  <si>
    <t>1.- Reporte de estudiantes inscritos en el proceso de titulación</t>
  </si>
  <si>
    <t xml:space="preserve">Lic.Cesar Peñaherrera Mosquera
JEFE DE LA UMMOG-FIC
Lic. Rosa Zapata  Eras
Analista de Matricula UMMOG
Lic. Mercedes Quimi Quirola
Analista de Estadistica y Matricula UMMOG
</t>
  </si>
  <si>
    <r>
      <rPr>
        <b/>
        <sz val="10"/>
        <color theme="1"/>
        <rFont val="Arial Narrow"/>
      </rPr>
      <t>7.-</t>
    </r>
    <r>
      <rPr>
        <sz val="10"/>
        <color theme="1"/>
        <rFont val="Arial Narrow"/>
      </rPr>
      <t xml:space="preserve"> Emitir Informes de designación de tutor y comité evaluador.</t>
    </r>
  </si>
  <si>
    <t>N° de Informes de designación de tutores y comité evaluador, emitidos.</t>
  </si>
  <si>
    <t>0</t>
  </si>
  <si>
    <t>1.- SOLICITAR A COORDINADORES DE CARRERA EL REGISTRO DE TUTORES EN LA PLATAFORMA DE TITULACION EN CADA PROCESO
2.- GENERAR DESDE LA PLATAFORMA DE TITULACION REPORTE DE TUTORES Y COMITE EVALUADOR PARA APROBACION DE COMISION ACADEMICA Y CONSEJO DIRECTIVO
3.- RECEPTAR LOS REPORTES DE TUTOR Y COMITÉ EVALUADOR LEGALIZADOS</t>
  </si>
  <si>
    <t>1.-Resoluciones de Consejo Directivo de aprobación de los Informes de degignación de tutor y comité evaluador</t>
  </si>
  <si>
    <t xml:space="preserve">Lic.Cesar Peñaherrera Mosquera
JEFE DE LA UMMOG-FIC
</t>
  </si>
  <si>
    <r>
      <rPr>
        <b/>
        <sz val="10"/>
        <color theme="1"/>
        <rFont val="Arial Narrow"/>
      </rPr>
      <t>8.-</t>
    </r>
    <r>
      <rPr>
        <sz val="10"/>
        <color theme="1"/>
        <rFont val="Arial Narrow"/>
      </rPr>
      <t xml:space="preserve"> Coordinar y Ejecutar los Procesos de Graduación.</t>
    </r>
  </si>
  <si>
    <t>N° de informes de aptitud legal y actas de graduación emitidos y aprobador por Consejo Directivo</t>
  </si>
  <si>
    <t>1.- RECEPTAR CERTIFICADOS DE NO ADEUDAR Y RECIBO UNICO DE INGRESO A CAJA DE ESTUDIANTES QUE PIERDEN GRATUIDAD Y/O POSEEN OTRO TITULO
2.- GENERAR Y/O IMPRIMIR INFORMES DE APTITUD LEGAL POR CARRERA, PARA APROBACION DE CONSEJO DIRECTIVO
3.- REGISTRAR LA FIRMA ELECTRONICA EN EL SIUTMACH
4.- EMITIR INFORME AL CONSEJO DIRECTO SOBRE LA APROBACIÓN DE LA APTITUD LEGAL Y GRADUACIÓN DE LOS ESTUDIANTES QUE APROBARON EL POCESO DE TITUALACIÓN
5.- INGRESAR, REVISAR Y ACTUALIZAR LA INFORMACION CARGADA EN EL SIUTMACH PARA LA IMPRESION DE TITULOS Y REGISTRO EN LA SENESCYT</t>
  </si>
  <si>
    <t>1.-Registro resumen de las Resoluciones de Consejo Directivo de aprobación de los Informes de Aptitud Legal y Actas de Graduación generadas.</t>
  </si>
  <si>
    <t>Lic.Cesar Peñaherrera Mosquera
JEFE DE LA UMMOG-FIC</t>
  </si>
  <si>
    <r>
      <rPr>
        <b/>
        <sz val="10"/>
        <color theme="1"/>
        <rFont val="Arial Narrow"/>
      </rPr>
      <t>9.-</t>
    </r>
    <r>
      <rPr>
        <sz val="10"/>
        <color theme="1"/>
        <rFont val="Arial Narrow"/>
      </rPr>
      <t xml:space="preserve"> Emitir Informes para certificaciones de procesos de matrícula, movilidad, graduación y estadística.</t>
    </r>
  </si>
  <si>
    <t>N° de Informes para certificaciones de procesos de matrícula, movilidad, graduación y estadística, emitidos.</t>
  </si>
  <si>
    <t>1.- EMITIR INFORME PARA CERTIFICAR LOS PROCESOS DE MATRICULA, MOVILIDAD, GRADUCION Y ESTADISTICA, SOLICITADOS POR LOS ESTUDIANTES.
2.- REMITIR COPIAS CERTIFICADAS DE ACTAS DE CALIFICACIONES
3.- REMITIR COPIAS CERTIFICADAS DE ACTAS DE GRADUACION
4.- REMITIR COPIAS CERTIFICADAS DE ACTAS DE CONSOLIDADA
5.- ATENDER A USUARIOS INTERNOS Y EXTERNOS</t>
  </si>
  <si>
    <t>1.-Reporte de Certificados de proceso de  matrícula, movilidad, graduación y estadística emitidos</t>
  </si>
  <si>
    <r>
      <rPr>
        <b/>
        <sz val="10"/>
        <color theme="1"/>
        <rFont val="Arial Narrow"/>
      </rPr>
      <t>10.-</t>
    </r>
    <r>
      <rPr>
        <sz val="10"/>
        <color theme="1"/>
        <rFont val="Arial Narrow"/>
      </rPr>
      <t xml:space="preserve"> Emitir Informes Técnicos para procesos internos y externos.</t>
    </r>
  </si>
  <si>
    <t>N° de Informes de estudiantes y graduados, solicitados por los entes reguladores internos y externos, efectuado.</t>
  </si>
  <si>
    <t>1.- RECEPTAR Y ATENDER REQUERIMIENTOS DE LOS ORGANISMOS DE CONTROL INTERNOS Y EXTERNOS
2.- REVISAR LA INFORMACION EXISTENTE EL EN SIUTMACH Y ARCHIVO FISICO
3.- ELABORAR INFORMES, REPORTES SOLICITADOS DE MATRICULAS, MOVILIDAD Y GRADUACION</t>
  </si>
  <si>
    <t>1.-Matrices de estudiantes y graduados, solicitados por los entes reguladores internos y externos, efectuadas.</t>
  </si>
  <si>
    <r>
      <rPr>
        <b/>
        <sz val="10"/>
        <color theme="1"/>
        <rFont val="Arial Narrow"/>
      </rPr>
      <t>11.-</t>
    </r>
    <r>
      <rPr>
        <sz val="10"/>
        <color theme="1"/>
        <rFont val="Arial Narrow"/>
      </rPr>
      <t xml:space="preserve"> Presentar la Planificación Operativa Anual y Evaluación de la Planificación Operativo Anual.</t>
    </r>
  </si>
  <si>
    <t>N° de Planificaciones Operativas Anuales y Evaluaciones de la Planificación Operativa Anual presentados oportunamente.</t>
  </si>
  <si>
    <t>1.- ELABORAR PLANIFICACION OPERATIVA ANUAL 2024
2.- AUTOEVALUAR PLANIFICACION OPERATIVA ANUAL 2023.</t>
  </si>
  <si>
    <r>
      <rPr>
        <b/>
        <sz val="10"/>
        <color theme="1"/>
        <rFont val="Arial Narrow"/>
      </rPr>
      <t>12.-</t>
    </r>
    <r>
      <rPr>
        <sz val="10"/>
        <color theme="1"/>
        <rFont val="Arial Narrow"/>
      </rPr>
      <t xml:space="preserve"> Organizar el Archivo Intermedio.</t>
    </r>
  </si>
  <si>
    <t>N° de Expedientes archivados en físico y/o digital, del 2022-1</t>
  </si>
  <si>
    <t>1.- RECEPTAR OFICIOS
2.- ELABORAR Y DESPACHAR OFICIOS
3.- REGISTRAR OFICIOS ENVIADOS Y RECIBIDOS EN EL SIUTMACH
4.- CONSOLIDAR EXPEDIENTE DE ESTUDIANTES
5.- ARCHIVAR CRONOLOGICAMENTE LOS OFICIOS, RESOLUCIONES Y EXPEDIENTES DE ESTUDIANTES
6.- ARCHIVAR EXPEDIENTES DE ACTAS DE CALIFICACIONES</t>
  </si>
  <si>
    <t>1.- Expediente archivados
2.- Matriz del inventario Documental</t>
  </si>
  <si>
    <r>
      <rPr>
        <b/>
        <sz val="10"/>
        <color rgb="FFFF0000"/>
        <rFont val="Arial Narrow"/>
      </rPr>
      <t>METAS OPERATIVAS</t>
    </r>
    <r>
      <rPr>
        <b/>
        <sz val="10"/>
        <color theme="1"/>
        <rFont val="Arial Narrow"/>
      </rPr>
      <t xml:space="preserve">
1.-</t>
    </r>
    <r>
      <rPr>
        <sz val="10"/>
        <color theme="1"/>
        <rFont val="Arial Narrow"/>
      </rPr>
      <t xml:space="preserve"> Emitir y notificar las convocatorias, actas y resoluciones de Consejo Directivo.</t>
    </r>
  </si>
  <si>
    <t>Nº de convocatorias  y resoluciones de Consejo Directivo elaboradas y notificadas.</t>
  </si>
  <si>
    <r>
      <rPr>
        <sz val="10"/>
        <color theme="1"/>
        <rFont val="Arial Narrow"/>
      </rPr>
      <t>1.- Revisar la documentación para CD. 
2.- Elaborar el orden del día de CD.      
3.- Notificar la convocatoria a los miembros de CD.                             
4.- Sistematizar la información obtenida en la sesión de CD.                          
5.- Elaborar el acta de resoluciones de CD.                                                
6.- Notificar las resoluciones</t>
    </r>
    <r>
      <rPr>
        <sz val="10"/>
        <color theme="1"/>
        <rFont val="Arial Narrow"/>
      </rPr>
      <t>.</t>
    </r>
  </si>
  <si>
    <t>1.- Reporte de emisión, notificación de convocatorias, actas y resoluciones de Consejo Directivo</t>
  </si>
  <si>
    <t>Lcda. Kelma Solano Ramírez, Analista Académico
Lcda. María Fernanda Armijos, Técnico de Documentación y Archivo
Abg. Lenin Erazo Bermeo, Secretario Abogado</t>
  </si>
  <si>
    <r>
      <rPr>
        <b/>
        <sz val="10"/>
        <color theme="1"/>
        <rFont val="Arial Narrow"/>
      </rPr>
      <t>2.-</t>
    </r>
    <r>
      <rPr>
        <sz val="10"/>
        <color theme="1"/>
        <rFont val="Arial Narrow"/>
      </rPr>
      <t xml:space="preserve"> Emitir y/o legalizar las Certificaciones de la Facultad.</t>
    </r>
  </si>
  <si>
    <t>Nº de certificaciones emitidas</t>
  </si>
  <si>
    <t>1.- Receptar la documentación.    
2.- Analizar la petición de certificación.                                  
3.- Emitir la certificación respectiva</t>
  </si>
  <si>
    <t>Lcda. Kelma Solano Ramírez, Analista Académico
Lcda. María Fernanda Armijos, Técnico de Documentación y Archivo                  
Abg. Lenin Erazo Bermeo, Secretario Abogado</t>
  </si>
  <si>
    <r>
      <rPr>
        <b/>
        <sz val="10"/>
        <color theme="1"/>
        <rFont val="Arial Narrow"/>
      </rPr>
      <t>3.-</t>
    </r>
    <r>
      <rPr>
        <sz val="10"/>
        <color theme="1"/>
        <rFont val="Arial Narrow"/>
      </rPr>
      <t xml:space="preserve"> Registrar y distribuir la correspondencia interna y externa de la Facultad.</t>
    </r>
  </si>
  <si>
    <t>Nº de registros y distribución de la correspondencia interna y externa de la facultad registrados</t>
  </si>
  <si>
    <t>1.- Receptar la documentación.    
2.- Distribuir la correspondencia a las dependencias de la facultad.     
3.- Registrar la correspondencia de la Facultad.</t>
  </si>
  <si>
    <r>
      <rPr>
        <b/>
        <sz val="10"/>
        <color theme="1"/>
        <rFont val="Arial Narrow"/>
      </rPr>
      <t>4.-</t>
    </r>
    <r>
      <rPr>
        <sz val="10"/>
        <color theme="1"/>
        <rFont val="Arial Narrow"/>
      </rPr>
      <t xml:space="preserve"> Brindar asesoría jurídica a las Autoridades y dependencias de la Facultad.</t>
    </r>
  </si>
  <si>
    <t>Nº de asesorías brindadas</t>
  </si>
  <si>
    <t>1.- Receptar el requerimiento.        
2.- Orientar a las dependencias de la Facultad.</t>
  </si>
  <si>
    <t>1.- Reporte de asesorías brindadas.</t>
  </si>
  <si>
    <t xml:space="preserve"> Abg. Lenin Erazo Bermeo, Secretario Abogado</t>
  </si>
  <si>
    <r>
      <rPr>
        <b/>
        <sz val="10"/>
        <color theme="1"/>
        <rFont val="Arial Narrow"/>
      </rPr>
      <t>5.-</t>
    </r>
    <r>
      <rPr>
        <sz val="10"/>
        <color theme="1"/>
        <rFont val="Arial Narrow"/>
      </rPr>
      <t xml:space="preserve"> Emitir Informes jurídicos de los procesos disciplinarios, académicos y/o administrativos de la Facultad.</t>
    </r>
  </si>
  <si>
    <t>Nº de informes jurídicos realizados de los procesos disciplinarios, académicos y/o administrativos de la Facultad.</t>
  </si>
  <si>
    <t>1.- Receptar la documentación.      
2.- Elaborar informe jurídico.                          
3.- Notificar el informea los involucrados en el proceso.</t>
  </si>
  <si>
    <t>1.- Reportes de informes jurídicos de los procesos disciplinarios, académicos y/o adminsitrativos, emitidos en la Facultad.</t>
  </si>
  <si>
    <r>
      <rPr>
        <b/>
        <sz val="10"/>
        <color theme="1"/>
        <rFont val="Arial Narrow"/>
      </rPr>
      <t>6.-</t>
    </r>
    <r>
      <rPr>
        <sz val="10"/>
        <color theme="1"/>
        <rFont val="Arial Narrow"/>
      </rPr>
      <t xml:space="preserve"> Administrar la documentación para tratamiento de Consejo Directivo</t>
    </r>
  </si>
  <si>
    <t>N° de documentos ingresados para tratamiento del Consejo Directivo.</t>
  </si>
  <si>
    <t>1.- Receptar la documentación a tratar en Consejo Directivo.                                  2.- Poner conocimiemto para su análisis y resolución por parte de Consejo Directivo.</t>
  </si>
  <si>
    <t>1.- Reporte de resoluciones emitidas por Consejo Directivo.</t>
  </si>
  <si>
    <r>
      <rPr>
        <b/>
        <sz val="10"/>
        <color theme="1"/>
        <rFont val="Arial Narrow"/>
      </rPr>
      <t>7.-</t>
    </r>
    <r>
      <rPr>
        <sz val="10"/>
        <color theme="1"/>
        <rFont val="Arial Narrow"/>
      </rPr>
      <t xml:space="preserve"> Presentar la Planificación Operativa Anual y Evaluación de la Planificación Operativa Anual.</t>
    </r>
  </si>
  <si>
    <t>Nº de planificaciones operativas anuales y evaluaciones del POA entregadas</t>
  </si>
  <si>
    <t xml:space="preserve">1.- Elaborar POA 2024
2.- Elaborar la Evaluación del POA año 2023
3.- Entregar al departamento de planificación el POA 2024 y la evaluación del POA 2023.      </t>
  </si>
  <si>
    <t xml:space="preserve">1.- POA 2024.
2.- Evaluación del POA 2023.                                   </t>
  </si>
  <si>
    <t>Lcda. Kelma Solano Ramírez, Analista Académico                       Lcda. María Fernanda Armijos, Técnico de Documentación y Archivo                                     Abg. Lenin Erazo Bermeo, Secretario Abogado</t>
  </si>
  <si>
    <r>
      <rPr>
        <b/>
        <sz val="10"/>
        <color theme="1"/>
        <rFont val="Arial Narrow"/>
      </rPr>
      <t>8.-</t>
    </r>
    <r>
      <rPr>
        <sz val="10"/>
        <color theme="1"/>
        <rFont val="Arial Narrow"/>
      </rPr>
      <t xml:space="preserve"> Organizar el Archivo intermedio.</t>
    </r>
  </si>
  <si>
    <t>Nº de Cajas registradas en el inventario documental de secretaría y archivo</t>
  </si>
  <si>
    <t>1.- Sistematizar la documentación semestralmente. 
2.- Organizar e inventariar la documentación.</t>
  </si>
  <si>
    <t>Lcda. María Fernanda Armijos, Técnico de Documentación y Archivo                    Abg. Lenin Erazo Bermeo, Secretario Abogado</t>
  </si>
  <si>
    <t xml:space="preserve"> CARRERA DE INGENIERÍA AMBIENTAL</t>
  </si>
  <si>
    <r>
      <rPr>
        <b/>
        <sz val="10"/>
        <color rgb="FFFF0000"/>
        <rFont val="Arial Narrow"/>
      </rPr>
      <t>METAS OPERATIVAS</t>
    </r>
    <r>
      <rPr>
        <b/>
        <sz val="10"/>
        <color theme="1"/>
        <rFont val="Arial Narrow"/>
      </rPr>
      <t xml:space="preserve">
1.-</t>
    </r>
    <r>
      <rPr>
        <sz val="10"/>
        <color theme="1"/>
        <rFont val="Arial Narrow"/>
      </rPr>
      <t xml:space="preserve"> Ejecutar los procesos académicos de la carrera.</t>
    </r>
  </si>
  <si>
    <t>.- Conformar la Comisión Académica, ejecutado.
.- Irregularidades, inconformidades
y/o polémicas surgidas en el 
ambiente académico de su carrera, informadas.</t>
  </si>
  <si>
    <t xml:space="preserve">Nro de procesos académicos ejecutados.
</t>
  </si>
  <si>
    <t>1.- Ejecutar el proceso de elaboración de los distributivos y horarios.
2.- Ejecutar el proceso de evaluación del desempeño docente.</t>
  </si>
  <si>
    <t>1.- Reporte del SIUTMACH de Distributivos y horarios correctamente subidos.
2.- Informe final de cumplimiento de ejcución de proceso de evaluación del desempeño docente de la Carrera.</t>
  </si>
  <si>
    <t>Coordinador de Carrera.
Jesús Espinoza Correa.</t>
  </si>
  <si>
    <r>
      <rPr>
        <b/>
        <sz val="10"/>
        <color theme="1"/>
        <rFont val="Arial Narrow"/>
      </rPr>
      <t>2.-</t>
    </r>
    <r>
      <rPr>
        <sz val="10"/>
        <color theme="1"/>
        <rFont val="Arial Narrow"/>
      </rPr>
      <t xml:space="preserve"> Informar el logro de resultados o avances de procesos de Investigación, vinculación con la sociedad y práctica preprofesional.</t>
    </r>
  </si>
  <si>
    <t>.- Responsables de colectivos académicos de Evaluación y Acreditación de la calidad, Prácticas Pre-profesionales o laborales, y servicio comunitario, realizado.</t>
  </si>
  <si>
    <t>Nro  de proyectos de investigación y vinculación con la sociedad ejecutados.</t>
  </si>
  <si>
    <t xml:space="preserve">Coordinador de Carrera
Jesús Espinoza Correa.
Grupo de Vinculación con la sociedad.
Hugo Añazco Loaiza
Grupos de trabajo de investigación.
Jaime Maza Maza
Grupos de Práctica Pre-profesionales
Mariuxi Guerrero Azanza
</t>
  </si>
  <si>
    <r>
      <rPr>
        <b/>
        <sz val="10"/>
        <color theme="1"/>
        <rFont val="Arial Narrow"/>
      </rPr>
      <t>3.-</t>
    </r>
    <r>
      <rPr>
        <sz val="10"/>
        <color theme="1"/>
        <rFont val="Arial Narrow"/>
      </rPr>
      <t xml:space="preserve"> Coordinar con el colectivo de trabajo las propuestas de procesos de Investigación y Vinculación con la sociedad ante las instancias encargadas de emitir las directrices a nivel institucional.</t>
    </r>
  </si>
  <si>
    <t>.- Procesos que garantizan el cumplimiento de las funciones sustantivas de la educación
superior: docencia, investigación
y vinculación en la facultad 
que dirige; ejecutados.</t>
  </si>
  <si>
    <t>Nro de propuestas de procesos de investigación y vinculación con la sociedad coordinados.</t>
  </si>
  <si>
    <t>1.- Generar las propuestas de procesos de investigación y vinculación con la sociedad.</t>
  </si>
  <si>
    <t>1.- Propuestas de procesos de investigación y vinculación con la sociedad en los formatos dados por las instancias pertinentes.</t>
  </si>
  <si>
    <t>Coordinador de Carrera
Jesús Espinoza Correa.
Grupo de Vinculación con la sociedad.
Hugo Añazco Loaiza
Grupos de trabajo de investigación.
Jaime Maza Maza
Grupos de Práctica Pre-profesionales
Mariuxi Guerrero Azanza</t>
  </si>
  <si>
    <r>
      <rPr>
        <b/>
        <sz val="10"/>
        <color theme="1"/>
        <rFont val="Arial Narrow"/>
      </rPr>
      <t>4.-</t>
    </r>
    <r>
      <rPr>
        <sz val="10"/>
        <color theme="1"/>
        <rFont val="Arial Narrow"/>
      </rPr>
      <t xml:space="preserve"> Coordinar las actividades académicas que se realizan en los diferentes aulas y laboratorios de la carrera.</t>
    </r>
  </si>
  <si>
    <t>.- Aulas de clase con fines formativos y de asesoramiento, realizadas.</t>
  </si>
  <si>
    <t>Horarios de clases y laboratorio coordinados.</t>
  </si>
  <si>
    <t>1.- Presentar horario de clases y laboratorio de la Carrera.</t>
  </si>
  <si>
    <t>1.- Evidencia de organización de horarios de aulas y laboratorios.</t>
  </si>
  <si>
    <t>TOTAL PRESUPUESTO ESTIMATIVO DE INGENIERÍA AMBIENTAL 2023:</t>
  </si>
  <si>
    <t xml:space="preserve"> CARRERA DE INGENIERÍA CIVIL</t>
  </si>
  <si>
    <r>
      <rPr>
        <b/>
        <sz val="10"/>
        <color rgb="FFFF0000"/>
        <rFont val="Arial Narrow"/>
      </rPr>
      <t>METAS OPERATIVAS</t>
    </r>
    <r>
      <rPr>
        <b/>
        <sz val="10"/>
        <color theme="1"/>
        <rFont val="Arial Narrow"/>
      </rPr>
      <t xml:space="preserve">
1.-</t>
    </r>
    <r>
      <rPr>
        <sz val="10"/>
        <color theme="1"/>
        <rFont val="Arial Narrow"/>
      </rPr>
      <t xml:space="preserve"> Ejecutar los procesos académicos de la carrera.</t>
    </r>
  </si>
  <si>
    <t>Coordinador de Carrera.
Leyden Carrión Romero.</t>
  </si>
  <si>
    <r>
      <rPr>
        <sz val="10"/>
        <color theme="1"/>
        <rFont val="Arial Narrow"/>
      </rPr>
      <t xml:space="preserve">Se realiza procesos académicos </t>
    </r>
    <r>
      <rPr>
        <sz val="10"/>
        <color theme="1"/>
        <rFont val="Arial Narrow"/>
      </rPr>
      <t xml:space="preserve">como: </t>
    </r>
    <r>
      <rPr>
        <sz val="10"/>
        <color theme="1"/>
        <rFont val="Arial Narrow"/>
      </rPr>
      <t>elaboración de distributivos, elaboración de horarios de clase y organización de horarios de sustentación.</t>
    </r>
  </si>
  <si>
    <r>
      <rPr>
        <b/>
        <sz val="10"/>
        <color theme="1"/>
        <rFont val="Arial Narrow"/>
      </rPr>
      <t>2.-</t>
    </r>
    <r>
      <rPr>
        <sz val="10"/>
        <color theme="1"/>
        <rFont val="Arial Narrow"/>
      </rPr>
      <t xml:space="preserve"> Informar el logro de resultados o avances de procesos de Investigación, vinculación con la sociedad y práctica preprofesional.</t>
    </r>
  </si>
  <si>
    <t xml:space="preserve">Coordinador de Carrera
Leyden Carrión Romero
Grupo de Vinculación con la sociedad.
Carlos Sánchez Mendieta
Grupos de trabajo de investigación.
Jose Luis Ordóñez
Grupos de Pràctica Pre-profesionales
Javier Oyola Estrada
</t>
  </si>
  <si>
    <r>
      <rPr>
        <b/>
        <sz val="10"/>
        <color theme="1"/>
        <rFont val="Arial Narrow"/>
      </rPr>
      <t>3.-</t>
    </r>
    <r>
      <rPr>
        <sz val="10"/>
        <color theme="1"/>
        <rFont val="Arial Narrow"/>
      </rPr>
      <t xml:space="preserve"> Coordinar con el colectivo de trabajo las propuestas de procesos de Investigación y Vinculación con la sociedad ante las instancias encargadas de emitir las directrices a nivel institucional.</t>
    </r>
  </si>
  <si>
    <t>Coordinador de Carrera
Joofre Honores Tapia
Grupo de Vinculación con la sociedad.
Milton Valarezo Pardo
Grupos de trabajo de investigación.
Joofre Honores Tapia
Grupos de Pràctica Pre-profesionales
Óscar Cárdenas Villavicencio</t>
  </si>
  <si>
    <r>
      <rPr>
        <b/>
        <sz val="10"/>
        <color theme="1"/>
        <rFont val="Arial Narrow"/>
      </rPr>
      <t>4.-</t>
    </r>
    <r>
      <rPr>
        <sz val="10"/>
        <color theme="1"/>
        <rFont val="Arial Narrow"/>
      </rPr>
      <t xml:space="preserve"> Coordinar las actividades académicas que se realizan en los diferentes aulas y laboratorios de la carrera.</t>
    </r>
  </si>
  <si>
    <t>TOTAL PRESUPUESTO ESTIMATIVO DE INGENIERÍA CIVIL 2023:</t>
  </si>
  <si>
    <t xml:space="preserve"> CARRERA DE TECNOLOGÍAS DE LA INFORMACIÓN</t>
  </si>
  <si>
    <r>
      <rPr>
        <b/>
        <sz val="10"/>
        <color rgb="FFFF0000"/>
        <rFont val="Arial Narrow"/>
      </rPr>
      <t>METAS OPERATIVAS</t>
    </r>
    <r>
      <rPr>
        <b/>
        <sz val="10"/>
        <color theme="1"/>
        <rFont val="Arial Narrow"/>
      </rPr>
      <t xml:space="preserve">
1.-</t>
    </r>
    <r>
      <rPr>
        <sz val="10"/>
        <color theme="1"/>
        <rFont val="Arial Narrow"/>
      </rPr>
      <t xml:space="preserve"> Ejecutar los procesos académicos de la carrera.</t>
    </r>
  </si>
  <si>
    <t>Coordinador de Carrera.
Joofre Honores Tapia.</t>
  </si>
  <si>
    <t>Se realiza procesos académicos como:
* Elaboración de distributivos.
* Elaboración de horarios de clase.
* Organización de horarios de sustentación de titulación.</t>
  </si>
  <si>
    <r>
      <rPr>
        <b/>
        <sz val="10"/>
        <color theme="1"/>
        <rFont val="Arial Narrow"/>
      </rPr>
      <t>2.-</t>
    </r>
    <r>
      <rPr>
        <sz val="10"/>
        <color theme="1"/>
        <rFont val="Arial Narrow"/>
      </rPr>
      <t xml:space="preserve"> Informar el logro de resultados o avances de procesos de Investigación, vinculación con la sociedad y práctica preprofesional.</t>
    </r>
  </si>
  <si>
    <r>
      <rPr>
        <b/>
        <sz val="10"/>
        <color theme="1"/>
        <rFont val="Arial Narrow"/>
      </rPr>
      <t>3.-</t>
    </r>
    <r>
      <rPr>
        <sz val="10"/>
        <color theme="1"/>
        <rFont val="Arial Narrow"/>
      </rPr>
      <t xml:space="preserve"> Coordinar con el colectivo de trabajo las propuestas de procesos de Investigación y Vinculación con la sociedad ante las instancias encargadas de emitir las directrices a nivel institucional.</t>
    </r>
  </si>
  <si>
    <r>
      <rPr>
        <b/>
        <sz val="10"/>
        <color theme="1"/>
        <rFont val="Arial Narrow"/>
      </rPr>
      <t>4.-</t>
    </r>
    <r>
      <rPr>
        <sz val="10"/>
        <color theme="1"/>
        <rFont val="Arial Narrow"/>
      </rPr>
      <t xml:space="preserve"> Coordinar las actividades académicas que se realizan en los diferentes aulas y laboratorios de la carrera.</t>
    </r>
  </si>
  <si>
    <t>TOTAL PRESUPUESTO ESTIMATIVO DE TECNOLOGÍAS DE LA INFORMACIÓN Y COMUNICACIÓN 2023:</t>
  </si>
  <si>
    <t>TOTAL PRESUPUESTO ESTIMATIVO FIC 2023:</t>
  </si>
  <si>
    <t>Kevin Adrián Valarezo Paz</t>
  </si>
  <si>
    <r>
      <rPr>
        <sz val="11"/>
        <color rgb="FFFF0000"/>
        <rFont val="Arial Narrow"/>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</si>
  <si>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Cámara web</t>
  </si>
  <si>
    <r>
      <rPr>
        <b/>
        <sz val="9"/>
        <color theme="1"/>
        <rFont val="Century Schoolbook"/>
        <family val="1"/>
      </rPr>
      <t>1.-</t>
    </r>
    <r>
      <rPr>
        <sz val="10"/>
        <color theme="1"/>
        <rFont val="Arial Narrow"/>
      </rPr>
      <t xml:space="preserve"> Solicitar a la Dirección Financiera se emita un reporte pormenorizado de le evaluación de la ejecución presupuestaria de los programas, proyectos y actividades que conforman el presupuesto general.
</t>
    </r>
    <r>
      <rPr>
        <b/>
        <sz val="9"/>
        <color theme="1"/>
        <rFont val="Century Schoolbook"/>
        <family val="1"/>
      </rPr>
      <t>2.-</t>
    </r>
    <r>
      <rPr>
        <sz val="10"/>
        <color theme="1"/>
        <rFont val="Arial Narrow"/>
      </rPr>
      <t xml:space="preserve"> Establecer sesiones de trabajo con los jefes departamentales para identificar las mejores estrategias y priorizar los trámites que permitan cumplir con una ejecución presupuestaria eficiente.</t>
    </r>
  </si>
  <si>
    <r>
      <rPr>
        <b/>
        <sz val="9"/>
        <color theme="1"/>
        <rFont val="Century Schoolbook"/>
        <family val="1"/>
      </rPr>
      <t>1.-</t>
    </r>
    <r>
      <rPr>
        <sz val="10"/>
        <color theme="1"/>
        <rFont val="Arial Narrow"/>
      </rPr>
      <t xml:space="preserve"> Revisar y clasificar los documentos por prioridad que necesiten ser tratados en Consejo Universitario.
</t>
    </r>
    <r>
      <rPr>
        <b/>
        <sz val="9"/>
        <color theme="1"/>
        <rFont val="Century Schoolbook"/>
        <family val="1"/>
      </rPr>
      <t>2.-</t>
    </r>
    <r>
      <rPr>
        <sz val="10"/>
        <color theme="1"/>
        <rFont val="Arial Narrow"/>
      </rPr>
      <t xml:space="preserve"> Realizar las convocatorias a través de la Secretaría General de la UTMACH (convocatoria vía correo electrónico).
</t>
    </r>
    <r>
      <rPr>
        <b/>
        <sz val="9"/>
        <color theme="1"/>
        <rFont val="Century Schoolbook"/>
        <family val="1"/>
      </rPr>
      <t>3.-</t>
    </r>
    <r>
      <rPr>
        <sz val="10"/>
        <color theme="1"/>
        <rFont val="Arial Narrow"/>
      </rPr>
      <t xml:space="preserve"> Presidir la sesión de Consejo Universitario.
</t>
    </r>
    <r>
      <rPr>
        <b/>
        <sz val="9"/>
        <color theme="1"/>
        <rFont val="Century Schoolbook"/>
        <family val="1"/>
      </rPr>
      <t>4.-</t>
    </r>
    <r>
      <rPr>
        <sz val="10"/>
        <color theme="1"/>
        <rFont val="Arial Narrow"/>
      </rPr>
      <t xml:space="preserve"> Exponer y presentar ante Consejo Universitario cada caso académico/administrativo que ha sido tramitado ante rectorado para ser conocido ante CU.
</t>
    </r>
    <r>
      <rPr>
        <b/>
        <sz val="9"/>
        <color theme="1"/>
        <rFont val="Century Schoolbook"/>
        <family val="1"/>
      </rPr>
      <t>5.-</t>
    </r>
    <r>
      <rPr>
        <sz val="10"/>
        <color theme="1"/>
        <rFont val="Arial Narrow"/>
      </rPr>
      <t xml:space="preserve"> Deliberar y tomar decisiones en cada sesión.
</t>
    </r>
    <r>
      <rPr>
        <b/>
        <sz val="9"/>
        <color theme="1"/>
        <rFont val="Century Schoolbook"/>
        <family val="1"/>
      </rPr>
      <t>6.-</t>
    </r>
    <r>
      <rPr>
        <sz val="10"/>
        <color theme="1"/>
        <rFont val="Arial Narrow"/>
      </rPr>
      <t xml:space="preserve"> Disponer al Secretario General asentar en actas lo actuado en Consejo Universitario.
</t>
    </r>
    <r>
      <rPr>
        <b/>
        <sz val="9"/>
        <color theme="1"/>
        <rFont val="Century Schoolbook"/>
        <family val="1"/>
      </rPr>
      <t>7.-</t>
    </r>
    <r>
      <rPr>
        <sz val="10"/>
        <color theme="1"/>
        <rFont val="Arial Narrow"/>
      </rPr>
      <t xml:space="preserve"> Aprobar por Consejo Universitario las actas de sesiones del organismo.
</t>
    </r>
    <r>
      <rPr>
        <b/>
        <sz val="9"/>
        <color theme="1"/>
        <rFont val="Century Schoolbook"/>
        <family val="1"/>
      </rPr>
      <t>8.-</t>
    </r>
    <r>
      <rPr>
        <sz val="10"/>
        <color theme="1"/>
        <rFont val="Arial Narrow"/>
      </rPr>
      <t xml:space="preserve"> Llevar la  Logística para la ejecución de sesiones de Consejo Universitario.
</t>
    </r>
    <r>
      <rPr>
        <b/>
        <sz val="9"/>
        <color theme="1"/>
        <rFont val="Century Schoolbook"/>
        <family val="1"/>
      </rPr>
      <t>9.-</t>
    </r>
    <r>
      <rPr>
        <sz val="10"/>
        <color theme="1"/>
        <rFont val="Arial Narrow"/>
      </rPr>
      <t xml:space="preserve"> Firmar las actas.</t>
    </r>
  </si>
  <si>
    <r>
      <rPr>
        <b/>
        <sz val="9"/>
        <color theme="1"/>
        <rFont val="Century Schoolbook"/>
        <family val="1"/>
      </rPr>
      <t>1.-</t>
    </r>
    <r>
      <rPr>
        <sz val="10"/>
        <color theme="1"/>
        <rFont val="Arial Narrow"/>
      </rPr>
      <t xml:space="preserve"> Recibir las solicitudes (terna) de las dependencias que cuentan con la ausencia temporal para que el rector realice el encargo, subrogación, designación.
</t>
    </r>
    <r>
      <rPr>
        <b/>
        <sz val="9"/>
        <color theme="1"/>
        <rFont val="Century Schoolbook"/>
        <family val="1"/>
      </rPr>
      <t>2.-</t>
    </r>
    <r>
      <rPr>
        <sz val="10"/>
        <color theme="1"/>
        <rFont val="Arial Narrow"/>
      </rPr>
      <t xml:space="preserve"> Emitir oficio y/o resolución administrativa de encargo, designación y/o subrogación, dependiente el caso.
</t>
    </r>
    <r>
      <rPr>
        <b/>
        <sz val="9"/>
        <color theme="1"/>
        <rFont val="Century Schoolbook"/>
        <family val="1"/>
      </rPr>
      <t>3.-</t>
    </r>
    <r>
      <rPr>
        <sz val="10"/>
        <color theme="1"/>
        <rFont val="Arial Narrow"/>
      </rPr>
      <t xml:space="preserve"> Oficializar la designación a través de la emisión de oficio y/o resolución administrativa.
</t>
    </r>
    <r>
      <rPr>
        <b/>
        <sz val="9"/>
        <color theme="1"/>
        <rFont val="Century Schoolbook"/>
        <family val="1"/>
      </rPr>
      <t>4.-</t>
    </r>
    <r>
      <rPr>
        <sz val="10"/>
        <color theme="1"/>
        <rFont val="Arial Narrow"/>
      </rPr>
      <t xml:space="preserve"> Comunicar a DTH para la emisión de la acción de personal.</t>
    </r>
  </si>
  <si>
    <r>
      <rPr>
        <b/>
        <sz val="9"/>
        <color theme="1"/>
        <rFont val="Century Schoolbook"/>
        <family val="1"/>
      </rPr>
      <t>1.-</t>
    </r>
    <r>
      <rPr>
        <sz val="10"/>
        <color theme="1"/>
        <rFont val="Arial Narrow"/>
      </rPr>
      <t xml:space="preserve"> Recibir las solicitudes de las dependencias que cuentan con la ausencia permanente, para disponer ante Dirección de Talento Humano se emita el informe técnico de viabilidad.
</t>
    </r>
    <r>
      <rPr>
        <b/>
        <sz val="9"/>
        <color theme="1"/>
        <rFont val="Century Schoolbook"/>
        <family val="1"/>
      </rPr>
      <t>2.-</t>
    </r>
    <r>
      <rPr>
        <sz val="10"/>
        <color theme="1"/>
        <rFont val="Arial Narrow"/>
      </rPr>
      <t xml:space="preserve"> Aprobar el informe técnico y Emitir oficio de designación de cargos académicos y/o administrativos.
</t>
    </r>
    <r>
      <rPr>
        <b/>
        <sz val="9"/>
        <color theme="1"/>
        <rFont val="Century Schoolbook"/>
        <family val="1"/>
      </rPr>
      <t>3.-</t>
    </r>
    <r>
      <rPr>
        <sz val="10"/>
        <color theme="1"/>
        <rFont val="Arial Narrow"/>
      </rPr>
      <t xml:space="preserve"> Oficializar la designación a través de la emisión de resoluciones administrativas.
</t>
    </r>
    <r>
      <rPr>
        <b/>
        <sz val="9"/>
        <color theme="1"/>
        <rFont val="Century Schoolbook"/>
        <family val="1"/>
      </rPr>
      <t>4.-</t>
    </r>
    <r>
      <rPr>
        <sz val="10"/>
        <color theme="1"/>
        <rFont val="Arial Narrow"/>
      </rPr>
      <t xml:space="preserve"> Comunicar a Dirección de Talento Humano para la emisión de la acción de personal.</t>
    </r>
  </si>
  <si>
    <r>
      <rPr>
        <b/>
        <sz val="9"/>
        <color theme="1"/>
        <rFont val="Century Schoolbook"/>
        <family val="1"/>
      </rPr>
      <t>1.-</t>
    </r>
    <r>
      <rPr>
        <sz val="10"/>
        <color theme="1"/>
        <rFont val="Arial Narrow"/>
      </rPr>
      <t xml:space="preserve"> Establecer sesiones de trabajos con Vicerrectores académicos y/o administrativos para conocer estados de procesos y necesidades institucionales.
</t>
    </r>
    <r>
      <rPr>
        <b/>
        <sz val="9"/>
        <color theme="1"/>
        <rFont val="Century Schoolbook"/>
        <family val="1"/>
      </rPr>
      <t>2.-</t>
    </r>
    <r>
      <rPr>
        <sz val="10"/>
        <color theme="1"/>
        <rFont val="Arial Narrow"/>
      </rPr>
      <t xml:space="preserve"> Solicitar informes de pertinencia, según el caso.
</t>
    </r>
    <r>
      <rPr>
        <b/>
        <sz val="9"/>
        <color theme="1"/>
        <rFont val="Century Schoolbook"/>
        <family val="1"/>
      </rPr>
      <t>3.-</t>
    </r>
    <r>
      <rPr>
        <b/>
        <sz val="10"/>
        <color theme="1"/>
        <rFont val="Arial Narrow"/>
      </rPr>
      <t xml:space="preserve"> </t>
    </r>
    <r>
      <rPr>
        <sz val="10"/>
        <color theme="1"/>
        <rFont val="Arial Narrow"/>
      </rPr>
      <t>Organizar con la Dirección de Coordinación General del rectorado, sesiones de trabajo.</t>
    </r>
    <r>
      <rPr>
        <b/>
        <sz val="10"/>
        <color theme="1"/>
        <rFont val="Arial Narrow"/>
      </rPr>
      <t xml:space="preserve">
</t>
    </r>
    <r>
      <rPr>
        <b/>
        <sz val="9"/>
        <color theme="1"/>
        <rFont val="Century Schoolbook"/>
        <family val="1"/>
      </rPr>
      <t>4.-</t>
    </r>
    <r>
      <rPr>
        <b/>
        <sz val="10"/>
        <color theme="1"/>
        <rFont val="Arial Narrow"/>
      </rPr>
      <t xml:space="preserve"> </t>
    </r>
    <r>
      <rPr>
        <sz val="10"/>
        <color theme="1"/>
        <rFont val="Arial Narrow"/>
      </rPr>
      <t xml:space="preserve">Efectuar directrices y lineamientos a los vicerrectores.
</t>
    </r>
    <r>
      <rPr>
        <b/>
        <sz val="9"/>
        <color theme="1"/>
        <rFont val="Century Schoolbook"/>
        <family val="1"/>
      </rPr>
      <t>5.-</t>
    </r>
    <r>
      <rPr>
        <sz val="10"/>
        <color theme="1"/>
        <rFont val="Arial Narrow"/>
      </rPr>
      <t xml:space="preserve"> Disponer a la Dirección de Coordinación General del rectorado para que efectúe el seguimiento para evidenciar cumplimiento a través de sesiones periódicas de trabajo.</t>
    </r>
  </si>
  <si>
    <r>
      <rPr>
        <b/>
        <sz val="9"/>
        <color theme="1"/>
        <rFont val="Century Schoolbook"/>
        <family val="1"/>
      </rPr>
      <t>1.-</t>
    </r>
    <r>
      <rPr>
        <sz val="10"/>
        <color theme="1"/>
        <rFont val="Arial Narrow"/>
      </rPr>
      <t xml:space="preserve"> Organizar con la Dirección de Planificación, los parámetros que se requieren para la elaboración del informe de rendiciones de cuentas.
</t>
    </r>
    <r>
      <rPr>
        <b/>
        <sz val="9"/>
        <color theme="1"/>
        <rFont val="Century Schoolbook"/>
        <family val="1"/>
      </rPr>
      <t>2.-</t>
    </r>
    <r>
      <rPr>
        <b/>
        <sz val="10"/>
        <color theme="1"/>
        <rFont val="Arial Narrow"/>
      </rPr>
      <t xml:space="preserve"> </t>
    </r>
    <r>
      <rPr>
        <sz val="10"/>
        <color theme="1"/>
        <rFont val="Arial Narrow"/>
      </rPr>
      <t xml:space="preserve">Gestionar y disponer a la Dirección de Coordinación General del rectorado la presentación de insumos y evidencias que tributen al  informe de rendiciones de cuentas.
</t>
    </r>
    <r>
      <rPr>
        <b/>
        <sz val="9"/>
        <color theme="1"/>
        <rFont val="Century Schoolbook"/>
        <family val="1"/>
      </rPr>
      <t>3.-</t>
    </r>
    <r>
      <rPr>
        <b/>
        <sz val="10"/>
        <color theme="1"/>
        <rFont val="Arial Narrow"/>
      </rPr>
      <t xml:space="preserve"> </t>
    </r>
    <r>
      <rPr>
        <sz val="10"/>
        <color theme="1"/>
        <rFont val="Arial Narrow"/>
      </rPr>
      <t>Coordinar la logística para la presentación de informe de rendiciones de cuentas.</t>
    </r>
    <r>
      <rPr>
        <b/>
        <sz val="10"/>
        <color theme="1"/>
        <rFont val="Arial Narrow"/>
      </rPr>
      <t xml:space="preserve">
</t>
    </r>
    <r>
      <rPr>
        <b/>
        <sz val="9"/>
        <color theme="1"/>
        <rFont val="Century Schoolbook"/>
        <family val="1"/>
      </rPr>
      <t>4.-</t>
    </r>
    <r>
      <rPr>
        <b/>
        <sz val="10"/>
        <color theme="1"/>
        <rFont val="Arial Narrow"/>
      </rPr>
      <t xml:space="preserve"> </t>
    </r>
    <r>
      <rPr>
        <sz val="10"/>
        <color theme="1"/>
        <rFont val="Arial Narrow"/>
      </rPr>
      <t xml:space="preserve">Presentar el informe ante Consejo Universitario de la Rendición de Cuentas.
</t>
    </r>
    <r>
      <rPr>
        <b/>
        <sz val="9"/>
        <color theme="1"/>
        <rFont val="Century Schoolbook"/>
        <family val="1"/>
      </rPr>
      <t>5.-</t>
    </r>
    <r>
      <rPr>
        <b/>
        <sz val="10"/>
        <color theme="1"/>
        <rFont val="Arial Narrow"/>
      </rPr>
      <t xml:space="preserve"> </t>
    </r>
    <r>
      <rPr>
        <sz val="10"/>
        <color theme="1"/>
        <rFont val="Arial Narrow"/>
      </rPr>
      <t xml:space="preserve">Aprobar por Consejo Universitario el informe de Rendición de Cuentas.
</t>
    </r>
    <r>
      <rPr>
        <b/>
        <sz val="9"/>
        <color theme="1"/>
        <rFont val="Century Schoolbook"/>
        <family val="1"/>
      </rPr>
      <t>6.-</t>
    </r>
    <r>
      <rPr>
        <b/>
        <sz val="10"/>
        <color theme="1"/>
        <rFont val="Arial Narrow"/>
      </rPr>
      <t xml:space="preserve"> </t>
    </r>
    <r>
      <rPr>
        <sz val="10"/>
        <color theme="1"/>
        <rFont val="Arial Narrow"/>
      </rPr>
      <t xml:space="preserve">Subir al portal del CPCCS de la Rendición de Cuentas del año anterior para constancia conforme es requerido por el comité de transparencia.
</t>
    </r>
    <r>
      <rPr>
        <b/>
        <sz val="9"/>
        <color theme="1"/>
        <rFont val="Century Schoolbook"/>
        <family val="1"/>
      </rPr>
      <t>7.-</t>
    </r>
    <r>
      <rPr>
        <sz val="10"/>
        <color theme="1"/>
        <rFont val="Arial Narrow"/>
      </rPr>
      <t xml:space="preserve"> Difundir por medios institucionales el informe de rendiciones de cuentas.
</t>
    </r>
    <r>
      <rPr>
        <b/>
        <sz val="9"/>
        <color theme="1"/>
        <rFont val="Century Schoolbook"/>
        <family val="1"/>
      </rPr>
      <t>8.-</t>
    </r>
    <r>
      <rPr>
        <sz val="10"/>
        <color theme="1"/>
        <rFont val="Arial Narrow"/>
      </rPr>
      <t xml:space="preserve"> Disponer que a través de la dirección de comunicación se realice la consolidación de los aportes ciudadanos.</t>
    </r>
  </si>
  <si>
    <r>
      <rPr>
        <b/>
        <sz val="9"/>
        <color theme="1"/>
        <rFont val="Century Schoolbook"/>
        <family val="1"/>
      </rPr>
      <t>1.-</t>
    </r>
    <r>
      <rPr>
        <sz val="10"/>
        <color theme="1"/>
        <rFont val="Arial Narrow"/>
      </rPr>
      <t xml:space="preserve"> Planificar reuniones de trabajo con planificación y financiero para analizar la ejecución y ajustes presupuestarios.
</t>
    </r>
    <r>
      <rPr>
        <b/>
        <sz val="9"/>
        <color theme="1"/>
        <rFont val="Century Schoolbook"/>
        <family val="1"/>
      </rPr>
      <t>2.-</t>
    </r>
    <r>
      <rPr>
        <sz val="10"/>
        <color theme="1"/>
        <rFont val="Arial Narrow"/>
      </rPr>
      <t xml:space="preserve"> Disponer la elaboración del proyecto de reformas presupuestarias en apego a las necesidades institucionales.
</t>
    </r>
    <r>
      <rPr>
        <b/>
        <sz val="9"/>
        <color theme="1"/>
        <rFont val="Century Schoolbook"/>
        <family val="1"/>
      </rPr>
      <t>3.-</t>
    </r>
    <r>
      <rPr>
        <sz val="10"/>
        <color theme="1"/>
        <rFont val="Arial Narrow"/>
      </rPr>
      <t xml:space="preserve"> Presentar ante el órgano colegiado superior los proyectos de reformas presupuestarias.
</t>
    </r>
    <r>
      <rPr>
        <b/>
        <sz val="9"/>
        <color theme="1"/>
        <rFont val="Century Schoolbook"/>
        <family val="1"/>
      </rPr>
      <t>4.-</t>
    </r>
    <r>
      <rPr>
        <sz val="10"/>
        <color theme="1"/>
        <rFont val="Arial Narrow"/>
      </rPr>
      <t xml:space="preserve"> Suscribir la reforma presupuestaria aprobada por consejo universitario.
</t>
    </r>
    <r>
      <rPr>
        <b/>
        <sz val="9"/>
        <color theme="1"/>
        <rFont val="Century Schoolbook"/>
        <family val="1"/>
      </rPr>
      <t>5.-</t>
    </r>
    <r>
      <rPr>
        <sz val="10"/>
        <color theme="1"/>
        <rFont val="Arial Narrow"/>
      </rPr>
      <t xml:space="preserve"> Autorizar a la dirección financiera la subida a la plataforma del Ministerio de Finanzas el ajuste presupuestario.</t>
    </r>
  </si>
  <si>
    <r>
      <rPr>
        <b/>
        <sz val="9"/>
        <color theme="1"/>
        <rFont val="Century Schoolbook"/>
        <family val="1"/>
      </rPr>
      <t>1.-</t>
    </r>
    <r>
      <rPr>
        <sz val="10"/>
        <color theme="1"/>
        <rFont val="Arial Narrow"/>
      </rPr>
      <t xml:space="preserve"> Establecer sesiones de trabajo.
</t>
    </r>
    <r>
      <rPr>
        <b/>
        <sz val="9"/>
        <color theme="1"/>
        <rFont val="Century Schoolbook"/>
        <family val="1"/>
      </rPr>
      <t>2.-</t>
    </r>
    <r>
      <rPr>
        <sz val="10"/>
        <color theme="1"/>
        <rFont val="Arial Narrow"/>
      </rPr>
      <t xml:space="preserve"> Disponer a la Dirección de Coordinación general de rectorado hacer seguimiento a las acciones que se establecieron producto de las sesiones de trabajo.
</t>
    </r>
    <r>
      <rPr>
        <b/>
        <sz val="9"/>
        <color theme="1"/>
        <rFont val="Century Schoolbook"/>
        <family val="1"/>
      </rPr>
      <t>3.-</t>
    </r>
    <r>
      <rPr>
        <sz val="10"/>
        <color theme="1"/>
        <rFont val="Arial Narrow"/>
      </rPr>
      <t xml:space="preserve"> Gestionar aprobación de normativas y procedimientos ante Consejo Universitario.
</t>
    </r>
    <r>
      <rPr>
        <b/>
        <sz val="9"/>
        <color theme="1"/>
        <rFont val="Century Schoolbook"/>
        <family val="1"/>
      </rPr>
      <t>4.-</t>
    </r>
    <r>
      <rPr>
        <sz val="10"/>
        <color theme="1"/>
        <rFont val="Arial Narrow"/>
      </rPr>
      <t xml:space="preserve"> Informar ante los organismos competentes las acciones tomadas.
</t>
    </r>
    <r>
      <rPr>
        <b/>
        <sz val="9"/>
        <color theme="1"/>
        <rFont val="Century Schoolbook"/>
        <family val="1"/>
      </rPr>
      <t>5.-</t>
    </r>
    <r>
      <rPr>
        <sz val="10"/>
        <color theme="1"/>
        <rFont val="Arial Narrow"/>
      </rPr>
      <t xml:space="preserve"> Gestionar la ejecución de las acciones de mejora.</t>
    </r>
  </si>
  <si>
    <r>
      <rPr>
        <b/>
        <sz val="9"/>
        <color theme="1"/>
        <rFont val="Century Schoolbook"/>
        <family val="1"/>
      </rPr>
      <t>1.-</t>
    </r>
    <r>
      <rPr>
        <sz val="10"/>
        <color theme="1"/>
        <rFont val="Arial Narrow"/>
      </rPr>
      <t xml:space="preserve"> Conocer los trámites de proceso disciplinario.
</t>
    </r>
    <r>
      <rPr>
        <b/>
        <sz val="9"/>
        <color theme="1"/>
        <rFont val="Century Schoolbook"/>
        <family val="1"/>
      </rPr>
      <t>2.-</t>
    </r>
    <r>
      <rPr>
        <sz val="10"/>
        <color theme="1"/>
        <rFont val="Arial Narrow"/>
      </rPr>
      <t xml:space="preserve"> Disponer ante Procuraduría General la revisión y análisis legal, en el marco jurídico.
</t>
    </r>
    <r>
      <rPr>
        <b/>
        <sz val="9"/>
        <color theme="1"/>
        <rFont val="Century Schoolbook"/>
        <family val="1"/>
      </rPr>
      <t>3.-</t>
    </r>
    <r>
      <rPr>
        <sz val="10"/>
        <color theme="1"/>
        <rFont val="Arial Narrow"/>
      </rPr>
      <t xml:space="preserve"> Presentar ante Consejo Universitario para el tratamiento respectivo los informes jurídicos.
</t>
    </r>
    <r>
      <rPr>
        <b/>
        <sz val="9"/>
        <color theme="1"/>
        <rFont val="Century Schoolbook"/>
        <family val="1"/>
      </rPr>
      <t>4.-</t>
    </r>
    <r>
      <rPr>
        <sz val="10"/>
        <color theme="1"/>
        <rFont val="Arial Narrow"/>
      </rPr>
      <t xml:space="preserve"> Difundir a las partes involucradas sobre lo resuelto en el órgano colegiado superior para la aplicación inmediata.</t>
    </r>
  </si>
  <si>
    <r>
      <rPr>
        <b/>
        <sz val="9"/>
        <color theme="1"/>
        <rFont val="Century Schoolbook"/>
        <family val="1"/>
      </rPr>
      <t>1.-</t>
    </r>
    <r>
      <rPr>
        <sz val="10"/>
        <color theme="1"/>
        <rFont val="Arial Narrow"/>
      </rPr>
      <t xml:space="preserve"> Receptar desde las facultades académicas la base de egresados que cumplen con los requisitos para incorporación ante Secretaría General.
</t>
    </r>
    <r>
      <rPr>
        <b/>
        <sz val="9"/>
        <color theme="1"/>
        <rFont val="Century Schoolbook"/>
        <family val="1"/>
      </rPr>
      <t>2.-</t>
    </r>
    <r>
      <rPr>
        <sz val="10"/>
        <color theme="1"/>
        <rFont val="Arial Narrow"/>
      </rPr>
      <t xml:space="preserve"> Disponer efectuar el registro en la plataforma SENESCYT.
</t>
    </r>
    <r>
      <rPr>
        <b/>
        <sz val="9"/>
        <color theme="1"/>
        <rFont val="Century Schoolbook"/>
        <family val="1"/>
      </rPr>
      <t>3.-</t>
    </r>
    <r>
      <rPr>
        <sz val="10"/>
        <color theme="1"/>
        <rFont val="Arial Narrow"/>
      </rPr>
      <t xml:space="preserve"> Disponer la Impresión de títulos.
</t>
    </r>
    <r>
      <rPr>
        <b/>
        <sz val="9"/>
        <color theme="1"/>
        <rFont val="Century Schoolbook"/>
        <family val="1"/>
      </rPr>
      <t>4.-</t>
    </r>
    <r>
      <rPr>
        <sz val="10"/>
        <color theme="1"/>
        <rFont val="Arial Narrow"/>
      </rPr>
      <t xml:space="preserve"> Firmar los títulos.
</t>
    </r>
    <r>
      <rPr>
        <b/>
        <sz val="9"/>
        <color theme="1"/>
        <rFont val="Century Schoolbook"/>
        <family val="1"/>
      </rPr>
      <t>5.-</t>
    </r>
    <r>
      <rPr>
        <sz val="10"/>
        <color theme="1"/>
        <rFont val="Arial Narrow"/>
      </rPr>
      <t xml:space="preserve"> Participar en la Investidura como profesionales.</t>
    </r>
  </si>
  <si>
    <r>
      <rPr>
        <b/>
        <sz val="9"/>
        <color theme="1"/>
        <rFont val="Century Schoolbook"/>
        <family val="1"/>
      </rPr>
      <t>1.-</t>
    </r>
    <r>
      <rPr>
        <sz val="10"/>
        <color theme="1"/>
        <rFont val="Arial Narrow"/>
      </rPr>
      <t xml:space="preserve"> Receptar a través de la Unidad de Compras Públicas el Plan Anual de Contratación.
</t>
    </r>
    <r>
      <rPr>
        <b/>
        <sz val="9"/>
        <color theme="1"/>
        <rFont val="Century Schoolbook"/>
        <family val="1"/>
      </rPr>
      <t>2.-</t>
    </r>
    <r>
      <rPr>
        <sz val="10"/>
        <color theme="1"/>
        <rFont val="Arial Narrow"/>
      </rPr>
      <t xml:space="preserve"> Aprobar por Consejo Universitario el Plan Anual de Contratación.
</t>
    </r>
    <r>
      <rPr>
        <b/>
        <sz val="9"/>
        <color theme="1"/>
        <rFont val="Century Schoolbook"/>
        <family val="1"/>
      </rPr>
      <t>3.-</t>
    </r>
    <r>
      <rPr>
        <sz val="10"/>
        <color theme="1"/>
        <rFont val="Arial Narrow"/>
      </rPr>
      <t xml:space="preserve"> Disponer la subida a la plataforma del Sercop el Plan Anual de Contratación.
</t>
    </r>
    <r>
      <rPr>
        <b/>
        <sz val="9"/>
        <color theme="1"/>
        <rFont val="Century Schoolbook"/>
        <family val="1"/>
      </rPr>
      <t>4.-</t>
    </r>
    <r>
      <rPr>
        <sz val="9"/>
        <color theme="1"/>
        <rFont val="Century Schoolbook"/>
        <family val="1"/>
      </rPr>
      <t xml:space="preserve"> </t>
    </r>
    <r>
      <rPr>
        <sz val="10"/>
        <color theme="1"/>
        <rFont val="Arial Narrow"/>
      </rPr>
      <t>Autorizar las contrataciones públicas conforme lo establece el Plan Anual de Contratación.</t>
    </r>
  </si>
  <si>
    <r>
      <rPr>
        <b/>
        <sz val="9"/>
        <color theme="1"/>
        <rFont val="Century Schoolbook"/>
        <family val="1"/>
      </rPr>
      <t>1.-</t>
    </r>
    <r>
      <rPr>
        <sz val="10"/>
        <color theme="1"/>
        <rFont val="Arial Narrow"/>
      </rPr>
      <t xml:space="preserve"> Disponer a la Dirección Coordinación General del rectorado la gestión para el acercamientos con varios organismos para fortalecer las relaciones interinstitucionales.
</t>
    </r>
    <r>
      <rPr>
        <b/>
        <sz val="9"/>
        <color theme="1"/>
        <rFont val="Century Schoolbook"/>
        <family val="1"/>
      </rPr>
      <t>2.-</t>
    </r>
    <r>
      <rPr>
        <b/>
        <sz val="10"/>
        <color theme="1"/>
        <rFont val="Arial Narrow"/>
      </rPr>
      <t xml:space="preserve"> </t>
    </r>
    <r>
      <rPr>
        <sz val="10"/>
        <color theme="1"/>
        <rFont val="Arial Narrow"/>
      </rPr>
      <t xml:space="preserve">Disponer a la Dirección de Vinculación el análisis y viabilidad de la gestión de convenios interinstitucionales.
</t>
    </r>
    <r>
      <rPr>
        <b/>
        <sz val="9"/>
        <color theme="1"/>
        <rFont val="Century Schoolbook"/>
        <family val="1"/>
      </rPr>
      <t>3.-</t>
    </r>
    <r>
      <rPr>
        <sz val="10"/>
        <color theme="1"/>
        <rFont val="Arial Narrow"/>
      </rPr>
      <t xml:space="preserve"> Suscribir convenios interinstitucionales, presentados por la Dirección de Vinculación en la que cuenten con informe jurídico favorable.</t>
    </r>
  </si>
  <si>
    <r>
      <rPr>
        <b/>
        <sz val="9"/>
        <color theme="1"/>
        <rFont val="Century Schoolbook"/>
        <family val="1"/>
      </rPr>
      <t>1.-</t>
    </r>
    <r>
      <rPr>
        <sz val="10"/>
        <color theme="1"/>
        <rFont val="Arial Narrow"/>
      </rPr>
      <t xml:space="preserve"> Recibir solicitudes de las Facultades que tienen necesidad de contratar personal académico ocasional, invitados y de apoyo académico.
</t>
    </r>
    <r>
      <rPr>
        <b/>
        <sz val="9"/>
        <color theme="1"/>
        <rFont val="Century Schoolbook"/>
        <family val="1"/>
      </rPr>
      <t>2.-</t>
    </r>
    <r>
      <rPr>
        <sz val="10"/>
        <color theme="1"/>
        <rFont val="Arial Narrow"/>
      </rPr>
      <t xml:space="preserve"> Solicitar a la Dirección de Talento Humano, emita el informe de pertinencia.
</t>
    </r>
    <r>
      <rPr>
        <b/>
        <sz val="9"/>
        <color theme="1"/>
        <rFont val="Century Schoolbook"/>
        <family val="1"/>
      </rPr>
      <t>3.-</t>
    </r>
    <r>
      <rPr>
        <sz val="10"/>
        <color theme="1"/>
        <rFont val="Arial Narrow"/>
      </rPr>
      <t xml:space="preserve"> Comunicar a la Dirección de Talento Humano, para la emisión de la Acción de Personal.</t>
    </r>
  </si>
  <si>
    <r>
      <rPr>
        <b/>
        <sz val="9"/>
        <color theme="1"/>
        <rFont val="Century Schoolbook"/>
        <family val="1"/>
      </rPr>
      <t>1.-</t>
    </r>
    <r>
      <rPr>
        <sz val="10"/>
        <color theme="1"/>
        <rFont val="Arial Narrow"/>
      </rPr>
      <t xml:space="preserve"> Recibir los trámites de Permisos, licencias y/ o comisiones conforme lo establecen los procedimientos internos.
</t>
    </r>
    <r>
      <rPr>
        <b/>
        <sz val="9"/>
        <color theme="1"/>
        <rFont val="Century Schoolbook"/>
        <family val="1"/>
      </rPr>
      <t>2.-</t>
    </r>
    <r>
      <rPr>
        <sz val="10"/>
        <color theme="1"/>
        <rFont val="Arial Narrow"/>
      </rPr>
      <t xml:space="preserve"> Derivar a la Dirección de Talento Humano, proceda con el trámite según requerimiento.
</t>
    </r>
    <r>
      <rPr>
        <b/>
        <sz val="9"/>
        <color theme="1"/>
        <rFont val="Century Schoolbook"/>
        <family val="1"/>
      </rPr>
      <t>3.-</t>
    </r>
    <r>
      <rPr>
        <sz val="10"/>
        <color theme="1"/>
        <rFont val="Arial Narrow"/>
      </rPr>
      <t xml:space="preserve"> Solicitar los informes de pertinencia (según sea cada caso).
</t>
    </r>
    <r>
      <rPr>
        <b/>
        <sz val="9"/>
        <color theme="1"/>
        <rFont val="Century Schoolbook"/>
        <family val="1"/>
      </rPr>
      <t>4.-</t>
    </r>
    <r>
      <rPr>
        <sz val="10"/>
        <color theme="1"/>
        <rFont val="Arial Narrow"/>
      </rPr>
      <t xml:space="preserve"> Tramitar ante Consejo Universitario (según sea cada caso).
</t>
    </r>
    <r>
      <rPr>
        <b/>
        <sz val="9"/>
        <color theme="1"/>
        <rFont val="Century Schoolbook"/>
        <family val="1"/>
      </rPr>
      <t>5.-</t>
    </r>
    <r>
      <rPr>
        <sz val="10"/>
        <color theme="1"/>
        <rFont val="Arial Narrow"/>
      </rPr>
      <t xml:space="preserve"> Informar a la parte interesada lo resuelto por el órgano Colegiado Superior.</t>
    </r>
  </si>
  <si>
    <r>
      <rPr>
        <b/>
        <sz val="9"/>
        <color theme="1"/>
        <rFont val="Century Schoolbook"/>
        <family val="1"/>
      </rPr>
      <t>1.-</t>
    </r>
    <r>
      <rPr>
        <sz val="10"/>
        <color theme="1"/>
        <rFont val="Arial Narrow"/>
      </rPr>
      <t xml:space="preserve"> Disponer a los vicerrectorados, autoridades de facultades, directores departamentales informen las acciones realizadas en base a su competencias.
</t>
    </r>
    <r>
      <rPr>
        <b/>
        <sz val="9"/>
        <color theme="1"/>
        <rFont val="Century Schoolbook"/>
        <family val="1"/>
      </rPr>
      <t>2.</t>
    </r>
    <r>
      <rPr>
        <sz val="9"/>
        <color theme="1"/>
        <rFont val="Century Schoolbook"/>
        <family val="1"/>
      </rPr>
      <t>-</t>
    </r>
    <r>
      <rPr>
        <sz val="10"/>
        <color theme="1"/>
        <rFont val="Arial Narrow"/>
      </rPr>
      <t xml:space="preserve"> Establecer sesiones de trabajo para analizar con las partes involucradas y consensuar las mejores ideas que permitan el bienestar de la comunidad universitaria.
</t>
    </r>
    <r>
      <rPr>
        <b/>
        <sz val="9"/>
        <color theme="1"/>
        <rFont val="Century Schoolbook"/>
        <family val="1"/>
      </rPr>
      <t>3.-</t>
    </r>
    <r>
      <rPr>
        <sz val="10"/>
        <color theme="1"/>
        <rFont val="Arial Narrow"/>
      </rPr>
      <t xml:space="preserve"> Disponer a la Dirección de Coordinación general de rectorado, efectuar el seguimiento de las acciones.
</t>
    </r>
    <r>
      <rPr>
        <b/>
        <sz val="9"/>
        <color theme="1"/>
        <rFont val="Century Schoolbook"/>
        <family val="1"/>
      </rPr>
      <t>4.-</t>
    </r>
    <r>
      <rPr>
        <sz val="10"/>
        <color theme="1"/>
        <rFont val="Arial Narrow"/>
      </rPr>
      <t xml:space="preserve"> Implementar mejores estrategias institucionales logrando oportunas decisiones tomadas.
</t>
    </r>
    <r>
      <rPr>
        <b/>
        <sz val="9"/>
        <color theme="1"/>
        <rFont val="Century Schoolbook"/>
        <family val="1"/>
      </rPr>
      <t>5.-</t>
    </r>
    <r>
      <rPr>
        <sz val="10"/>
        <color theme="1"/>
        <rFont val="Arial Narrow"/>
      </rPr>
      <t xml:space="preserve"> Comunicar lo resuelto.</t>
    </r>
  </si>
  <si>
    <r>
      <rPr>
        <b/>
        <sz val="9"/>
        <color theme="1"/>
        <rFont val="Century Schoolbook"/>
        <family val="1"/>
      </rPr>
      <t>1.-</t>
    </r>
    <r>
      <rPr>
        <sz val="10"/>
        <color theme="1"/>
        <rFont val="Arial Narrow"/>
      </rPr>
      <t xml:space="preserve"> Presentar la propuesta del Plan Operativo Anual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Ejecutar las actividades enmarcadas con el Plan Operativo Anual.
</t>
    </r>
    <r>
      <rPr>
        <b/>
        <sz val="9"/>
        <color theme="1"/>
        <rFont val="Century Schoolbook"/>
        <family val="1"/>
      </rPr>
      <t>3.-</t>
    </r>
    <r>
      <rPr>
        <sz val="10"/>
        <color theme="1"/>
        <rFont val="Arial Narrow"/>
      </rPr>
      <t xml:space="preserve"> Efectuar los requerimientos del Plan Anual de Compras.
</t>
    </r>
    <r>
      <rPr>
        <b/>
        <sz val="9"/>
        <color theme="1"/>
        <rFont val="Century Schoolbook"/>
        <family val="1"/>
      </rPr>
      <t>4.-</t>
    </r>
    <r>
      <rPr>
        <sz val="10"/>
        <color theme="1"/>
        <rFont val="Arial Narrow"/>
      </rPr>
      <t xml:space="preserve"> Reportar la evaluación del POA </t>
    </r>
    <r>
      <rPr>
        <sz val="10"/>
        <color theme="1"/>
        <rFont val="Century Schoolbook"/>
        <family val="1"/>
      </rPr>
      <t xml:space="preserve">2023, </t>
    </r>
    <r>
      <rPr>
        <sz val="10"/>
        <color theme="1"/>
        <rFont val="Arial Narrow"/>
      </rPr>
      <t>conforme a las directrices de la Dirección de Planificación de la UTMACH.</t>
    </r>
  </si>
  <si>
    <r>
      <rPr>
        <b/>
        <sz val="9"/>
        <color theme="1"/>
        <rFont val="Century Schoolbook"/>
        <family val="1"/>
      </rPr>
      <t>1.-</t>
    </r>
    <r>
      <rPr>
        <sz val="10"/>
        <color theme="1"/>
        <rFont val="Arial Narrow"/>
      </rPr>
      <t xml:space="preserve"> POA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Evaluación POA </t>
    </r>
    <r>
      <rPr>
        <sz val="10"/>
        <color theme="1"/>
        <rFont val="Century Schoolbook"/>
        <family val="1"/>
      </rPr>
      <t>2023.</t>
    </r>
  </si>
  <si>
    <r>
      <rPr>
        <b/>
        <sz val="9"/>
        <color theme="1"/>
        <rFont val="Century Schoolbook"/>
        <family val="1"/>
      </rPr>
      <t>1.-</t>
    </r>
    <r>
      <rPr>
        <sz val="10"/>
        <color theme="1"/>
        <rFont val="Arial Narrow"/>
      </rPr>
      <t xml:space="preserve"> Reporte de Decisiones Oportunas Adoptadas.</t>
    </r>
  </si>
  <si>
    <r>
      <rPr>
        <b/>
        <sz val="9"/>
        <color theme="1"/>
        <rFont val="Century Schoolbook"/>
        <family val="1"/>
      </rPr>
      <t>1.-</t>
    </r>
    <r>
      <rPr>
        <sz val="10"/>
        <color theme="1"/>
        <rFont val="Arial Narrow"/>
      </rPr>
      <t xml:space="preserve"> Reporte de Permisos, licencias y/ o comisiones concedidas.
</t>
    </r>
    <r>
      <rPr>
        <b/>
        <sz val="9"/>
        <color theme="1"/>
        <rFont val="Century Schoolbook"/>
        <family val="1"/>
      </rPr>
      <t>2.-</t>
    </r>
    <r>
      <rPr>
        <sz val="10"/>
        <color theme="1"/>
        <rFont val="Arial Narrow"/>
      </rPr>
      <t xml:space="preserve"> Resoluciones de Consejo Universitario.</t>
    </r>
  </si>
  <si>
    <r>
      <rPr>
        <b/>
        <sz val="9"/>
        <color theme="1"/>
        <rFont val="Century Schoolbook"/>
        <family val="1"/>
      </rPr>
      <t>1.-</t>
    </r>
    <r>
      <rPr>
        <sz val="10"/>
        <color theme="1"/>
        <rFont val="Arial Narrow"/>
      </rPr>
      <t xml:space="preserve"> Oficios.
</t>
    </r>
    <r>
      <rPr>
        <b/>
        <sz val="9"/>
        <color theme="1"/>
        <rFont val="Century Schoolbook"/>
        <family val="1"/>
      </rPr>
      <t>2.-</t>
    </r>
    <r>
      <rPr>
        <sz val="10"/>
        <color theme="1"/>
        <rFont val="Arial Narrow"/>
      </rPr>
      <t xml:space="preserve"> Acciones de Personal.</t>
    </r>
  </si>
  <si>
    <r>
      <rPr>
        <b/>
        <sz val="9"/>
        <color theme="1"/>
        <rFont val="Century Schoolbook"/>
        <family val="1"/>
      </rPr>
      <t>1.-</t>
    </r>
    <r>
      <rPr>
        <sz val="10"/>
        <color theme="1"/>
        <rFont val="Arial Narrow"/>
      </rPr>
      <t xml:space="preserve"> Reporte de Convenios suscritos.</t>
    </r>
  </si>
  <si>
    <r>
      <rPr>
        <b/>
        <sz val="9"/>
        <color theme="1"/>
        <rFont val="Century Schoolbook"/>
        <family val="1"/>
      </rPr>
      <t>1.-</t>
    </r>
    <r>
      <rPr>
        <sz val="10"/>
        <color theme="1"/>
        <rFont val="Arial Narrow"/>
      </rPr>
      <t xml:space="preserve"> Reporte de Procesos de Contratación Pública Autorizados.</t>
    </r>
  </si>
  <si>
    <r>
      <rPr>
        <b/>
        <sz val="9"/>
        <color theme="1"/>
        <rFont val="Century Schoolbook"/>
        <family val="1"/>
      </rPr>
      <t>1.-</t>
    </r>
    <r>
      <rPr>
        <sz val="10"/>
        <color theme="1"/>
        <rFont val="Arial Narrow"/>
      </rPr>
      <t xml:space="preserve"> Reporte de Títulos Refrendados.</t>
    </r>
  </si>
  <si>
    <r>
      <rPr>
        <b/>
        <sz val="9"/>
        <color theme="1"/>
        <rFont val="Century Schoolbook"/>
        <family val="1"/>
      </rPr>
      <t>1.-</t>
    </r>
    <r>
      <rPr>
        <sz val="10"/>
        <color theme="1"/>
        <rFont val="Arial Narrow"/>
      </rPr>
      <t xml:space="preserve"> Reporte de Procesos Disciplinarios Gestionados.</t>
    </r>
  </si>
  <si>
    <r>
      <rPr>
        <b/>
        <sz val="9"/>
        <color theme="1"/>
        <rFont val="Century Schoolbook"/>
        <family val="1"/>
      </rPr>
      <t>1.-</t>
    </r>
    <r>
      <rPr>
        <sz val="10"/>
        <color theme="1"/>
        <rFont val="Arial Narrow"/>
      </rPr>
      <t xml:space="preserve"> Documentos que disponen ejecutar directrices para el cumplimiento de la planificación.</t>
    </r>
  </si>
  <si>
    <r>
      <rPr>
        <b/>
        <sz val="9"/>
        <color theme="1"/>
        <rFont val="Century Schoolbook"/>
        <family val="1"/>
      </rPr>
      <t>1.-</t>
    </r>
    <r>
      <rPr>
        <sz val="10"/>
        <color theme="1"/>
        <rFont val="Arial Narrow"/>
      </rPr>
      <t xml:space="preserve"> Resoluciones de Consejo Universitario.</t>
    </r>
  </si>
  <si>
    <r>
      <rPr>
        <b/>
        <sz val="9"/>
        <color theme="1"/>
        <rFont val="Century Schoolbook"/>
        <family val="1"/>
      </rPr>
      <t>1.-</t>
    </r>
    <r>
      <rPr>
        <sz val="10"/>
        <color theme="1"/>
        <rFont val="Arial Narrow"/>
      </rPr>
      <t xml:space="preserve"> Informe de Rendición de Cuentas emitido y subido al portal web del Consejo de Participación Ciudadana y Control.</t>
    </r>
  </si>
  <si>
    <r>
      <rPr>
        <b/>
        <sz val="9"/>
        <color theme="1"/>
        <rFont val="Century Schoolbook"/>
        <family val="1"/>
      </rPr>
      <t>1.-</t>
    </r>
    <r>
      <rPr>
        <sz val="10"/>
        <color theme="1"/>
        <rFont val="Arial Narrow"/>
      </rPr>
      <t xml:space="preserve"> Convocatorias a sesiones de trabajo.</t>
    </r>
  </si>
  <si>
    <r>
      <rPr>
        <b/>
        <sz val="9"/>
        <color theme="1"/>
        <rFont val="Century Schoolbook"/>
        <family val="1"/>
      </rPr>
      <t>1.-</t>
    </r>
    <r>
      <rPr>
        <sz val="10"/>
        <color theme="1"/>
        <rFont val="Arial Narrow"/>
      </rPr>
      <t xml:space="preserve"> Acciones de Personal.
</t>
    </r>
    <r>
      <rPr>
        <b/>
        <sz val="9"/>
        <color theme="1"/>
        <rFont val="Century Schoolbook"/>
        <family val="1"/>
      </rPr>
      <t>2.-</t>
    </r>
    <r>
      <rPr>
        <sz val="10"/>
        <color theme="1"/>
        <rFont val="Arial Narrow"/>
      </rPr>
      <t xml:space="preserve"> Oficios.
</t>
    </r>
    <r>
      <rPr>
        <b/>
        <sz val="9"/>
        <color theme="1"/>
        <rFont val="Century Schoolbook"/>
        <family val="1"/>
      </rPr>
      <t>3.-</t>
    </r>
    <r>
      <rPr>
        <sz val="10"/>
        <color theme="1"/>
        <rFont val="Arial Narrow"/>
      </rPr>
      <t xml:space="preserve"> Resoluciones Administrativas.</t>
    </r>
  </si>
  <si>
    <r>
      <rPr>
        <b/>
        <sz val="9"/>
        <color theme="1"/>
        <rFont val="Century Schoolbook"/>
        <family val="1"/>
      </rPr>
      <t>1.-</t>
    </r>
    <r>
      <rPr>
        <sz val="10"/>
        <color theme="1"/>
        <rFont val="Arial Narrow"/>
      </rPr>
      <t xml:space="preserve"> Acciones de Personal.
</t>
    </r>
    <r>
      <rPr>
        <b/>
        <sz val="9"/>
        <color theme="1"/>
        <rFont val="Century Schoolbook"/>
        <family val="1"/>
      </rPr>
      <t>2.-</t>
    </r>
    <r>
      <rPr>
        <sz val="10"/>
        <color theme="1"/>
        <rFont val="Arial Narrow"/>
      </rPr>
      <t xml:space="preserve"> Oficios.
</t>
    </r>
    <r>
      <rPr>
        <b/>
        <sz val="9"/>
        <color theme="1"/>
        <rFont val="Century Schoolbook"/>
        <family val="1"/>
      </rPr>
      <t>3.-</t>
    </r>
    <r>
      <rPr>
        <sz val="9"/>
        <color theme="1"/>
        <rFont val="Century Schoolbook"/>
        <family val="1"/>
      </rPr>
      <t xml:space="preserve"> </t>
    </r>
    <r>
      <rPr>
        <sz val="10"/>
        <color theme="1"/>
        <rFont val="Arial Narrow"/>
      </rPr>
      <t>Resoluciones Administrativas.</t>
    </r>
  </si>
  <si>
    <r>
      <rPr>
        <b/>
        <sz val="9"/>
        <color theme="1"/>
        <rFont val="Century Schoolbook"/>
        <family val="1"/>
      </rPr>
      <t>1.-</t>
    </r>
    <r>
      <rPr>
        <sz val="10"/>
        <color theme="1"/>
        <rFont val="Arial Narrow"/>
      </rPr>
      <t xml:space="preserve"> Registro Consolidado de Sesiones de Consejo Universitario y demás órganos presididas por el Rector (actas).</t>
    </r>
  </si>
  <si>
    <r>
      <rPr>
        <b/>
        <sz val="9"/>
        <color theme="1"/>
        <rFont val="Century Schoolbook"/>
        <family val="1"/>
      </rPr>
      <t>1.-</t>
    </r>
    <r>
      <rPr>
        <sz val="10"/>
        <color theme="1"/>
        <rFont val="Arial Narrow"/>
      </rPr>
      <t xml:space="preserve"> Informe de ejecución Presupuestaria a fecha corte de la evaluación del POA.</t>
    </r>
  </si>
  <si>
    <r>
      <rPr>
        <sz val="11"/>
        <color theme="1"/>
        <rFont val="Arial Narrow"/>
        <family val="2"/>
      </rPr>
      <t xml:space="preserve">FUENTE </t>
    </r>
    <r>
      <rPr>
        <sz val="11"/>
        <color theme="1"/>
        <rFont val="Century Schoolbook"/>
        <family val="1"/>
      </rPr>
      <t>1</t>
    </r>
  </si>
  <si>
    <r>
      <rPr>
        <sz val="11"/>
        <color theme="1"/>
        <rFont val="Arial Narrow"/>
        <family val="2"/>
      </rPr>
      <t xml:space="preserve">FUENTE </t>
    </r>
    <r>
      <rPr>
        <sz val="11"/>
        <color theme="1"/>
        <rFont val="Century Schoolbook"/>
        <family val="1"/>
      </rPr>
      <t>2</t>
    </r>
  </si>
  <si>
    <r>
      <rPr>
        <sz val="11"/>
        <color theme="1"/>
        <rFont val="Arial Narrow"/>
        <family val="2"/>
      </rPr>
      <t xml:space="preserve">FUENTE </t>
    </r>
    <r>
      <rPr>
        <sz val="11"/>
        <color theme="1"/>
        <rFont val="Century Schoolbook"/>
        <family val="1"/>
      </rPr>
      <t>202</t>
    </r>
  </si>
  <si>
    <r>
      <rPr>
        <sz val="11"/>
        <color theme="1"/>
        <rFont val="Arial Narrow"/>
        <family val="2"/>
      </rPr>
      <t xml:space="preserve">FUENTE </t>
    </r>
    <r>
      <rPr>
        <sz val="11"/>
        <color theme="1"/>
        <rFont val="Century Schoolbook"/>
        <family val="1"/>
      </rPr>
      <t>3</t>
    </r>
  </si>
  <si>
    <r>
      <rPr>
        <sz val="11"/>
        <color theme="1"/>
        <rFont val="Century Schoolbook"/>
        <family val="1"/>
      </rPr>
      <t>51</t>
    </r>
    <r>
      <rPr>
        <sz val="11"/>
        <color theme="1"/>
        <rFont val="Arial Narrow"/>
        <family val="2"/>
      </rPr>
      <t xml:space="preserve"> Egresos en Personal</t>
    </r>
  </si>
  <si>
    <r>
      <rPr>
        <sz val="11"/>
        <color rgb="FF000000"/>
        <rFont val="Century Schoolbook"/>
        <family val="1"/>
      </rPr>
      <t>53</t>
    </r>
    <r>
      <rPr>
        <sz val="11"/>
        <color rgb="FF000000"/>
        <rFont val="Arial Narrow"/>
        <family val="2"/>
      </rPr>
      <t xml:space="preserve"> Bienes y Servicios de Consumo</t>
    </r>
  </si>
  <si>
    <r>
      <rPr>
        <sz val="11"/>
        <color rgb="FF000000"/>
        <rFont val="Century Schoolbook"/>
        <family val="1"/>
      </rPr>
      <t>57</t>
    </r>
    <r>
      <rPr>
        <sz val="11"/>
        <color rgb="FF000000"/>
        <rFont val="Arial Narrow"/>
        <family val="2"/>
      </rPr>
      <t xml:space="preserve"> Otros Egresos Corrientes</t>
    </r>
  </si>
  <si>
    <r>
      <rPr>
        <sz val="11"/>
        <color rgb="FF000000"/>
        <rFont val="Century Schoolbook"/>
        <family val="1"/>
      </rPr>
      <t>58</t>
    </r>
    <r>
      <rPr>
        <sz val="11"/>
        <color rgb="FF000000"/>
        <rFont val="Arial Narrow"/>
        <family val="2"/>
      </rPr>
      <t xml:space="preserve"> Transferencias o Donaciones Corrientes </t>
    </r>
  </si>
  <si>
    <r>
      <rPr>
        <sz val="11"/>
        <color rgb="FF000000"/>
        <rFont val="Century Schoolbook"/>
        <family val="1"/>
      </rPr>
      <t>71</t>
    </r>
    <r>
      <rPr>
        <sz val="11"/>
        <color rgb="FF000000"/>
        <rFont val="Arial Narrow"/>
        <family val="2"/>
      </rPr>
      <t xml:space="preserve"> Egresos en Personal para Inversión </t>
    </r>
  </si>
  <si>
    <r>
      <rPr>
        <sz val="11"/>
        <color rgb="FF000000"/>
        <rFont val="Century Schoolbook"/>
        <family val="1"/>
      </rPr>
      <t>73</t>
    </r>
    <r>
      <rPr>
        <sz val="11"/>
        <color rgb="FF000000"/>
        <rFont val="Arial Narrow"/>
        <family val="2"/>
      </rPr>
      <t xml:space="preserve"> Bienes y Servicios para Inversión </t>
    </r>
  </si>
  <si>
    <r>
      <rPr>
        <sz val="11"/>
        <color rgb="FF000000"/>
        <rFont val="Century Schoolbook"/>
        <family val="1"/>
      </rPr>
      <t>84</t>
    </r>
    <r>
      <rPr>
        <sz val="11"/>
        <color rgb="FF000000"/>
        <rFont val="Arial Narrow"/>
        <family val="2"/>
      </rPr>
      <t xml:space="preserve"> Bienes de Larga Duración</t>
    </r>
  </si>
  <si>
    <r>
      <rPr>
        <sz val="11"/>
        <color rgb="FF000000"/>
        <rFont val="Century Schoolbook"/>
        <family val="1"/>
      </rPr>
      <t>99</t>
    </r>
    <r>
      <rPr>
        <sz val="11"/>
        <color rgb="FF000000"/>
        <rFont val="Arial Narrow"/>
        <family val="2"/>
      </rPr>
      <t xml:space="preserve"> Otros Pasivos</t>
    </r>
  </si>
  <si>
    <r>
      <t xml:space="preserve">DPLAN: La necesidad en la partida </t>
    </r>
    <r>
      <rPr>
        <sz val="10"/>
        <color rgb="FF000000"/>
        <rFont val="Century Schoolbook"/>
        <family val="1"/>
      </rPr>
      <t>530704</t>
    </r>
    <r>
      <rPr>
        <sz val="10"/>
        <color rgb="FF000000"/>
        <rFont val="Arial Narrow"/>
        <family val="2"/>
      </rPr>
      <t xml:space="preserve">, se deberá ejecutar en coordinación con </t>
    </r>
    <r>
      <rPr>
        <sz val="10"/>
        <color rgb="FF000000"/>
        <rFont val="Century Schoolbook"/>
        <family val="1"/>
      </rPr>
      <t>17</t>
    </r>
    <r>
      <rPr>
        <sz val="10"/>
        <color rgb="FF000000"/>
        <rFont val="Arial Narrow"/>
        <family val="2"/>
      </rPr>
      <t>. DTIC, para articular el proceso técnico y presupuestario.</t>
    </r>
  </si>
  <si>
    <r>
      <t xml:space="preserve">DPLAN: La necesidad en la partida </t>
    </r>
    <r>
      <rPr>
        <sz val="10"/>
        <color rgb="FF000000"/>
        <rFont val="Century Schoolbook"/>
        <family val="1"/>
      </rPr>
      <t>840107</t>
    </r>
    <r>
      <rPr>
        <sz val="10"/>
        <color rgb="FF000000"/>
        <rFont val="Arial Narrow"/>
        <family val="2"/>
      </rPr>
      <t xml:space="preserve">, se deberá ejecutar en coordinación con </t>
    </r>
    <r>
      <rPr>
        <sz val="10"/>
        <color rgb="FF000000"/>
        <rFont val="Century Schoolbook"/>
        <family val="1"/>
      </rPr>
      <t>17</t>
    </r>
    <r>
      <rPr>
        <sz val="10"/>
        <color rgb="FF000000"/>
        <rFont val="Arial Narrow"/>
        <family val="2"/>
      </rPr>
      <t>. DTIC, para articular el proceso técnico y presupuestario.</t>
    </r>
  </si>
  <si>
    <r>
      <t xml:space="preserve">FUENTE </t>
    </r>
    <r>
      <rPr>
        <sz val="11"/>
        <color theme="1"/>
        <rFont val="Century Schoolbook"/>
        <family val="1"/>
      </rPr>
      <t>1</t>
    </r>
  </si>
  <si>
    <r>
      <rPr>
        <sz val="11"/>
        <color theme="1"/>
        <rFont val="&quot;Arial Narrow&quot;, Arial"/>
      </rPr>
      <t xml:space="preserve">FUENTE </t>
    </r>
    <r>
      <rPr>
        <sz val="11"/>
        <color theme="1"/>
        <rFont val="Century Schoolbook"/>
        <family val="1"/>
      </rPr>
      <t>2</t>
    </r>
  </si>
  <si>
    <r>
      <rPr>
        <sz val="11"/>
        <color theme="1"/>
        <rFont val="&quot;Arial Narrow&quot;, Arial"/>
      </rPr>
      <t xml:space="preserve">FUENTE </t>
    </r>
    <r>
      <rPr>
        <sz val="11"/>
        <color theme="1"/>
        <rFont val="Century Schoolbook"/>
        <family val="1"/>
      </rPr>
      <t>3</t>
    </r>
  </si>
  <si>
    <r>
      <rPr>
        <sz val="11"/>
        <color theme="1"/>
        <rFont val="&quot;Arial Narrow&quot;, Arial"/>
      </rPr>
      <t xml:space="preserve">FUENTE </t>
    </r>
    <r>
      <rPr>
        <sz val="11"/>
        <color theme="1"/>
        <rFont val="Century Schoolbook"/>
        <family val="1"/>
      </rPr>
      <t>202</t>
    </r>
  </si>
  <si>
    <r>
      <rPr>
        <sz val="11"/>
        <color theme="1"/>
        <rFont val="Century Schoolbook"/>
        <family val="1"/>
      </rPr>
      <t>51</t>
    </r>
    <r>
      <rPr>
        <sz val="11"/>
        <color theme="1"/>
        <rFont val="&quot;Arial Narrow&quot;"/>
      </rPr>
      <t xml:space="preserve"> Egresos en Personal</t>
    </r>
  </si>
  <si>
    <r>
      <rPr>
        <sz val="11"/>
        <color rgb="FF000000"/>
        <rFont val="Century Schoolbook"/>
        <family val="1"/>
      </rPr>
      <t>53</t>
    </r>
    <r>
      <rPr>
        <sz val="11"/>
        <color rgb="FF000000"/>
        <rFont val="&quot;Arial Narrow&quot;, Arial"/>
      </rPr>
      <t xml:space="preserve"> Bienes y Servicios de Consumo</t>
    </r>
  </si>
  <si>
    <r>
      <rPr>
        <sz val="11"/>
        <color rgb="FF000000"/>
        <rFont val="Century Schoolbook"/>
        <family val="1"/>
      </rPr>
      <t>57</t>
    </r>
    <r>
      <rPr>
        <sz val="11"/>
        <color rgb="FF000000"/>
        <rFont val="&quot;Arial Narrow&quot;, Arial"/>
      </rPr>
      <t xml:space="preserve"> Otros Egresos Corrientes</t>
    </r>
  </si>
  <si>
    <r>
      <rPr>
        <sz val="11"/>
        <color rgb="FF000000"/>
        <rFont val="Century Schoolbook"/>
        <family val="1"/>
      </rPr>
      <t>58</t>
    </r>
    <r>
      <rPr>
        <sz val="11"/>
        <color rgb="FF000000"/>
        <rFont val="&quot;Arial Narrow&quot;, Arial"/>
      </rPr>
      <t xml:space="preserve"> Transferencias o Donaciones Corrientes </t>
    </r>
  </si>
  <si>
    <r>
      <rPr>
        <sz val="11"/>
        <color rgb="FF000000"/>
        <rFont val="Century Schoolbook"/>
        <family val="1"/>
      </rPr>
      <t>71</t>
    </r>
    <r>
      <rPr>
        <sz val="11"/>
        <color rgb="FF000000"/>
        <rFont val="&quot;Arial Narrow&quot;, Arial"/>
      </rPr>
      <t xml:space="preserve"> Egresos en Personal para Inversión </t>
    </r>
  </si>
  <si>
    <r>
      <rPr>
        <sz val="11"/>
        <color rgb="FF000000"/>
        <rFont val="Century Schoolbook"/>
        <family val="1"/>
      </rPr>
      <t>73</t>
    </r>
    <r>
      <rPr>
        <sz val="11"/>
        <color rgb="FF000000"/>
        <rFont val="&quot;Arial Narrow&quot;, Arial"/>
      </rPr>
      <t xml:space="preserve"> Bienes y Servicios para Inversión </t>
    </r>
  </si>
  <si>
    <r>
      <rPr>
        <sz val="11"/>
        <color rgb="FF000000"/>
        <rFont val="Century Schoolbook"/>
        <family val="1"/>
      </rPr>
      <t>84</t>
    </r>
    <r>
      <rPr>
        <sz val="11"/>
        <color rgb="FF000000"/>
        <rFont val="&quot;Arial Narrow&quot;, Arial"/>
      </rPr>
      <t xml:space="preserve"> Bienes de Larga Duración</t>
    </r>
  </si>
  <si>
    <r>
      <rPr>
        <sz val="11"/>
        <color rgb="FF000000"/>
        <rFont val="Century Schoolbook"/>
        <family val="1"/>
      </rPr>
      <t>99</t>
    </r>
    <r>
      <rPr>
        <sz val="11"/>
        <color rgb="FF000000"/>
        <rFont val="&quot;Arial Narrow&quot;, Arial"/>
      </rPr>
      <t xml:space="preserve"> Otros Pasivos</t>
    </r>
  </si>
  <si>
    <r>
      <rPr>
        <b/>
        <sz val="9"/>
        <color theme="1"/>
        <rFont val="Century Schoolbook"/>
        <family val="1"/>
      </rPr>
      <t>1.-</t>
    </r>
    <r>
      <rPr>
        <sz val="10"/>
        <color theme="1"/>
        <rFont val="Arial Narrow"/>
      </rPr>
      <t xml:space="preserve"> Registro de Revisión Proyectos de la normativa jurídica interna.</t>
    </r>
  </si>
  <si>
    <r>
      <rPr>
        <b/>
        <sz val="9"/>
        <color theme="1"/>
        <rFont val="Century Schoolbook"/>
        <family val="1"/>
      </rPr>
      <t>1.-</t>
    </r>
    <r>
      <rPr>
        <sz val="10"/>
        <color theme="1"/>
        <rFont val="Arial Narrow"/>
      </rPr>
      <t xml:space="preserve"> Receptar el Oficio o expediente para la elaboración del Contrato.
</t>
    </r>
    <r>
      <rPr>
        <b/>
        <sz val="9"/>
        <color theme="1"/>
        <rFont val="Century Schoolbook"/>
        <family val="1"/>
      </rPr>
      <t>2.-</t>
    </r>
    <r>
      <rPr>
        <sz val="10"/>
        <color theme="1"/>
        <rFont val="Arial Narrow"/>
      </rPr>
      <t xml:space="preserve"> Disponer la personas que realizará los contratos (Arriendo, Bienes y Servicios, Consultoría, Obras).
</t>
    </r>
    <r>
      <rPr>
        <b/>
        <sz val="9"/>
        <color theme="1"/>
        <rFont val="Century Schoolbook"/>
        <family val="1"/>
      </rPr>
      <t>3.-</t>
    </r>
    <r>
      <rPr>
        <sz val="10"/>
        <color theme="1"/>
        <rFont val="Arial Narrow"/>
      </rPr>
      <t xml:space="preserve"> Revisar la información recibida.
</t>
    </r>
    <r>
      <rPr>
        <b/>
        <sz val="9"/>
        <color theme="1"/>
        <rFont val="Century Schoolbook"/>
        <family val="1"/>
      </rPr>
      <t>4.-</t>
    </r>
    <r>
      <rPr>
        <sz val="10"/>
        <color theme="1"/>
        <rFont val="Arial Narrow"/>
      </rPr>
      <t xml:space="preserve"> Realizar el contrato respectivo.
</t>
    </r>
    <r>
      <rPr>
        <b/>
        <sz val="9"/>
        <color theme="1"/>
        <rFont val="Century Schoolbook"/>
        <family val="1"/>
      </rPr>
      <t>5.-</t>
    </r>
    <r>
      <rPr>
        <sz val="10"/>
        <color theme="1"/>
        <rFont val="Arial Narrow"/>
      </rPr>
      <t xml:space="preserve"> Aprobar los contratos para la suscripción de las partes.
</t>
    </r>
    <r>
      <rPr>
        <b/>
        <sz val="9"/>
        <color theme="1"/>
        <rFont val="Century Schoolbook"/>
        <family val="1"/>
      </rPr>
      <t>6.-</t>
    </r>
    <r>
      <rPr>
        <sz val="10"/>
        <color theme="1"/>
        <rFont val="Arial Narrow"/>
      </rPr>
      <t xml:space="preserve"> Enviar contratos para firma del Rector.
</t>
    </r>
    <r>
      <rPr>
        <b/>
        <sz val="9"/>
        <color theme="1"/>
        <rFont val="Century Schoolbook"/>
        <family val="1"/>
      </rPr>
      <t>7.-</t>
    </r>
    <r>
      <rPr>
        <sz val="10"/>
        <color theme="1"/>
        <rFont val="Arial Narrow"/>
      </rPr>
      <t xml:space="preserve"> Realizar el correspondiente oficio para enviar contrato a los diferentes departamentos una vez suscritos.</t>
    </r>
  </si>
  <si>
    <r>
      <rPr>
        <b/>
        <sz val="9"/>
        <color theme="1"/>
        <rFont val="Century Schoolbook"/>
        <family val="1"/>
      </rPr>
      <t>1.-</t>
    </r>
    <r>
      <rPr>
        <sz val="10"/>
        <color theme="1"/>
        <rFont val="Arial Narrow"/>
      </rPr>
      <t xml:space="preserve"> Receptar Oficios con petición de informes de procesos contractuales.
</t>
    </r>
    <r>
      <rPr>
        <b/>
        <sz val="9"/>
        <color theme="1"/>
        <rFont val="Century Schoolbook"/>
        <family val="1"/>
      </rPr>
      <t>2.-</t>
    </r>
    <r>
      <rPr>
        <sz val="10"/>
        <color theme="1"/>
        <rFont val="Arial Narrow"/>
      </rPr>
      <t xml:space="preserve"> Disponer la persona encargada de emitir el correspondiente informe.
</t>
    </r>
    <r>
      <rPr>
        <b/>
        <sz val="9"/>
        <color theme="1"/>
        <rFont val="Century Schoolbook"/>
        <family val="1"/>
      </rPr>
      <t>3.-</t>
    </r>
    <r>
      <rPr>
        <sz val="10"/>
        <color theme="1"/>
        <rFont val="Arial Narrow"/>
      </rPr>
      <t xml:space="preserve"> Distribuir entre el personal las asignaciones realizadas por el procurador.
</t>
    </r>
    <r>
      <rPr>
        <b/>
        <sz val="9"/>
        <color theme="1"/>
        <rFont val="Century Schoolbook"/>
        <family val="1"/>
      </rPr>
      <t>4.-</t>
    </r>
    <r>
      <rPr>
        <sz val="10"/>
        <color theme="1"/>
        <rFont val="Arial Narrow"/>
      </rPr>
      <t xml:space="preserve"> Emitir el informe sobre los procesos contractuales.
</t>
    </r>
    <r>
      <rPr>
        <b/>
        <sz val="9"/>
        <color theme="1"/>
        <rFont val="Century Schoolbook"/>
        <family val="1"/>
      </rPr>
      <t>5.-</t>
    </r>
    <r>
      <rPr>
        <sz val="10"/>
        <color theme="1"/>
        <rFont val="Arial Narrow"/>
      </rPr>
      <t xml:space="preserve"> Suscribir el informe sobre procesos contractuales.</t>
    </r>
  </si>
  <si>
    <r>
      <rPr>
        <b/>
        <sz val="9"/>
        <color theme="1"/>
        <rFont val="Century Schoolbook"/>
        <family val="1"/>
      </rPr>
      <t>1.-</t>
    </r>
    <r>
      <rPr>
        <sz val="10"/>
        <color theme="1"/>
        <rFont val="Arial Narrow"/>
      </rPr>
      <t xml:space="preserve"> Recibir la resolución emitida por consejo universitario para la elaboración de convenios de ayudas económicas, o el oficio solicitando la elaboración de convenio de pago.
</t>
    </r>
    <r>
      <rPr>
        <b/>
        <sz val="9"/>
        <color theme="1"/>
        <rFont val="Century Schoolbook"/>
        <family val="1"/>
      </rPr>
      <t>2.-</t>
    </r>
    <r>
      <rPr>
        <sz val="10"/>
        <color theme="1"/>
        <rFont val="Arial Narrow"/>
      </rPr>
      <t xml:space="preserve"> Disponer la persona encargada de la elaboración de convenios.
</t>
    </r>
    <r>
      <rPr>
        <b/>
        <sz val="9"/>
        <color theme="1"/>
        <rFont val="Century Schoolbook"/>
        <family val="1"/>
      </rPr>
      <t>3.-</t>
    </r>
    <r>
      <rPr>
        <sz val="10"/>
        <color theme="1"/>
        <rFont val="Arial Narrow"/>
      </rPr>
      <t xml:space="preserve"> Distribuir entre el personal las asignaciones realizadas por el procurador.
</t>
    </r>
    <r>
      <rPr>
        <b/>
        <sz val="9"/>
        <color theme="1"/>
        <rFont val="Century Schoolbook"/>
        <family val="1"/>
      </rPr>
      <t>4.-</t>
    </r>
    <r>
      <rPr>
        <sz val="10"/>
        <color theme="1"/>
        <rFont val="Arial Narrow"/>
      </rPr>
      <t xml:space="preserve"> Receptar la documentación necesaria para la elaboración de los convenios.
</t>
    </r>
    <r>
      <rPr>
        <b/>
        <sz val="9"/>
        <color theme="1"/>
        <rFont val="Century Schoolbook"/>
        <family val="1"/>
      </rPr>
      <t>5.-</t>
    </r>
    <r>
      <rPr>
        <sz val="10"/>
        <color theme="1"/>
        <rFont val="Arial Narrow"/>
      </rPr>
      <t xml:space="preserve"> Elaborar los convenios respectivos.
</t>
    </r>
    <r>
      <rPr>
        <b/>
        <sz val="9"/>
        <color theme="1"/>
        <rFont val="Century Schoolbook"/>
        <family val="1"/>
      </rPr>
      <t>6.-</t>
    </r>
    <r>
      <rPr>
        <sz val="10"/>
        <color theme="1"/>
        <rFont val="Arial Narrow"/>
      </rPr>
      <t xml:space="preserve"> Aprobar los convenios para la suscripción de las partes.
</t>
    </r>
    <r>
      <rPr>
        <b/>
        <sz val="9"/>
        <color theme="1"/>
        <rFont val="Century Schoolbook"/>
        <family val="1"/>
      </rPr>
      <t>7.-</t>
    </r>
    <r>
      <rPr>
        <sz val="10"/>
        <color theme="1"/>
        <rFont val="Arial Narrow"/>
      </rPr>
      <t xml:space="preserve"> Remitir las correspondientes letras de cambio firmadas por los beneficiarios y convenios a la unidad correspondiente.</t>
    </r>
  </si>
  <si>
    <r>
      <rPr>
        <b/>
        <sz val="9"/>
        <color theme="1"/>
        <rFont val="Century Schoolbook"/>
        <family val="1"/>
      </rPr>
      <t>1.-</t>
    </r>
    <r>
      <rPr>
        <sz val="10"/>
        <color theme="1"/>
        <rFont val="Arial Narrow"/>
      </rPr>
      <t xml:space="preserve"> Registro de informes sobre procesos precontractuales y contractuales.</t>
    </r>
  </si>
  <si>
    <r>
      <rPr>
        <b/>
        <sz val="9"/>
        <color theme="1"/>
        <rFont val="Century Schoolbook"/>
        <family val="1"/>
      </rPr>
      <t>1.-</t>
    </r>
    <r>
      <rPr>
        <sz val="10"/>
        <color theme="1"/>
        <rFont val="Arial Narrow"/>
      </rPr>
      <t xml:space="preserve"> Registro de los procesos judiciales y constitucionales representado.</t>
    </r>
  </si>
  <si>
    <r>
      <rPr>
        <b/>
        <sz val="9"/>
        <color theme="1"/>
        <rFont val="Century Schoolbook"/>
        <family val="1"/>
      </rPr>
      <t>1.-</t>
    </r>
    <r>
      <rPr>
        <sz val="10"/>
        <color theme="1"/>
        <rFont val="Arial Narrow"/>
      </rPr>
      <t xml:space="preserve"> Recibir las demandas realizadas en contra de la institución.
</t>
    </r>
    <r>
      <rPr>
        <b/>
        <sz val="9"/>
        <color theme="1"/>
        <rFont val="Century Schoolbook"/>
        <family val="1"/>
      </rPr>
      <t>2.-</t>
    </r>
    <r>
      <rPr>
        <sz val="10"/>
        <color theme="1"/>
        <rFont val="Arial Narrow"/>
      </rPr>
      <t xml:space="preserve"> Disponer se elabore el escrito de autorización de los abogados que realizan la defensa de los intereses de la institución.
</t>
    </r>
    <r>
      <rPr>
        <b/>
        <sz val="9"/>
        <color theme="1"/>
        <rFont val="Century Schoolbook"/>
        <family val="1"/>
      </rPr>
      <t>3.-</t>
    </r>
    <r>
      <rPr>
        <sz val="10"/>
        <color theme="1"/>
        <rFont val="Arial Narrow"/>
      </rPr>
      <t xml:space="preserve"> Solicitar a los departamentos correspondientes informes, y demás documentación que permitan elaborar la defensa técnica de la institución.
</t>
    </r>
    <r>
      <rPr>
        <b/>
        <sz val="9"/>
        <color theme="1"/>
        <rFont val="Century Schoolbook"/>
        <family val="1"/>
      </rPr>
      <t>4.-</t>
    </r>
    <r>
      <rPr>
        <sz val="10"/>
        <color theme="1"/>
        <rFont val="Arial Narrow"/>
      </rPr>
      <t xml:space="preserve"> Elaborar el escrito de autorización en el proceso judicial recibido.
</t>
    </r>
    <r>
      <rPr>
        <b/>
        <sz val="9"/>
        <color theme="1"/>
        <rFont val="Century Schoolbook"/>
        <family val="1"/>
      </rPr>
      <t>5.-</t>
    </r>
    <r>
      <rPr>
        <sz val="10"/>
        <color theme="1"/>
        <rFont val="Arial Narrow"/>
      </rPr>
      <t xml:space="preserve"> Determinar directrices para la defensa en los juicios y realizar el análisis de la normativa que corresponde.
</t>
    </r>
    <r>
      <rPr>
        <b/>
        <sz val="9"/>
        <color theme="1"/>
        <rFont val="Century Schoolbook"/>
        <family val="1"/>
      </rPr>
      <t>6.-</t>
    </r>
    <r>
      <rPr>
        <sz val="10"/>
        <color theme="1"/>
        <rFont val="Arial Narrow"/>
      </rPr>
      <t xml:space="preserve"> Coordinar la defensa con la Procuraduría General del estado para el patrocinio judicial y constitucional.
</t>
    </r>
    <r>
      <rPr>
        <b/>
        <sz val="9"/>
        <color theme="1"/>
        <rFont val="Century Schoolbook"/>
        <family val="1"/>
      </rPr>
      <t>7.-</t>
    </r>
    <r>
      <rPr>
        <sz val="10"/>
        <color theme="1"/>
        <rFont val="Arial Narrow"/>
      </rPr>
      <t xml:space="preserve"> Defender a la institución en las audiencias y en las diligencias dispuestas por la autoridad competente.</t>
    </r>
  </si>
  <si>
    <r>
      <rPr>
        <b/>
        <sz val="9"/>
        <color theme="1"/>
        <rFont val="Century Schoolbook"/>
        <family val="1"/>
      </rPr>
      <t>1.-</t>
    </r>
    <r>
      <rPr>
        <sz val="10"/>
        <color theme="1"/>
        <rFont val="Arial Narrow"/>
      </rPr>
      <t xml:space="preserve"> Recibir oficios de las diferentes facultades académicas donde expresan su consulta sobre la normativa vigente y entregar al procurador.
</t>
    </r>
    <r>
      <rPr>
        <b/>
        <sz val="9"/>
        <color theme="1"/>
        <rFont val="Century Schoolbook"/>
        <family val="1"/>
      </rPr>
      <t>2.-</t>
    </r>
    <r>
      <rPr>
        <sz val="10"/>
        <color theme="1"/>
        <rFont val="Arial Narrow"/>
      </rPr>
      <t xml:space="preserve"> Solicitar informe a las  facultades.
</t>
    </r>
    <r>
      <rPr>
        <b/>
        <sz val="9"/>
        <color theme="1"/>
        <rFont val="Century Schoolbook"/>
        <family val="1"/>
      </rPr>
      <t>3.-</t>
    </r>
    <r>
      <rPr>
        <sz val="10"/>
        <color theme="1"/>
        <rFont val="Arial Narrow"/>
      </rPr>
      <t xml:space="preserve"> Disponer la persona que realizará la absolución de consulta.
</t>
    </r>
    <r>
      <rPr>
        <b/>
        <sz val="9"/>
        <color theme="1"/>
        <rFont val="Century Schoolbook"/>
        <family val="1"/>
      </rPr>
      <t>4.-</t>
    </r>
    <r>
      <rPr>
        <sz val="10"/>
        <color theme="1"/>
        <rFont val="Arial Narrow"/>
      </rPr>
      <t xml:space="preserve"> Distribuir entre el personal las asignaciones realizadas por el procurador.
</t>
    </r>
    <r>
      <rPr>
        <b/>
        <sz val="9"/>
        <color theme="1"/>
        <rFont val="Century Schoolbook"/>
        <family val="1"/>
      </rPr>
      <t>5.-</t>
    </r>
    <r>
      <rPr>
        <sz val="10"/>
        <color theme="1"/>
        <rFont val="Arial Narrow"/>
      </rPr>
      <t xml:space="preserve"> Emitir pronunciamientos a las de Consejo Directivo y facultades académicas conforme a la ley.
</t>
    </r>
    <r>
      <rPr>
        <b/>
        <sz val="9"/>
        <color theme="1"/>
        <rFont val="Century Schoolbook"/>
        <family val="1"/>
      </rPr>
      <t>6.-</t>
    </r>
    <r>
      <rPr>
        <sz val="10"/>
        <color theme="1"/>
        <rFont val="Arial Narrow"/>
      </rPr>
      <t xml:space="preserve"> Suscribir pronunciamientos conforme a la ley.</t>
    </r>
  </si>
  <si>
    <r>
      <rPr>
        <b/>
        <sz val="9"/>
        <color theme="1"/>
        <rFont val="Century Schoolbook"/>
        <family val="1"/>
      </rPr>
      <t>1.-</t>
    </r>
    <r>
      <rPr>
        <sz val="10"/>
        <color theme="1"/>
        <rFont val="Arial Narrow"/>
      </rPr>
      <t xml:space="preserve"> Plan operativo anual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Evaluación del POA </t>
    </r>
    <r>
      <rPr>
        <sz val="10"/>
        <color theme="1"/>
        <rFont val="Century Schoolbook"/>
        <family val="1"/>
      </rPr>
      <t>2023</t>
    </r>
    <r>
      <rPr>
        <sz val="10"/>
        <color theme="1"/>
        <rFont val="Arial Narrow"/>
      </rPr>
      <t>.</t>
    </r>
  </si>
  <si>
    <r>
      <rPr>
        <b/>
        <sz val="9"/>
        <color theme="1"/>
        <rFont val="Century Schoolbook"/>
        <family val="1"/>
      </rPr>
      <t>1.-</t>
    </r>
    <r>
      <rPr>
        <sz val="10"/>
        <color theme="1"/>
        <rFont val="Arial Narrow"/>
      </rPr>
      <t xml:space="preserve"> inventario documental.</t>
    </r>
  </si>
  <si>
    <r>
      <rPr>
        <b/>
        <sz val="9"/>
        <color theme="1"/>
        <rFont val="Century Schoolbook"/>
        <family val="1"/>
      </rPr>
      <t>1.-</t>
    </r>
    <r>
      <rPr>
        <sz val="10"/>
        <color theme="1"/>
        <rFont val="Arial Narrow"/>
      </rPr>
      <t xml:space="preserve"> Recibir el oficio de solicitud del Plan Operativo Anual y Evaluación del POA.
</t>
    </r>
    <r>
      <rPr>
        <b/>
        <sz val="9"/>
        <color theme="1"/>
        <rFont val="Century Schoolbook"/>
        <family val="1"/>
      </rPr>
      <t>2.-</t>
    </r>
    <r>
      <rPr>
        <sz val="10"/>
        <color theme="1"/>
        <rFont val="Arial Narrow"/>
      </rPr>
      <t xml:space="preserve"> Disponer la persona que realizará el Plan Operativo Anual y/o Evaluación del POA.
</t>
    </r>
    <r>
      <rPr>
        <b/>
        <sz val="9"/>
        <color theme="1"/>
        <rFont val="Century Schoolbook"/>
        <family val="1"/>
      </rPr>
      <t>3.-</t>
    </r>
    <r>
      <rPr>
        <sz val="10"/>
        <color theme="1"/>
        <rFont val="Arial Narrow"/>
      </rPr>
      <t xml:space="preserve"> Realizar el Plan Operativo Anual y/o Evaluación del POA.
</t>
    </r>
    <r>
      <rPr>
        <b/>
        <sz val="9"/>
        <color theme="1"/>
        <rFont val="Century Schoolbook"/>
        <family val="1"/>
      </rPr>
      <t>4.-</t>
    </r>
    <r>
      <rPr>
        <sz val="10"/>
        <color theme="1"/>
        <rFont val="Arial Narrow"/>
      </rPr>
      <t xml:space="preserve"> Revisar el Plan Operativo Anual y/o Evaluación del POA realizado.
</t>
    </r>
    <r>
      <rPr>
        <b/>
        <sz val="9"/>
        <color theme="1"/>
        <rFont val="Century Schoolbook"/>
        <family val="1"/>
      </rPr>
      <t>5.-</t>
    </r>
    <r>
      <rPr>
        <sz val="10"/>
        <color theme="1"/>
        <rFont val="Arial Narrow"/>
      </rPr>
      <t xml:space="preserve"> Realizar el oficio respectivo para enviar el Plan Operativo Anual y/o Evaluación del POA.
</t>
    </r>
    <r>
      <rPr>
        <b/>
        <sz val="9"/>
        <color theme="1"/>
        <rFont val="Century Schoolbook"/>
        <family val="1"/>
      </rPr>
      <t>6.-</t>
    </r>
    <r>
      <rPr>
        <sz val="10"/>
        <color theme="1"/>
        <rFont val="Arial Narrow"/>
      </rPr>
      <t xml:space="preserve"> Suscribir el Oficio para remitir Plan Operativo Anual y/o Evaluación del POA.</t>
    </r>
  </si>
  <si>
    <r>
      <rPr>
        <b/>
        <sz val="9"/>
        <color theme="1"/>
        <rFont val="Century Schoolbook"/>
        <family val="1"/>
      </rPr>
      <t>1.-</t>
    </r>
    <r>
      <rPr>
        <sz val="10"/>
        <color theme="1"/>
        <rFont val="Arial Narrow"/>
      </rPr>
      <t xml:space="preserve"> Seleccionar y clasificar la documentación.
</t>
    </r>
    <r>
      <rPr>
        <b/>
        <sz val="9"/>
        <color theme="1"/>
        <rFont val="Century Schoolbook"/>
        <family val="1"/>
      </rPr>
      <t xml:space="preserve">2.- </t>
    </r>
    <r>
      <rPr>
        <sz val="10"/>
        <color theme="1"/>
        <rFont val="Arial Narrow"/>
      </rPr>
      <t xml:space="preserve">Describir la documentación según la norma ISADG.
</t>
    </r>
    <r>
      <rPr>
        <b/>
        <sz val="9"/>
        <color theme="1"/>
        <rFont val="Century Schoolbook"/>
        <family val="1"/>
      </rPr>
      <t>3.-</t>
    </r>
    <r>
      <rPr>
        <sz val="10"/>
        <color theme="1"/>
        <rFont val="Arial Narrow"/>
      </rPr>
      <t xml:space="preserve"> Preservar la documentación en las unidades de almacenamiento.</t>
    </r>
  </si>
  <si>
    <t>Ab. Anibal Campoverde Nivicela
PROCURADOR GENERAL
Ab. Andrea Márquez Sagal
ABOGADA 3
Ab. Jenniffer Álvarez Carrión
ABOGADA
Ab. Karina Rodríguez Romero
ABOGADA
Ab. Michel Quiñonez Rojas
Asistente Procuraduría</t>
  </si>
  <si>
    <t>Scanner dúplex</t>
  </si>
  <si>
    <t>Impresora dúplex multifunción</t>
  </si>
  <si>
    <t>Ab. Anibal Campoverde Nivicela
PROCURADOR GENERAL Ab. Karina Rodríguez Romero
ABOGADA
Ab. Michel Quiñonez Rojas
Asistente Procuraduría</t>
  </si>
  <si>
    <t>Ab. Anibal Campoverde Nivicela
PROCURADOR GENERAL
Ab. Andrea Márquez Sagal
ABOGADA 3
Ab. Michel Quiñonez Rojas
Asistente Procuraduría</t>
  </si>
  <si>
    <t>Ab. Anibal Campoverde Nivicela
PROCURADOR GENERAL Ab. Michel Quiñonez Rojas
Asistente Procuraduría</t>
  </si>
  <si>
    <t>Ab. Michel Quiñonez Rojas
Asistente Procuraduría</t>
  </si>
  <si>
    <r>
      <rPr>
        <b/>
        <sz val="10"/>
        <color rgb="FFFF0000"/>
        <rFont val="Arial Narrow"/>
      </rPr>
      <t>META ESTRATÉGICA</t>
    </r>
    <r>
      <rPr>
        <b/>
        <sz val="10"/>
        <color rgb="FF000000"/>
        <rFont val="Arial Narrow"/>
      </rPr>
      <t xml:space="preserve">
</t>
    </r>
    <r>
      <rPr>
        <b/>
        <sz val="9"/>
        <color rgb="FF000000"/>
        <rFont val="Century Schoolbook"/>
        <family val="1"/>
      </rPr>
      <t>1.-</t>
    </r>
    <r>
      <rPr>
        <sz val="10"/>
        <color rgb="FF000000"/>
        <rFont val="Arial Narrow"/>
      </rPr>
      <t xml:space="preserve"> Incrementar la efectividad de la gestión institucional a través de la elaboración y/o aplicación de los procedimientos y normativas institucionales.</t>
    </r>
  </si>
  <si>
    <r>
      <rPr>
        <b/>
        <sz val="10"/>
        <color rgb="FFFF0000"/>
        <rFont val="Arial Narrow"/>
      </rPr>
      <t>METAS OPERATIVAS</t>
    </r>
    <r>
      <rPr>
        <b/>
        <sz val="10"/>
        <color rgb="FF000000"/>
        <rFont val="Arial Narrow"/>
      </rPr>
      <t xml:space="preserve">
</t>
    </r>
    <r>
      <rPr>
        <b/>
        <sz val="9"/>
        <color rgb="FF000000"/>
        <rFont val="Century Schoolbook"/>
        <family val="1"/>
      </rPr>
      <t>1.-</t>
    </r>
    <r>
      <rPr>
        <sz val="10"/>
        <color rgb="FF000000"/>
        <rFont val="Arial Narrow"/>
      </rPr>
      <t xml:space="preserve"> Convocar y presidir el Consejo Universitario y demás organismos dispuestos por el Estatuto y Reglamentos de la Universidad.</t>
    </r>
  </si>
  <si>
    <r>
      <rPr>
        <b/>
        <sz val="9"/>
        <color rgb="FF000000"/>
        <rFont val="Century Schoolbook"/>
        <family val="1"/>
      </rPr>
      <t>2.-</t>
    </r>
    <r>
      <rPr>
        <sz val="10"/>
        <color rgb="FF000000"/>
        <rFont val="Arial Narrow"/>
      </rPr>
      <t xml:space="preserve"> Designar, remover, subrogar y encargar las funciones de las Autoridades Académicas como Decano y Subdecano, de conformidad con lo  dispuesto en el Estatuto.</t>
    </r>
  </si>
  <si>
    <r>
      <rPr>
        <b/>
        <sz val="9"/>
        <color rgb="FF000000"/>
        <rFont val="Century Schoolbook"/>
        <family val="1"/>
      </rPr>
      <t>3.-</t>
    </r>
    <r>
      <rPr>
        <sz val="10"/>
        <color rgb="FF000000"/>
        <rFont val="Arial Narrow"/>
      </rPr>
      <t xml:space="preserve"> Suscribir Nombramiento, Posesión y/o Remoción de Cargos Académicos y/o Administrativos.</t>
    </r>
  </si>
  <si>
    <r>
      <rPr>
        <b/>
        <sz val="9"/>
        <color rgb="FF000000"/>
        <rFont val="Century Schoolbook"/>
        <family val="1"/>
      </rPr>
      <t>4.-</t>
    </r>
    <r>
      <rPr>
        <sz val="10"/>
        <color rgb="FF000000"/>
        <rFont val="Arial Narrow"/>
      </rPr>
      <t xml:space="preserve"> Emitir directrices y lineamientos a los Vicerrectores para el ejercicio de sus funciones.</t>
    </r>
  </si>
  <si>
    <r>
      <rPr>
        <b/>
        <sz val="9"/>
        <color rgb="FF000000"/>
        <rFont val="Century Schoolbook"/>
        <family val="1"/>
      </rPr>
      <t>5.-</t>
    </r>
    <r>
      <rPr>
        <sz val="10"/>
        <color rgb="FF000000"/>
        <rFont val="Arial Narrow"/>
      </rPr>
      <t xml:space="preserve"> Emitir y difundir el Informe Anual de Rendición de Cuentas.</t>
    </r>
  </si>
  <si>
    <r>
      <rPr>
        <b/>
        <sz val="9"/>
        <color rgb="FF000000"/>
        <rFont val="Century Schoolbook"/>
        <family val="1"/>
      </rPr>
      <t>6.-</t>
    </r>
    <r>
      <rPr>
        <b/>
        <sz val="10"/>
        <color rgb="FF000000"/>
        <rFont val="Arial Narrow"/>
      </rPr>
      <t xml:space="preserve"> </t>
    </r>
    <r>
      <rPr>
        <sz val="10"/>
        <color rgb="FF000000"/>
        <rFont val="Arial Narrow"/>
      </rPr>
      <t>Presentar ante Consejo Universitario Proforma Presupuestaria y Reformas al Presupuesto; y propuestas de distribución de recurso de gasto no permanente provenientes de convenios de y otras fuentes externas.</t>
    </r>
  </si>
  <si>
    <r>
      <rPr>
        <b/>
        <sz val="9"/>
        <color rgb="FF000000"/>
        <rFont val="Century Schoolbook"/>
        <family val="1"/>
      </rPr>
      <t>7.-</t>
    </r>
    <r>
      <rPr>
        <sz val="10"/>
        <color rgb="FF000000"/>
        <rFont val="Arial Narrow"/>
      </rPr>
      <t xml:space="preserve"> Realizar la gestión para mejoras en la ejecución de la planificación institucional.</t>
    </r>
  </si>
  <si>
    <r>
      <rPr>
        <b/>
        <sz val="9"/>
        <color rgb="FF000000"/>
        <rFont val="Century Schoolbook"/>
        <family val="1"/>
      </rPr>
      <t>8.-</t>
    </r>
    <r>
      <rPr>
        <sz val="10"/>
        <color rgb="FF000000"/>
        <rFont val="Arial Narrow"/>
      </rPr>
      <t xml:space="preserve"> Gestionar procesos disciplinarios.</t>
    </r>
  </si>
  <si>
    <r>
      <rPr>
        <b/>
        <sz val="9"/>
        <color rgb="FF000000"/>
        <rFont val="Century Schoolbook"/>
        <family val="1"/>
      </rPr>
      <t>9.-</t>
    </r>
    <r>
      <rPr>
        <sz val="10"/>
        <color rgb="FF000000"/>
        <rFont val="Arial Narrow"/>
      </rPr>
      <t xml:space="preserve"> Gestionar procesos de refrendación de títulos.</t>
    </r>
  </si>
  <si>
    <r>
      <rPr>
        <b/>
        <sz val="9"/>
        <color rgb="FF000000"/>
        <rFont val="Century Schoolbook"/>
        <family val="1"/>
      </rPr>
      <t>10.-</t>
    </r>
    <r>
      <rPr>
        <sz val="10"/>
        <color rgb="FF000000"/>
        <rFont val="Arial Narrow"/>
      </rPr>
      <t xml:space="preserve"> Autorizar procesos de contratación pública.</t>
    </r>
  </si>
  <si>
    <r>
      <rPr>
        <b/>
        <sz val="9"/>
        <color rgb="FF000000"/>
        <rFont val="Century Schoolbook"/>
        <family val="1"/>
      </rPr>
      <t>11.-</t>
    </r>
    <r>
      <rPr>
        <sz val="10"/>
        <color rgb="FF000000"/>
        <rFont val="Arial Narrow"/>
      </rPr>
      <t xml:space="preserve"> Suscribir directamente convenios que no comprometan recursos económicos de la institución previo informe jurídico favorable y los convenios que si compromete recursos se suscribirá previa resolución de Consejo Universitario.</t>
    </r>
  </si>
  <si>
    <r>
      <rPr>
        <b/>
        <sz val="9"/>
        <color rgb="FF000000"/>
        <rFont val="Century Schoolbook"/>
        <family val="1"/>
      </rPr>
      <t>12.-</t>
    </r>
    <r>
      <rPr>
        <b/>
        <sz val="10"/>
        <color rgb="FF000000"/>
        <rFont val="Arial Narrow"/>
      </rPr>
      <t xml:space="preserve"> </t>
    </r>
    <r>
      <rPr>
        <sz val="10"/>
        <color rgb="FF000000"/>
        <rFont val="Arial Narrow"/>
      </rPr>
      <t>Autorizar la contratación del personal académico no titular ocasional, invitado y de apoyo académico, previa aplicación del procedimiento de selección y demás disposiciones que el Consejo Universitario apruebe para el efecto.</t>
    </r>
  </si>
  <si>
    <r>
      <rPr>
        <b/>
        <sz val="9"/>
        <color rgb="FF000000"/>
        <rFont val="Century Schoolbook"/>
        <family val="1"/>
      </rPr>
      <t>13.-</t>
    </r>
    <r>
      <rPr>
        <b/>
        <sz val="10"/>
        <color rgb="FF000000"/>
        <rFont val="Arial Narrow"/>
      </rPr>
      <t xml:space="preserve"> </t>
    </r>
    <r>
      <rPr>
        <sz val="10"/>
        <color rgb="FF000000"/>
        <rFont val="Arial Narrow"/>
      </rPr>
      <t>Autorizar permisos, licencias y/ o comisiones de conformidad con la ley, al personal académico no titular, personal de apoyo académico, así como a los servidores y trabajadores.</t>
    </r>
  </si>
  <si>
    <r>
      <rPr>
        <b/>
        <sz val="9"/>
        <color rgb="FF000000"/>
        <rFont val="Century Schoolbook"/>
        <family val="1"/>
      </rPr>
      <t>14.-</t>
    </r>
    <r>
      <rPr>
        <sz val="10"/>
        <color rgb="FF000000"/>
        <rFont val="Arial Narrow"/>
      </rPr>
      <t xml:space="preserve"> Adoptar decisiones oportunas para el buen gobierno institucional.</t>
    </r>
  </si>
  <si>
    <r>
      <rPr>
        <b/>
        <sz val="9"/>
        <color rgb="FF000000"/>
        <rFont val="Century Schoolbook"/>
        <family val="1"/>
      </rPr>
      <t>15.-</t>
    </r>
    <r>
      <rPr>
        <sz val="10"/>
        <color rgb="FF000000"/>
        <rFont val="Arial Narrow"/>
      </rPr>
      <t xml:space="preserve"> Entregar la Planificación Operativa Anual y Evaluación de la Planificación Operativa Anual.</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</si>
  <si>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Elaborar Pronunciamientos jurídicos.</t>
    </r>
  </si>
  <si>
    <r>
      <rPr>
        <b/>
        <sz val="9"/>
        <color theme="1"/>
        <rFont val="Century Schoolbook"/>
        <family val="1"/>
      </rPr>
      <t>2.-</t>
    </r>
    <r>
      <rPr>
        <sz val="10"/>
        <color theme="1"/>
        <rFont val="Arial Narrow"/>
      </rPr>
      <t xml:space="preserve"> Revisar Proyectos de la normativa jurídica interna.</t>
    </r>
  </si>
  <si>
    <r>
      <rPr>
        <b/>
        <sz val="9"/>
        <color theme="1"/>
        <rFont val="Century Schoolbook"/>
        <family val="1"/>
      </rPr>
      <t>3.-</t>
    </r>
    <r>
      <rPr>
        <sz val="10"/>
        <color theme="1"/>
        <rFont val="Arial Narrow"/>
      </rPr>
      <t xml:space="preserve"> Elaborar Contratos.</t>
    </r>
  </si>
  <si>
    <r>
      <rPr>
        <b/>
        <sz val="9"/>
        <color theme="1"/>
        <rFont val="Century Schoolbook"/>
        <family val="1"/>
      </rPr>
      <t>4.-</t>
    </r>
    <r>
      <rPr>
        <sz val="10"/>
        <color theme="1"/>
        <rFont val="Arial Narrow"/>
      </rPr>
      <t xml:space="preserve"> Emitir Informes sobre procesos contractuales.</t>
    </r>
  </si>
  <si>
    <r>
      <rPr>
        <b/>
        <sz val="9"/>
        <color theme="1"/>
        <rFont val="Century Schoolbook"/>
        <family val="1"/>
      </rPr>
      <t>5.-</t>
    </r>
    <r>
      <rPr>
        <sz val="10"/>
        <color theme="1"/>
        <rFont val="Arial Narrow"/>
      </rPr>
      <t xml:space="preserve"> Elaborar Convenios.</t>
    </r>
  </si>
  <si>
    <r>
      <rPr>
        <b/>
        <sz val="9"/>
        <color theme="1"/>
        <rFont val="Century Schoolbook"/>
        <family val="1"/>
      </rPr>
      <t>6.-</t>
    </r>
    <r>
      <rPr>
        <sz val="10"/>
        <color theme="1"/>
        <rFont val="Arial Narrow"/>
      </rPr>
      <t xml:space="preserve"> Representar en el Patrocinio judicial y constitucional de la UTMACH.</t>
    </r>
  </si>
  <si>
    <r>
      <rPr>
        <b/>
        <sz val="9"/>
        <color theme="1"/>
        <rFont val="Century Schoolbook"/>
        <family val="1"/>
      </rPr>
      <t>7.-</t>
    </r>
    <r>
      <rPr>
        <b/>
        <sz val="10"/>
        <color theme="1"/>
        <rFont val="Arial Narrow"/>
      </rPr>
      <t xml:space="preserve"> </t>
    </r>
    <r>
      <rPr>
        <sz val="10"/>
        <color theme="1"/>
        <rFont val="Arial Narrow"/>
      </rPr>
      <t>Unificar criterios jurídicos con Secretarios y Secretaria Abogados de las Facultades.</t>
    </r>
  </si>
  <si>
    <r>
      <rPr>
        <b/>
        <sz val="9"/>
        <color theme="1"/>
        <rFont val="Century Schoolbook"/>
        <family val="1"/>
      </rPr>
      <t>8.-</t>
    </r>
    <r>
      <rPr>
        <sz val="10"/>
        <color theme="1"/>
        <rFont val="Arial Narrow"/>
      </rPr>
      <t xml:space="preserve"> Entregar la Planificación Operativa Anual y Evaluación de la Planificación Operativa Anual.</t>
    </r>
  </si>
  <si>
    <r>
      <rPr>
        <b/>
        <sz val="9"/>
        <color theme="1"/>
        <rFont val="Century Schoolbook"/>
        <family val="1"/>
      </rPr>
      <t>9.-</t>
    </r>
    <r>
      <rPr>
        <sz val="10"/>
        <color theme="1"/>
        <rFont val="Arial Narrow"/>
      </rPr>
      <t xml:space="preserve"> Organizar el Archivo de Gestión.</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</si>
  <si>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Diseñar el Plan Anual de Comunicación Institucional.</t>
    </r>
  </si>
  <si>
    <r>
      <rPr>
        <b/>
        <sz val="9"/>
        <color theme="1"/>
        <rFont val="Century Schoolbook"/>
        <family val="1"/>
      </rPr>
      <t>2.-</t>
    </r>
    <r>
      <rPr>
        <sz val="10"/>
        <color theme="1"/>
        <rFont val="Arial Narrow"/>
      </rPr>
      <t xml:space="preserve"> Medir el nivel de posicionamiento y percepción de la imagen institucional.</t>
    </r>
  </si>
  <si>
    <r>
      <rPr>
        <b/>
        <sz val="9"/>
        <color theme="1"/>
        <rFont val="Century Schoolbook"/>
        <family val="1"/>
      </rPr>
      <t>3.-</t>
    </r>
    <r>
      <rPr>
        <sz val="10"/>
        <color theme="1"/>
        <rFont val="Arial Narrow"/>
      </rPr>
      <t xml:space="preserve"> Diseñar productos comunicacionales institucionales.</t>
    </r>
  </si>
  <si>
    <r>
      <rPr>
        <b/>
        <sz val="9"/>
        <color theme="1"/>
        <rFont val="Century Schoolbook"/>
        <family val="1"/>
      </rPr>
      <t>4.-</t>
    </r>
    <r>
      <rPr>
        <sz val="10"/>
        <color theme="1"/>
        <rFont val="Arial Narrow"/>
      </rPr>
      <t xml:space="preserve"> Cargar y organizar contenidos en el portal web institucional y otros medios digitales de difusión oficial.</t>
    </r>
  </si>
  <si>
    <r>
      <rPr>
        <b/>
        <sz val="9"/>
        <color theme="1"/>
        <rFont val="Century Schoolbook"/>
        <family val="1"/>
      </rPr>
      <t>5.-</t>
    </r>
    <r>
      <rPr>
        <sz val="10"/>
        <color theme="1"/>
        <rFont val="Arial Narrow"/>
      </rPr>
      <t xml:space="preserve"> Emitir informes de asesoría técnica a los procesos gobernantes.</t>
    </r>
  </si>
  <si>
    <r>
      <rPr>
        <b/>
        <sz val="9"/>
        <color theme="1"/>
        <rFont val="Century Schoolbook"/>
        <family val="1"/>
      </rPr>
      <t>6.-</t>
    </r>
    <r>
      <rPr>
        <sz val="10"/>
        <color theme="1"/>
        <rFont val="Arial Narrow"/>
      </rPr>
      <t xml:space="preserve"> Medir el nivel de la calidad y accesibilidad de la información difundida.</t>
    </r>
  </si>
  <si>
    <r>
      <rPr>
        <b/>
        <sz val="9"/>
        <color theme="1"/>
        <rFont val="Century Schoolbook"/>
        <family val="1"/>
      </rPr>
      <t>7.-</t>
    </r>
    <r>
      <rPr>
        <sz val="10"/>
        <color theme="1"/>
        <rFont val="Arial Narrow"/>
      </rPr>
      <t xml:space="preserve"> Entregar oportunamente la Planificación Operativa Anual y Evaluación de la Planificación Operativa Anual.</t>
    </r>
  </si>
  <si>
    <r>
      <rPr>
        <b/>
        <sz val="9"/>
        <color theme="1"/>
        <rFont val="Century Schoolbook"/>
        <family val="1"/>
      </rPr>
      <t>8.-</t>
    </r>
    <r>
      <rPr>
        <sz val="10"/>
        <color theme="1"/>
        <rFont val="Arial Narrow"/>
      </rPr>
      <t xml:space="preserve"> Organizar Archivo de Gestión.</t>
    </r>
  </si>
  <si>
    <t>N° de actividades ejecutadas en el Plan Anual de Comunicación Institucional diseñado.</t>
  </si>
  <si>
    <t>N° de personas encuestadas sobre la imagen institucional en la comunidad universitaria.</t>
  </si>
  <si>
    <t>N° de productos comunicacionales institucionales diseñados.</t>
  </si>
  <si>
    <t>N° de contenidos cargados en el portal web institucional y otros medios digitales de difusión.</t>
  </si>
  <si>
    <t>N° de informes de asesoría técnica a los proceso gobernantes emitidos.</t>
  </si>
  <si>
    <t>N° de personas informadas y con accesibilidad a la información difundida.</t>
  </si>
  <si>
    <t>N° de Planificaciones Operativas Anuales y Evaluaciones de la Planificación Anual presentada.</t>
  </si>
  <si>
    <t>N° de archivos de gestión organizados y registrados en el inventario documental.</t>
  </si>
  <si>
    <r>
      <rPr>
        <b/>
        <sz val="9"/>
        <color theme="1"/>
        <rFont val="Century Schoolbook"/>
        <family val="1"/>
      </rPr>
      <t>1.-</t>
    </r>
    <r>
      <rPr>
        <sz val="10"/>
        <color theme="1"/>
        <rFont val="Arial Narrow"/>
      </rPr>
      <t xml:space="preserve"> Planificar.
</t>
    </r>
    <r>
      <rPr>
        <b/>
        <sz val="9"/>
        <color theme="1"/>
        <rFont val="Century Schoolbook"/>
        <family val="1"/>
      </rPr>
      <t>2.-</t>
    </r>
    <r>
      <rPr>
        <sz val="10"/>
        <color theme="1"/>
        <rFont val="Arial Narrow"/>
      </rPr>
      <t xml:space="preserve"> Coordinar con dependencias.
</t>
    </r>
    <r>
      <rPr>
        <b/>
        <sz val="9"/>
        <color theme="1"/>
        <rFont val="Century Schoolbook"/>
        <family val="1"/>
      </rPr>
      <t>3.-</t>
    </r>
    <r>
      <rPr>
        <sz val="10"/>
        <color theme="1"/>
        <rFont val="Arial Narrow"/>
      </rPr>
      <t xml:space="preserve"> Recolectar información.
</t>
    </r>
    <r>
      <rPr>
        <b/>
        <sz val="9"/>
        <color theme="1"/>
        <rFont val="Century Schoolbook"/>
        <family val="1"/>
      </rPr>
      <t>4.-</t>
    </r>
    <r>
      <rPr>
        <sz val="10"/>
        <color theme="1"/>
        <rFont val="Arial Narrow"/>
      </rPr>
      <t xml:space="preserve"> Redactar plan.
</t>
    </r>
    <r>
      <rPr>
        <b/>
        <sz val="9"/>
        <color theme="1"/>
        <rFont val="Century Schoolbook"/>
        <family val="1"/>
      </rPr>
      <t>5.-</t>
    </r>
    <r>
      <rPr>
        <sz val="10"/>
        <color theme="1"/>
        <rFont val="Arial Narrow"/>
      </rPr>
      <t xml:space="preserve"> Socializar plan.
</t>
    </r>
    <r>
      <rPr>
        <b/>
        <sz val="9"/>
        <color theme="1"/>
        <rFont val="Century Schoolbook"/>
        <family val="1"/>
      </rPr>
      <t>6.-</t>
    </r>
    <r>
      <rPr>
        <sz val="10"/>
        <color theme="1"/>
        <rFont val="Arial Narrow"/>
      </rPr>
      <t xml:space="preserve"> Evaluar plan.</t>
    </r>
  </si>
  <si>
    <r>
      <rPr>
        <b/>
        <sz val="9"/>
        <color theme="1"/>
        <rFont val="Century Schoolbook"/>
        <family val="1"/>
      </rPr>
      <t>1.-</t>
    </r>
    <r>
      <rPr>
        <sz val="10"/>
        <color theme="1"/>
        <rFont val="Arial Narrow"/>
      </rPr>
      <t xml:space="preserve"> Plan de Comunicación Institucional publicado.</t>
    </r>
  </si>
  <si>
    <r>
      <rPr>
        <b/>
        <sz val="9"/>
        <color theme="1"/>
        <rFont val="Century Schoolbook"/>
        <family val="1"/>
      </rPr>
      <t>1.-</t>
    </r>
    <r>
      <rPr>
        <sz val="10"/>
        <color theme="1"/>
        <rFont val="Arial Narrow"/>
      </rPr>
      <t xml:space="preserve"> Informe anual de los resultados de la medición del Nivel del Posicionamiento y percepción de la imagen institucional.</t>
    </r>
  </si>
  <si>
    <r>
      <rPr>
        <b/>
        <sz val="9"/>
        <color theme="1"/>
        <rFont val="Century Schoolbook"/>
        <family val="1"/>
      </rPr>
      <t>1.-</t>
    </r>
    <r>
      <rPr>
        <sz val="10"/>
        <color theme="1"/>
        <rFont val="Arial Narrow"/>
      </rPr>
      <t xml:space="preserve"> Diseñar encuesta.
</t>
    </r>
    <r>
      <rPr>
        <b/>
        <sz val="9"/>
        <color theme="1"/>
        <rFont val="Century Schoolbook"/>
        <family val="1"/>
      </rPr>
      <t>2.-</t>
    </r>
    <r>
      <rPr>
        <sz val="10"/>
        <color theme="1"/>
        <rFont val="Arial Narrow"/>
      </rPr>
      <t xml:space="preserve"> Elaborar cuestionario.
</t>
    </r>
    <r>
      <rPr>
        <b/>
        <sz val="9"/>
        <color theme="1"/>
        <rFont val="Century Schoolbook"/>
        <family val="1"/>
      </rPr>
      <t>3.-</t>
    </r>
    <r>
      <rPr>
        <sz val="10"/>
        <color theme="1"/>
        <rFont val="Arial Narrow"/>
      </rPr>
      <t xml:space="preserve"> Aplicar prueba piloto.
</t>
    </r>
    <r>
      <rPr>
        <b/>
        <sz val="9"/>
        <color theme="1"/>
        <rFont val="Century Schoolbook"/>
        <family val="1"/>
      </rPr>
      <t>4.-</t>
    </r>
    <r>
      <rPr>
        <sz val="10"/>
        <color theme="1"/>
        <rFont val="Arial Narrow"/>
      </rPr>
      <t xml:space="preserve"> Redactar encuesta definitiva.
</t>
    </r>
    <r>
      <rPr>
        <b/>
        <sz val="9"/>
        <color theme="1"/>
        <rFont val="Century Schoolbook"/>
        <family val="1"/>
      </rPr>
      <t>5.-</t>
    </r>
    <r>
      <rPr>
        <sz val="10"/>
        <color theme="1"/>
        <rFont val="Arial Narrow"/>
      </rPr>
      <t xml:space="preserve"> Subir a sistema informático.
</t>
    </r>
    <r>
      <rPr>
        <b/>
        <sz val="9"/>
        <color theme="1"/>
        <rFont val="Century Schoolbook"/>
        <family val="1"/>
      </rPr>
      <t>6.-</t>
    </r>
    <r>
      <rPr>
        <sz val="10"/>
        <color theme="1"/>
        <rFont val="Arial Narrow"/>
      </rPr>
      <t xml:space="preserve"> Analizar resultados.</t>
    </r>
  </si>
  <si>
    <r>
      <rPr>
        <b/>
        <sz val="9"/>
        <color theme="1"/>
        <rFont val="Century Schoolbook"/>
        <family val="1"/>
      </rPr>
      <t>1.-</t>
    </r>
    <r>
      <rPr>
        <sz val="10"/>
        <color theme="1"/>
        <rFont val="Arial Narrow"/>
      </rPr>
      <t xml:space="preserve"> Reporte de productos comunicacionales entregados.</t>
    </r>
  </si>
  <si>
    <r>
      <rPr>
        <b/>
        <sz val="9"/>
        <color theme="1"/>
        <rFont val="Century Schoolbook"/>
        <family val="1"/>
      </rPr>
      <t>1.-</t>
    </r>
    <r>
      <rPr>
        <sz val="10"/>
        <color theme="1"/>
        <rFont val="Arial Narrow"/>
      </rPr>
      <t xml:space="preserve"> Planificar.
</t>
    </r>
    <r>
      <rPr>
        <b/>
        <sz val="9"/>
        <color theme="1"/>
        <rFont val="Century Schoolbook"/>
        <family val="1"/>
      </rPr>
      <t>2.-</t>
    </r>
    <r>
      <rPr>
        <sz val="10"/>
        <color theme="1"/>
        <rFont val="Arial Narrow"/>
      </rPr>
      <t xml:space="preserve"> Producir.
</t>
    </r>
    <r>
      <rPr>
        <b/>
        <sz val="9"/>
        <color theme="1"/>
        <rFont val="Century Schoolbook"/>
        <family val="1"/>
      </rPr>
      <t>3.-</t>
    </r>
    <r>
      <rPr>
        <sz val="10"/>
        <color theme="1"/>
        <rFont val="Arial Narrow"/>
      </rPr>
      <t xml:space="preserve"> Grabar o diseñar.
</t>
    </r>
    <r>
      <rPr>
        <b/>
        <sz val="9"/>
        <color theme="1"/>
        <rFont val="Century Schoolbook"/>
        <family val="1"/>
      </rPr>
      <t>4.-</t>
    </r>
    <r>
      <rPr>
        <sz val="10"/>
        <color theme="1"/>
        <rFont val="Arial Narrow"/>
      </rPr>
      <t xml:space="preserve"> Editar.
5.- Post producir.
6.- Difundir.</t>
    </r>
  </si>
  <si>
    <r>
      <rPr>
        <sz val="11"/>
        <color theme="1"/>
        <rFont val="Arial Narrow"/>
      </rPr>
      <t xml:space="preserve">FUENTE </t>
    </r>
    <r>
      <rPr>
        <sz val="11"/>
        <color theme="1"/>
        <rFont val="Century Schoolbook"/>
        <family val="1"/>
      </rPr>
      <t>1</t>
    </r>
  </si>
  <si>
    <r>
      <rPr>
        <sz val="11"/>
        <color theme="1"/>
        <rFont val="Arial Narrow"/>
      </rPr>
      <t xml:space="preserve">FUENTE </t>
    </r>
    <r>
      <rPr>
        <sz val="11"/>
        <color theme="1"/>
        <rFont val="Century Schoolbook"/>
        <family val="1"/>
      </rPr>
      <t>2</t>
    </r>
  </si>
  <si>
    <r>
      <rPr>
        <sz val="11"/>
        <color theme="1"/>
        <rFont val="Arial Narrow"/>
      </rPr>
      <t xml:space="preserve">FUENTE </t>
    </r>
    <r>
      <rPr>
        <sz val="11"/>
        <color theme="1"/>
        <rFont val="Century Schoolbook"/>
        <family val="1"/>
      </rPr>
      <t>3</t>
    </r>
  </si>
  <si>
    <r>
      <rPr>
        <sz val="11"/>
        <color theme="1"/>
        <rFont val="Arial Narrow"/>
      </rPr>
      <t xml:space="preserve">FUENTE </t>
    </r>
    <r>
      <rPr>
        <sz val="11"/>
        <color theme="1"/>
        <rFont val="Century Schoolbook"/>
        <family val="1"/>
      </rPr>
      <t>202</t>
    </r>
  </si>
  <si>
    <r>
      <rPr>
        <sz val="11"/>
        <color theme="1"/>
        <rFont val="Century Schoolbook"/>
        <family val="1"/>
      </rPr>
      <t>51</t>
    </r>
    <r>
      <rPr>
        <sz val="11"/>
        <color theme="1"/>
        <rFont val="Arial Narrow"/>
      </rPr>
      <t xml:space="preserve"> Egresos en Personal</t>
    </r>
  </si>
  <si>
    <r>
      <rPr>
        <sz val="11"/>
        <color rgb="FF000000"/>
        <rFont val="Century Schoolbook"/>
        <family val="1"/>
      </rPr>
      <t>53</t>
    </r>
    <r>
      <rPr>
        <sz val="11"/>
        <color rgb="FF000000"/>
        <rFont val="Arial Narrow"/>
      </rPr>
      <t xml:space="preserve"> Bienes y Servicios de Consumo</t>
    </r>
  </si>
  <si>
    <r>
      <rPr>
        <sz val="11"/>
        <color rgb="FF000000"/>
        <rFont val="Century Schoolbook"/>
        <family val="1"/>
      </rPr>
      <t>57</t>
    </r>
    <r>
      <rPr>
        <sz val="11"/>
        <color rgb="FF000000"/>
        <rFont val="Arial Narrow"/>
      </rPr>
      <t xml:space="preserve"> Otros Egresos Corrientes</t>
    </r>
  </si>
  <si>
    <r>
      <rPr>
        <sz val="11"/>
        <color rgb="FF000000"/>
        <rFont val="Century Schoolbook"/>
        <family val="1"/>
      </rPr>
      <t>58</t>
    </r>
    <r>
      <rPr>
        <sz val="11"/>
        <color rgb="FF000000"/>
        <rFont val="Arial Narrow"/>
      </rPr>
      <t xml:space="preserve"> Transferencias o Donaciones Corrientes </t>
    </r>
  </si>
  <si>
    <r>
      <rPr>
        <sz val="11"/>
        <color rgb="FF000000"/>
        <rFont val="Century Schoolbook"/>
        <family val="1"/>
      </rPr>
      <t>71</t>
    </r>
    <r>
      <rPr>
        <sz val="11"/>
        <color rgb="FF000000"/>
        <rFont val="Arial Narrow"/>
      </rPr>
      <t xml:space="preserve"> Egresos en Personal para Inversión </t>
    </r>
  </si>
  <si>
    <r>
      <rPr>
        <sz val="11"/>
        <color rgb="FF000000"/>
        <rFont val="Century Schoolbook"/>
        <family val="1"/>
      </rPr>
      <t>73</t>
    </r>
    <r>
      <rPr>
        <sz val="11"/>
        <color rgb="FF000000"/>
        <rFont val="Arial Narrow"/>
      </rPr>
      <t xml:space="preserve"> Bienes y Servicios para Inversión </t>
    </r>
  </si>
  <si>
    <r>
      <rPr>
        <sz val="11"/>
        <color rgb="FF000000"/>
        <rFont val="Century Schoolbook"/>
        <family val="1"/>
      </rPr>
      <t>84</t>
    </r>
    <r>
      <rPr>
        <sz val="11"/>
        <color rgb="FF000000"/>
        <rFont val="Arial Narrow"/>
      </rPr>
      <t xml:space="preserve"> Bienes de Larga Duración</t>
    </r>
  </si>
  <si>
    <r>
      <rPr>
        <sz val="11"/>
        <color rgb="FF000000"/>
        <rFont val="Century Schoolbook"/>
        <family val="1"/>
      </rPr>
      <t>99</t>
    </r>
    <r>
      <rPr>
        <sz val="11"/>
        <color rgb="FF000000"/>
        <rFont val="Arial Narrow"/>
      </rPr>
      <t xml:space="preserve"> Otros Pasivos</t>
    </r>
  </si>
  <si>
    <r>
      <t xml:space="preserve">Unidad </t>
    </r>
    <r>
      <rPr>
        <sz val="10"/>
        <color indexed="8"/>
        <rFont val="Cambria"/>
        <family val="1"/>
      </rPr>
      <t>(metros, litros etc.)</t>
    </r>
  </si>
  <si>
    <t>Clasificador Central de Productos</t>
  </si>
  <si>
    <t>N° de carpetas Archivadas registradas en el inventario documental.</t>
  </si>
  <si>
    <t>N° de los procesos judiciales y constitucionales patrocinados.</t>
  </si>
  <si>
    <t>N° de contratos elaborados.</t>
  </si>
  <si>
    <t>N° de Proyectos de la normativa jurídica interna revisadas.</t>
  </si>
  <si>
    <t>N° de Pronunciamientos jurídicos elaborados.</t>
  </si>
  <si>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Emitir convocatorias para sesiones del Consejo Universitario.</t>
    </r>
  </si>
  <si>
    <r>
      <rPr>
        <b/>
        <sz val="9"/>
        <color theme="1"/>
        <rFont val="Century Schoolbook"/>
        <family val="1"/>
      </rPr>
      <t>2.-</t>
    </r>
    <r>
      <rPr>
        <sz val="10"/>
        <color theme="1"/>
        <rFont val="Arial Narrow"/>
      </rPr>
      <t xml:space="preserve"> Elaborar las actas de las sesiones de Órgano Colegiado Superior.</t>
    </r>
  </si>
  <si>
    <r>
      <rPr>
        <b/>
        <sz val="9"/>
        <color theme="1"/>
        <rFont val="Century Schoolbook"/>
        <family val="1"/>
      </rPr>
      <t>3.-</t>
    </r>
    <r>
      <rPr>
        <sz val="10"/>
        <color theme="1"/>
        <rFont val="Arial Narrow"/>
      </rPr>
      <t xml:space="preserve"> Redactar las resoluciones del Órgano Colegiado Superior.</t>
    </r>
  </si>
  <si>
    <r>
      <rPr>
        <b/>
        <sz val="9"/>
        <color theme="1"/>
        <rFont val="Century Schoolbook"/>
        <family val="1"/>
      </rPr>
      <t>4.-</t>
    </r>
    <r>
      <rPr>
        <sz val="10"/>
        <color theme="1"/>
        <rFont val="Arial Narrow"/>
      </rPr>
      <t xml:space="preserve"> Administrar la documentación para tratamiento del Órgano Colegiado Superior.</t>
    </r>
  </si>
  <si>
    <r>
      <rPr>
        <b/>
        <sz val="9"/>
        <color theme="1"/>
        <rFont val="Century Schoolbook"/>
        <family val="1"/>
      </rPr>
      <t>5.-</t>
    </r>
    <r>
      <rPr>
        <sz val="10"/>
        <color theme="1"/>
        <rFont val="Arial Narrow"/>
      </rPr>
      <t xml:space="preserve"> Certificar documentos.</t>
    </r>
  </si>
  <si>
    <r>
      <rPr>
        <b/>
        <sz val="9"/>
        <color theme="1"/>
        <rFont val="Century Schoolbook"/>
        <family val="1"/>
      </rPr>
      <t>6.-</t>
    </r>
    <r>
      <rPr>
        <sz val="10"/>
        <color theme="1"/>
        <rFont val="Arial Narrow"/>
      </rPr>
      <t xml:space="preserve"> Registrar títulos conferidos.</t>
    </r>
  </si>
  <si>
    <r>
      <rPr>
        <b/>
        <sz val="9"/>
        <color theme="1"/>
        <rFont val="Century Schoolbook"/>
        <family val="1"/>
      </rPr>
      <t>7.-</t>
    </r>
    <r>
      <rPr>
        <sz val="10"/>
        <color theme="1"/>
        <rFont val="Arial Narrow"/>
      </rPr>
      <t xml:space="preserve"> Gestionar el diseño de procesos, herramientas y/ o lineamientos de gestión
documental y archivo.</t>
    </r>
  </si>
  <si>
    <r>
      <rPr>
        <b/>
        <sz val="9"/>
        <color theme="1"/>
        <rFont val="Century Schoolbook"/>
        <family val="1"/>
      </rPr>
      <t>8.-</t>
    </r>
    <r>
      <rPr>
        <sz val="10"/>
        <color theme="1"/>
        <rFont val="Arial Narrow"/>
      </rPr>
      <t xml:space="preserve"> Evaluar los procesos de gestión documental y archivo.</t>
    </r>
  </si>
  <si>
    <r>
      <rPr>
        <b/>
        <sz val="9"/>
        <color theme="1"/>
        <rFont val="Century Schoolbook"/>
        <family val="1"/>
      </rPr>
      <t>9.-</t>
    </r>
    <r>
      <rPr>
        <sz val="10"/>
        <color theme="1"/>
        <rFont val="Arial Narrow"/>
      </rPr>
      <t xml:space="preserve"> Presentar la Planificación Operativa Anual y Evaluación de la Planificación Operativa Anual.</t>
    </r>
  </si>
  <si>
    <r>
      <rPr>
        <b/>
        <sz val="9"/>
        <color theme="1"/>
        <rFont val="Century Schoolbook"/>
        <family val="1"/>
      </rPr>
      <t>10.-</t>
    </r>
    <r>
      <rPr>
        <sz val="10"/>
        <color theme="1"/>
        <rFont val="Arial Narrow"/>
      </rPr>
      <t xml:space="preserve"> Organizar el Archivo de Gestión.</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</si>
  <si>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Registrar y distribuir la correspondencia interna (de las primeras Autoridades) y externa.</t>
    </r>
  </si>
  <si>
    <r>
      <rPr>
        <b/>
        <sz val="9"/>
        <color theme="1"/>
        <rFont val="Century Schoolbook"/>
        <family val="1"/>
      </rPr>
      <t>2.-</t>
    </r>
    <r>
      <rPr>
        <sz val="10"/>
        <color theme="1"/>
        <rFont val="Arial Narrow"/>
      </rPr>
      <t xml:space="preserve"> Elaborar proyecto de normativa sobre la identificación, descripción, ordenación, instalación, consulta y/o transferencia de documentos.</t>
    </r>
  </si>
  <si>
    <r>
      <rPr>
        <b/>
        <sz val="9"/>
        <color theme="1"/>
        <rFont val="Century Schoolbook"/>
        <family val="1"/>
      </rPr>
      <t>3.-</t>
    </r>
    <r>
      <rPr>
        <sz val="10"/>
        <color theme="1"/>
        <rFont val="Arial Narrow"/>
      </rPr>
      <t xml:space="preserve"> Elaborar la propuesta de manual de tipologías documentales.</t>
    </r>
  </si>
  <si>
    <r>
      <rPr>
        <b/>
        <sz val="9"/>
        <color theme="1"/>
        <rFont val="Century Schoolbook"/>
        <family val="1"/>
      </rPr>
      <t>4.-</t>
    </r>
    <r>
      <rPr>
        <sz val="10"/>
        <color theme="1"/>
        <rFont val="Arial Narrow"/>
      </rPr>
      <t xml:space="preserve"> Elaborar instrumentos archivísticos.</t>
    </r>
  </si>
  <si>
    <r>
      <rPr>
        <b/>
        <sz val="9"/>
        <color theme="1"/>
        <rFont val="Century Schoolbook"/>
        <family val="1"/>
      </rPr>
      <t>5.-</t>
    </r>
    <r>
      <rPr>
        <b/>
        <sz val="10"/>
        <color theme="1"/>
        <rFont val="Arial Narrow"/>
      </rPr>
      <t xml:space="preserve"> </t>
    </r>
    <r>
      <rPr>
        <sz val="10"/>
        <color theme="1"/>
        <rFont val="Arial Narrow"/>
      </rPr>
      <t>Recibir las transferencias documentales.</t>
    </r>
  </si>
  <si>
    <r>
      <rPr>
        <b/>
        <sz val="9"/>
        <color theme="1"/>
        <rFont val="Century Schoolbook"/>
        <family val="1"/>
      </rPr>
      <t>6.-</t>
    </r>
    <r>
      <rPr>
        <sz val="10"/>
        <color theme="1"/>
        <rFont val="Arial Narrow"/>
      </rPr>
      <t xml:space="preserve"> Prestación de Servicio de consulta de documentos.</t>
    </r>
  </si>
  <si>
    <r>
      <rPr>
        <b/>
        <sz val="9"/>
        <color theme="1"/>
        <rFont val="Century Schoolbook"/>
        <family val="1"/>
      </rPr>
      <t>7.-</t>
    </r>
    <r>
      <rPr>
        <sz val="10"/>
        <color theme="1"/>
        <rFont val="Arial Narrow"/>
      </rPr>
      <t xml:space="preserve"> Difundir el Patrimonio documental en el portal web institucional.</t>
    </r>
  </si>
  <si>
    <r>
      <rPr>
        <b/>
        <sz val="9"/>
        <color theme="1"/>
        <rFont val="Century Schoolbook"/>
        <family val="1"/>
      </rPr>
      <t>8.-</t>
    </r>
    <r>
      <rPr>
        <sz val="10"/>
        <color theme="1"/>
        <rFont val="Arial Narrow"/>
      </rPr>
      <t xml:space="preserve"> Entregar la Planificación Operativa Anual y la Evaluación de la Planificación Operativa Anual.</t>
    </r>
  </si>
  <si>
    <r>
      <rPr>
        <b/>
        <sz val="9"/>
        <color theme="1"/>
        <rFont val="Century Schoolbook"/>
        <family val="1"/>
      </rPr>
      <t>9.-</t>
    </r>
    <r>
      <rPr>
        <sz val="10"/>
        <color theme="1"/>
        <rFont val="Arial Narrow"/>
      </rPr>
      <t xml:space="preserve"> Organización del Archivo de Gestión.</t>
    </r>
  </si>
  <si>
    <r>
      <rPr>
        <b/>
        <sz val="9"/>
        <color theme="1"/>
        <rFont val="Century Schoolbook"/>
        <family val="1"/>
      </rPr>
      <t>10.-</t>
    </r>
    <r>
      <rPr>
        <sz val="10"/>
        <color theme="1"/>
        <rFont val="Arial Narrow"/>
      </rPr>
      <t xml:space="preserve"> Organización del Archivo General.</t>
    </r>
  </si>
  <si>
    <t>Patrimonio documental difundido.</t>
  </si>
  <si>
    <t>Transferencias documentales recibidas.</t>
  </si>
  <si>
    <t>Instrumentos archivísticos elaborados.</t>
  </si>
  <si>
    <t>Propuesta de Manual de Tipologías Documentales.</t>
  </si>
  <si>
    <t>Proyecto de normativa elaborada sobre la identificación, descripción, ordenación, instalación, consulta y/o transferencia de documentos.</t>
  </si>
  <si>
    <t>Correspondencia externa (de las primeras Autoridades).</t>
  </si>
  <si>
    <t>N° de convocatorias emitidas.</t>
  </si>
  <si>
    <t>N° de actas emitidas.</t>
  </si>
  <si>
    <t>N° de resoluciones emitidas.</t>
  </si>
  <si>
    <t>N° de documentos analizados por Consejo Universitario.</t>
  </si>
  <si>
    <t>N° de solicitudes de certificaciones atendidas.</t>
  </si>
  <si>
    <t>N° de títulos registrados.</t>
  </si>
  <si>
    <t>N° de POA y evaluaciones del POA presentados.</t>
  </si>
  <si>
    <t>N° de cajas de archivo registradas en el inventario documental.</t>
  </si>
  <si>
    <t>N° de documentos de usuarios externos registrados en el SIUTMACH.</t>
  </si>
  <si>
    <t>N° de instructivos.</t>
  </si>
  <si>
    <t>N° de manual.</t>
  </si>
  <si>
    <t>N° de instrumentos.</t>
  </si>
  <si>
    <t>N° de transferencias recibidas.</t>
  </si>
  <si>
    <t>N° de atenciones de servicio de consulta de documentos.</t>
  </si>
  <si>
    <t>N° de difusiones realizadas en la página web.</t>
  </si>
  <si>
    <r>
      <rPr>
        <b/>
        <sz val="9"/>
        <color theme="1"/>
        <rFont val="Century Schoolbook"/>
        <family val="1"/>
      </rPr>
      <t>1.-</t>
    </r>
    <r>
      <rPr>
        <sz val="10"/>
        <color theme="1"/>
        <rFont val="Arial Narrow"/>
        <family val="2"/>
      </rPr>
      <t xml:space="preserve"> Elaborar la convocatoria de sesión de Consejo Universitario.
</t>
    </r>
    <r>
      <rPr>
        <b/>
        <sz val="9"/>
        <color theme="1"/>
        <rFont val="Century Schoolbook"/>
        <family val="1"/>
      </rPr>
      <t>2.-</t>
    </r>
    <r>
      <rPr>
        <sz val="10"/>
        <color theme="1"/>
        <rFont val="Arial Narrow"/>
        <family val="2"/>
      </rPr>
      <t xml:space="preserve"> Remitir la convocatoria a los miembros de Consejo Universitario.</t>
    </r>
  </si>
  <si>
    <r>
      <rPr>
        <b/>
        <sz val="9"/>
        <color theme="1"/>
        <rFont val="Century Schoolbook"/>
        <family val="1"/>
      </rPr>
      <t>1.-</t>
    </r>
    <r>
      <rPr>
        <sz val="10"/>
        <color theme="1"/>
        <rFont val="Arial Narrow"/>
        <family val="2"/>
      </rPr>
      <t xml:space="preserve"> Elaborar el acta de la sesión de Consejo Universitario.</t>
    </r>
  </si>
  <si>
    <r>
      <rPr>
        <b/>
        <sz val="9"/>
        <color theme="1"/>
        <rFont val="Century Schoolbook"/>
        <family val="1"/>
      </rPr>
      <t>1.-</t>
    </r>
    <r>
      <rPr>
        <sz val="10"/>
        <color theme="1"/>
        <rFont val="Arial Narrow"/>
      </rPr>
      <t xml:space="preserve"> Formular y aprobar resoluciones.
</t>
    </r>
    <r>
      <rPr>
        <b/>
        <sz val="9"/>
        <color theme="1"/>
        <rFont val="Century Schoolbook"/>
        <family val="1"/>
      </rPr>
      <t>2.-</t>
    </r>
    <r>
      <rPr>
        <sz val="10"/>
        <color theme="1"/>
        <rFont val="Arial Narrow"/>
      </rPr>
      <t xml:space="preserve"> Notificar las resoluciones aprobadas a los involucrados.
</t>
    </r>
    <r>
      <rPr>
        <b/>
        <sz val="9"/>
        <color theme="1"/>
        <rFont val="Century Schoolbook"/>
        <family val="1"/>
      </rPr>
      <t>3.-</t>
    </r>
    <r>
      <rPr>
        <sz val="10"/>
        <color theme="1"/>
        <rFont val="Arial Narrow"/>
      </rPr>
      <t xml:space="preserve"> Remitir por vía correo electrónico las resoluciones aprobadas para que se visualice en la página web institucional.</t>
    </r>
  </si>
  <si>
    <r>
      <rPr>
        <b/>
        <sz val="9"/>
        <color theme="1"/>
        <rFont val="Century Schoolbook"/>
        <family val="1"/>
      </rPr>
      <t>1.-</t>
    </r>
    <r>
      <rPr>
        <sz val="10"/>
        <color theme="1"/>
        <rFont val="Arial Narrow"/>
      </rPr>
      <t xml:space="preserve"> Receptar y revisar la documentación.
</t>
    </r>
    <r>
      <rPr>
        <b/>
        <sz val="9"/>
        <color theme="1"/>
        <rFont val="Century Schoolbook"/>
        <family val="1"/>
      </rPr>
      <t>2.-</t>
    </r>
    <r>
      <rPr>
        <sz val="10"/>
        <color theme="1"/>
        <rFont val="Arial Narrow"/>
      </rPr>
      <t xml:space="preserve"> Solicitar informes en caso de ser necesario.</t>
    </r>
  </si>
  <si>
    <r>
      <rPr>
        <b/>
        <sz val="9"/>
        <color theme="1"/>
        <rFont val="Century Schoolbook"/>
        <family val="1"/>
      </rPr>
      <t>1.-</t>
    </r>
    <r>
      <rPr>
        <sz val="10"/>
        <color theme="1"/>
        <rFont val="Arial Narrow"/>
        <family val="2"/>
      </rPr>
      <t xml:space="preserve"> Receptar y revisar la solicitud.
</t>
    </r>
    <r>
      <rPr>
        <b/>
        <sz val="9"/>
        <color theme="1"/>
        <rFont val="Century Schoolbook"/>
        <family val="1"/>
      </rPr>
      <t>2.-</t>
    </r>
    <r>
      <rPr>
        <sz val="10"/>
        <color theme="1"/>
        <rFont val="Arial Narrow"/>
        <family val="2"/>
      </rPr>
      <t xml:space="preserve"> Ubicar la documentación a certificar.
</t>
    </r>
    <r>
      <rPr>
        <b/>
        <sz val="9"/>
        <color theme="1"/>
        <rFont val="Century Schoolbook"/>
        <family val="1"/>
      </rPr>
      <t>3.-</t>
    </r>
    <r>
      <rPr>
        <sz val="10"/>
        <color theme="1"/>
        <rFont val="Arial Narrow"/>
        <family val="2"/>
      </rPr>
      <t xml:space="preserve"> Realizar el sellado de copia original o compulsa.
</t>
    </r>
    <r>
      <rPr>
        <b/>
        <sz val="9"/>
        <color theme="1"/>
        <rFont val="Century Schoolbook"/>
        <family val="1"/>
      </rPr>
      <t>4.-</t>
    </r>
    <r>
      <rPr>
        <sz val="10"/>
        <color theme="1"/>
        <rFont val="Arial Narrow"/>
        <family val="2"/>
      </rPr>
      <t xml:space="preserve"> Firmar la Secretaria General.
</t>
    </r>
    <r>
      <rPr>
        <b/>
        <sz val="9"/>
        <color theme="1"/>
        <rFont val="Century Schoolbook"/>
        <family val="1"/>
      </rPr>
      <t>5.-</t>
    </r>
    <r>
      <rPr>
        <sz val="10"/>
        <color theme="1"/>
        <rFont val="Arial Narrow"/>
        <family val="2"/>
      </rPr>
      <t xml:space="preserve"> Entregar documentación certificada.</t>
    </r>
  </si>
  <si>
    <r>
      <rPr>
        <b/>
        <sz val="9"/>
        <color theme="1"/>
        <rFont val="Century Schoolbook"/>
        <family val="1"/>
      </rPr>
      <t>1.-</t>
    </r>
    <r>
      <rPr>
        <sz val="10"/>
        <color theme="1"/>
        <rFont val="Arial Narrow"/>
        <family val="2"/>
      </rPr>
      <t xml:space="preserve"> Elaborar las actas de Refrendación de los títulos.
</t>
    </r>
    <r>
      <rPr>
        <b/>
        <sz val="9"/>
        <color theme="1"/>
        <rFont val="Century Schoolbook"/>
        <family val="1"/>
      </rPr>
      <t>2.-</t>
    </r>
    <r>
      <rPr>
        <sz val="10"/>
        <color theme="1"/>
        <rFont val="Arial Narrow"/>
        <family val="2"/>
      </rPr>
      <t xml:space="preserve"> Realizar la emisión de títulos.
</t>
    </r>
    <r>
      <rPr>
        <b/>
        <sz val="9"/>
        <color theme="1"/>
        <rFont val="Century Schoolbook"/>
        <family val="1"/>
      </rPr>
      <t>3.-</t>
    </r>
    <r>
      <rPr>
        <sz val="10"/>
        <color theme="1"/>
        <rFont val="Arial Narrow"/>
        <family val="2"/>
      </rPr>
      <t xml:space="preserve"> Registrar los títulos en la plataforma del SNIESE.</t>
    </r>
  </si>
  <si>
    <r>
      <rPr>
        <b/>
        <sz val="9"/>
        <color theme="1"/>
        <rFont val="Century Schoolbook"/>
        <family val="1"/>
      </rPr>
      <t>1.-</t>
    </r>
    <r>
      <rPr>
        <sz val="10"/>
        <color theme="1"/>
        <rFont val="Arial Narrow"/>
        <family val="2"/>
      </rPr>
      <t xml:space="preserve"> Elaborar el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Evaluar el POA </t>
    </r>
    <r>
      <rPr>
        <sz val="10"/>
        <color theme="1"/>
        <rFont val="Century Schoolbook"/>
        <family val="1"/>
      </rPr>
      <t>2023.</t>
    </r>
  </si>
  <si>
    <r>
      <rPr>
        <b/>
        <sz val="9"/>
        <color theme="1"/>
        <rFont val="Century Schoolbook"/>
        <family val="1"/>
      </rPr>
      <t>1.-</t>
    </r>
    <r>
      <rPr>
        <sz val="10"/>
        <color theme="1"/>
        <rFont val="Arial Narrow"/>
        <family val="2"/>
      </rPr>
      <t xml:space="preserve"> Seleccionar la documentación para su depuración.
</t>
    </r>
    <r>
      <rPr>
        <b/>
        <sz val="9"/>
        <color theme="1"/>
        <rFont val="Century Schoolbook"/>
        <family val="1"/>
      </rPr>
      <t>2.-</t>
    </r>
    <r>
      <rPr>
        <sz val="10"/>
        <color theme="1"/>
        <rFont val="Arial Narrow"/>
        <family val="2"/>
      </rPr>
      <t xml:space="preserve"> Clasificar.
</t>
    </r>
    <r>
      <rPr>
        <b/>
        <sz val="9"/>
        <color theme="1"/>
        <rFont val="Century Schoolbook"/>
        <family val="1"/>
      </rPr>
      <t>3.-</t>
    </r>
    <r>
      <rPr>
        <sz val="10"/>
        <color theme="1"/>
        <rFont val="Arial Narrow"/>
        <family val="2"/>
      </rPr>
      <t xml:space="preserve"> Describir la documentación según la norma ISAD-G.
</t>
    </r>
    <r>
      <rPr>
        <b/>
        <sz val="9"/>
        <color theme="1"/>
        <rFont val="Century Schoolbook"/>
        <family val="1"/>
      </rPr>
      <t>4.-</t>
    </r>
    <r>
      <rPr>
        <sz val="10"/>
        <color theme="1"/>
        <rFont val="Arial Narrow"/>
        <family val="2"/>
      </rPr>
      <t xml:space="preserve"> Preservar la documentación en las unidades de almacenamiento.</t>
    </r>
  </si>
  <si>
    <r>
      <rPr>
        <b/>
        <sz val="9"/>
        <color theme="1"/>
        <rFont val="Century Schoolbook"/>
        <family val="1"/>
      </rPr>
      <t>1.-</t>
    </r>
    <r>
      <rPr>
        <sz val="10"/>
        <color theme="1"/>
        <rFont val="Arial Narrow"/>
        <family val="2"/>
      </rPr>
      <t xml:space="preserve"> Recibir documentos externos.
</t>
    </r>
    <r>
      <rPr>
        <b/>
        <sz val="9"/>
        <color theme="1"/>
        <rFont val="Century Schoolbook"/>
        <family val="1"/>
      </rPr>
      <t>2.-</t>
    </r>
    <r>
      <rPr>
        <sz val="10"/>
        <color theme="1"/>
        <rFont val="Arial Narrow"/>
        <family val="2"/>
      </rPr>
      <t xml:space="preserve"> Registrar, escanear, ingresar  en el módulo SIGEDA y remitir a los destinatarios para el trámite.
</t>
    </r>
    <r>
      <rPr>
        <b/>
        <sz val="9"/>
        <color theme="1"/>
        <rFont val="Century Schoolbook"/>
        <family val="1"/>
      </rPr>
      <t>3.-</t>
    </r>
    <r>
      <rPr>
        <sz val="10"/>
        <color theme="1"/>
        <rFont val="Arial Narrow"/>
        <family val="2"/>
      </rPr>
      <t xml:space="preserve"> Brindar información a los usuarios externos.</t>
    </r>
  </si>
  <si>
    <r>
      <rPr>
        <b/>
        <sz val="9"/>
        <color theme="1"/>
        <rFont val="Century Schoolbook"/>
        <family val="1"/>
      </rPr>
      <t>1.-</t>
    </r>
    <r>
      <rPr>
        <sz val="10"/>
        <color theme="1"/>
        <rFont val="Arial Narrow"/>
        <family val="2"/>
      </rPr>
      <t xml:space="preserve"> Elaborar el documento.
</t>
    </r>
    <r>
      <rPr>
        <b/>
        <sz val="9"/>
        <color theme="1"/>
        <rFont val="Century Schoolbook"/>
        <family val="1"/>
      </rPr>
      <t>2.-</t>
    </r>
    <r>
      <rPr>
        <sz val="10"/>
        <color theme="1"/>
        <rFont val="Arial Narrow"/>
        <family val="2"/>
      </rPr>
      <t xml:space="preserve"> Capacitar al personal responsable de la aplicación del instructivo.</t>
    </r>
  </si>
  <si>
    <r>
      <rPr>
        <b/>
        <sz val="9"/>
        <color theme="1"/>
        <rFont val="Century Schoolbook"/>
        <family val="1"/>
      </rPr>
      <t>1.-</t>
    </r>
    <r>
      <rPr>
        <sz val="10"/>
        <color theme="1"/>
        <rFont val="Arial Narrow"/>
        <family val="2"/>
      </rPr>
      <t xml:space="preserve"> Actualizar el manual de tipologías documentales.
</t>
    </r>
    <r>
      <rPr>
        <b/>
        <sz val="9"/>
        <color theme="1"/>
        <rFont val="Century Schoolbook"/>
        <family val="1"/>
      </rPr>
      <t>2.-</t>
    </r>
    <r>
      <rPr>
        <sz val="10"/>
        <color theme="1"/>
        <rFont val="Arial Narrow"/>
        <family val="2"/>
      </rPr>
      <t xml:space="preserve"> Socializar el manual de tipologías documentales.</t>
    </r>
  </si>
  <si>
    <r>
      <rPr>
        <b/>
        <sz val="9"/>
        <color theme="1"/>
        <rFont val="Century Schoolbook"/>
        <family val="1"/>
      </rPr>
      <t>1.-</t>
    </r>
    <r>
      <rPr>
        <sz val="10"/>
        <color theme="1"/>
        <rFont val="Arial Narrow"/>
        <family val="2"/>
      </rPr>
      <t xml:space="preserve"> Realizar el censo documental.
</t>
    </r>
    <r>
      <rPr>
        <b/>
        <sz val="9"/>
        <color theme="1"/>
        <rFont val="Century Schoolbook"/>
        <family val="1"/>
      </rPr>
      <t>2.-</t>
    </r>
    <r>
      <rPr>
        <sz val="10"/>
        <color theme="1"/>
        <rFont val="Arial Narrow"/>
        <family val="2"/>
      </rPr>
      <t xml:space="preserve"> Consolidar la información recopilada de facultades y administración Central.
</t>
    </r>
    <r>
      <rPr>
        <b/>
        <sz val="9"/>
        <color theme="1"/>
        <rFont val="Century Schoolbook"/>
        <family val="1"/>
      </rPr>
      <t>3.-</t>
    </r>
    <r>
      <rPr>
        <sz val="10"/>
        <color theme="1"/>
        <rFont val="Arial Narrow"/>
        <family val="2"/>
      </rPr>
      <t xml:space="preserve"> Actualizar el Cuadro de Clasificación Documental.</t>
    </r>
  </si>
  <si>
    <r>
      <rPr>
        <b/>
        <sz val="9"/>
        <color theme="1"/>
        <rFont val="Century Schoolbook"/>
        <family val="1"/>
      </rPr>
      <t>1.-</t>
    </r>
    <r>
      <rPr>
        <sz val="10"/>
        <color theme="1"/>
        <rFont val="Arial Narrow"/>
        <family val="2"/>
      </rPr>
      <t xml:space="preserve"> Receptar las solicitudes de consulta de documentos.
</t>
    </r>
    <r>
      <rPr>
        <b/>
        <sz val="9"/>
        <color theme="1"/>
        <rFont val="Century Schoolbook"/>
        <family val="1"/>
      </rPr>
      <t>2.-</t>
    </r>
    <r>
      <rPr>
        <sz val="10"/>
        <color theme="1"/>
        <rFont val="Arial Narrow"/>
        <family val="2"/>
      </rPr>
      <t xml:space="preserve"> Entregar la documentación al solicitante.</t>
    </r>
  </si>
  <si>
    <r>
      <rPr>
        <b/>
        <sz val="9"/>
        <color theme="1"/>
        <rFont val="Century Schoolbook"/>
        <family val="1"/>
      </rPr>
      <t>1.-</t>
    </r>
    <r>
      <rPr>
        <sz val="10"/>
        <color theme="1"/>
        <rFont val="Arial Narrow"/>
        <family val="2"/>
      </rPr>
      <t xml:space="preserve"> Elaborar el material de la difusión.
</t>
    </r>
    <r>
      <rPr>
        <b/>
        <sz val="9"/>
        <color theme="1"/>
        <rFont val="Century Schoolbook"/>
        <family val="1"/>
      </rPr>
      <t>2.-</t>
    </r>
    <r>
      <rPr>
        <sz val="10"/>
        <color theme="1"/>
        <rFont val="Arial Narrow"/>
        <family val="2"/>
      </rPr>
      <t xml:space="preserve"> Remitir la información para su publicación en el portal web institucional.</t>
    </r>
  </si>
  <si>
    <r>
      <rPr>
        <b/>
        <sz val="9"/>
        <color theme="1"/>
        <rFont val="Century Schoolbook"/>
        <family val="1"/>
      </rPr>
      <t>1.-</t>
    </r>
    <r>
      <rPr>
        <sz val="10"/>
        <color theme="1"/>
        <rFont val="Arial Narrow"/>
      </rPr>
      <t xml:space="preserve"> Seleccionar la documentación para su depuración.
</t>
    </r>
    <r>
      <rPr>
        <b/>
        <sz val="9"/>
        <color theme="1"/>
        <rFont val="Century Schoolbook"/>
        <family val="1"/>
      </rPr>
      <t>2.-</t>
    </r>
    <r>
      <rPr>
        <sz val="10"/>
        <color theme="1"/>
        <rFont val="Arial Narrow"/>
      </rPr>
      <t xml:space="preserve"> Clasificar.
</t>
    </r>
    <r>
      <rPr>
        <b/>
        <sz val="9"/>
        <color theme="1"/>
        <rFont val="Century Schoolbook"/>
        <family val="1"/>
      </rPr>
      <t>3.-</t>
    </r>
    <r>
      <rPr>
        <sz val="10"/>
        <color theme="1"/>
        <rFont val="Arial Narrow"/>
      </rPr>
      <t xml:space="preserve"> Describir la documentación según la norma ISAD-G.
</t>
    </r>
    <r>
      <rPr>
        <b/>
        <sz val="9"/>
        <color theme="1"/>
        <rFont val="Century Schoolbook"/>
        <family val="1"/>
      </rPr>
      <t>4.-</t>
    </r>
    <r>
      <rPr>
        <sz val="10"/>
        <color theme="1"/>
        <rFont val="Arial Narrow"/>
      </rPr>
      <t xml:space="preserve"> Preservar la documentación en las unidades de almacenamiento.</t>
    </r>
  </si>
  <si>
    <r>
      <rPr>
        <b/>
        <sz val="9"/>
        <color theme="1"/>
        <rFont val="Century Schoolbook"/>
        <family val="1"/>
      </rPr>
      <t>1.-</t>
    </r>
    <r>
      <rPr>
        <sz val="10"/>
        <color theme="1"/>
        <rFont val="Arial Narrow"/>
        <family val="2"/>
      </rPr>
      <t xml:space="preserve"> Registro de convocatorias de sesiones de Consejo Universitario.</t>
    </r>
  </si>
  <si>
    <r>
      <rPr>
        <b/>
        <sz val="9"/>
        <color theme="1"/>
        <rFont val="Century Schoolbook"/>
        <family val="1"/>
      </rPr>
      <t>1.-</t>
    </r>
    <r>
      <rPr>
        <sz val="10"/>
        <color theme="1"/>
        <rFont val="Arial Narrow"/>
        <family val="2"/>
      </rPr>
      <t xml:space="preserve"> Matriz de seguimiento de resoluciones </t>
    </r>
    <r>
      <rPr>
        <sz val="10"/>
        <color theme="1"/>
        <rFont val="Century Schoolbook"/>
        <family val="1"/>
      </rPr>
      <t>2023.</t>
    </r>
  </si>
  <si>
    <r>
      <rPr>
        <b/>
        <sz val="9"/>
        <color theme="1"/>
        <rFont val="Century Schoolbook"/>
        <family val="1"/>
      </rPr>
      <t>1.-</t>
    </r>
    <r>
      <rPr>
        <sz val="10"/>
        <color theme="1"/>
        <rFont val="Arial Narrow"/>
        <family val="2"/>
      </rPr>
      <t xml:space="preserve"> Registro de documentos recibidos para Consejo Universitario.</t>
    </r>
  </si>
  <si>
    <r>
      <rPr>
        <b/>
        <sz val="9"/>
        <color theme="1"/>
        <rFont val="Century Schoolbook"/>
        <family val="1"/>
      </rPr>
      <t>1.-</t>
    </r>
    <r>
      <rPr>
        <sz val="10"/>
        <color theme="1"/>
        <rFont val="Arial Narrow"/>
        <family val="2"/>
      </rPr>
      <t xml:space="preserve"> Registro de solicitudes atendidas.</t>
    </r>
  </si>
  <si>
    <r>
      <rPr>
        <b/>
        <sz val="9"/>
        <color theme="1"/>
        <rFont val="Century Schoolbook"/>
        <family val="1"/>
      </rPr>
      <t>1.-</t>
    </r>
    <r>
      <rPr>
        <sz val="10"/>
        <color theme="1"/>
        <rFont val="Arial Narrow"/>
        <family val="2"/>
      </rPr>
      <t xml:space="preserve"> Reporte semestrales de títulos registrados.</t>
    </r>
  </si>
  <si>
    <r>
      <rPr>
        <b/>
        <sz val="9"/>
        <color theme="1"/>
        <rFont val="Century Schoolbook"/>
        <family val="1"/>
      </rPr>
      <t>1.-</t>
    </r>
    <r>
      <rPr>
        <sz val="10"/>
        <color theme="1"/>
        <rFont val="Arial Narrow"/>
        <family val="2"/>
      </rPr>
      <t xml:space="preserve"> Plan Operativo Anual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del POA </t>
    </r>
    <r>
      <rPr>
        <sz val="10"/>
        <color theme="1"/>
        <rFont val="Century Schoolbook"/>
        <family val="1"/>
      </rPr>
      <t>2023.</t>
    </r>
  </si>
  <si>
    <r>
      <rPr>
        <b/>
        <sz val="9"/>
        <color theme="1"/>
        <rFont val="Century Schoolbook"/>
        <family val="1"/>
      </rPr>
      <t>1.-</t>
    </r>
    <r>
      <rPr>
        <sz val="10"/>
        <color theme="1"/>
        <rFont val="Arial Narrow"/>
        <family val="2"/>
      </rPr>
      <t xml:space="preserve"> Inventario documental.</t>
    </r>
  </si>
  <si>
    <r>
      <rPr>
        <b/>
        <sz val="9"/>
        <color theme="1"/>
        <rFont val="Century Schoolbook"/>
        <family val="1"/>
      </rPr>
      <t>1.-</t>
    </r>
    <r>
      <rPr>
        <sz val="10"/>
        <color theme="1"/>
        <rFont val="Arial Narrow"/>
        <family val="2"/>
      </rPr>
      <t xml:space="preserve"> Reporte de los documentos ingresados en el módulo oficios.</t>
    </r>
  </si>
  <si>
    <r>
      <rPr>
        <b/>
        <sz val="9"/>
        <color theme="1"/>
        <rFont val="Century Schoolbook"/>
        <family val="1"/>
      </rPr>
      <t>1.-</t>
    </r>
    <r>
      <rPr>
        <sz val="10"/>
        <color theme="1"/>
        <rFont val="Arial Narrow"/>
        <family val="2"/>
      </rPr>
      <t xml:space="preserve"> Instructivo aprobado.</t>
    </r>
  </si>
  <si>
    <r>
      <rPr>
        <b/>
        <sz val="9"/>
        <color theme="1"/>
        <rFont val="Century Schoolbook"/>
        <family val="1"/>
      </rPr>
      <t>1.-</t>
    </r>
    <r>
      <rPr>
        <sz val="10"/>
        <color theme="1"/>
        <rFont val="Arial Narrow"/>
        <family val="2"/>
      </rPr>
      <t xml:space="preserve"> Manual de Tipologías documentales actualizado.</t>
    </r>
  </si>
  <si>
    <r>
      <rPr>
        <b/>
        <sz val="9"/>
        <color theme="1"/>
        <rFont val="Century Schoolbook"/>
        <family val="1"/>
      </rPr>
      <t>1.-</t>
    </r>
    <r>
      <rPr>
        <sz val="10"/>
        <color theme="1"/>
        <rFont val="Arial Narrow"/>
        <family val="2"/>
      </rPr>
      <t xml:space="preserve"> Cuadro de Clasificación Documental.</t>
    </r>
  </si>
  <si>
    <r>
      <rPr>
        <b/>
        <sz val="9"/>
        <color theme="1"/>
        <rFont val="Century Schoolbook"/>
        <family val="1"/>
      </rPr>
      <t>1.-</t>
    </r>
    <r>
      <rPr>
        <sz val="10"/>
        <color theme="1"/>
        <rFont val="Arial Narrow"/>
        <family val="2"/>
      </rPr>
      <t xml:space="preserve"> Registro de servicio de consulta de documentos.</t>
    </r>
  </si>
  <si>
    <r>
      <rPr>
        <b/>
        <sz val="9"/>
        <color theme="1"/>
        <rFont val="Century Schoolbook"/>
        <family val="1"/>
      </rPr>
      <t>1.-</t>
    </r>
    <r>
      <rPr>
        <sz val="10"/>
        <color theme="1"/>
        <rFont val="Arial Narrow"/>
        <family val="2"/>
      </rPr>
      <t xml:space="preserve"> Memoria gráfica de la difusión del patrimonio documental en el portal web institucional.</t>
    </r>
  </si>
  <si>
    <r>
      <rPr>
        <b/>
        <sz val="9"/>
        <color theme="1"/>
        <rFont val="Century Schoolbook"/>
        <family val="1"/>
      </rPr>
      <t>1.-</t>
    </r>
    <r>
      <rPr>
        <sz val="10"/>
        <color theme="1"/>
        <rFont val="Arial Narrow"/>
      </rPr>
      <t xml:space="preserve"> POA</t>
    </r>
    <r>
      <rPr>
        <sz val="10"/>
        <color theme="1"/>
        <rFont val="Century Schoolbook"/>
        <family val="1"/>
      </rPr>
      <t xml:space="preserve"> 2024.</t>
    </r>
    <r>
      <rPr>
        <sz val="10"/>
        <color theme="1"/>
        <rFont val="Arial Narrow"/>
      </rPr>
      <t xml:space="preserve">
</t>
    </r>
    <r>
      <rPr>
        <b/>
        <sz val="9"/>
        <color theme="1"/>
        <rFont val="Century Schoolbook"/>
        <family val="1"/>
      </rPr>
      <t>2.-</t>
    </r>
    <r>
      <rPr>
        <sz val="10"/>
        <color theme="1"/>
        <rFont val="Arial Narrow"/>
      </rPr>
      <t xml:space="preserve"> Evaluación del POA </t>
    </r>
    <r>
      <rPr>
        <sz val="10"/>
        <color theme="1"/>
        <rFont val="Century Schoolbook"/>
        <family val="1"/>
      </rPr>
      <t>2023.</t>
    </r>
  </si>
  <si>
    <t>Edificios, Locales, Residencias y Cableado Estructurado (Instalación, Mantenimiento y Reparaciones)</t>
  </si>
  <si>
    <r>
      <t>Estanterías metálicas (</t>
    </r>
    <r>
      <rPr>
        <sz val="10"/>
        <color theme="1"/>
        <rFont val="Century Schoolbook"/>
        <family val="1"/>
      </rPr>
      <t>2200</t>
    </r>
    <r>
      <rPr>
        <sz val="10"/>
        <color theme="1"/>
        <rFont val="Arial Narrow"/>
      </rPr>
      <t xml:space="preserve"> mm de alto X </t>
    </r>
    <r>
      <rPr>
        <sz val="10"/>
        <color theme="1"/>
        <rFont val="Century Schoolbook"/>
        <family val="1"/>
      </rPr>
      <t>1000</t>
    </r>
    <r>
      <rPr>
        <sz val="10"/>
        <color theme="1"/>
        <rFont val="Arial Narrow"/>
      </rPr>
      <t xml:space="preserve"> mm de ancho X </t>
    </r>
    <r>
      <rPr>
        <sz val="10"/>
        <color theme="1"/>
        <rFont val="Century Schoolbook"/>
        <family val="1"/>
      </rPr>
      <t>500</t>
    </r>
    <r>
      <rPr>
        <sz val="10"/>
        <color theme="1"/>
        <rFont val="Arial Narrow"/>
      </rPr>
      <t xml:space="preserve"> mm de fondo)</t>
    </r>
  </si>
  <si>
    <r>
      <t xml:space="preserve">Disco duro externo de </t>
    </r>
    <r>
      <rPr>
        <sz val="10"/>
        <color theme="1"/>
        <rFont val="Century Schoolbook"/>
        <family val="1"/>
      </rPr>
      <t>2</t>
    </r>
    <r>
      <rPr>
        <sz val="10"/>
        <color theme="1"/>
        <rFont val="Arial Narrow"/>
      </rPr>
      <t xml:space="preserve"> TB</t>
    </r>
  </si>
  <si>
    <r>
      <t xml:space="preserve">DPLAN: El egreso de la partida </t>
    </r>
    <r>
      <rPr>
        <sz val="10"/>
        <color theme="1"/>
        <rFont val="Century Schoolbook"/>
        <family val="1"/>
      </rPr>
      <t>840107</t>
    </r>
    <r>
      <rPr>
        <sz val="10"/>
        <color theme="1"/>
        <rFont val="Arial Narrow"/>
      </rPr>
      <t xml:space="preserve"> se centraliza en </t>
    </r>
    <r>
      <rPr>
        <sz val="10"/>
        <color theme="1"/>
        <rFont val="Century Schoolbook"/>
        <family val="1"/>
      </rPr>
      <t>17</t>
    </r>
    <r>
      <rPr>
        <sz val="10"/>
        <color theme="1"/>
        <rFont val="Arial Narrow"/>
      </rPr>
      <t>. DTIC.</t>
    </r>
  </si>
  <si>
    <r>
      <t xml:space="preserve">DPLAN: El regreso planteado en la partida </t>
    </r>
    <r>
      <rPr>
        <sz val="10"/>
        <color theme="1"/>
        <rFont val="Century Schoolbook"/>
        <family val="1"/>
      </rPr>
      <t>530204</t>
    </r>
    <r>
      <rPr>
        <sz val="10"/>
        <color theme="1"/>
        <rFont val="Arial Narrow"/>
      </rPr>
      <t>, se ejecutará desde la Procuraduría General.</t>
    </r>
  </si>
  <si>
    <r>
      <t>Son nuevos productos que se le agregó a esta Secretaría General mediante resolución 345-</t>
    </r>
    <r>
      <rPr>
        <sz val="10"/>
        <color theme="1"/>
        <rFont val="Century Schoolbook"/>
        <family val="1"/>
      </rPr>
      <t>2021</t>
    </r>
    <r>
      <rPr>
        <sz val="10"/>
        <color theme="1"/>
        <rFont val="Arial Narrow"/>
      </rPr>
      <t xml:space="preserve"> de Consejo Universitario , por lo tanto, no cuenta con el recurso humano para ejecutarlo.</t>
    </r>
  </si>
  <si>
    <r>
      <t xml:space="preserve">Son nuevos productos que se le agregó a esta Secretaría General mediante resolución </t>
    </r>
    <r>
      <rPr>
        <sz val="10"/>
        <color theme="1"/>
        <rFont val="Century Schoolbook"/>
        <family val="1"/>
      </rPr>
      <t>345-2021</t>
    </r>
    <r>
      <rPr>
        <sz val="10"/>
        <color theme="1"/>
        <rFont val="Arial Narrow"/>
      </rPr>
      <t xml:space="preserve"> de Consejo Universitario , por lo tanto, no cuenta con el recurso humano para ejecutarlo.</t>
    </r>
  </si>
  <si>
    <r>
      <t xml:space="preserve">DPLAN: Se reforma parcialmente los egresos en el grupo </t>
    </r>
    <r>
      <rPr>
        <sz val="10"/>
        <color theme="1"/>
        <rFont val="Century Schoolbook"/>
        <family val="1"/>
      </rPr>
      <t>84</t>
    </r>
    <r>
      <rPr>
        <sz val="10"/>
        <color theme="1"/>
        <rFont val="Arial Narrow"/>
      </rPr>
      <t xml:space="preserve"> por superar el </t>
    </r>
    <r>
      <rPr>
        <sz val="10"/>
        <color theme="1"/>
        <rFont val="Century Schoolbook"/>
        <family val="1"/>
      </rPr>
      <t>20%</t>
    </r>
    <r>
      <rPr>
        <sz val="10"/>
        <color theme="1"/>
        <rFont val="Arial Narrow"/>
      </rPr>
      <t xml:space="preserve"> del máximo disponible para egresos en el grupo </t>
    </r>
    <r>
      <rPr>
        <sz val="10"/>
        <color theme="1"/>
        <rFont val="Century Schoolbook"/>
        <family val="1"/>
      </rPr>
      <t>84</t>
    </r>
    <r>
      <rPr>
        <sz val="10"/>
        <color theme="1"/>
        <rFont val="Arial Narrow"/>
      </rPr>
      <t xml:space="preserve"> del Clasificador Presupuestario.</t>
    </r>
  </si>
  <si>
    <t>Audífonos para computador</t>
  </si>
  <si>
    <t>* Abg. Gerardo Fernández Valdiviezo,
  Secretario General
* Lcda. Jessy Coello Jarre,
  Analista Actas y Resoluciones</t>
  </si>
  <si>
    <t>* Abg. Gerardo Fernández Valdiviezo,
  Secretario General
* Lcda. Jessy Coello Jarre,
  Analista Actas y Resoluciones
* Ángel Aguirre León,
  Auxiliar Administrativo</t>
  </si>
  <si>
    <t>* Abg. Gerardo Fernández Valdiviezo,
  Secretario General
* Ángel Aguirre León,
  Auxiliar Administrativo</t>
  </si>
  <si>
    <t>* Abg. Gerardo Fernández Valdiviezo,
  Secretario General
* Katherine Aguilar Toro,
  Analista de Certificación y Refrendación de Títulos</t>
  </si>
  <si>
    <t>* Abg. Gerardo Fernández Valdiviezo,
  Secretario General</t>
  </si>
  <si>
    <t>* Abg. Gerardo Fernández Valdiviezo,
  Secretario General
* Lcda. Jessy Coello Jarre,
  Analista Actas y Resoluciones
* Katherine Aguilar Toro,
  Analista de Certificación y Refrendación de Títulos
* Ángel Aguirre León,
  Auxiliar Administrativo</t>
  </si>
  <si>
    <t xml:space="preserve">* Tcnlga. Piedad Chamba Castro,
  Técnico de  Gestión Documental y     Archivo
* Tnlgo. Carlos Castillo Cruz,
  Técnico de Gestión Documental y Archivo
</t>
  </si>
  <si>
    <t>* Lic. Maira Ramírez Apolo,
  Analista de Gestión Documental y Archivo 
* Ing. Roxana Sánchez Liendres,
  Jefe de Unidad de Gestión Documental y Archivo</t>
  </si>
  <si>
    <t>* Responsables de archivos de gestión e intermedio
* Lic. Maira Ramírez Apolo,
  Analista de la Unidad de Gestión Documental y Archivo
* Ing. Roxana Sánchez Liendres,
 Jefe de Unidad de Gestión Documental y Archivo</t>
  </si>
  <si>
    <t>* Tcnlga. Piedad Chamba Castro,
  Técnico de Gestión Documental y     Archivo
* Tnlgo. Carlos Castillo Cruz,
  Técnico de Gestión Documental y Archivo</t>
  </si>
  <si>
    <t>* Responsables de archivos de gestión e intermedio
* Lic. Maira Ramírez Apolo,
  Analista de la Unidad de Gestión Documental y Archivo
* Ing. Roxana Sánchez Liendres,
  Jefe de Unidad de Gestión Documental y Archivo</t>
  </si>
  <si>
    <r>
      <t>* Tclgo. Andrés Castillo Cruz,
  Técnico de Gestión Documental y Archivo                                             
* Lic. Maira Ramírez Apolo,
  Analista de Gestión Documental y Archivo
* Ing. Roxana Sánch</t>
    </r>
    <r>
      <rPr>
        <i/>
        <sz val="10"/>
        <color theme="1"/>
        <rFont val="Arial Narrow"/>
      </rPr>
      <t>e</t>
    </r>
    <r>
      <rPr>
        <sz val="10"/>
        <color theme="1"/>
        <rFont val="Arial Narrow"/>
      </rPr>
      <t>z Liendres,
  Jefe de Unidad de Gestión Documental y Archivo</t>
    </r>
  </si>
  <si>
    <t>* Tclgo. Andrés Castillo Cruz,
  Técnico de Documentación y Archivo
* Ing. Roxana Sánchez Liendres,
  Jefe de Unidad de Gestión Documental y Archivo</t>
  </si>
  <si>
    <t>* Tcnlga. Piedad Chamba Castro
  Técnico de Gestión Documental y     Archivo
* Tnlgo. Carlos Castillo Cruz,
  Técnico de Gestión Documental y Archivo
* Lic. Maira Ramírez Apolo,
  Analista de Gestión Documental y Archivo
* Ing. Roxana Sánchez Liendres,
  Jefe de Unidad de Gestión Documental y Archivo</t>
  </si>
  <si>
    <t>* Tcnlga. Piedad Chamba Castro,
  Técnico de Gestión Documental y Archivo</t>
  </si>
  <si>
    <t>* Tclgo. Andrés Castillo Cruz,
  Técnico de Gestión Documental y Archivo</t>
  </si>
  <si>
    <r>
      <t xml:space="preserve">DISCO DURO EXTERNO </t>
    </r>
    <r>
      <rPr>
        <sz val="10"/>
        <color rgb="FF000000"/>
        <rFont val="Century Schoolbook"/>
        <family val="1"/>
      </rPr>
      <t>1</t>
    </r>
    <r>
      <rPr>
        <sz val="10"/>
        <color rgb="FF000000"/>
        <rFont val="Arial Narrow"/>
      </rPr>
      <t xml:space="preserve"> TB</t>
    </r>
  </si>
  <si>
    <r>
      <rPr>
        <sz val="10"/>
        <color rgb="FF000000"/>
        <rFont val="Century Schoolbook"/>
        <family val="1"/>
      </rPr>
      <t>*</t>
    </r>
    <r>
      <rPr>
        <sz val="10"/>
        <color rgb="FF000000"/>
        <rFont val="Arial Narrow"/>
        <family val="2"/>
      </rPr>
      <t xml:space="preserve"> Dr. Jhonny Pérez Rodríguez,
  Rector
* Abg. Ruth Moscoso Parra,
  Coordinadora General
* Abg. Andrea Torres Vivanco,
  Analista Jurídico
* Ing. Mariela Espinoza Torres,
  Directora Financiera</t>
    </r>
  </si>
  <si>
    <r>
      <rPr>
        <sz val="10"/>
        <color rgb="FF000000"/>
        <rFont val="Century Schoolbook"/>
        <family val="1"/>
      </rPr>
      <t>*</t>
    </r>
    <r>
      <rPr>
        <sz val="10"/>
        <color rgb="FF000000"/>
        <rFont val="Arial Narrow"/>
      </rPr>
      <t xml:space="preserve"> Dr. Jhonny Pérez Rodríguez,
  Rector
* Abg. Gerardo Fernández Valdiviezo,
  Secretario General
* Abg. Andrea Torres Vivanco,
  Analista de Jurídico</t>
    </r>
  </si>
  <si>
    <r>
      <rPr>
        <sz val="10"/>
        <color rgb="FF000000"/>
        <rFont val="Century Schoolbook"/>
        <family val="1"/>
      </rPr>
      <t>*</t>
    </r>
    <r>
      <rPr>
        <sz val="10"/>
        <color rgb="FF000000"/>
        <rFont val="Arial Narrow"/>
      </rPr>
      <t xml:space="preserve"> Dr. Jhonny Pérez Rodríguez,
  Rector
* Abg. Andrea Torres Vivanco,
  Analista de Jurídico
* Lcda. Johanna Vega Moscoso,
  Analista de Rectorado
* Lcda. Martha Rojas Lima,
  Analista de Rectorado
* Abg. Mariuxi Apolo Silva,
  Directora de Talento Humano</t>
    </r>
  </si>
  <si>
    <r>
      <rPr>
        <sz val="10"/>
        <color rgb="FF000000"/>
        <rFont val="Century Schoolbook"/>
        <family val="1"/>
      </rPr>
      <t>*</t>
    </r>
    <r>
      <rPr>
        <sz val="10"/>
        <color rgb="FF000000"/>
        <rFont val="Arial Narrow"/>
      </rPr>
      <t xml:space="preserve"> Dr. Jhonny Pérez Rodríguez,
  Rector
* Abg. Mariuxi Apolo Silva,
  Directora de Talento Humano
* Abg. Andrea Torres Vivanco,
  Analista de Jurídico
* Lcda. Johanna Vega Moscoso,
  Analista de Rectorado
* Lcda. Martha Rojas Lima,
  Analista de Rectorado</t>
    </r>
  </si>
  <si>
    <r>
      <rPr>
        <sz val="10"/>
        <color rgb="FF000000"/>
        <rFont val="Century Schoolbook"/>
        <family val="1"/>
      </rPr>
      <t>*</t>
    </r>
    <r>
      <rPr>
        <sz val="10"/>
        <color rgb="FF000000"/>
        <rFont val="Arial Narrow"/>
      </rPr>
      <t xml:space="preserve"> Dr. Jhonny Pérez Rodríguez,
  Rector
* Dra. Rosemary Samaniego,
  Vicerrectora Académica
* Abg. Andrea Torres Vivanco,
  Analista de Rectorado
* Lcda. Johanna Vega Moscoso,
  Analista de Rectorado
* Lcda. Martha Rojas Lima,
  Analista de Rectorado
* Ing. Luis Brito,
  Vicerrector de Investigación, Vinculación y Posgrado
* Ing. Irene Sánchez,
  Vicerrectora Administrativa</t>
    </r>
  </si>
  <si>
    <r>
      <rPr>
        <sz val="10"/>
        <color rgb="FF000000"/>
        <rFont val="Century Schoolbook"/>
        <family val="1"/>
      </rPr>
      <t>*</t>
    </r>
    <r>
      <rPr>
        <sz val="10"/>
        <color rgb="FF000000"/>
        <rFont val="Arial Narrow"/>
      </rPr>
      <t xml:space="preserve"> Dr. Jhonny Pérez Rodríguez,
  Rector
* Abg. Oscar Sánchez López,
  Director de Planificación
* Lcda. Johanna Vega Moscoso,
  Analista de Rectorado
* Lcda. Martha Rojas Lima,
  Analista de Rectorado
* Lcdo. Andrés Carvajal,
  Director de Comunicación</t>
    </r>
  </si>
  <si>
    <t>* Dr. Jhonny Pérez Rodríguez,
  Rector
* Abg. Oscar Sánchez López,
  Director de Planificación
* Ing. Mariela Espinoza Torres,
  Directora Financiera
* Lcda. Johanna Vega Moscoso,
  Analista de Rectorado
* Lcda. Martha Rojas Lima,
  Analista de Rectorado</t>
  </si>
  <si>
    <r>
      <rPr>
        <sz val="10"/>
        <color rgb="FF000000"/>
        <rFont val="Century Schoolbook"/>
        <family val="1"/>
      </rPr>
      <t>*</t>
    </r>
    <r>
      <rPr>
        <sz val="10"/>
        <color rgb="FF000000"/>
        <rFont val="Arial Narrow"/>
      </rPr>
      <t xml:space="preserve"> Dr. Jhonny Pérez Rodríguez,
  Rector
* Abg. Ruth Moscoso Parra,
  Coordinadora General de Rectorado
* Abg. Andrea Torres Vivanco,
  Analista de Rectorado
* Lcda. Johanna Vega Moscoso,
  Analista de Rectorado
* Lcda. Martha Rojas Lima,
  Analista de Rectorado</t>
    </r>
  </si>
  <si>
    <r>
      <rPr>
        <sz val="10"/>
        <color rgb="FF000000"/>
        <rFont val="Century Schoolbook"/>
        <family val="1"/>
      </rPr>
      <t>*</t>
    </r>
    <r>
      <rPr>
        <sz val="10"/>
        <color rgb="FF000000"/>
        <rFont val="Arial Narrow"/>
        <family val="2"/>
      </rPr>
      <t xml:space="preserve"> Dr. Jhonny Pérez Rodríguez,
  Rector
* Abg. Aníbal Campoverde,
  Procurador General
* Lcda. Johanna Vega Moscoso,
  Analista de Rectorado
* Lcda. Martha Rojas Lima,
  Analista de Rectorado
* Abg. Andrea Torres Vivanco,
  Analista de Rectorado
*</t>
    </r>
    <r>
      <rPr>
        <sz val="10"/>
        <color rgb="FF000000"/>
        <rFont val="Arial Narrow"/>
        <family val="2"/>
      </rPr>
      <t xml:space="preserve"> Decanos de las facultades académicas</t>
    </r>
  </si>
  <si>
    <r>
      <rPr>
        <sz val="10"/>
        <color rgb="FF000000"/>
        <rFont val="Century Schoolbook"/>
        <family val="1"/>
      </rPr>
      <t>*</t>
    </r>
    <r>
      <rPr>
        <sz val="10"/>
        <color rgb="FF000000"/>
        <rFont val="Arial Narrow"/>
        <family val="2"/>
      </rPr>
      <t xml:space="preserve"> Dr. Jhonny Pérez Rodríguez,
  Rector
* Abg. Gerardo Fernández,
  Secretario General
* Lcda. Johanna Vega Moscoso,
  Analista de Rectorado
* Lcda. Martha Rojas Lima,
  Analista de Rectorado
* Abg. Andrea Torres Vivanco,
  Analista de Rectorado</t>
    </r>
  </si>
  <si>
    <r>
      <rPr>
        <sz val="10"/>
        <color rgb="FF000000"/>
        <rFont val="Century Schoolbook"/>
        <family val="1"/>
      </rPr>
      <t>*</t>
    </r>
    <r>
      <rPr>
        <sz val="10"/>
        <color rgb="FF000000"/>
        <rFont val="Arial Narrow"/>
      </rPr>
      <t xml:space="preserve"> Dr. Jhonny Pérez Rodríguez,
  Rector
* Ing. Oscar Riofrío,
  Director de Tecnologías de la Información
* Lcda. Johanna Vega Moscoso,
  Analista de Rectorado
* Lcda. Martha Rojas Lima,
  Analista de Rectorado
* Abg. Andrea Torres Vivanco,
  Analista de Rectorado
* Ing. Fausto Figueroa Samaniego,
  Jefe de Compras Públicas</t>
    </r>
  </si>
  <si>
    <r>
      <rPr>
        <sz val="10"/>
        <color rgb="FF000000"/>
        <rFont val="Century Schoolbook"/>
        <family val="1"/>
      </rPr>
      <t>*</t>
    </r>
    <r>
      <rPr>
        <sz val="10"/>
        <color rgb="FF000000"/>
        <rFont val="Arial Narrow"/>
        <family val="2"/>
      </rPr>
      <t xml:space="preserve"> Dr. Jhonny Pérez Rodríguez,
  Rector
* Lcda. Ana Moscoso Parra,
  Directora de Vinculación
* Lcda. Johanna Vega Moscoso,
  Analista de Rectorado
* Lcda. Martha Rojas Lima,
  Analista de Rectorado
* Abg. Ruth Moscoso Parra,
  Directora de la Coordinación General del Rectorado</t>
    </r>
  </si>
  <si>
    <r>
      <rPr>
        <sz val="10"/>
        <color rgb="FF000000"/>
        <rFont val="Century Schoolbook"/>
        <family val="1"/>
      </rPr>
      <t>*</t>
    </r>
    <r>
      <rPr>
        <sz val="10"/>
        <color rgb="FF000000"/>
        <rFont val="Arial Narrow"/>
        <family val="2"/>
      </rPr>
      <t xml:space="preserve"> Dr. Jhonny Pérez Rodríguez,
  Rector
* Abg. Andrea Torres Vivanco,
  Analista de Jurídico
* Lcda. Johanna Vega Moscoso,
  Analista de Rectorado
* Lcda. Martha Rojas Lima,
  Analista de Rectorado
* Abg. Mariuxi Apolo Silva,
  Directora de Talento Humano</t>
    </r>
  </si>
  <si>
    <r>
      <rPr>
        <sz val="10"/>
        <color rgb="FF000000"/>
        <rFont val="Century Schoolbook"/>
        <family val="1"/>
      </rPr>
      <t>*</t>
    </r>
    <r>
      <rPr>
        <sz val="10"/>
        <color rgb="FF000000"/>
        <rFont val="Arial Narrow"/>
      </rPr>
      <t xml:space="preserve"> Dr. Jhonny Pérez Rodríguez,
  Rector
* Abg. Andrea Torres Vivanco,
  Analista de Jurídico
* Lcda. Johanna Vega Moscoso,
  Analista de Rectorado
* Lcda. Martha Rojas Lima,
  Analista de Rectorado
* Abg. Mariuxi Apolo Silva,
  Directora de Talento Humano
* Abg. Gerardo Fernández Valdivieso,
  Secretario General</t>
    </r>
  </si>
  <si>
    <r>
      <rPr>
        <sz val="10"/>
        <color rgb="FF000000"/>
        <rFont val="Century Schoolbook"/>
        <family val="1"/>
      </rPr>
      <t>*</t>
    </r>
    <r>
      <rPr>
        <sz val="10"/>
        <color rgb="FF000000"/>
        <rFont val="Arial Narrow"/>
      </rPr>
      <t xml:space="preserve"> Dr. Jhonny Pérez Rodríguez,
  Rector
* Abg. Ruth Moscoso Parra,
  Coordinadora General de Rectorado
* Abg. Andrea Torres Vivanco,
  Analista Jurídica
* Lcda. Johanna Vega Moscoso,
  Analista de Rectorado
* Lcda. Martha Rojas Lima,
  Analista de Rectorado</t>
    </r>
  </si>
  <si>
    <r>
      <rPr>
        <sz val="10"/>
        <color rgb="FF000000"/>
        <rFont val="Century Schoolbook"/>
        <family val="1"/>
      </rPr>
      <t>*</t>
    </r>
    <r>
      <rPr>
        <sz val="10"/>
        <color rgb="FF000000"/>
        <rFont val="Arial Narrow"/>
        <family val="2"/>
      </rPr>
      <t xml:space="preserve"> Dr. Jhonny Pérez Rodríguez,
  Rector
* Abg. Andrea Torres Vivanco,
  Analista Jurídica
* Lcda. Johanna Vega Moscoso,
  Analista de Rectorado
* Lcda. Martha Rojas Lima,
  Analista de Rectorado</t>
    </r>
  </si>
  <si>
    <t>Elaborar contratos relacionados a contratación pública.</t>
  </si>
  <si>
    <t>Proyectos 
de convenios previo a la firma de la máxima autoridad,
coordinados y/ o revisados.</t>
  </si>
  <si>
    <t>Dirigir, coordinar y asesorar a las principales 
autoridades de la 
Institución y direcciones departamentales, así como unificar criterio con los secretarios 
abogados de las Facultades. sobre la aplicabilidad de las normativa 
interna y externa.</t>
  </si>
  <si>
    <r>
      <rPr>
        <b/>
        <sz val="9"/>
        <color theme="1"/>
        <rFont val="Century Schoolbook"/>
        <family val="1"/>
      </rPr>
      <t>1.-</t>
    </r>
    <r>
      <rPr>
        <sz val="10"/>
        <color theme="1"/>
        <rFont val="Arial Narrow"/>
      </rPr>
      <t xml:space="preserve"> Registro de criterios unificados.</t>
    </r>
  </si>
  <si>
    <r>
      <rPr>
        <b/>
        <sz val="9"/>
        <color theme="1"/>
        <rFont val="Century Schoolbook"/>
        <family val="1"/>
      </rPr>
      <t>1.-</t>
    </r>
    <r>
      <rPr>
        <sz val="10"/>
        <color theme="1"/>
        <rFont val="Arial Narrow"/>
      </rPr>
      <t xml:space="preserve"> Registro de convenios elaborados.</t>
    </r>
  </si>
  <si>
    <r>
      <rPr>
        <b/>
        <sz val="9"/>
        <color theme="1"/>
        <rFont val="Century Schoolbook"/>
        <family val="1"/>
      </rPr>
      <t>1.-</t>
    </r>
    <r>
      <rPr>
        <sz val="10"/>
        <color theme="1"/>
        <rFont val="Arial Narrow"/>
      </rPr>
      <t xml:space="preserve"> Registro de contratos realizados.</t>
    </r>
  </si>
  <si>
    <r>
      <rPr>
        <b/>
        <sz val="9"/>
        <color theme="1"/>
        <rFont val="Century Schoolbook"/>
        <family val="1"/>
      </rPr>
      <t>1.-</t>
    </r>
    <r>
      <rPr>
        <sz val="10"/>
        <color theme="1"/>
        <rFont val="Arial Narrow"/>
        <family val="2"/>
      </rPr>
      <t xml:space="preserve"> Registro de Pronunciamientos realizados.</t>
    </r>
  </si>
  <si>
    <r>
      <rPr>
        <b/>
        <sz val="9"/>
        <color theme="1"/>
        <rFont val="Century Schoolbook"/>
        <family val="1"/>
      </rPr>
      <t>1.-</t>
    </r>
    <r>
      <rPr>
        <sz val="10"/>
        <color theme="1"/>
        <rFont val="Arial Narrow"/>
        <family val="2"/>
      </rPr>
      <t xml:space="preserve"> Recibir oficios de las diferentes dependencias donde expresan su consulta sobre la normativa vigente y entregar al procurador.
</t>
    </r>
    <r>
      <rPr>
        <b/>
        <sz val="9"/>
        <color theme="1"/>
        <rFont val="Century Schoolbook"/>
        <family val="1"/>
      </rPr>
      <t>2.-</t>
    </r>
    <r>
      <rPr>
        <sz val="10"/>
        <color theme="1"/>
        <rFont val="Arial Narrow"/>
        <family val="2"/>
      </rPr>
      <t xml:space="preserve"> Solicitar informe a las dependencias administrativas o facultades.
</t>
    </r>
    <r>
      <rPr>
        <b/>
        <sz val="9"/>
        <color theme="1"/>
        <rFont val="Century Schoolbook"/>
        <family val="1"/>
      </rPr>
      <t>3.-</t>
    </r>
    <r>
      <rPr>
        <sz val="10"/>
        <color theme="1"/>
        <rFont val="Arial Narrow"/>
        <family val="2"/>
      </rPr>
      <t xml:space="preserve"> Disponer la persona que realizará la absolución de consulta.
</t>
    </r>
    <r>
      <rPr>
        <b/>
        <sz val="9"/>
        <color theme="1"/>
        <rFont val="Century Schoolbook"/>
        <family val="1"/>
      </rPr>
      <t>4.-</t>
    </r>
    <r>
      <rPr>
        <sz val="10"/>
        <color theme="1"/>
        <rFont val="Arial Narrow"/>
        <family val="2"/>
      </rPr>
      <t xml:space="preserve"> Distribuir entre el personal las asignaciones realizadas por el procurador.
</t>
    </r>
    <r>
      <rPr>
        <b/>
        <sz val="9"/>
        <color theme="1"/>
        <rFont val="Century Schoolbook"/>
        <family val="1"/>
      </rPr>
      <t>5.-</t>
    </r>
    <r>
      <rPr>
        <sz val="10"/>
        <color theme="1"/>
        <rFont val="Arial Narrow"/>
        <family val="2"/>
      </rPr>
      <t xml:space="preserve"> Emitir pronunciamientos a las órdenes del Rector, Consejo Universitario y demás dependencias administrativas.
</t>
    </r>
    <r>
      <rPr>
        <b/>
        <sz val="9"/>
        <color theme="1"/>
        <rFont val="Century Schoolbook"/>
        <family val="1"/>
      </rPr>
      <t>6.-</t>
    </r>
    <r>
      <rPr>
        <sz val="10"/>
        <color theme="1"/>
        <rFont val="Arial Narrow"/>
        <family val="2"/>
      </rPr>
      <t xml:space="preserve"> Suscribir pronunciamientos.</t>
    </r>
  </si>
  <si>
    <r>
      <rPr>
        <b/>
        <sz val="9"/>
        <color theme="1"/>
        <rFont val="Century Schoolbook"/>
        <family val="1"/>
      </rPr>
      <t>1.-</t>
    </r>
    <r>
      <rPr>
        <sz val="10"/>
        <color theme="1"/>
        <rFont val="Arial Narrow"/>
        <family val="2"/>
      </rPr>
      <t xml:space="preserve"> Receptar Oficios que contengan solicitud de informe jurídico de proyectos o borradores de reglamentación, instructivos de diferentes departamentos o Facultades.
</t>
    </r>
    <r>
      <rPr>
        <b/>
        <sz val="9"/>
        <color theme="1"/>
        <rFont val="Century Schoolbook"/>
        <family val="1"/>
      </rPr>
      <t>2.-</t>
    </r>
    <r>
      <rPr>
        <sz val="10"/>
        <color theme="1"/>
        <rFont val="Arial Narrow"/>
        <family val="2"/>
      </rPr>
      <t xml:space="preserve"> Disponer la persona que revisará el o los proyectos de Reglamento o Instructivo.
</t>
    </r>
    <r>
      <rPr>
        <b/>
        <sz val="9"/>
        <color theme="1"/>
        <rFont val="Century Schoolbook"/>
        <family val="1"/>
      </rPr>
      <t>3.-</t>
    </r>
    <r>
      <rPr>
        <sz val="10"/>
        <color theme="1"/>
        <rFont val="Arial Narrow"/>
        <family val="2"/>
      </rPr>
      <t xml:space="preserve"> Distribuir entre el personal las asignaciones realizadas por el procurador.
</t>
    </r>
    <r>
      <rPr>
        <b/>
        <sz val="9"/>
        <color theme="1"/>
        <rFont val="Century Schoolbook"/>
        <family val="1"/>
      </rPr>
      <t>4.-</t>
    </r>
    <r>
      <rPr>
        <sz val="10"/>
        <color theme="1"/>
        <rFont val="Arial Narrow"/>
        <family val="2"/>
      </rPr>
      <t xml:space="preserve"> Revisar los proyectos o borradores de reglamentación o instructivos recibidos.
</t>
    </r>
    <r>
      <rPr>
        <b/>
        <sz val="9"/>
        <color theme="1"/>
        <rFont val="Century Schoolbook"/>
        <family val="1"/>
      </rPr>
      <t>5.-</t>
    </r>
    <r>
      <rPr>
        <sz val="10"/>
        <color theme="1"/>
        <rFont val="Arial Narrow"/>
        <family val="2"/>
      </rPr>
      <t xml:space="preserve"> Emitir el correspondiente informe sobre las observaciones realizadas al borrador del reglamento o instructivo.</t>
    </r>
  </si>
  <si>
    <r>
      <t xml:space="preserve">DPLAN: Se centraliza en </t>
    </r>
    <r>
      <rPr>
        <sz val="10"/>
        <color theme="1"/>
        <rFont val="Century Schoolbook"/>
        <family val="1"/>
      </rPr>
      <t>17</t>
    </r>
    <r>
      <rPr>
        <sz val="10"/>
        <color theme="1"/>
        <rFont val="Arial Narrow"/>
      </rPr>
      <t>. DTIC.</t>
    </r>
  </si>
  <si>
    <r>
      <t>DPLAN: Se trasladan a esta partida, programa y dependencia, la planificación de usuarios de las Dirección Financiera (</t>
    </r>
    <r>
      <rPr>
        <sz val="10"/>
        <color theme="1"/>
        <rFont val="Century Schoolbook"/>
        <family val="1"/>
      </rPr>
      <t>1</t>
    </r>
    <r>
      <rPr>
        <sz val="10"/>
        <color theme="1"/>
        <rFont val="Arial Narrow"/>
      </rPr>
      <t>), Dirección Administrativa (</t>
    </r>
    <r>
      <rPr>
        <sz val="10"/>
        <color theme="1"/>
        <rFont val="Century Schoolbook"/>
        <family val="1"/>
      </rPr>
      <t>1</t>
    </r>
    <r>
      <rPr>
        <sz val="10"/>
        <color theme="1"/>
        <rFont val="Arial Narrow"/>
      </rPr>
      <t>),  Dirección de Planificación (</t>
    </r>
    <r>
      <rPr>
        <sz val="10"/>
        <color theme="1"/>
        <rFont val="Century Schoolbook"/>
        <family val="1"/>
      </rPr>
      <t>1</t>
    </r>
    <r>
      <rPr>
        <sz val="10"/>
        <color theme="1"/>
        <rFont val="Arial Narrow"/>
      </rPr>
      <t>) y la Secretaría General (</t>
    </r>
    <r>
      <rPr>
        <sz val="10"/>
        <color theme="1"/>
        <rFont val="Century Schoolbook"/>
        <family val="1"/>
      </rPr>
      <t>1</t>
    </r>
    <r>
      <rPr>
        <sz val="10"/>
        <color theme="1"/>
        <rFont val="Arial Narrow"/>
      </rPr>
      <t>) para realizar un solo proceso de contratación</t>
    </r>
  </si>
  <si>
    <r>
      <t xml:space="preserve">DPLAN: Reprogramar posteriormente en la partida </t>
    </r>
    <r>
      <rPr>
        <sz val="10"/>
        <color theme="1"/>
        <rFont val="Century Schoolbook"/>
        <family val="1"/>
      </rPr>
      <t>570206</t>
    </r>
    <r>
      <rPr>
        <sz val="10"/>
        <color theme="1"/>
        <rFont val="Arial Narrow"/>
      </rPr>
      <t xml:space="preserve"> "Costas Judiciales, Trámites Notariales, Legalización de Documentos y Arreglos Extrajudiciales"</t>
    </r>
  </si>
  <si>
    <r>
      <t xml:space="preserve">Elaborado por: </t>
    </r>
    <r>
      <rPr>
        <sz val="10"/>
        <color theme="1"/>
        <rFont val="Arial Narrow"/>
        <family val="2"/>
      </rPr>
      <t xml:space="preserve">Washington Michel Quiñonez Rojas </t>
    </r>
  </si>
  <si>
    <r>
      <t xml:space="preserve">Fecha: </t>
    </r>
    <r>
      <rPr>
        <sz val="10"/>
        <color theme="1"/>
        <rFont val="Arial Narrow"/>
        <family val="2"/>
      </rPr>
      <t>13 de septiembre de 2022</t>
    </r>
  </si>
  <si>
    <r>
      <rPr>
        <b/>
        <sz val="9"/>
        <color theme="1"/>
        <rFont val="Century Schoolbook"/>
        <family val="1"/>
      </rPr>
      <t>1.-</t>
    </r>
    <r>
      <rPr>
        <sz val="10"/>
        <color theme="1"/>
        <rFont val="Arial Narrow"/>
      </rPr>
      <t xml:space="preserve"> Reporte de contenidos cargados.</t>
    </r>
  </si>
  <si>
    <r>
      <rPr>
        <b/>
        <sz val="9"/>
        <color theme="1"/>
        <rFont val="Century Schoolbook"/>
        <family val="1"/>
      </rPr>
      <t>1.-</t>
    </r>
    <r>
      <rPr>
        <sz val="10"/>
        <color theme="1"/>
        <rFont val="Arial Narrow"/>
      </rPr>
      <t xml:space="preserve"> Reporte de informes consolidado otorgados</t>
    </r>
  </si>
  <si>
    <r>
      <rPr>
        <b/>
        <sz val="9"/>
        <color theme="1"/>
        <rFont val="Century Schoolbook"/>
        <family val="1"/>
      </rPr>
      <t>1.-</t>
    </r>
    <r>
      <rPr>
        <sz val="10"/>
        <color theme="1"/>
        <rFont val="Arial Narrow"/>
      </rPr>
      <t xml:space="preserve"> Informe anual del nivel de la calidad y accesibilidad de la información difundida.</t>
    </r>
  </si>
  <si>
    <r>
      <rPr>
        <b/>
        <sz val="9"/>
        <color theme="1"/>
        <rFont val="Century Schoolbook"/>
        <family val="1"/>
      </rPr>
      <t>1.-</t>
    </r>
    <r>
      <rPr>
        <sz val="10"/>
        <color theme="1"/>
        <rFont val="Arial Narrow"/>
      </rPr>
      <t xml:space="preserve"> Monitorear publicaciones en los diarios.
</t>
    </r>
    <r>
      <rPr>
        <b/>
        <sz val="9"/>
        <color theme="1"/>
        <rFont val="Century Schoolbook"/>
        <family val="1"/>
      </rPr>
      <t>2.-</t>
    </r>
    <r>
      <rPr>
        <sz val="10"/>
        <color theme="1"/>
        <rFont val="Arial Narrow"/>
      </rPr>
      <t xml:space="preserve"> Recortar noticias de los periódicos.
</t>
    </r>
    <r>
      <rPr>
        <b/>
        <sz val="9"/>
        <color theme="1"/>
        <rFont val="Century Schoolbook"/>
        <family val="1"/>
      </rPr>
      <t>3.-</t>
    </r>
    <r>
      <rPr>
        <sz val="10"/>
        <color theme="1"/>
        <rFont val="Arial Narrow"/>
      </rPr>
      <t xml:space="preserve"> Archivar en carpetas y clasificarlas por meses.
</t>
    </r>
    <r>
      <rPr>
        <b/>
        <sz val="9"/>
        <color theme="1"/>
        <rFont val="Century Schoolbook"/>
        <family val="1"/>
      </rPr>
      <t>4.-</t>
    </r>
    <r>
      <rPr>
        <sz val="10"/>
        <color theme="1"/>
        <rFont val="Arial Narrow"/>
      </rPr>
      <t xml:space="preserve"> Tabular datos y condensarlos en matriz.</t>
    </r>
  </si>
  <si>
    <r>
      <rPr>
        <b/>
        <sz val="9"/>
        <color theme="1"/>
        <rFont val="Century Schoolbook"/>
        <family val="1"/>
      </rPr>
      <t>1.-</t>
    </r>
    <r>
      <rPr>
        <sz val="10"/>
        <color theme="1"/>
        <rFont val="Arial Narrow"/>
      </rPr>
      <t xml:space="preserve"> Planificar.
</t>
    </r>
    <r>
      <rPr>
        <b/>
        <sz val="9"/>
        <color theme="1"/>
        <rFont val="Century Schoolbook"/>
        <family val="1"/>
      </rPr>
      <t>2.-</t>
    </r>
    <r>
      <rPr>
        <sz val="10"/>
        <color theme="1"/>
        <rFont val="Arial Narrow"/>
      </rPr>
      <t xml:space="preserve"> Asesorar.
</t>
    </r>
    <r>
      <rPr>
        <b/>
        <sz val="9"/>
        <color theme="1"/>
        <rFont val="Century Schoolbook"/>
        <family val="1"/>
      </rPr>
      <t>3.-</t>
    </r>
    <r>
      <rPr>
        <sz val="10"/>
        <color theme="1"/>
        <rFont val="Arial Narrow"/>
      </rPr>
      <t xml:space="preserve"> Evaluar.
</t>
    </r>
    <r>
      <rPr>
        <b/>
        <sz val="9"/>
        <color theme="1"/>
        <rFont val="Century Schoolbook"/>
        <family val="1"/>
      </rPr>
      <t>4.-</t>
    </r>
    <r>
      <rPr>
        <sz val="10"/>
        <color theme="1"/>
        <rFont val="Arial Narrow"/>
      </rPr>
      <t xml:space="preserve"> Consolidar informe.
</t>
    </r>
    <r>
      <rPr>
        <b/>
        <sz val="9"/>
        <color theme="1"/>
        <rFont val="Century Schoolbook"/>
        <family val="1"/>
      </rPr>
      <t>5.-</t>
    </r>
    <r>
      <rPr>
        <sz val="10"/>
        <color theme="1"/>
        <rFont val="Arial Narrow"/>
      </rPr>
      <t xml:space="preserve"> Redactar.</t>
    </r>
  </si>
  <si>
    <r>
      <rPr>
        <b/>
        <sz val="9"/>
        <color theme="1"/>
        <rFont val="Century Schoolbook"/>
        <family val="1"/>
      </rPr>
      <t>1.-</t>
    </r>
    <r>
      <rPr>
        <sz val="10"/>
        <color theme="1"/>
        <rFont val="Arial Narrow"/>
      </rPr>
      <t xml:space="preserve"> Diseñar encuesta.
</t>
    </r>
    <r>
      <rPr>
        <b/>
        <sz val="9"/>
        <color theme="1"/>
        <rFont val="Century Schoolbook"/>
        <family val="1"/>
      </rPr>
      <t>2.-</t>
    </r>
    <r>
      <rPr>
        <sz val="10"/>
        <color theme="1"/>
        <rFont val="Arial Narrow"/>
      </rPr>
      <t xml:space="preserve"> Elaborar cuestionario.
</t>
    </r>
    <r>
      <rPr>
        <b/>
        <sz val="9"/>
        <color theme="1"/>
        <rFont val="Century Schoolbook"/>
        <family val="1"/>
      </rPr>
      <t>3.-</t>
    </r>
    <r>
      <rPr>
        <sz val="10"/>
        <color theme="1"/>
        <rFont val="Arial Narrow"/>
      </rPr>
      <t xml:space="preserve"> Aplicar prueba piloto.
</t>
    </r>
    <r>
      <rPr>
        <b/>
        <sz val="9"/>
        <color theme="1"/>
        <rFont val="Century Schoolbook"/>
        <family val="1"/>
      </rPr>
      <t>4.-</t>
    </r>
    <r>
      <rPr>
        <sz val="10"/>
        <color theme="1"/>
        <rFont val="Arial Narrow"/>
      </rPr>
      <t xml:space="preserve"> Redactar encuesta definitiva.
</t>
    </r>
    <r>
      <rPr>
        <b/>
        <sz val="9"/>
        <color theme="1"/>
        <rFont val="Century Schoolbook"/>
        <family val="1"/>
      </rPr>
      <t>5.-</t>
    </r>
    <r>
      <rPr>
        <sz val="10"/>
        <color theme="1"/>
        <rFont val="Arial Narrow"/>
      </rPr>
      <t xml:space="preserve"> Subir a sistema informático.
</t>
    </r>
    <r>
      <rPr>
        <b/>
        <sz val="10"/>
        <color theme="1"/>
        <rFont val="Century Schoolbook"/>
        <family val="1"/>
      </rPr>
      <t>6.-</t>
    </r>
    <r>
      <rPr>
        <sz val="10"/>
        <color theme="1"/>
        <rFont val="Arial Narrow"/>
      </rPr>
      <t xml:space="preserve"> Analizar resultados.</t>
    </r>
  </si>
  <si>
    <r>
      <rPr>
        <b/>
        <sz val="9"/>
        <color theme="1"/>
        <rFont val="Century Schoolbook"/>
        <family val="1"/>
      </rPr>
      <t>1.-</t>
    </r>
    <r>
      <rPr>
        <sz val="10"/>
        <color theme="1"/>
        <rFont val="Arial Narrow"/>
      </rPr>
      <t xml:space="preserve"> Plan Operativo Anual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Evaluación del POA </t>
    </r>
    <r>
      <rPr>
        <sz val="10"/>
        <color theme="1"/>
        <rFont val="Century Schoolbook"/>
        <family val="1"/>
      </rPr>
      <t>2023.</t>
    </r>
  </si>
  <si>
    <r>
      <rPr>
        <b/>
        <sz val="9"/>
        <color theme="1"/>
        <rFont val="Century Schoolbook"/>
        <family val="1"/>
      </rPr>
      <t>1.-</t>
    </r>
    <r>
      <rPr>
        <sz val="10"/>
        <color theme="1"/>
        <rFont val="Arial Narrow"/>
      </rPr>
      <t xml:space="preserve"> Planificar.
</t>
    </r>
    <r>
      <rPr>
        <b/>
        <sz val="9"/>
        <color theme="1"/>
        <rFont val="Century Schoolbook"/>
        <family val="1"/>
      </rPr>
      <t>2.-</t>
    </r>
    <r>
      <rPr>
        <sz val="10"/>
        <color theme="1"/>
        <rFont val="Arial Narrow"/>
      </rPr>
      <t xml:space="preserve"> Recoger información.
</t>
    </r>
    <r>
      <rPr>
        <b/>
        <sz val="9"/>
        <color theme="1"/>
        <rFont val="Century Schoolbook"/>
        <family val="1"/>
      </rPr>
      <t>3.-</t>
    </r>
    <r>
      <rPr>
        <sz val="10"/>
        <color theme="1"/>
        <rFont val="Arial Narrow"/>
      </rPr>
      <t xml:space="preserve"> Sistematizar.
</t>
    </r>
    <r>
      <rPr>
        <b/>
        <sz val="9"/>
        <color theme="1"/>
        <rFont val="Century Schoolbook"/>
        <family val="1"/>
      </rPr>
      <t>4.-</t>
    </r>
    <r>
      <rPr>
        <sz val="10"/>
        <color theme="1"/>
        <rFont val="Arial Narrow"/>
      </rPr>
      <t xml:space="preserve"> Evaluar.
</t>
    </r>
    <r>
      <rPr>
        <b/>
        <sz val="9"/>
        <color theme="1"/>
        <rFont val="Century Schoolbook"/>
        <family val="1"/>
      </rPr>
      <t>5.-</t>
    </r>
    <r>
      <rPr>
        <sz val="10"/>
        <color theme="1"/>
        <rFont val="Arial Narrow"/>
      </rPr>
      <t xml:space="preserve"> Presentar.</t>
    </r>
  </si>
  <si>
    <r>
      <rPr>
        <b/>
        <sz val="9"/>
        <color theme="1"/>
        <rFont val="Century Schoolbook"/>
        <family val="1"/>
      </rPr>
      <t>1.-</t>
    </r>
    <r>
      <rPr>
        <sz val="10"/>
        <color theme="1"/>
        <rFont val="Arial Narrow"/>
      </rPr>
      <t xml:space="preserve"> Inventario Documental.</t>
    </r>
  </si>
  <si>
    <r>
      <rPr>
        <b/>
        <sz val="9"/>
        <color theme="1"/>
        <rFont val="Century Schoolbook"/>
        <family val="1"/>
      </rPr>
      <t>1.-</t>
    </r>
    <r>
      <rPr>
        <sz val="10"/>
        <color theme="1"/>
        <rFont val="Arial Narrow"/>
        <family val="2"/>
      </rPr>
      <t xml:space="preserve"> Receptar archivos.
</t>
    </r>
    <r>
      <rPr>
        <b/>
        <sz val="9"/>
        <color theme="1"/>
        <rFont val="Century Schoolbook"/>
        <family val="1"/>
      </rPr>
      <t>2.-</t>
    </r>
    <r>
      <rPr>
        <sz val="10"/>
        <color theme="1"/>
        <rFont val="Arial Narrow"/>
        <family val="2"/>
      </rPr>
      <t xml:space="preserve"> Organizar.
</t>
    </r>
    <r>
      <rPr>
        <b/>
        <sz val="9"/>
        <color theme="1"/>
        <rFont val="Century Schoolbook"/>
        <family val="1"/>
      </rPr>
      <t>3.-</t>
    </r>
    <r>
      <rPr>
        <sz val="10"/>
        <color theme="1"/>
        <rFont val="Arial Narrow"/>
        <family val="2"/>
      </rPr>
      <t xml:space="preserve"> Clasificar.
</t>
    </r>
    <r>
      <rPr>
        <b/>
        <sz val="9"/>
        <color theme="1"/>
        <rFont val="Century Schoolbook"/>
        <family val="1"/>
      </rPr>
      <t>4.-</t>
    </r>
    <r>
      <rPr>
        <sz val="10"/>
        <color theme="1"/>
        <rFont val="Arial Narrow"/>
        <family val="2"/>
      </rPr>
      <t xml:space="preserve"> Archivar.</t>
    </r>
  </si>
  <si>
    <r>
      <t xml:space="preserve">Elaborado por: </t>
    </r>
    <r>
      <rPr>
        <sz val="11"/>
        <color theme="1"/>
        <rFont val="Arial Narrow"/>
        <family val="2"/>
      </rPr>
      <t>Cristhina Álvarez Marín, Vicerrectorado de Investigación, Vinculación y Posgrado; Karina Elizabeth Lozano Zambrano, Editorial.</t>
    </r>
  </si>
  <si>
    <r>
      <t xml:space="preserve">Elaborado por: </t>
    </r>
    <r>
      <rPr>
        <sz val="11"/>
        <color theme="1"/>
        <rFont val="Arial Narrow"/>
        <family val="2"/>
      </rPr>
      <t>Paola Apolo Silva</t>
    </r>
  </si>
  <si>
    <r>
      <t xml:space="preserve">Elaborado por:  </t>
    </r>
    <r>
      <rPr>
        <sz val="11"/>
        <color theme="1"/>
        <rFont val="Arial Narrow"/>
        <family val="2"/>
      </rPr>
      <t>Alicia Illescas  Zaruma</t>
    </r>
  </si>
  <si>
    <r>
      <t xml:space="preserve">Fecha: </t>
    </r>
    <r>
      <rPr>
        <sz val="11"/>
        <color theme="1"/>
        <rFont val="Arial Narrow"/>
        <family val="2"/>
      </rPr>
      <t>Machala 9 de septiembre de 2022</t>
    </r>
  </si>
  <si>
    <t>DIRECCIÓN DE FORMACIÓN PROFESIONAL</t>
  </si>
  <si>
    <r>
      <t xml:space="preserve">Elaborado y compilado por: </t>
    </r>
    <r>
      <rPr>
        <sz val="11"/>
        <color theme="1"/>
        <rFont val="Arial Narrow"/>
        <family val="2"/>
      </rPr>
      <t xml:space="preserve"> Jorge Luis Benites</t>
    </r>
  </si>
  <si>
    <r>
      <rPr>
        <b/>
        <sz val="11"/>
        <color rgb="FFFF0000"/>
        <rFont val="Arial Narrow"/>
        <family val="2"/>
      </rPr>
      <t>NOTA:</t>
    </r>
    <r>
      <rPr>
        <sz val="11"/>
        <color theme="1"/>
        <rFont val="Arial Narrow"/>
        <family val="2"/>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</si>
  <si>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r>
      <rPr>
        <b/>
        <sz val="11"/>
        <color rgb="FFFF0000"/>
        <rFont val="Arial Narrow"/>
        <family val="2"/>
      </rPr>
      <t>NOTA:</t>
    </r>
    <r>
      <rPr>
        <sz val="11"/>
        <color rgb="FF000000"/>
        <rFont val="Arial Narrow"/>
        <family val="2"/>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</si>
  <si>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TOTAL PRESUPUESTO ESTIMATIVO RECTORADO 2023:</t>
  </si>
  <si>
    <t>TOTAL PRESUPUESTO ESTIMATIVO PROCURADURÍA GENERAL 2023:</t>
  </si>
  <si>
    <t>TOTAL PRESUPUESTO ESTIMATIVO DIRECCIÓN DE COMUNICACIÓN 2023:</t>
  </si>
  <si>
    <r>
      <t>Fecha:</t>
    </r>
    <r>
      <rPr>
        <sz val="11"/>
        <color theme="1"/>
        <rFont val="Arial Narrow"/>
        <family val="2"/>
      </rPr>
      <t xml:space="preserve"> </t>
    </r>
    <r>
      <rPr>
        <sz val="11"/>
        <color theme="1"/>
        <rFont val="Century Schoolbook"/>
        <family val="1"/>
      </rPr>
      <t>13-09-2022</t>
    </r>
  </si>
  <si>
    <r>
      <t>Fecha:</t>
    </r>
    <r>
      <rPr>
        <sz val="11"/>
        <color theme="1"/>
        <rFont val="Arial Narrow"/>
        <family val="2"/>
      </rPr>
      <t xml:space="preserve"> </t>
    </r>
    <r>
      <rPr>
        <sz val="11"/>
        <color theme="1"/>
        <rFont val="Century Schoolbook"/>
        <family val="1"/>
      </rPr>
      <t>13/09/2022</t>
    </r>
  </si>
  <si>
    <r>
      <t xml:space="preserve">Fecha: </t>
    </r>
    <r>
      <rPr>
        <sz val="10"/>
        <color theme="1"/>
        <rFont val="Century Schoolbook"/>
        <family val="1"/>
      </rPr>
      <t>22/09/2022</t>
    </r>
  </si>
  <si>
    <t>TOTAL PRESUPUESTO ESTIMATIVO UGC 2023:</t>
  </si>
  <si>
    <r>
      <t xml:space="preserve">Elaborado por:  </t>
    </r>
    <r>
      <rPr>
        <sz val="11"/>
        <color theme="1"/>
        <rFont val="Arial Narrow"/>
        <family val="2"/>
      </rPr>
      <t>Ing. María Isabel Carpio J.</t>
    </r>
  </si>
  <si>
    <r>
      <t xml:space="preserve">Fecha: </t>
    </r>
    <r>
      <rPr>
        <sz val="11"/>
        <color theme="1"/>
        <rFont val="Century Schoolbook"/>
        <family val="1"/>
      </rPr>
      <t>13/09/2022</t>
    </r>
  </si>
  <si>
    <r>
      <rPr>
        <b/>
        <sz val="11"/>
        <color rgb="FFFF0000"/>
        <rFont val="Arial Narrow"/>
        <family val="2"/>
      </rPr>
      <t>NOTA:</t>
    </r>
    <r>
      <rPr>
        <sz val="11"/>
        <color theme="1"/>
        <rFont val="Arial Narrow"/>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</si>
  <si>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Fondos de Reposición de Caja Chicha</t>
  </si>
  <si>
    <r>
      <t xml:space="preserve">FUENTE </t>
    </r>
    <r>
      <rPr>
        <sz val="11"/>
        <color theme="1"/>
        <rFont val="Century Schoolbook"/>
        <family val="1"/>
      </rPr>
      <t>2</t>
    </r>
  </si>
  <si>
    <r>
      <t xml:space="preserve">FUENTE </t>
    </r>
    <r>
      <rPr>
        <sz val="11"/>
        <color theme="1"/>
        <rFont val="Century Schoolbook"/>
        <family val="1"/>
      </rPr>
      <t>3</t>
    </r>
  </si>
  <si>
    <r>
      <t xml:space="preserve">FUENTE </t>
    </r>
    <r>
      <rPr>
        <sz val="11"/>
        <color theme="1"/>
        <rFont val="Century Schoolbook"/>
        <family val="1"/>
      </rPr>
      <t>202</t>
    </r>
  </si>
  <si>
    <r>
      <rPr>
        <sz val="11"/>
        <color theme="1"/>
        <rFont val="Century Schoolbook"/>
        <family val="1"/>
      </rPr>
      <t>53</t>
    </r>
    <r>
      <rPr>
        <sz val="11"/>
        <color theme="1"/>
        <rFont val="Arial Narrow"/>
        <family val="2"/>
      </rPr>
      <t xml:space="preserve"> Bienes y Servicios de Consumo</t>
    </r>
  </si>
  <si>
    <r>
      <rPr>
        <sz val="11"/>
        <color theme="1"/>
        <rFont val="Century Schoolbook"/>
        <family val="1"/>
      </rPr>
      <t>57</t>
    </r>
    <r>
      <rPr>
        <sz val="11"/>
        <color theme="1"/>
        <rFont val="Arial Narrow"/>
        <family val="2"/>
      </rPr>
      <t xml:space="preserve"> Otros Egresos Corrientes</t>
    </r>
  </si>
  <si>
    <r>
      <rPr>
        <sz val="11"/>
        <color theme="1"/>
        <rFont val="Century Schoolbook"/>
        <family val="1"/>
      </rPr>
      <t>58</t>
    </r>
    <r>
      <rPr>
        <sz val="11"/>
        <color theme="1"/>
        <rFont val="Arial Narrow"/>
        <family val="2"/>
      </rPr>
      <t xml:space="preserve"> Transferencias o Donaciones Corrientes </t>
    </r>
  </si>
  <si>
    <r>
      <rPr>
        <sz val="11"/>
        <color theme="1"/>
        <rFont val="Century Schoolbook"/>
        <family val="1"/>
      </rPr>
      <t>71</t>
    </r>
    <r>
      <rPr>
        <sz val="11"/>
        <color theme="1"/>
        <rFont val="Arial Narrow"/>
        <family val="2"/>
      </rPr>
      <t xml:space="preserve"> Egresos en Personal para Inversión </t>
    </r>
  </si>
  <si>
    <r>
      <rPr>
        <sz val="11"/>
        <color theme="1"/>
        <rFont val="Century Schoolbook"/>
        <family val="1"/>
      </rPr>
      <t>73</t>
    </r>
    <r>
      <rPr>
        <sz val="11"/>
        <color theme="1"/>
        <rFont val="Arial Narrow"/>
        <family val="2"/>
      </rPr>
      <t xml:space="preserve"> Bienes y Servicios para Inversión </t>
    </r>
  </si>
  <si>
    <r>
      <rPr>
        <sz val="11"/>
        <color theme="1"/>
        <rFont val="Century Schoolbook"/>
        <family val="1"/>
      </rPr>
      <t>84</t>
    </r>
    <r>
      <rPr>
        <sz val="11"/>
        <color theme="1"/>
        <rFont val="Arial Narrow"/>
        <family val="2"/>
      </rPr>
      <t xml:space="preserve"> Bienes de Larga Duración</t>
    </r>
  </si>
  <si>
    <r>
      <rPr>
        <sz val="11"/>
        <color theme="1"/>
        <rFont val="Century Schoolbook"/>
        <family val="1"/>
      </rPr>
      <t>99</t>
    </r>
    <r>
      <rPr>
        <sz val="11"/>
        <color theme="1"/>
        <rFont val="Arial Narrow"/>
        <family val="2"/>
      </rPr>
      <t xml:space="preserve"> Otros Pasivos</t>
    </r>
  </si>
  <si>
    <r>
      <t xml:space="preserve">FUENTE </t>
    </r>
    <r>
      <rPr>
        <sz val="11"/>
        <rFont val="Century Schoolbook"/>
        <family val="1"/>
      </rPr>
      <t>1</t>
    </r>
  </si>
  <si>
    <r>
      <t xml:space="preserve">FUENTE </t>
    </r>
    <r>
      <rPr>
        <sz val="11"/>
        <rFont val="Century Schoolbook"/>
        <family val="1"/>
      </rPr>
      <t>2</t>
    </r>
  </si>
  <si>
    <r>
      <t xml:space="preserve">FUENTE </t>
    </r>
    <r>
      <rPr>
        <sz val="11"/>
        <rFont val="Century Schoolbook"/>
        <family val="1"/>
      </rPr>
      <t>3</t>
    </r>
  </si>
  <si>
    <r>
      <t xml:space="preserve">FUENTE </t>
    </r>
    <r>
      <rPr>
        <sz val="11"/>
        <rFont val="Century Schoolbook"/>
        <family val="1"/>
      </rPr>
      <t>202</t>
    </r>
  </si>
  <si>
    <r>
      <rPr>
        <sz val="11"/>
        <rFont val="Century Schoolbook"/>
        <family val="1"/>
      </rPr>
      <t>51</t>
    </r>
    <r>
      <rPr>
        <sz val="11"/>
        <rFont val="Arial Narrow"/>
        <family val="2"/>
      </rPr>
      <t xml:space="preserve"> Egresos en Personal</t>
    </r>
  </si>
  <si>
    <r>
      <rPr>
        <sz val="11"/>
        <rFont val="Century Schoolbook"/>
        <family val="1"/>
      </rPr>
      <t>53</t>
    </r>
    <r>
      <rPr>
        <sz val="11"/>
        <rFont val="Arial Narrow"/>
        <family val="2"/>
      </rPr>
      <t xml:space="preserve"> Bienes y Servicios de Consumo</t>
    </r>
  </si>
  <si>
    <r>
      <rPr>
        <sz val="11"/>
        <rFont val="Century Schoolbook"/>
        <family val="1"/>
      </rPr>
      <t>57</t>
    </r>
    <r>
      <rPr>
        <sz val="11"/>
        <rFont val="Arial Narrow"/>
        <family val="2"/>
      </rPr>
      <t xml:space="preserve"> Otros Egresos Corrientes</t>
    </r>
  </si>
  <si>
    <r>
      <rPr>
        <sz val="11"/>
        <rFont val="Century Schoolbook"/>
        <family val="1"/>
      </rPr>
      <t>58</t>
    </r>
    <r>
      <rPr>
        <sz val="11"/>
        <rFont val="Arial Narrow"/>
        <family val="2"/>
      </rPr>
      <t xml:space="preserve"> Transferencias o Donaciones Corrientes </t>
    </r>
  </si>
  <si>
    <r>
      <rPr>
        <sz val="11"/>
        <rFont val="Century Schoolbook"/>
        <family val="1"/>
      </rPr>
      <t>71</t>
    </r>
    <r>
      <rPr>
        <sz val="11"/>
        <rFont val="Arial Narrow"/>
        <family val="2"/>
      </rPr>
      <t xml:space="preserve"> Egresos en Personal para Inversión</t>
    </r>
  </si>
  <si>
    <r>
      <rPr>
        <sz val="11"/>
        <rFont val="Century Schoolbook"/>
        <family val="1"/>
      </rPr>
      <t>73</t>
    </r>
    <r>
      <rPr>
        <sz val="11"/>
        <rFont val="Arial Narrow"/>
        <family val="2"/>
      </rPr>
      <t xml:space="preserve"> Bienes y Servicios para Inversión </t>
    </r>
  </si>
  <si>
    <r>
      <rPr>
        <sz val="11"/>
        <rFont val="Century Schoolbook"/>
        <family val="1"/>
      </rPr>
      <t>84</t>
    </r>
    <r>
      <rPr>
        <sz val="11"/>
        <rFont val="Arial Narrow"/>
        <family val="2"/>
      </rPr>
      <t xml:space="preserve"> Bienes de Larga Duración</t>
    </r>
  </si>
  <si>
    <r>
      <rPr>
        <sz val="11"/>
        <rFont val="Century Schoolbook"/>
        <family val="1"/>
      </rPr>
      <t>99</t>
    </r>
    <r>
      <rPr>
        <sz val="11"/>
        <rFont val="Arial Narrow"/>
        <family val="2"/>
      </rPr>
      <t xml:space="preserve"> Otros Pasivos</t>
    </r>
  </si>
  <si>
    <r>
      <rPr>
        <sz val="11"/>
        <rFont val="Century Schoolbook"/>
        <family val="1"/>
      </rPr>
      <t>71</t>
    </r>
    <r>
      <rPr>
        <sz val="11"/>
        <rFont val="Arial Narrow"/>
        <family val="2"/>
      </rPr>
      <t xml:space="preserve"> Egresos en Personal para Inversión </t>
    </r>
  </si>
  <si>
    <t>No se va a cumplir con este producto.</t>
  </si>
  <si>
    <r>
      <rPr>
        <sz val="10"/>
        <color theme="1"/>
        <rFont val="Century Schoolbook"/>
        <family val="1"/>
      </rPr>
      <t>1.-</t>
    </r>
    <r>
      <rPr>
        <sz val="10"/>
        <color theme="1"/>
        <rFont val="Arial Narrow"/>
      </rPr>
      <t xml:space="preserve"> Elaboración de POA </t>
    </r>
    <r>
      <rPr>
        <sz val="10"/>
        <color theme="1"/>
        <rFont val="Century Schoolbook"/>
        <family val="1"/>
      </rPr>
      <t>2024</t>
    </r>
    <r>
      <rPr>
        <sz val="10"/>
        <color theme="1"/>
        <rFont val="Arial Narrow"/>
      </rPr>
      <t xml:space="preserve"> (II cuatrimestre).
</t>
    </r>
    <r>
      <rPr>
        <sz val="10"/>
        <color theme="1"/>
        <rFont val="Century Schoolbook"/>
        <family val="1"/>
      </rPr>
      <t>2.-</t>
    </r>
    <r>
      <rPr>
        <sz val="10"/>
        <color theme="1"/>
        <rFont val="Arial Narrow"/>
      </rPr>
      <t xml:space="preserve"> Evaluación del POA </t>
    </r>
    <r>
      <rPr>
        <sz val="10"/>
        <color theme="1"/>
        <rFont val="Century Schoolbook"/>
        <family val="1"/>
      </rPr>
      <t>2023</t>
    </r>
    <r>
      <rPr>
        <sz val="10"/>
        <color theme="1"/>
        <rFont val="Arial Narrow"/>
      </rPr>
      <t xml:space="preserve"> (III cuatrimestre).</t>
    </r>
  </si>
  <si>
    <t>Informes que son resultados de las distintas comisiones:
Pirámide Docente
Tabla de Becas
Perfeccionamiento Académico.
Criterios técnicos para la priorización de los proyectos de inversión.</t>
  </si>
  <si>
    <r>
      <rPr>
        <sz val="10"/>
        <color theme="1"/>
        <rFont val="Century Schoolbook"/>
        <family val="1"/>
      </rPr>
      <t>1</t>
    </r>
    <r>
      <rPr>
        <sz val="10"/>
        <color theme="1"/>
        <rFont val="Arial Narrow"/>
      </rPr>
      <t xml:space="preserve"> Rendición Anual de Cuentas (I cuatrimestre).
</t>
    </r>
    <r>
      <rPr>
        <sz val="10"/>
        <color theme="1"/>
        <rFont val="Century Schoolbook"/>
        <family val="1"/>
      </rPr>
      <t>1</t>
    </r>
    <r>
      <rPr>
        <sz val="10"/>
        <color theme="1"/>
        <rFont val="Arial Narrow"/>
      </rPr>
      <t xml:space="preserve"> seguimiento del POA </t>
    </r>
    <r>
      <rPr>
        <sz val="10"/>
        <color theme="1"/>
        <rFont val="Century Schoolbook"/>
        <family val="1"/>
      </rPr>
      <t>2023</t>
    </r>
    <r>
      <rPr>
        <sz val="10"/>
        <color theme="1"/>
        <rFont val="Arial Narrow"/>
      </rPr>
      <t xml:space="preserve"> (II cuatrimestre).
</t>
    </r>
    <r>
      <rPr>
        <sz val="10"/>
        <color theme="1"/>
        <rFont val="Century Schoolbook"/>
        <family val="1"/>
      </rPr>
      <t>1</t>
    </r>
    <r>
      <rPr>
        <sz val="10"/>
        <color theme="1"/>
        <rFont val="Arial Narrow"/>
      </rPr>
      <t xml:space="preserve"> Evaluación Plan Operativo Anual (III cuatrimestre).
</t>
    </r>
    <r>
      <rPr>
        <sz val="10"/>
        <color theme="1"/>
        <rFont val="Century Schoolbook"/>
        <family val="1"/>
      </rPr>
      <t>1</t>
    </r>
    <r>
      <rPr>
        <sz val="10"/>
        <color theme="1"/>
        <rFont val="Arial Narrow"/>
      </rPr>
      <t xml:space="preserve"> Seguimiento al Plan Anual de Inversiones (III cuatrimestre).</t>
    </r>
  </si>
  <si>
    <r>
      <t xml:space="preserve">Recepción de los </t>
    </r>
    <r>
      <rPr>
        <sz val="10"/>
        <color theme="1"/>
        <rFont val="Century Schoolbook"/>
        <family val="1"/>
      </rPr>
      <t>26</t>
    </r>
    <r>
      <rPr>
        <sz val="10"/>
        <color theme="1"/>
        <rFont val="Arial Narrow"/>
      </rPr>
      <t xml:space="preserve"> Planes Operativos Anuales correspondientes a las Unidades Administrativas y Académicas.</t>
    </r>
  </si>
  <si>
    <r>
      <t xml:space="preserve">Mesa de reuniones de </t>
    </r>
    <r>
      <rPr>
        <sz val="10"/>
        <color theme="1"/>
        <rFont val="Century Schoolbook"/>
        <family val="1"/>
      </rPr>
      <t>6</t>
    </r>
    <r>
      <rPr>
        <sz val="10"/>
        <color theme="1"/>
        <rFont val="Arial Narrow"/>
      </rPr>
      <t xml:space="preserve"> personas</t>
    </r>
  </si>
  <si>
    <r>
      <t xml:space="preserve">Mantenimiento y reparación de infraestructura de la IES (Proyecto de inversión del PAI </t>
    </r>
    <r>
      <rPr>
        <sz val="10"/>
        <color theme="1"/>
        <rFont val="Century Schoolbook"/>
        <family val="1"/>
      </rPr>
      <t>2023</t>
    </r>
    <r>
      <rPr>
        <sz val="10"/>
        <color theme="1"/>
        <rFont val="Arial Narrow"/>
      </rPr>
      <t>)</t>
    </r>
  </si>
  <si>
    <t>N° de insumos emitidos para la elaboración de informes técnicos solicitados a la Dirección de Planificación.</t>
  </si>
  <si>
    <t>N° de difusiones de la actualización de la Planificación Estratégica de Desarrollo Institucional.</t>
  </si>
  <si>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Coordinar el Proceso de diseño y/o actualización de la planificación estratégica institucional.</t>
    </r>
  </si>
  <si>
    <r>
      <rPr>
        <b/>
        <sz val="9"/>
        <color theme="1"/>
        <rFont val="Century Schoolbook"/>
        <family val="1"/>
      </rPr>
      <t>2.-</t>
    </r>
    <r>
      <rPr>
        <sz val="10"/>
        <color theme="1"/>
        <rFont val="Arial Narrow"/>
      </rPr>
      <t xml:space="preserve"> Consolidar y Validar la Planificación operativa anual y sus ajustes, con base a la programación de necesidades de recursos.</t>
    </r>
  </si>
  <si>
    <r>
      <rPr>
        <b/>
        <sz val="9"/>
        <color theme="1"/>
        <rFont val="Century Schoolbook"/>
        <family val="1"/>
      </rPr>
      <t>3.-</t>
    </r>
    <r>
      <rPr>
        <sz val="10"/>
        <color theme="1"/>
        <rFont val="Arial Narrow"/>
      </rPr>
      <t xml:space="preserve"> Gestionar la priorización del Plan Anual de Inversiones.</t>
    </r>
  </si>
  <si>
    <r>
      <rPr>
        <b/>
        <sz val="9"/>
        <color theme="1"/>
        <rFont val="Century Schoolbook"/>
        <family val="1"/>
      </rPr>
      <t>4.-</t>
    </r>
    <r>
      <rPr>
        <sz val="10"/>
        <color theme="1"/>
        <rFont val="Arial Narrow"/>
      </rPr>
      <t xml:space="preserve"> Gestionar requerimientos de información para el registro de la planificación plurianual de la política pública y/o Programación Anual de la Planificación.</t>
    </r>
  </si>
  <si>
    <r>
      <rPr>
        <b/>
        <sz val="10"/>
        <color theme="1"/>
        <rFont val="Century Schoolbook"/>
        <family val="1"/>
      </rPr>
      <t>5.-</t>
    </r>
    <r>
      <rPr>
        <b/>
        <sz val="10"/>
        <color theme="1"/>
        <rFont val="Arial Narrow"/>
      </rPr>
      <t xml:space="preserve"> </t>
    </r>
    <r>
      <rPr>
        <sz val="10"/>
        <color theme="1"/>
        <rFont val="Arial Narrow"/>
      </rPr>
      <t>Evaluar planes, programas y proyectos.</t>
    </r>
  </si>
  <si>
    <r>
      <rPr>
        <b/>
        <sz val="9"/>
        <color theme="1"/>
        <rFont val="Century Schoolbook"/>
        <family val="1"/>
      </rPr>
      <t>6.-</t>
    </r>
    <r>
      <rPr>
        <sz val="10"/>
        <color theme="1"/>
        <rFont val="Arial Narrow"/>
      </rPr>
      <t xml:space="preserve"> Emitir insumos para la elaboración de la proforma presupuestaria y sus reformas.</t>
    </r>
  </si>
  <si>
    <r>
      <rPr>
        <b/>
        <sz val="9"/>
        <color theme="1"/>
        <rFont val="Century Schoolbook"/>
        <family val="1"/>
      </rPr>
      <t>7.-</t>
    </r>
    <r>
      <rPr>
        <sz val="10"/>
        <color theme="1"/>
        <rFont val="Arial Narrow"/>
      </rPr>
      <t xml:space="preserve"> Coordinar el Proceso de rendición anual de cuentas.</t>
    </r>
  </si>
  <si>
    <r>
      <rPr>
        <b/>
        <sz val="9"/>
        <color theme="1"/>
        <rFont val="Century Schoolbook"/>
        <family val="1"/>
      </rPr>
      <t>8.-</t>
    </r>
    <r>
      <rPr>
        <b/>
        <sz val="10"/>
        <color theme="1"/>
        <rFont val="Arial Narrow"/>
      </rPr>
      <t xml:space="preserve"> </t>
    </r>
    <r>
      <rPr>
        <sz val="10"/>
        <color theme="1"/>
        <rFont val="Arial Narrow"/>
      </rPr>
      <t>Coordinar el levantamiento de información para el proceso de distribución de recursos.</t>
    </r>
  </si>
  <si>
    <r>
      <rPr>
        <b/>
        <sz val="9"/>
        <color theme="1"/>
        <rFont val="Century Schoolbook"/>
        <family val="1"/>
      </rPr>
      <t>9.-</t>
    </r>
    <r>
      <rPr>
        <sz val="10"/>
        <color theme="1"/>
        <rFont val="Arial Narrow"/>
      </rPr>
      <t xml:space="preserve"> Emitir informes técnicos para la toma de decisiones de los procesos gobernantes.</t>
    </r>
  </si>
  <si>
    <r>
      <rPr>
        <b/>
        <sz val="9"/>
        <color theme="1"/>
        <rFont val="Century Schoolbook"/>
        <family val="1"/>
      </rPr>
      <t>10.-</t>
    </r>
    <r>
      <rPr>
        <b/>
        <sz val="10"/>
        <color theme="1"/>
        <rFont val="Arial Narrow"/>
      </rPr>
      <t xml:space="preserve"> </t>
    </r>
    <r>
      <rPr>
        <sz val="10"/>
        <color theme="1"/>
        <rFont val="Arial Narrow"/>
      </rPr>
      <t>Participar en el comité de transparencia institucional.</t>
    </r>
  </si>
  <si>
    <r>
      <rPr>
        <b/>
        <sz val="9"/>
        <color theme="1"/>
        <rFont val="Century Schoolbook"/>
        <family val="1"/>
      </rPr>
      <t>11.-</t>
    </r>
    <r>
      <rPr>
        <sz val="10"/>
        <color theme="1"/>
        <rFont val="Arial Narrow"/>
      </rPr>
      <t xml:space="preserve"> Entregar la Planificación Operativa Anual y Evaluación de la Planificación Operativa Anual.</t>
    </r>
  </si>
  <si>
    <r>
      <rPr>
        <b/>
        <sz val="9"/>
        <color theme="1"/>
        <rFont val="Century Schoolbook"/>
        <family val="1"/>
      </rPr>
      <t>12.-</t>
    </r>
    <r>
      <rPr>
        <sz val="10"/>
        <color theme="1"/>
        <rFont val="Arial Narrow"/>
      </rPr>
      <t xml:space="preserve"> Organizar el Archivo de Gestión.</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</si>
  <si>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Elaborar y/o actualizar Propuestas de instructivo, Guías metodológicas o instrumentos de evaluación para el diseño de la planificación estratégica institucional, Planificación Operativa Anual y para el diseño de proyectos de inversión.</t>
    </r>
  </si>
  <si>
    <r>
      <rPr>
        <b/>
        <sz val="9"/>
        <color theme="1"/>
        <rFont val="Century Schoolbook"/>
        <family val="1"/>
      </rPr>
      <t>2.-</t>
    </r>
    <r>
      <rPr>
        <sz val="10"/>
        <color theme="1"/>
        <rFont val="Arial Narrow"/>
      </rPr>
      <t xml:space="preserve"> Actualizar la información en las matrices y/o módulos de la planificación operativa anual y sus reformas.</t>
    </r>
  </si>
  <si>
    <r>
      <rPr>
        <b/>
        <sz val="9"/>
        <color theme="1"/>
        <rFont val="Century Schoolbook"/>
        <family val="1"/>
      </rPr>
      <t>3.-</t>
    </r>
    <r>
      <rPr>
        <sz val="10"/>
        <color theme="1"/>
        <rFont val="Arial Narrow"/>
      </rPr>
      <t xml:space="preserve"> Registrar y evaluar la planificación plurianual de la política pública y/o programación anual de la planificación, y de los proyectos de inversión, en la plataforma informática del órgano rector de la planificación e inversión pública.</t>
    </r>
  </si>
  <si>
    <r>
      <rPr>
        <b/>
        <sz val="9"/>
        <color theme="1"/>
        <rFont val="Century Schoolbook"/>
        <family val="1"/>
      </rPr>
      <t>4.-</t>
    </r>
    <r>
      <rPr>
        <sz val="10"/>
        <color theme="1"/>
        <rFont val="Arial Narrow"/>
      </rPr>
      <t xml:space="preserve"> Emitir reportes de resultados de la evaluación de planes, programas, proyectos y del proceso de rendición anual de cuentas.</t>
    </r>
  </si>
  <si>
    <r>
      <rPr>
        <b/>
        <sz val="9"/>
        <color theme="1"/>
        <rFont val="Century Schoolbook"/>
        <family val="1"/>
      </rPr>
      <t>5.-</t>
    </r>
    <r>
      <rPr>
        <sz val="10"/>
        <color theme="1"/>
        <rFont val="Arial Narrow"/>
      </rPr>
      <t xml:space="preserve"> Aplicar el Control Interno al levantamiento de información para el proceso de distribución de recursos.</t>
    </r>
  </si>
  <si>
    <r>
      <rPr>
        <b/>
        <sz val="9"/>
        <color theme="1"/>
        <rFont val="Century Schoolbook"/>
        <family val="1"/>
      </rPr>
      <t>6.-</t>
    </r>
    <r>
      <rPr>
        <sz val="10"/>
        <color theme="1"/>
        <rFont val="Arial Narrow"/>
      </rPr>
      <t xml:space="preserve"> Emitir reportes para la elaboración de informes técnicos solicitados a la Dirección de Planificación.</t>
    </r>
  </si>
  <si>
    <r>
      <rPr>
        <b/>
        <sz val="9"/>
        <color theme="1"/>
        <rFont val="Century Schoolbook"/>
        <family val="1"/>
      </rPr>
      <t>7.-</t>
    </r>
    <r>
      <rPr>
        <sz val="10"/>
        <color theme="1"/>
        <rFont val="Arial Narrow"/>
        <family val="2"/>
      </rPr>
      <t xml:space="preserve"> Emitir la Plantilla de monitoreo al cumplimiento de la Ley Orgánica de Transparencia y Acceso a la Información Pública en la UTMACH.</t>
    </r>
  </si>
  <si>
    <r>
      <rPr>
        <b/>
        <sz val="9"/>
        <color theme="1"/>
        <rFont val="Century Schoolbook"/>
        <family val="1"/>
      </rPr>
      <t>1.-</t>
    </r>
    <r>
      <rPr>
        <sz val="10"/>
        <color theme="1"/>
        <rFont val="Arial Narrow"/>
      </rPr>
      <t xml:space="preserve"> Organizar la socialización y difusión de la actualización de la Planificación Estratégica de Desarrollo Institucional.
</t>
    </r>
    <r>
      <rPr>
        <b/>
        <sz val="9"/>
        <color theme="1"/>
        <rFont val="Century Schoolbook"/>
        <family val="1"/>
      </rPr>
      <t>2.-</t>
    </r>
    <r>
      <rPr>
        <sz val="10"/>
        <color theme="1"/>
        <rFont val="Arial Narrow"/>
      </rPr>
      <t xml:space="preserve"> Ejecutar las acciones de socialización y difusión de la actualización de la Planificación Estratégica de Desarrollo Institucional.
</t>
    </r>
    <r>
      <rPr>
        <b/>
        <sz val="9"/>
        <color theme="1"/>
        <rFont val="Century Schoolbook"/>
        <family val="1"/>
      </rPr>
      <t>3.-</t>
    </r>
    <r>
      <rPr>
        <sz val="10"/>
        <color theme="1"/>
        <rFont val="Arial Narrow"/>
      </rPr>
      <t xml:space="preserve"> Diseñar matriz de articulación de metas POA y PEDI </t>
    </r>
    <r>
      <rPr>
        <sz val="10"/>
        <color theme="1"/>
        <rFont val="Century Schoolbook"/>
        <family val="1"/>
      </rPr>
      <t>2021-2024</t>
    </r>
    <r>
      <rPr>
        <sz val="10"/>
        <color theme="1"/>
        <rFont val="Arial Narrow"/>
      </rPr>
      <t xml:space="preserve">, con el  POA </t>
    </r>
    <r>
      <rPr>
        <sz val="10"/>
        <color theme="1"/>
        <rFont val="Century Schoolbook"/>
        <family val="1"/>
      </rPr>
      <t>2023</t>
    </r>
    <r>
      <rPr>
        <sz val="10"/>
        <color theme="1"/>
        <rFont val="Arial Narrow"/>
      </rPr>
      <t>.</t>
    </r>
  </si>
  <si>
    <r>
      <rPr>
        <b/>
        <sz val="9"/>
        <color theme="1"/>
        <rFont val="Century Schoolbook"/>
        <family val="1"/>
      </rPr>
      <t>1.-</t>
    </r>
    <r>
      <rPr>
        <sz val="10"/>
        <color theme="1"/>
        <rFont val="Arial Narrow"/>
        <family val="2"/>
      </rPr>
      <t xml:space="preserve"> Convocar la actualización y/o presentación de proyectos de inversión.
</t>
    </r>
    <r>
      <rPr>
        <b/>
        <sz val="9"/>
        <color theme="1"/>
        <rFont val="Century Schoolbook"/>
        <family val="1"/>
      </rPr>
      <t>2.-</t>
    </r>
    <r>
      <rPr>
        <sz val="10"/>
        <color theme="1"/>
        <rFont val="Arial Narrow"/>
        <family val="2"/>
      </rPr>
      <t xml:space="preserve"> Revisar y validar los proyectos de inversión que cumplan con los requisitos legales y técnicos de acuerdo a las Directrices de la Secretaría Nacional de Planificación.
</t>
    </r>
    <r>
      <rPr>
        <b/>
        <sz val="9"/>
        <color theme="1"/>
        <rFont val="Century Schoolbook"/>
        <family val="1"/>
      </rPr>
      <t>3.-</t>
    </r>
    <r>
      <rPr>
        <sz val="10"/>
        <color theme="1"/>
        <rFont val="Arial Narrow"/>
        <family val="2"/>
      </rPr>
      <t xml:space="preserve"> Gestionar la postulación de los proyectos de inversión ante la SNP a través del SIPeIP ante el Consejo Universitario.
</t>
    </r>
    <r>
      <rPr>
        <b/>
        <sz val="9"/>
        <color theme="1"/>
        <rFont val="Century Schoolbook"/>
        <family val="1"/>
      </rPr>
      <t>4.-</t>
    </r>
    <r>
      <rPr>
        <sz val="10"/>
        <color theme="1"/>
        <rFont val="Arial Narrow"/>
        <family val="2"/>
      </rPr>
      <t xml:space="preserve"> Gestionar la priorización de los proyectos de inversión del PAI </t>
    </r>
    <r>
      <rPr>
        <sz val="10"/>
        <color theme="1"/>
        <rFont val="Century Schoolbook"/>
        <family val="1"/>
      </rPr>
      <t>2023.</t>
    </r>
    <r>
      <rPr>
        <sz val="10"/>
        <color theme="1"/>
        <rFont val="Arial Narrow"/>
        <family val="2"/>
      </rPr>
      <t xml:space="preserve">
</t>
    </r>
    <r>
      <rPr>
        <b/>
        <sz val="9"/>
        <color theme="1"/>
        <rFont val="Century Schoolbook"/>
        <family val="1"/>
      </rPr>
      <t>5.-</t>
    </r>
    <r>
      <rPr>
        <sz val="10"/>
        <color theme="1"/>
        <rFont val="Arial Narrow"/>
        <family val="2"/>
      </rPr>
      <t xml:space="preserve"> Elaborar plan anual de inversiones </t>
    </r>
    <r>
      <rPr>
        <sz val="10"/>
        <color theme="1"/>
        <rFont val="Century Schoolbook"/>
        <family val="1"/>
      </rPr>
      <t>2024.</t>
    </r>
  </si>
  <si>
    <r>
      <rPr>
        <b/>
        <sz val="9"/>
        <color theme="1"/>
        <rFont val="Century Schoolbook"/>
        <family val="1"/>
      </rPr>
      <t>1.-</t>
    </r>
    <r>
      <rPr>
        <sz val="10"/>
        <color theme="1"/>
        <rFont val="Arial Narrow"/>
        <family val="2"/>
      </rPr>
      <t xml:space="preserve"> Determinar la información a solicitar y los responsables de las metas PPPP y PAP.
</t>
    </r>
    <r>
      <rPr>
        <b/>
        <sz val="9"/>
        <color theme="1"/>
        <rFont val="Century Schoolbook"/>
        <family val="1"/>
      </rPr>
      <t>2.-</t>
    </r>
    <r>
      <rPr>
        <sz val="10"/>
        <color theme="1"/>
        <rFont val="Arial Narrow"/>
        <family val="2"/>
      </rPr>
      <t xml:space="preserve"> Solicitar la información de la PPPP y PAP a los responsables y registrarla en el SIPeIP.
</t>
    </r>
    <r>
      <rPr>
        <b/>
        <sz val="9"/>
        <color theme="1"/>
        <rFont val="Century Schoolbook"/>
        <family val="1"/>
      </rPr>
      <t>3.-</t>
    </r>
    <r>
      <rPr>
        <sz val="10"/>
        <color theme="1"/>
        <rFont val="Arial Narrow"/>
        <family val="2"/>
      </rPr>
      <t xml:space="preserve"> Validar y enviar la información registrada en el SIPeIP respecto de la PPPP y PAP.
</t>
    </r>
    <r>
      <rPr>
        <b/>
        <sz val="9"/>
        <color theme="1"/>
        <rFont val="Century Schoolbook"/>
        <family val="1"/>
      </rPr>
      <t>4.-</t>
    </r>
    <r>
      <rPr>
        <sz val="10"/>
        <color theme="1"/>
        <rFont val="Arial Narrow"/>
        <family val="2"/>
      </rPr>
      <t xml:space="preserve"> Notificar a la máxima autoridad sobre el cumplimiento del proceso.</t>
    </r>
  </si>
  <si>
    <r>
      <rPr>
        <b/>
        <sz val="9"/>
        <color theme="1"/>
        <rFont val="Century Schoolbook"/>
        <family val="1"/>
      </rPr>
      <t>1.-</t>
    </r>
    <r>
      <rPr>
        <sz val="10"/>
        <color theme="1"/>
        <rFont val="Arial Narrow"/>
        <family val="2"/>
      </rPr>
      <t xml:space="preserve"> Organizar el proceso de seguimiento, evaluación de planes programas y proyectos relacionados con el Plan Operativo Anual </t>
    </r>
    <r>
      <rPr>
        <sz val="10"/>
        <color theme="1"/>
        <rFont val="Century Schoolbook"/>
        <family val="1"/>
      </rPr>
      <t>2023</t>
    </r>
    <r>
      <rPr>
        <sz val="10"/>
        <color theme="1"/>
        <rFont val="Arial Narrow"/>
        <family val="2"/>
      </rPr>
      <t xml:space="preserve"> (</t>
    </r>
    <r>
      <rPr>
        <sz val="10"/>
        <color theme="1"/>
        <rFont val="Century Schoolbook"/>
        <family val="1"/>
      </rPr>
      <t>1</t>
    </r>
    <r>
      <rPr>
        <sz val="10"/>
        <color theme="1"/>
        <rFont val="Arial Narrow"/>
        <family val="2"/>
      </rPr>
      <t xml:space="preserve"> seguimiento); Plan Operativo Anual (</t>
    </r>
    <r>
      <rPr>
        <sz val="10"/>
        <color theme="1"/>
        <rFont val="Century Schoolbook"/>
        <family val="1"/>
      </rPr>
      <t>1</t>
    </r>
    <r>
      <rPr>
        <sz val="10"/>
        <color theme="1"/>
        <rFont val="Arial Narrow"/>
        <family val="2"/>
      </rPr>
      <t xml:space="preserve"> evaluación); Plan Anual de Inversiones (</t>
    </r>
    <r>
      <rPr>
        <sz val="10"/>
        <color theme="1"/>
        <rFont val="Century Schoolbook"/>
        <family val="1"/>
      </rPr>
      <t>1</t>
    </r>
    <r>
      <rPr>
        <sz val="10"/>
        <color theme="1"/>
        <rFont val="Arial Narrow"/>
        <family val="2"/>
      </rPr>
      <t>) y Rendición Anual de Cuentas (</t>
    </r>
    <r>
      <rPr>
        <sz val="10"/>
        <color theme="1"/>
        <rFont val="Century Schoolbook"/>
        <family val="1"/>
      </rPr>
      <t>1</t>
    </r>
    <r>
      <rPr>
        <sz val="10"/>
        <color theme="1"/>
        <rFont val="Arial Narrow"/>
        <family val="2"/>
      </rPr>
      <t xml:space="preserve">).
</t>
    </r>
    <r>
      <rPr>
        <b/>
        <sz val="9"/>
        <color theme="1"/>
        <rFont val="Century Schoolbook"/>
        <family val="1"/>
      </rPr>
      <t>2.-</t>
    </r>
    <r>
      <rPr>
        <sz val="10"/>
        <color theme="1"/>
        <rFont val="Arial Narrow"/>
        <family val="2"/>
      </rPr>
      <t xml:space="preserve"> Efectuar la validación de los resultados de evaluación, seguimiento y monitoreo. 
</t>
    </r>
    <r>
      <rPr>
        <b/>
        <sz val="9"/>
        <color theme="1"/>
        <rFont val="Century Schoolbook"/>
        <family val="1"/>
      </rPr>
      <t>3.-</t>
    </r>
    <r>
      <rPr>
        <sz val="10"/>
        <color theme="1"/>
        <rFont val="Arial Narrow"/>
        <family val="2"/>
      </rPr>
      <t xml:space="preserve"> Informar los resultados de los procesos de evaluación de planes, programas y proyectos.</t>
    </r>
  </si>
  <si>
    <r>
      <rPr>
        <b/>
        <sz val="9"/>
        <color theme="1"/>
        <rFont val="Century Schoolbook"/>
        <family val="1"/>
      </rPr>
      <t>1.-</t>
    </r>
    <r>
      <rPr>
        <sz val="10"/>
        <color theme="1"/>
        <rFont val="Arial Narrow"/>
      </rPr>
      <t xml:space="preserve"> Organizar el proceso de levantamiento de insumos para la proforma presupuestaria.
</t>
    </r>
    <r>
      <rPr>
        <b/>
        <sz val="9"/>
        <color theme="1"/>
        <rFont val="Century Schoolbook"/>
        <family val="1"/>
      </rPr>
      <t>2.-</t>
    </r>
    <r>
      <rPr>
        <sz val="10"/>
        <color theme="1"/>
        <rFont val="Arial Narrow"/>
      </rPr>
      <t xml:space="preserve"> Emitir las directrices para el levantamiento de insumos para la proforma presupuestaria.
</t>
    </r>
    <r>
      <rPr>
        <b/>
        <sz val="9"/>
        <color theme="1"/>
        <rFont val="Century Schoolbook"/>
        <family val="1"/>
      </rPr>
      <t>3.-</t>
    </r>
    <r>
      <rPr>
        <sz val="10"/>
        <color theme="1"/>
        <rFont val="Arial Narrow"/>
      </rPr>
      <t xml:space="preserve"> Consolidar los insumos para el análisis y validación.
</t>
    </r>
    <r>
      <rPr>
        <b/>
        <sz val="9"/>
        <color theme="1"/>
        <rFont val="Century Schoolbook"/>
        <family val="1"/>
      </rPr>
      <t>4.-</t>
    </r>
    <r>
      <rPr>
        <sz val="10"/>
        <color theme="1"/>
        <rFont val="Arial Narrow"/>
      </rPr>
      <t xml:space="preserve"> Informar sobre los resultados del análisis de los insumos para la elaboración de la proforma presupuestaria.</t>
    </r>
  </si>
  <si>
    <r>
      <rPr>
        <b/>
        <sz val="9"/>
        <color theme="1"/>
        <rFont val="Century Schoolbook"/>
        <family val="1"/>
      </rPr>
      <t>1.-</t>
    </r>
    <r>
      <rPr>
        <sz val="10"/>
        <color theme="1"/>
        <rFont val="Arial Narrow"/>
      </rPr>
      <t xml:space="preserve"> Gestionar la conformación de la comisión de Rendición de Cuentas.
</t>
    </r>
    <r>
      <rPr>
        <b/>
        <sz val="9"/>
        <color theme="1"/>
        <rFont val="Century Schoolbook"/>
        <family val="1"/>
      </rPr>
      <t>2.-</t>
    </r>
    <r>
      <rPr>
        <sz val="10"/>
        <color theme="1"/>
        <rFont val="Arial Narrow"/>
      </rPr>
      <t xml:space="preserve"> Dirigir el proceso de levantamiento, análisis y emisión de resultados a presentarse en el informe de Rendición de Cuentas.
</t>
    </r>
    <r>
      <rPr>
        <b/>
        <sz val="9"/>
        <color theme="1"/>
        <rFont val="Century Schoolbook"/>
        <family val="1"/>
      </rPr>
      <t>3.-</t>
    </r>
    <r>
      <rPr>
        <sz val="10"/>
        <color theme="1"/>
        <rFont val="Arial Narrow"/>
      </rPr>
      <t xml:space="preserve"> Presentar ante el Consejo Universitario el informe preliminar de rendición de cuentas.
</t>
    </r>
    <r>
      <rPr>
        <b/>
        <sz val="9"/>
        <color theme="1"/>
        <rFont val="Century Schoolbook"/>
        <family val="1"/>
      </rPr>
      <t>4.-</t>
    </r>
    <r>
      <rPr>
        <sz val="10"/>
        <color theme="1"/>
        <rFont val="Arial Narrow"/>
      </rPr>
      <t xml:space="preserve"> Liderar la ejecución del evento público de deliberación.
</t>
    </r>
    <r>
      <rPr>
        <b/>
        <sz val="9"/>
        <color theme="1"/>
        <rFont val="Century Schoolbook"/>
        <family val="1"/>
      </rPr>
      <t>5.-</t>
    </r>
    <r>
      <rPr>
        <sz val="10"/>
        <color theme="1"/>
        <rFont val="Arial Narrow"/>
      </rPr>
      <t xml:space="preserve"> Gestionar la aprobación del informe final de rendición de cuentas.
</t>
    </r>
    <r>
      <rPr>
        <b/>
        <sz val="9"/>
        <color theme="1"/>
        <rFont val="Century Schoolbook"/>
        <family val="1"/>
      </rPr>
      <t>6.-</t>
    </r>
    <r>
      <rPr>
        <sz val="10"/>
        <color theme="1"/>
        <rFont val="Arial Narrow"/>
      </rPr>
      <t xml:space="preserve"> Verificar el cumplimiento del proceso de registro del informe final de RC en la plataforma del CPCCS.
</t>
    </r>
    <r>
      <rPr>
        <b/>
        <sz val="9"/>
        <color theme="1"/>
        <rFont val="Century Schoolbook"/>
        <family val="1"/>
      </rPr>
      <t>7.-</t>
    </r>
    <r>
      <rPr>
        <sz val="10"/>
        <color theme="1"/>
        <rFont val="Arial Narrow"/>
      </rPr>
      <t xml:space="preserve"> Notificar el cumplimiento del proceso a la máxima autoridad.
</t>
    </r>
    <r>
      <rPr>
        <b/>
        <sz val="9"/>
        <color theme="1"/>
        <rFont val="Century Schoolbook"/>
        <family val="1"/>
      </rPr>
      <t>8.-</t>
    </r>
    <r>
      <rPr>
        <sz val="10"/>
        <color theme="1"/>
        <rFont val="Arial Narrow"/>
      </rPr>
      <t xml:space="preserve"> Remitir al Consejo de Educación Superior el Informe de Rendición Anual de Cuentas.</t>
    </r>
  </si>
  <si>
    <r>
      <rPr>
        <b/>
        <sz val="9"/>
        <color theme="1"/>
        <rFont val="Century Schoolbook"/>
        <family val="1"/>
      </rPr>
      <t>1.-</t>
    </r>
    <r>
      <rPr>
        <sz val="10"/>
        <color theme="1"/>
        <rFont val="Arial Narrow"/>
      </rPr>
      <t xml:space="preserve"> Organizar el proceso de levantamiento de información para la distribución de recursos.
</t>
    </r>
    <r>
      <rPr>
        <b/>
        <sz val="9"/>
        <color theme="1"/>
        <rFont val="Century Schoolbook"/>
        <family val="1"/>
      </rPr>
      <t>2.-</t>
    </r>
    <r>
      <rPr>
        <sz val="10"/>
        <color theme="1"/>
        <rFont val="Arial Narrow"/>
      </rPr>
      <t xml:space="preserve"> Analizar y hacer seguimiento al proceso de levantamiento, registro y carga de la información en el SIIES.
</t>
    </r>
    <r>
      <rPr>
        <b/>
        <sz val="9"/>
        <color theme="1"/>
        <rFont val="Century Schoolbook"/>
        <family val="1"/>
      </rPr>
      <t>3.-</t>
    </r>
    <r>
      <rPr>
        <sz val="10"/>
        <color theme="1"/>
        <rFont val="Arial Narrow"/>
      </rPr>
      <t xml:space="preserve"> Informar sobre el cumplimiento del proceso y sobre la etapa de corrección.</t>
    </r>
  </si>
  <si>
    <r>
      <rPr>
        <b/>
        <sz val="9"/>
        <color theme="1"/>
        <rFont val="Century Schoolbook"/>
        <family val="1"/>
      </rPr>
      <t>1.-</t>
    </r>
    <r>
      <rPr>
        <sz val="10"/>
        <color theme="1"/>
        <rFont val="Arial Narrow"/>
      </rPr>
      <t xml:space="preserve"> Analizar los requerimientos para la emisión de informes técnicos o en su defecto emitirlos de oficio cuando sea competente.
</t>
    </r>
    <r>
      <rPr>
        <b/>
        <sz val="9"/>
        <color theme="1"/>
        <rFont val="Century Schoolbook"/>
        <family val="1"/>
      </rPr>
      <t>2.-</t>
    </r>
    <r>
      <rPr>
        <sz val="10"/>
        <color theme="1"/>
        <rFont val="Arial Narrow"/>
      </rPr>
      <t xml:space="preserve"> Requerir insumos para la elaboración de informes y/o criterios técnicos.
</t>
    </r>
    <r>
      <rPr>
        <b/>
        <sz val="9"/>
        <color theme="1"/>
        <rFont val="Century Schoolbook"/>
        <family val="1"/>
      </rPr>
      <t>3.-</t>
    </r>
    <r>
      <rPr>
        <sz val="10"/>
        <color theme="1"/>
        <rFont val="Arial Narrow"/>
      </rPr>
      <t xml:space="preserve"> Emitir los informes y/o criterios técnicos para la toma de decisiones.</t>
    </r>
  </si>
  <si>
    <r>
      <rPr>
        <b/>
        <sz val="9"/>
        <color theme="1"/>
        <rFont val="Century Schoolbook"/>
        <family val="1"/>
      </rPr>
      <t>1.-</t>
    </r>
    <r>
      <rPr>
        <sz val="10"/>
        <color theme="1"/>
        <rFont val="Arial Narrow"/>
      </rPr>
      <t xml:space="preserve"> Elaborar el POA y registrar los resultados para la evaluación.
</t>
    </r>
    <r>
      <rPr>
        <b/>
        <sz val="9"/>
        <color theme="1"/>
        <rFont val="Century Schoolbook"/>
        <family val="1"/>
      </rPr>
      <t>2.-</t>
    </r>
    <r>
      <rPr>
        <sz val="10"/>
        <color theme="1"/>
        <rFont val="Arial Narrow"/>
      </rPr>
      <t xml:space="preserve"> Remitir el POA para revisión y de igual forma la evaluación.
</t>
    </r>
    <r>
      <rPr>
        <b/>
        <sz val="9"/>
        <color theme="1"/>
        <rFont val="Century Schoolbook"/>
        <family val="1"/>
      </rPr>
      <t>3.-</t>
    </r>
    <r>
      <rPr>
        <sz val="10"/>
        <color theme="1"/>
        <rFont val="Arial Narrow"/>
      </rPr>
      <t xml:space="preserve"> Entregar el POA y su evaluación.</t>
    </r>
  </si>
  <si>
    <r>
      <rPr>
        <b/>
        <sz val="9"/>
        <color theme="1"/>
        <rFont val="Century Schoolbook"/>
        <family val="1"/>
      </rPr>
      <t>1.-</t>
    </r>
    <r>
      <rPr>
        <sz val="10"/>
        <color theme="1"/>
        <rFont val="Arial Narrow"/>
      </rPr>
      <t xml:space="preserve"> Organizar el archivo de gestión.
</t>
    </r>
    <r>
      <rPr>
        <b/>
        <sz val="9"/>
        <color theme="1"/>
        <rFont val="Century Schoolbook"/>
        <family val="1"/>
      </rPr>
      <t>2.-</t>
    </r>
    <r>
      <rPr>
        <sz val="10"/>
        <color theme="1"/>
        <rFont val="Arial Narrow"/>
      </rPr>
      <t xml:space="preserve"> Actualizar el inventario documental.</t>
    </r>
  </si>
  <si>
    <r>
      <rPr>
        <b/>
        <sz val="9"/>
        <color theme="1"/>
        <rFont val="Century Schoolbook"/>
        <family val="1"/>
      </rPr>
      <t>1.-</t>
    </r>
    <r>
      <rPr>
        <sz val="10"/>
        <color theme="1"/>
        <rFont val="Arial Narrow"/>
      </rPr>
      <t xml:space="preserve"> Revisar cambios en el marco legal y normativo, así como de los resultados de aplicación a nivel institucional.
</t>
    </r>
    <r>
      <rPr>
        <b/>
        <sz val="9"/>
        <color theme="1"/>
        <rFont val="Century Schoolbook"/>
        <family val="1"/>
      </rPr>
      <t>2.-</t>
    </r>
    <r>
      <rPr>
        <sz val="10"/>
        <color theme="1"/>
        <rFont val="Arial Narrow"/>
      </rPr>
      <t xml:space="preserve"> Redactar las propuestas de diseño y/o actualización de instructivos, guías o instrumentos de evaluación.
</t>
    </r>
    <r>
      <rPr>
        <b/>
        <sz val="9"/>
        <color theme="1"/>
        <rFont val="Century Schoolbook"/>
        <family val="1"/>
      </rPr>
      <t>3.-</t>
    </r>
    <r>
      <rPr>
        <sz val="10"/>
        <color theme="1"/>
        <rFont val="Arial Narrow"/>
      </rPr>
      <t xml:space="preserve"> Remitir las propuestas para validación de la Dirección de Planificación.</t>
    </r>
  </si>
  <si>
    <r>
      <rPr>
        <b/>
        <sz val="9"/>
        <color theme="1"/>
        <rFont val="Century Schoolbook"/>
        <family val="1"/>
      </rPr>
      <t>1.-</t>
    </r>
    <r>
      <rPr>
        <sz val="10"/>
        <color theme="1"/>
        <rFont val="Arial Narrow"/>
        <family val="2"/>
      </rPr>
      <t xml:space="preserve"> Capacitar a las unidades académicas y administrativas en la elaboración del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Emitir los insumos para que las unidades académicas y administrativas elaboren el POA </t>
    </r>
    <r>
      <rPr>
        <sz val="10"/>
        <color theme="1"/>
        <rFont val="Century Schoolbook"/>
        <family val="1"/>
      </rPr>
      <t>2024.</t>
    </r>
    <r>
      <rPr>
        <sz val="10"/>
        <color theme="1"/>
        <rFont val="Arial Narrow"/>
        <family val="2"/>
      </rPr>
      <t xml:space="preserve">
</t>
    </r>
    <r>
      <rPr>
        <b/>
        <sz val="9"/>
        <color theme="1"/>
        <rFont val="Century Schoolbook"/>
        <family val="1"/>
      </rPr>
      <t>3.-</t>
    </r>
    <r>
      <rPr>
        <sz val="10"/>
        <color theme="1"/>
        <rFont val="Arial Narrow"/>
        <family val="2"/>
      </rPr>
      <t xml:space="preserve"> Recibir y revisar los archivos correspondientes al POA de todas las unidades administrativas y académicas.
</t>
    </r>
    <r>
      <rPr>
        <b/>
        <sz val="9"/>
        <color theme="1"/>
        <rFont val="Century Schoolbook"/>
        <family val="1"/>
      </rPr>
      <t>4.-</t>
    </r>
    <r>
      <rPr>
        <sz val="10"/>
        <color theme="1"/>
        <rFont val="Arial Narrow"/>
        <family val="2"/>
      </rPr>
      <t xml:space="preserve"> Remitir las observaciones para corrección (si aplica) a la Dirección de Planificación para su revisión y notificación a las partes pertinentes.
</t>
    </r>
    <r>
      <rPr>
        <b/>
        <sz val="9"/>
        <color theme="1"/>
        <rFont val="Century Schoolbook"/>
        <family val="1"/>
      </rPr>
      <t>5.-</t>
    </r>
    <r>
      <rPr>
        <sz val="10"/>
        <color theme="1"/>
        <rFont val="Arial Narrow"/>
        <family val="2"/>
      </rPr>
      <t xml:space="preserve"> Consolidar los POAS validados para revisión de la Dirección de Planificación.
</t>
    </r>
    <r>
      <rPr>
        <b/>
        <sz val="9"/>
        <color theme="1"/>
        <rFont val="Century Schoolbook"/>
        <family val="1"/>
      </rPr>
      <t>6.-</t>
    </r>
    <r>
      <rPr>
        <sz val="10"/>
        <color theme="1"/>
        <rFont val="Arial Narrow"/>
        <family val="2"/>
      </rPr>
      <t xml:space="preserve"> Remitir a la Dirección de Planificación el Informe de recepción y validación del POA </t>
    </r>
    <r>
      <rPr>
        <sz val="10"/>
        <color theme="1"/>
        <rFont val="Century Schoolbook"/>
        <family val="1"/>
      </rPr>
      <t>2024</t>
    </r>
    <r>
      <rPr>
        <sz val="10"/>
        <color theme="1"/>
        <rFont val="Arial Narrow"/>
        <family val="2"/>
      </rPr>
      <t>.</t>
    </r>
  </si>
  <si>
    <r>
      <rPr>
        <b/>
        <sz val="9"/>
        <color theme="1"/>
        <rFont val="Century Schoolbook"/>
        <family val="1"/>
      </rPr>
      <t>1.-</t>
    </r>
    <r>
      <rPr>
        <sz val="10"/>
        <color theme="1"/>
        <rFont val="Arial Narrow"/>
      </rPr>
      <t xml:space="preserve"> Elaborar reporte de datos a solicitar respecto de la información para el registro de metas de la Planificación Institucional (PI), la Programación Anual de la Planificación (PAP) y su evaluación.
</t>
    </r>
    <r>
      <rPr>
        <b/>
        <sz val="9"/>
        <color theme="1"/>
        <rFont val="Century Schoolbook"/>
        <family val="1"/>
      </rPr>
      <t>2.-</t>
    </r>
    <r>
      <rPr>
        <sz val="10"/>
        <color theme="1"/>
        <rFont val="Arial Narrow"/>
      </rPr>
      <t xml:space="preserve"> Receptar y analizar la información presentada por las dependencias responsables.
</t>
    </r>
    <r>
      <rPr>
        <b/>
        <sz val="9"/>
        <color theme="1"/>
        <rFont val="Century Schoolbook"/>
        <family val="1"/>
      </rPr>
      <t>3.-</t>
    </r>
    <r>
      <rPr>
        <sz val="10"/>
        <color theme="1"/>
        <rFont val="Arial Narrow"/>
      </rPr>
      <t xml:space="preserve"> Registrar la información respecto a las metas planificadas para la PI, para la PAP y su evaluación.
</t>
    </r>
    <r>
      <rPr>
        <b/>
        <sz val="9"/>
        <color theme="1"/>
        <rFont val="Century Schoolbook"/>
        <family val="1"/>
      </rPr>
      <t>4.-</t>
    </r>
    <r>
      <rPr>
        <sz val="10"/>
        <color theme="1"/>
        <rFont val="Arial Narrow"/>
      </rPr>
      <t xml:space="preserve"> Notificar a la Dirección de Planificación la culminación de la fase de registro de la PI, la PAP y su evaluación, para validación.</t>
    </r>
  </si>
  <si>
    <r>
      <rPr>
        <b/>
        <sz val="9"/>
        <color theme="1"/>
        <rFont val="Century Schoolbook"/>
        <family val="1"/>
      </rPr>
      <t>1.-</t>
    </r>
    <r>
      <rPr>
        <sz val="10"/>
        <color theme="1"/>
        <rFont val="Arial Narrow"/>
      </rPr>
      <t xml:space="preserve"> Receptar información por parte de las dependencias.
</t>
    </r>
    <r>
      <rPr>
        <b/>
        <sz val="9"/>
        <color theme="1"/>
        <rFont val="Century Schoolbook"/>
        <family val="1"/>
      </rPr>
      <t>2.-</t>
    </r>
    <r>
      <rPr>
        <sz val="10"/>
        <color theme="1"/>
        <rFont val="Arial Narrow"/>
      </rPr>
      <t xml:space="preserve"> Efectuar el análisis de los resultados.
</t>
    </r>
    <r>
      <rPr>
        <b/>
        <sz val="9"/>
        <color theme="1"/>
        <rFont val="Century Schoolbook"/>
        <family val="1"/>
      </rPr>
      <t>3.-</t>
    </r>
    <r>
      <rPr>
        <sz val="10"/>
        <color theme="1"/>
        <rFont val="Arial Narrow"/>
      </rPr>
      <t xml:space="preserve"> Ingresar información de seguimiento a Planes, Programas, Proyectos y Rendición de Cuentas en los respectivos instrumentos de evaluación.
</t>
    </r>
    <r>
      <rPr>
        <b/>
        <sz val="9"/>
        <color theme="1"/>
        <rFont val="Century Schoolbook"/>
        <family val="1"/>
      </rPr>
      <t>4.-</t>
    </r>
    <r>
      <rPr>
        <sz val="10"/>
        <color theme="1"/>
        <rFont val="Arial Narrow"/>
      </rPr>
      <t xml:space="preserve"> Emitir reportes de evaluación de planes, programas, proyectos y del proceso de rendición de cuentas, para validación.</t>
    </r>
  </si>
  <si>
    <r>
      <rPr>
        <b/>
        <sz val="9"/>
        <color theme="1"/>
        <rFont val="Century Schoolbook"/>
        <family val="1"/>
      </rPr>
      <t>1.-</t>
    </r>
    <r>
      <rPr>
        <sz val="10"/>
        <color theme="1"/>
        <rFont val="Arial Narrow"/>
      </rPr>
      <t xml:space="preserve"> Recibir capacitación y analizar los instructivos de carga emitidos por los entes rectores del proceso de distribución de recursos.
</t>
    </r>
    <r>
      <rPr>
        <b/>
        <sz val="9"/>
        <color theme="1"/>
        <rFont val="Century Schoolbook"/>
        <family val="1"/>
      </rPr>
      <t>2.-</t>
    </r>
    <r>
      <rPr>
        <sz val="10"/>
        <color theme="1"/>
        <rFont val="Arial Narrow"/>
      </rPr>
      <t xml:space="preserve"> Asesorar a los responsables institucionales de carga y/o registro de la información en la plataforma gubernamental dispuesta para el efecto.
</t>
    </r>
    <r>
      <rPr>
        <b/>
        <sz val="9"/>
        <color theme="1"/>
        <rFont val="Century Schoolbook"/>
        <family val="1"/>
      </rPr>
      <t>3.-</t>
    </r>
    <r>
      <rPr>
        <sz val="10"/>
        <color theme="1"/>
        <rFont val="Arial Narrow"/>
      </rPr>
      <t xml:space="preserve"> Gestionar absolución de consultas ante la mesa de ayuda.
</t>
    </r>
    <r>
      <rPr>
        <b/>
        <sz val="9"/>
        <color theme="1"/>
        <rFont val="Century Schoolbook"/>
        <family val="1"/>
      </rPr>
      <t>4.-</t>
    </r>
    <r>
      <rPr>
        <sz val="10"/>
        <color theme="1"/>
        <rFont val="Arial Narrow"/>
      </rPr>
      <t xml:space="preserve"> Efectuar el seguimiento y control a la carga y/o registro de información.
</t>
    </r>
    <r>
      <rPr>
        <b/>
        <sz val="9"/>
        <color theme="1"/>
        <rFont val="Century Schoolbook"/>
        <family val="1"/>
      </rPr>
      <t>5.-</t>
    </r>
    <r>
      <rPr>
        <sz val="10"/>
        <color theme="1"/>
        <rFont val="Arial Narrow"/>
      </rPr>
      <t xml:space="preserve"> Emitir reportes de seguimiento para validación de la Dirección de Planificación.</t>
    </r>
  </si>
  <si>
    <r>
      <rPr>
        <b/>
        <sz val="9"/>
        <color theme="1"/>
        <rFont val="Century Schoolbook"/>
        <family val="1"/>
      </rPr>
      <t>1.-</t>
    </r>
    <r>
      <rPr>
        <sz val="10"/>
        <color theme="1"/>
        <rFont val="Arial Narrow"/>
      </rPr>
      <t xml:space="preserve"> Analizar la información receptada o remitida por gestión de la Dirección de Planificación o Dirección Financiera.
</t>
    </r>
    <r>
      <rPr>
        <b/>
        <sz val="9"/>
        <color theme="1"/>
        <rFont val="Century Schoolbook"/>
        <family val="1"/>
      </rPr>
      <t>2.-</t>
    </r>
    <r>
      <rPr>
        <sz val="10"/>
        <color theme="1"/>
        <rFont val="Arial Narrow"/>
      </rPr>
      <t xml:space="preserve"> Elaborar los Techos Presupuestarios conforme a las Reformas Presupuestarias realizadas.
</t>
    </r>
    <r>
      <rPr>
        <b/>
        <sz val="9"/>
        <color theme="1"/>
        <rFont val="Century Schoolbook"/>
        <family val="1"/>
      </rPr>
      <t>3.-</t>
    </r>
    <r>
      <rPr>
        <sz val="10"/>
        <color theme="1"/>
        <rFont val="Arial Narrow"/>
      </rPr>
      <t xml:space="preserve"> Remitir los Techos Presupuestario para revisión y/o validación de la Dirección de Planificación y efectuar correcciones (si aplica).</t>
    </r>
  </si>
  <si>
    <r>
      <rPr>
        <b/>
        <sz val="9"/>
        <color theme="1"/>
        <rFont val="Century Schoolbook"/>
        <family val="1"/>
      </rPr>
      <t>1.-</t>
    </r>
    <r>
      <rPr>
        <sz val="10"/>
        <color theme="1"/>
        <rFont val="Arial Narrow"/>
      </rPr>
      <t xml:space="preserve"> Elaborar y presentar la planificación operativa anual y sus evaluaciones.
</t>
    </r>
    <r>
      <rPr>
        <b/>
        <sz val="9"/>
        <color theme="1"/>
        <rFont val="Century Schoolbook"/>
        <family val="1"/>
      </rPr>
      <t>2.-</t>
    </r>
    <r>
      <rPr>
        <sz val="10"/>
        <color theme="1"/>
        <rFont val="Arial Narrow"/>
      </rPr>
      <t xml:space="preserve"> Efectuar los respectivos cambios o ajustes.
</t>
    </r>
    <r>
      <rPr>
        <b/>
        <sz val="9"/>
        <color theme="1"/>
        <rFont val="Century Schoolbook"/>
        <family val="1"/>
      </rPr>
      <t>3.-</t>
    </r>
    <r>
      <rPr>
        <sz val="10"/>
        <color theme="1"/>
        <rFont val="Arial Narrow"/>
      </rPr>
      <t xml:space="preserve"> Notificar oficialmente los cambios efectuados.</t>
    </r>
  </si>
  <si>
    <r>
      <rPr>
        <b/>
        <sz val="9"/>
        <color theme="1"/>
        <rFont val="Century Schoolbook"/>
        <family val="1"/>
      </rPr>
      <t>1.-</t>
    </r>
    <r>
      <rPr>
        <sz val="10"/>
        <color theme="1"/>
        <rFont val="Arial Narrow"/>
      </rPr>
      <t xml:space="preserve"> Registrar oficios recibidos y enviados.
</t>
    </r>
    <r>
      <rPr>
        <b/>
        <sz val="9"/>
        <color theme="1"/>
        <rFont val="Century Schoolbook"/>
        <family val="1"/>
      </rPr>
      <t>2.-</t>
    </r>
    <r>
      <rPr>
        <sz val="10"/>
        <color theme="1"/>
        <rFont val="Arial Narrow"/>
      </rPr>
      <t xml:space="preserve"> Organizar el archivo digital.
</t>
    </r>
    <r>
      <rPr>
        <b/>
        <sz val="9"/>
        <color theme="1"/>
        <rFont val="Century Schoolbook"/>
        <family val="1"/>
      </rPr>
      <t>3.-</t>
    </r>
    <r>
      <rPr>
        <sz val="10"/>
        <color theme="1"/>
        <rFont val="Arial Narrow"/>
      </rPr>
      <t xml:space="preserve"> Ingresar los oficios al sistema informático de la Universidad Técnica de Machala.</t>
    </r>
  </si>
  <si>
    <r>
      <rPr>
        <b/>
        <sz val="9"/>
        <color theme="1"/>
        <rFont val="Century Schoolbook"/>
        <family val="1"/>
      </rPr>
      <t>1.-</t>
    </r>
    <r>
      <rPr>
        <sz val="10"/>
        <color theme="1"/>
        <rFont val="Arial Narrow"/>
      </rPr>
      <t xml:space="preserve"> Convocatorias a los actos de socialización y difusión de la actualización de la Planificación Estratégica Institucional.
</t>
    </r>
    <r>
      <rPr>
        <b/>
        <sz val="9"/>
        <color theme="1"/>
        <rFont val="Century Schoolbook"/>
        <family val="1"/>
      </rPr>
      <t>2.-</t>
    </r>
    <r>
      <rPr>
        <sz val="10"/>
        <color theme="1"/>
        <rFont val="Arial Narrow"/>
      </rPr>
      <t xml:space="preserve"> Memoria de los actos de socialización y difusión de la actualización de la Planificación Estratégica Institucional.
</t>
    </r>
    <r>
      <rPr>
        <b/>
        <sz val="9"/>
        <color theme="1"/>
        <rFont val="Century Schoolbook"/>
        <family val="1"/>
      </rPr>
      <t>3.-</t>
    </r>
    <r>
      <rPr>
        <sz val="10"/>
        <color theme="1"/>
        <rFont val="Arial Narrow"/>
      </rPr>
      <t xml:space="preserve"> Diseño de matriz de articulación de metas POA </t>
    </r>
    <r>
      <rPr>
        <sz val="10"/>
        <color theme="1"/>
        <rFont val="Century Schoolbook"/>
        <family val="1"/>
      </rPr>
      <t>2023</t>
    </r>
    <r>
      <rPr>
        <sz val="10"/>
        <color theme="1"/>
        <rFont val="Arial Narrow"/>
      </rPr>
      <t xml:space="preserve"> al PEDI.</t>
    </r>
  </si>
  <si>
    <r>
      <rPr>
        <b/>
        <sz val="9"/>
        <color theme="1"/>
        <rFont val="Century Schoolbook"/>
        <family val="1"/>
      </rPr>
      <t>1.-</t>
    </r>
    <r>
      <rPr>
        <sz val="10"/>
        <color theme="1"/>
        <rFont val="Arial Narrow"/>
        <family val="2"/>
      </rPr>
      <t xml:space="preserve"> Directrices para la elaboración del POA</t>
    </r>
    <r>
      <rPr>
        <sz val="10"/>
        <color theme="1"/>
        <rFont val="Century Schoolbook"/>
        <family val="1"/>
      </rPr>
      <t xml:space="preserve"> 2024</t>
    </r>
    <r>
      <rPr>
        <sz val="10"/>
        <color theme="1"/>
        <rFont val="Arial Narrow"/>
        <family val="2"/>
      </rPr>
      <t xml:space="preserve">.
</t>
    </r>
    <r>
      <rPr>
        <b/>
        <sz val="9"/>
        <color theme="1"/>
        <rFont val="Century Schoolbook"/>
        <family val="1"/>
      </rPr>
      <t>2.-</t>
    </r>
    <r>
      <rPr>
        <sz val="10"/>
        <color theme="1"/>
        <rFont val="Arial Narrow"/>
        <family val="2"/>
      </rPr>
      <t xml:space="preserve"> Matriz de validación del POA </t>
    </r>
    <r>
      <rPr>
        <sz val="10"/>
        <color theme="1"/>
        <rFont val="Century Schoolbook"/>
        <family val="1"/>
      </rPr>
      <t>2024</t>
    </r>
    <r>
      <rPr>
        <sz val="10"/>
        <color theme="1"/>
        <rFont val="Arial Narrow"/>
        <family val="2"/>
      </rPr>
      <t xml:space="preserve"> a nivel institucional.
</t>
    </r>
    <r>
      <rPr>
        <b/>
        <sz val="9"/>
        <color theme="1"/>
        <rFont val="Century Schoolbook"/>
        <family val="1"/>
      </rPr>
      <t>3.-</t>
    </r>
    <r>
      <rPr>
        <sz val="10"/>
        <color theme="1"/>
        <rFont val="Arial Narrow"/>
        <family val="2"/>
      </rPr>
      <t xml:space="preserve"> Resolución de Aprobación del POA </t>
    </r>
    <r>
      <rPr>
        <sz val="10"/>
        <color theme="1"/>
        <rFont val="Century Schoolbook"/>
        <family val="1"/>
      </rPr>
      <t>2024.</t>
    </r>
  </si>
  <si>
    <r>
      <rPr>
        <b/>
        <sz val="9"/>
        <color theme="1"/>
        <rFont val="Century Schoolbook"/>
        <family val="1"/>
      </rPr>
      <t>1.-</t>
    </r>
    <r>
      <rPr>
        <sz val="10"/>
        <color theme="1"/>
        <rFont val="Arial Narrow"/>
        <family val="2"/>
      </rPr>
      <t xml:space="preserve"> Matriz de priorización de proyectos de inversión PAI </t>
    </r>
    <r>
      <rPr>
        <sz val="10"/>
        <color theme="1"/>
        <rFont val="Century Schoolbook"/>
        <family val="1"/>
      </rPr>
      <t>2023.</t>
    </r>
    <r>
      <rPr>
        <sz val="10"/>
        <color theme="1"/>
        <rFont val="Arial Narrow"/>
      </rPr>
      <t xml:space="preserve">
</t>
    </r>
    <r>
      <rPr>
        <b/>
        <sz val="9"/>
        <color theme="1"/>
        <rFont val="Century Schoolbook"/>
        <family val="1"/>
      </rPr>
      <t>2.-</t>
    </r>
    <r>
      <rPr>
        <sz val="10"/>
        <color theme="1"/>
        <rFont val="Arial Narrow"/>
      </rPr>
      <t xml:space="preserve"> Resolución de aprobación de la priorización de los proyectos de inversión del PAI </t>
    </r>
    <r>
      <rPr>
        <sz val="10"/>
        <color theme="1"/>
        <rFont val="Century Schoolbook"/>
        <family val="1"/>
      </rPr>
      <t>2023.</t>
    </r>
    <r>
      <rPr>
        <sz val="10"/>
        <color theme="1"/>
        <rFont val="Arial Narrow"/>
      </rPr>
      <t xml:space="preserve">
</t>
    </r>
    <r>
      <rPr>
        <b/>
        <sz val="9"/>
        <color theme="1"/>
        <rFont val="Century Schoolbook"/>
        <family val="1"/>
      </rPr>
      <t>3.-</t>
    </r>
    <r>
      <rPr>
        <sz val="10"/>
        <color theme="1"/>
        <rFont val="Arial Narrow"/>
      </rPr>
      <t xml:space="preserve"> Matriz de proforma del Plan Anual de Inversiones </t>
    </r>
    <r>
      <rPr>
        <sz val="10"/>
        <color theme="1"/>
        <rFont val="Century Schoolbook"/>
        <family val="1"/>
      </rPr>
      <t>2024.</t>
    </r>
  </si>
  <si>
    <r>
      <rPr>
        <b/>
        <sz val="9"/>
        <color theme="1"/>
        <rFont val="Century Schoolbook"/>
        <family val="1"/>
      </rPr>
      <t>1.-</t>
    </r>
    <r>
      <rPr>
        <sz val="10"/>
        <color theme="1"/>
        <rFont val="Arial Narrow"/>
        <family val="2"/>
      </rPr>
      <t xml:space="preserve"> Notificación a la máxima autoridad sobre el cumplimiento del proceso.</t>
    </r>
  </si>
  <si>
    <r>
      <rPr>
        <b/>
        <sz val="9"/>
        <color theme="1"/>
        <rFont val="Century Schoolbook"/>
        <family val="1"/>
      </rPr>
      <t>1.-</t>
    </r>
    <r>
      <rPr>
        <sz val="10"/>
        <color theme="1"/>
        <rFont val="Arial Narrow"/>
        <family val="2"/>
      </rPr>
      <t xml:space="preserve"> Informe del seguimiento cuatrimestral al POA </t>
    </r>
    <r>
      <rPr>
        <sz val="10"/>
        <color theme="1"/>
        <rFont val="Century Schoolbook"/>
        <family val="1"/>
      </rPr>
      <t>2023</t>
    </r>
    <r>
      <rPr>
        <sz val="10"/>
        <color theme="1"/>
        <rFont val="Arial Narrow"/>
        <family val="2"/>
      </rPr>
      <t xml:space="preserve">.
</t>
    </r>
    <r>
      <rPr>
        <b/>
        <sz val="9"/>
        <color theme="1"/>
        <rFont val="Century Schoolbook"/>
        <family val="1"/>
      </rPr>
      <t>2.-</t>
    </r>
    <r>
      <rPr>
        <sz val="10"/>
        <color theme="1"/>
        <rFont val="Arial Narrow"/>
        <family val="2"/>
      </rPr>
      <t xml:space="preserve"> Informe del seguimiento al Plan Anual de inversiones </t>
    </r>
    <r>
      <rPr>
        <sz val="10"/>
        <color theme="1"/>
        <rFont val="Century Schoolbook"/>
        <family val="1"/>
      </rPr>
      <t>2023</t>
    </r>
    <r>
      <rPr>
        <sz val="10"/>
        <color theme="1"/>
        <rFont val="Arial Narrow"/>
        <family val="2"/>
      </rPr>
      <t xml:space="preserve">.
</t>
    </r>
    <r>
      <rPr>
        <b/>
        <sz val="9"/>
        <color theme="1"/>
        <rFont val="Century Schoolbook"/>
        <family val="1"/>
      </rPr>
      <t>3.-</t>
    </r>
    <r>
      <rPr>
        <sz val="10"/>
        <color theme="1"/>
        <rFont val="Arial Narrow"/>
        <family val="2"/>
      </rPr>
      <t xml:space="preserve"> Informe del proceso del Proceso Anual de Rendición de Cuentas </t>
    </r>
    <r>
      <rPr>
        <sz val="10"/>
        <color theme="1"/>
        <rFont val="Century Schoolbook"/>
        <family val="1"/>
      </rPr>
      <t>2022.</t>
    </r>
  </si>
  <si>
    <r>
      <rPr>
        <b/>
        <sz val="9"/>
        <color theme="1"/>
        <rFont val="Century Schoolbook"/>
        <family val="1"/>
      </rPr>
      <t>1.-</t>
    </r>
    <r>
      <rPr>
        <sz val="10"/>
        <color theme="1"/>
        <rFont val="Arial Narrow"/>
      </rPr>
      <t xml:space="preserve"> Informe Técnico sobre los Insumos para la Proforma Presupuestaria emitido.</t>
    </r>
  </si>
  <si>
    <r>
      <rPr>
        <b/>
        <sz val="9"/>
        <color theme="1"/>
        <rFont val="Century Schoolbook"/>
        <family val="1"/>
      </rPr>
      <t>1.-</t>
    </r>
    <r>
      <rPr>
        <sz val="10"/>
        <color theme="1"/>
        <rFont val="Arial Narrow"/>
      </rPr>
      <t xml:space="preserve"> Informe Final de Rendición de Cuentas aprobado por Consejo Universitario.
</t>
    </r>
    <r>
      <rPr>
        <b/>
        <sz val="9"/>
        <color theme="1"/>
        <rFont val="Century Schoolbook"/>
        <family val="1"/>
      </rPr>
      <t>2.-</t>
    </r>
    <r>
      <rPr>
        <sz val="10"/>
        <color theme="1"/>
        <rFont val="Arial Narrow"/>
      </rPr>
      <t xml:space="preserve"> Reporte del registro del informe de Rendición de Cuentas en la plataforma CPCCS.
</t>
    </r>
    <r>
      <rPr>
        <b/>
        <sz val="9"/>
        <color theme="1"/>
        <rFont val="Century Schoolbook"/>
        <family val="1"/>
      </rPr>
      <t>3.-</t>
    </r>
    <r>
      <rPr>
        <sz val="10"/>
        <color theme="1"/>
        <rFont val="Arial Narrow"/>
      </rPr>
      <t xml:space="preserve"> Informe al rectorado con el cumplimiento del proceso para que sea remitido al Consejo de Educación Superior.</t>
    </r>
  </si>
  <si>
    <r>
      <rPr>
        <b/>
        <sz val="9"/>
        <color theme="1"/>
        <rFont val="Century Schoolbook"/>
        <family val="1"/>
      </rPr>
      <t>1.-</t>
    </r>
    <r>
      <rPr>
        <sz val="10"/>
        <color theme="1"/>
        <rFont val="Arial Narrow"/>
      </rPr>
      <t xml:space="preserve"> Informes de cumplimento y/o corrección del proceso de distribución de recursos.</t>
    </r>
  </si>
  <si>
    <r>
      <rPr>
        <b/>
        <sz val="9"/>
        <color theme="1"/>
        <rFont val="Century Schoolbook"/>
        <family val="1"/>
      </rPr>
      <t>1.-</t>
    </r>
    <r>
      <rPr>
        <sz val="10"/>
        <color theme="1"/>
        <rFont val="Arial Narrow"/>
      </rPr>
      <t xml:space="preserve"> Informes y/o criterios técnicos emitidos.</t>
    </r>
  </si>
  <si>
    <r>
      <rPr>
        <b/>
        <sz val="9"/>
        <color theme="1"/>
        <rFont val="Century Schoolbook"/>
        <family val="1"/>
      </rPr>
      <t>1.-</t>
    </r>
    <r>
      <rPr>
        <sz val="10"/>
        <color theme="1"/>
        <rFont val="Arial Narrow"/>
      </rPr>
      <t xml:space="preserve"> POA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Notificación de validación del POA.
</t>
    </r>
    <r>
      <rPr>
        <b/>
        <sz val="9"/>
        <color theme="1"/>
        <rFont val="Century Schoolbook"/>
        <family val="1"/>
      </rPr>
      <t>3.-</t>
    </r>
    <r>
      <rPr>
        <sz val="10"/>
        <color theme="1"/>
        <rFont val="Arial Narrow"/>
      </rPr>
      <t xml:space="preserve"> Evaluación anual del POA </t>
    </r>
    <r>
      <rPr>
        <sz val="10"/>
        <color theme="1"/>
        <rFont val="Century Schoolbook"/>
        <family val="1"/>
      </rPr>
      <t>2023</t>
    </r>
    <r>
      <rPr>
        <sz val="10"/>
        <color theme="1"/>
        <rFont val="Arial Narrow"/>
      </rPr>
      <t xml:space="preserve">.
</t>
    </r>
    <r>
      <rPr>
        <b/>
        <sz val="9"/>
        <color theme="1"/>
        <rFont val="Century Schoolbook"/>
        <family val="1"/>
      </rPr>
      <t>4.-</t>
    </r>
    <r>
      <rPr>
        <sz val="10"/>
        <color theme="1"/>
        <rFont val="Arial Narrow"/>
      </rPr>
      <t xml:space="preserve"> Notificación de la validación del evaluación del POA </t>
    </r>
    <r>
      <rPr>
        <sz val="10"/>
        <color theme="1"/>
        <rFont val="Century Schoolbook"/>
        <family val="1"/>
      </rPr>
      <t>2023.</t>
    </r>
  </si>
  <si>
    <r>
      <rPr>
        <b/>
        <sz val="9"/>
        <color theme="1"/>
        <rFont val="Century Schoolbook"/>
        <family val="1"/>
      </rPr>
      <t>1.-</t>
    </r>
    <r>
      <rPr>
        <sz val="10"/>
        <color theme="1"/>
        <rFont val="Arial Narrow"/>
      </rPr>
      <t xml:space="preserve"> Inventario documental actualizado.</t>
    </r>
  </si>
  <si>
    <r>
      <rPr>
        <b/>
        <sz val="9"/>
        <color theme="1"/>
        <rFont val="Century Schoolbook"/>
        <family val="1"/>
      </rPr>
      <t>1.-</t>
    </r>
    <r>
      <rPr>
        <sz val="10"/>
        <color theme="1"/>
        <rFont val="Arial Narrow"/>
      </rPr>
      <t xml:space="preserve"> Reporte de elaboración y/o actualización de Propuestas de Instructivos, Guías Metodológicas o Instrumentos de Evaluación para el Diseño de la Planificación Estratégica Institucional, Planificación Operativa Anual y para el Diseño de Proyectos de Inversión.</t>
    </r>
  </si>
  <si>
    <r>
      <rPr>
        <b/>
        <sz val="9"/>
        <color theme="1"/>
        <rFont val="Century Schoolbook"/>
        <family val="1"/>
      </rPr>
      <t>1.-</t>
    </r>
    <r>
      <rPr>
        <sz val="10"/>
        <color theme="1"/>
        <rFont val="Arial Narrow"/>
      </rPr>
      <t xml:space="preserve"> Informe de recepción y validación del POA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Matrices de la planificación operativa anual y sus reformas.
</t>
    </r>
    <r>
      <rPr>
        <b/>
        <sz val="9"/>
        <color theme="1"/>
        <rFont val="Century Schoolbook"/>
        <family val="1"/>
      </rPr>
      <t>3.-</t>
    </r>
    <r>
      <rPr>
        <sz val="10"/>
        <color theme="1"/>
        <rFont val="Arial Narrow"/>
      </rPr>
      <t xml:space="preserve"> Registro de firmas de personas asesoradas dentro y fuera de la Dirección de Planificación.</t>
    </r>
  </si>
  <si>
    <r>
      <rPr>
        <b/>
        <sz val="9"/>
        <color theme="1"/>
        <rFont val="Century Schoolbook"/>
        <family val="1"/>
      </rPr>
      <t>1.-</t>
    </r>
    <r>
      <rPr>
        <sz val="10"/>
        <color theme="1"/>
        <rFont val="Arial Narrow"/>
      </rPr>
      <t xml:space="preserve"> Reporte del registro de la Planificación Institucional, Programación Anual de la Planificación (Gasto Permanente y Gasto No Permanente (proyectos de inversión) y sus evaluaciones.</t>
    </r>
  </si>
  <si>
    <r>
      <rPr>
        <b/>
        <sz val="9"/>
        <color theme="1"/>
        <rFont val="Century Schoolbook"/>
        <family val="1"/>
      </rPr>
      <t>1.-</t>
    </r>
    <r>
      <rPr>
        <sz val="10"/>
        <color theme="1"/>
        <rFont val="Arial Narrow"/>
      </rPr>
      <t xml:space="preserve"> Reportes de resultados de la evaluación de planes, programas, proyectos y del proceso de rendición anual de cuentas.</t>
    </r>
  </si>
  <si>
    <r>
      <rPr>
        <b/>
        <sz val="9"/>
        <color theme="1"/>
        <rFont val="Century Schoolbook"/>
        <family val="1"/>
      </rPr>
      <t>1.-</t>
    </r>
    <r>
      <rPr>
        <sz val="10"/>
        <color theme="1"/>
        <rFont val="Arial Narrow"/>
      </rPr>
      <t xml:space="preserve"> Reportes de control interno de la incorporación de la información en la plataforma gubernamental dispuesta para el efecto, para el proceso de distribución de recursos.</t>
    </r>
  </si>
  <si>
    <r>
      <rPr>
        <b/>
        <sz val="9"/>
        <color theme="1"/>
        <rFont val="Century Schoolbook"/>
        <family val="1"/>
      </rPr>
      <t>1.-</t>
    </r>
    <r>
      <rPr>
        <sz val="10"/>
        <color theme="1"/>
        <rFont val="Arial Narrow"/>
      </rPr>
      <t xml:space="preserve"> Techos Presupuestarios solicitados a la Dirección de Planificación.</t>
    </r>
  </si>
  <si>
    <r>
      <rPr>
        <b/>
        <sz val="9"/>
        <color theme="1"/>
        <rFont val="Century Schoolbook"/>
        <family val="1"/>
      </rPr>
      <t>1.-</t>
    </r>
    <r>
      <rPr>
        <sz val="10"/>
        <color theme="1"/>
        <rFont val="Arial Narrow"/>
      </rPr>
      <t xml:space="preserve"> Plan Operativo Anual.
</t>
    </r>
    <r>
      <rPr>
        <b/>
        <sz val="9"/>
        <color theme="1"/>
        <rFont val="Century Schoolbook"/>
        <family val="1"/>
      </rPr>
      <t>2.-</t>
    </r>
    <r>
      <rPr>
        <sz val="10"/>
        <color theme="1"/>
        <rFont val="Arial Narrow"/>
      </rPr>
      <t xml:space="preserve"> Emitir reportes al seguimiento realizado al POA de UPES.
</t>
    </r>
    <r>
      <rPr>
        <b/>
        <sz val="9"/>
        <color theme="1"/>
        <rFont val="Century Schoolbook"/>
        <family val="1"/>
      </rPr>
      <t>3.-</t>
    </r>
    <r>
      <rPr>
        <sz val="10"/>
        <color theme="1"/>
        <rFont val="Arial Narrow"/>
      </rPr>
      <t xml:space="preserve"> Evaluación anual del POA.
</t>
    </r>
    <r>
      <rPr>
        <b/>
        <sz val="9"/>
        <color theme="1"/>
        <rFont val="Century Schoolbook"/>
        <family val="1"/>
      </rPr>
      <t>4.-</t>
    </r>
    <r>
      <rPr>
        <sz val="10"/>
        <color theme="1"/>
        <rFont val="Arial Narrow"/>
      </rPr>
      <t xml:space="preserve"> Evidencias subidas en google drive que justifican la ejecución de las Metas Operativas de la UPES.</t>
    </r>
  </si>
  <si>
    <r>
      <rPr>
        <b/>
        <sz val="9"/>
        <color theme="1"/>
        <rFont val="Century Schoolbook"/>
        <family val="1"/>
      </rPr>
      <t>1.-</t>
    </r>
    <r>
      <rPr>
        <sz val="10"/>
        <color theme="1"/>
        <rFont val="Arial Narrow"/>
      </rPr>
      <t xml:space="preserve"> Matriz de registro de oficios recibidos y enviados de la UPES.
</t>
    </r>
    <r>
      <rPr>
        <b/>
        <sz val="9"/>
        <color theme="1"/>
        <rFont val="Century Schoolbook"/>
        <family val="1"/>
      </rPr>
      <t>2.-</t>
    </r>
    <r>
      <rPr>
        <sz val="10"/>
        <color theme="1"/>
        <rFont val="Arial Narrow"/>
      </rPr>
      <t xml:space="preserve"> Directorio de archivo con la documentación generada y recibida en la UPES.
</t>
    </r>
    <r>
      <rPr>
        <b/>
        <sz val="9"/>
        <color theme="1"/>
        <rFont val="Century Schoolbook"/>
        <family val="1"/>
      </rPr>
      <t>3.-</t>
    </r>
    <r>
      <rPr>
        <sz val="10"/>
        <color theme="1"/>
        <rFont val="Arial Narrow"/>
      </rPr>
      <t xml:space="preserve"> Evidencias del registro de los oficios en el Sistema Informático de la Universidad Técnica de Machala.</t>
    </r>
  </si>
  <si>
    <r>
      <t xml:space="preserve">* Abg. Oscar Sánchez López,
  Director de Planificación
* Econ. Paola Apolo Silva,
  Jefa de Planificación, Evaluación y Seguimiento
* Econ. Eunice Basilio Banchón,
  Analista de Formulación y Control Presupuestario
</t>
    </r>
    <r>
      <rPr>
        <sz val="10"/>
        <color theme="1"/>
        <rFont val="Arial Narrow"/>
      </rPr>
      <t>* Lcda. Elizabeth Brito Arias,
  Analista de Planificación</t>
    </r>
  </si>
  <si>
    <t>* Abg. Oscar Sánchez López,
  Director de Planificación
* Econ. Paola Apolo Silva,
  Jefa de Planificación,
  Evaluación y Seguimiento
* Econ. Eunice Basilio Banchón,
  Analista de Formulación y Control Presupuestario
* Lcda. Elizabeth Brito Arias,
  Analista de Planificación</t>
  </si>
  <si>
    <t>* Abg. Oscar Sánchez López,
  Director de Planificación
* Econ. Paola Apolo Silva,
  Jefa de Planificación, Evaluación y Seguimiento
* Econ. Eunice Basilio Banchón,
  Analista de Formulación y Control Presupuestario
* Lcda. Elizabeth Brito Arias,
  Analista de Planificación</t>
  </si>
  <si>
    <t>* Abg. Oscar Sánchez López,
  Director de Planificación
* Econ. Paola Apolo Silva,
  Jefa de Planificación, Evaluación y Seguimiento
* Econ. Eunice Basilio Banchón,
  Analista de Formulación y Control Presupuestario
* Econ. Gisell Ríos Ríos,
  Analista de Evaluación y Control Operativo
* Lcda. Elizabeth Brito Arias,
  Analista de Planificación</t>
  </si>
  <si>
    <t>* Abg. Oscar Sánchez López,
  Director de Planificación
* Econ. Paola Apolo Silva,
  Jefa de Planificación, Evaluación y Seguimiento
* Econ. Gisell Ríos Ríos,
  Analista de Evaluación y Control Operativo
* Lcda. Elizabeth Brito Arias,
  Analista de Planificación</t>
  </si>
  <si>
    <t>* Abg. Oscar Sánchez López,
  Director de Planificación
* Econ. Paola Apolo Silva
  Jefa de Planificación, Evaluación y Seguimiento
* Econ. Eunice Basilio Banchón,
  Analista de Formulación y Control Presupuestario
* Lcda. Elizabeth Brito Arias,
  Analista de Planificación</t>
  </si>
  <si>
    <t>* Abg. Oscar Sánchez López
  Director de Planificación
* Econ. Paola Apolo Silva,
  Jefa de Planificación, Evaluación y Seguimiento
* Econ. Eunice Basilio Banchón,
  Analista de Formulación y Control Presupuestario
* Econ. Gisell Ríos Ríos,
  Analista de Evaluación y Control Operativo
* Lcda. Elizabeth Brito Arias,
  Analista de Planificación</t>
  </si>
  <si>
    <t>* Econ. Paola Apolo Silva,
  Jefa de Planificación, Evaluación y Seguimiento
* Econ. Eunice Basilio Banchón,
  Analista de Formulación y Control Presupuestario
* Econ. Gisell Ríos Ríos,
  Analista de Evaluación y Control Operativo</t>
  </si>
  <si>
    <t>* Econ. Paola Apolo Silva,
  Jefa de Planificación, Evaluación y Seguimiento
* Econ. Eunice Basilio Banchón,
  Analista de Formulación y Control Presupuestario</t>
  </si>
  <si>
    <t>* Econ. Paola Apolo Silva,
  Jefa de Planificación, Evaluación y Seguimiento
* Econ. Gisell Ríos Ríos,
  Analista de Evaluación y Control Operativo
* Econ. Eunice Basilio Banchón,
  Analista de Formulación y Control Presupuestario</t>
  </si>
  <si>
    <r>
      <t xml:space="preserve">Difusión de la actualización del Plan Estratégico Institucional debido a que se planifica la actualización para el III cuatrimestre del </t>
    </r>
    <r>
      <rPr>
        <sz val="10"/>
        <rFont val="Century Schoolbook"/>
        <family val="1"/>
      </rPr>
      <t>2022.</t>
    </r>
  </si>
  <si>
    <r>
      <rPr>
        <b/>
        <sz val="9"/>
        <color theme="1"/>
        <rFont val="Century Schoolbook"/>
        <family val="1"/>
      </rPr>
      <t>1.-</t>
    </r>
    <r>
      <rPr>
        <sz val="10"/>
        <color theme="1"/>
        <rFont val="Arial Narrow"/>
        <family val="2"/>
      </rPr>
      <t xml:space="preserve"> Emitir Directrices para la elaboración del POA </t>
    </r>
    <r>
      <rPr>
        <sz val="10"/>
        <color theme="1"/>
        <rFont val="Century Schoolbook"/>
        <family val="1"/>
      </rPr>
      <t>2024</t>
    </r>
    <r>
      <rPr>
        <sz val="10"/>
        <color theme="1"/>
        <rFont val="Arial Narrow"/>
        <family val="2"/>
      </rPr>
      <t xml:space="preserve"> acorde a la actualización del </t>
    </r>
    <r>
      <rPr>
        <sz val="10"/>
        <color theme="1"/>
        <rFont val="Arial Narrow"/>
      </rPr>
      <t xml:space="preserve">Plan Estratégico de Desarrollo Institucional.
</t>
    </r>
    <r>
      <rPr>
        <b/>
        <sz val="9"/>
        <color theme="1"/>
        <rFont val="Century Schoolbook"/>
        <family val="1"/>
      </rPr>
      <t>2.-</t>
    </r>
    <r>
      <rPr>
        <sz val="10"/>
        <color theme="1"/>
        <rFont val="Arial Narrow"/>
      </rPr>
      <t xml:space="preserve"> Emitir directrices para el proceso de revisión del POA </t>
    </r>
    <r>
      <rPr>
        <sz val="10"/>
        <color theme="1"/>
        <rFont val="Century Schoolbook"/>
        <family val="1"/>
      </rPr>
      <t>2024</t>
    </r>
    <r>
      <rPr>
        <sz val="10"/>
        <color theme="1"/>
        <rFont val="Arial Narrow"/>
      </rPr>
      <t xml:space="preserve">.
</t>
    </r>
    <r>
      <rPr>
        <b/>
        <sz val="9"/>
        <color theme="1"/>
        <rFont val="Century Schoolbook"/>
        <family val="1"/>
      </rPr>
      <t>3.-</t>
    </r>
    <r>
      <rPr>
        <sz val="10"/>
        <color theme="1"/>
        <rFont val="Arial Narrow"/>
      </rPr>
      <t xml:space="preserve"> Realizar la validación de los POA </t>
    </r>
    <r>
      <rPr>
        <sz val="10"/>
        <color theme="1"/>
        <rFont val="Century Schoolbook"/>
        <family val="1"/>
      </rPr>
      <t>2024</t>
    </r>
    <r>
      <rPr>
        <sz val="10"/>
        <color theme="1"/>
        <rFont val="Arial Narrow"/>
      </rPr>
      <t xml:space="preserve"> revisados.
</t>
    </r>
    <r>
      <rPr>
        <b/>
        <sz val="9"/>
        <color theme="1"/>
        <rFont val="Century Schoolbook"/>
        <family val="1"/>
      </rPr>
      <t>4.-</t>
    </r>
    <r>
      <rPr>
        <sz val="10"/>
        <color theme="1"/>
        <rFont val="Arial Narrow"/>
      </rPr>
      <t xml:space="preserve"> Gestionar la aprobación de los POA </t>
    </r>
    <r>
      <rPr>
        <sz val="10"/>
        <color theme="1"/>
        <rFont val="Century Schoolbook"/>
        <family val="1"/>
      </rPr>
      <t>2024.</t>
    </r>
  </si>
  <si>
    <r>
      <t xml:space="preserve">ROLLO DE CABLE X </t>
    </r>
    <r>
      <rPr>
        <sz val="10"/>
        <color theme="1"/>
        <rFont val="Century Schoolbook"/>
        <family val="1"/>
      </rPr>
      <t>100</t>
    </r>
    <r>
      <rPr>
        <sz val="10"/>
        <color theme="1"/>
        <rFont val="Arial Narrow"/>
        <family val="2"/>
      </rPr>
      <t>MT</t>
    </r>
  </si>
  <si>
    <r>
      <t xml:space="preserve">PALILLOS PUNTA DE MADERA </t>
    </r>
    <r>
      <rPr>
        <sz val="10"/>
        <color theme="1"/>
        <rFont val="Century Schoolbook"/>
        <family val="1"/>
      </rPr>
      <t>5</t>
    </r>
    <r>
      <rPr>
        <sz val="10"/>
        <color theme="1"/>
        <rFont val="Arial Narrow"/>
        <family val="2"/>
      </rPr>
      <t>A DRUMSTICK</t>
    </r>
    <r>
      <rPr>
        <sz val="10"/>
        <color theme="1"/>
        <rFont val="Century Schoolbook"/>
        <family val="1"/>
      </rPr>
      <t xml:space="preserve"> 5</t>
    </r>
    <r>
      <rPr>
        <sz val="10"/>
        <color theme="1"/>
        <rFont val="Arial Narrow"/>
        <family val="2"/>
      </rPr>
      <t>AW</t>
    </r>
  </si>
  <si>
    <r>
      <t>PARCHES DE BONGOS-EB</t>
    </r>
    <r>
      <rPr>
        <sz val="10"/>
        <color theme="1"/>
        <rFont val="Century Schoolbook"/>
        <family val="1"/>
      </rPr>
      <t>0709</t>
    </r>
  </si>
  <si>
    <r>
      <t xml:space="preserve">CORREAS-WORD TOUR </t>
    </r>
    <r>
      <rPr>
        <sz val="10"/>
        <color theme="1"/>
        <rFont val="Century Schoolbook"/>
        <family val="1"/>
      </rPr>
      <t>50</t>
    </r>
    <r>
      <rPr>
        <sz val="10"/>
        <color theme="1"/>
        <rFont val="Arial Narrow"/>
        <family val="2"/>
      </rPr>
      <t>A</t>
    </r>
    <r>
      <rPr>
        <sz val="10"/>
        <color theme="1"/>
        <rFont val="Century Schoolbook"/>
        <family val="1"/>
      </rPr>
      <t>05</t>
    </r>
  </si>
  <si>
    <r>
      <t>CUERDAS PARA BAJO -EPS</t>
    </r>
    <r>
      <rPr>
        <sz val="10"/>
        <color theme="1"/>
        <rFont val="Century Schoolbook"/>
        <family val="1"/>
      </rPr>
      <t>170-5</t>
    </r>
    <r>
      <rPr>
        <sz val="10"/>
        <color theme="1"/>
        <rFont val="Arial Narrow"/>
        <family val="2"/>
      </rPr>
      <t xml:space="preserve">SL XL </t>
    </r>
  </si>
  <si>
    <r>
      <t>CUERDAS PAR GUITARRA -NYXL</t>
    </r>
    <r>
      <rPr>
        <sz val="10"/>
        <color theme="1"/>
        <rFont val="Century Schoolbook"/>
        <family val="1"/>
      </rPr>
      <t>1046</t>
    </r>
  </si>
  <si>
    <r>
      <t>PARA VOCES PRINCIPAL- D</t>
    </r>
    <r>
      <rPr>
        <sz val="10"/>
        <color theme="1"/>
        <rFont val="Century Schoolbook"/>
        <family val="1"/>
      </rPr>
      <t>5</t>
    </r>
  </si>
  <si>
    <r>
      <t xml:space="preserve">PIANO ELECTRÓNICO O SINTETIZADOR </t>
    </r>
    <r>
      <rPr>
        <sz val="10"/>
        <color theme="1"/>
        <rFont val="Century Schoolbook"/>
        <family val="1"/>
      </rPr>
      <t>5,6</t>
    </r>
    <r>
      <rPr>
        <sz val="10"/>
        <color theme="1"/>
        <rFont val="Arial Narrow"/>
        <family val="2"/>
      </rPr>
      <t xml:space="preserve"> O </t>
    </r>
    <r>
      <rPr>
        <sz val="10"/>
        <color theme="1"/>
        <rFont val="Century Schoolbook"/>
        <family val="1"/>
      </rPr>
      <t>7</t>
    </r>
    <r>
      <rPr>
        <sz val="10"/>
        <color theme="1"/>
        <rFont val="Arial Narrow"/>
        <family val="2"/>
      </rPr>
      <t xml:space="preserve"> OCTAVAS </t>
    </r>
  </si>
  <si>
    <r>
      <t xml:space="preserve">SETS DE MANO-WMS </t>
    </r>
    <r>
      <rPr>
        <sz val="10"/>
        <color theme="1"/>
        <rFont val="Century Schoolbook"/>
        <family val="1"/>
      </rPr>
      <t>45</t>
    </r>
    <r>
      <rPr>
        <sz val="10"/>
        <color theme="1"/>
        <rFont val="Arial Narrow"/>
        <family val="2"/>
      </rPr>
      <t xml:space="preserve"> VOCAL SET BAND B</t>
    </r>
    <r>
      <rPr>
        <sz val="10"/>
        <color theme="1"/>
        <rFont val="Century Schoolbook"/>
        <family val="1"/>
      </rPr>
      <t>2</t>
    </r>
  </si>
  <si>
    <r>
      <t xml:space="preserve">CAJAS DE PLÁSTICO- XLITE </t>
    </r>
    <r>
      <rPr>
        <sz val="10"/>
        <color theme="1"/>
        <rFont val="Century Schoolbook"/>
        <family val="1"/>
      </rPr>
      <t>115</t>
    </r>
    <r>
      <rPr>
        <sz val="10"/>
        <color theme="1"/>
        <rFont val="Arial Narrow"/>
        <family val="2"/>
      </rPr>
      <t>A</t>
    </r>
  </si>
  <si>
    <r>
      <t>CAJAS DE PLÁSTICO - TRUESONIC TX</t>
    </r>
    <r>
      <rPr>
        <sz val="10"/>
        <color theme="1"/>
        <rFont val="Century Schoolbook"/>
        <family val="1"/>
      </rPr>
      <t>310</t>
    </r>
    <r>
      <rPr>
        <sz val="10"/>
        <color theme="1"/>
        <rFont val="Arial Narrow"/>
        <family val="2"/>
      </rPr>
      <t xml:space="preserve"> USA</t>
    </r>
  </si>
  <si>
    <r>
      <t>CONSOLAS ANALÓGICAS-EPM</t>
    </r>
    <r>
      <rPr>
        <sz val="10"/>
        <color theme="1"/>
        <rFont val="Century Schoolbook"/>
        <family val="1"/>
      </rPr>
      <t>6</t>
    </r>
  </si>
  <si>
    <r>
      <t xml:space="preserve">CONSOLAS ANALOGICAS -SIGNATURE </t>
    </r>
    <r>
      <rPr>
        <sz val="10"/>
        <color theme="1"/>
        <rFont val="Century Schoolbook"/>
        <family val="1"/>
      </rPr>
      <t>22</t>
    </r>
    <r>
      <rPr>
        <sz val="10"/>
        <color theme="1"/>
        <rFont val="Arial Narrow"/>
        <family val="2"/>
      </rPr>
      <t>MTK</t>
    </r>
  </si>
  <si>
    <r>
      <t>CONSOLAS ANALOGICAS -FX</t>
    </r>
    <r>
      <rPr>
        <sz val="10"/>
        <color theme="1"/>
        <rFont val="Century Schoolbook"/>
        <family val="1"/>
      </rPr>
      <t>16</t>
    </r>
    <r>
      <rPr>
        <sz val="10"/>
        <color theme="1"/>
        <rFont val="Arial Narrow"/>
        <family val="2"/>
      </rPr>
      <t>II</t>
    </r>
  </si>
  <si>
    <r>
      <t>MEDIOS AGUDO ACTIVO - VIO L</t>
    </r>
    <r>
      <rPr>
        <sz val="10"/>
        <color theme="1"/>
        <rFont val="Century Schoolbook"/>
        <family val="1"/>
      </rPr>
      <t>208</t>
    </r>
  </si>
  <si>
    <r>
      <t xml:space="preserve">BAJO ACTIVOS LINE A- SUBLINE </t>
    </r>
    <r>
      <rPr>
        <sz val="10"/>
        <color rgb="FF000000"/>
        <rFont val="Century Schoolbook"/>
        <family val="1"/>
      </rPr>
      <t>218</t>
    </r>
    <r>
      <rPr>
        <sz val="10"/>
        <color rgb="FF000000"/>
        <rFont val="Arial Narrow"/>
        <family val="2"/>
      </rPr>
      <t>SA</t>
    </r>
  </si>
  <si>
    <r>
      <t>TINTA PARA IMPRESORA EPSON L</t>
    </r>
    <r>
      <rPr>
        <sz val="10"/>
        <color rgb="FF000000"/>
        <rFont val="Century Schoolbook"/>
        <family val="1"/>
      </rPr>
      <t>355</t>
    </r>
    <r>
      <rPr>
        <sz val="10"/>
        <color rgb="FF000000"/>
        <rFont val="Arial Narrow"/>
        <family val="2"/>
      </rPr>
      <t xml:space="preserve"> ORIGINAL AMARILLA T</t>
    </r>
    <r>
      <rPr>
        <sz val="10"/>
        <color rgb="FF000000"/>
        <rFont val="Century Schoolbook"/>
        <family val="1"/>
      </rPr>
      <t>6644</t>
    </r>
  </si>
  <si>
    <r>
      <t>TINTA PARA IMPRESORA EPSON L</t>
    </r>
    <r>
      <rPr>
        <sz val="10"/>
        <color rgb="FF000000"/>
        <rFont val="Century Schoolbook"/>
        <family val="1"/>
      </rPr>
      <t>355</t>
    </r>
    <r>
      <rPr>
        <sz val="10"/>
        <color rgb="FF000000"/>
        <rFont val="Arial Narrow"/>
        <family val="2"/>
      </rPr>
      <t xml:space="preserve"> ORIGINAL MAGENTA T</t>
    </r>
    <r>
      <rPr>
        <sz val="10"/>
        <color rgb="FF000000"/>
        <rFont val="Century Schoolbook"/>
        <family val="1"/>
      </rPr>
      <t>6643</t>
    </r>
  </si>
  <si>
    <r>
      <t>TINTA PARA IMPRESORA EPSON L</t>
    </r>
    <r>
      <rPr>
        <sz val="10"/>
        <color rgb="FF000000"/>
        <rFont val="Century Schoolbook"/>
        <family val="1"/>
      </rPr>
      <t>355</t>
    </r>
    <r>
      <rPr>
        <sz val="10"/>
        <color rgb="FF000000"/>
        <rFont val="Arial Narrow"/>
        <family val="2"/>
      </rPr>
      <t xml:space="preserve"> ORIGINAL CIAN T</t>
    </r>
    <r>
      <rPr>
        <sz val="10"/>
        <color rgb="FF000000"/>
        <rFont val="Century Schoolbook"/>
        <family val="1"/>
      </rPr>
      <t>6642</t>
    </r>
  </si>
  <si>
    <r>
      <t>TINTA PARA IMPRESORA EPSON L</t>
    </r>
    <r>
      <rPr>
        <sz val="10"/>
        <color rgb="FF000000"/>
        <rFont val="Century Schoolbook"/>
        <family val="1"/>
      </rPr>
      <t>355</t>
    </r>
    <r>
      <rPr>
        <sz val="10"/>
        <color rgb="FF000000"/>
        <rFont val="Arial Narrow"/>
        <family val="2"/>
      </rPr>
      <t xml:space="preserve"> ORIGINAL NEGRO Bk T</t>
    </r>
    <r>
      <rPr>
        <sz val="10"/>
        <color rgb="FF000000"/>
        <rFont val="Century Schoolbook"/>
        <family val="1"/>
      </rPr>
      <t>6641</t>
    </r>
  </si>
  <si>
    <r>
      <t xml:space="preserve">AIRE ACONDICIONADO </t>
    </r>
    <r>
      <rPr>
        <sz val="10"/>
        <color theme="1"/>
        <rFont val="Century Schoolbook"/>
        <family val="1"/>
      </rPr>
      <t>12,000</t>
    </r>
    <r>
      <rPr>
        <sz val="10"/>
        <color theme="1"/>
        <rFont val="Arial Narrow"/>
        <family val="2"/>
      </rPr>
      <t>BTU</t>
    </r>
  </si>
  <si>
    <r>
      <t xml:space="preserve">Balones para futbol sala N° </t>
    </r>
    <r>
      <rPr>
        <sz val="10"/>
        <color theme="1"/>
        <rFont val="Century Schoolbook"/>
        <family val="1"/>
      </rPr>
      <t>4</t>
    </r>
  </si>
  <si>
    <r>
      <t>Balones de Básquet N</t>
    </r>
    <r>
      <rPr>
        <sz val="10"/>
        <color theme="1"/>
        <rFont val="Century Schoolbook"/>
        <family val="1"/>
      </rPr>
      <t>8</t>
    </r>
  </si>
  <si>
    <r>
      <t>Balones de indor N</t>
    </r>
    <r>
      <rPr>
        <sz val="10"/>
        <color theme="1"/>
        <rFont val="Century Schoolbook"/>
        <family val="1"/>
      </rPr>
      <t>3</t>
    </r>
  </si>
  <si>
    <r>
      <t>Balones de fútbol N</t>
    </r>
    <r>
      <rPr>
        <sz val="10"/>
        <color theme="1"/>
        <rFont val="Century Schoolbook"/>
        <family val="1"/>
      </rPr>
      <t>5</t>
    </r>
  </si>
  <si>
    <r>
      <t>VASOS DE ALMACENAMIENTO DE LECHE</t>
    </r>
    <r>
      <rPr>
        <sz val="10"/>
        <color rgb="FFFF0000"/>
        <rFont val="Arial Narrow"/>
        <family val="2"/>
      </rPr>
      <t xml:space="preserve"> </t>
    </r>
    <r>
      <rPr>
        <sz val="10"/>
        <color theme="1"/>
        <rFont val="Arial Narrow"/>
        <family val="2"/>
      </rPr>
      <t xml:space="preserve">POR </t>
    </r>
    <r>
      <rPr>
        <sz val="10"/>
        <color theme="1"/>
        <rFont val="Century Schoolbook"/>
        <family val="1"/>
      </rPr>
      <t>10</t>
    </r>
    <r>
      <rPr>
        <sz val="10"/>
        <color theme="1"/>
        <rFont val="Arial Narrow"/>
        <family val="2"/>
      </rPr>
      <t xml:space="preserve"> UNIDADES</t>
    </r>
  </si>
  <si>
    <r>
      <t xml:space="preserve">SILLÓN RECLINABLE </t>
    </r>
    <r>
      <rPr>
        <sz val="10"/>
        <color theme="1"/>
        <rFont val="Century Schoolbook"/>
        <family val="1"/>
      </rPr>
      <t>1</t>
    </r>
    <r>
      <rPr>
        <sz val="10"/>
        <color theme="1"/>
        <rFont val="Arial Narrow"/>
        <family val="2"/>
      </rPr>
      <t>P MODELO CLASSIC</t>
    </r>
  </si>
  <si>
    <r>
      <t xml:space="preserve">MESA DE TRABAJO DE  ACERO INOXIDABLE CON FREGADERO </t>
    </r>
    <r>
      <rPr>
        <sz val="10"/>
        <color theme="1"/>
        <rFont val="Century Schoolbook"/>
        <family val="1"/>
      </rPr>
      <t>4X1,12</t>
    </r>
  </si>
  <si>
    <r>
      <t xml:space="preserve">REFRIGERADOR DE </t>
    </r>
    <r>
      <rPr>
        <sz val="10"/>
        <color theme="1"/>
        <rFont val="Century Schoolbook"/>
        <family val="1"/>
      </rPr>
      <t>8</t>
    </r>
    <r>
      <rPr>
        <sz val="10"/>
        <color theme="1"/>
        <rFont val="Arial Narrow"/>
        <family val="2"/>
      </rPr>
      <t xml:space="preserve"> PIES CON TERMÓMETRO</t>
    </r>
  </si>
  <si>
    <r>
      <t xml:space="preserve">INFLABLES </t>
    </r>
    <r>
      <rPr>
        <sz val="10"/>
        <color theme="1"/>
        <rFont val="Century Schoolbook"/>
        <family val="1"/>
      </rPr>
      <t>3X3</t>
    </r>
  </si>
  <si>
    <r>
      <t xml:space="preserve">INFLABLE </t>
    </r>
    <r>
      <rPr>
        <sz val="10"/>
        <color theme="1"/>
        <rFont val="Century Schoolbook"/>
        <family val="1"/>
      </rPr>
      <t>2X2</t>
    </r>
  </si>
  <si>
    <t xml:space="preserve">* Lcdo. Jorge Villacís,
  Director de la DBU
* Psci. Marela Gómez,
  Psicóloga Clínica DBU
* Cinthia Vaca,
  Psicóloga Educativa </t>
  </si>
  <si>
    <t>* Lcdo. Carlos Carchi,
  Psicólogo Educativo 
* Psic. Cintia Vaca,
  Psicóloga Educativa</t>
  </si>
  <si>
    <t>* Lcdo. Carlos Carchi,
  Psicólogo Educativo
* Psic. Cintia Vaca,
  Psicóloga Educativa</t>
  </si>
  <si>
    <t>* Lcda. Jenny Reyes,
  Trabajadora Social
* Lcdo. Homer Riofrío,
  Trabajador Social</t>
  </si>
  <si>
    <t>* Lcda. Jenny Reyes,
  Trabajadora Social
* Lcdo. Homer Riofrío,
  Trabajador Social
* Lcdo. Carlos Carchi,
  Psicólogo Educativo</t>
  </si>
  <si>
    <t>* Lcda. Jenny Reyes,
  Trabajadora Social</t>
  </si>
  <si>
    <t xml:space="preserve">* Lcdo. Carlos Carchi,
  Psicólogo Educativo
</t>
  </si>
  <si>
    <t>* Lcdo. Marco Poma,
  Analista Deportivo
* Ec. Jaime Barrezueta,
 Analista Deportivo
* Lcdo. Jonny Carrasco,
  Analista Deportivo</t>
  </si>
  <si>
    <t>* Lcdo. Jorge Villacís,
  Director de la DBU
* Psci. Marela Gómez,
  Psicóloga Clínica  DBU</t>
  </si>
  <si>
    <t>* Lcdo. Jorge Villacís,
  Director de la Dirección de Bienestar Universitario
* Ing. Heiser Barreto,
  Auxiliar Administrativo</t>
  </si>
  <si>
    <t>* Ing. Heiser Barreto,
  Auxiliar Administrativo</t>
  </si>
  <si>
    <t>* Lcdo. Carlos Julio Carchi Cuenca,
  Jefe de la Unidad de Servicios de Asistencia Social</t>
  </si>
  <si>
    <t>* Lcda. Jenny Reyes,
  Trabajadora Social
* Lcdo. Homer Riofrío,
  Trabajador Social                 * Lcdo. Carlos Carchi,
  Psicólogo Educativo</t>
  </si>
  <si>
    <t>* Lcda. Jenny Reyes,
  Trabajadora Social
* Lcdo. Homer Riofrío,
  Trabajador Social
* Lcdo. Carlos Carchi,
  Psicólogo Educativo
* Lcdo. Marco Poma,
  Analista Deportivo
* Ec. Jaime Barrezueta,
  Analista Deportivo</t>
  </si>
  <si>
    <t>* Lcdo. Carlos Carchi,
  Psicólogo Educativo
* Psic. Cintia Vaca,
  Psicólogo Educativo</t>
  </si>
  <si>
    <t>* Lcdo. Jorge Villacís,
  Director de la Dirección de Bienestar Universitario
* Ing. Heiser Barreto,
  Auxiliar administrativo</t>
  </si>
  <si>
    <t>* Ing. Heiser Barreto,
  Auxiliar administrativo</t>
  </si>
  <si>
    <r>
      <rPr>
        <b/>
        <sz val="9"/>
        <color theme="1"/>
        <rFont val="Century Schoolbook"/>
        <family val="1"/>
      </rPr>
      <t>1.-</t>
    </r>
    <r>
      <rPr>
        <sz val="10"/>
        <color theme="1"/>
        <rFont val="Arial Narrow"/>
        <family val="2"/>
      </rPr>
      <t xml:space="preserve"> Informe de la actividad realizada.</t>
    </r>
  </si>
  <si>
    <r>
      <rPr>
        <b/>
        <sz val="9"/>
        <color theme="1"/>
        <rFont val="Century Schoolbook"/>
        <family val="1"/>
      </rPr>
      <t>1.-</t>
    </r>
    <r>
      <rPr>
        <sz val="10"/>
        <color theme="1"/>
        <rFont val="Arial Narrow"/>
        <family val="2"/>
      </rPr>
      <t xml:space="preserve"> Programa UTMACH es Igualdad. 
</t>
    </r>
    <r>
      <rPr>
        <b/>
        <sz val="9"/>
        <color theme="1"/>
        <rFont val="Century Schoolbook"/>
        <family val="1"/>
      </rPr>
      <t>2.-</t>
    </r>
    <r>
      <rPr>
        <sz val="10"/>
        <color theme="1"/>
        <rFont val="Arial Narrow"/>
        <family val="2"/>
      </rPr>
      <t xml:space="preserve"> Informe de capacitación.
</t>
    </r>
    <r>
      <rPr>
        <b/>
        <sz val="9"/>
        <color theme="1"/>
        <rFont val="Century Schoolbook"/>
        <family val="1"/>
      </rPr>
      <t>3.-</t>
    </r>
    <r>
      <rPr>
        <sz val="10"/>
        <color theme="1"/>
        <rFont val="Arial Narrow"/>
        <family val="2"/>
      </rPr>
      <t xml:space="preserve"> Borrador del Reglamento de Igualdad Institucional.</t>
    </r>
  </si>
  <si>
    <r>
      <rPr>
        <b/>
        <sz val="9"/>
        <color theme="1"/>
        <rFont val="Century Schoolbook"/>
        <family val="1"/>
      </rPr>
      <t>1.-</t>
    </r>
    <r>
      <rPr>
        <sz val="10"/>
        <color theme="1"/>
        <rFont val="Arial Narrow"/>
        <family val="2"/>
      </rPr>
      <t xml:space="preserve"> Registro de asistencia.
</t>
    </r>
    <r>
      <rPr>
        <b/>
        <sz val="9"/>
        <color theme="1"/>
        <rFont val="Century Schoolbook"/>
        <family val="1"/>
      </rPr>
      <t>2.-</t>
    </r>
    <r>
      <rPr>
        <sz val="10"/>
        <color theme="1"/>
        <rFont val="Arial Narrow"/>
        <family val="2"/>
      </rPr>
      <t xml:space="preserve"> Memoria Fotográfica.
</t>
    </r>
    <r>
      <rPr>
        <b/>
        <sz val="9"/>
        <color theme="1"/>
        <rFont val="Century Schoolbook"/>
        <family val="1"/>
      </rPr>
      <t>3.-</t>
    </r>
    <r>
      <rPr>
        <sz val="10"/>
        <color theme="1"/>
        <rFont val="Arial Narrow"/>
        <family val="2"/>
      </rPr>
      <t xml:space="preserve"> Certificados de organizadores de talleres.</t>
    </r>
  </si>
  <si>
    <r>
      <rPr>
        <b/>
        <sz val="9"/>
        <color theme="1"/>
        <rFont val="Century Schoolbook"/>
        <family val="1"/>
      </rPr>
      <t>1.-</t>
    </r>
    <r>
      <rPr>
        <sz val="10"/>
        <color theme="1"/>
        <rFont val="Arial Narrow"/>
        <family val="2"/>
      </rPr>
      <t xml:space="preserve"> Seguimientos y evaluaciones a la Planificación de Igualdad.</t>
    </r>
  </si>
  <si>
    <r>
      <rPr>
        <b/>
        <sz val="9"/>
        <color theme="1"/>
        <rFont val="Century Schoolbook"/>
        <family val="1"/>
      </rPr>
      <t>1.-</t>
    </r>
    <r>
      <rPr>
        <sz val="10"/>
        <color theme="1"/>
        <rFont val="Arial Narrow"/>
        <family val="2"/>
      </rPr>
      <t xml:space="preserve"> Informes de beneficiarios de ayudas económicas y tecnológicas.</t>
    </r>
  </si>
  <si>
    <r>
      <rPr>
        <b/>
        <sz val="9"/>
        <color theme="1"/>
        <rFont val="Century Schoolbook"/>
        <family val="1"/>
      </rPr>
      <t>1.-</t>
    </r>
    <r>
      <rPr>
        <sz val="10"/>
        <color theme="1"/>
        <rFont val="Arial Narrow"/>
        <family val="2"/>
      </rPr>
      <t xml:space="preserve"> Memoria fotográficas.
</t>
    </r>
    <r>
      <rPr>
        <b/>
        <sz val="9"/>
        <color theme="1"/>
        <rFont val="Century Schoolbook"/>
        <family val="1"/>
      </rPr>
      <t>2.-</t>
    </r>
    <r>
      <rPr>
        <sz val="10"/>
        <color theme="1"/>
        <rFont val="Arial Narrow"/>
        <family val="2"/>
      </rPr>
      <t xml:space="preserve"> Registro de Atención.</t>
    </r>
  </si>
  <si>
    <r>
      <rPr>
        <b/>
        <sz val="9"/>
        <color theme="1"/>
        <rFont val="Century Schoolbook"/>
        <family val="1"/>
      </rPr>
      <t>1.-</t>
    </r>
    <r>
      <rPr>
        <sz val="10"/>
        <color theme="1"/>
        <rFont val="Arial Narrow"/>
        <family val="2"/>
      </rPr>
      <t xml:space="preserve"> Informe de beneficiarios de ayudas económicas y tecnológicas, semestrales.</t>
    </r>
  </si>
  <si>
    <r>
      <rPr>
        <b/>
        <sz val="9"/>
        <color theme="1"/>
        <rFont val="Century Schoolbook"/>
        <family val="1"/>
      </rPr>
      <t>1.-</t>
    </r>
    <r>
      <rPr>
        <sz val="10"/>
        <color theme="1"/>
        <rFont val="Arial Narrow"/>
        <family val="2"/>
      </rPr>
      <t xml:space="preserve"> Memoria fotográfica.</t>
    </r>
  </si>
  <si>
    <r>
      <rPr>
        <b/>
        <sz val="9"/>
        <color theme="1"/>
        <rFont val="Century Schoolbook"/>
        <family val="1"/>
      </rPr>
      <t>1.-</t>
    </r>
    <r>
      <rPr>
        <sz val="10"/>
        <color theme="1"/>
        <rFont val="Arial Narrow"/>
        <family val="2"/>
      </rPr>
      <t xml:space="preserve"> Registro de beneficiarios de seguro de vida y accidentes personales.
</t>
    </r>
    <r>
      <rPr>
        <b/>
        <sz val="9"/>
        <color theme="1"/>
        <rFont val="Century Schoolbook"/>
        <family val="1"/>
      </rPr>
      <t>2.-</t>
    </r>
    <r>
      <rPr>
        <sz val="10"/>
        <color theme="1"/>
        <rFont val="Arial Narrow"/>
        <family val="2"/>
      </rPr>
      <t xml:space="preserve"> Póliza de seguro de vida.</t>
    </r>
  </si>
  <si>
    <r>
      <rPr>
        <b/>
        <sz val="9"/>
        <color theme="1"/>
        <rFont val="Century Schoolbook"/>
        <family val="1"/>
      </rPr>
      <t>1.-</t>
    </r>
    <r>
      <rPr>
        <sz val="10"/>
        <color theme="1"/>
        <rFont val="Arial Narrow"/>
        <family val="2"/>
      </rPr>
      <t xml:space="preserve"> Publicación del post.</t>
    </r>
  </si>
  <si>
    <r>
      <rPr>
        <b/>
        <sz val="9"/>
        <color theme="1"/>
        <rFont val="Century Schoolbook"/>
        <family val="1"/>
      </rPr>
      <t>1.-</t>
    </r>
    <r>
      <rPr>
        <sz val="10"/>
        <color theme="1"/>
        <rFont val="Arial Narrow"/>
        <family val="2"/>
      </rPr>
      <t xml:space="preserve"> Informe de Espacios Físicos.</t>
    </r>
  </si>
  <si>
    <r>
      <rPr>
        <b/>
        <sz val="9"/>
        <color theme="1"/>
        <rFont val="Century Schoolbook"/>
        <family val="1"/>
      </rPr>
      <t>1.-</t>
    </r>
    <r>
      <rPr>
        <sz val="10"/>
        <color theme="1"/>
        <rFont val="Arial Narrow"/>
        <family val="2"/>
      </rPr>
      <t xml:space="preserve"> Convocatoria de eventos.</t>
    </r>
  </si>
  <si>
    <r>
      <rPr>
        <b/>
        <sz val="9"/>
        <color theme="1"/>
        <rFont val="Century Schoolbook"/>
        <family val="1"/>
      </rPr>
      <t>1.-</t>
    </r>
    <r>
      <rPr>
        <sz val="10"/>
        <color theme="1"/>
        <rFont val="Arial Narrow"/>
        <family val="2"/>
      </rPr>
      <t xml:space="preserve"> Informe emitido de casos atendidos.</t>
    </r>
  </si>
  <si>
    <r>
      <rPr>
        <b/>
        <sz val="9"/>
        <color theme="1"/>
        <rFont val="Century Schoolbook"/>
        <family val="1"/>
      </rPr>
      <t>1.-</t>
    </r>
    <r>
      <rPr>
        <sz val="10"/>
        <color theme="1"/>
        <rFont val="Arial Narrow"/>
        <family val="2"/>
      </rPr>
      <t xml:space="preserve">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del POA </t>
    </r>
    <r>
      <rPr>
        <sz val="10"/>
        <color theme="1"/>
        <rFont val="Century Schoolbook"/>
        <family val="1"/>
      </rPr>
      <t>2023</t>
    </r>
    <r>
      <rPr>
        <sz val="10"/>
        <color theme="1"/>
        <rFont val="Arial Narrow"/>
        <family val="2"/>
      </rPr>
      <t xml:space="preserve">.
</t>
    </r>
  </si>
  <si>
    <r>
      <rPr>
        <b/>
        <sz val="9"/>
        <color theme="1"/>
        <rFont val="Century Schoolbook"/>
        <family val="1"/>
      </rPr>
      <t>1.-</t>
    </r>
    <r>
      <rPr>
        <sz val="10"/>
        <color theme="1"/>
        <rFont val="Arial Narrow"/>
        <family val="2"/>
      </rPr>
      <t xml:space="preserve"> Memoria Fotográfica.
</t>
    </r>
    <r>
      <rPr>
        <b/>
        <sz val="9"/>
        <color theme="1"/>
        <rFont val="Century Schoolbook"/>
        <family val="1"/>
      </rPr>
      <t>2.-</t>
    </r>
    <r>
      <rPr>
        <sz val="10"/>
        <color theme="1"/>
        <rFont val="Arial Narrow"/>
        <family val="2"/>
      </rPr>
      <t xml:space="preserve"> Registro y/o Informe de  actividad realizada.</t>
    </r>
  </si>
  <si>
    <r>
      <rPr>
        <b/>
        <sz val="9"/>
        <color theme="1"/>
        <rFont val="Century Schoolbook"/>
        <family val="1"/>
      </rPr>
      <t>1.-</t>
    </r>
    <r>
      <rPr>
        <sz val="10"/>
        <color theme="1"/>
        <rFont val="Arial Narrow"/>
        <family val="2"/>
      </rPr>
      <t xml:space="preserve"> Instrumentos</t>
    </r>
    <r>
      <rPr>
        <sz val="10"/>
        <color rgb="FFFF0000"/>
        <rFont val="Arial Narrow"/>
        <family val="2"/>
      </rPr>
      <t xml:space="preserve"> </t>
    </r>
    <r>
      <rPr>
        <sz val="10"/>
        <color theme="1"/>
        <rFont val="Arial Narrow"/>
        <family val="2"/>
      </rPr>
      <t>técnicos para el análisis de los postulantes a los beneficios de becas y ayudas económicas diseñados.</t>
    </r>
  </si>
  <si>
    <r>
      <rPr>
        <b/>
        <sz val="9"/>
        <color theme="1"/>
        <rFont val="Century Schoolbook"/>
        <family val="1"/>
      </rPr>
      <t>1.-</t>
    </r>
    <r>
      <rPr>
        <sz val="10"/>
        <color theme="1"/>
        <rFont val="Arial Narrow"/>
        <family val="2"/>
      </rPr>
      <t xml:space="preserve"> Convocatoria de eventos.
</t>
    </r>
    <r>
      <rPr>
        <b/>
        <sz val="9"/>
        <color theme="1"/>
        <rFont val="Century Schoolbook"/>
        <family val="1"/>
      </rPr>
      <t>2.-</t>
    </r>
    <r>
      <rPr>
        <sz val="10"/>
        <color theme="1"/>
        <rFont val="Arial Narrow"/>
        <family val="2"/>
      </rPr>
      <t xml:space="preserve"> Memoria Fotográfica.
</t>
    </r>
    <r>
      <rPr>
        <b/>
        <sz val="9"/>
        <color theme="1"/>
        <rFont val="Century Schoolbook"/>
        <family val="1"/>
      </rPr>
      <t>3.-</t>
    </r>
    <r>
      <rPr>
        <sz val="10"/>
        <color theme="1"/>
        <rFont val="Arial Narrow"/>
        <family val="2"/>
      </rPr>
      <t xml:space="preserve"> Registros de atención.</t>
    </r>
  </si>
  <si>
    <r>
      <rPr>
        <b/>
        <sz val="9"/>
        <color theme="1"/>
        <rFont val="Century Schoolbook"/>
        <family val="1"/>
      </rPr>
      <t>1.-</t>
    </r>
    <r>
      <rPr>
        <sz val="10"/>
        <color theme="1"/>
        <rFont val="Arial Narrow"/>
        <family val="2"/>
      </rPr>
      <t xml:space="preserve"> Registro de beneficiarios de becas y ayudas económicas.
</t>
    </r>
    <r>
      <rPr>
        <b/>
        <sz val="9"/>
        <color theme="1"/>
        <rFont val="Century Schoolbook"/>
        <family val="1"/>
      </rPr>
      <t>2.-</t>
    </r>
    <r>
      <rPr>
        <sz val="10"/>
        <color theme="1"/>
        <rFont val="Arial Narrow"/>
        <family val="2"/>
      </rPr>
      <t xml:space="preserve"> Informe de pago de beneficiarios de becas y ayudas económicas.</t>
    </r>
  </si>
  <si>
    <r>
      <rPr>
        <b/>
        <sz val="9"/>
        <color theme="1"/>
        <rFont val="Century Schoolbook"/>
        <family val="1"/>
      </rPr>
      <t>1.-</t>
    </r>
    <r>
      <rPr>
        <sz val="10"/>
        <color theme="1"/>
        <rFont val="Arial Narrow"/>
        <family val="2"/>
      </rPr>
      <t xml:space="preserve"> Registro de adaptaciones curriculares de los y las estudiantes con necesidades educativas especiales.</t>
    </r>
  </si>
  <si>
    <r>
      <rPr>
        <b/>
        <sz val="9"/>
        <color theme="1"/>
        <rFont val="Century Schoolbook"/>
        <family val="1"/>
      </rPr>
      <t>1.-</t>
    </r>
    <r>
      <rPr>
        <sz val="10"/>
        <color theme="1"/>
        <rFont val="Arial Narrow"/>
        <family val="2"/>
      </rPr>
      <t xml:space="preserve">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del POA </t>
    </r>
    <r>
      <rPr>
        <sz val="10"/>
        <color theme="1"/>
        <rFont val="Century Schoolbook"/>
        <family val="1"/>
      </rPr>
      <t>2023</t>
    </r>
    <r>
      <rPr>
        <sz val="10"/>
        <color theme="1"/>
        <rFont val="Arial Narrow"/>
        <family val="2"/>
      </rPr>
      <t>.</t>
    </r>
  </si>
  <si>
    <r>
      <rPr>
        <b/>
        <sz val="9"/>
        <color theme="1"/>
        <rFont val="Century Schoolbook"/>
        <family val="1"/>
      </rPr>
      <t>1.-</t>
    </r>
    <r>
      <rPr>
        <sz val="10"/>
        <color theme="1"/>
        <rFont val="Arial Narrow"/>
        <family val="2"/>
      </rPr>
      <t xml:space="preserve"> Agenda Cultural publicada en la página Web de la UTMACH.</t>
    </r>
  </si>
  <si>
    <r>
      <rPr>
        <b/>
        <sz val="9"/>
        <color theme="1"/>
        <rFont val="Century Schoolbook"/>
        <family val="1"/>
      </rPr>
      <t>1.-</t>
    </r>
    <r>
      <rPr>
        <sz val="10"/>
        <color theme="1"/>
        <rFont val="Arial Narrow"/>
        <family val="2"/>
      </rPr>
      <t xml:space="preserve"> Informe  de las presentaciones coordinadas de los grupos artísticos del D.C.A. UTMACH.
</t>
    </r>
    <r>
      <rPr>
        <b/>
        <sz val="9"/>
        <color theme="1"/>
        <rFont val="Century Schoolbook"/>
        <family val="1"/>
      </rPr>
      <t>2.-</t>
    </r>
    <r>
      <rPr>
        <sz val="10"/>
        <color theme="1"/>
        <rFont val="Arial Narrow"/>
        <family val="2"/>
      </rPr>
      <t xml:space="preserve"> Oficios.</t>
    </r>
  </si>
  <si>
    <r>
      <rPr>
        <b/>
        <sz val="9"/>
        <color theme="1"/>
        <rFont val="Century Schoolbook"/>
        <family val="1"/>
      </rPr>
      <t>1.-</t>
    </r>
    <r>
      <rPr>
        <sz val="10"/>
        <color theme="1"/>
        <rFont val="Arial Narrow"/>
        <family val="2"/>
      </rPr>
      <t xml:space="preserve"> Reporte de la ejecución de la Agenda Cultural.
</t>
    </r>
    <r>
      <rPr>
        <b/>
        <sz val="9"/>
        <color theme="1"/>
        <rFont val="Century Schoolbook"/>
        <family val="1"/>
      </rPr>
      <t>2.-</t>
    </r>
    <r>
      <rPr>
        <sz val="10"/>
        <color theme="1"/>
        <rFont val="Arial Narrow"/>
        <family val="2"/>
      </rPr>
      <t xml:space="preserve"> Boletines de prensa difundidos en  página web de la UTMACH y en los diferentes medios de comunicación locales, provinciales y regionales.</t>
    </r>
  </si>
  <si>
    <r>
      <rPr>
        <b/>
        <sz val="9"/>
        <color theme="1"/>
        <rFont val="Century Schoolbook"/>
        <family val="1"/>
      </rPr>
      <t>1.-</t>
    </r>
    <r>
      <rPr>
        <sz val="10"/>
        <color theme="1"/>
        <rFont val="Arial Narrow"/>
        <family val="2"/>
      </rPr>
      <t xml:space="preserve"> Reporte de guiones presentados.</t>
    </r>
  </si>
  <si>
    <r>
      <rPr>
        <b/>
        <sz val="9"/>
        <color theme="1"/>
        <rFont val="Century Schoolbook"/>
        <family val="1"/>
      </rPr>
      <t>1.-</t>
    </r>
    <r>
      <rPr>
        <sz val="10"/>
        <color theme="1"/>
        <rFont val="Arial Narrow"/>
        <family val="2"/>
      </rPr>
      <t xml:space="preserve"> Informe de actividades realizadas.</t>
    </r>
  </si>
  <si>
    <r>
      <rPr>
        <b/>
        <sz val="9"/>
        <color theme="1"/>
        <rFont val="Century Schoolbook"/>
        <family val="1"/>
      </rPr>
      <t>1.-</t>
    </r>
    <r>
      <rPr>
        <sz val="10"/>
        <color theme="1"/>
        <rFont val="Arial Narrow"/>
        <family val="2"/>
      </rPr>
      <t xml:space="preserve"> Reporte de los eventos realizados.</t>
    </r>
  </si>
  <si>
    <r>
      <rPr>
        <b/>
        <sz val="9"/>
        <color theme="1"/>
        <rFont val="Century Schoolbook"/>
        <family val="1"/>
      </rPr>
      <t>1.-</t>
    </r>
    <r>
      <rPr>
        <sz val="10"/>
        <color theme="1"/>
        <rFont val="Arial Narrow"/>
        <family val="2"/>
      </rPr>
      <t xml:space="preserve"> Planificar socializaciones de orientación vocacional a los grupos históricamente vulnerables.</t>
    </r>
  </si>
  <si>
    <r>
      <rPr>
        <b/>
        <sz val="9"/>
        <color theme="1"/>
        <rFont val="Century Schoolbook"/>
        <family val="1"/>
      </rPr>
      <t>1.-</t>
    </r>
    <r>
      <rPr>
        <sz val="10"/>
        <color theme="1"/>
        <rFont val="Arial Narrow"/>
        <family val="2"/>
      </rPr>
      <t xml:space="preserve"> Planificar programa UTMACH Es Igualdad.
</t>
    </r>
    <r>
      <rPr>
        <b/>
        <sz val="9"/>
        <color theme="1"/>
        <rFont val="Century Schoolbook"/>
        <family val="1"/>
      </rPr>
      <t>2.-</t>
    </r>
    <r>
      <rPr>
        <sz val="10"/>
        <color theme="1"/>
        <rFont val="Arial Narrow"/>
        <family val="2"/>
      </rPr>
      <t xml:space="preserve"> Ejecutar una capacitación sobre la integración intercultural dentro de la UTMACH. 
</t>
    </r>
    <r>
      <rPr>
        <b/>
        <sz val="9"/>
        <color theme="1"/>
        <rFont val="Century Schoolbook"/>
        <family val="1"/>
      </rPr>
      <t>3.-</t>
    </r>
    <r>
      <rPr>
        <sz val="10"/>
        <color theme="1"/>
        <rFont val="Arial Narrow"/>
        <family val="2"/>
      </rPr>
      <t xml:space="preserve"> Elaborar y presentar el primer borrador del Reglamento de Igualdad Institucional.</t>
    </r>
  </si>
  <si>
    <r>
      <rPr>
        <b/>
        <sz val="9"/>
        <color theme="1"/>
        <rFont val="Century Schoolbook"/>
        <family val="1"/>
      </rPr>
      <t>1.-</t>
    </r>
    <r>
      <rPr>
        <sz val="10"/>
        <color theme="1"/>
        <rFont val="Arial Narrow"/>
        <family val="2"/>
      </rPr>
      <t xml:space="preserve"> Ejecutar Programa UTMACH es Igualdad.
</t>
    </r>
    <r>
      <rPr>
        <b/>
        <sz val="9"/>
        <color theme="1"/>
        <rFont val="Century Schoolbook"/>
        <family val="1"/>
      </rPr>
      <t>2.-</t>
    </r>
    <r>
      <rPr>
        <sz val="10"/>
        <color theme="1"/>
        <rFont val="Arial Narrow"/>
        <family val="2"/>
      </rPr>
      <t xml:space="preserve"> Crear colectivos de grupos vulnerables.</t>
    </r>
  </si>
  <si>
    <r>
      <rPr>
        <b/>
        <sz val="9"/>
        <color theme="1"/>
        <rFont val="Century Schoolbook"/>
        <family val="1"/>
      </rPr>
      <t>1.-</t>
    </r>
    <r>
      <rPr>
        <sz val="10"/>
        <color theme="1"/>
        <rFont val="Arial Narrow"/>
        <family val="2"/>
      </rPr>
      <t xml:space="preserve"> Elaborar seguimientos y evaluaciones a la Planificación de Igualdad.</t>
    </r>
  </si>
  <si>
    <r>
      <rPr>
        <b/>
        <sz val="9"/>
        <color theme="1"/>
        <rFont val="Century Schoolbook"/>
        <family val="1"/>
      </rPr>
      <t>1.-</t>
    </r>
    <r>
      <rPr>
        <sz val="10"/>
        <color theme="1"/>
        <rFont val="Arial Narrow"/>
        <family val="2"/>
      </rPr>
      <t xml:space="preserve"> Convocar para la postulación de ayudas económicas y tecnológicas.</t>
    </r>
  </si>
  <si>
    <r>
      <rPr>
        <b/>
        <sz val="9"/>
        <color theme="1"/>
        <rFont val="Century Schoolbook"/>
        <family val="1"/>
      </rPr>
      <t>1.-</t>
    </r>
    <r>
      <rPr>
        <sz val="10"/>
        <color theme="1"/>
        <rFont val="Arial Narrow"/>
        <family val="2"/>
      </rPr>
      <t xml:space="preserve"> Coordinar campañas de donación de sangre. 
</t>
    </r>
    <r>
      <rPr>
        <b/>
        <sz val="9"/>
        <color theme="1"/>
        <rFont val="Century Schoolbook"/>
        <family val="1"/>
      </rPr>
      <t>2.-</t>
    </r>
    <r>
      <rPr>
        <sz val="10"/>
        <color theme="1"/>
        <rFont val="Arial Narrow"/>
        <family val="2"/>
      </rPr>
      <t xml:space="preserve"> Coordinar atención médica.
</t>
    </r>
    <r>
      <rPr>
        <b/>
        <sz val="9"/>
        <color theme="1"/>
        <rFont val="Century Schoolbook"/>
        <family val="1"/>
      </rPr>
      <t>3.-</t>
    </r>
    <r>
      <rPr>
        <sz val="10"/>
        <color theme="1"/>
        <rFont val="Arial Narrow"/>
        <family val="2"/>
      </rPr>
      <t xml:space="preserve"> Coordinar atención odontológicas.</t>
    </r>
  </si>
  <si>
    <r>
      <rPr>
        <b/>
        <sz val="9"/>
        <color theme="1"/>
        <rFont val="Century Schoolbook"/>
        <family val="1"/>
      </rPr>
      <t>1.-</t>
    </r>
    <r>
      <rPr>
        <sz val="10"/>
        <color theme="1"/>
        <rFont val="Arial Narrow"/>
        <family val="2"/>
      </rPr>
      <t xml:space="preserve"> Analizar documentación de postulantes.
</t>
    </r>
    <r>
      <rPr>
        <b/>
        <sz val="9"/>
        <color theme="1"/>
        <rFont val="Century Schoolbook"/>
        <family val="1"/>
      </rPr>
      <t>2.-</t>
    </r>
    <r>
      <rPr>
        <sz val="10"/>
        <color theme="1"/>
        <rFont val="Arial Narrow"/>
        <family val="2"/>
      </rPr>
      <t xml:space="preserve"> Verificar información de postulantes.</t>
    </r>
  </si>
  <si>
    <r>
      <rPr>
        <b/>
        <sz val="9"/>
        <color theme="1"/>
        <rFont val="Century Schoolbook"/>
        <family val="1"/>
      </rPr>
      <t>1.-</t>
    </r>
    <r>
      <rPr>
        <sz val="10"/>
        <color theme="1"/>
        <rFont val="Arial Narrow"/>
        <family val="2"/>
      </rPr>
      <t xml:space="preserve"> Socializar programas de becas, créditos educativos, ayudas económicas y estímulos que otorga la Senescyt y la UTMACH.</t>
    </r>
  </si>
  <si>
    <r>
      <rPr>
        <b/>
        <sz val="9"/>
        <color theme="1"/>
        <rFont val="Century Schoolbook"/>
        <family val="1"/>
      </rPr>
      <t>1.-</t>
    </r>
    <r>
      <rPr>
        <sz val="10"/>
        <color theme="1"/>
        <rFont val="Arial Narrow"/>
        <family val="2"/>
      </rPr>
      <t xml:space="preserve"> Coordinar atención seguro de vida y accidentes personal.</t>
    </r>
  </si>
  <si>
    <r>
      <rPr>
        <b/>
        <sz val="9"/>
        <color theme="1"/>
        <rFont val="Century Schoolbook"/>
        <family val="1"/>
      </rPr>
      <t>1.-</t>
    </r>
    <r>
      <rPr>
        <sz val="10"/>
        <color theme="1"/>
        <rFont val="Arial Narrow"/>
        <family val="2"/>
      </rPr>
      <t xml:space="preserve"> Difundir post sobre la importancia de las denuncias en casos de discriminación y desigualdad.</t>
    </r>
  </si>
  <si>
    <r>
      <rPr>
        <b/>
        <sz val="9"/>
        <color theme="1"/>
        <rFont val="Century Schoolbook"/>
        <family val="1"/>
      </rPr>
      <t>1.-</t>
    </r>
    <r>
      <rPr>
        <sz val="10"/>
        <color theme="1"/>
        <rFont val="Arial Narrow"/>
        <family val="2"/>
      </rPr>
      <t xml:space="preserve"> Verificar documentación de arrendatarios de espacios dedicados a expendio de alimentos, bebidas, fotocopiado y otros.</t>
    </r>
  </si>
  <si>
    <r>
      <rPr>
        <b/>
        <sz val="9"/>
        <color theme="1"/>
        <rFont val="Century Schoolbook"/>
        <family val="1"/>
      </rPr>
      <t>1.-</t>
    </r>
    <r>
      <rPr>
        <sz val="10"/>
        <color theme="1"/>
        <rFont val="Arial Narrow"/>
        <family val="2"/>
      </rPr>
      <t xml:space="preserve"> Ejecutar carrera atlética </t>
    </r>
    <r>
      <rPr>
        <sz val="10"/>
        <color theme="1"/>
        <rFont val="Century Schoolbook"/>
        <family val="1"/>
      </rPr>
      <t>5</t>
    </r>
    <r>
      <rPr>
        <sz val="10"/>
        <color theme="1"/>
        <rFont val="Arial Narrow"/>
        <family val="2"/>
      </rPr>
      <t xml:space="preserve">K.
</t>
    </r>
    <r>
      <rPr>
        <b/>
        <sz val="9"/>
        <color theme="1"/>
        <rFont val="Century Schoolbook"/>
        <family val="1"/>
      </rPr>
      <t>2.-</t>
    </r>
    <r>
      <rPr>
        <sz val="10"/>
        <color theme="1"/>
        <rFont val="Arial Narrow"/>
        <family val="2"/>
      </rPr>
      <t xml:space="preserve"> Inaugurar juegos deportivos estudiantiles.</t>
    </r>
  </si>
  <si>
    <r>
      <rPr>
        <b/>
        <sz val="9"/>
        <color theme="1"/>
        <rFont val="Century Schoolbook"/>
        <family val="1"/>
      </rPr>
      <t>1.-</t>
    </r>
    <r>
      <rPr>
        <sz val="10"/>
        <color theme="1"/>
        <rFont val="Arial Narrow"/>
        <family val="2"/>
      </rPr>
      <t xml:space="preserve"> Activar Protocolo de Violencia y Abuso que atenten contra los derechos de los miembros de la comunidad universitaria.</t>
    </r>
  </si>
  <si>
    <r>
      <rPr>
        <b/>
        <sz val="9"/>
        <color theme="1"/>
        <rFont val="Century Schoolbook"/>
        <family val="1"/>
      </rPr>
      <t>1.-</t>
    </r>
    <r>
      <rPr>
        <sz val="10"/>
        <color theme="1"/>
        <rFont val="Arial Narrow"/>
        <family val="2"/>
      </rPr>
      <t xml:space="preserve"> Organizar Archivos de gestión.</t>
    </r>
  </si>
  <si>
    <r>
      <rPr>
        <b/>
        <sz val="9"/>
        <color theme="1"/>
        <rFont val="Century Schoolbook"/>
        <family val="1"/>
      </rPr>
      <t>1.-</t>
    </r>
    <r>
      <rPr>
        <sz val="10"/>
        <color theme="1"/>
        <rFont val="Arial Narrow"/>
        <family val="2"/>
      </rPr>
      <t xml:space="preserve"> Coordinar charlas de asesoramiento técnico.
</t>
    </r>
    <r>
      <rPr>
        <b/>
        <sz val="9"/>
        <color theme="1"/>
        <rFont val="Century Schoolbook"/>
        <family val="1"/>
      </rPr>
      <t>2.-</t>
    </r>
    <r>
      <rPr>
        <sz val="10"/>
        <color theme="1"/>
        <rFont val="Arial Narrow"/>
        <family val="2"/>
      </rPr>
      <t xml:space="preserve"> Elaborar el plan de trabajo.</t>
    </r>
  </si>
  <si>
    <r>
      <rPr>
        <b/>
        <sz val="9"/>
        <color theme="1"/>
        <rFont val="Century Schoolbook"/>
        <family val="1"/>
      </rPr>
      <t>1.-</t>
    </r>
    <r>
      <rPr>
        <sz val="10"/>
        <color theme="1"/>
        <rFont val="Arial Narrow"/>
        <family val="2"/>
      </rPr>
      <t xml:space="preserve"> Visitar servicios y de los espacios dedicados al expendio de alimentos, bebidas, fotocopiado y otros.
</t>
    </r>
    <r>
      <rPr>
        <b/>
        <sz val="9"/>
        <color theme="1"/>
        <rFont val="Century Schoolbook"/>
        <family val="1"/>
      </rPr>
      <t>2.-</t>
    </r>
    <r>
      <rPr>
        <sz val="10"/>
        <color theme="1"/>
        <rFont val="Arial Narrow"/>
        <family val="2"/>
      </rPr>
      <t xml:space="preserve"> Verificar documentación de   servicios y de los espacios dedicados al expendio de alimentos, bebidas, fotocopiado y otros.</t>
    </r>
  </si>
  <si>
    <r>
      <rPr>
        <b/>
        <sz val="9"/>
        <color theme="1"/>
        <rFont val="Century Schoolbook"/>
        <family val="1"/>
      </rPr>
      <t>1.-</t>
    </r>
    <r>
      <rPr>
        <sz val="10"/>
        <color theme="1"/>
        <rFont val="Arial Narrow"/>
        <family val="2"/>
      </rPr>
      <t xml:space="preserve"> Coordinar atención seguro de vida y accidentes personal.
</t>
    </r>
    <r>
      <rPr>
        <b/>
        <sz val="9"/>
        <color theme="1"/>
        <rFont val="Century Schoolbook"/>
        <family val="1"/>
      </rPr>
      <t>2.-</t>
    </r>
    <r>
      <rPr>
        <sz val="10"/>
        <color theme="1"/>
        <rFont val="Arial Narrow"/>
        <family val="2"/>
      </rPr>
      <t xml:space="preserve"> Verificar atención de seguro de vida y accidentes personales.</t>
    </r>
  </si>
  <si>
    <r>
      <rPr>
        <b/>
        <sz val="9"/>
        <color theme="1"/>
        <rFont val="Century Schoolbook"/>
        <family val="1"/>
      </rPr>
      <t>1.-</t>
    </r>
    <r>
      <rPr>
        <sz val="10"/>
        <color theme="1"/>
        <rFont val="Arial Narrow"/>
        <family val="2"/>
      </rPr>
      <t xml:space="preserve"> Analizar documentación de postulantes.
</t>
    </r>
    <r>
      <rPr>
        <b/>
        <sz val="9"/>
        <color theme="1"/>
        <rFont val="Century Schoolbook"/>
        <family val="1"/>
      </rPr>
      <t>2.-</t>
    </r>
    <r>
      <rPr>
        <sz val="10"/>
        <color theme="1"/>
        <rFont val="Arial Narrow"/>
        <family val="2"/>
      </rPr>
      <t xml:space="preserve"> Verificar documentos de postulantes.</t>
    </r>
  </si>
  <si>
    <r>
      <rPr>
        <b/>
        <sz val="9"/>
        <color theme="1"/>
        <rFont val="Century Schoolbook"/>
        <family val="1"/>
      </rPr>
      <t>1.-</t>
    </r>
    <r>
      <rPr>
        <sz val="10"/>
        <color theme="1"/>
        <rFont val="Arial Narrow"/>
        <family val="2"/>
      </rPr>
      <t xml:space="preserve"> Ejecutar carrera atlética </t>
    </r>
    <r>
      <rPr>
        <sz val="10"/>
        <color theme="1"/>
        <rFont val="Century Schoolbook"/>
        <family val="1"/>
      </rPr>
      <t>5</t>
    </r>
    <r>
      <rPr>
        <sz val="10"/>
        <color theme="1"/>
        <rFont val="Arial Narrow"/>
        <family val="2"/>
      </rPr>
      <t xml:space="preserve">K.
</t>
    </r>
    <r>
      <rPr>
        <b/>
        <sz val="9"/>
        <color theme="1"/>
        <rFont val="Century Schoolbook"/>
        <family val="1"/>
      </rPr>
      <t>2.-</t>
    </r>
    <r>
      <rPr>
        <sz val="10"/>
        <color theme="1"/>
        <rFont val="Arial Narrow"/>
        <family val="2"/>
      </rPr>
      <t xml:space="preserve"> Inaugurar juegos deportivos estudiantiles.
</t>
    </r>
    <r>
      <rPr>
        <b/>
        <sz val="9"/>
        <color theme="1"/>
        <rFont val="Century Schoolbook"/>
        <family val="1"/>
      </rPr>
      <t>3.-</t>
    </r>
    <r>
      <rPr>
        <sz val="10"/>
        <color theme="1"/>
        <rFont val="Arial Narrow"/>
        <family val="2"/>
      </rPr>
      <t xml:space="preserve"> Brindar atención médica, psicológica, odontológica y otros.</t>
    </r>
  </si>
  <si>
    <r>
      <rPr>
        <b/>
        <sz val="9"/>
        <color theme="1"/>
        <rFont val="Century Schoolbook"/>
        <family val="1"/>
      </rPr>
      <t>1.-</t>
    </r>
    <r>
      <rPr>
        <sz val="10"/>
        <color theme="1"/>
        <rFont val="Arial Narrow"/>
        <family val="2"/>
      </rPr>
      <t xml:space="preserve"> Calificar fichas de estudio socioeconómico.</t>
    </r>
  </si>
  <si>
    <r>
      <rPr>
        <b/>
        <sz val="9"/>
        <color theme="1"/>
        <rFont val="Century Schoolbook"/>
        <family val="1"/>
      </rPr>
      <t>1.-</t>
    </r>
    <r>
      <rPr>
        <sz val="10"/>
        <color theme="1"/>
        <rFont val="Arial Narrow"/>
        <family val="2"/>
      </rPr>
      <t xml:space="preserve"> Elaborar adaptaciones curriculares de los y las estudiantes con necesidades educativas especiales.</t>
    </r>
  </si>
  <si>
    <r>
      <rPr>
        <b/>
        <sz val="9"/>
        <color theme="1"/>
        <rFont val="Century Schoolbook"/>
        <family val="1"/>
      </rPr>
      <t>1.-</t>
    </r>
    <r>
      <rPr>
        <sz val="10"/>
        <color theme="1"/>
        <rFont val="Arial Narrow"/>
        <family val="2"/>
      </rPr>
      <t xml:space="preserve"> Planificar mensualmente la Agenda Cultural.
</t>
    </r>
    <r>
      <rPr>
        <b/>
        <sz val="9"/>
        <color theme="1"/>
        <rFont val="Century Schoolbook"/>
        <family val="1"/>
      </rPr>
      <t>2.-</t>
    </r>
    <r>
      <rPr>
        <sz val="10"/>
        <color theme="1"/>
        <rFont val="Arial Narrow"/>
        <family val="2"/>
      </rPr>
      <t xml:space="preserve"> Verificar la publicación de la Agenda Cultural en DIRCOM.</t>
    </r>
  </si>
  <si>
    <r>
      <rPr>
        <b/>
        <sz val="9"/>
        <color theme="1"/>
        <rFont val="Century Schoolbook"/>
        <family val="1"/>
      </rPr>
      <t>1.-</t>
    </r>
    <r>
      <rPr>
        <sz val="10"/>
        <color theme="1"/>
        <rFont val="Arial Narrow"/>
        <family val="2"/>
      </rPr>
      <t xml:space="preserve"> Elaborar los permisos necesarios de los grupos artísticos ante las autoridades.
</t>
    </r>
    <r>
      <rPr>
        <b/>
        <sz val="9"/>
        <color theme="1"/>
        <rFont val="Century Schoolbook"/>
        <family val="1"/>
      </rPr>
      <t>2.-</t>
    </r>
    <r>
      <rPr>
        <sz val="10"/>
        <color theme="1"/>
        <rFont val="Arial Narrow"/>
        <family val="2"/>
      </rPr>
      <t xml:space="preserve"> Organizar las participaciones de los grupos artísticos con anticipación y mediante oficios.</t>
    </r>
  </si>
  <si>
    <r>
      <rPr>
        <b/>
        <sz val="9"/>
        <color theme="1"/>
        <rFont val="Century Schoolbook"/>
        <family val="1"/>
      </rPr>
      <t>1.-</t>
    </r>
    <r>
      <rPr>
        <sz val="10"/>
        <color theme="1"/>
        <rFont val="Arial Narrow"/>
        <family val="2"/>
      </rPr>
      <t xml:space="preserve"> Presentar contenidos culturales elaborados y creados en el D.C.A.
</t>
    </r>
    <r>
      <rPr>
        <b/>
        <sz val="9"/>
        <color theme="1"/>
        <rFont val="Century Schoolbook"/>
        <family val="1"/>
      </rPr>
      <t>2.-</t>
    </r>
    <r>
      <rPr>
        <sz val="10"/>
        <color theme="1"/>
        <rFont val="Arial Narrow"/>
        <family val="2"/>
      </rPr>
      <t xml:space="preserve"> Coordinar con el departamento de comunicación para la creación de un video promocional para difusión de las actividades.</t>
    </r>
  </si>
  <si>
    <r>
      <rPr>
        <b/>
        <sz val="9"/>
        <color theme="1"/>
        <rFont val="Century Schoolbook"/>
        <family val="1"/>
      </rPr>
      <t>1.-</t>
    </r>
    <r>
      <rPr>
        <sz val="10"/>
        <color theme="1"/>
        <rFont val="Arial Narrow"/>
        <family val="2"/>
      </rPr>
      <t xml:space="preserve"> Difundir los talleres que mantiene el D.C.A.</t>
    </r>
  </si>
  <si>
    <r>
      <rPr>
        <b/>
        <sz val="9"/>
        <color theme="1"/>
        <rFont val="Century Schoolbook"/>
        <family val="1"/>
      </rPr>
      <t>1.-</t>
    </r>
    <r>
      <rPr>
        <sz val="10"/>
        <color theme="1"/>
        <rFont val="Arial Narrow"/>
        <family val="2"/>
      </rPr>
      <t xml:space="preserve"> Presentar contenidos culturales elaborados y creados en el D.C.A. por las distintas facultades y/ o dependencias de la UTMACH.</t>
    </r>
  </si>
  <si>
    <r>
      <rPr>
        <b/>
        <sz val="9"/>
        <color theme="1"/>
        <rFont val="Century Schoolbook"/>
        <family val="1"/>
      </rPr>
      <t>1.-</t>
    </r>
    <r>
      <rPr>
        <sz val="10"/>
        <color theme="1"/>
        <rFont val="Arial Narrow"/>
        <family val="2"/>
      </rPr>
      <t xml:space="preserve"> Coordinar mediante oficios invitaciones a otra Instituciones Públicas.
</t>
    </r>
    <r>
      <rPr>
        <b/>
        <sz val="9"/>
        <color theme="1"/>
        <rFont val="Century Schoolbook"/>
        <family val="1"/>
      </rPr>
      <t>2.-</t>
    </r>
    <r>
      <rPr>
        <sz val="10"/>
        <color theme="1"/>
        <rFont val="Arial Narrow"/>
        <family val="2"/>
      </rPr>
      <t xml:space="preserve"> Dar a conocer los diferentes talleres del D.C.A. mediante medios de comunicación.</t>
    </r>
  </si>
  <si>
    <r>
      <rPr>
        <b/>
        <sz val="9"/>
        <color theme="1"/>
        <rFont val="Century Schoolbook"/>
        <family val="1"/>
      </rPr>
      <t>1.-</t>
    </r>
    <r>
      <rPr>
        <sz val="10"/>
        <color theme="1"/>
        <rFont val="Arial Narrow"/>
        <family val="2"/>
      </rPr>
      <t xml:space="preserve"> Seleccionar y clasificar la documentación.
</t>
    </r>
    <r>
      <rPr>
        <b/>
        <sz val="9"/>
        <color theme="1"/>
        <rFont val="Century Schoolbook"/>
        <family val="1"/>
      </rPr>
      <t>2.-</t>
    </r>
    <r>
      <rPr>
        <sz val="10"/>
        <color theme="1"/>
        <rFont val="Arial Narrow"/>
        <family val="2"/>
      </rPr>
      <t xml:space="preserve"> Describir la documentación según la norma ISAD-G.
</t>
    </r>
    <r>
      <rPr>
        <b/>
        <sz val="9"/>
        <color theme="1"/>
        <rFont val="Century Schoolbook"/>
        <family val="1"/>
      </rPr>
      <t>3.-</t>
    </r>
    <r>
      <rPr>
        <sz val="10"/>
        <color theme="1"/>
        <rFont val="Arial Narrow"/>
        <family val="2"/>
      </rPr>
      <t xml:space="preserve"> Proteger la documentación en la Dirección.
</t>
    </r>
    <r>
      <rPr>
        <b/>
        <sz val="9"/>
        <color theme="1"/>
        <rFont val="Century Schoolbook"/>
        <family val="1"/>
      </rPr>
      <t>4.-</t>
    </r>
    <r>
      <rPr>
        <sz val="10"/>
        <color theme="1"/>
        <rFont val="Arial Narrow"/>
        <family val="2"/>
      </rPr>
      <t xml:space="preserve"> Seleccionar y clasificar la documentación.
</t>
    </r>
    <r>
      <rPr>
        <b/>
        <sz val="9"/>
        <color theme="1"/>
        <rFont val="Century Schoolbook"/>
        <family val="1"/>
      </rPr>
      <t>5.-</t>
    </r>
    <r>
      <rPr>
        <sz val="10"/>
        <color theme="1"/>
        <rFont val="Arial Narrow"/>
        <family val="2"/>
      </rPr>
      <t xml:space="preserve"> Describir la documentación según la norma ISAD-G.
</t>
    </r>
    <r>
      <rPr>
        <b/>
        <sz val="9"/>
        <color theme="1"/>
        <rFont val="Century Schoolbook"/>
        <family val="1"/>
      </rPr>
      <t>6.-</t>
    </r>
    <r>
      <rPr>
        <sz val="10"/>
        <color theme="1"/>
        <rFont val="Arial Narrow"/>
        <family val="2"/>
      </rPr>
      <t xml:space="preserve"> Proteger la documentación en la Dirección.</t>
    </r>
  </si>
  <si>
    <t>N° de espacios físicos dedicados al expendio de servicios a la comunidad universitaria.</t>
  </si>
  <si>
    <t>Grupos culturales y de artes espaciales, temporales y espacio temporales, conformados.</t>
  </si>
  <si>
    <t>Instrumentos técnicos para el análisis de los y las estudiantes postulantes a los beneficiarios de becas, ayudas económicas, y tecnológicas, gestionados y validados.</t>
  </si>
  <si>
    <r>
      <rPr>
        <b/>
        <sz val="10"/>
        <color rgb="FFFF0000"/>
        <rFont val="Arial Narrow"/>
        <family val="2"/>
      </rPr>
      <t>META ESTRATÉGICA</t>
    </r>
    <r>
      <rPr>
        <b/>
        <sz val="10"/>
        <color theme="1"/>
        <rFont val="Arial Narrow"/>
        <family val="2"/>
      </rPr>
      <t xml:space="preserve">
</t>
    </r>
    <r>
      <rPr>
        <b/>
        <sz val="9"/>
        <color theme="1"/>
        <rFont val="Century Schoolbook"/>
        <family val="1"/>
      </rPr>
      <t>1.-</t>
    </r>
    <r>
      <rPr>
        <b/>
        <sz val="10"/>
        <color theme="1"/>
        <rFont val="Arial Narrow"/>
        <family val="2"/>
      </rPr>
      <t xml:space="preserve"> </t>
    </r>
    <r>
      <rPr>
        <sz val="10"/>
        <color theme="1"/>
        <rFont val="Arial Narrow"/>
        <family val="2"/>
      </rPr>
      <t>Promover la postulación de representantes de los indígenas, afroecuatorianos y pueblos montubios a través de la ejecución de eventos de orientación vocacional dirigidos a dichos grupos.</t>
    </r>
  </si>
  <si>
    <r>
      <rPr>
        <b/>
        <sz val="9"/>
        <color theme="1"/>
        <rFont val="Century Schoolbook"/>
        <family val="1"/>
      </rPr>
      <t>2.-</t>
    </r>
    <r>
      <rPr>
        <sz val="10"/>
        <color theme="1"/>
        <rFont val="Arial Narrow"/>
        <family val="2"/>
      </rPr>
      <t xml:space="preserve"> Implementar programas y espacios de integración intercultural a través de la ejecución de eventos que promuevan la participación de los grupos vulnerables e históricamente incluidos.</t>
    </r>
  </si>
  <si>
    <r>
      <rPr>
        <b/>
        <sz val="9"/>
        <color theme="1"/>
        <rFont val="Century Schoolbook"/>
        <family val="1"/>
      </rPr>
      <t>3.-</t>
    </r>
    <r>
      <rPr>
        <sz val="10"/>
        <color theme="1"/>
        <rFont val="Arial Narrow"/>
        <family val="2"/>
      </rPr>
      <t xml:space="preserve"> Fomentar la igualdad de oportunidades a través de la ejecución de programas y acciones que incrementen la participación de los grupos vulnerables e históricamente excluidos.</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</si>
  <si>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b/>
        <sz val="10"/>
        <color theme="1"/>
        <rFont val="Arial Narrow"/>
        <family val="2"/>
      </rPr>
      <t xml:space="preserve"> </t>
    </r>
    <r>
      <rPr>
        <sz val="10"/>
        <color theme="1"/>
        <rFont val="Arial Narrow"/>
        <family val="2"/>
      </rPr>
      <t>Supervisar la Planificación de Igualdad Institucional.</t>
    </r>
  </si>
  <si>
    <r>
      <rPr>
        <b/>
        <sz val="9"/>
        <color theme="1"/>
        <rFont val="Century Schoolbook"/>
        <family val="1"/>
      </rPr>
      <t>2.-</t>
    </r>
    <r>
      <rPr>
        <sz val="10"/>
        <color theme="1"/>
        <rFont val="Arial Narrow"/>
        <family val="2"/>
      </rPr>
      <t xml:space="preserve"> Coordinar para la prestación de servicios de asistencia social y otros relacionados con el Bienestar Universitario.</t>
    </r>
  </si>
  <si>
    <r>
      <rPr>
        <b/>
        <sz val="9"/>
        <color theme="1"/>
        <rFont val="Century Schoolbook"/>
        <family val="1"/>
      </rPr>
      <t>3.-</t>
    </r>
    <r>
      <rPr>
        <sz val="10"/>
        <color theme="1"/>
        <rFont val="Arial Narrow"/>
        <family val="2"/>
      </rPr>
      <t xml:space="preserve"> Coordinar para la implementación de mecanismos para la participación ciudadana.</t>
    </r>
  </si>
  <si>
    <r>
      <rPr>
        <b/>
        <sz val="9"/>
        <color theme="1"/>
        <rFont val="Century Schoolbook"/>
        <family val="1"/>
      </rPr>
      <t>4.-</t>
    </r>
    <r>
      <rPr>
        <sz val="10"/>
        <color theme="1"/>
        <rFont val="Arial Narrow"/>
        <family val="2"/>
      </rPr>
      <t xml:space="preserve"> Coordinar el proceso para el otorgamiento de becas y ayudas económicas para los estudiantes regulares.</t>
    </r>
  </si>
  <si>
    <r>
      <rPr>
        <b/>
        <sz val="9"/>
        <color theme="1"/>
        <rFont val="Century Schoolbook"/>
        <family val="1"/>
      </rPr>
      <t>5.-</t>
    </r>
    <r>
      <rPr>
        <b/>
        <sz val="10"/>
        <color theme="1"/>
        <rFont val="Arial Narrow"/>
        <family val="2"/>
      </rPr>
      <t xml:space="preserve"> </t>
    </r>
    <r>
      <rPr>
        <sz val="10"/>
        <color theme="1"/>
        <rFont val="Arial Narrow"/>
        <family val="2"/>
      </rPr>
      <t>Dirigir la socialización y difusión de los programas de becas, créditos educativos, ayudas económicas y estímulos que otorga la Senescyt y la UTMACH.</t>
    </r>
  </si>
  <si>
    <r>
      <rPr>
        <b/>
        <sz val="9"/>
        <color theme="1"/>
        <rFont val="Century Schoolbook"/>
        <family val="1"/>
      </rPr>
      <t>6.-</t>
    </r>
    <r>
      <rPr>
        <sz val="10"/>
        <color theme="1"/>
        <rFont val="Arial Narrow"/>
        <family val="2"/>
      </rPr>
      <t xml:space="preserve"> Coordinar para la prestación de servicios de salud.</t>
    </r>
  </si>
  <si>
    <r>
      <rPr>
        <b/>
        <sz val="9"/>
        <color theme="1"/>
        <rFont val="Century Schoolbook"/>
        <family val="1"/>
      </rPr>
      <t>7.-</t>
    </r>
    <r>
      <rPr>
        <b/>
        <sz val="10"/>
        <color theme="1"/>
        <rFont val="Arial Narrow"/>
        <family val="2"/>
      </rPr>
      <t xml:space="preserve"> </t>
    </r>
    <r>
      <rPr>
        <sz val="10"/>
        <color theme="1"/>
        <rFont val="Arial Narrow"/>
        <family val="2"/>
      </rPr>
      <t>Promover acciones para la promoción de ambientes libres de violencia, igualdad de oportunidades entre los miembros de la comunidad universitaria.</t>
    </r>
  </si>
  <si>
    <r>
      <rPr>
        <b/>
        <sz val="9"/>
        <color theme="1"/>
        <rFont val="Century Schoolbook"/>
        <family val="1"/>
      </rPr>
      <t>8.-</t>
    </r>
    <r>
      <rPr>
        <b/>
        <sz val="10"/>
        <color theme="1"/>
        <rFont val="Arial Narrow"/>
        <family val="2"/>
      </rPr>
      <t xml:space="preserve"> </t>
    </r>
    <r>
      <rPr>
        <sz val="10"/>
        <color theme="1"/>
        <rFont val="Arial Narrow"/>
        <family val="2"/>
      </rPr>
      <t>Administrar el uso de los espacios físicos dedicados al expendio de alimentos, bebidas, fotocopiado y otros.</t>
    </r>
  </si>
  <si>
    <r>
      <rPr>
        <b/>
        <sz val="9"/>
        <color theme="1"/>
        <rFont val="Century Schoolbook"/>
        <family val="1"/>
      </rPr>
      <t>9.-</t>
    </r>
    <r>
      <rPr>
        <b/>
        <sz val="10"/>
        <color theme="1"/>
        <rFont val="Arial Narrow"/>
        <family val="2"/>
      </rPr>
      <t xml:space="preserve"> </t>
    </r>
    <r>
      <rPr>
        <sz val="10"/>
        <color theme="1"/>
        <rFont val="Arial Narrow"/>
        <family val="2"/>
      </rPr>
      <t>Gestionar programas para estimular el desempeño de las y los estudiantes en la práctica de actividades científicas, deportivas y culturales.</t>
    </r>
  </si>
  <si>
    <r>
      <rPr>
        <b/>
        <sz val="9"/>
        <color theme="1"/>
        <rFont val="Century Schoolbook"/>
        <family val="1"/>
      </rPr>
      <t>10.-</t>
    </r>
    <r>
      <rPr>
        <b/>
        <sz val="10"/>
        <color theme="1"/>
        <rFont val="Arial Narrow"/>
        <family val="2"/>
      </rPr>
      <t xml:space="preserve"> </t>
    </r>
    <r>
      <rPr>
        <sz val="10"/>
        <color theme="1"/>
        <rFont val="Arial Narrow"/>
        <family val="2"/>
      </rPr>
      <t>Direccionar denuncias respectivas, a las instancias institucionales competentes, en caso de delitos sexuales u otros que atenten a los derechos de los miembros de la comunidad universitaria.</t>
    </r>
  </si>
  <si>
    <r>
      <rPr>
        <b/>
        <sz val="9"/>
        <color theme="1"/>
        <rFont val="Century Schoolbook"/>
        <family val="1"/>
      </rPr>
      <t>11.-</t>
    </r>
    <r>
      <rPr>
        <sz val="10"/>
        <color theme="1"/>
        <rFont val="Arial Narrow"/>
        <family val="2"/>
      </rPr>
      <t xml:space="preserve"> Entregar la Planificación Operativa Anual y Evaluación de la Planificación Operativa Anual.</t>
    </r>
  </si>
  <si>
    <r>
      <rPr>
        <b/>
        <sz val="9"/>
        <color theme="1"/>
        <rFont val="Century Schoolbook"/>
        <family val="1"/>
      </rPr>
      <t>12.-</t>
    </r>
    <r>
      <rPr>
        <sz val="10"/>
        <color theme="1"/>
        <rFont val="Arial Narrow"/>
        <family val="2"/>
      </rPr>
      <t xml:space="preserve"> Organizar el Archivo de Gestión.</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</si>
  <si>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b/>
        <sz val="10"/>
        <color theme="1"/>
        <rFont val="Arial Narrow"/>
        <family val="2"/>
      </rPr>
      <t xml:space="preserve"> </t>
    </r>
    <r>
      <rPr>
        <sz val="10"/>
        <color theme="1"/>
        <rFont val="Arial Narrow"/>
        <family val="2"/>
      </rPr>
      <t>Brindar asesoramiento al personal técnico de las áreas involucradas en la sección de asistencia social.</t>
    </r>
  </si>
  <si>
    <r>
      <rPr>
        <b/>
        <sz val="9"/>
        <color theme="1"/>
        <rFont val="Century Schoolbook"/>
        <family val="1"/>
      </rPr>
      <t>2.-</t>
    </r>
    <r>
      <rPr>
        <sz val="10"/>
        <color theme="1"/>
        <rFont val="Arial Narrow"/>
        <family val="2"/>
      </rPr>
      <t xml:space="preserve"> Prestar servicios de asistencia social y otros relacionados con el Bienestar Universitario.</t>
    </r>
  </si>
  <si>
    <r>
      <rPr>
        <b/>
        <sz val="9"/>
        <color theme="1"/>
        <rFont val="Century Schoolbook"/>
        <family val="1"/>
      </rPr>
      <t>3.-</t>
    </r>
    <r>
      <rPr>
        <sz val="10"/>
        <color theme="1"/>
        <rFont val="Arial Narrow"/>
        <family val="2"/>
      </rPr>
      <t xml:space="preserve"> Ejecutar el proceso para la activación del seguro de vida y accidentes personales.</t>
    </r>
  </si>
  <si>
    <r>
      <rPr>
        <b/>
        <sz val="9"/>
        <color theme="1"/>
        <rFont val="Century Schoolbook"/>
        <family val="1"/>
      </rPr>
      <t>4.-</t>
    </r>
    <r>
      <rPr>
        <b/>
        <sz val="10"/>
        <color theme="1"/>
        <rFont val="Arial Narrow"/>
        <family val="2"/>
      </rPr>
      <t xml:space="preserve"> </t>
    </r>
    <r>
      <rPr>
        <sz val="10"/>
        <color theme="1"/>
        <rFont val="Arial Narrow"/>
        <family val="2"/>
      </rPr>
      <t>Diseñar instrumentos técnicos para el análisis de los postulantes a los beneficios de becas y ayudas económicas.</t>
    </r>
  </si>
  <si>
    <r>
      <rPr>
        <b/>
        <sz val="9"/>
        <color theme="1"/>
        <rFont val="Century Schoolbook"/>
        <family val="1"/>
      </rPr>
      <t>5.-</t>
    </r>
    <r>
      <rPr>
        <b/>
        <sz val="10"/>
        <color theme="1"/>
        <rFont val="Arial Narrow"/>
        <family val="2"/>
      </rPr>
      <t xml:space="preserve"> </t>
    </r>
    <r>
      <rPr>
        <sz val="10"/>
        <color theme="1"/>
        <rFont val="Arial Narrow"/>
        <family val="2"/>
      </rPr>
      <t>Coordinar la ejecución de planes, programas y proyectos de las áreas de trabajo social, psicología, deporte y recreación.</t>
    </r>
  </si>
  <si>
    <r>
      <rPr>
        <b/>
        <sz val="9"/>
        <color theme="1"/>
        <rFont val="Century Schoolbook"/>
        <family val="1"/>
      </rPr>
      <t>6.-</t>
    </r>
    <r>
      <rPr>
        <sz val="10"/>
        <color theme="1"/>
        <rFont val="Arial Narrow"/>
        <family val="2"/>
      </rPr>
      <t xml:space="preserve"> Validar de requisitos para el otorgamiento de becas y ayudas económicas para los estudiantes regulares.</t>
    </r>
  </si>
  <si>
    <r>
      <rPr>
        <b/>
        <sz val="9"/>
        <color theme="1"/>
        <rFont val="Century Schoolbook"/>
        <family val="1"/>
      </rPr>
      <t>7.-</t>
    </r>
    <r>
      <rPr>
        <b/>
        <sz val="10"/>
        <color theme="1"/>
        <rFont val="Arial Narrow"/>
        <family val="2"/>
      </rPr>
      <t xml:space="preserve"> </t>
    </r>
    <r>
      <rPr>
        <sz val="10"/>
        <color theme="1"/>
        <rFont val="Arial Narrow"/>
        <family val="2"/>
      </rPr>
      <t>Coordinar el asesoramiento para el proceso de adaptaciones curriculares de las y los estudiantes con necesidades educativas especiales.</t>
    </r>
  </si>
  <si>
    <r>
      <rPr>
        <b/>
        <sz val="9"/>
        <color theme="1"/>
        <rFont val="Century Schoolbook"/>
        <family val="1"/>
      </rPr>
      <t>8.-</t>
    </r>
    <r>
      <rPr>
        <sz val="10"/>
        <color theme="1"/>
        <rFont val="Arial Narrow"/>
        <family val="2"/>
      </rPr>
      <t xml:space="preserve"> Entregar la Planificación Operativa Anual y Evaluación de la Planificación Operativa Anual.</t>
    </r>
  </si>
  <si>
    <r>
      <rPr>
        <b/>
        <sz val="9"/>
        <color theme="1"/>
        <rFont val="Century Schoolbook"/>
        <family val="1"/>
      </rPr>
      <t>9.-</t>
    </r>
    <r>
      <rPr>
        <sz val="10"/>
        <color theme="1"/>
        <rFont val="Arial Narrow"/>
        <family val="2"/>
      </rPr>
      <t xml:space="preserve"> Organización del Archivo de Gestión.</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</si>
  <si>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Planificar la agenda cultural.</t>
    </r>
  </si>
  <si>
    <r>
      <rPr>
        <b/>
        <sz val="9"/>
        <color theme="1"/>
        <rFont val="Century Schoolbook"/>
        <family val="1"/>
      </rPr>
      <t>2.-</t>
    </r>
    <r>
      <rPr>
        <sz val="10"/>
        <color theme="1"/>
        <rFont val="Arial Narrow"/>
        <family val="2"/>
      </rPr>
      <t xml:space="preserve"> Coordinar la participación de los grupos artísticos.</t>
    </r>
  </si>
  <si>
    <r>
      <rPr>
        <b/>
        <sz val="9"/>
        <color theme="1"/>
        <rFont val="Century Schoolbook"/>
        <family val="1"/>
      </rPr>
      <t>3.-</t>
    </r>
    <r>
      <rPr>
        <sz val="10"/>
        <color theme="1"/>
        <rFont val="Arial Narrow"/>
        <family val="2"/>
      </rPr>
      <t xml:space="preserve"> Ejecutar la Agenda Cultural.</t>
    </r>
  </si>
  <si>
    <r>
      <rPr>
        <b/>
        <sz val="9"/>
        <color theme="1"/>
        <rFont val="Century Schoolbook"/>
        <family val="1"/>
      </rPr>
      <t>4.-</t>
    </r>
    <r>
      <rPr>
        <sz val="10"/>
        <color theme="1"/>
        <rFont val="Arial Narrow"/>
        <family val="2"/>
      </rPr>
      <t xml:space="preserve"> Crear contenidos culturales para difusión en medios.</t>
    </r>
  </si>
  <si>
    <r>
      <rPr>
        <b/>
        <sz val="9"/>
        <color theme="1"/>
        <rFont val="Century Schoolbook"/>
        <family val="1"/>
      </rPr>
      <t>5.-</t>
    </r>
    <r>
      <rPr>
        <sz val="10"/>
        <color theme="1"/>
        <rFont val="Arial Narrow"/>
        <family val="2"/>
      </rPr>
      <t xml:space="preserve"> Crear contenidos culturales para difusión en medios.</t>
    </r>
  </si>
  <si>
    <r>
      <rPr>
        <b/>
        <sz val="9"/>
        <color theme="1"/>
        <rFont val="Century Schoolbook"/>
        <family val="1"/>
      </rPr>
      <t>6.-</t>
    </r>
    <r>
      <rPr>
        <sz val="10"/>
        <color theme="1"/>
        <rFont val="Arial Narrow"/>
        <family val="2"/>
      </rPr>
      <t xml:space="preserve"> Gestionar las relaciones interinstitucionales que promueven la interculturalidad y la internacionalización.</t>
    </r>
  </si>
  <si>
    <r>
      <rPr>
        <b/>
        <sz val="9"/>
        <color theme="1"/>
        <rFont val="Century Schoolbook"/>
        <family val="1"/>
      </rPr>
      <t>7.-</t>
    </r>
    <r>
      <rPr>
        <sz val="10"/>
        <color theme="1"/>
        <rFont val="Arial Narrow"/>
        <family val="2"/>
      </rPr>
      <t xml:space="preserve"> Organizar el Archivo de Gestión.</t>
    </r>
  </si>
  <si>
    <t>Articulación de las acciones, actividades, programas, proyectos y convenios con instituciones públicas y privadas relacionadas con el Bienestar Universitario, Arte y Cultura.</t>
  </si>
  <si>
    <t>* Dra. Andrea Cedillo,
  Médico Institucional
* Aux. Enf. Lourdes Guevara,
  Auxiliar de Enfermería
* Dr. Roberto Medina,
  Odontólogo
* Dra. Margot Maza,
  Odontóloga</t>
  </si>
  <si>
    <t>* Lic. Luis Ángel Procel Guayara,
  Jefe de Cultura y Arte
* Lic. Wilson Bacacela Altamirano,
  Promotor Cultural
* Lic. Jorge Cristóbal Rodríguez Costa,
  Instructor de Coro
* Lic. Santiago Andrés Rojas Bravo,
  Colaborador del Taller de Música
* Lic. Manuel de Jesús Herrera Ojeda,
  Asistente Técnico de Música</t>
  </si>
  <si>
    <t>* Lic. Luis Ángel Procel Guayara,
  Jefe  de Cultura y Arte
* Lic. Wilson Bacacela Altamirano,
  Promotor Cultural
* Lic. Jorge Cristóbal Rodríguez Costa,
  Instructor de Coro
* Lic. Santiago Andrés Rojas Bravo,
  Colaborador del Taller de Música
* Lic. Manuel de Jesús Herrera Ojeda,
  Asistente Técnico de Música</t>
  </si>
  <si>
    <t>* Lic. Luis Ángel Procel Guayara,
  Jefe de Cultura y Arte
* Lic. Wilson Bacacela Altamirano,
  Promotor Cultural</t>
  </si>
  <si>
    <t>* Lic. Luis Ángel Procel Guayara,
  Jefe de Cultura y Arte
* Ing. Rocío Del Pilar Chuya Castro,
  Auxiliar Administrativa</t>
  </si>
  <si>
    <t>Egresos planificados en partida restringida (espectáculos culturales)</t>
  </si>
  <si>
    <t xml:space="preserve">Mouse inalámbrico </t>
  </si>
  <si>
    <r>
      <t xml:space="preserve">Se divide en fases, el ciclo PHVA (Planificar-Hacer-Verificar-Actuar) y cada fase tiene una calificación de </t>
    </r>
    <r>
      <rPr>
        <sz val="10"/>
        <color theme="1"/>
        <rFont val="Century Schoolbook"/>
        <family val="1"/>
      </rPr>
      <t>25%</t>
    </r>
    <r>
      <rPr>
        <sz val="10"/>
        <color theme="1"/>
        <rFont val="Arial Narrow"/>
        <family val="2"/>
      </rPr>
      <t xml:space="preserve">
Planificar: </t>
    </r>
    <r>
      <rPr>
        <sz val="10"/>
        <color theme="1"/>
        <rFont val="Century Schoolbook"/>
        <family val="1"/>
      </rPr>
      <t>25%</t>
    </r>
    <r>
      <rPr>
        <sz val="10"/>
        <color theme="1"/>
        <rFont val="Arial Narrow"/>
        <family val="2"/>
      </rPr>
      <t xml:space="preserve"> (Actualizar Procedimiento de quejas y denuncias)
Hacer: </t>
    </r>
    <r>
      <rPr>
        <sz val="10"/>
        <color theme="1"/>
        <rFont val="Century Schoolbook"/>
        <family val="1"/>
      </rPr>
      <t>25%</t>
    </r>
    <r>
      <rPr>
        <sz val="10"/>
        <color theme="1"/>
        <rFont val="Arial Narrow"/>
        <family val="2"/>
      </rPr>
      <t xml:space="preserve"> (Monitorear la aplicación del Procedimiento para la administración de quejas.)
Verificar: </t>
    </r>
    <r>
      <rPr>
        <sz val="10"/>
        <color theme="1"/>
        <rFont val="Century Schoolbook"/>
        <family val="1"/>
      </rPr>
      <t>25%</t>
    </r>
    <r>
      <rPr>
        <sz val="10"/>
        <color theme="1"/>
        <rFont val="Arial Narrow"/>
        <family val="2"/>
      </rPr>
      <t xml:space="preserve"> (Verificar la efectividad del tratamiento de las quejas y denuncias.)
Actuar: </t>
    </r>
    <r>
      <rPr>
        <sz val="10"/>
        <color theme="1"/>
        <rFont val="Century Schoolbook"/>
        <family val="1"/>
      </rPr>
      <t>25%</t>
    </r>
    <r>
      <rPr>
        <sz val="10"/>
        <color theme="1"/>
        <rFont val="Arial Narrow"/>
        <family val="2"/>
      </rPr>
      <t xml:space="preserve"> (Revisar la implementación del procedimiento actual y tomar medidas correctivas y/o de mejoras).</t>
    </r>
  </si>
  <si>
    <r>
      <t xml:space="preserve">Se cuantifican el número de actividades declaradas en el Plan de aseguramiento de la Calidad, que llegaron el </t>
    </r>
    <r>
      <rPr>
        <sz val="10"/>
        <color theme="1"/>
        <rFont val="Century Schoolbook"/>
        <family val="1"/>
      </rPr>
      <t>100%</t>
    </r>
    <r>
      <rPr>
        <sz val="10"/>
        <color theme="1"/>
        <rFont val="Arial Narrow"/>
      </rPr>
      <t xml:space="preserve"> según la meta, se debe demostrar que por lo menos el </t>
    </r>
    <r>
      <rPr>
        <sz val="10"/>
        <color theme="1"/>
        <rFont val="Century Schoolbook"/>
        <family val="1"/>
      </rPr>
      <t>25%</t>
    </r>
    <r>
      <rPr>
        <sz val="10"/>
        <color theme="1"/>
        <rFont val="Arial Narrow"/>
      </rPr>
      <t xml:space="preserve"> del total de actividades deben llegar al </t>
    </r>
    <r>
      <rPr>
        <sz val="10"/>
        <color theme="1"/>
        <rFont val="Century Schoolbook"/>
        <family val="1"/>
      </rPr>
      <t>100%</t>
    </r>
    <r>
      <rPr>
        <sz val="10"/>
        <color theme="1"/>
        <rFont val="Arial Narrow"/>
      </rPr>
      <t xml:space="preserve"> de cumplimiento.</t>
    </r>
  </si>
  <si>
    <r>
      <t>Proyector X</t>
    </r>
    <r>
      <rPr>
        <sz val="10"/>
        <color rgb="FF000000"/>
        <rFont val="Century Schoolbook"/>
        <family val="1"/>
      </rPr>
      <t>49 3</t>
    </r>
    <r>
      <rPr>
        <sz val="10"/>
        <color rgb="FF000000"/>
        <rFont val="Arial Narrow"/>
      </rPr>
      <t xml:space="preserve">lcd Xga Hdm/ Vga/ </t>
    </r>
    <r>
      <rPr>
        <sz val="10"/>
        <color rgb="FF000000"/>
        <rFont val="Century Schoolbook"/>
        <family val="1"/>
      </rPr>
      <t>3600</t>
    </r>
  </si>
  <si>
    <r>
      <t xml:space="preserve">Aire acondicionado </t>
    </r>
    <r>
      <rPr>
        <sz val="10"/>
        <color theme="1"/>
        <rFont val="Century Schoolbook"/>
        <family val="1"/>
      </rPr>
      <t>12000</t>
    </r>
    <r>
      <rPr>
        <sz val="10"/>
        <color theme="1"/>
        <rFont val="Arial Narrow"/>
      </rPr>
      <t xml:space="preserve"> BTU</t>
    </r>
  </si>
  <si>
    <r>
      <t xml:space="preserve">Aire acondicionado </t>
    </r>
    <r>
      <rPr>
        <sz val="10"/>
        <color theme="1"/>
        <rFont val="Century Schoolbook"/>
        <family val="1"/>
      </rPr>
      <t>18000</t>
    </r>
    <r>
      <rPr>
        <sz val="10"/>
        <color theme="1"/>
        <rFont val="Arial Narrow"/>
      </rPr>
      <t xml:space="preserve"> BTU</t>
    </r>
  </si>
  <si>
    <r>
      <t xml:space="preserve">Ups </t>
    </r>
    <r>
      <rPr>
        <sz val="10"/>
        <color theme="1"/>
        <rFont val="Century Schoolbook"/>
        <family val="1"/>
      </rPr>
      <t>550</t>
    </r>
    <r>
      <rPr>
        <sz val="10"/>
        <color theme="1"/>
        <rFont val="Arial Narrow"/>
      </rPr>
      <t xml:space="preserve"> VA</t>
    </r>
  </si>
  <si>
    <r>
      <t>Cámara web Logitech C</t>
    </r>
    <r>
      <rPr>
        <sz val="10"/>
        <color rgb="FF000000"/>
        <rFont val="Century Schoolbook"/>
        <family val="1"/>
      </rPr>
      <t>920</t>
    </r>
    <r>
      <rPr>
        <sz val="10"/>
        <color rgb="FF000000"/>
        <rFont val="Arial Narrow"/>
      </rPr>
      <t>x HD Pro</t>
    </r>
  </si>
  <si>
    <r>
      <t>Computadora de escritorio procesador i</t>
    </r>
    <r>
      <rPr>
        <sz val="10"/>
        <color rgb="FF000000"/>
        <rFont val="Century Schoolbook"/>
        <family val="1"/>
      </rPr>
      <t>7</t>
    </r>
    <r>
      <rPr>
        <sz val="10"/>
        <color rgb="FF000000"/>
        <rFont val="Arial Narrow"/>
      </rPr>
      <t xml:space="preserve"> de </t>
    </r>
    <r>
      <rPr>
        <sz val="10"/>
        <color rgb="FF000000"/>
        <rFont val="Century Schoolbook"/>
        <family val="1"/>
      </rPr>
      <t>11</t>
    </r>
    <r>
      <rPr>
        <sz val="10"/>
        <color rgb="FF000000"/>
        <rFont val="Arial Narrow"/>
      </rPr>
      <t xml:space="preserve">ava generación </t>
    </r>
    <r>
      <rPr>
        <sz val="10"/>
        <color rgb="FF000000"/>
        <rFont val="Century Schoolbook"/>
        <family val="1"/>
      </rPr>
      <t>16</t>
    </r>
    <r>
      <rPr>
        <sz val="10"/>
        <color rgb="FF000000"/>
        <rFont val="Arial Narrow"/>
      </rPr>
      <t xml:space="preserve">gb de RAM Disco SSD de </t>
    </r>
    <r>
      <rPr>
        <sz val="10"/>
        <color rgb="FF000000"/>
        <rFont val="Century Schoolbook"/>
        <family val="1"/>
      </rPr>
      <t>500</t>
    </r>
    <r>
      <rPr>
        <sz val="10"/>
        <color rgb="FF000000"/>
        <rFont val="Arial Narrow"/>
      </rPr>
      <t>GB</t>
    </r>
  </si>
  <si>
    <r>
      <t xml:space="preserve">Computadora Portátil Ryzen </t>
    </r>
    <r>
      <rPr>
        <sz val="10"/>
        <color rgb="FF000000"/>
        <rFont val="Century Schoolbook"/>
        <family val="1"/>
      </rPr>
      <t>8</t>
    </r>
    <r>
      <rPr>
        <sz val="10"/>
        <color rgb="FF000000"/>
        <rFont val="Arial Narrow"/>
      </rPr>
      <t xml:space="preserve">gb de RAM Disco SSD de </t>
    </r>
    <r>
      <rPr>
        <sz val="10"/>
        <color rgb="FF000000"/>
        <rFont val="Century Schoolbook"/>
        <family val="1"/>
      </rPr>
      <t>300</t>
    </r>
    <r>
      <rPr>
        <sz val="10"/>
        <color rgb="FF000000"/>
        <rFont val="Arial Narrow"/>
      </rPr>
      <t>gb</t>
    </r>
  </si>
  <si>
    <r>
      <t xml:space="preserve">Monitor </t>
    </r>
    <r>
      <rPr>
        <sz val="10"/>
        <color rgb="FF000000"/>
        <rFont val="Century Schoolbook"/>
        <family val="1"/>
      </rPr>
      <t>23</t>
    </r>
    <r>
      <rPr>
        <sz val="10"/>
        <color rgb="FF000000"/>
        <rFont val="Arial Narrow"/>
      </rPr>
      <t>''</t>
    </r>
  </si>
  <si>
    <r>
      <t xml:space="preserve">Pizarra líquida pedestal </t>
    </r>
    <r>
      <rPr>
        <sz val="10"/>
        <color theme="1"/>
        <rFont val="Century Schoolbook"/>
        <family val="1"/>
      </rPr>
      <t>200</t>
    </r>
    <r>
      <rPr>
        <sz val="10"/>
        <color theme="1"/>
        <rFont val="Arial Narrow"/>
      </rPr>
      <t xml:space="preserve"> cm x </t>
    </r>
    <r>
      <rPr>
        <sz val="10"/>
        <color theme="1"/>
        <rFont val="Century Schoolbook"/>
        <family val="1"/>
      </rPr>
      <t>120</t>
    </r>
    <r>
      <rPr>
        <sz val="10"/>
        <color theme="1"/>
        <rFont val="Arial Narrow"/>
      </rPr>
      <t xml:space="preserve"> cm</t>
    </r>
  </si>
  <si>
    <r>
      <t>Extensión eléctrica (</t>
    </r>
    <r>
      <rPr>
        <sz val="10"/>
        <color theme="1"/>
        <rFont val="Century Schoolbook"/>
        <family val="1"/>
      </rPr>
      <t>10</t>
    </r>
    <r>
      <rPr>
        <sz val="10"/>
        <color theme="1"/>
        <rFont val="Arial Narrow"/>
      </rPr>
      <t xml:space="preserve"> mt)</t>
    </r>
  </si>
  <si>
    <r>
      <t>Cable HDMI (</t>
    </r>
    <r>
      <rPr>
        <sz val="10"/>
        <color theme="1"/>
        <rFont val="Century Schoolbook"/>
        <family val="1"/>
      </rPr>
      <t>20</t>
    </r>
    <r>
      <rPr>
        <sz val="10"/>
        <color theme="1"/>
        <rFont val="Arial Narrow"/>
      </rPr>
      <t xml:space="preserve"> MT)</t>
    </r>
  </si>
  <si>
    <r>
      <t>Cable HDMI (</t>
    </r>
    <r>
      <rPr>
        <sz val="10"/>
        <color theme="1"/>
        <rFont val="Century Schoolbook"/>
        <family val="1"/>
      </rPr>
      <t>10</t>
    </r>
    <r>
      <rPr>
        <sz val="10"/>
        <color theme="1"/>
        <rFont val="Arial Narrow"/>
      </rPr>
      <t xml:space="preserve"> MT)</t>
    </r>
  </si>
  <si>
    <r>
      <rPr>
        <b/>
        <sz val="9"/>
        <color theme="1"/>
        <rFont val="Century Schoolbook"/>
        <family val="1"/>
      </rPr>
      <t>1.-</t>
    </r>
    <r>
      <rPr>
        <sz val="10"/>
        <color theme="1"/>
        <rFont val="Arial Narrow"/>
      </rPr>
      <t xml:space="preserve"> Reporte de quejas y denuncias.
</t>
    </r>
    <r>
      <rPr>
        <b/>
        <sz val="9"/>
        <color theme="1"/>
        <rFont val="Century Schoolbook"/>
        <family val="1"/>
      </rPr>
      <t>2.-</t>
    </r>
    <r>
      <rPr>
        <sz val="10"/>
        <color theme="1"/>
        <rFont val="Arial Narrow"/>
      </rPr>
      <t xml:space="preserve"> Matriz  de efectividad del tratamiento de las quejas y denuncias.</t>
    </r>
  </si>
  <si>
    <r>
      <rPr>
        <b/>
        <sz val="9"/>
        <color theme="1"/>
        <rFont val="Century Schoolbook"/>
        <family val="1"/>
      </rPr>
      <t>1.-</t>
    </r>
    <r>
      <rPr>
        <sz val="10"/>
        <color theme="1"/>
        <rFont val="Arial Narrow"/>
      </rPr>
      <t xml:space="preserve"> Plan de aseguramiento de la calidad, actualizado.
</t>
    </r>
    <r>
      <rPr>
        <b/>
        <sz val="9"/>
        <color theme="1"/>
        <rFont val="Century Schoolbook"/>
        <family val="1"/>
      </rPr>
      <t>2.-</t>
    </r>
    <r>
      <rPr>
        <sz val="10"/>
        <color theme="1"/>
        <rFont val="Arial Narrow"/>
      </rPr>
      <t>Tablero de Control del Plan de aseguramiento de la Calidad.</t>
    </r>
  </si>
  <si>
    <r>
      <rPr>
        <b/>
        <sz val="9"/>
        <color theme="1"/>
        <rFont val="Century Schoolbook"/>
        <family val="1"/>
      </rPr>
      <t>1.-</t>
    </r>
    <r>
      <rPr>
        <sz val="10"/>
        <color theme="1"/>
        <rFont val="Arial Narrow"/>
      </rPr>
      <t xml:space="preserve"> Registro de socialización del instrumento de autoevaluación institucional.
</t>
    </r>
    <r>
      <rPr>
        <b/>
        <sz val="9"/>
        <color theme="1"/>
        <rFont val="Century Schoolbook"/>
        <family val="1"/>
      </rPr>
      <t>2.-</t>
    </r>
    <r>
      <rPr>
        <sz val="10"/>
        <color theme="1"/>
        <rFont val="Arial Narrow"/>
      </rPr>
      <t xml:space="preserve"> Agendas del proceso de autoevaluación institucional.
</t>
    </r>
    <r>
      <rPr>
        <b/>
        <sz val="9"/>
        <color theme="1"/>
        <rFont val="Century Schoolbook"/>
        <family val="1"/>
      </rPr>
      <t>3.-</t>
    </r>
    <r>
      <rPr>
        <sz val="10"/>
        <color theme="1"/>
        <rFont val="Arial Narrow"/>
      </rPr>
      <t xml:space="preserve"> Instrumento de autoevaluación institucional.</t>
    </r>
  </si>
  <si>
    <r>
      <rPr>
        <b/>
        <sz val="9"/>
        <color theme="1"/>
        <rFont val="Century Schoolbook"/>
        <family val="1"/>
      </rPr>
      <t>1.-</t>
    </r>
    <r>
      <rPr>
        <sz val="10"/>
        <color theme="1"/>
        <rFont val="Arial Narrow"/>
        <family val="2"/>
      </rPr>
      <t xml:space="preserve"> Documento técnico de manejo del instrumento de autoevaluación institucional.</t>
    </r>
  </si>
  <si>
    <r>
      <rPr>
        <b/>
        <sz val="9"/>
        <color theme="1"/>
        <rFont val="Century Schoolbook"/>
        <family val="1"/>
      </rPr>
      <t>1.-</t>
    </r>
    <r>
      <rPr>
        <sz val="10"/>
        <color theme="1"/>
        <rFont val="Arial Narrow"/>
      </rPr>
      <t xml:space="preserve"> Registro de socialización del Informe de autoevaluación de carreras.
</t>
    </r>
    <r>
      <rPr>
        <b/>
        <sz val="9"/>
        <color theme="1"/>
        <rFont val="Century Schoolbook"/>
        <family val="1"/>
      </rPr>
      <t>2.-</t>
    </r>
    <r>
      <rPr>
        <sz val="10"/>
        <color theme="1"/>
        <rFont val="Arial Narrow"/>
      </rPr>
      <t xml:space="preserve"> Registro de asesoría de elaboración del Plan de mejoras.</t>
    </r>
  </si>
  <si>
    <r>
      <rPr>
        <b/>
        <sz val="9"/>
        <color theme="1"/>
        <rFont val="Century Schoolbook"/>
        <family val="1"/>
      </rPr>
      <t>1.-</t>
    </r>
    <r>
      <rPr>
        <sz val="10"/>
        <color theme="1"/>
        <rFont val="Arial Narrow"/>
      </rPr>
      <t xml:space="preserve"> Reporte de asesorías.</t>
    </r>
  </si>
  <si>
    <r>
      <rPr>
        <b/>
        <sz val="9"/>
        <color theme="1"/>
        <rFont val="Century Schoolbook"/>
        <family val="1"/>
      </rPr>
      <t>1.-</t>
    </r>
    <r>
      <rPr>
        <sz val="10"/>
        <color theme="1"/>
        <rFont val="Arial Narrow"/>
        <family val="2"/>
      </rPr>
      <t xml:space="preserve"> Reportes de informes técnicos presentados.</t>
    </r>
  </si>
  <si>
    <r>
      <rPr>
        <b/>
        <sz val="9"/>
        <color theme="1"/>
        <rFont val="Century Schoolbook"/>
        <family val="1"/>
      </rPr>
      <t>1.-</t>
    </r>
    <r>
      <rPr>
        <sz val="10"/>
        <color theme="1"/>
        <rFont val="Arial Narrow"/>
      </rPr>
      <t xml:space="preserve"> Reporte de capacitación y asesorías.</t>
    </r>
  </si>
  <si>
    <r>
      <rPr>
        <b/>
        <sz val="9"/>
        <color theme="1"/>
        <rFont val="Century Schoolbook"/>
        <family val="1"/>
      </rPr>
      <t>1.-</t>
    </r>
    <r>
      <rPr>
        <sz val="10"/>
        <color theme="1"/>
        <rFont val="Arial Narrow"/>
      </rPr>
      <t xml:space="preserve"> Evaluación del POA </t>
    </r>
    <r>
      <rPr>
        <sz val="10"/>
        <color theme="1"/>
        <rFont val="Century Schoolbook"/>
        <family val="1"/>
      </rPr>
      <t>2023</t>
    </r>
    <r>
      <rPr>
        <sz val="10"/>
        <color theme="1"/>
        <rFont val="Arial Narrow"/>
      </rPr>
      <t xml:space="preserve">.
</t>
    </r>
    <r>
      <rPr>
        <b/>
        <sz val="9"/>
        <color theme="1"/>
        <rFont val="Century Schoolbook"/>
        <family val="1"/>
      </rPr>
      <t>2.-</t>
    </r>
    <r>
      <rPr>
        <sz val="10"/>
        <color theme="1"/>
        <rFont val="Arial Narrow"/>
      </rPr>
      <t xml:space="preserve"> Plan Operativo Anual </t>
    </r>
    <r>
      <rPr>
        <sz val="10"/>
        <color theme="1"/>
        <rFont val="Century Schoolbook"/>
        <family val="1"/>
      </rPr>
      <t>2024.</t>
    </r>
  </si>
  <si>
    <r>
      <rPr>
        <b/>
        <sz val="9"/>
        <color theme="1"/>
        <rFont val="Century Schoolbook"/>
        <family val="1"/>
      </rPr>
      <t>1.-</t>
    </r>
    <r>
      <rPr>
        <sz val="10"/>
        <color theme="1"/>
        <rFont val="Arial Narrow"/>
      </rPr>
      <t xml:space="preserve"> Inventario documental.</t>
    </r>
  </si>
  <si>
    <r>
      <rPr>
        <b/>
        <sz val="9"/>
        <color theme="1"/>
        <rFont val="Century Schoolbook"/>
        <family val="1"/>
      </rPr>
      <t>1.-</t>
    </r>
    <r>
      <rPr>
        <sz val="10"/>
        <color theme="1"/>
        <rFont val="Arial Narrow"/>
      </rPr>
      <t xml:space="preserve"> Monitorear la aplicación del Procedimiento para la administración de quejas.
</t>
    </r>
    <r>
      <rPr>
        <b/>
        <sz val="9"/>
        <color theme="1"/>
        <rFont val="Century Schoolbook"/>
        <family val="1"/>
      </rPr>
      <t>2.-</t>
    </r>
    <r>
      <rPr>
        <sz val="10"/>
        <color theme="1"/>
        <rFont val="Arial Narrow"/>
      </rPr>
      <t xml:space="preserve"> Verificar la efectividad del tratamiento de las quejas y denuncias.</t>
    </r>
  </si>
  <si>
    <r>
      <rPr>
        <b/>
        <sz val="9"/>
        <color theme="1"/>
        <rFont val="Century Schoolbook"/>
        <family val="1"/>
      </rPr>
      <t>1.-</t>
    </r>
    <r>
      <rPr>
        <sz val="10"/>
        <color theme="1"/>
        <rFont val="Arial Narrow"/>
      </rPr>
      <t xml:space="preserve"> Actualizar el plan de aseguramiento de la calidad.
</t>
    </r>
    <r>
      <rPr>
        <b/>
        <sz val="9"/>
        <color theme="1"/>
        <rFont val="Century Schoolbook"/>
        <family val="1"/>
      </rPr>
      <t>2.-</t>
    </r>
    <r>
      <rPr>
        <sz val="10"/>
        <color theme="1"/>
        <rFont val="Arial Narrow"/>
      </rPr>
      <t xml:space="preserve"> Analizar y efectuar las modificaciones solicitadas del plan de aseguramiento de la calidad.
</t>
    </r>
    <r>
      <rPr>
        <b/>
        <sz val="9"/>
        <color theme="1"/>
        <rFont val="Century Schoolbook"/>
        <family val="1"/>
      </rPr>
      <t>3.-</t>
    </r>
    <r>
      <rPr>
        <sz val="10"/>
        <color theme="1"/>
        <rFont val="Arial Narrow"/>
      </rPr>
      <t xml:space="preserve"> Efectuar jornadas de seguimiento del plan de aseguramiento de la calidad.</t>
    </r>
  </si>
  <si>
    <r>
      <rPr>
        <b/>
        <sz val="9"/>
        <color theme="1"/>
        <rFont val="Century Schoolbook"/>
        <family val="1"/>
      </rPr>
      <t>1.-</t>
    </r>
    <r>
      <rPr>
        <sz val="10"/>
        <color theme="1"/>
        <rFont val="Arial Narrow"/>
        <family val="2"/>
      </rPr>
      <t xml:space="preserve"> Socializar los instrumentos y directrices del proceso de autoevaluación.
</t>
    </r>
    <r>
      <rPr>
        <b/>
        <sz val="9"/>
        <color theme="1"/>
        <rFont val="Century Schoolbook"/>
        <family val="1"/>
      </rPr>
      <t>2.-</t>
    </r>
    <r>
      <rPr>
        <sz val="10"/>
        <color theme="1"/>
        <rFont val="Arial Narrow"/>
        <family val="2"/>
      </rPr>
      <t xml:space="preserve"> Cargar fuentes de información a las carpetas drive.
</t>
    </r>
    <r>
      <rPr>
        <b/>
        <sz val="9"/>
        <color theme="1"/>
        <rFont val="Century Schoolbook"/>
        <family val="1"/>
      </rPr>
      <t>3.-</t>
    </r>
    <r>
      <rPr>
        <sz val="10"/>
        <color theme="1"/>
        <rFont val="Arial Narrow"/>
        <family val="2"/>
      </rPr>
      <t xml:space="preserve"> Elaborar agendas del proceso de autoevaluación.
</t>
    </r>
    <r>
      <rPr>
        <b/>
        <sz val="9"/>
        <color theme="1"/>
        <rFont val="Century Schoolbook"/>
        <family val="1"/>
      </rPr>
      <t>4.-</t>
    </r>
    <r>
      <rPr>
        <sz val="10"/>
        <color theme="1"/>
        <rFont val="Arial Narrow"/>
        <family val="2"/>
      </rPr>
      <t xml:space="preserve"> Llenar el instrumento de autoevaluación institucional.</t>
    </r>
  </si>
  <si>
    <r>
      <rPr>
        <b/>
        <sz val="9"/>
        <color theme="1"/>
        <rFont val="Century Schoolbook"/>
        <family val="1"/>
      </rPr>
      <t>1.-</t>
    </r>
    <r>
      <rPr>
        <sz val="10"/>
        <color theme="1"/>
        <rFont val="Arial Narrow"/>
      </rPr>
      <t xml:space="preserve"> Elaborar documento técnico de manejo del instrumento de autoevaluación institucional.</t>
    </r>
  </si>
  <si>
    <r>
      <rPr>
        <b/>
        <sz val="9"/>
        <color theme="1"/>
        <rFont val="Century Schoolbook"/>
        <family val="1"/>
      </rPr>
      <t>1.-</t>
    </r>
    <r>
      <rPr>
        <sz val="10"/>
        <color theme="1"/>
        <rFont val="Arial Narrow"/>
        <family val="2"/>
      </rPr>
      <t xml:space="preserve"> Socializar el Informe de autoevaluación de carreras.
</t>
    </r>
    <r>
      <rPr>
        <b/>
        <sz val="9"/>
        <color theme="1"/>
        <rFont val="Century Schoolbook"/>
        <family val="1"/>
      </rPr>
      <t>2.-</t>
    </r>
    <r>
      <rPr>
        <sz val="10"/>
        <color theme="1"/>
        <rFont val="Arial Narrow"/>
        <family val="2"/>
      </rPr>
      <t xml:space="preserve"> Asesorar elaboración del plan de mejoras de carreras.</t>
    </r>
  </si>
  <si>
    <r>
      <rPr>
        <b/>
        <sz val="9"/>
        <color theme="1"/>
        <rFont val="Century Schoolbook"/>
        <family val="1"/>
      </rPr>
      <t>1.-</t>
    </r>
    <r>
      <rPr>
        <sz val="10"/>
        <color theme="1"/>
        <rFont val="Arial Narrow"/>
      </rPr>
      <t xml:space="preserve"> Asesorar la elaboración  de procedimientos de la gestión administrativa de la UTMACH.</t>
    </r>
  </si>
  <si>
    <r>
      <rPr>
        <b/>
        <sz val="9"/>
        <color theme="1"/>
        <rFont val="Century Schoolbook"/>
        <family val="1"/>
      </rPr>
      <t>1.-</t>
    </r>
    <r>
      <rPr>
        <sz val="10"/>
        <color theme="1"/>
        <rFont val="Arial Narrow"/>
      </rPr>
      <t xml:space="preserve"> Elaborar informes técnicos de revisión de documentos.</t>
    </r>
  </si>
  <si>
    <r>
      <rPr>
        <b/>
        <sz val="9"/>
        <color theme="1"/>
        <rFont val="Century Schoolbook"/>
        <family val="1"/>
      </rPr>
      <t>1.-</t>
    </r>
    <r>
      <rPr>
        <sz val="10"/>
        <color theme="1"/>
        <rFont val="Arial Narrow"/>
      </rPr>
      <t xml:space="preserve"> Asesorar en los procesos de autoevaluación Institucional.
</t>
    </r>
    <r>
      <rPr>
        <b/>
        <sz val="9"/>
        <color theme="1"/>
        <rFont val="Century Schoolbook"/>
        <family val="1"/>
      </rPr>
      <t>2.-</t>
    </r>
    <r>
      <rPr>
        <sz val="10"/>
        <color theme="1"/>
        <rFont val="Arial Narrow"/>
      </rPr>
      <t xml:space="preserve"> Efectuar la capacitación y/o asesoramiento del Plan de aseguramiento de la calidad.</t>
    </r>
  </si>
  <si>
    <r>
      <rPr>
        <b/>
        <sz val="9"/>
        <color theme="1"/>
        <rFont val="Century Schoolbook"/>
        <family val="1"/>
      </rPr>
      <t>1.-</t>
    </r>
    <r>
      <rPr>
        <sz val="10"/>
        <color theme="1"/>
        <rFont val="Arial Narrow"/>
        <family val="2"/>
      </rPr>
      <t xml:space="preserve"> Elaborar la Planificación Operativa Anual.
</t>
    </r>
    <r>
      <rPr>
        <b/>
        <sz val="9"/>
        <color theme="1"/>
        <rFont val="Century Schoolbook"/>
        <family val="1"/>
      </rPr>
      <t>2.-</t>
    </r>
    <r>
      <rPr>
        <sz val="10"/>
        <color theme="1"/>
        <rFont val="Arial Narrow"/>
        <family val="2"/>
      </rPr>
      <t xml:space="preserve"> Elaborar y entregar evaluación de la Planificación Operativa Anual.</t>
    </r>
  </si>
  <si>
    <r>
      <rPr>
        <b/>
        <sz val="9"/>
        <color theme="1"/>
        <rFont val="Century Schoolbook"/>
        <family val="1"/>
      </rPr>
      <t>1.-</t>
    </r>
    <r>
      <rPr>
        <sz val="10"/>
        <color theme="1"/>
        <rFont val="Arial Narrow"/>
      </rPr>
      <t xml:space="preserve"> Seleccionar y clasificar la documentación.
</t>
    </r>
    <r>
      <rPr>
        <b/>
        <sz val="9"/>
        <color theme="1"/>
        <rFont val="Century Schoolbook"/>
        <family val="1"/>
      </rPr>
      <t>2.-</t>
    </r>
    <r>
      <rPr>
        <sz val="10"/>
        <color theme="1"/>
        <rFont val="Arial Narrow"/>
      </rPr>
      <t xml:space="preserve"> Describir la documentación según la norma ISAG-D.
</t>
    </r>
    <r>
      <rPr>
        <b/>
        <sz val="9"/>
        <color theme="1"/>
        <rFont val="Century Schoolbook"/>
        <family val="1"/>
      </rPr>
      <t>3.-</t>
    </r>
    <r>
      <rPr>
        <sz val="10"/>
        <color theme="1"/>
        <rFont val="Arial Narrow"/>
      </rPr>
      <t xml:space="preserve"> Preservar la documentación en las unidades de almacenamiento.</t>
    </r>
  </si>
  <si>
    <t>Nº de cajas registradas en el inventario documental.</t>
  </si>
  <si>
    <t>N° de documentos de planificaciones operativas anuales y evaluaciones de las planificaciones operativas anuales entregadas oportunamente.</t>
  </si>
  <si>
    <t>Nº de asesorías ejecutadas.</t>
  </si>
  <si>
    <t>Nº de informes técnicos presentados.</t>
  </si>
  <si>
    <t>Nº  de asesorías ejecutadas.</t>
  </si>
  <si>
    <t>Nº de fases del proceso de autoevaluación de carreras ejecutadas.</t>
  </si>
  <si>
    <t>Nº de directrices para la conducción del proceso de autoevaluación emitidas y/o actualizadas.</t>
  </si>
  <si>
    <t>Nº de fases del proceso de autoevaluación institucional ejecutadas.</t>
  </si>
  <si>
    <t>Sistema de gestión de quejas y denuncias ejecutado.</t>
  </si>
  <si>
    <t>Plan de aseguramiento de la calidad ejecutado.</t>
  </si>
  <si>
    <r>
      <rPr>
        <b/>
        <sz val="10"/>
        <color rgb="FFFF0000"/>
        <rFont val="Arial Narrow"/>
      </rPr>
      <t>META ESTRATÉGICA</t>
    </r>
    <r>
      <rPr>
        <b/>
        <sz val="10"/>
        <color theme="1"/>
        <rFont val="Arial Narrow"/>
      </rPr>
      <t xml:space="preserve">
</t>
    </r>
    <r>
      <rPr>
        <b/>
        <sz val="9"/>
        <color theme="1"/>
        <rFont val="Century Schoolbook"/>
        <family val="1"/>
      </rPr>
      <t>1.-</t>
    </r>
    <r>
      <rPr>
        <sz val="10"/>
        <color theme="1"/>
        <rFont val="Arial Narrow"/>
      </rPr>
      <t xml:space="preserve"> Mejorar el sistema de gestión de quejas y denuncias a través de la implementación de estándares de calidad internacionales.</t>
    </r>
  </si>
  <si>
    <r>
      <rPr>
        <b/>
        <sz val="9"/>
        <color theme="1"/>
        <rFont val="Century Schoolbook"/>
        <family val="1"/>
      </rPr>
      <t>2.-</t>
    </r>
    <r>
      <rPr>
        <b/>
        <sz val="10"/>
        <color theme="1"/>
        <rFont val="Arial Narrow"/>
      </rPr>
      <t xml:space="preserve"> </t>
    </r>
    <r>
      <rPr>
        <sz val="10"/>
        <color theme="1"/>
        <rFont val="Arial Narrow"/>
      </rPr>
      <t>Incrementar la calidad de la gestión institucional a través de la ejecución de procesos de aseguramiento de la calidad.</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</si>
  <si>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Coordinar la fase planificación y ejecución del proceso de autoevaluación institucional.</t>
    </r>
  </si>
  <si>
    <r>
      <rPr>
        <b/>
        <sz val="9"/>
        <color theme="1"/>
        <rFont val="Century Schoolbook"/>
        <family val="1"/>
      </rPr>
      <t>2.-</t>
    </r>
    <r>
      <rPr>
        <sz val="10"/>
        <color theme="1"/>
        <rFont val="Arial Narrow"/>
      </rPr>
      <t xml:space="preserve"> Emitir y/o actualizar las directrices para la conducción del proceso de autoevaluación.</t>
    </r>
  </si>
  <si>
    <r>
      <rPr>
        <b/>
        <sz val="9"/>
        <color theme="1"/>
        <rFont val="Century Schoolbook"/>
        <family val="1"/>
      </rPr>
      <t>3.-</t>
    </r>
    <r>
      <rPr>
        <sz val="10"/>
        <color theme="1"/>
        <rFont val="Arial Narrow"/>
      </rPr>
      <t xml:space="preserve"> Coordinar la ejecución de las fases del proceso de autoevaluación de carreras.</t>
    </r>
  </si>
  <si>
    <r>
      <rPr>
        <b/>
        <sz val="9"/>
        <color theme="1"/>
        <rFont val="Century Schoolbook"/>
        <family val="1"/>
      </rPr>
      <t>4.-</t>
    </r>
    <r>
      <rPr>
        <sz val="10"/>
        <color theme="1"/>
        <rFont val="Arial Narrow"/>
      </rPr>
      <t xml:space="preserve"> Coordinar la implementación y ejecución de los Procesos de Gestión de Calidad.</t>
    </r>
  </si>
  <si>
    <r>
      <rPr>
        <b/>
        <sz val="9"/>
        <color theme="1"/>
        <rFont val="Century Schoolbook"/>
        <family val="1"/>
      </rPr>
      <t>5.-</t>
    </r>
    <r>
      <rPr>
        <sz val="10"/>
        <color theme="1"/>
        <rFont val="Arial Narrow"/>
      </rPr>
      <t xml:space="preserve"> Emitir Informes Técnicos para procesos internos.</t>
    </r>
  </si>
  <si>
    <r>
      <rPr>
        <b/>
        <sz val="9"/>
        <color theme="1"/>
        <rFont val="Century Schoolbook"/>
        <family val="1"/>
      </rPr>
      <t>6.-</t>
    </r>
    <r>
      <rPr>
        <sz val="10"/>
        <color theme="1"/>
        <rFont val="Arial Narrow"/>
      </rPr>
      <t xml:space="preserve"> Dirigir procesos de capacitación y asesoría.</t>
    </r>
  </si>
  <si>
    <r>
      <rPr>
        <b/>
        <sz val="9"/>
        <color theme="1"/>
        <rFont val="Century Schoolbook"/>
        <family val="1"/>
      </rPr>
      <t>7.-</t>
    </r>
    <r>
      <rPr>
        <sz val="10"/>
        <color theme="1"/>
        <rFont val="Arial Narrow"/>
      </rPr>
      <t xml:space="preserve"> Presentar la Planificación Operativa Anual y la Evaluación la Planificación Operativa Anual.</t>
    </r>
  </si>
  <si>
    <r>
      <rPr>
        <b/>
        <sz val="9"/>
        <color theme="1"/>
        <rFont val="Century Schoolbook"/>
        <family val="1"/>
      </rPr>
      <t>8.-</t>
    </r>
    <r>
      <rPr>
        <b/>
        <sz val="10"/>
        <color theme="1"/>
        <rFont val="Arial Narrow"/>
      </rPr>
      <t xml:space="preserve"> </t>
    </r>
    <r>
      <rPr>
        <sz val="10"/>
        <color theme="1"/>
        <rFont val="Arial Narrow"/>
      </rPr>
      <t>Organizar el Archivo de Gestión.</t>
    </r>
  </si>
  <si>
    <t>* Luis Brito Gaona,
  Vicerrector de Investigación, Vinculación y Posgrado
* César Quezada Abad,
  Director de Investigación
* Ana Moscoso Parra,
  Directora de Vinculación
* Mayiya González,
  Directora de Posgrado</t>
  </si>
  <si>
    <t>* Luis Brito Gaona,
  Vicerrector de Investigación, Vinculación y Posgrado
* César Quezada Abad,
  Director de Investigación</t>
  </si>
  <si>
    <t>* Luis Brito Gaona,
  Vicerrector de Investigación, Vinculación y Posgrado
* Mayiya González,
  Directora de Posgrado</t>
  </si>
  <si>
    <t>* Karina Lozano Zambrano,
  Jefe Editor</t>
  </si>
  <si>
    <t>* Karina Lozano Zambrano,
  Jefe Editor
* Edison Mera León,
  Analista Editorial
* Geovanny Mocha Guacho,
  Analista Editorial</t>
  </si>
  <si>
    <t>* Karina Lozano Zambrano,
  Jefe Editor
* Edison Mera León,
  Analista Editorial</t>
  </si>
  <si>
    <t>* Karina Lozano Zambrano,
  Jefe Editor
* Geovanny Mocha Guacho,
  Analista Editorial</t>
  </si>
  <si>
    <r>
      <rPr>
        <b/>
        <sz val="9"/>
        <color theme="1"/>
        <rFont val="Century Schoolbook"/>
        <family val="1"/>
      </rPr>
      <t>1.-</t>
    </r>
    <r>
      <rPr>
        <sz val="10"/>
        <color theme="1"/>
        <rFont val="Arial Narrow"/>
        <family val="2"/>
      </rPr>
      <t xml:space="preserve"> Actas de sesión de consejo.
</t>
    </r>
    <r>
      <rPr>
        <b/>
        <sz val="9"/>
        <color theme="1"/>
        <rFont val="Century Schoolbook"/>
        <family val="1"/>
      </rPr>
      <t>2.-</t>
    </r>
    <r>
      <rPr>
        <sz val="10"/>
        <color theme="1"/>
        <rFont val="Arial Narrow"/>
        <family val="2"/>
      </rPr>
      <t xml:space="preserve"> Resoluciones de consejo de Investigación, Vinculación y Posgrado.</t>
    </r>
  </si>
  <si>
    <r>
      <rPr>
        <b/>
        <sz val="9"/>
        <color theme="1"/>
        <rFont val="Century Schoolbook"/>
        <family val="1"/>
      </rPr>
      <t>1.-</t>
    </r>
    <r>
      <rPr>
        <sz val="10"/>
        <color theme="1"/>
        <rFont val="Arial Narrow"/>
        <family val="2"/>
      </rPr>
      <t xml:space="preserve"> Planificación estratégica de Investigación, Vinculación, y Posgrado.</t>
    </r>
  </si>
  <si>
    <r>
      <rPr>
        <b/>
        <sz val="9"/>
        <color theme="1"/>
        <rFont val="Century Schoolbook"/>
        <family val="1"/>
      </rPr>
      <t>1.-</t>
    </r>
    <r>
      <rPr>
        <sz val="10"/>
        <color theme="1"/>
        <rFont val="Arial Narrow"/>
        <family val="2"/>
      </rPr>
      <t xml:space="preserve"> Documento de actualización de los dominios científicos y líneas de investigación y vinculación social.</t>
    </r>
  </si>
  <si>
    <r>
      <rPr>
        <b/>
        <sz val="9"/>
        <color theme="1"/>
        <rFont val="Century Schoolbook"/>
        <family val="1"/>
      </rPr>
      <t>1.-</t>
    </r>
    <r>
      <rPr>
        <sz val="10"/>
        <color theme="1"/>
        <rFont val="Arial Narrow"/>
        <family val="2"/>
      </rPr>
      <t xml:space="preserve"> Instructivo para la gestión de fondos internos y/o externos.</t>
    </r>
  </si>
  <si>
    <r>
      <rPr>
        <b/>
        <sz val="9"/>
        <color theme="1"/>
        <rFont val="Century Schoolbook"/>
        <family val="1"/>
      </rPr>
      <t>1.-</t>
    </r>
    <r>
      <rPr>
        <sz val="10"/>
        <color theme="1"/>
        <rFont val="Arial Narrow"/>
        <family val="2"/>
      </rPr>
      <t xml:space="preserve"> Instructivos para la protección de los derechos intelectuales de los productos derivados de los procesos de Investigación, Desarrollo e Innovación.</t>
    </r>
  </si>
  <si>
    <r>
      <rPr>
        <b/>
        <sz val="9"/>
        <color theme="1"/>
        <rFont val="Century Schoolbook"/>
        <family val="1"/>
      </rPr>
      <t>1.-</t>
    </r>
    <r>
      <rPr>
        <sz val="10"/>
        <color theme="1"/>
        <rFont val="Arial Narrow"/>
        <family val="2"/>
      </rPr>
      <t xml:space="preserve"> Procesos de Investigación, Vinculación, y Posgrado.</t>
    </r>
  </si>
  <si>
    <r>
      <rPr>
        <b/>
        <sz val="9"/>
        <color theme="1"/>
        <rFont val="Century Schoolbook"/>
        <family val="1"/>
      </rPr>
      <t>1.-</t>
    </r>
    <r>
      <rPr>
        <sz val="10"/>
        <color theme="1"/>
        <rFont val="Arial Narrow"/>
      </rPr>
      <t xml:space="preserve"> Reporte  proyectos de investigación aprobados por semestre.
</t>
    </r>
    <r>
      <rPr>
        <b/>
        <sz val="9"/>
        <color theme="1"/>
        <rFont val="Century Schoolbook"/>
        <family val="1"/>
      </rPr>
      <t>2.-</t>
    </r>
    <r>
      <rPr>
        <sz val="10"/>
        <color theme="1"/>
        <rFont val="Arial Narrow"/>
      </rPr>
      <t xml:space="preserve"> Reporte de proyectos de investigación cerrados por semestre.</t>
    </r>
  </si>
  <si>
    <r>
      <rPr>
        <b/>
        <sz val="9"/>
        <color theme="1"/>
        <rFont val="Century Schoolbook"/>
        <family val="1"/>
      </rPr>
      <t>1.-</t>
    </r>
    <r>
      <rPr>
        <sz val="10"/>
        <color theme="1"/>
        <rFont val="Arial Narrow"/>
        <family val="2"/>
      </rPr>
      <t xml:space="preserve"> Actas de sesión.
</t>
    </r>
    <r>
      <rPr>
        <b/>
        <sz val="9"/>
        <color theme="1"/>
        <rFont val="Century Schoolbook"/>
        <family val="1"/>
      </rPr>
      <t>2.-</t>
    </r>
    <r>
      <rPr>
        <sz val="10"/>
        <color theme="1"/>
        <rFont val="Arial Narrow"/>
        <family val="2"/>
      </rPr>
      <t xml:space="preserve"> Resoluciones.</t>
    </r>
  </si>
  <si>
    <r>
      <rPr>
        <b/>
        <sz val="9"/>
        <color theme="1"/>
        <rFont val="Century Schoolbook"/>
        <family val="1"/>
      </rPr>
      <t>1.-</t>
    </r>
    <r>
      <rPr>
        <sz val="10"/>
        <color theme="1"/>
        <rFont val="Arial Narrow"/>
      </rPr>
      <t xml:space="preserve"> Matriz de procesos de adquisiciones de bienes y servicios del Programa </t>
    </r>
    <r>
      <rPr>
        <sz val="10"/>
        <color theme="1"/>
        <rFont val="Century Schoolbook"/>
        <family val="1"/>
      </rPr>
      <t>83</t>
    </r>
    <r>
      <rPr>
        <sz val="10"/>
        <color theme="1"/>
        <rFont val="Arial Narrow"/>
      </rPr>
      <t xml:space="preserve"> Gestión de la Investigación.</t>
    </r>
  </si>
  <si>
    <r>
      <rPr>
        <b/>
        <sz val="9"/>
        <color theme="1"/>
        <rFont val="Century Schoolbook"/>
        <family val="1"/>
      </rPr>
      <t>1.-</t>
    </r>
    <r>
      <rPr>
        <sz val="10"/>
        <color theme="1"/>
        <rFont val="Arial Narrow"/>
        <family val="2"/>
      </rPr>
      <t xml:space="preserve"> Convocatoria RIC.
</t>
    </r>
    <r>
      <rPr>
        <b/>
        <sz val="9"/>
        <color theme="1"/>
        <rFont val="Century Schoolbook"/>
        <family val="1"/>
      </rPr>
      <t>2.-</t>
    </r>
    <r>
      <rPr>
        <sz val="10"/>
        <color theme="1"/>
        <rFont val="Arial Narrow"/>
        <family val="2"/>
      </rPr>
      <t xml:space="preserve"> Captura del evento y programa  de Reconocimiento a la Investigación Científica </t>
    </r>
    <r>
      <rPr>
        <sz val="10"/>
        <color theme="1"/>
        <rFont val="Century Schoolbook"/>
        <family val="1"/>
      </rPr>
      <t>2023</t>
    </r>
    <r>
      <rPr>
        <sz val="10"/>
        <color theme="1"/>
        <rFont val="Arial Narrow"/>
        <family val="2"/>
      </rPr>
      <t xml:space="preserve"> dirigido a docentes.</t>
    </r>
  </si>
  <si>
    <r>
      <rPr>
        <b/>
        <sz val="9"/>
        <color theme="1"/>
        <rFont val="Century Schoolbook"/>
        <family val="1"/>
      </rPr>
      <t>1.-</t>
    </r>
    <r>
      <rPr>
        <sz val="10"/>
        <color theme="1"/>
        <rFont val="Arial Narrow"/>
        <family val="2"/>
      </rPr>
      <t xml:space="preserve"> Publicaciones periódicas de las revistas.
</t>
    </r>
    <r>
      <rPr>
        <b/>
        <sz val="9"/>
        <color theme="1"/>
        <rFont val="Century Schoolbook"/>
        <family val="1"/>
      </rPr>
      <t>2.-</t>
    </r>
    <r>
      <rPr>
        <sz val="10"/>
        <color theme="1"/>
        <rFont val="Arial Narrow"/>
        <family val="2"/>
      </rPr>
      <t xml:space="preserve"> Capturas de las plataformas desarrolladas y/o actualizadas.</t>
    </r>
  </si>
  <si>
    <r>
      <rPr>
        <b/>
        <sz val="9"/>
        <color theme="1"/>
        <rFont val="Century Schoolbook"/>
        <family val="1"/>
      </rPr>
      <t>1.-</t>
    </r>
    <r>
      <rPr>
        <sz val="10"/>
        <color theme="1"/>
        <rFont val="Arial Narrow"/>
        <family val="2"/>
      </rPr>
      <t xml:space="preserve"> Resolución de aprobación del Plan de Formación y actualización en competencias investigativas.</t>
    </r>
  </si>
  <si>
    <r>
      <rPr>
        <b/>
        <sz val="9"/>
        <color theme="1"/>
        <rFont val="Century Schoolbook"/>
        <family val="1"/>
      </rPr>
      <t>1.-</t>
    </r>
    <r>
      <rPr>
        <sz val="10"/>
        <color theme="1"/>
        <rFont val="Arial Narrow"/>
        <family val="2"/>
      </rPr>
      <t xml:space="preserve"> Resolución de aprobación del Programas de cuarto nivel.</t>
    </r>
  </si>
  <si>
    <r>
      <rPr>
        <b/>
        <sz val="9"/>
        <color theme="1"/>
        <rFont val="Century Schoolbook"/>
        <family val="1"/>
      </rPr>
      <t>1.-</t>
    </r>
    <r>
      <rPr>
        <sz val="10"/>
        <color theme="1"/>
        <rFont val="Arial Narrow"/>
        <family val="2"/>
      </rPr>
      <t xml:space="preserve"> Informes técnicos de avance del programa de postgrado.</t>
    </r>
  </si>
  <si>
    <r>
      <rPr>
        <b/>
        <sz val="9"/>
        <color theme="1"/>
        <rFont val="Century Schoolbook"/>
        <family val="1"/>
      </rPr>
      <t>1.-</t>
    </r>
    <r>
      <rPr>
        <sz val="10"/>
        <color theme="1"/>
        <rFont val="Arial Narrow"/>
        <family val="2"/>
      </rPr>
      <t xml:space="preserve"> Evaluación del Plan Operativo Anual </t>
    </r>
    <r>
      <rPr>
        <sz val="10"/>
        <color theme="1"/>
        <rFont val="Century Schoolbook"/>
        <family val="1"/>
      </rPr>
      <t>2023</t>
    </r>
    <r>
      <rPr>
        <sz val="10"/>
        <color theme="1"/>
        <rFont val="Arial Narrow"/>
        <family val="2"/>
      </rPr>
      <t xml:space="preserve">.
</t>
    </r>
    <r>
      <rPr>
        <b/>
        <sz val="9"/>
        <color theme="1"/>
        <rFont val="Century Schoolbook"/>
        <family val="1"/>
      </rPr>
      <t>2.-</t>
    </r>
    <r>
      <rPr>
        <sz val="10"/>
        <color theme="1"/>
        <rFont val="Arial Narrow"/>
        <family val="2"/>
      </rPr>
      <t xml:space="preserve"> Plan Operativo Anual </t>
    </r>
    <r>
      <rPr>
        <sz val="10"/>
        <color theme="1"/>
        <rFont val="Century Schoolbook"/>
        <family val="1"/>
      </rPr>
      <t>2024</t>
    </r>
    <r>
      <rPr>
        <sz val="10"/>
        <color theme="1"/>
        <rFont val="Arial Narrow"/>
        <family val="2"/>
      </rPr>
      <t>.</t>
    </r>
  </si>
  <si>
    <r>
      <rPr>
        <b/>
        <sz val="9"/>
        <color theme="1"/>
        <rFont val="Century Schoolbook"/>
        <family val="1"/>
      </rPr>
      <t>1.-</t>
    </r>
    <r>
      <rPr>
        <sz val="10"/>
        <color theme="1"/>
        <rFont val="Arial Narrow"/>
        <family val="2"/>
      </rPr>
      <t xml:space="preserve"> Inventario Documental.</t>
    </r>
  </si>
  <si>
    <r>
      <rPr>
        <b/>
        <sz val="9"/>
        <color theme="1"/>
        <rFont val="Century Schoolbook"/>
        <family val="1"/>
      </rPr>
      <t>1.-</t>
    </r>
    <r>
      <rPr>
        <sz val="10"/>
        <color theme="1"/>
        <rFont val="Arial Narrow"/>
      </rPr>
      <t xml:space="preserve"> Documento de la Planificación de las actividades anuales de la Editorial, correspondientes a eventos académicos, aprobada por el Vicerrector de Investigación, Desarrollo e Innovación.
</t>
    </r>
    <r>
      <rPr>
        <b/>
        <sz val="9"/>
        <color theme="1"/>
        <rFont val="Century Schoolbook"/>
        <family val="1"/>
      </rPr>
      <t>2.-</t>
    </r>
    <r>
      <rPr>
        <sz val="10"/>
        <color theme="1"/>
        <rFont val="Arial Narrow"/>
      </rPr>
      <t xml:space="preserve"> Solicitudes de ISSN para las nuevas revistas con su carta de aprobación del SENESCYT.</t>
    </r>
  </si>
  <si>
    <r>
      <rPr>
        <b/>
        <sz val="9"/>
        <color theme="1"/>
        <rFont val="Century Schoolbook"/>
        <family val="1"/>
      </rPr>
      <t>1.-</t>
    </r>
    <r>
      <rPr>
        <sz val="10"/>
        <color theme="1"/>
        <rFont val="Arial Narrow"/>
      </rPr>
      <t xml:space="preserve"> Resolución de la convocatoria temática </t>
    </r>
    <r>
      <rPr>
        <sz val="10"/>
        <color theme="1"/>
        <rFont val="Century Schoolbook"/>
        <family val="1"/>
      </rPr>
      <t>2023.</t>
    </r>
    <r>
      <rPr>
        <sz val="10"/>
        <color theme="1"/>
        <rFont val="Arial Narrow"/>
      </rPr>
      <t xml:space="preserve">
</t>
    </r>
    <r>
      <rPr>
        <b/>
        <sz val="9"/>
        <color theme="1"/>
        <rFont val="Century Schoolbook"/>
        <family val="1"/>
      </rPr>
      <t>2.-</t>
    </r>
    <r>
      <rPr>
        <sz val="10"/>
        <color theme="1"/>
        <rFont val="Arial Narrow"/>
      </rPr>
      <t xml:space="preserve"> Arte de difusión de los CALL for Paper para las revistas.
</t>
    </r>
    <r>
      <rPr>
        <b/>
        <sz val="9"/>
        <color theme="1"/>
        <rFont val="Century Schoolbook"/>
        <family val="1"/>
      </rPr>
      <t>3.-</t>
    </r>
    <r>
      <rPr>
        <sz val="10"/>
        <color theme="1"/>
        <rFont val="Arial Narrow"/>
      </rPr>
      <t xml:space="preserve"> Arte de difusión de la convocatoria de escritura de cuentos.</t>
    </r>
  </si>
  <si>
    <r>
      <rPr>
        <b/>
        <sz val="9"/>
        <color theme="1"/>
        <rFont val="Century Schoolbook"/>
        <family val="1"/>
      </rPr>
      <t>1.-</t>
    </r>
    <r>
      <rPr>
        <sz val="10"/>
        <color theme="1"/>
        <rFont val="Arial Narrow"/>
      </rPr>
      <t xml:space="preserve"> Plantilla de libro y/o capítulo de libro para postular en convocatorias.
</t>
    </r>
    <r>
      <rPr>
        <b/>
        <sz val="9"/>
        <color theme="1"/>
        <rFont val="Century Schoolbook"/>
        <family val="1"/>
      </rPr>
      <t>2.-</t>
    </r>
    <r>
      <rPr>
        <sz val="10"/>
        <color theme="1"/>
        <rFont val="Arial Narrow"/>
      </rPr>
      <t xml:space="preserve"> Formulario de revisión de pertinencia.
</t>
    </r>
    <r>
      <rPr>
        <b/>
        <sz val="9"/>
        <color theme="1"/>
        <rFont val="Century Schoolbook"/>
        <family val="1"/>
      </rPr>
      <t>3.-</t>
    </r>
    <r>
      <rPr>
        <sz val="10"/>
        <color theme="1"/>
        <rFont val="Arial Narrow"/>
      </rPr>
      <t xml:space="preserve"> Formulario de revisión por pares.
</t>
    </r>
    <r>
      <rPr>
        <b/>
        <sz val="9"/>
        <color theme="1"/>
        <rFont val="Century Schoolbook"/>
        <family val="1"/>
      </rPr>
      <t>4.-</t>
    </r>
    <r>
      <rPr>
        <sz val="10"/>
        <color theme="1"/>
        <rFont val="Arial Narrow"/>
      </rPr>
      <t xml:space="preserve"> Formato de informe final del libro y/o capítulo de libro.
</t>
    </r>
    <r>
      <rPr>
        <b/>
        <sz val="9"/>
        <color theme="1"/>
        <rFont val="Century Schoolbook"/>
        <family val="1"/>
      </rPr>
      <t>5.-</t>
    </r>
    <r>
      <rPr>
        <sz val="10"/>
        <color theme="1"/>
        <rFont val="Arial Narrow"/>
      </rPr>
      <t xml:space="preserve"> Reporte de carga al RIC  </t>
    </r>
    <r>
      <rPr>
        <sz val="10"/>
        <color theme="1"/>
        <rFont val="Century Schoolbook"/>
        <family val="1"/>
      </rPr>
      <t>2020, 2021.</t>
    </r>
  </si>
  <si>
    <r>
      <rPr>
        <b/>
        <sz val="9"/>
        <color theme="1"/>
        <rFont val="Century Schoolbook"/>
        <family val="1"/>
      </rPr>
      <t>1.-</t>
    </r>
    <r>
      <rPr>
        <sz val="10"/>
        <color theme="1"/>
        <rFont val="Arial Narrow"/>
        <family val="2"/>
      </rPr>
      <t xml:space="preserve"> Expedientes de los productos editoriales editados, revisados por pares y aprobados para su publicación.</t>
    </r>
  </si>
  <si>
    <r>
      <rPr>
        <b/>
        <sz val="9"/>
        <color theme="1"/>
        <rFont val="Century Schoolbook"/>
        <family val="1"/>
      </rPr>
      <t xml:space="preserve">1.- </t>
    </r>
    <r>
      <rPr>
        <sz val="10"/>
        <color theme="1"/>
        <rFont val="Arial Narrow"/>
      </rPr>
      <t>Artes o capturas de la difusión de los productos editoriales publicados.</t>
    </r>
  </si>
  <si>
    <r>
      <rPr>
        <b/>
        <sz val="9"/>
        <color theme="1"/>
        <rFont val="Century Schoolbook"/>
        <family val="1"/>
      </rPr>
      <t>1.-</t>
    </r>
    <r>
      <rPr>
        <sz val="10"/>
        <color theme="1"/>
        <rFont val="Arial Narrow"/>
      </rPr>
      <t xml:space="preserve"> Propuesta de la nueva temporada de Diálogo con Autores, aprobada por el Vicerrector de Investigación.
</t>
    </r>
    <r>
      <rPr>
        <b/>
        <sz val="9"/>
        <color theme="1"/>
        <rFont val="Century Schoolbook"/>
        <family val="1"/>
      </rPr>
      <t>2.-</t>
    </r>
    <r>
      <rPr>
        <sz val="10"/>
        <color theme="1"/>
        <rFont val="Arial Narrow"/>
      </rPr>
      <t xml:space="preserve"> Videos difundidos de las entrevistas a autores de libros.  </t>
    </r>
  </si>
  <si>
    <r>
      <rPr>
        <b/>
        <sz val="9"/>
        <color theme="1"/>
        <rFont val="Century Schoolbook"/>
        <family val="1"/>
      </rPr>
      <t xml:space="preserve">1.- </t>
    </r>
    <r>
      <rPr>
        <sz val="10"/>
        <color theme="1"/>
        <rFont val="Arial Narrow"/>
      </rPr>
      <t xml:space="preserve">Boletines informativos del Vicerrectorado de Investigación, Vinculación y Posgrado.
</t>
    </r>
    <r>
      <rPr>
        <b/>
        <sz val="9"/>
        <color theme="1"/>
        <rFont val="Century Schoolbook"/>
        <family val="1"/>
      </rPr>
      <t>2.-</t>
    </r>
    <r>
      <rPr>
        <sz val="10"/>
        <color theme="1"/>
        <rFont val="Arial Narrow"/>
      </rPr>
      <t xml:space="preserve"> Revistas científicas publicadas.</t>
    </r>
  </si>
  <si>
    <r>
      <rPr>
        <b/>
        <sz val="9"/>
        <color theme="1"/>
        <rFont val="Century Schoolbook"/>
        <family val="1"/>
      </rPr>
      <t xml:space="preserve">1.- </t>
    </r>
    <r>
      <rPr>
        <sz val="10"/>
        <color theme="1"/>
        <rFont val="Arial Narrow"/>
      </rPr>
      <t xml:space="preserve">Capturas de evidencia de las socializaciones realizadas a las Facultades.
</t>
    </r>
    <r>
      <rPr>
        <b/>
        <sz val="9"/>
        <color theme="1"/>
        <rFont val="Century Schoolbook"/>
        <family val="1"/>
      </rPr>
      <t>2.-</t>
    </r>
    <r>
      <rPr>
        <sz val="10"/>
        <color theme="1"/>
        <rFont val="Arial Narrow"/>
      </rPr>
      <t xml:space="preserve"> Cápsulas audiovisuales con consejos para autores, publicadas en el canal de youtube.</t>
    </r>
  </si>
  <si>
    <r>
      <rPr>
        <b/>
        <sz val="9"/>
        <color theme="1"/>
        <rFont val="Century Schoolbook"/>
        <family val="1"/>
      </rPr>
      <t>1.-</t>
    </r>
    <r>
      <rPr>
        <sz val="10"/>
        <color theme="1"/>
        <rFont val="Arial Narrow"/>
        <family val="2"/>
      </rPr>
      <t xml:space="preserve"> Portadas de libros.
</t>
    </r>
    <r>
      <rPr>
        <b/>
        <sz val="9"/>
        <color theme="1"/>
        <rFont val="Century Schoolbook"/>
        <family val="1"/>
      </rPr>
      <t>2.-</t>
    </r>
    <r>
      <rPr>
        <sz val="10"/>
        <color theme="1"/>
        <rFont val="Arial Narrow"/>
        <family val="2"/>
      </rPr>
      <t xml:space="preserve"> Libros diagramados.
</t>
    </r>
    <r>
      <rPr>
        <b/>
        <sz val="9"/>
        <color theme="1"/>
        <rFont val="Century Schoolbook"/>
        <family val="1"/>
      </rPr>
      <t>3.-</t>
    </r>
    <r>
      <rPr>
        <sz val="10"/>
        <color theme="1"/>
        <rFont val="Arial Narrow"/>
        <family val="2"/>
      </rPr>
      <t xml:space="preserve"> Arte de difusión de eventos académicos.
</t>
    </r>
    <r>
      <rPr>
        <b/>
        <sz val="9"/>
        <color theme="1"/>
        <rFont val="Century Schoolbook"/>
        <family val="1"/>
      </rPr>
      <t>4.-</t>
    </r>
    <r>
      <rPr>
        <sz val="10"/>
        <color theme="1"/>
        <rFont val="Arial Narrow"/>
        <family val="2"/>
      </rPr>
      <t xml:space="preserve"> Flyers de difusión sobre capacitaciones y/o cursos.</t>
    </r>
  </si>
  <si>
    <r>
      <rPr>
        <b/>
        <sz val="9"/>
        <color theme="1"/>
        <rFont val="Century Schoolbook"/>
        <family val="1"/>
      </rPr>
      <t>1.-</t>
    </r>
    <r>
      <rPr>
        <sz val="10"/>
        <color theme="1"/>
        <rFont val="Arial Narrow"/>
        <family val="2"/>
      </rPr>
      <t xml:space="preserve"> Captura de Backup de las bases de datos administradas y gestionadas.</t>
    </r>
  </si>
  <si>
    <r>
      <rPr>
        <b/>
        <sz val="9"/>
        <color theme="1"/>
        <rFont val="Century Schoolbook"/>
        <family val="1"/>
      </rPr>
      <t>1.-</t>
    </r>
    <r>
      <rPr>
        <sz val="10"/>
        <color theme="1"/>
        <rFont val="Arial Narrow"/>
        <family val="2"/>
      </rPr>
      <t xml:space="preserve"> Captura de la plataforma desarrollada para la unidad editorial.
</t>
    </r>
    <r>
      <rPr>
        <b/>
        <sz val="9"/>
        <color theme="1"/>
        <rFont val="Century Schoolbook"/>
        <family val="1"/>
      </rPr>
      <t>2.-</t>
    </r>
    <r>
      <rPr>
        <sz val="10"/>
        <color theme="1"/>
        <rFont val="Arial Narrow"/>
        <family val="2"/>
      </rPr>
      <t xml:space="preserve"> Captura de la carga del sistema informático para proyectos de investigación, al servidor.  
</t>
    </r>
    <r>
      <rPr>
        <b/>
        <sz val="9"/>
        <color theme="1"/>
        <rFont val="Century Schoolbook"/>
        <family val="1"/>
      </rPr>
      <t>3.-</t>
    </r>
    <r>
      <rPr>
        <sz val="10"/>
        <color theme="1"/>
        <rFont val="Arial Narrow"/>
        <family val="2"/>
      </rPr>
      <t xml:space="preserve"> Captura de las actualizaciones de la plataforma RIC (Reconocimiento a la investigación científica). </t>
    </r>
  </si>
  <si>
    <r>
      <rPr>
        <b/>
        <sz val="9"/>
        <color theme="1"/>
        <rFont val="Century Schoolbook"/>
        <family val="1"/>
      </rPr>
      <t>1.-</t>
    </r>
    <r>
      <rPr>
        <sz val="10"/>
        <color theme="1"/>
        <rFont val="Arial Narrow"/>
        <family val="2"/>
      </rPr>
      <t xml:space="preserve"> Captura del evento virtual y programa del V Foro "Rompiendo moldes en la ciencia y en la vida" un homenaje a la mujer investigadora de la UTMACH.
</t>
    </r>
    <r>
      <rPr>
        <b/>
        <sz val="9"/>
        <color theme="1"/>
        <rFont val="Century Schoolbook"/>
        <family val="1"/>
      </rPr>
      <t>2.-</t>
    </r>
    <r>
      <rPr>
        <sz val="10"/>
        <color theme="1"/>
        <rFont val="Arial Narrow"/>
        <family val="2"/>
      </rPr>
      <t xml:space="preserve"> Captura del evento y programa del III Simposio de experiencias y buenas prácticas editoriales.
</t>
    </r>
    <r>
      <rPr>
        <b/>
        <sz val="9"/>
        <color theme="1"/>
        <rFont val="Century Schoolbook"/>
        <family val="1"/>
      </rPr>
      <t>3.-</t>
    </r>
    <r>
      <rPr>
        <sz val="10"/>
        <color theme="1"/>
        <rFont val="Arial Narrow"/>
        <family val="2"/>
      </rPr>
      <t xml:space="preserve"> Captura del evento y programa  de Reconocimiento a la Investigación Científica </t>
    </r>
    <r>
      <rPr>
        <sz val="10"/>
        <color theme="1"/>
        <rFont val="Century Schoolbook"/>
        <family val="1"/>
      </rPr>
      <t>2023</t>
    </r>
    <r>
      <rPr>
        <sz val="10"/>
        <color theme="1"/>
        <rFont val="Arial Narrow"/>
        <family val="2"/>
      </rPr>
      <t xml:space="preserve"> dirigido a docentes.
</t>
    </r>
    <r>
      <rPr>
        <b/>
        <sz val="9"/>
        <color theme="1"/>
        <rFont val="Century Schoolbook"/>
        <family val="1"/>
      </rPr>
      <t>4.-</t>
    </r>
    <r>
      <rPr>
        <sz val="10"/>
        <color theme="1"/>
        <rFont val="Arial Narrow"/>
        <family val="2"/>
      </rPr>
      <t xml:space="preserve"> Resolución de la Semana de la Ciencia </t>
    </r>
    <r>
      <rPr>
        <sz val="10"/>
        <color theme="1"/>
        <rFont val="Century Schoolbook"/>
        <family val="1"/>
      </rPr>
      <t>2023.</t>
    </r>
  </si>
  <si>
    <r>
      <rPr>
        <b/>
        <sz val="9"/>
        <color theme="1"/>
        <rFont val="Century Schoolbook"/>
        <family val="1"/>
      </rPr>
      <t>1.-</t>
    </r>
    <r>
      <rPr>
        <sz val="10"/>
        <color theme="1"/>
        <rFont val="Arial Narrow"/>
        <family val="2"/>
      </rPr>
      <t xml:space="preserve"> Plan operativo anual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 POA </t>
    </r>
    <r>
      <rPr>
        <sz val="10"/>
        <color theme="1"/>
        <rFont val="Century Schoolbook"/>
        <family val="1"/>
      </rPr>
      <t>2023</t>
    </r>
    <r>
      <rPr>
        <sz val="10"/>
        <color theme="1"/>
        <rFont val="Arial Narrow"/>
        <family val="2"/>
      </rPr>
      <t>.</t>
    </r>
  </si>
  <si>
    <r>
      <rPr>
        <b/>
        <sz val="9"/>
        <color theme="1"/>
        <rFont val="Century Schoolbook"/>
        <family val="1"/>
      </rPr>
      <t>1.-</t>
    </r>
    <r>
      <rPr>
        <sz val="10"/>
        <color theme="1"/>
        <rFont val="Arial Narrow"/>
        <family val="2"/>
      </rPr>
      <t xml:space="preserve"> Matriz de archivos de gestión de documentos organizada.</t>
    </r>
  </si>
  <si>
    <r>
      <rPr>
        <b/>
        <sz val="9"/>
        <color theme="1"/>
        <rFont val="Century Schoolbook"/>
        <family val="1"/>
      </rPr>
      <t>1.-</t>
    </r>
    <r>
      <rPr>
        <sz val="10"/>
        <color theme="1"/>
        <rFont val="Arial Narrow"/>
        <family val="2"/>
      </rPr>
      <t xml:space="preserve"> Organizar documentos de la editorial.</t>
    </r>
  </si>
  <si>
    <r>
      <rPr>
        <b/>
        <sz val="9"/>
        <color theme="1"/>
        <rFont val="Century Schoolbook"/>
        <family val="1"/>
      </rPr>
      <t>1.-</t>
    </r>
    <r>
      <rPr>
        <sz val="10"/>
        <color theme="1"/>
        <rFont val="Arial Narrow"/>
        <family val="2"/>
      </rPr>
      <t xml:space="preserve"> Elaborar la planificación anual operativa y evaluación de la planificación.</t>
    </r>
  </si>
  <si>
    <r>
      <rPr>
        <b/>
        <sz val="9"/>
        <color theme="1"/>
        <rFont val="Century Schoolbook"/>
        <family val="1"/>
      </rPr>
      <t>1.-</t>
    </r>
    <r>
      <rPr>
        <sz val="10"/>
        <color theme="1"/>
        <rFont val="Arial Narrow"/>
        <family val="2"/>
      </rPr>
      <t xml:space="preserve"> Planificar y desarrollar de V Foro "Rompiendo moldes en la ciencia y en la vida" un homenaje a la mujer investigadora de la UTMACH.
</t>
    </r>
    <r>
      <rPr>
        <b/>
        <sz val="9"/>
        <color theme="1"/>
        <rFont val="Century Schoolbook"/>
        <family val="1"/>
      </rPr>
      <t>2.-</t>
    </r>
    <r>
      <rPr>
        <sz val="10"/>
        <color theme="1"/>
        <rFont val="Arial Narrow"/>
        <family val="2"/>
      </rPr>
      <t xml:space="preserve"> Planificar y desarrollar el III Simposio de experiencias y buenas prácticas editoriales.
</t>
    </r>
    <r>
      <rPr>
        <b/>
        <sz val="9"/>
        <color theme="1"/>
        <rFont val="Century Schoolbook"/>
        <family val="1"/>
      </rPr>
      <t>3.-</t>
    </r>
    <r>
      <rPr>
        <sz val="10"/>
        <color theme="1"/>
        <rFont val="Arial Narrow"/>
        <family val="2"/>
      </rPr>
      <t xml:space="preserve"> Planificar y desarrollar las actividades para el Reconocimiento a la Investigación Científica </t>
    </r>
    <r>
      <rPr>
        <sz val="10"/>
        <color theme="1"/>
        <rFont val="Century Schoolbook"/>
        <family val="1"/>
      </rPr>
      <t>2023</t>
    </r>
    <r>
      <rPr>
        <sz val="10"/>
        <color theme="1"/>
        <rFont val="Arial Narrow"/>
        <family val="2"/>
      </rPr>
      <t xml:space="preserve"> dirigido a docentes.
</t>
    </r>
    <r>
      <rPr>
        <b/>
        <sz val="9"/>
        <color theme="1"/>
        <rFont val="Century Schoolbook"/>
        <family val="1"/>
      </rPr>
      <t xml:space="preserve">4.- </t>
    </r>
    <r>
      <rPr>
        <sz val="10"/>
        <color theme="1"/>
        <rFont val="Arial Narrow"/>
        <family val="2"/>
      </rPr>
      <t xml:space="preserve">Planificar la Semana de la Ciencia utmach </t>
    </r>
    <r>
      <rPr>
        <sz val="10"/>
        <color theme="1"/>
        <rFont val="Century Schoolbook"/>
        <family val="1"/>
      </rPr>
      <t>2023.</t>
    </r>
  </si>
  <si>
    <r>
      <rPr>
        <b/>
        <sz val="9"/>
        <color theme="1"/>
        <rFont val="Century Schoolbook"/>
        <family val="1"/>
      </rPr>
      <t>1.-</t>
    </r>
    <r>
      <rPr>
        <sz val="10"/>
        <color theme="1"/>
        <rFont val="Arial Narrow"/>
        <family val="2"/>
      </rPr>
      <t xml:space="preserve"> Desarrollar la plataforma para la Unidad Editorial.
</t>
    </r>
    <r>
      <rPr>
        <b/>
        <sz val="9"/>
        <color theme="1"/>
        <rFont val="Century Schoolbook"/>
        <family val="1"/>
      </rPr>
      <t>2.-</t>
    </r>
    <r>
      <rPr>
        <sz val="10"/>
        <color theme="1"/>
        <rFont val="Arial Narrow"/>
        <family val="2"/>
      </rPr>
      <t xml:space="preserve"> Cargar el sistema de proyectos de investigación al servidor.
</t>
    </r>
    <r>
      <rPr>
        <b/>
        <sz val="9"/>
        <color theme="1"/>
        <rFont val="Century Schoolbook"/>
        <family val="1"/>
      </rPr>
      <t>3.-</t>
    </r>
    <r>
      <rPr>
        <sz val="10"/>
        <color theme="1"/>
        <rFont val="Arial Narrow"/>
        <family val="2"/>
      </rPr>
      <t xml:space="preserve"> Actualizar la plataforma RIC (Reconocimiento a la investigación científica).
</t>
    </r>
    <r>
      <rPr>
        <b/>
        <sz val="9"/>
        <color theme="1"/>
        <rFont val="Century Schoolbook"/>
        <family val="1"/>
      </rPr>
      <t>4.-</t>
    </r>
    <r>
      <rPr>
        <sz val="10"/>
        <color theme="1"/>
        <rFont val="Arial Narrow"/>
        <family val="2"/>
      </rPr>
      <t xml:space="preserve"> Actualizar las plataformas OJS de las revistas.
</t>
    </r>
    <r>
      <rPr>
        <b/>
        <sz val="9"/>
        <color theme="1"/>
        <rFont val="Century Schoolbook"/>
        <family val="1"/>
      </rPr>
      <t>5.-</t>
    </r>
    <r>
      <rPr>
        <sz val="10"/>
        <color theme="1"/>
        <rFont val="Arial Narrow"/>
        <family val="2"/>
      </rPr>
      <t xml:space="preserve"> Administrar las aulas virtuales de los curso de formación impartidos a través de la dirección de investigación, Desarrollo e Innovación.</t>
    </r>
  </si>
  <si>
    <r>
      <rPr>
        <b/>
        <sz val="9"/>
        <color theme="1"/>
        <rFont val="Century Schoolbook"/>
        <family val="1"/>
      </rPr>
      <t>1.-</t>
    </r>
    <r>
      <rPr>
        <sz val="10"/>
        <color theme="1"/>
        <rFont val="Arial Narrow"/>
        <family val="2"/>
      </rPr>
      <t xml:space="preserve"> Crear bases de datos para la plataforma editorial.
</t>
    </r>
    <r>
      <rPr>
        <b/>
        <sz val="9"/>
        <color theme="1"/>
        <rFont val="Century Schoolbook"/>
        <family val="1"/>
      </rPr>
      <t>2.-</t>
    </r>
    <r>
      <rPr>
        <sz val="10"/>
        <color theme="1"/>
        <rFont val="Arial Narrow"/>
        <family val="2"/>
      </rPr>
      <t xml:space="preserve"> Crear un Backup de la base de datos.</t>
    </r>
  </si>
  <si>
    <r>
      <rPr>
        <b/>
        <sz val="9"/>
        <color theme="1"/>
        <rFont val="Century Schoolbook"/>
        <family val="1"/>
      </rPr>
      <t>1.-</t>
    </r>
    <r>
      <rPr>
        <sz val="10"/>
        <color theme="1"/>
        <rFont val="Arial Narrow"/>
      </rPr>
      <t xml:space="preserve"> Diseñar portadas.
</t>
    </r>
    <r>
      <rPr>
        <b/>
        <sz val="9"/>
        <color theme="1"/>
        <rFont val="Century Schoolbook"/>
        <family val="1"/>
      </rPr>
      <t>2.-</t>
    </r>
    <r>
      <rPr>
        <sz val="10"/>
        <color theme="1"/>
        <rFont val="Arial Narrow"/>
      </rPr>
      <t xml:space="preserve"> Diagramar textos. 
</t>
    </r>
    <r>
      <rPr>
        <b/>
        <sz val="9"/>
        <color theme="1"/>
        <rFont val="Century Schoolbook"/>
        <family val="1"/>
      </rPr>
      <t>3.-</t>
    </r>
    <r>
      <rPr>
        <sz val="10"/>
        <color theme="1"/>
        <rFont val="Arial Narrow"/>
      </rPr>
      <t xml:space="preserve"> Diseñar artes para eventos académicos.
</t>
    </r>
    <r>
      <rPr>
        <b/>
        <sz val="9"/>
        <color theme="1"/>
        <rFont val="Century Schoolbook"/>
        <family val="1"/>
      </rPr>
      <t>4.-</t>
    </r>
    <r>
      <rPr>
        <sz val="10"/>
        <color theme="1"/>
        <rFont val="Arial Narrow"/>
      </rPr>
      <t xml:space="preserve"> Diseñar Flyer para capacitaciones y cursos de investigación.</t>
    </r>
  </si>
  <si>
    <r>
      <rPr>
        <b/>
        <sz val="9"/>
        <color theme="1"/>
        <rFont val="Century Schoolbook"/>
        <family val="1"/>
      </rPr>
      <t>1.-</t>
    </r>
    <r>
      <rPr>
        <sz val="10"/>
        <color theme="1"/>
        <rFont val="Arial Narrow"/>
      </rPr>
      <t xml:space="preserve"> Socializar los servicios editoriales a las facultades.
</t>
    </r>
    <r>
      <rPr>
        <b/>
        <sz val="9"/>
        <color theme="1"/>
        <rFont val="Century Schoolbook"/>
        <family val="1"/>
      </rPr>
      <t>2.-</t>
    </r>
    <r>
      <rPr>
        <sz val="10"/>
        <color theme="1"/>
        <rFont val="Arial Narrow"/>
      </rPr>
      <t xml:space="preserve"> Elaborar las cápsulas audiovisuales de consejos para autores, que fomenten la buena escritura y utilizaciones de las normas.</t>
    </r>
  </si>
  <si>
    <r>
      <rPr>
        <b/>
        <sz val="9"/>
        <color theme="1"/>
        <rFont val="Century Schoolbook"/>
        <family val="1"/>
      </rPr>
      <t>1.-</t>
    </r>
    <r>
      <rPr>
        <sz val="10"/>
        <color theme="1"/>
        <rFont val="Arial Narrow"/>
      </rPr>
      <t xml:space="preserve"> Coordinar la edición del boletín informativo del Vicerrectorado de Investigación, Vinculación y Posgrado.
</t>
    </r>
    <r>
      <rPr>
        <b/>
        <sz val="9"/>
        <color theme="1"/>
        <rFont val="Century Schoolbook"/>
        <family val="1"/>
      </rPr>
      <t>2.-</t>
    </r>
    <r>
      <rPr>
        <sz val="10"/>
        <color theme="1"/>
        <rFont val="Arial Narrow"/>
      </rPr>
      <t xml:space="preserve"> Coordinar la publicación de las revistas científicas de la UTMACH.</t>
    </r>
  </si>
  <si>
    <r>
      <rPr>
        <b/>
        <sz val="9"/>
        <color theme="1"/>
        <rFont val="Century Schoolbook"/>
        <family val="1"/>
      </rPr>
      <t>1.-</t>
    </r>
    <r>
      <rPr>
        <sz val="10"/>
        <color theme="1"/>
        <rFont val="Arial Narrow"/>
        <family val="2"/>
      </rPr>
      <t xml:space="preserve"> Coordinar la ejecución de videos de difusión de los productos editoriales.</t>
    </r>
  </si>
  <si>
    <r>
      <rPr>
        <b/>
        <sz val="9"/>
        <color theme="1"/>
        <rFont val="Century Schoolbook"/>
        <family val="1"/>
      </rPr>
      <t>1.-</t>
    </r>
    <r>
      <rPr>
        <sz val="10"/>
        <color theme="1"/>
        <rFont val="Arial Narrow"/>
        <family val="2"/>
      </rPr>
      <t xml:space="preserve"> Publicar y revisar  los productos académicos y/o científicos de la Editorial UTMACH.</t>
    </r>
  </si>
  <si>
    <r>
      <rPr>
        <b/>
        <sz val="9"/>
        <color theme="1"/>
        <rFont val="Century Schoolbook"/>
        <family val="1"/>
      </rPr>
      <t>1.-</t>
    </r>
    <r>
      <rPr>
        <sz val="10"/>
        <color theme="1"/>
        <rFont val="Arial Narrow"/>
      </rPr>
      <t xml:space="preserve"> Coordinar y gestionar la revisión de manuscritos presentados en la editorial UTMACH.</t>
    </r>
  </si>
  <si>
    <r>
      <rPr>
        <b/>
        <sz val="9"/>
        <color theme="1"/>
        <rFont val="Century Schoolbook"/>
        <family val="1"/>
      </rPr>
      <t>1.-</t>
    </r>
    <r>
      <rPr>
        <sz val="10"/>
        <color theme="1"/>
        <rFont val="Arial Narrow"/>
      </rPr>
      <t xml:space="preserve"> Revisar y actualizar las hojas de ruta del proceso editorial, para la gestión de las publicaciones.
</t>
    </r>
    <r>
      <rPr>
        <b/>
        <sz val="9"/>
        <color theme="1"/>
        <rFont val="Century Schoolbook"/>
        <family val="1"/>
      </rPr>
      <t>2.-</t>
    </r>
    <r>
      <rPr>
        <sz val="10"/>
        <color theme="1"/>
        <rFont val="Arial Narrow"/>
      </rPr>
      <t xml:space="preserve"> Cargar información sobre publicaciones de libros, a la Plataforma de Reconocimiento a la investigación Científica RIC, para la generación de constancias a autores.</t>
    </r>
  </si>
  <si>
    <r>
      <rPr>
        <b/>
        <sz val="9"/>
        <color theme="1"/>
        <rFont val="Century Schoolbook"/>
        <family val="1"/>
      </rPr>
      <t>1.-</t>
    </r>
    <r>
      <rPr>
        <sz val="10"/>
        <color theme="1"/>
        <rFont val="Arial Narrow"/>
      </rPr>
      <t xml:space="preserve"> Diseñar y gestionar la aprobación de convocatoria temática </t>
    </r>
    <r>
      <rPr>
        <sz val="10"/>
        <color theme="1"/>
        <rFont val="Century Schoolbook"/>
        <family val="1"/>
      </rPr>
      <t xml:space="preserve">2023. </t>
    </r>
    <r>
      <rPr>
        <sz val="10"/>
        <color theme="1"/>
        <rFont val="Arial Narrow"/>
      </rPr>
      <t xml:space="preserve">
</t>
    </r>
    <r>
      <rPr>
        <b/>
        <sz val="9"/>
        <color theme="1"/>
        <rFont val="Century Schoolbook"/>
        <family val="1"/>
      </rPr>
      <t>2.-</t>
    </r>
    <r>
      <rPr>
        <sz val="10"/>
        <color theme="1"/>
        <rFont val="Arial Narrow"/>
      </rPr>
      <t xml:space="preserve"> Gestionar las convocatorias para la publicación de artículos en las revistas de la Universidad.
</t>
    </r>
    <r>
      <rPr>
        <b/>
        <sz val="9"/>
        <color theme="1"/>
        <rFont val="Century Schoolbook"/>
        <family val="1"/>
      </rPr>
      <t>3.-</t>
    </r>
    <r>
      <rPr>
        <sz val="10"/>
        <color theme="1"/>
        <rFont val="Arial Narrow"/>
      </rPr>
      <t xml:space="preserve"> Gestionar la convocatoria de Cuentos dirigida a la comunidad UTMACH en general.</t>
    </r>
  </si>
  <si>
    <r>
      <rPr>
        <b/>
        <sz val="9"/>
        <color theme="1"/>
        <rFont val="Century Schoolbook"/>
        <family val="1"/>
      </rPr>
      <t>1.-</t>
    </r>
    <r>
      <rPr>
        <sz val="10"/>
        <color theme="1"/>
        <rFont val="Arial Narrow"/>
      </rPr>
      <t xml:space="preserve"> Planificar de las actividades anuales de la Editorial, correspondientes a eventos académicos.
</t>
    </r>
    <r>
      <rPr>
        <b/>
        <sz val="9"/>
        <color theme="1"/>
        <rFont val="Century Schoolbook"/>
        <family val="1"/>
      </rPr>
      <t>2.-</t>
    </r>
    <r>
      <rPr>
        <sz val="10"/>
        <color theme="1"/>
        <rFont val="Arial Narrow"/>
      </rPr>
      <t xml:space="preserve"> Desarrollar un cronograma de registro oficial de las nuevas revistas científicas gestionadas a través de la Editorial UTMACH.</t>
    </r>
  </si>
  <si>
    <r>
      <rPr>
        <b/>
        <sz val="9"/>
        <color theme="1"/>
        <rFont val="Century Schoolbook"/>
        <family val="1"/>
      </rPr>
      <t>1.-</t>
    </r>
    <r>
      <rPr>
        <sz val="10"/>
        <color theme="1"/>
        <rFont val="Arial Narrow"/>
      </rPr>
      <t xml:space="preserve"> Elaborar la documentación de la Dependencia.
</t>
    </r>
    <r>
      <rPr>
        <b/>
        <sz val="9"/>
        <color theme="1"/>
        <rFont val="Century Schoolbook"/>
        <family val="1"/>
      </rPr>
      <t>2.-</t>
    </r>
    <r>
      <rPr>
        <sz val="10"/>
        <color theme="1"/>
        <rFont val="Arial Narrow"/>
      </rPr>
      <t xml:space="preserve"> Mantener el archivo físico en forma cronológica.
</t>
    </r>
    <r>
      <rPr>
        <b/>
        <sz val="9"/>
        <color theme="1"/>
        <rFont val="Century Schoolbook"/>
        <family val="1"/>
      </rPr>
      <t>3.-</t>
    </r>
    <r>
      <rPr>
        <sz val="10"/>
        <color theme="1"/>
        <rFont val="Arial Narrow"/>
      </rPr>
      <t xml:space="preserve"> Incorporar información en las matrices del archivo de gestión.</t>
    </r>
  </si>
  <si>
    <r>
      <rPr>
        <b/>
        <sz val="9"/>
        <color theme="1"/>
        <rFont val="Century Schoolbook"/>
        <family val="1"/>
      </rPr>
      <t>1.-</t>
    </r>
    <r>
      <rPr>
        <sz val="10"/>
        <color theme="1"/>
        <rFont val="Arial Narrow"/>
        <family val="2"/>
      </rPr>
      <t xml:space="preserve"> Elaborar un presupuesto estimativo de los requerimientos anuales.
</t>
    </r>
    <r>
      <rPr>
        <b/>
        <sz val="9"/>
        <color theme="1"/>
        <rFont val="Century Schoolbook"/>
        <family val="1"/>
      </rPr>
      <t>2.-</t>
    </r>
    <r>
      <rPr>
        <sz val="10"/>
        <color theme="1"/>
        <rFont val="Arial Narrow"/>
        <family val="2"/>
      </rPr>
      <t xml:space="preserve"> Compilar los requerimientos por grupo de gasto.
</t>
    </r>
    <r>
      <rPr>
        <b/>
        <sz val="9"/>
        <color theme="1"/>
        <rFont val="Century Schoolbook"/>
        <family val="1"/>
      </rPr>
      <t>3.-</t>
    </r>
    <r>
      <rPr>
        <sz val="10"/>
        <color theme="1"/>
        <rFont val="Arial Narrow"/>
        <family val="2"/>
      </rPr>
      <t xml:space="preserve"> Elaborar la Planificación Operativa Anual </t>
    </r>
    <r>
      <rPr>
        <sz val="10"/>
        <color theme="1"/>
        <rFont val="Century Schoolbook"/>
        <family val="1"/>
      </rPr>
      <t>2024.</t>
    </r>
    <r>
      <rPr>
        <sz val="10"/>
        <color theme="1"/>
        <rFont val="Arial Narrow"/>
        <family val="2"/>
      </rPr>
      <t xml:space="preserve"> 
</t>
    </r>
    <r>
      <rPr>
        <b/>
        <sz val="9"/>
        <color theme="1"/>
        <rFont val="Century Schoolbook"/>
        <family val="1"/>
      </rPr>
      <t>4.-</t>
    </r>
    <r>
      <rPr>
        <sz val="10"/>
        <color theme="1"/>
        <rFont val="Arial Narrow"/>
        <family val="2"/>
      </rPr>
      <t xml:space="preserve"> Elaborar la Evaluación de la Planificación Operativa Anual </t>
    </r>
    <r>
      <rPr>
        <sz val="10"/>
        <color theme="1"/>
        <rFont val="Century Schoolbook"/>
        <family val="1"/>
      </rPr>
      <t>2023.</t>
    </r>
  </si>
  <si>
    <r>
      <rPr>
        <b/>
        <sz val="9"/>
        <color theme="1"/>
        <rFont val="Century Schoolbook"/>
        <family val="1"/>
      </rPr>
      <t>1.-</t>
    </r>
    <r>
      <rPr>
        <sz val="10"/>
        <color theme="1"/>
        <rFont val="Arial Narrow"/>
        <family val="2"/>
      </rPr>
      <t xml:space="preserve"> Supervisar y monitorear el seguimiento del Plan Anual de Becas.</t>
    </r>
  </si>
  <si>
    <r>
      <rPr>
        <b/>
        <sz val="9"/>
        <color theme="1"/>
        <rFont val="Century Schoolbook"/>
        <family val="1"/>
      </rPr>
      <t>1.-</t>
    </r>
    <r>
      <rPr>
        <sz val="10"/>
        <color theme="1"/>
        <rFont val="Arial Narrow"/>
      </rPr>
      <t xml:space="preserve"> Diseñar Programas de cuarto nivel.
</t>
    </r>
    <r>
      <rPr>
        <b/>
        <sz val="9"/>
        <color theme="1"/>
        <rFont val="Century Schoolbook"/>
        <family val="1"/>
      </rPr>
      <t>2.-</t>
    </r>
    <r>
      <rPr>
        <sz val="10"/>
        <color theme="1"/>
        <rFont val="Arial Narrow"/>
      </rPr>
      <t xml:space="preserve"> Gestionar el desarrollo de los Programas de cuarto nivel.
</t>
    </r>
    <r>
      <rPr>
        <b/>
        <sz val="9"/>
        <color theme="1"/>
        <rFont val="Century Schoolbook"/>
        <family val="1"/>
      </rPr>
      <t>3.-</t>
    </r>
    <r>
      <rPr>
        <sz val="10"/>
        <color theme="1"/>
        <rFont val="Arial Narrow"/>
      </rPr>
      <t xml:space="preserve"> Promover la actualización de los Programas de cuarto nivel.</t>
    </r>
  </si>
  <si>
    <r>
      <rPr>
        <b/>
        <sz val="9"/>
        <color theme="1"/>
        <rFont val="Century Schoolbook"/>
        <family val="1"/>
      </rPr>
      <t>1.-</t>
    </r>
    <r>
      <rPr>
        <sz val="10"/>
        <color theme="1"/>
        <rFont val="Arial Narrow"/>
      </rPr>
      <t xml:space="preserve"> Diseñar Programas para la formación de competencias.
</t>
    </r>
    <r>
      <rPr>
        <b/>
        <sz val="9"/>
        <color theme="1"/>
        <rFont val="Century Schoolbook"/>
        <family val="1"/>
      </rPr>
      <t>2.-</t>
    </r>
    <r>
      <rPr>
        <sz val="10"/>
        <color theme="1"/>
        <rFont val="Arial Narrow"/>
      </rPr>
      <t xml:space="preserve"> Gestionar el desarrollo de los Programas para la formación de competencias.
</t>
    </r>
    <r>
      <rPr>
        <b/>
        <sz val="9"/>
        <color theme="1"/>
        <rFont val="Century Schoolbook"/>
        <family val="1"/>
      </rPr>
      <t xml:space="preserve">3.- </t>
    </r>
    <r>
      <rPr>
        <sz val="10"/>
        <color theme="1"/>
        <rFont val="Arial Narrow"/>
      </rPr>
      <t xml:space="preserve">Coordinar la logística de los Programas para la formación de competencias.
</t>
    </r>
    <r>
      <rPr>
        <b/>
        <sz val="9"/>
        <color theme="1"/>
        <rFont val="Century Schoolbook"/>
        <family val="1"/>
      </rPr>
      <t>4.-</t>
    </r>
    <r>
      <rPr>
        <sz val="10"/>
        <color theme="1"/>
        <rFont val="Arial Narrow"/>
      </rPr>
      <t xml:space="preserve"> Difundir los Programas para la formación de competencias.
</t>
    </r>
    <r>
      <rPr>
        <b/>
        <sz val="9"/>
        <color theme="1"/>
        <rFont val="Century Schoolbook"/>
        <family val="1"/>
      </rPr>
      <t>5.-</t>
    </r>
    <r>
      <rPr>
        <sz val="10"/>
        <color theme="1"/>
        <rFont val="Arial Narrow"/>
      </rPr>
      <t xml:space="preserve"> Promover la actualización de los Programas para la formación de competencias.</t>
    </r>
  </si>
  <si>
    <r>
      <rPr>
        <b/>
        <sz val="9"/>
        <color theme="1"/>
        <rFont val="Century Schoolbook"/>
        <family val="1"/>
      </rPr>
      <t>1.-</t>
    </r>
    <r>
      <rPr>
        <sz val="10"/>
        <color theme="1"/>
        <rFont val="Arial Narrow"/>
        <family val="2"/>
      </rPr>
      <t xml:space="preserve"> Supervisar la ejecución de las publicaciones periódicas y temáticas.</t>
    </r>
  </si>
  <si>
    <r>
      <rPr>
        <b/>
        <sz val="9"/>
        <color theme="1"/>
        <rFont val="Century Schoolbook"/>
        <family val="1"/>
      </rPr>
      <t>1.-</t>
    </r>
    <r>
      <rPr>
        <sz val="10"/>
        <color theme="1"/>
        <rFont val="Arial Narrow"/>
        <family val="2"/>
      </rPr>
      <t xml:space="preserve"> Planificación y desarrollo de las actividades para el Reconocimiento a la Investigación Científica </t>
    </r>
    <r>
      <rPr>
        <sz val="10"/>
        <color theme="1"/>
        <rFont val="Century Schoolbook"/>
        <family val="1"/>
      </rPr>
      <t>2023</t>
    </r>
    <r>
      <rPr>
        <sz val="10"/>
        <color theme="1"/>
        <rFont val="Arial Narrow"/>
        <family val="2"/>
      </rPr>
      <t xml:space="preserve"> dirigido a docentes.</t>
    </r>
  </si>
  <si>
    <r>
      <rPr>
        <b/>
        <sz val="9"/>
        <color theme="1"/>
        <rFont val="Century Schoolbook"/>
        <family val="1"/>
      </rPr>
      <t>1.-</t>
    </r>
    <r>
      <rPr>
        <sz val="10"/>
        <color theme="1"/>
        <rFont val="Arial Narrow"/>
      </rPr>
      <t xml:space="preserve"> Gestionar la ejecución presupuestaria.
</t>
    </r>
    <r>
      <rPr>
        <b/>
        <sz val="9"/>
        <color theme="1"/>
        <rFont val="Century Schoolbook"/>
        <family val="1"/>
      </rPr>
      <t>2.-</t>
    </r>
    <r>
      <rPr>
        <sz val="10"/>
        <color theme="1"/>
        <rFont val="Arial Narrow"/>
      </rPr>
      <t xml:space="preserve"> Gestionar la ejecución presupuestaria de las jornadas, seminarios, congresos.</t>
    </r>
  </si>
  <si>
    <r>
      <rPr>
        <b/>
        <sz val="9"/>
        <color theme="1"/>
        <rFont val="Century Schoolbook"/>
        <family val="1"/>
      </rPr>
      <t>1.-</t>
    </r>
    <r>
      <rPr>
        <sz val="10"/>
        <color theme="1"/>
        <rFont val="Arial Narrow"/>
        <family val="2"/>
      </rPr>
      <t xml:space="preserve"> Presidir la Comisión Técnica Permanente.</t>
    </r>
  </si>
  <si>
    <r>
      <rPr>
        <b/>
        <sz val="9"/>
        <color theme="1"/>
        <rFont val="Century Schoolbook"/>
        <family val="1"/>
      </rPr>
      <t>1.-</t>
    </r>
    <r>
      <rPr>
        <sz val="10"/>
        <color theme="1"/>
        <rFont val="Arial Narrow"/>
        <family val="2"/>
      </rPr>
      <t xml:space="preserve"> Gestionar la aprobación de los programas y/o proyectos de investigación, cuya evaluación fue favorable por los pares académicos en la convocatoria vigente.
</t>
    </r>
    <r>
      <rPr>
        <b/>
        <sz val="9"/>
        <color theme="1"/>
        <rFont val="Century Schoolbook"/>
        <family val="1"/>
      </rPr>
      <t>2.-</t>
    </r>
    <r>
      <rPr>
        <sz val="10"/>
        <color theme="1"/>
        <rFont val="Arial Narrow"/>
        <family val="2"/>
      </rPr>
      <t xml:space="preserve"> Gestionar el cierre académico y administrativo de los programas y/o proyectos de investigación ante el H. Consejo Universitario que han cumplido con los requisitos establecidos para tal fin. </t>
    </r>
  </si>
  <si>
    <r>
      <rPr>
        <b/>
        <sz val="9"/>
        <color theme="1"/>
        <rFont val="Century Schoolbook"/>
        <family val="1"/>
      </rPr>
      <t>1.-</t>
    </r>
    <r>
      <rPr>
        <sz val="10"/>
        <color theme="1"/>
        <rFont val="Arial Narrow"/>
        <family val="2"/>
      </rPr>
      <t xml:space="preserve"> Verificar el cumplimiento de las actividades de investigación, vinculación y posgrado. </t>
    </r>
  </si>
  <si>
    <r>
      <rPr>
        <b/>
        <sz val="9"/>
        <color theme="1"/>
        <rFont val="Century Schoolbook"/>
        <family val="1"/>
      </rPr>
      <t>1.-</t>
    </r>
    <r>
      <rPr>
        <sz val="10"/>
        <color theme="1"/>
        <rFont val="Arial Narrow"/>
        <family val="2"/>
      </rPr>
      <t xml:space="preserve"> Planificar la implementación de patentes de los productos derivados de los procesos de Investigación, Desarrollo e Innovación.  </t>
    </r>
  </si>
  <si>
    <r>
      <rPr>
        <b/>
        <sz val="9"/>
        <color theme="1"/>
        <rFont val="Century Schoolbook"/>
        <family val="1"/>
      </rPr>
      <t>1.-</t>
    </r>
    <r>
      <rPr>
        <sz val="10"/>
        <color theme="1"/>
        <rFont val="Arial Narrow"/>
        <family val="2"/>
      </rPr>
      <t xml:space="preserve"> Planificar la agenda de desarrollo prospectivo de investigación, vinculación y Posgrado.</t>
    </r>
  </si>
  <si>
    <r>
      <rPr>
        <b/>
        <sz val="9"/>
        <color theme="1"/>
        <rFont val="Century Schoolbook"/>
        <family val="1"/>
      </rPr>
      <t>1.-</t>
    </r>
    <r>
      <rPr>
        <sz val="10"/>
        <color theme="1"/>
        <rFont val="Arial Narrow"/>
        <family val="2"/>
      </rPr>
      <t xml:space="preserve"> Planificar la actualización de los dominios científicos y líneas de investigación y vinculación social.</t>
    </r>
  </si>
  <si>
    <r>
      <rPr>
        <b/>
        <sz val="9"/>
        <color theme="1"/>
        <rFont val="Century Schoolbook"/>
        <family val="1"/>
      </rPr>
      <t>1.-</t>
    </r>
    <r>
      <rPr>
        <sz val="10"/>
        <color theme="1"/>
        <rFont val="Arial Narrow"/>
      </rPr>
      <t xml:space="preserve"> Proveer los recursos para los procesos de  investigación científica, vinculación y posgrado.
</t>
    </r>
    <r>
      <rPr>
        <b/>
        <sz val="9"/>
        <color theme="1"/>
        <rFont val="Century Schoolbook"/>
        <family val="1"/>
      </rPr>
      <t>2.-</t>
    </r>
    <r>
      <rPr>
        <sz val="10"/>
        <color theme="1"/>
        <rFont val="Arial Narrow"/>
      </rPr>
      <t xml:space="preserve"> Ejecutar proyectos de investigación.
</t>
    </r>
    <r>
      <rPr>
        <b/>
        <sz val="9"/>
        <color theme="1"/>
        <rFont val="Century Schoolbook"/>
        <family val="1"/>
      </rPr>
      <t>3.-</t>
    </r>
    <r>
      <rPr>
        <sz val="10"/>
        <color theme="1"/>
        <rFont val="Arial Narrow"/>
      </rPr>
      <t xml:space="preserve"> Evaluar proyectos de investigación.</t>
    </r>
  </si>
  <si>
    <r>
      <rPr>
        <b/>
        <sz val="9"/>
        <color theme="1"/>
        <rFont val="Century Schoolbook"/>
        <family val="1"/>
      </rPr>
      <t>1.-</t>
    </r>
    <r>
      <rPr>
        <sz val="10"/>
        <color theme="1"/>
        <rFont val="Arial Narrow"/>
        <family val="2"/>
      </rPr>
      <t xml:space="preserve"> Verificar el cumplimiento de las políticas y programas de Investigación, Vinculación y Posgrado.</t>
    </r>
  </si>
  <si>
    <t>N° de Convocatorias al Consejo de Investigación, Vinculación y Posgrado presididas.</t>
  </si>
  <si>
    <t>N° de objetivos ejecutados de la Planificación estratégica de Investigación, Vinculación, y Posgrado.</t>
  </si>
  <si>
    <t>N° de Propuestas de actualización de los Dominios Científicos y Líneas de Investigación diseñadas.</t>
  </si>
  <si>
    <t>N° de Instrumentos para la gestión de fondos internos y/ o externos diseñadas.</t>
  </si>
  <si>
    <t>N° de Instrumentos para la protección de los derechos intelectuales implementados.</t>
  </si>
  <si>
    <t>N° de Procesos de Investigación, Vinculación, y Posgrado gestionados.</t>
  </si>
  <si>
    <t>N° de proyectos de investigación, vinculación y posgrado gestionados.</t>
  </si>
  <si>
    <t>N° de Organismos, comités y comisiones, que señale la ley, los reglamentos, el Estatuto y la normativa interna delegadas por el rector.</t>
  </si>
  <si>
    <t>N° de proceso de reconocimiento del personal académico con relación a los resultados de investigación, desarrollo e innovación, dirigido.</t>
  </si>
  <si>
    <t>N° de actividades relacionadas con la Unidad Editorial, supervisadas.</t>
  </si>
  <si>
    <t>N° de programas de formación y actualización de competencias de investigación, vinculación y posgrado diseñados.</t>
  </si>
  <si>
    <t>N° de expedientes académicos organizados.</t>
  </si>
  <si>
    <t>N° de documentos para la planificación editorial de la UTMACH, desarrollada y actualizada.</t>
  </si>
  <si>
    <t>N° de convocatorias académicas y/o científica para la producción editorial, que incluya su línea gráfica.</t>
  </si>
  <si>
    <t>N° de Instrumentos y/ o herramientas para la gestión operativa de los procesos editoriales, diseñadas e implementadas.</t>
  </si>
  <si>
    <t>N° de productos editoriales académicos y/o científicos editados y revisados.</t>
  </si>
  <si>
    <r>
      <t>N° de productos editoriales académicos y/o científicos difundidos y revisados</t>
    </r>
    <r>
      <rPr>
        <sz val="10"/>
        <color rgb="FFFF0000"/>
        <rFont val="Arial Narrow"/>
      </rPr>
      <t>.</t>
    </r>
  </si>
  <si>
    <t>N° de propuestas audiovisuales para promover y difundir los productos editoriales de la UTMACH.</t>
  </si>
  <si>
    <t>N° de publicaciones periódicas, y otros productos editoriales vinculados a
eventos académicos.</t>
  </si>
  <si>
    <t>N° de acciones para promover e incentivar la producción científica de los
docentes universitarios en la Editorial, coordinadas.</t>
  </si>
  <si>
    <t>N° de documentos diseñados, diagramados, impresos y/ o digitalizados.</t>
  </si>
  <si>
    <t xml:space="preserve"> N° de bases de datos de la Unidad Editorial, administradas y gestionadas.</t>
  </si>
  <si>
    <t>N° de sistemas informáticos para la Unidad Editorial, desarrolladas y
actualizadas.</t>
  </si>
  <si>
    <t>N° de actividades y/ o eventos académicos planificados por el Vicerrectorado
de Investigación, Vinculación y Posgrado.</t>
  </si>
  <si>
    <t>N° de planificación operativa anual y evaluación de la planificación operativa anual entregadas oportunamente.</t>
  </si>
  <si>
    <t>Propuestas audiovisuales para promover y difundir los productos
editoriales de la UTMACH.</t>
  </si>
  <si>
    <r>
      <rPr>
        <b/>
        <sz val="9"/>
        <color theme="1"/>
        <rFont val="Century Schoolbook"/>
      </rPr>
      <t>4.-</t>
    </r>
    <r>
      <rPr>
        <b/>
        <sz val="10"/>
        <color theme="1"/>
        <rFont val="Arial Narrow"/>
      </rPr>
      <t xml:space="preserve"> </t>
    </r>
    <r>
      <rPr>
        <sz val="10"/>
        <color theme="1"/>
        <rFont val="Arial Narrow"/>
        <family val="2"/>
      </rPr>
      <t>Editar y revisar productos editoriales académicos y/o científicos.</t>
    </r>
  </si>
  <si>
    <r>
      <rPr>
        <b/>
        <sz val="9"/>
        <color theme="1"/>
        <rFont val="Century Schoolbook"/>
      </rPr>
      <t>5.-</t>
    </r>
    <r>
      <rPr>
        <b/>
        <sz val="10"/>
        <color theme="1"/>
        <rFont val="Arial Narrow"/>
      </rPr>
      <t xml:space="preserve"> </t>
    </r>
    <r>
      <rPr>
        <sz val="10"/>
        <color theme="1"/>
        <rFont val="Arial Narrow"/>
        <family val="2"/>
      </rPr>
      <t>Difundir y revisar productos editoriales académicos y/o científicos.</t>
    </r>
  </si>
  <si>
    <r>
      <rPr>
        <b/>
        <sz val="9"/>
        <color theme="1"/>
        <rFont val="Century Schoolbook"/>
      </rPr>
      <t>6.-</t>
    </r>
    <r>
      <rPr>
        <b/>
        <sz val="10"/>
        <color theme="1"/>
        <rFont val="Arial Narrow"/>
      </rPr>
      <t xml:space="preserve"> </t>
    </r>
    <r>
      <rPr>
        <sz val="10"/>
        <color theme="1"/>
        <rFont val="Arial Narrow"/>
        <family val="2"/>
      </rPr>
      <t>Promover y difundir propuestas audiovisuales de los productos editoriales de la UTMACH.</t>
    </r>
  </si>
  <si>
    <r>
      <rPr>
        <b/>
        <sz val="9"/>
        <color theme="1"/>
        <rFont val="Century Schoolbook"/>
      </rPr>
      <t>7.-</t>
    </r>
    <r>
      <rPr>
        <b/>
        <sz val="10"/>
        <color theme="1"/>
        <rFont val="Arial Narrow"/>
      </rPr>
      <t xml:space="preserve"> </t>
    </r>
    <r>
      <rPr>
        <sz val="10"/>
        <color theme="1"/>
        <rFont val="Arial Narrow"/>
        <family val="2"/>
      </rPr>
      <t>Gestionar las publicaciones periódicas y otros productos editoriales vinculados a eventos académicos.</t>
    </r>
  </si>
  <si>
    <r>
      <rPr>
        <b/>
        <sz val="9"/>
        <color theme="1"/>
        <rFont val="Century Schoolbook"/>
      </rPr>
      <t>8.-</t>
    </r>
    <r>
      <rPr>
        <b/>
        <sz val="10"/>
        <color theme="1"/>
        <rFont val="Arial Narrow"/>
      </rPr>
      <t xml:space="preserve"> </t>
    </r>
    <r>
      <rPr>
        <sz val="10"/>
        <color theme="1"/>
        <rFont val="Arial Narrow"/>
        <family val="2"/>
      </rPr>
      <t>Coordinar acciones para promover e incentivar la producción científica de los docentes universitarios en la Editorial.</t>
    </r>
  </si>
  <si>
    <r>
      <rPr>
        <b/>
        <sz val="9"/>
        <color theme="1"/>
        <rFont val="Century Schoolbook"/>
      </rPr>
      <t>10.-</t>
    </r>
    <r>
      <rPr>
        <b/>
        <sz val="10"/>
        <color theme="1"/>
        <rFont val="Arial Narrow"/>
      </rPr>
      <t xml:space="preserve"> </t>
    </r>
    <r>
      <rPr>
        <sz val="10"/>
        <color theme="1"/>
        <rFont val="Arial Narrow"/>
        <family val="2"/>
      </rPr>
      <t>Administrar y gestionar las bases de datos de la Unidad Editorial.</t>
    </r>
  </si>
  <si>
    <r>
      <rPr>
        <b/>
        <sz val="9"/>
        <color theme="1"/>
        <rFont val="Century Schoolbook"/>
        <family val="1"/>
      </rPr>
      <t>16.-</t>
    </r>
    <r>
      <rPr>
        <sz val="10"/>
        <color theme="1"/>
        <rFont val="Arial Narrow"/>
        <family val="2"/>
      </rPr>
      <t xml:space="preserve"> Organizar el archivo de gestión de conformidad con la normativa 
interna de gestión documental.</t>
    </r>
  </si>
  <si>
    <r>
      <rPr>
        <b/>
        <sz val="9"/>
        <color theme="1"/>
        <rFont val="Century Schoolbook"/>
        <family val="1"/>
      </rPr>
      <t>15.-</t>
    </r>
    <r>
      <rPr>
        <sz val="10"/>
        <color theme="1"/>
        <rFont val="Arial Narrow"/>
        <family val="2"/>
      </rPr>
      <t xml:space="preserve"> Presentar a la Dirección de Planificación el Plan Operativo Anual y su evaluación.</t>
    </r>
  </si>
  <si>
    <r>
      <rPr>
        <b/>
        <sz val="9"/>
        <color theme="1"/>
        <rFont val="Century Schoolbook"/>
        <family val="1"/>
      </rPr>
      <t>14.-</t>
    </r>
    <r>
      <rPr>
        <sz val="10"/>
        <color theme="1"/>
        <rFont val="Arial Narrow"/>
        <family val="2"/>
      </rPr>
      <t xml:space="preserve"> Coordinar la elaboración y seguimiento del Plan Anual de Becas doctorales y posdoctorales con la Dirección de Investigación, Desarrollo e Innovación.</t>
    </r>
  </si>
  <si>
    <r>
      <rPr>
        <b/>
        <sz val="9"/>
        <color theme="1"/>
        <rFont val="Century Schoolbook"/>
        <family val="1"/>
      </rPr>
      <t>13.-</t>
    </r>
    <r>
      <rPr>
        <sz val="10"/>
        <color theme="1"/>
        <rFont val="Arial Narrow"/>
        <family val="2"/>
      </rPr>
      <t xml:space="preserve"> Fomentar la creación de programas de cuarto nivel.</t>
    </r>
  </si>
  <si>
    <r>
      <rPr>
        <b/>
        <sz val="9"/>
        <color theme="1"/>
        <rFont val="Century Schoolbook"/>
        <family val="1"/>
      </rPr>
      <t>12.-</t>
    </r>
    <r>
      <rPr>
        <sz val="10"/>
        <color theme="1"/>
        <rFont val="Arial Narrow"/>
        <family val="2"/>
      </rPr>
      <t xml:space="preserve"> Avalar y certificar las actividades de Investigación, Vinculación y Posgrado propuestas por las direcciones a su cargo.</t>
    </r>
  </si>
  <si>
    <r>
      <rPr>
        <b/>
        <sz val="9"/>
        <color theme="1"/>
        <rFont val="Century Schoolbook"/>
        <family val="1"/>
      </rPr>
      <t>11.-</t>
    </r>
    <r>
      <rPr>
        <sz val="10"/>
        <color theme="1"/>
        <rFont val="Arial Narrow"/>
        <family val="2"/>
      </rPr>
      <t xml:space="preserve"> Supervisar la ejecución de las actividades relacionadas con la Unidad Editorial.</t>
    </r>
  </si>
  <si>
    <r>
      <rPr>
        <b/>
        <sz val="9"/>
        <color theme="1"/>
        <rFont val="Century Schoolbook"/>
        <family val="1"/>
      </rPr>
      <t>10.-</t>
    </r>
    <r>
      <rPr>
        <sz val="10"/>
        <color theme="1"/>
        <rFont val="Arial Narrow"/>
        <family val="2"/>
      </rPr>
      <t xml:space="preserve"> Dirigir el proceso de reconocimiento del personal académico con relación a los resultados de investigación, desarrollo e innovación.</t>
    </r>
  </si>
  <si>
    <r>
      <rPr>
        <b/>
        <sz val="9"/>
        <color theme="1"/>
        <rFont val="Century Schoolbook"/>
        <family val="1"/>
      </rPr>
      <t>9.-</t>
    </r>
    <r>
      <rPr>
        <sz val="10"/>
        <color theme="1"/>
        <rFont val="Arial Narrow"/>
        <family val="2"/>
      </rPr>
      <t xml:space="preserve"> Ejecutar el presupuesto asignado a los programas y proyectos bajo su 
dependencia.</t>
    </r>
  </si>
  <si>
    <r>
      <rPr>
        <b/>
        <sz val="9"/>
        <color theme="1"/>
        <rFont val="Century Schoolbook"/>
        <family val="1"/>
      </rPr>
      <t>8.-</t>
    </r>
    <r>
      <rPr>
        <sz val="10"/>
        <color theme="1"/>
        <rFont val="Arial Narrow"/>
        <family val="2"/>
      </rPr>
      <t xml:space="preserve"> Cumplir con las disposiciones establecidas por el Consejo Universitario, las actividades señaladas por el Rector, otras que se señalen en la Ley Orgánica de Educación Superior, su Reglamento, Resoluciones emanadas por los Organismos que rigen el sistema de educación superior, el Estatuto y los Reglamentos Internos de la Universidad.</t>
    </r>
  </si>
  <si>
    <r>
      <rPr>
        <b/>
        <sz val="9"/>
        <color theme="1"/>
        <rFont val="Century Schoolbook"/>
        <family val="1"/>
      </rPr>
      <t>7.-</t>
    </r>
    <r>
      <rPr>
        <sz val="10"/>
        <color theme="1"/>
        <rFont val="Arial Narrow"/>
        <family val="2"/>
      </rPr>
      <t xml:space="preserve"> Fomentar la pertinencia de las actividades y productos de investigación, vinculación y posgrado.</t>
    </r>
  </si>
  <si>
    <r>
      <rPr>
        <b/>
        <sz val="9"/>
        <color theme="1"/>
        <rFont val="Century Schoolbook"/>
        <family val="1"/>
      </rPr>
      <t>6.-</t>
    </r>
    <r>
      <rPr>
        <sz val="10"/>
        <color theme="1"/>
        <rFont val="Arial Narrow"/>
        <family val="2"/>
      </rPr>
      <t xml:space="preserve"> Coordinar los procesos de mejoramiento continuo de las actividades de  investigación, vinculación y posgrado, mediante el seguimiento de los  criterios e indicadores de calidad correspondiente.</t>
    </r>
  </si>
  <si>
    <r>
      <rPr>
        <b/>
        <sz val="9"/>
        <color theme="1"/>
        <rFont val="Century Schoolbook"/>
        <family val="1"/>
      </rPr>
      <t>5.-</t>
    </r>
    <r>
      <rPr>
        <sz val="10"/>
        <color theme="1"/>
        <rFont val="Arial Narrow"/>
        <family val="2"/>
      </rPr>
      <t xml:space="preserve"> Proponer e implementar los instrumentos para la protección de los  derechos intelectuales de los productos derivados de los procesos de  Investigación, Desarrollo e innovación (I+D+i).</t>
    </r>
  </si>
  <si>
    <r>
      <rPr>
        <b/>
        <sz val="9"/>
        <color theme="1"/>
        <rFont val="Century Schoolbook"/>
        <family val="1"/>
      </rPr>
      <t>4.-</t>
    </r>
    <r>
      <rPr>
        <sz val="10"/>
        <color theme="1"/>
        <rFont val="Arial Narrow"/>
        <family val="2"/>
      </rPr>
      <t xml:space="preserve"> Coordinar la ejecución de la agenda de desarrollo prospectivo de investigación, vinculación, y posgrado.</t>
    </r>
  </si>
  <si>
    <r>
      <rPr>
        <b/>
        <sz val="9"/>
        <color theme="1"/>
        <rFont val="Century Schoolbook"/>
        <family val="1"/>
      </rPr>
      <t>3.-</t>
    </r>
    <r>
      <rPr>
        <sz val="10"/>
        <color theme="1"/>
        <rFont val="Arial Narrow"/>
        <family val="2"/>
      </rPr>
      <t xml:space="preserve"> Liderar las políticas y procesos de actualización permanente de los 
dominios y líneas de investigación y vinculación social, así como los 
programas de formación de posgrado.</t>
    </r>
  </si>
  <si>
    <r>
      <rPr>
        <b/>
        <sz val="9"/>
        <color theme="1"/>
        <rFont val="Century Schoolbook"/>
        <family val="1"/>
      </rPr>
      <t>2.-</t>
    </r>
    <r>
      <rPr>
        <sz val="10"/>
        <color theme="1"/>
        <rFont val="Arial Narrow"/>
        <family val="2"/>
      </rPr>
      <t xml:space="preserve"> Impulsar el desarrollo y posterior aprobación institucional de las políticas e investigación, vinculación y posgrado.</t>
    </r>
  </si>
  <si>
    <r>
      <rPr>
        <b/>
        <sz val="9"/>
        <color theme="1"/>
        <rFont val="Century Schoolbook"/>
        <family val="1"/>
      </rPr>
      <t>1.-</t>
    </r>
    <r>
      <rPr>
        <sz val="10"/>
        <color theme="1"/>
        <rFont val="Arial Narrow"/>
        <family val="2"/>
      </rPr>
      <t xml:space="preserve"> Convocar y presidir, el Consejo de Investigación, Vinculación y Posgrado.</t>
    </r>
  </si>
  <si>
    <t>* Luis Brito Gaona,
  Vicerrector de Investigación, Vinculación y Posgrado 
* César Quezada Abad,
  Director de Investigación
* Ana Moscoso Parra,
  Directora de Vinculación
* Mayiya González,
  Directora de Posgrado
* Cristina Álvarez Marín,
  Analista Administrativo</t>
  </si>
  <si>
    <t>* Luis Brito Gaona,
  Vicerrector de Investigación, Vinculación y Posgrado
* Cristina Álvarez Marín,
  Analista Administrativo</t>
  </si>
  <si>
    <t xml:space="preserve">Computador portátil para la ejecución de carteras de proyectos de investigación vigentes </t>
  </si>
  <si>
    <t>* Luis Brito Gaona,
  Vicerrector de Investigación, Vinculación y Posgrado
* Cristina Álvarez Marín,
  Analista Administrativo
* Karina Lozano Zambrano,
  Jefe Editor</t>
  </si>
  <si>
    <t xml:space="preserve">* Luis Brito Gaona,
  Vicerrector de Investigación, Vinculación y Posgrado
* Cristina Álvarez Marín,
  Analista Administrativo
* Karina Lozano Zambrano,
  Jefe Editor
</t>
  </si>
  <si>
    <r>
      <t xml:space="preserve">Suscripción a bases de datos académicas y otras para el uso institucional, entre otras:
- WEB OF SCIENCE (WOS);
- SCOPUS;
- PLATAFORMA EBOOKS </t>
    </r>
    <r>
      <rPr>
        <sz val="10"/>
        <color rgb="FF000000"/>
        <rFont val="Century Schoolbook"/>
        <family val="1"/>
      </rPr>
      <t>7-24</t>
    </r>
    <r>
      <rPr>
        <sz val="10"/>
        <color rgb="FF000000"/>
        <rFont val="Arial Narrow"/>
      </rPr>
      <t xml:space="preserve"> con libros electrónicos de Cengage, Ecoe y McGraw Hill.;
- TURNITIN;
- EBSCO;
- ELIBRO;
- VETERINARY SORCE;
- PEARSON;
- Biblioteca DocumentaVet (FCA);
- ACM Digital Library (FIC);
- Biblioteca virtual McGraw-Hill (Plataforma </t>
    </r>
    <r>
      <rPr>
        <sz val="10"/>
        <color rgb="FF000000"/>
        <rFont val="Century Schoolbook"/>
        <family val="1"/>
      </rPr>
      <t>7/24</t>
    </r>
    <r>
      <rPr>
        <sz val="10"/>
        <color rgb="FF000000"/>
        <rFont val="Arial Narrow"/>
      </rPr>
      <t>) (FCQS);
- Base de datos jurídica (FCS).</t>
    </r>
  </si>
  <si>
    <r>
      <t xml:space="preserve">Equipos Informáticos correspondientes al Financiamiento de lo siguiente: 
Carteras de proyectos de investigación vigentes </t>
    </r>
    <r>
      <rPr>
        <sz val="10"/>
        <color rgb="FF000000"/>
        <rFont val="Century Schoolbook"/>
        <family val="1"/>
      </rPr>
      <t>2021</t>
    </r>
    <r>
      <rPr>
        <sz val="10"/>
        <color rgb="FF000000"/>
        <rFont val="Arial Narrow"/>
      </rPr>
      <t xml:space="preserve"> y </t>
    </r>
    <r>
      <rPr>
        <sz val="10"/>
        <color rgb="FF000000"/>
        <rFont val="Century Schoolbook"/>
        <family val="1"/>
      </rPr>
      <t>2022</t>
    </r>
    <r>
      <rPr>
        <sz val="10"/>
        <color rgb="FF000000"/>
        <rFont val="Arial Narrow"/>
      </rPr>
      <t xml:space="preserve">
Convocatoria para semilleros de investigación </t>
    </r>
    <r>
      <rPr>
        <sz val="10"/>
        <color rgb="FF000000"/>
        <rFont val="Century Schoolbook"/>
        <family val="1"/>
      </rPr>
      <t>2023</t>
    </r>
    <r>
      <rPr>
        <sz val="10"/>
        <color rgb="FF000000"/>
        <rFont val="Arial Narrow"/>
      </rPr>
      <t xml:space="preserve">
Convocatoria para proyectos de investigación </t>
    </r>
    <r>
      <rPr>
        <sz val="10"/>
        <color rgb="FF000000"/>
        <rFont val="Century Schoolbook"/>
        <family val="1"/>
      </rPr>
      <t>2023</t>
    </r>
  </si>
  <si>
    <r>
      <t xml:space="preserve">Maquinarias y Equipos para laboratorio correspondientes al Financiamiento de lo siguiente: 
Carteras de proyectos de investigación vigentes </t>
    </r>
    <r>
      <rPr>
        <sz val="10"/>
        <color rgb="FF000000"/>
        <rFont val="Century Schoolbook"/>
        <family val="1"/>
      </rPr>
      <t>2021</t>
    </r>
    <r>
      <rPr>
        <sz val="10"/>
        <color rgb="FF000000"/>
        <rFont val="Arial Narrow"/>
      </rPr>
      <t xml:space="preserve"> y </t>
    </r>
    <r>
      <rPr>
        <sz val="10"/>
        <color rgb="FF000000"/>
        <rFont val="Century Schoolbook"/>
        <family val="1"/>
      </rPr>
      <t>2022</t>
    </r>
    <r>
      <rPr>
        <sz val="10"/>
        <color rgb="FF000000"/>
        <rFont val="Arial Narrow"/>
      </rPr>
      <t xml:space="preserve">
Convocatoria para semilleros de investigación </t>
    </r>
    <r>
      <rPr>
        <sz val="10"/>
        <color rgb="FF000000"/>
        <rFont val="Century Schoolbook"/>
        <family val="1"/>
      </rPr>
      <t>2023</t>
    </r>
    <r>
      <rPr>
        <sz val="10"/>
        <color rgb="FF000000"/>
        <rFont val="Arial Narrow"/>
      </rPr>
      <t xml:space="preserve">
Convocatoria para proyectos de investigación </t>
    </r>
    <r>
      <rPr>
        <sz val="10"/>
        <color rgb="FF000000"/>
        <rFont val="Century Schoolbook"/>
        <family val="1"/>
      </rPr>
      <t>2023</t>
    </r>
  </si>
  <si>
    <r>
      <t xml:space="preserve">Herramientas y equipos menores correspondientes al Financiamiento de lo siguiente: 
Carteras de proyectos de investigación vigentes </t>
    </r>
    <r>
      <rPr>
        <sz val="10"/>
        <color rgb="FF000000"/>
        <rFont val="Century Schoolbook"/>
        <family val="1"/>
      </rPr>
      <t>2021</t>
    </r>
    <r>
      <rPr>
        <sz val="10"/>
        <color rgb="FF000000"/>
        <rFont val="Arial Narrow"/>
      </rPr>
      <t xml:space="preserve"> y </t>
    </r>
    <r>
      <rPr>
        <sz val="10"/>
        <color rgb="FF000000"/>
        <rFont val="Century Schoolbook"/>
        <family val="1"/>
      </rPr>
      <t>2022</t>
    </r>
    <r>
      <rPr>
        <sz val="10"/>
        <color rgb="FF000000"/>
        <rFont val="Arial Narrow"/>
      </rPr>
      <t xml:space="preserve">
Convocatoria para semilleros de investigación </t>
    </r>
    <r>
      <rPr>
        <sz val="10"/>
        <color rgb="FF000000"/>
        <rFont val="Century Schoolbook"/>
        <family val="1"/>
      </rPr>
      <t>2023</t>
    </r>
    <r>
      <rPr>
        <sz val="10"/>
        <color rgb="FF000000"/>
        <rFont val="Arial Narrow"/>
      </rPr>
      <t xml:space="preserve">
Convocatoria para proyectos de investigación </t>
    </r>
    <r>
      <rPr>
        <sz val="10"/>
        <color rgb="FF000000"/>
        <rFont val="Century Schoolbook"/>
        <family val="1"/>
      </rPr>
      <t>2023</t>
    </r>
  </si>
  <si>
    <r>
      <t xml:space="preserve">Equipos de laboratorio correspondientes al Financiamiento de lo siguiente: 
Carteras de proyectos de investigación vigentes </t>
    </r>
    <r>
      <rPr>
        <sz val="10"/>
        <color rgb="FF000000"/>
        <rFont val="Century Schoolbook"/>
        <family val="1"/>
      </rPr>
      <t>2021</t>
    </r>
    <r>
      <rPr>
        <sz val="10"/>
        <color rgb="FF000000"/>
        <rFont val="Arial Narrow"/>
      </rPr>
      <t xml:space="preserve"> y </t>
    </r>
    <r>
      <rPr>
        <sz val="10"/>
        <color rgb="FF000000"/>
        <rFont val="Century Schoolbook"/>
        <family val="1"/>
      </rPr>
      <t>2022</t>
    </r>
    <r>
      <rPr>
        <sz val="10"/>
        <color rgb="FF000000"/>
        <rFont val="Arial Narrow"/>
      </rPr>
      <t xml:space="preserve">
Convocatoria para semilleros de investigación </t>
    </r>
    <r>
      <rPr>
        <sz val="10"/>
        <color rgb="FF000000"/>
        <rFont val="Century Schoolbook"/>
        <family val="1"/>
      </rPr>
      <t>2023</t>
    </r>
    <r>
      <rPr>
        <sz val="10"/>
        <color rgb="FF000000"/>
        <rFont val="Arial Narrow"/>
      </rPr>
      <t xml:space="preserve">
Convocatoria para proyectos de investigación </t>
    </r>
    <r>
      <rPr>
        <sz val="10"/>
        <color rgb="FF000000"/>
        <rFont val="Century Schoolbook"/>
        <family val="1"/>
      </rPr>
      <t>2023</t>
    </r>
  </si>
  <si>
    <r>
      <t xml:space="preserve">Reactivos controlados, no controlados e insumos para investigación correspondientes al Financiamiento de lo siguiente: 
Carteras de proyectos de investigación vigentes </t>
    </r>
    <r>
      <rPr>
        <sz val="10"/>
        <color rgb="FF000000"/>
        <rFont val="Century Schoolbook"/>
        <family val="1"/>
      </rPr>
      <t>2021</t>
    </r>
    <r>
      <rPr>
        <sz val="10"/>
        <color rgb="FF000000"/>
        <rFont val="Arial Narrow"/>
      </rPr>
      <t xml:space="preserve"> y </t>
    </r>
    <r>
      <rPr>
        <sz val="10"/>
        <color rgb="FF000000"/>
        <rFont val="Century Schoolbook"/>
        <family val="1"/>
      </rPr>
      <t>2022</t>
    </r>
    <r>
      <rPr>
        <sz val="10"/>
        <color rgb="FF000000"/>
        <rFont val="Arial Narrow"/>
      </rPr>
      <t xml:space="preserve">
Convocatoria para semilleros de investigación </t>
    </r>
    <r>
      <rPr>
        <sz val="10"/>
        <color rgb="FF000000"/>
        <rFont val="Century Schoolbook"/>
        <family val="1"/>
      </rPr>
      <t>2023</t>
    </r>
    <r>
      <rPr>
        <sz val="10"/>
        <color rgb="FF000000"/>
        <rFont val="Arial Narrow"/>
      </rPr>
      <t xml:space="preserve">
Convocatoria para proyectos de investigación </t>
    </r>
    <r>
      <rPr>
        <sz val="10"/>
        <color rgb="FF000000"/>
        <rFont val="Century Schoolbook"/>
        <family val="1"/>
      </rPr>
      <t>2023</t>
    </r>
  </si>
  <si>
    <r>
      <t xml:space="preserve">Materiales y suministros descartables correspondientes al Financiamiento de lo siguiente: 
Carteras de proyectos de investigación vigentes </t>
    </r>
    <r>
      <rPr>
        <sz val="10"/>
        <color rgb="FF000000"/>
        <rFont val="Century Schoolbook"/>
        <family val="1"/>
      </rPr>
      <t>2021</t>
    </r>
    <r>
      <rPr>
        <sz val="10"/>
        <color rgb="FF000000"/>
        <rFont val="Arial Narrow"/>
      </rPr>
      <t xml:space="preserve"> y </t>
    </r>
    <r>
      <rPr>
        <sz val="10"/>
        <color rgb="FF000000"/>
        <rFont val="Century Schoolbook"/>
        <family val="1"/>
      </rPr>
      <t>2022</t>
    </r>
    <r>
      <rPr>
        <sz val="10"/>
        <color rgb="FF000000"/>
        <rFont val="Arial Narrow"/>
      </rPr>
      <t xml:space="preserve">
Convocatoria para semilleros de investigación </t>
    </r>
    <r>
      <rPr>
        <sz val="10"/>
        <color rgb="FF000000"/>
        <rFont val="Century Schoolbook"/>
        <family val="1"/>
      </rPr>
      <t>2023</t>
    </r>
    <r>
      <rPr>
        <sz val="10"/>
        <color rgb="FF000000"/>
        <rFont val="Arial Narrow"/>
      </rPr>
      <t xml:space="preserve">
Convocatoria para proyectos de investigación </t>
    </r>
    <r>
      <rPr>
        <sz val="10"/>
        <color rgb="FF000000"/>
        <rFont val="Century Schoolbook"/>
        <family val="1"/>
      </rPr>
      <t>2023</t>
    </r>
  </si>
  <si>
    <r>
      <t xml:space="preserve">Viáticos y Subsistencias en el Interior para el Financiamiento de las Carteras de proyectos de investigación vigentes </t>
    </r>
    <r>
      <rPr>
        <sz val="10"/>
        <color rgb="FF000000"/>
        <rFont val="Century Schoolbook"/>
        <family val="1"/>
      </rPr>
      <t>2021</t>
    </r>
    <r>
      <rPr>
        <sz val="10"/>
        <color rgb="FF000000"/>
        <rFont val="Arial Narrow"/>
      </rPr>
      <t xml:space="preserve"> y </t>
    </r>
    <r>
      <rPr>
        <sz val="10"/>
        <color rgb="FF000000"/>
        <rFont val="Century Schoolbook"/>
        <family val="1"/>
      </rPr>
      <t>2022</t>
    </r>
  </si>
  <si>
    <t>* César Quezada Abad,
  Director de Investigación, Desarrollo e Innovación
* Karla Ibáñez Bustos,
  Analista de Formación y Movilidad
* Cyndi Aguilar Nagua,
  Analista de Gestión Financiera y Logística
* Ana Paula Apolo,
  Analista Administrativo</t>
  </si>
  <si>
    <t>* César Quezada Abad,
  Director de Investigación, Desarrollo e Innovación
* Belkis Pérez García,
  Jefe de Biblioteca</t>
  </si>
  <si>
    <r>
      <rPr>
        <b/>
        <sz val="9"/>
        <color theme="1"/>
        <rFont val="Century Schoolbook"/>
        <family val="1"/>
      </rPr>
      <t>1.-</t>
    </r>
    <r>
      <rPr>
        <sz val="10"/>
        <color theme="1"/>
        <rFont val="Arial Narrow"/>
      </rPr>
      <t xml:space="preserve"> POA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Evaluación del POA </t>
    </r>
    <r>
      <rPr>
        <sz val="10"/>
        <color theme="1"/>
        <rFont val="Century Schoolbook"/>
        <family val="1"/>
      </rPr>
      <t>2023.</t>
    </r>
  </si>
  <si>
    <r>
      <rPr>
        <b/>
        <sz val="9"/>
        <color theme="1"/>
        <rFont val="Century Schoolbook"/>
        <family val="1"/>
      </rPr>
      <t>1.-</t>
    </r>
    <r>
      <rPr>
        <sz val="10"/>
        <color theme="1"/>
        <rFont val="Arial Narrow"/>
      </rPr>
      <t xml:space="preserve"> Reporte actualización del Sistema integral de Gestión de Biblioteca administrado.</t>
    </r>
  </si>
  <si>
    <r>
      <rPr>
        <b/>
        <sz val="9"/>
        <color theme="1"/>
        <rFont val="Century Schoolbook"/>
        <family val="1"/>
      </rPr>
      <t>1.-</t>
    </r>
    <r>
      <rPr>
        <sz val="10"/>
        <color theme="1"/>
        <rFont val="Arial Narrow"/>
      </rPr>
      <t xml:space="preserve"> Informe de bibliografías seleccionadas y adquiridas.</t>
    </r>
  </si>
  <si>
    <r>
      <rPr>
        <b/>
        <sz val="9"/>
        <color theme="1"/>
        <rFont val="Century Schoolbook"/>
        <family val="1"/>
      </rPr>
      <t>1.-</t>
    </r>
    <r>
      <rPr>
        <sz val="10"/>
        <color theme="1"/>
        <rFont val="Arial Narrow"/>
      </rPr>
      <t xml:space="preserve"> Reporte de ejecución del Plan.</t>
    </r>
  </si>
  <si>
    <r>
      <rPr>
        <b/>
        <sz val="9"/>
        <color theme="1"/>
        <rFont val="Century Schoolbook"/>
        <family val="1"/>
      </rPr>
      <t>1.-</t>
    </r>
    <r>
      <rPr>
        <sz val="10"/>
        <color theme="1"/>
        <rFont val="Arial Narrow"/>
      </rPr>
      <t xml:space="preserve"> Reporte de usuarios formados en el uso de la información.</t>
    </r>
  </si>
  <si>
    <r>
      <rPr>
        <b/>
        <sz val="9"/>
        <color theme="1"/>
        <rFont val="Century Schoolbook"/>
        <family val="1"/>
      </rPr>
      <t>1.-</t>
    </r>
    <r>
      <rPr>
        <sz val="10"/>
        <color theme="1"/>
        <rFont val="Arial Narrow"/>
      </rPr>
      <t xml:space="preserve"> Reporte de documentos bibliográficos prestados.</t>
    </r>
  </si>
  <si>
    <r>
      <rPr>
        <b/>
        <sz val="9"/>
        <color theme="1"/>
        <rFont val="Century Schoolbook"/>
        <family val="1"/>
      </rPr>
      <t>1.-</t>
    </r>
    <r>
      <rPr>
        <sz val="10"/>
        <color theme="1"/>
        <rFont val="Arial Narrow"/>
      </rPr>
      <t xml:space="preserve"> Reporte de colecciones bibliográficos clasificadas, catalogadas, indizadas y habilitadas.</t>
    </r>
  </si>
  <si>
    <r>
      <rPr>
        <b/>
        <sz val="9"/>
        <color theme="1"/>
        <rFont val="Century Schoolbook"/>
        <family val="1"/>
      </rPr>
      <t>1.-</t>
    </r>
    <r>
      <rPr>
        <sz val="10"/>
        <color theme="1"/>
        <rFont val="Arial Narrow"/>
      </rPr>
      <t xml:space="preserve"> Reporte del catálogo en línea actualizado.</t>
    </r>
  </si>
  <si>
    <r>
      <rPr>
        <b/>
        <sz val="9"/>
        <color theme="1"/>
        <rFont val="Century Schoolbook"/>
        <family val="1"/>
      </rPr>
      <t>1.-</t>
    </r>
    <r>
      <rPr>
        <sz val="10"/>
        <color theme="1"/>
        <rFont val="Arial Narrow"/>
      </rPr>
      <t xml:space="preserve"> Reportes de ingreso de información y actualización del Repositorio Digital.</t>
    </r>
  </si>
  <si>
    <r>
      <rPr>
        <b/>
        <sz val="9"/>
        <color theme="1"/>
        <rFont val="Century Schoolbook"/>
        <family val="1"/>
      </rPr>
      <t>1.-</t>
    </r>
    <r>
      <rPr>
        <sz val="10"/>
        <color theme="1"/>
        <rFont val="Arial Narrow"/>
      </rPr>
      <t xml:space="preserve"> Reportes de actualizaciones del Portal Web.
</t>
    </r>
    <r>
      <rPr>
        <b/>
        <sz val="9"/>
        <color theme="1"/>
        <rFont val="Century Schoolbook"/>
        <family val="1"/>
      </rPr>
      <t>2.-</t>
    </r>
    <r>
      <rPr>
        <sz val="10"/>
        <color theme="1"/>
        <rFont val="Arial Narrow"/>
      </rPr>
      <t xml:space="preserve"> Reporte de publicaciones en el Portal Web.</t>
    </r>
  </si>
  <si>
    <r>
      <rPr>
        <b/>
        <sz val="9"/>
        <color theme="1"/>
        <rFont val="Century Schoolbook"/>
        <family val="1"/>
      </rPr>
      <t>1.-</t>
    </r>
    <r>
      <rPr>
        <sz val="10"/>
        <color theme="1"/>
        <rFont val="Arial Narrow"/>
      </rPr>
      <t xml:space="preserve"> Boletines informativos.</t>
    </r>
  </si>
  <si>
    <r>
      <rPr>
        <b/>
        <sz val="9"/>
        <color theme="1"/>
        <rFont val="Century Schoolbook"/>
        <family val="1"/>
      </rPr>
      <t>1.-</t>
    </r>
    <r>
      <rPr>
        <sz val="10"/>
        <color theme="1"/>
        <rFont val="Arial Narrow"/>
      </rPr>
      <t xml:space="preserve"> Reportes consolidados del estado del sistema de biblioteca.</t>
    </r>
  </si>
  <si>
    <r>
      <rPr>
        <b/>
        <sz val="9"/>
        <color theme="1"/>
        <rFont val="Century Schoolbook"/>
        <family val="1"/>
      </rPr>
      <t>1.-</t>
    </r>
    <r>
      <rPr>
        <sz val="10"/>
        <color theme="1"/>
        <rFont val="Arial Narrow"/>
      </rPr>
      <t xml:space="preserve"> Evaluación del primer semestre del POA </t>
    </r>
    <r>
      <rPr>
        <sz val="10"/>
        <color theme="1"/>
        <rFont val="Century Schoolbook"/>
        <family val="1"/>
      </rPr>
      <t>2023.</t>
    </r>
    <r>
      <rPr>
        <sz val="10"/>
        <color theme="1"/>
        <rFont val="Arial Narrow"/>
      </rPr>
      <t xml:space="preserve">
</t>
    </r>
    <r>
      <rPr>
        <b/>
        <sz val="9"/>
        <color theme="1"/>
        <rFont val="Century Schoolbook"/>
        <family val="1"/>
      </rPr>
      <t>2.-</t>
    </r>
    <r>
      <rPr>
        <sz val="10"/>
        <color theme="1"/>
        <rFont val="Arial Narrow"/>
      </rPr>
      <t xml:space="preserve"> Evaluación del segundo semestre del POA </t>
    </r>
    <r>
      <rPr>
        <sz val="10"/>
        <color theme="1"/>
        <rFont val="Century Schoolbook"/>
        <family val="1"/>
      </rPr>
      <t>2023.</t>
    </r>
  </si>
  <si>
    <r>
      <rPr>
        <b/>
        <sz val="9"/>
        <color theme="1"/>
        <rFont val="Century Schoolbook"/>
        <family val="1"/>
      </rPr>
      <t>1.-</t>
    </r>
    <r>
      <rPr>
        <sz val="10"/>
        <color theme="1"/>
        <rFont val="Arial Narrow"/>
        <family val="2"/>
      </rPr>
      <t xml:space="preserve"> Plan Operativo Anual </t>
    </r>
    <r>
      <rPr>
        <sz val="10"/>
        <color theme="1"/>
        <rFont val="Century Schoolbook"/>
        <family val="1"/>
      </rPr>
      <t>2023.</t>
    </r>
    <r>
      <rPr>
        <sz val="10"/>
        <color theme="1"/>
        <rFont val="Arial Narrow"/>
      </rPr>
      <t xml:space="preserve">
</t>
    </r>
    <r>
      <rPr>
        <b/>
        <sz val="9"/>
        <color theme="1"/>
        <rFont val="Century Schoolbook"/>
        <family val="1"/>
      </rPr>
      <t>2.-</t>
    </r>
    <r>
      <rPr>
        <sz val="10"/>
        <color theme="1"/>
        <rFont val="Arial Narrow"/>
      </rPr>
      <t xml:space="preserve"> Plan Operativo Anual </t>
    </r>
    <r>
      <rPr>
        <sz val="10"/>
        <color theme="1"/>
        <rFont val="Century Schoolbook"/>
        <family val="1"/>
      </rPr>
      <t>2024.</t>
    </r>
  </si>
  <si>
    <r>
      <rPr>
        <b/>
        <sz val="9"/>
        <color theme="1"/>
        <rFont val="Century Schoolbook"/>
        <family val="1"/>
      </rPr>
      <t>1.-</t>
    </r>
    <r>
      <rPr>
        <sz val="10"/>
        <color theme="1"/>
        <rFont val="Arial Narrow"/>
      </rPr>
      <t xml:space="preserve"> Plan  Anual de Compras </t>
    </r>
    <r>
      <rPr>
        <sz val="10"/>
        <color theme="1"/>
        <rFont val="Century Schoolbook"/>
        <family val="1"/>
      </rPr>
      <t>2023.</t>
    </r>
  </si>
  <si>
    <r>
      <rPr>
        <b/>
        <sz val="9"/>
        <color theme="1"/>
        <rFont val="Century Schoolbook"/>
        <family val="1"/>
      </rPr>
      <t>1.-</t>
    </r>
    <r>
      <rPr>
        <sz val="10"/>
        <color theme="1"/>
        <rFont val="Arial Narrow"/>
      </rPr>
      <t xml:space="preserve"> Resolución de aprobación de las Políticas para el desarrollo de la propiedad intelectual de los productos derivados de los procesos I+D+i.</t>
    </r>
  </si>
  <si>
    <r>
      <rPr>
        <b/>
        <sz val="9"/>
        <color theme="1"/>
        <rFont val="Century Schoolbook"/>
        <family val="1"/>
      </rPr>
      <t>1.-</t>
    </r>
    <r>
      <rPr>
        <sz val="10"/>
        <color theme="1"/>
        <rFont val="Arial Narrow"/>
      </rPr>
      <t xml:space="preserve"> Reporte de eventos científicos gestionados.</t>
    </r>
  </si>
  <si>
    <r>
      <rPr>
        <b/>
        <sz val="9"/>
        <color theme="1"/>
        <rFont val="Century Schoolbook"/>
        <family val="1"/>
      </rPr>
      <t>1.-</t>
    </r>
    <r>
      <rPr>
        <sz val="10"/>
        <color theme="1"/>
        <rFont val="Arial Narrow"/>
      </rPr>
      <t xml:space="preserve"> Reporte de actividades organizadas a través de los grupos, programas y proyectos de investigación.</t>
    </r>
  </si>
  <si>
    <r>
      <rPr>
        <b/>
        <sz val="9"/>
        <color theme="1"/>
        <rFont val="Century Schoolbook"/>
        <family val="1"/>
      </rPr>
      <t>1.-</t>
    </r>
    <r>
      <rPr>
        <sz val="10"/>
        <color theme="1"/>
        <rFont val="Arial Narrow"/>
      </rPr>
      <t xml:space="preserve"> Resolución de aprobación de Convocatorias, portafolios de programas y/ o investigación.</t>
    </r>
  </si>
  <si>
    <r>
      <rPr>
        <b/>
        <sz val="9"/>
        <color theme="1"/>
        <rFont val="Century Schoolbook"/>
        <family val="1"/>
      </rPr>
      <t>1.-</t>
    </r>
    <r>
      <rPr>
        <sz val="10"/>
        <color theme="1"/>
        <rFont val="Arial Narrow"/>
      </rPr>
      <t xml:space="preserve"> Planificaciones anuales de los grupos de investigación.</t>
    </r>
  </si>
  <si>
    <r>
      <rPr>
        <b/>
        <sz val="9"/>
        <color theme="1"/>
        <rFont val="Century Schoolbook"/>
        <family val="1"/>
      </rPr>
      <t>1.-</t>
    </r>
    <r>
      <rPr>
        <sz val="10"/>
        <color theme="1"/>
        <rFont val="Arial Narrow"/>
      </rPr>
      <t xml:space="preserve"> Documentos y formatos  para la gestión operativa de los programas y proyectos de I+D+i.</t>
    </r>
  </si>
  <si>
    <r>
      <rPr>
        <b/>
        <sz val="9"/>
        <color theme="1"/>
        <rFont val="Century Schoolbook"/>
        <family val="1"/>
      </rPr>
      <t>1.-</t>
    </r>
    <r>
      <rPr>
        <sz val="10"/>
        <color theme="1"/>
        <rFont val="Arial Narrow"/>
      </rPr>
      <t xml:space="preserve"> Elaborar un presupuesto estimativo de los requerimientos anuales.
</t>
    </r>
    <r>
      <rPr>
        <b/>
        <sz val="9"/>
        <color theme="1"/>
        <rFont val="Century Schoolbook"/>
        <family val="1"/>
      </rPr>
      <t>2.-</t>
    </r>
    <r>
      <rPr>
        <sz val="10"/>
        <color theme="1"/>
        <rFont val="Arial Narrow"/>
      </rPr>
      <t xml:space="preserve"> Compilar los requerimientos por grupo de gasto.
</t>
    </r>
    <r>
      <rPr>
        <b/>
        <sz val="9"/>
        <color theme="1"/>
        <rFont val="Century Schoolbook"/>
        <family val="1"/>
      </rPr>
      <t>3.-</t>
    </r>
    <r>
      <rPr>
        <sz val="10"/>
        <color theme="1"/>
        <rFont val="Arial Narrow"/>
      </rPr>
      <t xml:space="preserve"> Elaborar la Planificación Operativa Anual.
</t>
    </r>
    <r>
      <rPr>
        <b/>
        <sz val="9"/>
        <color theme="1"/>
        <rFont val="Century Schoolbook"/>
        <family val="1"/>
      </rPr>
      <t>4.-</t>
    </r>
    <r>
      <rPr>
        <sz val="10"/>
        <color theme="1"/>
        <rFont val="Arial Narrow"/>
      </rPr>
      <t xml:space="preserve"> Elaborar la Evaluación de la Planificación Operativa Anual.</t>
    </r>
  </si>
  <si>
    <r>
      <rPr>
        <b/>
        <sz val="9"/>
        <color theme="1"/>
        <rFont val="Century Schoolbook"/>
        <family val="1"/>
      </rPr>
      <t>1.-</t>
    </r>
    <r>
      <rPr>
        <sz val="10"/>
        <color theme="1"/>
        <rFont val="Arial Narrow"/>
      </rPr>
      <t xml:space="preserve"> Registro de Certificaciones emitidas por la dependencia codificadas.</t>
    </r>
  </si>
  <si>
    <r>
      <rPr>
        <b/>
        <sz val="9"/>
        <color theme="1"/>
        <rFont val="Century Schoolbook"/>
        <family val="1"/>
      </rPr>
      <t>1.-</t>
    </r>
    <r>
      <rPr>
        <sz val="10"/>
        <color theme="1"/>
        <rFont val="Arial Narrow"/>
      </rPr>
      <t xml:space="preserve"> Criterios técnicos para la toma de decisiones relacionados con las actividades de investigación, desarrollo e innovación.</t>
    </r>
  </si>
  <si>
    <r>
      <rPr>
        <b/>
        <sz val="9"/>
        <color theme="1"/>
        <rFont val="Century Schoolbook"/>
        <family val="1"/>
      </rPr>
      <t>1.-</t>
    </r>
    <r>
      <rPr>
        <sz val="10"/>
        <color theme="1"/>
        <rFont val="Arial Narrow"/>
      </rPr>
      <t xml:space="preserve"> Actas de las revisiones éticas de los procesos o productos de investigación, desarrollo e innovación.</t>
    </r>
  </si>
  <si>
    <r>
      <rPr>
        <b/>
        <sz val="9"/>
        <color theme="1"/>
        <rFont val="Century Schoolbook"/>
        <family val="1"/>
      </rPr>
      <t>1.-</t>
    </r>
    <r>
      <rPr>
        <sz val="10"/>
        <color theme="1"/>
        <rFont val="Arial Narrow"/>
      </rPr>
      <t xml:space="preserve"> Documentos, normativas y procedimientos en los que se evidencie la articulación de los procesos y productos de investigación en los programas de formación de tercer y cuarto nivel, asimismo en los procesos de perfeccionamiento académico.</t>
    </r>
  </si>
  <si>
    <r>
      <rPr>
        <b/>
        <sz val="9"/>
        <color theme="1"/>
        <rFont val="Century Schoolbook"/>
        <family val="1"/>
      </rPr>
      <t>1.-</t>
    </r>
    <r>
      <rPr>
        <sz val="10"/>
        <color theme="1"/>
        <rFont val="Arial Narrow"/>
      </rPr>
      <t xml:space="preserve"> Resolución de aprobación de los programas para el reconocimiento al profesorado y estudiantado.</t>
    </r>
  </si>
  <si>
    <r>
      <rPr>
        <b/>
        <sz val="9"/>
        <color theme="1"/>
        <rFont val="Century Schoolbook"/>
        <family val="1"/>
      </rPr>
      <t>1.-</t>
    </r>
    <r>
      <rPr>
        <sz val="10"/>
        <color theme="1"/>
        <rFont val="Arial Narrow"/>
      </rPr>
      <t xml:space="preserve"> Reporte de diseño y/o actualización de acciones de divulgación y difusión del conocimiento científico.</t>
    </r>
  </si>
  <si>
    <r>
      <rPr>
        <b/>
        <sz val="9"/>
        <color theme="1"/>
        <rFont val="Century Schoolbook"/>
        <family val="1"/>
      </rPr>
      <t>1.-</t>
    </r>
    <r>
      <rPr>
        <sz val="10"/>
        <color theme="1"/>
        <rFont val="Arial Narrow"/>
      </rPr>
      <t xml:space="preserve"> Resolución de aprobación del Plan de Formación y actualización en competencias investigativas.</t>
    </r>
  </si>
  <si>
    <r>
      <rPr>
        <b/>
        <sz val="9"/>
        <color theme="1"/>
        <rFont val="Century Schoolbook"/>
        <family val="1"/>
      </rPr>
      <t>1.-</t>
    </r>
    <r>
      <rPr>
        <sz val="10"/>
        <color theme="1"/>
        <rFont val="Arial Narrow"/>
      </rPr>
      <t xml:space="preserve"> Reporte de proyectos de investigación cerrados por semestre.</t>
    </r>
  </si>
  <si>
    <r>
      <rPr>
        <b/>
        <sz val="9"/>
        <color theme="1"/>
        <rFont val="Century Schoolbook"/>
        <family val="1"/>
      </rPr>
      <t>1.-</t>
    </r>
    <r>
      <rPr>
        <sz val="10"/>
        <color theme="1"/>
        <rFont val="Arial Narrow"/>
      </rPr>
      <t xml:space="preserve"> Plan anual de Investigación.
</t>
    </r>
    <r>
      <rPr>
        <b/>
        <sz val="9"/>
        <color theme="1"/>
        <rFont val="Century Schoolbook"/>
        <family val="1"/>
      </rPr>
      <t>2.-</t>
    </r>
    <r>
      <rPr>
        <sz val="10"/>
        <color theme="1"/>
        <rFont val="Arial Narrow"/>
      </rPr>
      <t xml:space="preserve"> Matriz de evaluación de los objetivos del  Plan anual de Investigación.
</t>
    </r>
    <r>
      <rPr>
        <b/>
        <sz val="9"/>
        <color theme="1"/>
        <rFont val="Century Schoolbook"/>
        <family val="1"/>
      </rPr>
      <t>3.-</t>
    </r>
    <r>
      <rPr>
        <sz val="10"/>
        <color theme="1"/>
        <rFont val="Arial Narrow"/>
      </rPr>
      <t xml:space="preserve"> Reporte de proyectos de investigación cerrados por semestre.</t>
    </r>
  </si>
  <si>
    <r>
      <rPr>
        <b/>
        <sz val="9"/>
        <color theme="1"/>
        <rFont val="Century Schoolbook"/>
        <family val="1"/>
      </rPr>
      <t>1.-</t>
    </r>
    <r>
      <rPr>
        <sz val="10"/>
        <color theme="1"/>
        <rFont val="Arial Narrow"/>
      </rPr>
      <t xml:space="preserve"> Reporte de proyectos de investigación con impacto internacional, postulados a través de la convocatoria correspondiente.</t>
    </r>
  </si>
  <si>
    <r>
      <rPr>
        <b/>
        <sz val="9"/>
        <color theme="1"/>
        <rFont val="Century Schoolbook"/>
        <family val="1"/>
      </rPr>
      <t xml:space="preserve">1.- </t>
    </r>
    <r>
      <rPr>
        <sz val="10"/>
        <color theme="1"/>
        <rFont val="Arial Narrow"/>
      </rPr>
      <t>Reporte de proyectos de investigación en fase de transferencia tecnológica, postulados a través de la convocatoria correspondiente.</t>
    </r>
  </si>
  <si>
    <r>
      <rPr>
        <b/>
        <sz val="9"/>
        <color theme="1"/>
        <rFont val="Century Schoolbook"/>
        <family val="1"/>
      </rPr>
      <t>1.-</t>
    </r>
    <r>
      <rPr>
        <sz val="10"/>
        <color theme="1"/>
        <rFont val="Arial Narrow"/>
      </rPr>
      <t xml:space="preserve"> Reporte del estado actual de la ejecución de proyectos semilleros de investigación.</t>
    </r>
  </si>
  <si>
    <r>
      <rPr>
        <b/>
        <sz val="9"/>
        <color theme="1"/>
        <rFont val="Century Schoolbook"/>
        <family val="1"/>
      </rPr>
      <t>1.-</t>
    </r>
    <r>
      <rPr>
        <sz val="10"/>
        <color theme="1"/>
        <rFont val="Arial Narrow"/>
      </rPr>
      <t xml:space="preserve"> Reporte de proyectos de investigación aprobados por semestre.</t>
    </r>
  </si>
  <si>
    <r>
      <rPr>
        <b/>
        <sz val="9"/>
        <color theme="1"/>
        <rFont val="Century Schoolbook"/>
        <family val="1"/>
      </rPr>
      <t>1.-</t>
    </r>
    <r>
      <rPr>
        <sz val="10"/>
        <color theme="1"/>
        <rFont val="Arial Narrow"/>
      </rPr>
      <t xml:space="preserve"> Modelo de transferencia tecnológica y científica.</t>
    </r>
  </si>
  <si>
    <r>
      <rPr>
        <b/>
        <sz val="9"/>
        <color theme="1"/>
        <rFont val="Century Schoolbook"/>
        <family val="1"/>
      </rPr>
      <t>1.-</t>
    </r>
    <r>
      <rPr>
        <sz val="10"/>
        <color theme="1"/>
        <rFont val="Arial Narrow"/>
      </rPr>
      <t xml:space="preserve"> Diseñar el Modelo de transferencia tecnológica y científica.</t>
    </r>
  </si>
  <si>
    <r>
      <rPr>
        <b/>
        <sz val="9"/>
        <color theme="1"/>
        <rFont val="Century Schoolbook"/>
        <family val="1"/>
      </rPr>
      <t>1.-</t>
    </r>
    <r>
      <rPr>
        <sz val="10"/>
        <color theme="1"/>
        <rFont val="Arial Narrow"/>
      </rPr>
      <t xml:space="preserve"> Gestionar la aprobación de los programas y/o proyectos de investigación, cuya evaluación fue favorable por los pares académicos en la convocatoria vigente. </t>
    </r>
  </si>
  <si>
    <r>
      <rPr>
        <b/>
        <sz val="9"/>
        <color theme="1"/>
        <rFont val="Century Schoolbook"/>
        <family val="1"/>
      </rPr>
      <t>1.-</t>
    </r>
    <r>
      <rPr>
        <sz val="10"/>
        <color theme="1"/>
        <rFont val="Arial Narrow"/>
      </rPr>
      <t xml:space="preserve"> Gestionar la aprobación de los proyectos semilleros de investigación, cuya evaluación fue favorable por los pares académicos en la convocatoria vigente.</t>
    </r>
  </si>
  <si>
    <r>
      <rPr>
        <b/>
        <sz val="9"/>
        <color theme="1"/>
        <rFont val="Century Schoolbook"/>
        <family val="1"/>
      </rPr>
      <t>1.-</t>
    </r>
    <r>
      <rPr>
        <sz val="10"/>
        <color theme="1"/>
        <rFont val="Arial Narrow"/>
      </rPr>
      <t xml:space="preserve"> Gestionar la convocatoria para proyectos de investigación en fase de transferencia tecnológica con nivel de impacto evaluado.</t>
    </r>
  </si>
  <si>
    <r>
      <rPr>
        <b/>
        <sz val="9"/>
        <color theme="1"/>
        <rFont val="Century Schoolbook"/>
        <family val="1"/>
      </rPr>
      <t>1.-</t>
    </r>
    <r>
      <rPr>
        <sz val="10"/>
        <color theme="1"/>
        <rFont val="Arial Narrow"/>
      </rPr>
      <t xml:space="preserve"> Gestionar la convocatoria para proyectos de investigación con impacto internacional que formen parte del modelo de transferencia tecnológica y científica orientado a atender los nudos problematizadores identificados a nivel zonal.</t>
    </r>
  </si>
  <si>
    <r>
      <rPr>
        <b/>
        <sz val="9"/>
        <color theme="1"/>
        <rFont val="Century Schoolbook"/>
        <family val="1"/>
      </rPr>
      <t>1.-</t>
    </r>
    <r>
      <rPr>
        <sz val="10"/>
        <color theme="1"/>
        <rFont val="Arial Narrow"/>
      </rPr>
      <t xml:space="preserve"> Proveer los recursos para la investigación científica.
</t>
    </r>
    <r>
      <rPr>
        <b/>
        <sz val="9"/>
        <color theme="1"/>
        <rFont val="Century Schoolbook"/>
        <family val="1"/>
      </rPr>
      <t>2.-</t>
    </r>
    <r>
      <rPr>
        <sz val="10"/>
        <color theme="1"/>
        <rFont val="Arial Narrow"/>
      </rPr>
      <t xml:space="preserve"> Ejecutar proyectos de investigación.
</t>
    </r>
    <r>
      <rPr>
        <b/>
        <sz val="9"/>
        <color theme="1"/>
        <rFont val="Century Schoolbook"/>
        <family val="1"/>
      </rPr>
      <t>3.-</t>
    </r>
    <r>
      <rPr>
        <sz val="10"/>
        <color theme="1"/>
        <rFont val="Arial Narrow"/>
      </rPr>
      <t xml:space="preserve"> Evaluar proyectos de investigación.</t>
    </r>
  </si>
  <si>
    <r>
      <rPr>
        <b/>
        <sz val="9"/>
        <color theme="1"/>
        <rFont val="Century Schoolbook"/>
        <family val="1"/>
      </rPr>
      <t>1.-</t>
    </r>
    <r>
      <rPr>
        <sz val="10"/>
        <color theme="1"/>
        <rFont val="Arial Narrow"/>
      </rPr>
      <t xml:space="preserve"> Gestionar el cierre académico y administrativo de los programas y/o proyectos de investigación ante el H. Consejo Universitario que han cumplido con los requisitos establecidos para tal fin.</t>
    </r>
  </si>
  <si>
    <r>
      <rPr>
        <b/>
        <sz val="9"/>
        <color theme="1"/>
        <rFont val="Century Schoolbook"/>
        <family val="1"/>
      </rPr>
      <t>1.-</t>
    </r>
    <r>
      <rPr>
        <sz val="10"/>
        <color theme="1"/>
        <rFont val="Arial Narrow"/>
      </rPr>
      <t xml:space="preserve"> Diseñar Programas para la formación de competencias.
</t>
    </r>
    <r>
      <rPr>
        <b/>
        <sz val="9"/>
        <color theme="1"/>
        <rFont val="Century Schoolbook"/>
        <family val="1"/>
      </rPr>
      <t>2.-</t>
    </r>
    <r>
      <rPr>
        <sz val="10"/>
        <color theme="1"/>
        <rFont val="Arial Narrow"/>
      </rPr>
      <t xml:space="preserve"> Gestionar el desarrollo de los Programas para la formación de competencias.
</t>
    </r>
    <r>
      <rPr>
        <b/>
        <sz val="9"/>
        <color theme="1"/>
        <rFont val="Century Schoolbook"/>
        <family val="1"/>
      </rPr>
      <t>3.-</t>
    </r>
    <r>
      <rPr>
        <sz val="10"/>
        <color theme="1"/>
        <rFont val="Arial Narrow"/>
      </rPr>
      <t xml:space="preserve"> Coordinar la logística de los Programas para la formación de competencias.
</t>
    </r>
    <r>
      <rPr>
        <b/>
        <sz val="9"/>
        <color theme="1"/>
        <rFont val="Century Schoolbook"/>
        <family val="1"/>
      </rPr>
      <t>4.-</t>
    </r>
    <r>
      <rPr>
        <sz val="10"/>
        <color theme="1"/>
        <rFont val="Arial Narrow"/>
      </rPr>
      <t xml:space="preserve"> Difundir los Programas para la formación de competencias.
</t>
    </r>
    <r>
      <rPr>
        <b/>
        <sz val="9"/>
        <color theme="1"/>
        <rFont val="Century Schoolbook"/>
        <family val="1"/>
      </rPr>
      <t>5.-</t>
    </r>
    <r>
      <rPr>
        <sz val="10"/>
        <color theme="1"/>
        <rFont val="Arial Narrow"/>
      </rPr>
      <t xml:space="preserve"> Promover la actualización de los Programas para la formación de competencias.</t>
    </r>
  </si>
  <si>
    <r>
      <rPr>
        <b/>
        <sz val="9"/>
        <color theme="1"/>
        <rFont val="Century Schoolbook"/>
        <family val="1"/>
      </rPr>
      <t>1.-</t>
    </r>
    <r>
      <rPr>
        <sz val="10"/>
        <color theme="1"/>
        <rFont val="Arial Narrow"/>
      </rPr>
      <t xml:space="preserve"> Planificar eventos científicos en el Plan Anual de Investigación.
</t>
    </r>
    <r>
      <rPr>
        <b/>
        <sz val="9"/>
        <color theme="1"/>
        <rFont val="Century Schoolbook"/>
        <family val="1"/>
      </rPr>
      <t>2.-</t>
    </r>
    <r>
      <rPr>
        <sz val="10"/>
        <color theme="1"/>
        <rFont val="Arial Narrow"/>
      </rPr>
      <t xml:space="preserve"> Gestionar el desarrollo de eventos científicos.
</t>
    </r>
    <r>
      <rPr>
        <b/>
        <sz val="9"/>
        <color theme="1"/>
        <rFont val="Century Schoolbook"/>
        <family val="1"/>
      </rPr>
      <t>3.-</t>
    </r>
    <r>
      <rPr>
        <sz val="10"/>
        <color theme="1"/>
        <rFont val="Arial Narrow"/>
      </rPr>
      <t xml:space="preserve"> Apoyar en la logística de eventos científicos.
</t>
    </r>
    <r>
      <rPr>
        <b/>
        <sz val="9"/>
        <color theme="1"/>
        <rFont val="Century Schoolbook"/>
        <family val="1"/>
      </rPr>
      <t>4.-</t>
    </r>
    <r>
      <rPr>
        <sz val="10"/>
        <color theme="1"/>
        <rFont val="Arial Narrow"/>
      </rPr>
      <t xml:space="preserve"> Difundir la programación de eventos científicos.
</t>
    </r>
    <r>
      <rPr>
        <b/>
        <sz val="9"/>
        <color theme="1"/>
        <rFont val="Century Schoolbook"/>
        <family val="1"/>
      </rPr>
      <t>5.-</t>
    </r>
    <r>
      <rPr>
        <sz val="10"/>
        <color theme="1"/>
        <rFont val="Arial Narrow"/>
      </rPr>
      <t xml:space="preserve"> Promover la organización de eventos científicos a través de los grupos de investigación.</t>
    </r>
  </si>
  <si>
    <r>
      <rPr>
        <b/>
        <sz val="9"/>
        <color theme="1"/>
        <rFont val="Century Schoolbook"/>
        <family val="1"/>
      </rPr>
      <t>1.-</t>
    </r>
    <r>
      <rPr>
        <sz val="10"/>
        <color theme="1"/>
        <rFont val="Arial Narrow"/>
      </rPr>
      <t xml:space="preserve"> Diseñar programas para el reconocimiento al profesorado y estudiantado.
</t>
    </r>
    <r>
      <rPr>
        <b/>
        <sz val="9"/>
        <color theme="1"/>
        <rFont val="Century Schoolbook"/>
        <family val="1"/>
      </rPr>
      <t>2.-</t>
    </r>
    <r>
      <rPr>
        <sz val="10"/>
        <color theme="1"/>
        <rFont val="Arial Narrow"/>
      </rPr>
      <t xml:space="preserve"> Gestionar el desarrollo de los programas para el reconocimiento al profesorado y estudiantado.
</t>
    </r>
    <r>
      <rPr>
        <b/>
        <sz val="9"/>
        <color theme="1"/>
        <rFont val="Century Schoolbook"/>
        <family val="1"/>
      </rPr>
      <t>3.-</t>
    </r>
    <r>
      <rPr>
        <sz val="10"/>
        <color theme="1"/>
        <rFont val="Arial Narrow"/>
      </rPr>
      <t xml:space="preserve"> Coordinar la logística de programas para el reconocimiento al profesorado y estudiantado.
</t>
    </r>
    <r>
      <rPr>
        <b/>
        <sz val="9"/>
        <color theme="1"/>
        <rFont val="Century Schoolbook"/>
        <family val="1"/>
      </rPr>
      <t>4.-</t>
    </r>
    <r>
      <rPr>
        <sz val="10"/>
        <color theme="1"/>
        <rFont val="Arial Narrow"/>
      </rPr>
      <t xml:space="preserve"> Difundir los Programas para programas para el reconocimiento al profesorado y estudiantado.</t>
    </r>
  </si>
  <si>
    <r>
      <rPr>
        <b/>
        <sz val="9"/>
        <color theme="1"/>
        <rFont val="Century Schoolbook"/>
        <family val="1"/>
      </rPr>
      <t>1.-</t>
    </r>
    <r>
      <rPr>
        <sz val="10"/>
        <color theme="1"/>
        <rFont val="Arial Narrow"/>
      </rPr>
      <t xml:space="preserve"> Diseñar las Políticas para el desarrollo de la propiedad intelectual de los productos derivados de los procesos I+D+i.
</t>
    </r>
    <r>
      <rPr>
        <b/>
        <sz val="9"/>
        <color theme="1"/>
        <rFont val="Century Schoolbook"/>
        <family val="1"/>
      </rPr>
      <t>2.-</t>
    </r>
    <r>
      <rPr>
        <sz val="10"/>
        <color theme="1"/>
        <rFont val="Arial Narrow"/>
      </rPr>
      <t xml:space="preserve"> Gestionar la aprobación de las Políticas para el desarrollo de la propiedad intelectual de los productos derivados de los procesos I+D+i.
</t>
    </r>
    <r>
      <rPr>
        <b/>
        <sz val="9"/>
        <color theme="1"/>
        <rFont val="Century Schoolbook"/>
        <family val="1"/>
      </rPr>
      <t>3.-</t>
    </r>
    <r>
      <rPr>
        <sz val="10"/>
        <color theme="1"/>
        <rFont val="Arial Narrow"/>
      </rPr>
      <t xml:space="preserve"> Difundir las Políticas para el desarrollo de la propiedad intelectual de los productos derivados de los procesos I+D+i.</t>
    </r>
  </si>
  <si>
    <r>
      <rPr>
        <b/>
        <sz val="9"/>
        <color theme="1"/>
        <rFont val="Century Schoolbook"/>
        <family val="1"/>
      </rPr>
      <t>1.-</t>
    </r>
    <r>
      <rPr>
        <sz val="10"/>
        <color theme="1"/>
        <rFont val="Arial Narrow"/>
      </rPr>
      <t xml:space="preserve"> Gestionar la articulación de los procesos y productos de investigación en los programas de formación de tercer y cuarto nivel, asimismo en los procesos de perfeccionamiento académico.
</t>
    </r>
    <r>
      <rPr>
        <b/>
        <sz val="9"/>
        <color theme="1"/>
        <rFont val="Century Schoolbook"/>
        <family val="1"/>
      </rPr>
      <t>2.-</t>
    </r>
    <r>
      <rPr>
        <sz val="10"/>
        <color theme="1"/>
        <rFont val="Arial Narrow"/>
      </rPr>
      <t xml:space="preserve"> Difundir la actualización de procedimientos en los que se evidencie la articulación de los procesos y productos de investigación en los programas de formación de tercer y cuarto nivel, asimismo en los procesos de perfeccionamiento académico.
</t>
    </r>
    <r>
      <rPr>
        <b/>
        <sz val="9"/>
        <color theme="1"/>
        <rFont val="Century Schoolbook"/>
        <family val="1"/>
      </rPr>
      <t>3.-</t>
    </r>
    <r>
      <rPr>
        <sz val="10"/>
        <color theme="1"/>
        <rFont val="Arial Narrow"/>
      </rPr>
      <t xml:space="preserve"> Promover la articulación de los procesos y productos de investigación en los programas de formación de tercer y cuarto nivel, asimismo en los procesos de perfeccionamiento académico.</t>
    </r>
  </si>
  <si>
    <r>
      <rPr>
        <b/>
        <sz val="9"/>
        <color theme="1"/>
        <rFont val="Century Schoolbook"/>
        <family val="1"/>
      </rPr>
      <t>1.-</t>
    </r>
    <r>
      <rPr>
        <sz val="10"/>
        <color theme="1"/>
        <rFont val="Arial Narrow"/>
      </rPr>
      <t xml:space="preserve"> Gestionar las revisiones éticas de los procesos de investigación, desarrollo e innovación.
</t>
    </r>
    <r>
      <rPr>
        <b/>
        <sz val="9"/>
        <color theme="1"/>
        <rFont val="Century Schoolbook"/>
        <family val="1"/>
      </rPr>
      <t>2.-</t>
    </r>
    <r>
      <rPr>
        <sz val="10"/>
        <color theme="1"/>
        <rFont val="Arial Narrow"/>
      </rPr>
      <t xml:space="preserve"> Promover las revisiones éticas de los procesos de investigación, desarrollo e innovación.</t>
    </r>
  </si>
  <si>
    <r>
      <rPr>
        <b/>
        <sz val="9"/>
        <color theme="1"/>
        <rFont val="Century Schoolbook"/>
        <family val="1"/>
      </rPr>
      <t>1.-</t>
    </r>
    <r>
      <rPr>
        <sz val="10"/>
        <color theme="1"/>
        <rFont val="Arial Narrow"/>
      </rPr>
      <t xml:space="preserve"> Construir criterios técnicos para la toma de decisiones relacionados con las actividades de investigación, desarrollo e innovación.
</t>
    </r>
    <r>
      <rPr>
        <b/>
        <sz val="9"/>
        <color theme="1"/>
        <rFont val="Century Schoolbook"/>
        <family val="1"/>
      </rPr>
      <t>2.-</t>
    </r>
    <r>
      <rPr>
        <sz val="10"/>
        <color theme="1"/>
        <rFont val="Arial Narrow"/>
      </rPr>
      <t xml:space="preserve"> Emitir y notificar criterios técnicos para la toma de decisiones relacionados con las actividades de investigación, desarrollo e innovación.</t>
    </r>
  </si>
  <si>
    <r>
      <rPr>
        <b/>
        <sz val="9"/>
        <color theme="1"/>
        <rFont val="Century Schoolbook"/>
        <family val="1"/>
      </rPr>
      <t>1.-</t>
    </r>
    <r>
      <rPr>
        <sz val="10"/>
        <color theme="1"/>
        <rFont val="Arial Narrow"/>
      </rPr>
      <t xml:space="preserve"> Elaborar Certificaciones codificadas.
</t>
    </r>
    <r>
      <rPr>
        <b/>
        <sz val="9"/>
        <color theme="1"/>
        <rFont val="Century Schoolbook"/>
        <family val="1"/>
      </rPr>
      <t>2.-</t>
    </r>
    <r>
      <rPr>
        <sz val="10"/>
        <color theme="1"/>
        <rFont val="Arial Narrow"/>
      </rPr>
      <t xml:space="preserve"> Notificar Certificaciones codificadas.</t>
    </r>
  </si>
  <si>
    <r>
      <rPr>
        <b/>
        <sz val="9"/>
        <color theme="1"/>
        <rFont val="Century Schoolbook"/>
        <family val="1"/>
      </rPr>
      <t>1.-</t>
    </r>
    <r>
      <rPr>
        <sz val="10"/>
        <color theme="1"/>
        <rFont val="Arial Narrow"/>
      </rPr>
      <t xml:space="preserve"> Elaborar un presupuesto estimativo de los requerimientos anuales.
</t>
    </r>
    <r>
      <rPr>
        <b/>
        <sz val="9"/>
        <color theme="1"/>
        <rFont val="Century Schoolbook"/>
        <family val="1"/>
      </rPr>
      <t>2.-</t>
    </r>
    <r>
      <rPr>
        <sz val="10"/>
        <color theme="1"/>
        <rFont val="Arial Narrow"/>
      </rPr>
      <t xml:space="preserve"> Compilar los requerimientos por grupo de gasto.
</t>
    </r>
    <r>
      <rPr>
        <b/>
        <sz val="9"/>
        <color theme="1"/>
        <rFont val="Century Schoolbook"/>
        <family val="1"/>
      </rPr>
      <t>3.-</t>
    </r>
    <r>
      <rPr>
        <sz val="10"/>
        <color theme="1"/>
        <rFont val="Arial Narrow"/>
      </rPr>
      <t xml:space="preserve"> Elaborar la Planificación Operativa Anual 
</t>
    </r>
    <r>
      <rPr>
        <b/>
        <sz val="9"/>
        <color theme="1"/>
        <rFont val="Century Schoolbook"/>
        <family val="1"/>
      </rPr>
      <t>4.-</t>
    </r>
    <r>
      <rPr>
        <sz val="10"/>
        <color theme="1"/>
        <rFont val="Arial Narrow"/>
      </rPr>
      <t xml:space="preserve"> Elaborar la Evaluación de la Planificación Operativa Anual </t>
    </r>
  </si>
  <si>
    <r>
      <rPr>
        <b/>
        <sz val="9"/>
        <color theme="1"/>
        <rFont val="Century Schoolbook"/>
        <family val="1"/>
      </rPr>
      <t>1.-</t>
    </r>
    <r>
      <rPr>
        <sz val="10"/>
        <color theme="1"/>
        <rFont val="Arial Narrow"/>
      </rPr>
      <t xml:space="preserve"> Diseñar Instrumentos, herramientas o procesos para la gestión operativa de los programas y proyectos de I+D+i.
</t>
    </r>
    <r>
      <rPr>
        <b/>
        <sz val="9"/>
        <color theme="1"/>
        <rFont val="Century Schoolbook"/>
        <family val="1"/>
      </rPr>
      <t>2.-</t>
    </r>
    <r>
      <rPr>
        <sz val="10"/>
        <color theme="1"/>
        <rFont val="Arial Narrow"/>
      </rPr>
      <t xml:space="preserve"> Validar Instrumentos, herramientas o procesos para la gestión operativa de los programas y proyectos de I+D+i.
</t>
    </r>
    <r>
      <rPr>
        <b/>
        <sz val="9"/>
        <color theme="1"/>
        <rFont val="Century Schoolbook"/>
        <family val="1"/>
      </rPr>
      <t>3.-</t>
    </r>
    <r>
      <rPr>
        <sz val="10"/>
        <color theme="1"/>
        <rFont val="Arial Narrow"/>
      </rPr>
      <t xml:space="preserve"> Implementar Instrumentos, herramientas o procesos para la gestión operativa de los programas y proyectos de I+D+i.</t>
    </r>
  </si>
  <si>
    <r>
      <rPr>
        <b/>
        <sz val="9"/>
        <color theme="1"/>
        <rFont val="Century Schoolbook"/>
        <family val="1"/>
      </rPr>
      <t>1.-</t>
    </r>
    <r>
      <rPr>
        <sz val="10"/>
        <color theme="1"/>
        <rFont val="Arial Narrow"/>
      </rPr>
      <t xml:space="preserve"> Solicitar las Planificaciones anuales a los grupos de investigación.
</t>
    </r>
    <r>
      <rPr>
        <b/>
        <sz val="9"/>
        <color theme="1"/>
        <rFont val="Century Schoolbook"/>
        <family val="1"/>
      </rPr>
      <t>2.-</t>
    </r>
    <r>
      <rPr>
        <sz val="10"/>
        <color theme="1"/>
        <rFont val="Arial Narrow"/>
      </rPr>
      <t xml:space="preserve"> Compilar las Planificaciones anuales a los grupos de investigación.</t>
    </r>
  </si>
  <si>
    <r>
      <rPr>
        <b/>
        <sz val="9"/>
        <color theme="1"/>
        <rFont val="Century Schoolbook"/>
        <family val="1"/>
      </rPr>
      <t>1.-</t>
    </r>
    <r>
      <rPr>
        <sz val="10"/>
        <color theme="1"/>
        <rFont val="Arial Narrow"/>
      </rPr>
      <t xml:space="preserve"> Gestionar la ejecución presupuestaria de los proyectos de investigación.
</t>
    </r>
    <r>
      <rPr>
        <b/>
        <sz val="9"/>
        <color theme="1"/>
        <rFont val="Century Schoolbook"/>
        <family val="1"/>
      </rPr>
      <t>2.-</t>
    </r>
    <r>
      <rPr>
        <sz val="10"/>
        <color theme="1"/>
        <rFont val="Arial Narrow"/>
      </rPr>
      <t xml:space="preserve"> Gestionar la ejecución presupuestaria de los Semilleros de investigación.
</t>
    </r>
    <r>
      <rPr>
        <b/>
        <sz val="9"/>
        <color theme="1"/>
        <rFont val="Century Schoolbook"/>
        <family val="1"/>
      </rPr>
      <t>3.-</t>
    </r>
    <r>
      <rPr>
        <sz val="10"/>
        <color theme="1"/>
        <rFont val="Arial Narrow"/>
      </rPr>
      <t xml:space="preserve"> Gestionar la ejecución presupuestaria de las jornadas, seminarios, congresos organizados por el Centro de Investigación.
</t>
    </r>
    <r>
      <rPr>
        <b/>
        <sz val="9"/>
        <color theme="1"/>
        <rFont val="Century Schoolbook"/>
        <family val="1"/>
      </rPr>
      <t>4.-</t>
    </r>
    <r>
      <rPr>
        <sz val="10"/>
        <color theme="1"/>
        <rFont val="Arial Narrow"/>
      </rPr>
      <t xml:space="preserve"> Gestionar la ejecución presupuestaria de la EDITORIAL UTMACH.</t>
    </r>
  </si>
  <si>
    <r>
      <rPr>
        <b/>
        <sz val="9"/>
        <color theme="1"/>
        <rFont val="Century Schoolbook"/>
        <family val="1"/>
      </rPr>
      <t>1.-</t>
    </r>
    <r>
      <rPr>
        <sz val="10"/>
        <color theme="1"/>
        <rFont val="Arial Narrow"/>
      </rPr>
      <t xml:space="preserve"> Gestionar la aprobación de los programas y/o proyectos de investigación, cuya evaluación fue favorable por los pares académicos en la convocatoria vigente.
</t>
    </r>
    <r>
      <rPr>
        <b/>
        <sz val="9"/>
        <color theme="1"/>
        <rFont val="Century Schoolbook"/>
        <family val="1"/>
      </rPr>
      <t>2.-</t>
    </r>
    <r>
      <rPr>
        <sz val="10"/>
        <color theme="1"/>
        <rFont val="Arial Narrow"/>
      </rPr>
      <t xml:space="preserve"> Gestionar el cierre académico y administrativo de los programas y/o proyectos de investigación ante el H. Consejo Universitario que han cumplido con los requisitos establecidos para tal fin.</t>
    </r>
  </si>
  <si>
    <r>
      <rPr>
        <b/>
        <sz val="9"/>
        <color theme="1"/>
        <rFont val="Century Schoolbook"/>
        <family val="1"/>
      </rPr>
      <t>1.-</t>
    </r>
    <r>
      <rPr>
        <sz val="10"/>
        <color theme="1"/>
        <rFont val="Arial Narrow"/>
      </rPr>
      <t xml:space="preserve"> Planificar actividades organizadas a través de los grupos, programas y proyectos de investigación.
</t>
    </r>
    <r>
      <rPr>
        <b/>
        <sz val="9"/>
        <color theme="1"/>
        <rFont val="Century Schoolbook"/>
        <family val="1"/>
      </rPr>
      <t>2.-</t>
    </r>
    <r>
      <rPr>
        <sz val="10"/>
        <color theme="1"/>
        <rFont val="Arial Narrow"/>
      </rPr>
      <t xml:space="preserve"> Gestionar el desarrollo de actividades organizadas a través de los grupos, programas y proyectos de investigación.
</t>
    </r>
    <r>
      <rPr>
        <b/>
        <sz val="9"/>
        <color theme="1"/>
        <rFont val="Century Schoolbook"/>
        <family val="1"/>
      </rPr>
      <t>3.-</t>
    </r>
    <r>
      <rPr>
        <sz val="10"/>
        <color theme="1"/>
        <rFont val="Arial Narrow"/>
      </rPr>
      <t xml:space="preserve"> Difundir actividades organizadas a través de los grupos, programas y proyectos de investigación.</t>
    </r>
  </si>
  <si>
    <r>
      <rPr>
        <b/>
        <sz val="9"/>
        <color theme="1"/>
        <rFont val="Century Schoolbook"/>
        <family val="1"/>
      </rPr>
      <t>1.-</t>
    </r>
    <r>
      <rPr>
        <sz val="10"/>
        <color theme="1"/>
        <rFont val="Arial Narrow"/>
      </rPr>
      <t xml:space="preserve"> Diseñar estrategias para la participación de estudiantes en proyectos de investigación 
formativa.
</t>
    </r>
    <r>
      <rPr>
        <b/>
        <sz val="9"/>
        <color theme="1"/>
        <rFont val="Century Schoolbook"/>
        <family val="1"/>
      </rPr>
      <t>2.-</t>
    </r>
    <r>
      <rPr>
        <sz val="10"/>
        <color theme="1"/>
        <rFont val="Arial Narrow"/>
      </rPr>
      <t xml:space="preserve"> Gestionar estrategias para la participación de estudiantes en proyectos de investigación 
formativa.
</t>
    </r>
    <r>
      <rPr>
        <b/>
        <sz val="9"/>
        <color theme="1"/>
        <rFont val="Century Schoolbook"/>
        <family val="1"/>
      </rPr>
      <t>3.-</t>
    </r>
    <r>
      <rPr>
        <sz val="10"/>
        <color theme="1"/>
        <rFont val="Arial Narrow"/>
      </rPr>
      <t xml:space="preserve"> Difundir estrategias para la participación de estudiantes en proyectos de investigación 
formativa.</t>
    </r>
  </si>
  <si>
    <r>
      <rPr>
        <b/>
        <sz val="9"/>
        <color theme="1"/>
        <rFont val="Century Schoolbook"/>
        <family val="1"/>
      </rPr>
      <t>1.-</t>
    </r>
    <r>
      <rPr>
        <sz val="10"/>
        <color theme="1"/>
        <rFont val="Arial Narrow"/>
      </rPr>
      <t xml:space="preserve"> Diseñar las Políticas para el desarrollo de la propiedad intelectual de los productos derivados de los procesos I+D+i.
</t>
    </r>
    <r>
      <rPr>
        <b/>
        <sz val="9"/>
        <color theme="1"/>
        <rFont val="Century Schoolbook"/>
        <family val="1"/>
      </rPr>
      <t>2.-</t>
    </r>
    <r>
      <rPr>
        <sz val="10"/>
        <color theme="1"/>
        <rFont val="Arial Narrow"/>
      </rPr>
      <t xml:space="preserve"> Gestionar la aprobación de las Políticas para el desarrollo de la propiedad intelectual de los productos derivados de los procesos I+D+i. 
</t>
    </r>
    <r>
      <rPr>
        <b/>
        <sz val="9"/>
        <color theme="1"/>
        <rFont val="Century Schoolbook"/>
        <family val="1"/>
      </rPr>
      <t>3.-</t>
    </r>
    <r>
      <rPr>
        <sz val="10"/>
        <color theme="1"/>
        <rFont val="Arial Narrow"/>
      </rPr>
      <t xml:space="preserve"> Difundir las Políticas para el desarrollo de la propiedad intelectual de los productos derivados de los procesos I+D+i.</t>
    </r>
  </si>
  <si>
    <r>
      <rPr>
        <b/>
        <sz val="9"/>
        <color theme="1"/>
        <rFont val="Century Schoolbook"/>
        <family val="1"/>
      </rPr>
      <t>1.-</t>
    </r>
    <r>
      <rPr>
        <sz val="10"/>
        <color theme="1"/>
        <rFont val="Arial Narrow"/>
      </rPr>
      <t xml:space="preserve"> Elaborar un presupuesto estimativo de los requerimientos anuales.
</t>
    </r>
    <r>
      <rPr>
        <b/>
        <sz val="9"/>
        <color theme="1"/>
        <rFont val="Century Schoolbook"/>
        <family val="1"/>
      </rPr>
      <t>2.-</t>
    </r>
    <r>
      <rPr>
        <sz val="10"/>
        <color theme="1"/>
        <rFont val="Arial Narrow"/>
      </rPr>
      <t xml:space="preserve"> Compilar los requerimientos por grupo de gasto.
</t>
    </r>
    <r>
      <rPr>
        <b/>
        <sz val="9"/>
        <color theme="1"/>
        <rFont val="Century Schoolbook"/>
        <family val="1"/>
      </rPr>
      <t>3.-</t>
    </r>
    <r>
      <rPr>
        <sz val="10"/>
        <color theme="1"/>
        <rFont val="Arial Narrow"/>
      </rPr>
      <t xml:space="preserve"> Elaborar la Planificación Operativa Anual.</t>
    </r>
  </si>
  <si>
    <r>
      <rPr>
        <b/>
        <sz val="9"/>
        <color theme="1"/>
        <rFont val="Century Schoolbook"/>
        <family val="1"/>
      </rPr>
      <t>1.-</t>
    </r>
    <r>
      <rPr>
        <sz val="10"/>
        <color theme="1"/>
        <rFont val="Arial Narrow"/>
      </rPr>
      <t xml:space="preserve"> Elaborar la Planificación Operativa Anual, en correspondencia a los productos y servicios del Reglamento Orgánico por procesos. </t>
    </r>
  </si>
  <si>
    <r>
      <rPr>
        <b/>
        <sz val="9"/>
        <color theme="1"/>
        <rFont val="Century Schoolbook"/>
        <family val="1"/>
      </rPr>
      <t>1.-</t>
    </r>
    <r>
      <rPr>
        <sz val="10"/>
        <color theme="1"/>
        <rFont val="Arial Narrow"/>
      </rPr>
      <t xml:space="preserve"> Elaborar las Evaluación del Plan Operativo Anual oportunamente.</t>
    </r>
  </si>
  <si>
    <r>
      <rPr>
        <b/>
        <sz val="9"/>
        <color theme="1"/>
        <rFont val="Century Schoolbook"/>
        <family val="1"/>
      </rPr>
      <t>1.-</t>
    </r>
    <r>
      <rPr>
        <sz val="10"/>
        <color theme="1"/>
        <rFont val="Arial Narrow"/>
      </rPr>
      <t xml:space="preserve"> Coordinar los procesos técnicos bibliotecarios, identificar los problemas presentados y proponer acciones de mejora.
</t>
    </r>
    <r>
      <rPr>
        <b/>
        <sz val="9"/>
        <color theme="1"/>
        <rFont val="Century Schoolbook"/>
        <family val="1"/>
      </rPr>
      <t>2.-</t>
    </r>
    <r>
      <rPr>
        <sz val="10"/>
        <color theme="1"/>
        <rFont val="Arial Narrow"/>
      </rPr>
      <t xml:space="preserve"> Coordinar la adquisición de libros por biblioteca.
</t>
    </r>
    <r>
      <rPr>
        <b/>
        <sz val="9"/>
        <color theme="1"/>
        <rFont val="Century Schoolbook"/>
        <family val="1"/>
      </rPr>
      <t>3.-</t>
    </r>
    <r>
      <rPr>
        <sz val="10"/>
        <color theme="1"/>
        <rFont val="Arial Narrow"/>
      </rPr>
      <t xml:space="preserve"> Revisar y corregir los proceso de adquisición de libros por biblioteca.
</t>
    </r>
    <r>
      <rPr>
        <b/>
        <sz val="9"/>
        <color theme="1"/>
        <rFont val="Century Schoolbook"/>
        <family val="1"/>
      </rPr>
      <t>4.-</t>
    </r>
    <r>
      <rPr>
        <sz val="10"/>
        <color theme="1"/>
        <rFont val="Arial Narrow"/>
      </rPr>
      <t xml:space="preserve"> Coordinar y aprobar el proceso de automatización del Sistema de Bibliotecas.
</t>
    </r>
    <r>
      <rPr>
        <b/>
        <sz val="9"/>
        <color theme="1"/>
        <rFont val="Century Schoolbook"/>
        <family val="1"/>
      </rPr>
      <t>5.-</t>
    </r>
    <r>
      <rPr>
        <sz val="10"/>
        <color theme="1"/>
        <rFont val="Arial Narrow"/>
      </rPr>
      <t xml:space="preserve"> Coordinar el proceso de promoción  de los servicios y recursos de información.
</t>
    </r>
    <r>
      <rPr>
        <b/>
        <sz val="9"/>
        <color theme="1"/>
        <rFont val="Century Schoolbook"/>
        <family val="1"/>
      </rPr>
      <t>6.-</t>
    </r>
    <r>
      <rPr>
        <sz val="10"/>
        <color theme="1"/>
        <rFont val="Arial Narrow"/>
      </rPr>
      <t xml:space="preserve"> Aplicar acciones correctivas según cumplimiento de las metas planificadas.</t>
    </r>
  </si>
  <si>
    <r>
      <rPr>
        <b/>
        <sz val="9"/>
        <color theme="1"/>
        <rFont val="Century Schoolbook"/>
        <family val="1"/>
      </rPr>
      <t>1.-</t>
    </r>
    <r>
      <rPr>
        <sz val="10"/>
        <color theme="1"/>
        <rFont val="Arial Narrow"/>
      </rPr>
      <t xml:space="preserve"> Identificar necesidades informativas por carreras.
</t>
    </r>
    <r>
      <rPr>
        <b/>
        <sz val="9"/>
        <color theme="1"/>
        <rFont val="Century Schoolbook"/>
        <family val="1"/>
      </rPr>
      <t>2.-</t>
    </r>
    <r>
      <rPr>
        <sz val="10"/>
        <color theme="1"/>
        <rFont val="Arial Narrow"/>
      </rPr>
      <t xml:space="preserve"> Generar estudios de DSI para los docentes, a través del Sistema PMB.
</t>
    </r>
    <r>
      <rPr>
        <b/>
        <sz val="9"/>
        <color theme="1"/>
        <rFont val="Century Schoolbook"/>
        <family val="1"/>
      </rPr>
      <t>3.-</t>
    </r>
    <r>
      <rPr>
        <sz val="10"/>
        <color theme="1"/>
        <rFont val="Arial Narrow"/>
      </rPr>
      <t xml:space="preserve"> Elaborar Boletines según resultados de la DSI.
</t>
    </r>
    <r>
      <rPr>
        <b/>
        <sz val="9"/>
        <color theme="1"/>
        <rFont val="Century Schoolbook"/>
        <family val="1"/>
      </rPr>
      <t>4.-</t>
    </r>
    <r>
      <rPr>
        <sz val="10"/>
        <color theme="1"/>
        <rFont val="Arial Narrow"/>
      </rPr>
      <t xml:space="preserve"> Promocionar los Boletines en el Portal Web del Sistema de Bibliotecas.</t>
    </r>
  </si>
  <si>
    <r>
      <rPr>
        <b/>
        <sz val="9"/>
        <color theme="1"/>
        <rFont val="Century Schoolbook"/>
        <family val="1"/>
      </rPr>
      <t>1.-</t>
    </r>
    <r>
      <rPr>
        <sz val="10"/>
        <color theme="1"/>
        <rFont val="Arial Narrow"/>
      </rPr>
      <t xml:space="preserve"> Revisar y actualizar el servidor web.
</t>
    </r>
    <r>
      <rPr>
        <b/>
        <sz val="9"/>
        <color theme="1"/>
        <rFont val="Century Schoolbook"/>
        <family val="1"/>
      </rPr>
      <t>2.-</t>
    </r>
    <r>
      <rPr>
        <sz val="10"/>
        <color theme="1"/>
        <rFont val="Arial Narrow"/>
      </rPr>
      <t xml:space="preserve"> Respaldar la bases de datos.
</t>
    </r>
    <r>
      <rPr>
        <b/>
        <sz val="9"/>
        <color theme="1"/>
        <rFont val="Century Schoolbook"/>
        <family val="1"/>
      </rPr>
      <t>3.-</t>
    </r>
    <r>
      <rPr>
        <sz val="10"/>
        <color theme="1"/>
        <rFont val="Arial Narrow"/>
      </rPr>
      <t xml:space="preserve"> Publicar noticias.
</t>
    </r>
    <r>
      <rPr>
        <b/>
        <sz val="9"/>
        <color theme="1"/>
        <rFont val="Century Schoolbook"/>
        <family val="1"/>
      </rPr>
      <t>4.-</t>
    </r>
    <r>
      <rPr>
        <sz val="10"/>
        <color theme="1"/>
        <rFont val="Arial Narrow"/>
      </rPr>
      <t xml:space="preserve"> Actualizar servicios bibliotecarios insertado en el Portal Web.
</t>
    </r>
    <r>
      <rPr>
        <b/>
        <sz val="9"/>
        <color theme="1"/>
        <rFont val="Century Schoolbook"/>
        <family val="1"/>
      </rPr>
      <t>5.-</t>
    </r>
    <r>
      <rPr>
        <sz val="10"/>
        <color theme="1"/>
        <rFont val="Arial Narrow"/>
      </rPr>
      <t xml:space="preserve"> Publicar información de los servicios bibliotecarios.</t>
    </r>
  </si>
  <si>
    <r>
      <rPr>
        <b/>
        <sz val="9"/>
        <color theme="1"/>
        <rFont val="Century Schoolbook"/>
        <family val="1"/>
      </rPr>
      <t>1.-</t>
    </r>
    <r>
      <rPr>
        <sz val="10"/>
        <color theme="1"/>
        <rFont val="Arial Narrow"/>
      </rPr>
      <t xml:space="preserve"> Revisar el Sistema de Titulación para seleccionar los documentos que se van a ingresar al Repositorio.
</t>
    </r>
    <r>
      <rPr>
        <b/>
        <sz val="9"/>
        <color theme="1"/>
        <rFont val="Century Schoolbook"/>
        <family val="1"/>
      </rPr>
      <t>2.-</t>
    </r>
    <r>
      <rPr>
        <sz val="10"/>
        <color theme="1"/>
        <rFont val="Arial Narrow"/>
      </rPr>
      <t xml:space="preserve"> Ingresar los documentos al Repositorio según tipología y formato.
</t>
    </r>
    <r>
      <rPr>
        <b/>
        <sz val="9"/>
        <color theme="1"/>
        <rFont val="Century Schoolbook"/>
        <family val="1"/>
      </rPr>
      <t>3.-</t>
    </r>
    <r>
      <rPr>
        <sz val="10"/>
        <color theme="1"/>
        <rFont val="Arial Narrow"/>
      </rPr>
      <t xml:space="preserve"> Normalizar las palabras claves y los nombres de los autores.
</t>
    </r>
    <r>
      <rPr>
        <b/>
        <sz val="9"/>
        <color theme="1"/>
        <rFont val="Century Schoolbook"/>
        <family val="1"/>
      </rPr>
      <t>4.-</t>
    </r>
    <r>
      <rPr>
        <sz val="10"/>
        <color theme="1"/>
        <rFont val="Arial Narrow"/>
      </rPr>
      <t xml:space="preserve"> Actualizar el Repositorio según estándares nacionales e internacionales.</t>
    </r>
  </si>
  <si>
    <r>
      <rPr>
        <b/>
        <sz val="9"/>
        <color theme="1"/>
        <rFont val="Century Schoolbook"/>
        <family val="1"/>
      </rPr>
      <t>1.-</t>
    </r>
    <r>
      <rPr>
        <sz val="10"/>
        <color theme="1"/>
        <rFont val="Arial Narrow"/>
      </rPr>
      <t xml:space="preserve"> Actualizar catálogo en línea con los últimos libros ingresados al Sistema Integral de Gestión de Biblioteca "PMB".</t>
    </r>
  </si>
  <si>
    <r>
      <rPr>
        <b/>
        <sz val="9"/>
        <color theme="1"/>
        <rFont val="Century Schoolbook"/>
        <family val="1"/>
      </rPr>
      <t>1.-</t>
    </r>
    <r>
      <rPr>
        <sz val="10"/>
        <color theme="1"/>
        <rFont val="Arial Narrow"/>
      </rPr>
      <t xml:space="preserve"> Recibir los libros adquiridos por compra o donación.
</t>
    </r>
    <r>
      <rPr>
        <b/>
        <sz val="9"/>
        <color theme="1"/>
        <rFont val="Century Schoolbook"/>
        <family val="1"/>
      </rPr>
      <t>2.-</t>
    </r>
    <r>
      <rPr>
        <sz val="10"/>
        <color theme="1"/>
        <rFont val="Arial Narrow"/>
      </rPr>
      <t xml:space="preserve"> Realizar la clasificación según el Sistema de Clasificación "Dewey".
</t>
    </r>
    <r>
      <rPr>
        <b/>
        <sz val="9"/>
        <color theme="1"/>
        <rFont val="Century Schoolbook"/>
        <family val="1"/>
      </rPr>
      <t>3.-</t>
    </r>
    <r>
      <rPr>
        <sz val="10"/>
        <color theme="1"/>
        <rFont val="Arial Narrow"/>
      </rPr>
      <t xml:space="preserve"> Realizar la catalogación según las Normas Angloamericanas.
</t>
    </r>
    <r>
      <rPr>
        <b/>
        <sz val="9"/>
        <color theme="1"/>
        <rFont val="Century Schoolbook"/>
        <family val="1"/>
      </rPr>
      <t>4.-</t>
    </r>
    <r>
      <rPr>
        <sz val="10"/>
        <color theme="1"/>
        <rFont val="Arial Narrow"/>
      </rPr>
      <t xml:space="preserve"> Realizar la indización con la consultas de Tesauros especializados.
</t>
    </r>
    <r>
      <rPr>
        <b/>
        <sz val="9"/>
        <color theme="1"/>
        <rFont val="Century Schoolbook"/>
        <family val="1"/>
      </rPr>
      <t>5.-</t>
    </r>
    <r>
      <rPr>
        <sz val="10"/>
        <color theme="1"/>
        <rFont val="Arial Narrow"/>
      </rPr>
      <t xml:space="preserve"> Realizar la habilitación física de los documentos.
</t>
    </r>
    <r>
      <rPr>
        <b/>
        <sz val="9"/>
        <color theme="1"/>
        <rFont val="Century Schoolbook"/>
        <family val="1"/>
      </rPr>
      <t>6.-</t>
    </r>
    <r>
      <rPr>
        <sz val="10"/>
        <color theme="1"/>
        <rFont val="Arial Narrow"/>
      </rPr>
      <t xml:space="preserve"> Ingresar los libros clasificados, catalogados e indizados al Sistema Integral de Gestión de Biblioteca "PMB".</t>
    </r>
  </si>
  <si>
    <r>
      <rPr>
        <b/>
        <sz val="9"/>
        <color theme="1"/>
        <rFont val="Century Schoolbook"/>
        <family val="1"/>
      </rPr>
      <t>1.-</t>
    </r>
    <r>
      <rPr>
        <sz val="10"/>
        <color theme="1"/>
        <rFont val="Arial Narrow"/>
      </rPr>
      <t xml:space="preserve"> Elaborar proyectos de capacitaciones para proveedores, docentes y estudiantes de postgrado.
</t>
    </r>
    <r>
      <rPr>
        <b/>
        <sz val="9"/>
        <color theme="1"/>
        <rFont val="Century Schoolbook"/>
        <family val="1"/>
      </rPr>
      <t>2.-</t>
    </r>
    <r>
      <rPr>
        <sz val="10"/>
        <color theme="1"/>
        <rFont val="Arial Narrow"/>
      </rPr>
      <t xml:space="preserve"> Recibir solicitudes para capacitaciones de pregrado y programar dichas capacitaciones.
</t>
    </r>
    <r>
      <rPr>
        <b/>
        <sz val="9"/>
        <color theme="1"/>
        <rFont val="Century Schoolbook"/>
        <family val="1"/>
      </rPr>
      <t>3.-</t>
    </r>
    <r>
      <rPr>
        <sz val="10"/>
        <color theme="1"/>
        <rFont val="Arial Narrow"/>
      </rPr>
      <t xml:space="preserve"> Realizar capacitaciones a docentes y estudiantes sobre el Uso y Acceso de los servicios bibliotecarios.</t>
    </r>
  </si>
  <si>
    <r>
      <rPr>
        <b/>
        <sz val="9"/>
        <color theme="1"/>
        <rFont val="Century Schoolbook"/>
        <family val="1"/>
      </rPr>
      <t>1.-</t>
    </r>
    <r>
      <rPr>
        <sz val="10"/>
        <color theme="1"/>
        <rFont val="Arial Narrow"/>
      </rPr>
      <t xml:space="preserve"> Realizar inventario de la biblioteca e identificar el estado de las colecciones bibliográficas de cada biblioteca.
</t>
    </r>
    <r>
      <rPr>
        <b/>
        <sz val="9"/>
        <color theme="1"/>
        <rFont val="Century Schoolbook"/>
        <family val="1"/>
      </rPr>
      <t>2.-</t>
    </r>
    <r>
      <rPr>
        <sz val="10"/>
        <color theme="1"/>
        <rFont val="Arial Narrow"/>
      </rPr>
      <t xml:space="preserve"> Aplicar acciones para la conservación y mantenimiento de las colecciones bibliográficas de las biblioteca, según el diagnóstico realizado.</t>
    </r>
  </si>
  <si>
    <r>
      <rPr>
        <b/>
        <sz val="9"/>
        <color theme="1"/>
        <rFont val="Century Schoolbook"/>
        <family val="1"/>
      </rPr>
      <t>1.-</t>
    </r>
    <r>
      <rPr>
        <sz val="10"/>
        <color theme="1"/>
        <rFont val="Arial Narrow"/>
      </rPr>
      <t xml:space="preserve"> Seleccionar la bibliografía que se debe adquirir según los resultados de los estudios de colecciones y áreas temáticas generales.
</t>
    </r>
    <r>
      <rPr>
        <b/>
        <sz val="9"/>
        <color theme="1"/>
        <rFont val="Century Schoolbook"/>
        <family val="1"/>
      </rPr>
      <t>2.-</t>
    </r>
    <r>
      <rPr>
        <sz val="10"/>
        <color theme="1"/>
        <rFont val="Arial Narrow"/>
      </rPr>
      <t xml:space="preserve"> Revisar las solicitudes realizadas a través del Servicio de Sugerencia de Compras.
</t>
    </r>
    <r>
      <rPr>
        <b/>
        <sz val="9"/>
        <color theme="1"/>
        <rFont val="Century Schoolbook"/>
        <family val="1"/>
      </rPr>
      <t>3.-</t>
    </r>
    <r>
      <rPr>
        <sz val="10"/>
        <color theme="1"/>
        <rFont val="Arial Narrow"/>
      </rPr>
      <t xml:space="preserve"> Elaborar  los requerimientos de compras de las bibliotecas.
</t>
    </r>
    <r>
      <rPr>
        <b/>
        <sz val="9"/>
        <color theme="1"/>
        <rFont val="Century Schoolbook"/>
        <family val="1"/>
      </rPr>
      <t>4.-</t>
    </r>
    <r>
      <rPr>
        <sz val="10"/>
        <color theme="1"/>
        <rFont val="Arial Narrow"/>
      </rPr>
      <t xml:space="preserve"> Solicitar autorización para su correspondiente adquisición.</t>
    </r>
  </si>
  <si>
    <r>
      <rPr>
        <b/>
        <sz val="9"/>
        <color theme="1"/>
        <rFont val="Century Schoolbook"/>
        <family val="1"/>
      </rPr>
      <t>1.-</t>
    </r>
    <r>
      <rPr>
        <sz val="10"/>
        <color theme="1"/>
        <rFont val="Arial Narrow"/>
      </rPr>
      <t xml:space="preserve"> Respaldar la Base de Datos del PMB.
</t>
    </r>
    <r>
      <rPr>
        <b/>
        <sz val="9"/>
        <color theme="1"/>
        <rFont val="Century Schoolbook"/>
        <family val="1"/>
      </rPr>
      <t>2.-</t>
    </r>
    <r>
      <rPr>
        <sz val="10"/>
        <color theme="1"/>
        <rFont val="Arial Narrow"/>
      </rPr>
      <t xml:space="preserve"> Ingresar y actualizar los usuarios al sistema.
</t>
    </r>
    <r>
      <rPr>
        <b/>
        <sz val="9"/>
        <color theme="1"/>
        <rFont val="Century Schoolbook"/>
        <family val="1"/>
      </rPr>
      <t>3.-</t>
    </r>
    <r>
      <rPr>
        <sz val="10"/>
        <color theme="1"/>
        <rFont val="Arial Narrow"/>
      </rPr>
      <t xml:space="preserve"> Revisar registros, ejemplares y autoridades.
</t>
    </r>
    <r>
      <rPr>
        <b/>
        <sz val="9"/>
        <color theme="1"/>
        <rFont val="Century Schoolbook"/>
        <family val="1"/>
      </rPr>
      <t>4.-</t>
    </r>
    <r>
      <rPr>
        <sz val="10"/>
        <color theme="1"/>
        <rFont val="Arial Narrow"/>
      </rPr>
      <t xml:space="preserve"> Actualizar el Sistema.
</t>
    </r>
    <r>
      <rPr>
        <b/>
        <sz val="9"/>
        <color theme="1"/>
        <rFont val="Century Schoolbook"/>
        <family val="1"/>
      </rPr>
      <t>5.-</t>
    </r>
    <r>
      <rPr>
        <sz val="10"/>
        <color theme="1"/>
        <rFont val="Arial Narrow"/>
      </rPr>
      <t xml:space="preserve"> Revisar y actualizar los reportes estadísticos.</t>
    </r>
  </si>
  <si>
    <r>
      <rPr>
        <b/>
        <sz val="9"/>
        <color theme="1"/>
        <rFont val="Century Schoolbook"/>
        <family val="1"/>
      </rPr>
      <t>1.-</t>
    </r>
    <r>
      <rPr>
        <sz val="10"/>
        <color theme="1"/>
        <rFont val="Arial Narrow"/>
      </rPr>
      <t xml:space="preserve"> Planificar metas a ejecutarse por biblioteca.
</t>
    </r>
    <r>
      <rPr>
        <b/>
        <sz val="9"/>
        <color theme="1"/>
        <rFont val="Century Schoolbook"/>
        <family val="1"/>
      </rPr>
      <t>2.-</t>
    </r>
    <r>
      <rPr>
        <sz val="10"/>
        <color theme="1"/>
        <rFont val="Arial Narrow"/>
      </rPr>
      <t xml:space="preserve"> Elaborar POA.
</t>
    </r>
    <r>
      <rPr>
        <b/>
        <sz val="9"/>
        <color theme="1"/>
        <rFont val="Century Schoolbook"/>
        <family val="1"/>
      </rPr>
      <t>3.-</t>
    </r>
    <r>
      <rPr>
        <sz val="10"/>
        <color theme="1"/>
        <rFont val="Arial Narrow"/>
      </rPr>
      <t xml:space="preserve"> Evaluar POA.
</t>
    </r>
    <r>
      <rPr>
        <b/>
        <sz val="9"/>
        <color theme="1"/>
        <rFont val="Century Schoolbook"/>
        <family val="1"/>
      </rPr>
      <t>4.-</t>
    </r>
    <r>
      <rPr>
        <sz val="10"/>
        <color theme="1"/>
        <rFont val="Arial Narrow"/>
      </rPr>
      <t xml:space="preserve"> Elaborar informe de cumplimiento y presentar evidencia.</t>
    </r>
  </si>
  <si>
    <r>
      <rPr>
        <b/>
        <sz val="9"/>
        <color theme="1"/>
        <rFont val="Century Schoolbook"/>
        <family val="1"/>
      </rPr>
      <t>1.-</t>
    </r>
    <r>
      <rPr>
        <sz val="10"/>
        <color theme="1"/>
        <rFont val="Arial Narrow"/>
      </rPr>
      <t xml:space="preserve"> Seleccionar y clasificar documentos por su tipología.
</t>
    </r>
    <r>
      <rPr>
        <b/>
        <sz val="9"/>
        <color theme="1"/>
        <rFont val="Century Schoolbook"/>
        <family val="1"/>
      </rPr>
      <t>2.-</t>
    </r>
    <r>
      <rPr>
        <sz val="10"/>
        <color theme="1"/>
        <rFont val="Arial Narrow"/>
      </rPr>
      <t xml:space="preserve"> Organizar en carpetas los documentos clasificados.</t>
    </r>
  </si>
  <si>
    <r>
      <rPr>
        <b/>
        <sz val="9"/>
        <color theme="1"/>
        <rFont val="Century Schoolbook"/>
        <family val="1"/>
      </rPr>
      <t>13.-</t>
    </r>
    <r>
      <rPr>
        <sz val="10"/>
        <color theme="1"/>
        <rFont val="Arial Narrow"/>
      </rPr>
      <t xml:space="preserve"> Organizar el Archivo de Gestión.</t>
    </r>
  </si>
  <si>
    <r>
      <rPr>
        <b/>
        <sz val="9"/>
        <color theme="1"/>
        <rFont val="Century Schoolbook"/>
        <family val="1"/>
      </rPr>
      <t>12.-</t>
    </r>
    <r>
      <rPr>
        <sz val="10"/>
        <color theme="1"/>
        <rFont val="Arial Narrow"/>
      </rPr>
      <t xml:space="preserve"> Presentar las Planificaciones Operativas Anuales y Evaluaciones de la Planificación Operativa Anual.</t>
    </r>
  </si>
  <si>
    <r>
      <rPr>
        <b/>
        <sz val="9"/>
        <color theme="1"/>
        <rFont val="Century Schoolbook"/>
        <family val="1"/>
      </rPr>
      <t>11.-</t>
    </r>
    <r>
      <rPr>
        <sz val="10"/>
        <color theme="1"/>
        <rFont val="Arial Narrow"/>
      </rPr>
      <t xml:space="preserve"> Administrar el Sistema integral de Gestión de Biblioteca.</t>
    </r>
  </si>
  <si>
    <r>
      <rPr>
        <b/>
        <sz val="9"/>
        <color theme="1"/>
        <rFont val="Century Schoolbook"/>
        <family val="1"/>
      </rPr>
      <t>10.-</t>
    </r>
    <r>
      <rPr>
        <sz val="10"/>
        <color theme="1"/>
        <rFont val="Arial Narrow"/>
      </rPr>
      <t xml:space="preserve"> Seleccionar y adquirir bibliografía.</t>
    </r>
  </si>
  <si>
    <r>
      <rPr>
        <b/>
        <sz val="9"/>
        <color theme="1"/>
        <rFont val="Century Schoolbook"/>
        <family val="1"/>
      </rPr>
      <t>8.-</t>
    </r>
    <r>
      <rPr>
        <sz val="10"/>
        <color theme="1"/>
        <rFont val="Arial Narrow"/>
      </rPr>
      <t xml:space="preserve"> Formar usuarios en el uso de la información.</t>
    </r>
  </si>
  <si>
    <r>
      <rPr>
        <b/>
        <sz val="9"/>
        <color theme="1"/>
        <rFont val="Century Schoolbook"/>
        <family val="1"/>
      </rPr>
      <t>7.-</t>
    </r>
    <r>
      <rPr>
        <sz val="10"/>
        <color theme="1"/>
        <rFont val="Arial Narrow"/>
      </rPr>
      <t xml:space="preserve"> Prestar documentos bibliográficos.</t>
    </r>
  </si>
  <si>
    <r>
      <rPr>
        <b/>
        <sz val="9"/>
        <color theme="1"/>
        <rFont val="Century Schoolbook"/>
        <family val="1"/>
      </rPr>
      <t>6.-</t>
    </r>
    <r>
      <rPr>
        <sz val="10"/>
        <color theme="1"/>
        <rFont val="Arial Narrow"/>
      </rPr>
      <t xml:space="preserve"> Clasificar, catalogar, Indizar y habilitar las colecciones bibliográficas.</t>
    </r>
  </si>
  <si>
    <r>
      <rPr>
        <b/>
        <sz val="9"/>
        <color theme="1"/>
        <rFont val="Century Schoolbook"/>
        <family val="1"/>
      </rPr>
      <t>5.-</t>
    </r>
    <r>
      <rPr>
        <sz val="10"/>
        <color theme="1"/>
        <rFont val="Arial Narrow"/>
      </rPr>
      <t xml:space="preserve"> Actualizar el Catálogo en línea.</t>
    </r>
  </si>
  <si>
    <r>
      <rPr>
        <b/>
        <sz val="9"/>
        <color theme="1"/>
        <rFont val="Century Schoolbook"/>
        <family val="1"/>
      </rPr>
      <t>4.-</t>
    </r>
    <r>
      <rPr>
        <sz val="10"/>
        <color theme="1"/>
        <rFont val="Arial Narrow"/>
      </rPr>
      <t xml:space="preserve"> Administrar el Repositorio digital Académico y Científico.</t>
    </r>
  </si>
  <si>
    <r>
      <rPr>
        <b/>
        <sz val="9"/>
        <color theme="1"/>
        <rFont val="Century Schoolbook"/>
        <family val="1"/>
      </rPr>
      <t>3.-</t>
    </r>
    <r>
      <rPr>
        <sz val="10"/>
        <color theme="1"/>
        <rFont val="Arial Narrow"/>
      </rPr>
      <t xml:space="preserve"> Administrar el Portal web del Sistema de Biblioteca.</t>
    </r>
  </si>
  <si>
    <r>
      <rPr>
        <b/>
        <sz val="9"/>
        <color theme="1"/>
        <rFont val="Century Schoolbook"/>
        <family val="1"/>
      </rPr>
      <t>2.-</t>
    </r>
    <r>
      <rPr>
        <sz val="10"/>
        <color theme="1"/>
        <rFont val="Arial Narrow"/>
      </rPr>
      <t xml:space="preserve"> Promocionar alerta informativa de biblioteca.</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</si>
  <si>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Coordinar el Sistema de Biblioteca.</t>
    </r>
  </si>
  <si>
    <r>
      <rPr>
        <b/>
        <sz val="9"/>
        <color theme="1"/>
        <rFont val="Century Schoolbook"/>
        <family val="1"/>
      </rPr>
      <t>12.-</t>
    </r>
    <r>
      <rPr>
        <sz val="10"/>
        <color theme="1"/>
        <rFont val="Arial Narrow"/>
      </rPr>
      <t xml:space="preserve"> Presentar la Evaluación del Plan Operativo Anual oportunamente.</t>
    </r>
  </si>
  <si>
    <r>
      <rPr>
        <b/>
        <sz val="9"/>
        <color theme="1"/>
        <rFont val="Century Schoolbook"/>
        <family val="1"/>
      </rPr>
      <t>11</t>
    </r>
    <r>
      <rPr>
        <sz val="9"/>
        <color theme="1"/>
        <rFont val="Century Schoolbook"/>
        <family val="1"/>
      </rPr>
      <t>.-</t>
    </r>
    <r>
      <rPr>
        <sz val="10"/>
        <color theme="1"/>
        <rFont val="Arial Narrow"/>
      </rPr>
      <t xml:space="preserve"> Presentar el Plan Operativo Anual oportunamente.</t>
    </r>
  </si>
  <si>
    <r>
      <rPr>
        <b/>
        <sz val="9"/>
        <color theme="1"/>
        <rFont val="Century Schoolbook"/>
        <family val="1"/>
      </rPr>
      <t>10.-</t>
    </r>
    <r>
      <rPr>
        <sz val="10"/>
        <color theme="1"/>
        <rFont val="Arial Narrow"/>
      </rPr>
      <t xml:space="preserve"> Presentar el Plan Anual de Compras oportunamente.</t>
    </r>
  </si>
  <si>
    <r>
      <rPr>
        <b/>
        <sz val="9"/>
        <color theme="1"/>
        <rFont val="Century Schoolbook"/>
        <family val="1"/>
      </rPr>
      <t>9.-</t>
    </r>
    <r>
      <rPr>
        <b/>
        <sz val="10"/>
        <color theme="1"/>
        <rFont val="Arial Narrow"/>
      </rPr>
      <t xml:space="preserve"> </t>
    </r>
    <r>
      <rPr>
        <sz val="10"/>
        <color theme="1"/>
        <rFont val="Arial Narrow"/>
      </rPr>
      <t>Coordinar los procesos para el desarrollo de la propiedad intelectual.</t>
    </r>
  </si>
  <si>
    <r>
      <rPr>
        <b/>
        <sz val="9"/>
        <color theme="1"/>
        <rFont val="Century Schoolbook"/>
        <family val="1"/>
      </rPr>
      <t>8.-</t>
    </r>
    <r>
      <rPr>
        <sz val="10"/>
        <color theme="1"/>
        <rFont val="Arial Narrow"/>
      </rPr>
      <t xml:space="preserve"> Coordinar la gestión de procesos de difusión, divulgación, transferencia tecnológica, de los productos derivados de los programas y proyectos de I + D+i, así como también la participación en redes interinstitucionales.</t>
    </r>
  </si>
  <si>
    <r>
      <rPr>
        <b/>
        <sz val="9"/>
        <color theme="1"/>
        <rFont val="Century Schoolbook"/>
        <family val="1"/>
      </rPr>
      <t>7</t>
    </r>
    <r>
      <rPr>
        <sz val="9"/>
        <color theme="1"/>
        <rFont val="Century Schoolbook"/>
        <family val="1"/>
      </rPr>
      <t>.-</t>
    </r>
    <r>
      <rPr>
        <sz val="10"/>
        <color theme="1"/>
        <rFont val="Arial Narrow"/>
      </rPr>
      <t xml:space="preserve"> Diseñar estrategias para la participación de estudiantes en proyectos de investigación 
formativa.</t>
    </r>
  </si>
  <si>
    <r>
      <rPr>
        <b/>
        <sz val="9"/>
        <color theme="1"/>
        <rFont val="Century Schoolbook"/>
        <family val="1"/>
      </rPr>
      <t>6.-</t>
    </r>
    <r>
      <rPr>
        <sz val="10"/>
        <color theme="1"/>
        <rFont val="Arial Narrow"/>
      </rPr>
      <t xml:space="preserve"> Efectuar el Seguimiento académico a las actividades organizadas a través de los grupos, programas y proyectos de investigación.</t>
    </r>
  </si>
  <si>
    <r>
      <rPr>
        <b/>
        <sz val="9"/>
        <color theme="1"/>
        <rFont val="Century Schoolbook"/>
        <family val="1"/>
      </rPr>
      <t>5.-</t>
    </r>
    <r>
      <rPr>
        <sz val="10"/>
        <color theme="1"/>
        <rFont val="Arial Narrow"/>
      </rPr>
      <t xml:space="preserve"> Diseñar las Convocatorias, portafolios de programas y/ o investigación.</t>
    </r>
  </si>
  <si>
    <r>
      <rPr>
        <b/>
        <sz val="9"/>
        <color theme="1"/>
        <rFont val="Century Schoolbook"/>
        <family val="1"/>
      </rPr>
      <t>4.-</t>
    </r>
    <r>
      <rPr>
        <sz val="10"/>
        <color theme="1"/>
        <rFont val="Arial Narrow"/>
      </rPr>
      <t xml:space="preserve"> Coordinar la ejecución y evaluación de los procesos, programas y proyectos de I+D+i.</t>
    </r>
  </si>
  <si>
    <r>
      <rPr>
        <b/>
        <sz val="9"/>
        <color theme="1"/>
        <rFont val="Century Schoolbook"/>
        <family val="1"/>
      </rPr>
      <t>3.-</t>
    </r>
    <r>
      <rPr>
        <sz val="10"/>
        <color theme="1"/>
        <rFont val="Arial Narrow"/>
      </rPr>
      <t xml:space="preserve"> Gestionar la ejecución del gasto de los recursos planificados para los procesos de Investigación.</t>
    </r>
  </si>
  <si>
    <r>
      <rPr>
        <b/>
        <sz val="9"/>
        <color theme="1"/>
        <rFont val="Century Schoolbook"/>
        <family val="1"/>
      </rPr>
      <t>2.-</t>
    </r>
    <r>
      <rPr>
        <sz val="10"/>
        <color theme="1"/>
        <rFont val="Arial Narrow"/>
      </rPr>
      <t xml:space="preserve"> Consolidar planificaciones específicas de los programas y proyectos de I+D+i.</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</si>
  <si>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Diseñar instrumentos, herramientas o procesos para la gestión operativa de los programas y proyectos de I+D+i.</t>
    </r>
  </si>
  <si>
    <r>
      <rPr>
        <b/>
        <sz val="9"/>
        <color theme="1"/>
        <rFont val="Century Schoolbook"/>
        <family val="1"/>
      </rPr>
      <t>11.-</t>
    </r>
    <r>
      <rPr>
        <sz val="10"/>
        <color theme="1"/>
        <rFont val="Arial Narrow"/>
      </rPr>
      <t xml:space="preserve"> Presentar las Planificaciones Operativas Anuales y Evaluaciones de la Planificaciones Operativas Anuales.</t>
    </r>
  </si>
  <si>
    <r>
      <rPr>
        <b/>
        <sz val="9"/>
        <color theme="1"/>
        <rFont val="Century Schoolbook"/>
        <family val="1"/>
      </rPr>
      <t>10</t>
    </r>
    <r>
      <rPr>
        <sz val="9"/>
        <color theme="1"/>
        <rFont val="Century Schoolbook"/>
        <family val="1"/>
      </rPr>
      <t>.-</t>
    </r>
    <r>
      <rPr>
        <sz val="10"/>
        <color theme="1"/>
        <rFont val="Arial Narrow"/>
      </rPr>
      <t xml:space="preserve"> Emitir Certificaciones  codificadas.</t>
    </r>
  </si>
  <si>
    <r>
      <rPr>
        <b/>
        <sz val="9"/>
        <color theme="1"/>
        <rFont val="Century Schoolbook"/>
        <family val="1"/>
      </rPr>
      <t>9.-</t>
    </r>
    <r>
      <rPr>
        <sz val="10"/>
        <color theme="1"/>
        <rFont val="Arial Narrow"/>
      </rPr>
      <t xml:space="preserve"> Emitir criterios técnicos para la toma de decisiones relacionados con las actividades de investigación, desarrollo e innovación.</t>
    </r>
  </si>
  <si>
    <r>
      <rPr>
        <b/>
        <sz val="9"/>
        <color theme="1"/>
        <rFont val="Century Schoolbook"/>
        <family val="1"/>
      </rPr>
      <t>8.-</t>
    </r>
    <r>
      <rPr>
        <sz val="10"/>
        <color theme="1"/>
        <rFont val="Arial Narrow"/>
      </rPr>
      <t xml:space="preserve"> Gestionar la revisión ética de los procesos o productos de investigación, desarrollo e innovación.</t>
    </r>
  </si>
  <si>
    <r>
      <rPr>
        <b/>
        <sz val="9"/>
        <color theme="1"/>
        <rFont val="Century Schoolbook"/>
        <family val="1"/>
      </rPr>
      <t>7.-</t>
    </r>
    <r>
      <rPr>
        <sz val="10"/>
        <color theme="1"/>
        <rFont val="Arial Narrow"/>
      </rPr>
      <t xml:space="preserve"> Gestionar la articulación de procesos y productos de investigación en los programas de formación de tercer y cuarto nivel, y procesos de perfeccionamiento académico.</t>
    </r>
  </si>
  <si>
    <r>
      <rPr>
        <b/>
        <sz val="9"/>
        <color theme="1"/>
        <rFont val="Century Schoolbook"/>
        <family val="1"/>
      </rPr>
      <t>6.-</t>
    </r>
    <r>
      <rPr>
        <sz val="10"/>
        <color theme="1"/>
        <rFont val="Arial Narrow"/>
      </rPr>
      <t xml:space="preserve"> Diseñar y aplicar políticas para el desarrollo de la propiedad intelectual de los productos derivados de los procesos I+D+i.</t>
    </r>
  </si>
  <si>
    <r>
      <rPr>
        <b/>
        <sz val="9"/>
        <color theme="1"/>
        <rFont val="Century Schoolbook"/>
        <family val="1"/>
      </rPr>
      <t>5.-</t>
    </r>
    <r>
      <rPr>
        <sz val="10"/>
        <color theme="1"/>
        <rFont val="Arial Narrow"/>
      </rPr>
      <t xml:space="preserve"> Gestionar procesos para el reconocimiento al profesorado y estudiantado en relación con sus resultados de investigación, desarrollo e innovación.</t>
    </r>
  </si>
  <si>
    <r>
      <rPr>
        <b/>
        <sz val="9"/>
        <color theme="1"/>
        <rFont val="Century Schoolbook"/>
        <family val="1"/>
      </rPr>
      <t>4.-</t>
    </r>
    <r>
      <rPr>
        <sz val="10"/>
        <color theme="1"/>
        <rFont val="Arial Narrow"/>
      </rPr>
      <t xml:space="preserve"> Gestionar procesos relacionados con la divulgación y difusión del conocimiento científico.</t>
    </r>
  </si>
  <si>
    <r>
      <rPr>
        <b/>
        <sz val="9"/>
        <color theme="1"/>
        <rFont val="Century Schoolbook"/>
        <family val="1"/>
      </rPr>
      <t>3.-</t>
    </r>
    <r>
      <rPr>
        <sz val="10"/>
        <color theme="1"/>
        <rFont val="Arial Narrow"/>
      </rPr>
      <t xml:space="preserve"> Diseñar y/o actualizar planes específicos de capacitación para el desarrollo y fomento de competencias en investigación, desarrollo e innovación.</t>
    </r>
  </si>
  <si>
    <r>
      <rPr>
        <b/>
        <sz val="9"/>
        <color theme="1"/>
        <rFont val="Century Schoolbook"/>
        <family val="1"/>
      </rPr>
      <t>2.-</t>
    </r>
    <r>
      <rPr>
        <sz val="10"/>
        <color theme="1"/>
        <rFont val="Arial Narrow"/>
      </rPr>
      <t xml:space="preserve"> Gestionar programas, proyectos, actividades, normativa, colectivos u otros procesos relacionados con la investigación, el desarrollo y la innovación.</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</si>
  <si>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Diseñar y/o actualizar la Planificación anual de los procesos de investigación.</t>
    </r>
  </si>
  <si>
    <r>
      <rPr>
        <b/>
        <sz val="9"/>
        <color theme="1"/>
        <rFont val="Century Schoolbook"/>
        <family val="1"/>
      </rPr>
      <t>5.-</t>
    </r>
    <r>
      <rPr>
        <sz val="10"/>
        <color theme="1"/>
        <rFont val="Arial Narrow"/>
      </rPr>
      <t xml:space="preserve"> Gestionar la internacionalización de los proyectos de investigación a través de la implementación del modelo de transferencia tecnológica y científica con énfasis en los nudos problematizadores identificados a nivel zonal.</t>
    </r>
  </si>
  <si>
    <r>
      <rPr>
        <b/>
        <sz val="9"/>
        <color theme="1"/>
        <rFont val="Century Schoolbook"/>
        <family val="1"/>
      </rPr>
      <t>4.-</t>
    </r>
    <r>
      <rPr>
        <sz val="10"/>
        <color theme="1"/>
        <rFont val="Arial Narrow"/>
      </rPr>
      <t xml:space="preserve"> Evaluar el nivel de transferencia tecnológica a través de la valoración del impacto de los resultados de investigación.</t>
    </r>
  </si>
  <si>
    <r>
      <rPr>
        <b/>
        <sz val="9"/>
        <color theme="1"/>
        <rFont val="Century Schoolbook"/>
        <family val="1"/>
      </rPr>
      <t>3.-</t>
    </r>
    <r>
      <rPr>
        <sz val="10"/>
        <color theme="1"/>
        <rFont val="Arial Narrow"/>
      </rPr>
      <t xml:space="preserve"> Evaluar las competencias de investigación de los estudiantes a través del impacto de la participación estudiantil en proyectos de investigación formativa y científica.</t>
    </r>
  </si>
  <si>
    <r>
      <rPr>
        <b/>
        <sz val="9"/>
        <color theme="1"/>
        <rFont val="Century Schoolbook"/>
        <family val="1"/>
      </rPr>
      <t>2.-</t>
    </r>
    <r>
      <rPr>
        <sz val="10"/>
        <color theme="1"/>
        <rFont val="Arial Narrow"/>
      </rPr>
      <t xml:space="preserve"> Incrementar los resultados de desarrollo e innovación a través de la gestión de proyectos de investigación.</t>
    </r>
  </si>
  <si>
    <r>
      <rPr>
        <b/>
        <sz val="10"/>
        <color rgb="FFFF0000"/>
        <rFont val="Arial Narrow"/>
      </rPr>
      <t>METAS ESTRATÉGICAS</t>
    </r>
    <r>
      <rPr>
        <b/>
        <sz val="10"/>
        <color theme="1"/>
        <rFont val="Arial Narrow"/>
      </rPr>
      <t xml:space="preserve">
</t>
    </r>
    <r>
      <rPr>
        <b/>
        <sz val="9"/>
        <color theme="1"/>
        <rFont val="Century Schoolbook"/>
        <family val="1"/>
      </rPr>
      <t>1.-</t>
    </r>
    <r>
      <rPr>
        <b/>
        <sz val="10"/>
        <color theme="1"/>
        <rFont val="Arial Narrow"/>
      </rPr>
      <t xml:space="preserve"> </t>
    </r>
    <r>
      <rPr>
        <sz val="10"/>
        <color theme="1"/>
        <rFont val="Arial Narrow"/>
      </rPr>
      <t>Fortalecer la integración de los ejes sustantivos a través de la implementación del modelo de transferencia tecnológica y científica con énfasis en los nudos problematizadores identificados a nivel zonal.</t>
    </r>
  </si>
  <si>
    <t>Modelo de transferencia tecnológica y científica, desarrollado.</t>
  </si>
  <si>
    <t>Competencias de los estudiantes a través de la participación en proyectos de investigación formativa y científica, evaluadas.</t>
  </si>
  <si>
    <t>Articulación de procesos y productos de investigación en los programas de formación de tercer y cuarto nivel, y procesos de perfeccionamiento académico, gestionados.</t>
  </si>
  <si>
    <t>Convocatorias, portafolios de programas y/ o investigación diseñadas.</t>
  </si>
  <si>
    <t>Estrategias para la participación de estudiantes en proyectos de investigación formativa, diseñadas.</t>
  </si>
  <si>
    <t>Gestión de procesos de difusión, divulgación, transferencia tecnológica, de los productos derivados de los programas y proyectos de I + D+i, así como también la participación en redes interinstitucionales, coordinada.</t>
  </si>
  <si>
    <t>N° de objetivos ejecutados del Plan Anual de Investigación de la UTMACH.</t>
  </si>
  <si>
    <t>Proyectos de investigación con impacto internacional que formen parte del modelo de transferencia tecnológica y científica orientado a atender los nudos problematizadores identificados a nivel zonal, gestionados.</t>
  </si>
  <si>
    <t xml:space="preserve">Varios análisis de laboratorio (PH, M.ORGÁNICA TOTAL, P, K, Ca, Mg, Cu).(Textura, Saturación de bases (bases + CIC) / Análisis de muestras de laboratorio (Físicos, Químicos)  </t>
  </si>
  <si>
    <r>
      <t xml:space="preserve">ARMARIO BIBLIOTECA </t>
    </r>
    <r>
      <rPr>
        <sz val="10"/>
        <color theme="1"/>
        <rFont val="Century Schoolbook"/>
        <family val="1"/>
      </rPr>
      <t>900</t>
    </r>
    <r>
      <rPr>
        <sz val="10"/>
        <color theme="1"/>
        <rFont val="Arial Narrow"/>
      </rPr>
      <t xml:space="preserve">MM X </t>
    </r>
    <r>
      <rPr>
        <sz val="10"/>
        <color theme="1"/>
        <rFont val="Century Schoolbook"/>
        <family val="1"/>
      </rPr>
      <t>3500</t>
    </r>
    <r>
      <rPr>
        <sz val="10"/>
        <color theme="1"/>
        <rFont val="Arial Narrow"/>
      </rPr>
      <t xml:space="preserve">MM X </t>
    </r>
    <r>
      <rPr>
        <sz val="10"/>
        <color theme="1"/>
        <rFont val="Century Schoolbook"/>
        <family val="1"/>
      </rPr>
      <t>2000</t>
    </r>
    <r>
      <rPr>
        <sz val="10"/>
        <color theme="1"/>
        <rFont val="Arial Narrow"/>
      </rPr>
      <t>MM</t>
    </r>
  </si>
  <si>
    <r>
      <t>IMPRESORA MULTIFUNCIONAL COLOR A</t>
    </r>
    <r>
      <rPr>
        <sz val="10"/>
        <color theme="1"/>
        <rFont val="Century Schoolbook"/>
        <family val="1"/>
      </rPr>
      <t>4</t>
    </r>
    <r>
      <rPr>
        <sz val="10"/>
        <color theme="1"/>
        <rFont val="Arial Narrow"/>
      </rPr>
      <t xml:space="preserve"> ALTO VOLUMEN</t>
    </r>
  </si>
  <si>
    <r>
      <t xml:space="preserve">DPLAN: Se modifica parcialmente los egresos en la partida </t>
    </r>
    <r>
      <rPr>
        <sz val="10"/>
        <color theme="1"/>
        <rFont val="Century Schoolbook"/>
        <family val="1"/>
      </rPr>
      <t>840107</t>
    </r>
    <r>
      <rPr>
        <sz val="10"/>
        <color theme="1"/>
        <rFont val="Arial Narrow"/>
      </rPr>
      <t xml:space="preserve"> por superar el </t>
    </r>
    <r>
      <rPr>
        <sz val="10"/>
        <color theme="1"/>
        <rFont val="Century Schoolbook"/>
        <family val="1"/>
      </rPr>
      <t>20%</t>
    </r>
    <r>
      <rPr>
        <sz val="10"/>
        <color theme="1"/>
        <rFont val="Arial Narrow"/>
      </rPr>
      <t xml:space="preserve"> del máximo disponible para egresos en el grupo 84 del Clasificador Presupuestario; la necesidad consta en el POA </t>
    </r>
    <r>
      <rPr>
        <sz val="10"/>
        <color theme="1"/>
        <rFont val="Century Schoolbook"/>
        <family val="1"/>
      </rPr>
      <t>17</t>
    </r>
    <r>
      <rPr>
        <sz val="10"/>
        <color theme="1"/>
        <rFont val="Arial Narrow"/>
      </rPr>
      <t>. DTIC.</t>
    </r>
  </si>
  <si>
    <t>* Mayiya González Illescas,
  Directora del CEPOS
* Alicia Illescas Zaruma,
  Analista de Gestión
* Hamilton Cedillo Rodríguez,
  Analista de Gestión</t>
  </si>
  <si>
    <t xml:space="preserve">
* Mayiya González Illescas,
  Directora del CEPOS
* Hamilton Cedillo                        Rodríguez,
  Analista de Gestión
* Alicia Illescas Zaruma,
  Analista de Gestión
* Jazmin Eras López,
  Analista Informático</t>
  </si>
  <si>
    <t>* Hamilton Cedillo,
  Analista de Gestión
* Mayiya González Illescas,
  Directora del CEPOS</t>
  </si>
  <si>
    <t xml:space="preserve">* Mayiya González Illescas,
  Directora del CEPOS
* Joselyn Herrera Torres,
  Secretaria Abogado del CEPOS
</t>
  </si>
  <si>
    <t xml:space="preserve">* Mayiya González Illescas,
  Directora del CEPOS
* Génesis Garrido López,
  Asistente Técnico Administrativa
</t>
  </si>
  <si>
    <t>* Mayiya González Illescas,
  Directora del CEPOS
* Joselyn Herrera Torres,
  Secretaria Abogada
* Génesis Garrido López,
  Asistente Técnico Administrativa</t>
  </si>
  <si>
    <r>
      <rPr>
        <b/>
        <sz val="9"/>
        <color theme="1"/>
        <rFont val="Century Schoolbook"/>
        <family val="1"/>
      </rPr>
      <t>1.-</t>
    </r>
    <r>
      <rPr>
        <sz val="10"/>
        <color theme="1"/>
        <rFont val="Arial Narrow"/>
      </rPr>
      <t xml:space="preserve"> Documento final con el estudio de pertinencia.
</t>
    </r>
    <r>
      <rPr>
        <b/>
        <sz val="9"/>
        <color theme="1"/>
        <rFont val="Century Schoolbook"/>
        <family val="1"/>
      </rPr>
      <t>2.-</t>
    </r>
    <r>
      <rPr>
        <sz val="10"/>
        <color theme="1"/>
        <rFont val="Arial Narrow"/>
      </rPr>
      <t xml:space="preserve"> Documento final del estudio de demanda.
</t>
    </r>
    <r>
      <rPr>
        <b/>
        <sz val="9"/>
        <color theme="1"/>
        <rFont val="Century Schoolbook"/>
        <family val="1"/>
      </rPr>
      <t>3.-</t>
    </r>
    <r>
      <rPr>
        <sz val="10"/>
        <color theme="1"/>
        <rFont val="Arial Narrow"/>
      </rPr>
      <t xml:space="preserve"> Diseño del programa según Guía para la presentación de programas de posgrado emitido por el CES.
</t>
    </r>
    <r>
      <rPr>
        <b/>
        <sz val="9"/>
        <color theme="1"/>
        <rFont val="Century Schoolbook"/>
        <family val="1"/>
      </rPr>
      <t>4.-</t>
    </r>
    <r>
      <rPr>
        <sz val="10"/>
        <color theme="1"/>
        <rFont val="Arial Narrow"/>
      </rPr>
      <t xml:space="preserve"> Resoluciones de aprobación del Programa de maestría emitidos por el CP, CU y el CES.
</t>
    </r>
    <r>
      <rPr>
        <b/>
        <sz val="9"/>
        <color theme="1"/>
        <rFont val="Century Schoolbook"/>
        <family val="1"/>
      </rPr>
      <t>5.-</t>
    </r>
    <r>
      <rPr>
        <sz val="10"/>
        <color theme="1"/>
        <rFont val="Arial Narrow"/>
      </rPr>
      <t xml:space="preserve"> Oficio con la solicitud y justificativo del ajuste curricular de la maestría, emitido por el coordinador académico del programa.
</t>
    </r>
    <r>
      <rPr>
        <b/>
        <sz val="9"/>
        <color theme="1"/>
        <rFont val="Century Schoolbook"/>
        <family val="1"/>
      </rPr>
      <t>6.-</t>
    </r>
    <r>
      <rPr>
        <sz val="10"/>
        <color theme="1"/>
        <rFont val="Arial Narrow"/>
      </rPr>
      <t xml:space="preserve"> Resolución de aprobación del ajuste curricular emitido por el CP y el CU.
</t>
    </r>
    <r>
      <rPr>
        <b/>
        <sz val="9"/>
        <color theme="1"/>
        <rFont val="Century Schoolbook"/>
        <family val="1"/>
      </rPr>
      <t>7.-</t>
    </r>
    <r>
      <rPr>
        <sz val="10"/>
        <color theme="1"/>
        <rFont val="Arial Narrow"/>
      </rPr>
      <t xml:space="preserve"> Resolución de aprobación del CES en caso de que este ajuste curricular sea sustantivo.
</t>
    </r>
    <r>
      <rPr>
        <b/>
        <sz val="9"/>
        <color theme="1"/>
        <rFont val="Century Schoolbook"/>
        <family val="1"/>
      </rPr>
      <t>8.-</t>
    </r>
    <r>
      <rPr>
        <sz val="10"/>
        <color theme="1"/>
        <rFont val="Arial Narrow"/>
      </rPr>
      <t xml:space="preserve"> Matriz del Estado del diseño y/o rediseño de la oferta académica de posgrado.</t>
    </r>
  </si>
  <si>
    <r>
      <rPr>
        <b/>
        <sz val="9"/>
        <color theme="1"/>
        <rFont val="Century Schoolbook"/>
        <family val="1"/>
      </rPr>
      <t>1.-</t>
    </r>
    <r>
      <rPr>
        <sz val="10"/>
        <color theme="1"/>
        <rFont val="Arial Narrow"/>
      </rPr>
      <t xml:space="preserve"> Resolución de la convocatoria para el proceso de admisión por programa de posgrado.
</t>
    </r>
    <r>
      <rPr>
        <b/>
        <sz val="9"/>
        <color theme="1"/>
        <rFont val="Century Schoolbook"/>
        <family val="1"/>
      </rPr>
      <t>2.-</t>
    </r>
    <r>
      <rPr>
        <sz val="10"/>
        <color theme="1"/>
        <rFont val="Arial Narrow"/>
      </rPr>
      <t xml:space="preserve"> Inscripción (en línea).
</t>
    </r>
    <r>
      <rPr>
        <b/>
        <sz val="9"/>
        <color theme="1"/>
        <rFont val="Century Schoolbook"/>
        <family val="1"/>
      </rPr>
      <t>3.-</t>
    </r>
    <r>
      <rPr>
        <sz val="10"/>
        <color theme="1"/>
        <rFont val="Arial Narrow"/>
      </rPr>
      <t xml:space="preserve"> Instrumentos y resultados de Test, evaluación y/o entrevista para la admisión (según planificación del programa).
</t>
    </r>
    <r>
      <rPr>
        <b/>
        <sz val="9"/>
        <color theme="1"/>
        <rFont val="Century Schoolbook"/>
        <family val="1"/>
      </rPr>
      <t>4.-</t>
    </r>
    <r>
      <rPr>
        <sz val="10"/>
        <color theme="1"/>
        <rFont val="Arial Narrow"/>
      </rPr>
      <t xml:space="preserve"> Publicación de los resultados de admisión(mediante página oficial de posgrado).
</t>
    </r>
    <r>
      <rPr>
        <b/>
        <sz val="9"/>
        <color theme="1"/>
        <rFont val="Century Schoolbook"/>
        <family val="1"/>
      </rPr>
      <t>5.-</t>
    </r>
    <r>
      <rPr>
        <sz val="10"/>
        <color theme="1"/>
        <rFont val="Arial Narrow"/>
      </rPr>
      <t xml:space="preserve"> Resolución  del CU sobre el calendario académico.
</t>
    </r>
    <r>
      <rPr>
        <b/>
        <sz val="9"/>
        <color theme="1"/>
        <rFont val="Century Schoolbook"/>
        <family val="1"/>
      </rPr>
      <t>6.-</t>
    </r>
    <r>
      <rPr>
        <sz val="10"/>
        <color theme="1"/>
        <rFont val="Arial Narrow"/>
      </rPr>
      <t xml:space="preserve"> Reporte de estudiantes admitidos y matriculados.</t>
    </r>
  </si>
  <si>
    <r>
      <rPr>
        <b/>
        <sz val="9"/>
        <color theme="1"/>
        <rFont val="Century Schoolbook"/>
        <family val="1"/>
      </rPr>
      <t>1.-</t>
    </r>
    <r>
      <rPr>
        <sz val="10"/>
        <color theme="1"/>
        <rFont val="Arial Narrow"/>
        <family val="2"/>
      </rPr>
      <t xml:space="preserve"> Reporte de gestión de la oferta académica por programas.
</t>
    </r>
    <r>
      <rPr>
        <b/>
        <sz val="9"/>
        <color theme="1"/>
        <rFont val="Century Schoolbook"/>
        <family val="1"/>
      </rPr>
      <t>2.-</t>
    </r>
    <r>
      <rPr>
        <sz val="10"/>
        <color theme="1"/>
        <rFont val="Arial Narrow"/>
        <family val="2"/>
      </rPr>
      <t xml:space="preserve"> Resoluciones de aprobación por parte del CES de los programas de posgrado  de la UTMACH.
</t>
    </r>
    <r>
      <rPr>
        <b/>
        <sz val="9"/>
        <color theme="1"/>
        <rFont val="Century Schoolbook"/>
        <family val="1"/>
      </rPr>
      <t>3.-</t>
    </r>
    <r>
      <rPr>
        <sz val="10"/>
        <color theme="1"/>
        <rFont val="Arial Narrow"/>
        <family val="2"/>
      </rPr>
      <t xml:space="preserve"> Calendarios académicos por programa.
</t>
    </r>
    <r>
      <rPr>
        <b/>
        <sz val="9"/>
        <color theme="1"/>
        <rFont val="Century Schoolbook"/>
        <family val="1"/>
      </rPr>
      <t>4.-</t>
    </r>
    <r>
      <rPr>
        <sz val="10"/>
        <color theme="1"/>
        <rFont val="Arial Narrow"/>
        <family val="2"/>
      </rPr>
      <t xml:space="preserve"> Registros de evaluaciones por asignaturas en cada programa.
</t>
    </r>
    <r>
      <rPr>
        <b/>
        <sz val="9"/>
        <color theme="1"/>
        <rFont val="Century Schoolbook"/>
        <family val="1"/>
      </rPr>
      <t>5.-</t>
    </r>
    <r>
      <rPr>
        <sz val="10"/>
        <color theme="1"/>
        <rFont val="Arial Narrow"/>
        <family val="2"/>
      </rPr>
      <t xml:space="preserve"> Registro de asistencia por asignaturas en cada programa.
</t>
    </r>
    <r>
      <rPr>
        <b/>
        <sz val="9"/>
        <color theme="1"/>
        <rFont val="Century Schoolbook"/>
        <family val="1"/>
      </rPr>
      <t>6.-</t>
    </r>
    <r>
      <rPr>
        <sz val="10"/>
        <color theme="1"/>
        <rFont val="Arial Narrow"/>
        <family val="2"/>
      </rPr>
      <t xml:space="preserve"> Reporte de gestión de la oferta académica por programas.</t>
    </r>
  </si>
  <si>
    <r>
      <rPr>
        <b/>
        <sz val="9"/>
        <color theme="1"/>
        <rFont val="Century Schoolbook"/>
        <family val="1"/>
      </rPr>
      <t>1.-</t>
    </r>
    <r>
      <rPr>
        <sz val="10"/>
        <color theme="1"/>
        <rFont val="Arial Narrow"/>
        <family val="2"/>
      </rPr>
      <t xml:space="preserve"> Oficio con solicitud de emisión de aptitud legal de la coordinación del programa.
</t>
    </r>
    <r>
      <rPr>
        <b/>
        <sz val="9"/>
        <color theme="1"/>
        <rFont val="Century Schoolbook"/>
        <family val="1"/>
      </rPr>
      <t>2.-</t>
    </r>
    <r>
      <rPr>
        <sz val="10"/>
        <color theme="1"/>
        <rFont val="Arial Narrow"/>
        <family val="2"/>
      </rPr>
      <t xml:space="preserve"> Documentación enviada a la UMMOG de la facultad para aprobar aptitud legal.
</t>
    </r>
    <r>
      <rPr>
        <b/>
        <sz val="9"/>
        <color theme="1"/>
        <rFont val="Century Schoolbook"/>
        <family val="1"/>
      </rPr>
      <t>4.-</t>
    </r>
    <r>
      <rPr>
        <sz val="10"/>
        <color theme="1"/>
        <rFont val="Arial Narrow"/>
        <family val="2"/>
      </rPr>
      <t xml:space="preserve"> Listado de estudiantes enviados a Secretaría General para inscripción de títulos de cuarto nivel.
</t>
    </r>
    <r>
      <rPr>
        <b/>
        <sz val="9"/>
        <color theme="1"/>
        <rFont val="Century Schoolbook"/>
        <family val="1"/>
      </rPr>
      <t>5.-</t>
    </r>
    <r>
      <rPr>
        <sz val="10"/>
        <color theme="1"/>
        <rFont val="Arial Narrow"/>
        <family val="2"/>
      </rPr>
      <t xml:space="preserve"> Informe final del proceso de titulación por programa de posgrado.</t>
    </r>
  </si>
  <si>
    <r>
      <rPr>
        <b/>
        <sz val="9"/>
        <color theme="1"/>
        <rFont val="Century Schoolbook"/>
        <family val="1"/>
      </rPr>
      <t>1.-</t>
    </r>
    <r>
      <rPr>
        <sz val="10"/>
        <color theme="1"/>
        <rFont val="Arial Narrow"/>
      </rPr>
      <t xml:space="preserve"> Oficios con las solicitudes  de los procesos de compras de bienes y servicios por programas a la Empresa Pública UTMACH-EP.
</t>
    </r>
    <r>
      <rPr>
        <b/>
        <sz val="9"/>
        <color theme="1"/>
        <rFont val="Century Schoolbook"/>
        <family val="1"/>
      </rPr>
      <t>2.-</t>
    </r>
    <r>
      <rPr>
        <sz val="10"/>
        <color theme="1"/>
        <rFont val="Arial Narrow"/>
      </rPr>
      <t xml:space="preserve"> Reporte mensual de ingresos y solicitudes de bienes y servicios.</t>
    </r>
  </si>
  <si>
    <r>
      <rPr>
        <b/>
        <sz val="9"/>
        <color theme="1"/>
        <rFont val="Century Schoolbook"/>
        <family val="1"/>
      </rPr>
      <t>1.-</t>
    </r>
    <r>
      <rPr>
        <sz val="10"/>
        <color theme="1"/>
        <rFont val="Arial Narrow"/>
      </rPr>
      <t xml:space="preserve"> Seleccionar la Comisión de Diseño Curricular del programa.
</t>
    </r>
    <r>
      <rPr>
        <b/>
        <sz val="9"/>
        <color theme="1"/>
        <rFont val="Century Schoolbook"/>
        <family val="1"/>
      </rPr>
      <t>2.-</t>
    </r>
    <r>
      <rPr>
        <sz val="10"/>
        <color theme="1"/>
        <rFont val="Arial Narrow"/>
      </rPr>
      <t xml:space="preserve"> Proponer un perfil para el proyecto de diseño de maestría.
</t>
    </r>
    <r>
      <rPr>
        <b/>
        <sz val="9"/>
        <color theme="1"/>
        <rFont val="Century Schoolbook"/>
        <family val="1"/>
      </rPr>
      <t>3.-</t>
    </r>
    <r>
      <rPr>
        <sz val="10"/>
        <color theme="1"/>
        <rFont val="Arial Narrow"/>
      </rPr>
      <t xml:space="preserve"> Desarrollar del estudio de pertinencia.
</t>
    </r>
    <r>
      <rPr>
        <b/>
        <sz val="9"/>
        <color theme="1"/>
        <rFont val="Century Schoolbook"/>
        <family val="1"/>
      </rPr>
      <t>4.-</t>
    </r>
    <r>
      <rPr>
        <sz val="10"/>
        <color theme="1"/>
        <rFont val="Arial Narrow"/>
      </rPr>
      <t xml:space="preserve"> Desarrollar el estudio de demanda.
</t>
    </r>
    <r>
      <rPr>
        <b/>
        <sz val="9"/>
        <color theme="1"/>
        <rFont val="Century Schoolbook"/>
        <family val="1"/>
      </rPr>
      <t>5.-</t>
    </r>
    <r>
      <rPr>
        <sz val="10"/>
        <color theme="1"/>
        <rFont val="Arial Narrow"/>
      </rPr>
      <t xml:space="preserve"> Realizar el Diseño Curricular apegado a la Guía para la presentación de programas de posgrado emitido por el CES.
</t>
    </r>
    <r>
      <rPr>
        <b/>
        <sz val="9"/>
        <color theme="1"/>
        <rFont val="Century Schoolbook"/>
        <family val="1"/>
      </rPr>
      <t>6.-</t>
    </r>
    <r>
      <rPr>
        <sz val="10"/>
        <color theme="1"/>
        <rFont val="Arial Narrow"/>
      </rPr>
      <t xml:space="preserve"> Presentar el documento final y sus anexos para su aprobación en el CP, CU y CES.
</t>
    </r>
    <r>
      <rPr>
        <b/>
        <sz val="9"/>
        <color theme="1"/>
        <rFont val="Century Schoolbook"/>
        <family val="1"/>
      </rPr>
      <t>7.-</t>
    </r>
    <r>
      <rPr>
        <sz val="10"/>
        <color theme="1"/>
        <rFont val="Arial Narrow"/>
      </rPr>
      <t xml:space="preserve"> Atender las observaciones derivadas del facilitador académico externo, SENESCYT y CES.
</t>
    </r>
    <r>
      <rPr>
        <b/>
        <sz val="9"/>
        <color theme="1"/>
        <rFont val="Century Schoolbook"/>
        <family val="1"/>
      </rPr>
      <t>8.-</t>
    </r>
    <r>
      <rPr>
        <sz val="10"/>
        <color theme="1"/>
        <rFont val="Arial Narrow"/>
      </rPr>
      <t xml:space="preserve"> Solicitar al Consejo de Posgrado el ajuste curricular pertinente con la debida justificación.
</t>
    </r>
    <r>
      <rPr>
        <b/>
        <sz val="9"/>
        <color theme="1"/>
        <rFont val="Century Schoolbook"/>
        <family val="1"/>
      </rPr>
      <t>9.-</t>
    </r>
    <r>
      <rPr>
        <sz val="10"/>
        <color theme="1"/>
        <rFont val="Arial Narrow"/>
      </rPr>
      <t xml:space="preserve"> Gestionar el ajuste curricular ante el CP y CU.</t>
    </r>
  </si>
  <si>
    <r>
      <rPr>
        <b/>
        <sz val="9"/>
        <color theme="1"/>
        <rFont val="Century Schoolbook"/>
        <family val="1"/>
      </rPr>
      <t>1.-</t>
    </r>
    <r>
      <rPr>
        <sz val="10"/>
        <color theme="1"/>
        <rFont val="Arial Narrow"/>
      </rPr>
      <t xml:space="preserve"> Realizar la convocatoria para el proceso de admisión por programa de posgrado.
</t>
    </r>
    <r>
      <rPr>
        <b/>
        <sz val="9"/>
        <color theme="1"/>
        <rFont val="Century Schoolbook"/>
        <family val="1"/>
      </rPr>
      <t>2.-</t>
    </r>
    <r>
      <rPr>
        <sz val="10"/>
        <color theme="1"/>
        <rFont val="Arial Narrow"/>
      </rPr>
      <t xml:space="preserve"> Desarrollar la Inscripción (en línea).
</t>
    </r>
    <r>
      <rPr>
        <b/>
        <sz val="9"/>
        <color theme="1"/>
        <rFont val="Century Schoolbook"/>
        <family val="1"/>
      </rPr>
      <t>3.-</t>
    </r>
    <r>
      <rPr>
        <sz val="10"/>
        <color theme="1"/>
        <rFont val="Arial Narrow"/>
      </rPr>
      <t xml:space="preserve"> Aplicar Test, evaluación y/o entrevista para la admisión (según planificación del programa).
</t>
    </r>
    <r>
      <rPr>
        <b/>
        <sz val="9"/>
        <color theme="1"/>
        <rFont val="Century Schoolbook"/>
        <family val="1"/>
      </rPr>
      <t>4.-</t>
    </r>
    <r>
      <rPr>
        <sz val="10"/>
        <color theme="1"/>
        <rFont val="Arial Narrow"/>
      </rPr>
      <t xml:space="preserve"> Publicar los resultados de admisión(mediante página oficial de la Universidad).
</t>
    </r>
    <r>
      <rPr>
        <b/>
        <sz val="9"/>
        <color theme="1"/>
        <rFont val="Century Schoolbook"/>
        <family val="1"/>
      </rPr>
      <t>5.-</t>
    </r>
    <r>
      <rPr>
        <sz val="10"/>
        <color theme="1"/>
        <rFont val="Arial Narrow"/>
      </rPr>
      <t xml:space="preserve"> Desarrollar las matrículas ordinarias por programa de posgrado.
</t>
    </r>
    <r>
      <rPr>
        <b/>
        <sz val="9"/>
        <color theme="1"/>
        <rFont val="Century Schoolbook"/>
        <family val="1"/>
      </rPr>
      <t>6.-</t>
    </r>
    <r>
      <rPr>
        <sz val="10"/>
        <color theme="1"/>
        <rFont val="Arial Narrow"/>
      </rPr>
      <t xml:space="preserve"> Desarrollar las matrículas extraordinarias por programa de posgrado.
</t>
    </r>
    <r>
      <rPr>
        <b/>
        <sz val="9"/>
        <color theme="1"/>
        <rFont val="Century Schoolbook"/>
        <family val="1"/>
      </rPr>
      <t>7.-</t>
    </r>
    <r>
      <rPr>
        <sz val="10"/>
        <color theme="1"/>
        <rFont val="Arial Narrow"/>
      </rPr>
      <t xml:space="preserve"> Iniciar clases por programa de posgrado.</t>
    </r>
  </si>
  <si>
    <r>
      <rPr>
        <b/>
        <sz val="9"/>
        <color theme="1"/>
        <rFont val="Century Schoolbook"/>
        <family val="1"/>
      </rPr>
      <t>1.-</t>
    </r>
    <r>
      <rPr>
        <sz val="10"/>
        <color theme="1"/>
        <rFont val="Arial Narrow"/>
      </rPr>
      <t xml:space="preserve"> Diseñar reporte de gestión de la oferta académica de programas.
</t>
    </r>
    <r>
      <rPr>
        <b/>
        <sz val="9"/>
        <color theme="1"/>
        <rFont val="Century Schoolbook"/>
        <family val="1"/>
      </rPr>
      <t>2.-</t>
    </r>
    <r>
      <rPr>
        <sz val="10"/>
        <color theme="1"/>
        <rFont val="Arial Narrow"/>
      </rPr>
      <t xml:space="preserve"> Gestionar el proceso docente de los programas de posgrado en oferta.</t>
    </r>
  </si>
  <si>
    <r>
      <rPr>
        <b/>
        <sz val="9"/>
        <color theme="1"/>
        <rFont val="Century Schoolbook"/>
        <family val="1"/>
      </rPr>
      <t>1.-</t>
    </r>
    <r>
      <rPr>
        <sz val="10"/>
        <color theme="1"/>
        <rFont val="Arial Narrow"/>
      </rPr>
      <t xml:space="preserve"> Ejecutar el proceso de matriculación.
</t>
    </r>
    <r>
      <rPr>
        <b/>
        <sz val="9"/>
        <color theme="1"/>
        <rFont val="Century Schoolbook"/>
        <family val="1"/>
      </rPr>
      <t>2.-</t>
    </r>
    <r>
      <rPr>
        <sz val="10"/>
        <color theme="1"/>
        <rFont val="Arial Narrow"/>
      </rPr>
      <t xml:space="preserve"> Elaborar el registro de control a tutorías.
</t>
    </r>
    <r>
      <rPr>
        <b/>
        <sz val="9"/>
        <color theme="1"/>
        <rFont val="Century Schoolbook"/>
        <family val="1"/>
      </rPr>
      <t>3.-</t>
    </r>
    <r>
      <rPr>
        <sz val="10"/>
        <color theme="1"/>
        <rFont val="Arial Narrow"/>
      </rPr>
      <t xml:space="preserve"> Elaborar el informe final de las tutorías.
</t>
    </r>
    <r>
      <rPr>
        <b/>
        <sz val="9"/>
        <color theme="1"/>
        <rFont val="Century Schoolbook"/>
        <family val="1"/>
      </rPr>
      <t>4.-</t>
    </r>
    <r>
      <rPr>
        <sz val="10"/>
        <color theme="1"/>
        <rFont val="Arial Narrow"/>
      </rPr>
      <t xml:space="preserve"> Elaborar las rúbricas para la evaluación escrita y oral del proceso de titulación.
</t>
    </r>
    <r>
      <rPr>
        <b/>
        <sz val="9"/>
        <color theme="1"/>
        <rFont val="Century Schoolbook"/>
        <family val="1"/>
      </rPr>
      <t>5.-</t>
    </r>
    <r>
      <rPr>
        <sz val="10"/>
        <color theme="1"/>
        <rFont val="Arial Narrow"/>
      </rPr>
      <t xml:space="preserve"> Elaborar el informe final del proceso de titulación de posgrado.</t>
    </r>
  </si>
  <si>
    <r>
      <rPr>
        <b/>
        <sz val="9"/>
        <color theme="1"/>
        <rFont val="Century Schoolbook"/>
        <family val="1"/>
      </rPr>
      <t>1.-</t>
    </r>
    <r>
      <rPr>
        <sz val="10"/>
        <color theme="1"/>
        <rFont val="Arial Narrow"/>
      </rPr>
      <t xml:space="preserve"> Solicitar de manera oportuna los procesos de compras por programas de bienes y servicios a la Empresa Pública UTMACH-EP.
</t>
    </r>
    <r>
      <rPr>
        <b/>
        <sz val="9"/>
        <color theme="1"/>
        <rFont val="Century Schoolbook"/>
        <family val="1"/>
      </rPr>
      <t>2.-</t>
    </r>
    <r>
      <rPr>
        <sz val="10"/>
        <color theme="1"/>
        <rFont val="Arial Narrow"/>
      </rPr>
      <t xml:space="preserve"> Reportar mensualmente los ingresos por programas  a la Empresa Pública UTMACH-EP.</t>
    </r>
  </si>
  <si>
    <r>
      <rPr>
        <b/>
        <sz val="9"/>
        <color theme="1"/>
        <rFont val="Century Schoolbook"/>
        <family val="1"/>
      </rPr>
      <t>1.-</t>
    </r>
    <r>
      <rPr>
        <sz val="10"/>
        <color theme="1"/>
        <rFont val="Arial Narrow"/>
      </rPr>
      <t xml:space="preserve"> Evaluar los Planes Operativos Anuales (</t>
    </r>
    <r>
      <rPr>
        <sz val="10"/>
        <color theme="1"/>
        <rFont val="Century Schoolbook"/>
        <family val="1"/>
      </rPr>
      <t>2023</t>
    </r>
    <r>
      <rPr>
        <sz val="10"/>
        <color theme="1"/>
        <rFont val="Arial Narrow"/>
      </rPr>
      <t xml:space="preserve">).
</t>
    </r>
    <r>
      <rPr>
        <b/>
        <sz val="9"/>
        <color theme="1"/>
        <rFont val="Century Schoolbook"/>
        <family val="1"/>
      </rPr>
      <t>2.-</t>
    </r>
    <r>
      <rPr>
        <sz val="10"/>
        <color theme="1"/>
        <rFont val="Arial Narrow"/>
      </rPr>
      <t xml:space="preserve"> Planificar los Planes Operativos Anuales (</t>
    </r>
    <r>
      <rPr>
        <sz val="10"/>
        <color theme="1"/>
        <rFont val="Century Schoolbook"/>
        <family val="1"/>
      </rPr>
      <t>2024</t>
    </r>
    <r>
      <rPr>
        <sz val="10"/>
        <color theme="1"/>
        <rFont val="Arial Narrow"/>
      </rPr>
      <t>).</t>
    </r>
  </si>
  <si>
    <t>N° de oficios y/o documentos emitidos, registrados en el inventario documental.</t>
  </si>
  <si>
    <t>N° de Planes Operativos Anuales y evaluación del POA.</t>
  </si>
  <si>
    <t>N° de solicitudes emitidas de pagos de bienes y servicios por programas de posgrados.</t>
  </si>
  <si>
    <t>N° de programas de maestrías en procesos de titulación.</t>
  </si>
  <si>
    <t>N° total de programas en oferta académica.</t>
  </si>
  <si>
    <t>N° total de estudiantes admitidos y matriculados por programas de posgrado.</t>
  </si>
  <si>
    <t>N° de programas diseñados y/o rediseñados de posgrado.</t>
  </si>
  <si>
    <r>
      <rPr>
        <b/>
        <sz val="9"/>
        <color theme="1"/>
        <rFont val="Century Schoolbook"/>
        <family val="1"/>
      </rPr>
      <t>7.-</t>
    </r>
    <r>
      <rPr>
        <sz val="10"/>
        <color theme="1"/>
        <rFont val="Arial Narrow"/>
      </rPr>
      <t xml:space="preserve"> Organizar el Archivo de Gestión.</t>
    </r>
  </si>
  <si>
    <r>
      <rPr>
        <b/>
        <sz val="9"/>
        <color theme="1"/>
        <rFont val="Century Schoolbook"/>
        <family val="1"/>
      </rPr>
      <t>6.-</t>
    </r>
    <r>
      <rPr>
        <sz val="10"/>
        <color theme="1"/>
        <rFont val="Arial Narrow"/>
      </rPr>
      <t xml:space="preserve"> Entregar la Planificación y Evaluación del Plan Operativo Anual.</t>
    </r>
  </si>
  <si>
    <r>
      <rPr>
        <b/>
        <sz val="9"/>
        <color theme="1"/>
        <rFont val="Century Schoolbook"/>
        <family val="1"/>
      </rPr>
      <t>5.-</t>
    </r>
    <r>
      <rPr>
        <sz val="10"/>
        <color theme="1"/>
        <rFont val="Arial Narrow"/>
      </rPr>
      <t xml:space="preserve"> Gestionar administrativamente los procesos de pagos de bienes y servicios de los programas de posgrado.</t>
    </r>
  </si>
  <si>
    <r>
      <rPr>
        <b/>
        <sz val="9"/>
        <color theme="1"/>
        <rFont val="Century Schoolbook"/>
        <family val="1"/>
      </rPr>
      <t>4.-</t>
    </r>
    <r>
      <rPr>
        <sz val="10"/>
        <color theme="1"/>
        <rFont val="Arial Narrow"/>
      </rPr>
      <t xml:space="preserve"> Coordinar el proceso de titulación.</t>
    </r>
  </si>
  <si>
    <r>
      <rPr>
        <b/>
        <sz val="9"/>
        <color theme="1"/>
        <rFont val="Century Schoolbook"/>
        <family val="1"/>
      </rPr>
      <t>3.-</t>
    </r>
    <r>
      <rPr>
        <sz val="10"/>
        <color theme="1"/>
        <rFont val="Arial Narrow"/>
      </rPr>
      <t xml:space="preserve"> Gestionar la oferta Académica de Posgrado.</t>
    </r>
  </si>
  <si>
    <r>
      <rPr>
        <b/>
        <sz val="9"/>
        <color theme="1"/>
        <rFont val="Century Schoolbook"/>
        <family val="1"/>
      </rPr>
      <t>2.-</t>
    </r>
    <r>
      <rPr>
        <sz val="10"/>
        <color theme="1"/>
        <rFont val="Arial Narrow"/>
      </rPr>
      <t xml:space="preserve"> Ejecutar el proceso de Admisión y Matrícula de los Programas de Posgrados.</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</si>
  <si>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Coordinar de proceso del Diseño y/o rediseño de la Oferta de Posgrado.</t>
    </r>
  </si>
  <si>
    <t>* Mayiya González Illescas,
  Directora del CEPOS
* Hamilton Cedillo     Rodríguez,
  Analista de Gestión
* Alicia Illescas Zaruma,
  Analista de Gestión</t>
  </si>
  <si>
    <r>
      <rPr>
        <b/>
        <sz val="9"/>
        <color theme="1"/>
        <rFont val="Century Schoolbook"/>
        <family val="1"/>
      </rPr>
      <t>1.-</t>
    </r>
    <r>
      <rPr>
        <sz val="10"/>
        <color theme="1"/>
        <rFont val="Arial Narrow"/>
      </rPr>
      <t xml:space="preserve"> Proponer reformas a las normativas vigentes.
</t>
    </r>
    <r>
      <rPr>
        <b/>
        <sz val="9"/>
        <color theme="1"/>
        <rFont val="Century Schoolbook"/>
        <family val="1"/>
      </rPr>
      <t>2.-</t>
    </r>
    <r>
      <rPr>
        <sz val="10"/>
        <color theme="1"/>
        <rFont val="Arial Narrow"/>
      </rPr>
      <t xml:space="preserve"> Gestionar la aprobación ante el CP y el CU de las reformas propuestas a la normativa vigente.
</t>
    </r>
    <r>
      <rPr>
        <b/>
        <sz val="9"/>
        <color theme="1"/>
        <rFont val="Century Schoolbook"/>
        <family val="1"/>
      </rPr>
      <t>3.-</t>
    </r>
    <r>
      <rPr>
        <sz val="10"/>
        <color theme="1"/>
        <rFont val="Arial Narrow"/>
      </rPr>
      <t xml:space="preserve"> Diseñar reglamentos, instructivos e instrumentos de control, seguimiento y evaluación de los procesos académicos de los programas de posgrados.
</t>
    </r>
    <r>
      <rPr>
        <b/>
        <sz val="9"/>
        <color theme="1"/>
        <rFont val="Century Schoolbook"/>
        <family val="1"/>
      </rPr>
      <t>4.-</t>
    </r>
    <r>
      <rPr>
        <sz val="10"/>
        <color theme="1"/>
        <rFont val="Arial Narrow"/>
      </rPr>
      <t xml:space="preserve"> Gestionar la aprobación ante el CP y el CU de las nuevas propuestas de reglamentos, instructivos e instrumentos de control, seguimiento y evaluación de los procesos académicos de los programas de posgrados.
</t>
    </r>
    <r>
      <rPr>
        <b/>
        <sz val="9"/>
        <color theme="1"/>
        <rFont val="Century Schoolbook"/>
        <family val="1"/>
      </rPr>
      <t>5.-</t>
    </r>
    <r>
      <rPr>
        <sz val="10"/>
        <color theme="1"/>
        <rFont val="Arial Narrow"/>
      </rPr>
      <t xml:space="preserve"> Gestionar la comunicación entre el posgrado y las demás áreas o departamentos dentro y fuera de los predios universitarios, así como con particulares.</t>
    </r>
  </si>
  <si>
    <r>
      <rPr>
        <b/>
        <sz val="9"/>
        <color theme="1"/>
        <rFont val="Century Schoolbook"/>
        <family val="1"/>
      </rPr>
      <t>1.-</t>
    </r>
    <r>
      <rPr>
        <sz val="10"/>
        <color theme="1"/>
        <rFont val="Arial Narrow"/>
      </rPr>
      <t xml:space="preserve"> Oficio al Consejo de Posgrado de las reformas normativas vigentes .
</t>
    </r>
    <r>
      <rPr>
        <b/>
        <sz val="9"/>
        <color theme="1"/>
        <rFont val="Century Schoolbook"/>
        <family val="1"/>
      </rPr>
      <t>2.-</t>
    </r>
    <r>
      <rPr>
        <sz val="10"/>
        <color theme="1"/>
        <rFont val="Arial Narrow"/>
      </rPr>
      <t xml:space="preserve"> Resoluciones de aprobación del CP y el CU de las reformas propuestas a la normativa vigente.
</t>
    </r>
    <r>
      <rPr>
        <b/>
        <sz val="9"/>
        <color theme="1"/>
        <rFont val="Century Schoolbook"/>
        <family val="1"/>
      </rPr>
      <t>3.-</t>
    </r>
    <r>
      <rPr>
        <sz val="10"/>
        <color theme="1"/>
        <rFont val="Arial Narrow"/>
      </rPr>
      <t xml:space="preserve"> Oficio al Consejo de Posgrado con la solicitud análisis de los reglamentos, instructivos e instrumentos de control, seguimiento y evaluación de los procesos académicos de los programas de posgrados.
</t>
    </r>
    <r>
      <rPr>
        <b/>
        <sz val="9"/>
        <color theme="1"/>
        <rFont val="Century Schoolbook"/>
        <family val="1"/>
      </rPr>
      <t>4.-</t>
    </r>
    <r>
      <rPr>
        <sz val="10"/>
        <color theme="1"/>
        <rFont val="Arial Narrow"/>
      </rPr>
      <t xml:space="preserve"> Resoluciones de aprobación ante el CP y el CU de las nuevas propuestas de reglamentos, instructivos e instrumentos de control, seguimiento y evaluación de los procesos académicos de los programas de posgrados.
</t>
    </r>
    <r>
      <rPr>
        <b/>
        <sz val="9"/>
        <color theme="1"/>
        <rFont val="Century Schoolbook"/>
        <family val="1"/>
      </rPr>
      <t>5.-</t>
    </r>
    <r>
      <rPr>
        <sz val="10"/>
        <color theme="1"/>
        <rFont val="Arial Narrow"/>
      </rPr>
      <t xml:space="preserve"> Inventario documental.
</t>
    </r>
    <r>
      <rPr>
        <b/>
        <sz val="9"/>
        <color theme="1"/>
        <rFont val="Century Schoolbook"/>
        <family val="1"/>
      </rPr>
      <t>6.-</t>
    </r>
    <r>
      <rPr>
        <sz val="10"/>
        <color theme="1"/>
        <rFont val="Arial Narrow"/>
      </rPr>
      <t xml:space="preserve"> Oficios de comunicaciones enviadas o recibidas.</t>
    </r>
  </si>
  <si>
    <r>
      <t xml:space="preserve">Pasajes áreas para estudiantes universitarios en base a los compromisos </t>
    </r>
    <r>
      <rPr>
        <b/>
        <sz val="10"/>
        <color theme="1"/>
        <rFont val="Arial Narrow"/>
        <family val="2"/>
      </rPr>
      <t>asumidos por convenios y membresías</t>
    </r>
  </si>
  <si>
    <r>
      <t xml:space="preserve">No se considera planificación de dicha meta en razón de que:
</t>
    </r>
    <r>
      <rPr>
        <b/>
        <sz val="9"/>
        <color theme="1"/>
        <rFont val="Century Schoolbook"/>
        <family val="1"/>
      </rPr>
      <t>1.-</t>
    </r>
    <r>
      <rPr>
        <sz val="10"/>
        <color theme="1"/>
        <rFont val="Arial Narrow"/>
        <family val="2"/>
      </rPr>
      <t xml:space="preserve"> No existe normativa que permita habilitar dicho proceso al ser parte de un nuevo producto de esta dependencia
</t>
    </r>
    <r>
      <rPr>
        <b/>
        <sz val="9"/>
        <color theme="1"/>
        <rFont val="Century Schoolbook"/>
        <family val="1"/>
      </rPr>
      <t>2.-</t>
    </r>
    <r>
      <rPr>
        <sz val="10"/>
        <color theme="1"/>
        <rFont val="Arial Narrow"/>
        <family val="2"/>
      </rPr>
      <t xml:space="preserve"> En la actualidad no existe la unidad de internacionalización ni personal a cargo de dicho de indicador.</t>
    </r>
  </si>
  <si>
    <r>
      <t xml:space="preserve">DPLAN: Se modifican parcialmente los egresos en la partida </t>
    </r>
    <r>
      <rPr>
        <sz val="10"/>
        <color theme="1"/>
        <rFont val="Century Schoolbook"/>
        <family val="1"/>
      </rPr>
      <t>840107</t>
    </r>
    <r>
      <rPr>
        <sz val="10"/>
        <color theme="1"/>
        <rFont val="Arial Narrow"/>
        <family val="2"/>
      </rPr>
      <t xml:space="preserve"> por superar el </t>
    </r>
    <r>
      <rPr>
        <sz val="10"/>
        <color theme="1"/>
        <rFont val="Century Schoolbook"/>
        <family val="1"/>
      </rPr>
      <t>20%</t>
    </r>
    <r>
      <rPr>
        <sz val="10"/>
        <color theme="1"/>
        <rFont val="Arial Narrow"/>
        <family val="2"/>
      </rPr>
      <t xml:space="preserve"> del máximo disponible para egresos en el grupo </t>
    </r>
    <r>
      <rPr>
        <sz val="10"/>
        <color theme="1"/>
        <rFont val="Century Schoolbook"/>
        <family val="1"/>
      </rPr>
      <t>84</t>
    </r>
    <r>
      <rPr>
        <sz val="10"/>
        <color theme="1"/>
        <rFont val="Arial Narrow"/>
        <family val="2"/>
      </rPr>
      <t xml:space="preserve"> del Clasificador Presupuestario; la necesidad debe gestionarse el próximo año con la DTIC y/o reprogramar los recursos en caso de ser necesario por efectos del seguimiento presupuestario.</t>
    </r>
  </si>
  <si>
    <r>
      <t xml:space="preserve">DPLAN: Se modifican parcialmente los egresos en las partidas </t>
    </r>
    <r>
      <rPr>
        <sz val="10"/>
        <color theme="1"/>
        <rFont val="Century Schoolbook"/>
        <family val="1"/>
      </rPr>
      <t>840103</t>
    </r>
    <r>
      <rPr>
        <sz val="10"/>
        <color theme="1"/>
        <rFont val="Arial Narrow"/>
        <family val="2"/>
      </rPr>
      <t xml:space="preserve"> y </t>
    </r>
    <r>
      <rPr>
        <sz val="10"/>
        <color theme="1"/>
        <rFont val="Century Schoolbook"/>
        <family val="1"/>
      </rPr>
      <t>840107</t>
    </r>
    <r>
      <rPr>
        <sz val="10"/>
        <color theme="1"/>
        <rFont val="Arial Narrow"/>
        <family val="2"/>
      </rPr>
      <t xml:space="preserve"> por superar el </t>
    </r>
    <r>
      <rPr>
        <sz val="10"/>
        <color theme="1"/>
        <rFont val="Century Schoolbook"/>
        <family val="1"/>
      </rPr>
      <t>20%</t>
    </r>
    <r>
      <rPr>
        <sz val="10"/>
        <color theme="1"/>
        <rFont val="Arial Narrow"/>
        <family val="2"/>
      </rPr>
      <t xml:space="preserve"> del máximo disponible para egresos en el grupo </t>
    </r>
    <r>
      <rPr>
        <sz val="10"/>
        <color theme="1"/>
        <rFont val="Century Schoolbook"/>
        <family val="1"/>
      </rPr>
      <t>84</t>
    </r>
    <r>
      <rPr>
        <sz val="10"/>
        <color theme="1"/>
        <rFont val="Arial Narrow"/>
        <family val="2"/>
      </rPr>
      <t xml:space="preserve"> del Clasificador Presupuestario; la necesidad debe gestionarse el próximo año con la DTIC y DADM; y/o, reprogramar los recursos en caso de ser necesario por efectos del seguimiento presupuestario.</t>
    </r>
  </si>
  <si>
    <r>
      <t xml:space="preserve">DPLAN: Se prescinde de la planificación de egresos en la partida </t>
    </r>
    <r>
      <rPr>
        <sz val="10"/>
        <color theme="1"/>
        <rFont val="Century Schoolbook"/>
        <family val="1"/>
      </rPr>
      <t>530829</t>
    </r>
    <r>
      <rPr>
        <sz val="10"/>
        <color theme="1"/>
        <rFont val="Arial Narrow"/>
        <family val="2"/>
      </rPr>
      <t xml:space="preserve">, por cuanto estas necesidades para investigación formativa, como parte de la función sustantiva de vinculación, están programadas por las facultades en el programa presupuestario </t>
    </r>
    <r>
      <rPr>
        <sz val="10"/>
        <color theme="1"/>
        <rFont val="Century Schoolbook"/>
        <family val="1"/>
      </rPr>
      <t>83.</t>
    </r>
  </si>
  <si>
    <r>
      <t xml:space="preserve">Computador de escritorio todo en </t>
    </r>
    <r>
      <rPr>
        <sz val="10"/>
        <color theme="1"/>
        <rFont val="Century Schoolbook"/>
        <family val="1"/>
      </rPr>
      <t>1</t>
    </r>
  </si>
  <si>
    <r>
      <t xml:space="preserve">Disco duro externo sólido de </t>
    </r>
    <r>
      <rPr>
        <sz val="10"/>
        <color theme="1"/>
        <rFont val="Century Schoolbook"/>
        <family val="1"/>
      </rPr>
      <t>2</t>
    </r>
    <r>
      <rPr>
        <sz val="10"/>
        <color theme="1"/>
        <rFont val="Arial Narrow"/>
        <family val="2"/>
      </rPr>
      <t xml:space="preserve"> teras</t>
    </r>
  </si>
  <si>
    <r>
      <t xml:space="preserve">* Anita Moscoso Parra,
  </t>
    </r>
    <r>
      <rPr>
        <b/>
        <sz val="10"/>
        <color theme="1"/>
        <rFont val="Arial Narrow"/>
      </rPr>
      <t>Dirección Vinculación</t>
    </r>
    <r>
      <rPr>
        <sz val="10"/>
        <color theme="1"/>
        <rFont val="Arial Narrow"/>
      </rPr>
      <t xml:space="preserve">
* Alexandra Roldán Monge,
  </t>
    </r>
    <r>
      <rPr>
        <b/>
        <sz val="10"/>
        <color theme="1"/>
        <rFont val="Arial Narrow"/>
      </rPr>
      <t xml:space="preserve">Analista de Vinculación con la Sociedad
* </t>
    </r>
    <r>
      <rPr>
        <sz val="10"/>
        <color theme="1"/>
        <rFont val="Arial Narrow"/>
      </rPr>
      <t xml:space="preserve">Diana Reinoso Miranda,
  </t>
    </r>
    <r>
      <rPr>
        <b/>
        <sz val="10"/>
        <color theme="1"/>
        <rFont val="Arial Narrow"/>
      </rPr>
      <t>Analista de Seguimiento a Graduados e Inserción Laboral</t>
    </r>
  </si>
  <si>
    <r>
      <t xml:space="preserve">* Anita Moscoso Parra,
  </t>
    </r>
    <r>
      <rPr>
        <b/>
        <sz val="10"/>
        <color theme="1"/>
        <rFont val="Arial Narrow"/>
      </rPr>
      <t>Dirección Vinculación</t>
    </r>
    <r>
      <rPr>
        <sz val="10"/>
        <color theme="1"/>
        <rFont val="Arial Narrow"/>
      </rPr>
      <t xml:space="preserve">
* Alexandra Roldán Monge, 
  </t>
    </r>
    <r>
      <rPr>
        <b/>
        <sz val="10"/>
        <color theme="1"/>
        <rFont val="Arial Narrow"/>
      </rPr>
      <t>Analista de Vinculación con la Sociedad</t>
    </r>
    <r>
      <rPr>
        <sz val="10"/>
        <color theme="1"/>
        <rFont val="Arial Narrow"/>
      </rPr>
      <t xml:space="preserve">
* Diana Reinoso Miranda,
  </t>
    </r>
    <r>
      <rPr>
        <b/>
        <sz val="10"/>
        <color theme="1"/>
        <rFont val="Arial Narrow"/>
      </rPr>
      <t>Analista de Seguimiento a Graduados e Inserción Laboral</t>
    </r>
  </si>
  <si>
    <r>
      <t xml:space="preserve">* Anita Moscoso Parra,
  </t>
    </r>
    <r>
      <rPr>
        <b/>
        <sz val="10"/>
        <color theme="1"/>
        <rFont val="Arial Narrow"/>
      </rPr>
      <t>Dirección Vinculación</t>
    </r>
  </si>
  <si>
    <r>
      <t xml:space="preserve">* Anita Moscoso Parra,
  </t>
    </r>
    <r>
      <rPr>
        <b/>
        <sz val="10"/>
        <color theme="1"/>
        <rFont val="Arial Narrow"/>
      </rPr>
      <t xml:space="preserve">Dirección Vinculación
* </t>
    </r>
    <r>
      <rPr>
        <sz val="10"/>
        <color theme="1"/>
        <rFont val="Arial Narrow"/>
      </rPr>
      <t>Alexandra Alvarado Campoverde,</t>
    </r>
    <r>
      <rPr>
        <b/>
        <sz val="10"/>
        <color theme="1"/>
        <rFont val="Arial Narrow"/>
      </rPr>
      <t xml:space="preserve">
  Analista de Cooperación Interinstitucional</t>
    </r>
  </si>
  <si>
    <r>
      <t xml:space="preserve">* Anita Moscoso Parra,
  </t>
    </r>
    <r>
      <rPr>
        <b/>
        <sz val="10"/>
        <color theme="1"/>
        <rFont val="Arial Narrow"/>
      </rPr>
      <t>Dirección Vinculación</t>
    </r>
    <r>
      <rPr>
        <sz val="10"/>
        <color theme="1"/>
        <rFont val="Arial Narrow"/>
      </rPr>
      <t xml:space="preserve">
* Alexandra Alvarado Campoverde,
  </t>
    </r>
    <r>
      <rPr>
        <b/>
        <sz val="10"/>
        <color theme="1"/>
        <rFont val="Arial Narrow"/>
      </rPr>
      <t xml:space="preserve">Analista de Cooperación Interinstitucional
* </t>
    </r>
    <r>
      <rPr>
        <sz val="10"/>
        <color theme="1"/>
        <rFont val="Arial Narrow"/>
      </rPr>
      <t>Adela Oviedo Guerrero,</t>
    </r>
    <r>
      <rPr>
        <b/>
        <sz val="10"/>
        <color theme="1"/>
        <rFont val="Arial Narrow"/>
      </rPr>
      <t xml:space="preserve">
  Analista de Cooperación Interinstitucional
* </t>
    </r>
    <r>
      <rPr>
        <sz val="10"/>
        <color theme="1"/>
        <rFont val="Arial Narrow"/>
      </rPr>
      <t xml:space="preserve">Katerine Guevara Correa, </t>
    </r>
    <r>
      <rPr>
        <b/>
        <sz val="10"/>
        <color theme="1"/>
        <rFont val="Arial Narrow"/>
      </rPr>
      <t xml:space="preserve">
  Jefe de Pasantías y Prácticas
* </t>
    </r>
    <r>
      <rPr>
        <sz val="10"/>
        <color theme="1"/>
        <rFont val="Arial Narrow"/>
      </rPr>
      <t>Elizabeth Yangua Jaramillo,</t>
    </r>
    <r>
      <rPr>
        <b/>
        <sz val="10"/>
        <color theme="1"/>
        <rFont val="Arial Narrow"/>
      </rPr>
      <t xml:space="preserve"> 
Analista de UMMOG, Responsable de Seguimiento a Graduados.
* </t>
    </r>
    <r>
      <rPr>
        <sz val="10"/>
        <color theme="1"/>
        <rFont val="Arial Narrow"/>
      </rPr>
      <t>Diana Reinoso Miranda,</t>
    </r>
    <r>
      <rPr>
        <b/>
        <sz val="10"/>
        <color theme="1"/>
        <rFont val="Arial Narrow"/>
      </rPr>
      <t xml:space="preserve">
  Analista de Seguimiento a Graduados e Inserción Laboral</t>
    </r>
  </si>
  <si>
    <r>
      <t xml:space="preserve">* Anita Moscoso Parra,
  </t>
    </r>
    <r>
      <rPr>
        <b/>
        <sz val="10"/>
        <color theme="1"/>
        <rFont val="Arial Narrow"/>
      </rPr>
      <t>Dirección Vinculación</t>
    </r>
    <r>
      <rPr>
        <sz val="10"/>
        <color theme="1"/>
        <rFont val="Arial Narrow"/>
      </rPr>
      <t xml:space="preserve">
* Alexandra Alvarado Campoverde,
  </t>
    </r>
    <r>
      <rPr>
        <b/>
        <sz val="10"/>
        <color theme="1"/>
        <rFont val="Arial Narrow"/>
      </rPr>
      <t>Analista de Cooperación Interinstitucional</t>
    </r>
  </si>
  <si>
    <r>
      <t xml:space="preserve">* Anita Moscoso Parra,
  </t>
    </r>
    <r>
      <rPr>
        <b/>
        <sz val="10"/>
        <color theme="1"/>
        <rFont val="Arial Narrow"/>
      </rPr>
      <t>Dirección Vinculación</t>
    </r>
    <r>
      <rPr>
        <sz val="10"/>
        <color theme="1"/>
        <rFont val="Arial Narrow"/>
      </rPr>
      <t xml:space="preserve">
* Katerine Guevara Correa,
  </t>
    </r>
    <r>
      <rPr>
        <b/>
        <sz val="10"/>
        <color theme="1"/>
        <rFont val="Arial Narrow"/>
      </rPr>
      <t>Jefe de Pasantías y Prácticas</t>
    </r>
    <r>
      <rPr>
        <sz val="10"/>
        <color theme="1"/>
        <rFont val="Arial Narrow"/>
      </rPr>
      <t xml:space="preserve">
* Elizabeth Yangua Jaramillo,
  </t>
    </r>
    <r>
      <rPr>
        <b/>
        <sz val="10"/>
        <color theme="1"/>
        <rFont val="Arial Narrow"/>
      </rPr>
      <t>Analista de UMMOG, Responsable de Seguimiento a Graduados</t>
    </r>
  </si>
  <si>
    <r>
      <t xml:space="preserve">* Anita Moscoso Parra,
  </t>
    </r>
    <r>
      <rPr>
        <b/>
        <sz val="10"/>
        <color theme="1"/>
        <rFont val="Arial Narrow"/>
      </rPr>
      <t>Dirección Vinculación</t>
    </r>
    <r>
      <rPr>
        <sz val="10"/>
        <color theme="1"/>
        <rFont val="Arial Narrow"/>
      </rPr>
      <t xml:space="preserve">
* Alexandra Roldán Monge,
  </t>
    </r>
    <r>
      <rPr>
        <b/>
        <sz val="10"/>
        <color theme="1"/>
        <rFont val="Arial Narrow"/>
      </rPr>
      <t>Analista de Vinculación con la Sociedad</t>
    </r>
    <r>
      <rPr>
        <sz val="10"/>
        <color theme="1"/>
        <rFont val="Arial Narrow"/>
      </rPr>
      <t xml:space="preserve">
* Diana Reinoso Miranda,
  </t>
    </r>
    <r>
      <rPr>
        <b/>
        <sz val="10"/>
        <color theme="1"/>
        <rFont val="Arial Narrow"/>
      </rPr>
      <t>Analista de Seguimiento a Graduados e Inserción Laboral</t>
    </r>
  </si>
  <si>
    <r>
      <t xml:space="preserve">* Anita Moscoso Parra, 
  </t>
    </r>
    <r>
      <rPr>
        <b/>
        <sz val="10"/>
        <color theme="1"/>
        <rFont val="Arial Narrow"/>
      </rPr>
      <t>Dirección Vinculación</t>
    </r>
    <r>
      <rPr>
        <sz val="10"/>
        <color theme="1"/>
        <rFont val="Arial Narrow"/>
      </rPr>
      <t xml:space="preserve">
* Alexandra Alvarado Campoverde,
  </t>
    </r>
    <r>
      <rPr>
        <b/>
        <sz val="10"/>
        <color theme="1"/>
        <rFont val="Arial Narrow"/>
      </rPr>
      <t>Analista de Cooperación Interinstitucional</t>
    </r>
  </si>
  <si>
    <r>
      <t xml:space="preserve">* Anita Moscoso Parra,
  </t>
    </r>
    <r>
      <rPr>
        <b/>
        <sz val="10"/>
        <color theme="1"/>
        <rFont val="Arial Narrow"/>
      </rPr>
      <t>Dirección Vinculación</t>
    </r>
    <r>
      <rPr>
        <sz val="10"/>
        <color theme="1"/>
        <rFont val="Arial Narrow"/>
      </rPr>
      <t xml:space="preserve">
* Priscila Minuche Mera,
  </t>
    </r>
    <r>
      <rPr>
        <b/>
        <sz val="10"/>
        <color theme="1"/>
        <rFont val="Arial Narrow"/>
      </rPr>
      <t>Analista Administrativo de Vinculación, Cooperación, Pasantías y Prácticas</t>
    </r>
  </si>
  <si>
    <t>* María Alexandra Roldán Monge,
  Analista de vinculación con la Sociedad
* Diana Carolina Reinoso Miranda,
  Analista de Seguimiento a Graduados</t>
  </si>
  <si>
    <t>* María Alexandra Roldán Monge,
  Analista de Vinculación con la Sociedad
* Diana Carolina Reinoso Miranda,
  Analista de Seguimiento a Graduados</t>
  </si>
  <si>
    <t>* Katerine Bethsabé Guevara Correa,
  Jefe de Prácticas Preprofesionales, Pasantías y Seguimiento a Graduados
* Alexandra Patricia Alvarado Campoverde,
  Analista de Cooperación
* Adela De Jesús Oviedo Guerrero,
  Analista de Prácticas Preprofesionales
* Gloria Elizabeth Yangua Jaramillo,
  Analista de Ummog
* María Alexandra Roldán Monge,
  Analista de Vinculación con la Sociedad
* Diana Carolina Reinoso Miranda,
  Analista de Seguimiento a Graduados</t>
  </si>
  <si>
    <t>* Katerine Guevara Correa,
  Jefe de Pasantías y Prácticas
* Adela Oviedo Guerrero, Analista de Pasantías y Prácticas
* Elizabeth Yangua Jaramillo,
  Analista de UMMOG,
  Responsable de Seguimiento a Graduados</t>
  </si>
  <si>
    <t>* Katerine Guevara Correa,
  Jefe de Pasantías y Prácticas
* Adela Oviedo Guerrero,
  Analista de Pasantías y Prácticas
* Elizabeth Yangua Jaramillo,
  Analista de UMMOG,
  Responsable de Seguimiento a Graduados</t>
  </si>
  <si>
    <t>* Katerine Guevara Correa,
  Jefe de Pasantías y Prácticas
* Elizabeth Yangua Jaramillo,
  Analista de UMMOG,
  Responsable de Seguimiento a Graduados</t>
  </si>
  <si>
    <t>* Anita Moscoso,
  Directora
* Alexandra Alvarado  Campoverde,
  Analista de Cooperación Interinstitucional</t>
  </si>
  <si>
    <t>* Anita Moscoso
  Directora
* Alexandra Alvarado  Campoverde,
  Analista de Cooperación Interinstitucional</t>
  </si>
  <si>
    <r>
      <rPr>
        <b/>
        <sz val="9"/>
        <color theme="1"/>
        <rFont val="Century Schoolbook"/>
        <family val="1"/>
      </rPr>
      <t>1.-</t>
    </r>
    <r>
      <rPr>
        <sz val="10"/>
        <color theme="1"/>
        <rFont val="Arial Narrow"/>
        <family val="2"/>
      </rPr>
      <t xml:space="preserve"> Resolución de aprobación de reglamento de acuerdo a normativa vigente.</t>
    </r>
  </si>
  <si>
    <r>
      <rPr>
        <b/>
        <sz val="9"/>
        <color theme="1"/>
        <rFont val="Century Schoolbook"/>
        <family val="1"/>
      </rPr>
      <t>1.-</t>
    </r>
    <r>
      <rPr>
        <sz val="10"/>
        <color theme="1"/>
        <rFont val="Arial Narrow"/>
        <family val="2"/>
      </rPr>
      <t xml:space="preserve"> Proyectos de vinculación con impacto sobre los problemas identificados en los estudios de pertinencia de las carreras.</t>
    </r>
  </si>
  <si>
    <r>
      <rPr>
        <b/>
        <sz val="9"/>
        <color theme="1"/>
        <rFont val="Century Schoolbook"/>
        <family val="1"/>
      </rPr>
      <t>1.-</t>
    </r>
    <r>
      <rPr>
        <sz val="10"/>
        <color theme="1"/>
        <rFont val="Arial Narrow"/>
        <family val="2"/>
      </rPr>
      <t xml:space="preserve"> Convenio de alianza marco, investigación y/o vinculación.
</t>
    </r>
    <r>
      <rPr>
        <b/>
        <sz val="9"/>
        <color theme="1"/>
        <rFont val="Century Schoolbook"/>
        <family val="1"/>
      </rPr>
      <t>2.-</t>
    </r>
    <r>
      <rPr>
        <sz val="10"/>
        <color theme="1"/>
        <rFont val="Arial Narrow"/>
        <family val="2"/>
      </rPr>
      <t xml:space="preserve"> Resolución de aprobación de proyecto de investigación y/o vinculación.</t>
    </r>
  </si>
  <si>
    <r>
      <rPr>
        <b/>
        <sz val="9"/>
        <color theme="1"/>
        <rFont val="Century Schoolbook"/>
        <family val="1"/>
      </rPr>
      <t>1.-</t>
    </r>
    <r>
      <rPr>
        <sz val="10"/>
        <color theme="1"/>
        <rFont val="Arial Narrow"/>
        <family val="2"/>
      </rPr>
      <t xml:space="preserve"> Propuesta de políticas, estrategias y/o directrices en el ámbito de los procesos inherentes a la Dirección, actualizada.</t>
    </r>
  </si>
  <si>
    <r>
      <rPr>
        <b/>
        <sz val="9"/>
        <color theme="1"/>
        <rFont val="Century Schoolbook"/>
        <family val="1"/>
      </rPr>
      <t>1.-</t>
    </r>
    <r>
      <rPr>
        <sz val="10"/>
        <color theme="1"/>
        <rFont val="Arial Narrow"/>
        <family val="2"/>
      </rPr>
      <t xml:space="preserve"> Pronunciamiento jurídico.
</t>
    </r>
    <r>
      <rPr>
        <b/>
        <sz val="9"/>
        <color theme="1"/>
        <rFont val="Century Schoolbook"/>
        <family val="1"/>
      </rPr>
      <t>2.-</t>
    </r>
    <r>
      <rPr>
        <sz val="10"/>
        <color theme="1"/>
        <rFont val="Arial Narrow"/>
        <family val="2"/>
      </rPr>
      <t xml:space="preserve"> Convenio suscrito.</t>
    </r>
  </si>
  <si>
    <r>
      <rPr>
        <b/>
        <sz val="9"/>
        <color theme="1"/>
        <rFont val="Century Schoolbook"/>
        <family val="1"/>
      </rPr>
      <t>1.-</t>
    </r>
    <r>
      <rPr>
        <sz val="10"/>
        <color theme="1"/>
        <rFont val="Arial Narrow"/>
        <family val="2"/>
      </rPr>
      <t xml:space="preserve"> Sesión de trabajo con responsables de componente.
</t>
    </r>
    <r>
      <rPr>
        <b/>
        <sz val="10"/>
        <color theme="1"/>
        <rFont val="Century Schoolbook"/>
        <family val="1"/>
      </rPr>
      <t>2.-</t>
    </r>
    <r>
      <rPr>
        <sz val="10"/>
        <color theme="1"/>
        <rFont val="Arial Narrow"/>
        <family val="2"/>
      </rPr>
      <t xml:space="preserve"> Evento realizado.</t>
    </r>
  </si>
  <si>
    <r>
      <rPr>
        <b/>
        <sz val="9"/>
        <color theme="1"/>
        <rFont val="Century Schoolbook"/>
        <family val="1"/>
      </rPr>
      <t>1.-</t>
    </r>
    <r>
      <rPr>
        <sz val="10"/>
        <color theme="1"/>
        <rFont val="Arial Narrow"/>
        <family val="2"/>
      </rPr>
      <t xml:space="preserve"> Pronunciamiento jurídico.
</t>
    </r>
    <r>
      <rPr>
        <b/>
        <sz val="9"/>
        <color theme="1"/>
        <rFont val="Century Schoolbook"/>
        <family val="1"/>
      </rPr>
      <t>2.-</t>
    </r>
    <r>
      <rPr>
        <sz val="10"/>
        <color theme="1"/>
        <rFont val="Arial Narrow"/>
        <family val="2"/>
      </rPr>
      <t xml:space="preserve"> Convocatorias gestionadas.</t>
    </r>
  </si>
  <si>
    <r>
      <rPr>
        <b/>
        <sz val="9"/>
        <color theme="1"/>
        <rFont val="Century Schoolbook"/>
        <family val="1"/>
      </rPr>
      <t>1.-</t>
    </r>
    <r>
      <rPr>
        <sz val="10"/>
        <color theme="1"/>
        <rFont val="Arial Narrow"/>
        <family val="2"/>
      </rPr>
      <t xml:space="preserve"> Agenda de vinculación con la sociedad aprobada.</t>
    </r>
  </si>
  <si>
    <r>
      <rPr>
        <b/>
        <sz val="9"/>
        <color theme="1"/>
        <rFont val="Century Schoolbook"/>
        <family val="1"/>
      </rPr>
      <t>1.-</t>
    </r>
    <r>
      <rPr>
        <sz val="10"/>
        <color theme="1"/>
        <rFont val="Arial Narrow"/>
        <family val="2"/>
      </rPr>
      <t xml:space="preserve"> Informe de ejecución de proyecto de capacitación.</t>
    </r>
  </si>
  <si>
    <r>
      <rPr>
        <b/>
        <sz val="9"/>
        <color theme="1"/>
        <rFont val="Century Schoolbook"/>
        <family val="1"/>
      </rPr>
      <t>1.-</t>
    </r>
    <r>
      <rPr>
        <sz val="10"/>
        <color theme="1"/>
        <rFont val="Arial Narrow"/>
        <family val="2"/>
      </rPr>
      <t xml:space="preserve"> Informe de gestión y/o resultados del proceso de prácticas preprofesionales, aprobado.
</t>
    </r>
    <r>
      <rPr>
        <b/>
        <sz val="9"/>
        <color theme="1"/>
        <rFont val="Century Schoolbook"/>
        <family val="1"/>
      </rPr>
      <t>2.-</t>
    </r>
    <r>
      <rPr>
        <sz val="10"/>
        <color theme="1"/>
        <rFont val="Arial Narrow"/>
        <family val="2"/>
      </rPr>
      <t xml:space="preserve"> Informe institucional de seguimiento a graduados, aprobado.</t>
    </r>
  </si>
  <si>
    <r>
      <rPr>
        <b/>
        <sz val="9"/>
        <color theme="1"/>
        <rFont val="Century Schoolbook"/>
        <family val="1"/>
      </rPr>
      <t>1.-</t>
    </r>
    <r>
      <rPr>
        <sz val="10"/>
        <color theme="1"/>
        <rFont val="Arial Narrow"/>
        <family val="2"/>
      </rPr>
      <t xml:space="preserve"> Registros de asistencia.
</t>
    </r>
    <r>
      <rPr>
        <b/>
        <sz val="9"/>
        <color theme="1"/>
        <rFont val="Century Schoolbook"/>
        <family val="1"/>
      </rPr>
      <t>2.-</t>
    </r>
    <r>
      <rPr>
        <sz val="10"/>
        <color theme="1"/>
        <rFont val="Arial Narrow"/>
        <family val="2"/>
      </rPr>
      <t xml:space="preserve"> Resultados de cartera de proyectos de vinculación remitidos al vicerrectorado.</t>
    </r>
  </si>
  <si>
    <r>
      <rPr>
        <b/>
        <sz val="9"/>
        <color theme="1"/>
        <rFont val="Century Schoolbook"/>
        <family val="1"/>
      </rPr>
      <t>1.-</t>
    </r>
    <r>
      <rPr>
        <sz val="10"/>
        <color theme="1"/>
        <rFont val="Arial Narrow"/>
        <family val="2"/>
      </rPr>
      <t xml:space="preserve"> Informe de el cumplimiento de tareas oficiales o servicios institucionales, de las delegaciones que hubiere.</t>
    </r>
  </si>
  <si>
    <r>
      <rPr>
        <b/>
        <sz val="9"/>
        <color theme="1"/>
        <rFont val="Century Schoolbook"/>
        <family val="1"/>
      </rPr>
      <t>1.-</t>
    </r>
    <r>
      <rPr>
        <sz val="10"/>
        <color theme="1"/>
        <rFont val="Arial Narrow"/>
        <family val="2"/>
      </rPr>
      <t xml:space="preserve"> Convocatoria gestionada.
</t>
    </r>
    <r>
      <rPr>
        <b/>
        <sz val="9"/>
        <color theme="1"/>
        <rFont val="Century Schoolbook"/>
        <family val="1"/>
      </rPr>
      <t>2.-</t>
    </r>
    <r>
      <rPr>
        <sz val="10"/>
        <color theme="1"/>
        <rFont val="Arial Narrow"/>
        <family val="2"/>
      </rPr>
      <t xml:space="preserve"> Reporte de estudiantes.</t>
    </r>
  </si>
  <si>
    <r>
      <rPr>
        <b/>
        <sz val="9"/>
        <color theme="1"/>
        <rFont val="Century Schoolbook"/>
        <family val="1"/>
      </rPr>
      <t>1.-</t>
    </r>
    <r>
      <rPr>
        <sz val="10"/>
        <color theme="1"/>
        <rFont val="Arial Narrow"/>
        <family val="2"/>
      </rPr>
      <t xml:space="preserve"> Planificación de la Unidad de Gestión de Programas y proyectos.</t>
    </r>
  </si>
  <si>
    <r>
      <rPr>
        <b/>
        <sz val="9"/>
        <color theme="1"/>
        <rFont val="Century Schoolbook"/>
        <family val="1"/>
      </rPr>
      <t>1.-</t>
    </r>
    <r>
      <rPr>
        <sz val="10"/>
        <color theme="1"/>
        <rFont val="Arial Narrow"/>
        <family val="2"/>
      </rPr>
      <t xml:space="preserve"> Resoluciones de proyectos aprobados por Consejo Universitario.
</t>
    </r>
    <r>
      <rPr>
        <b/>
        <sz val="9"/>
        <color theme="1"/>
        <rFont val="Century Schoolbook"/>
        <family val="1"/>
      </rPr>
      <t>2.-</t>
    </r>
    <r>
      <rPr>
        <sz val="10"/>
        <color theme="1"/>
        <rFont val="Arial Narrow"/>
        <family val="2"/>
      </rPr>
      <t xml:space="preserve"> Reporte de asistencia a reuniones en plataforma zoom y presenciales.
</t>
    </r>
    <r>
      <rPr>
        <b/>
        <sz val="9"/>
        <color theme="1"/>
        <rFont val="Century Schoolbook"/>
        <family val="1"/>
      </rPr>
      <t>3.-</t>
    </r>
    <r>
      <rPr>
        <sz val="10"/>
        <color theme="1"/>
        <rFont val="Arial Narrow"/>
        <family val="2"/>
      </rPr>
      <t xml:space="preserve"> Informes de avance de proyectos.
</t>
    </r>
    <r>
      <rPr>
        <b/>
        <sz val="9"/>
        <color theme="1"/>
        <rFont val="Century Schoolbook"/>
        <family val="1"/>
      </rPr>
      <t>4.-</t>
    </r>
    <r>
      <rPr>
        <sz val="10"/>
        <color theme="1"/>
        <rFont val="Arial Narrow"/>
        <family val="2"/>
      </rPr>
      <t xml:space="preserve"> Propuestas y/o Informes de evaluación de proyectos.
</t>
    </r>
    <r>
      <rPr>
        <b/>
        <sz val="9"/>
        <color theme="1"/>
        <rFont val="Century Schoolbook"/>
        <family val="1"/>
      </rPr>
      <t>5.-</t>
    </r>
    <r>
      <rPr>
        <sz val="10"/>
        <color theme="1"/>
        <rFont val="Arial Narrow"/>
        <family val="2"/>
      </rPr>
      <t xml:space="preserve"> Reporte SIIES.</t>
    </r>
  </si>
  <si>
    <r>
      <rPr>
        <b/>
        <sz val="9"/>
        <color theme="1"/>
        <rFont val="Century Schoolbook"/>
        <family val="1"/>
      </rPr>
      <t>1.-</t>
    </r>
    <r>
      <rPr>
        <sz val="10"/>
        <color theme="1"/>
        <rFont val="Arial Narrow"/>
        <family val="2"/>
      </rPr>
      <t xml:space="preserve"> Convocatoria aprobada de evento de socialización.
</t>
    </r>
    <r>
      <rPr>
        <b/>
        <sz val="9"/>
        <color theme="1"/>
        <rFont val="Century Schoolbook"/>
        <family val="1"/>
      </rPr>
      <t>2.-</t>
    </r>
    <r>
      <rPr>
        <sz val="10"/>
        <color theme="1"/>
        <rFont val="Arial Narrow"/>
        <family val="2"/>
      </rPr>
      <t xml:space="preserve"> Hoja ruta de actividades a desarrollar.
</t>
    </r>
    <r>
      <rPr>
        <b/>
        <sz val="9"/>
        <color theme="1"/>
        <rFont val="Century Schoolbook"/>
        <family val="1"/>
      </rPr>
      <t>3.-</t>
    </r>
    <r>
      <rPr>
        <sz val="10"/>
        <color theme="1"/>
        <rFont val="Arial Narrow"/>
        <family val="2"/>
      </rPr>
      <t xml:space="preserve"> Matriz resumen de manuscritos revisados.
</t>
    </r>
    <r>
      <rPr>
        <b/>
        <sz val="9"/>
        <color theme="1"/>
        <rFont val="Century Schoolbook"/>
        <family val="1"/>
      </rPr>
      <t>4.-</t>
    </r>
    <r>
      <rPr>
        <sz val="10"/>
        <color theme="1"/>
        <rFont val="Arial Narrow"/>
        <family val="2"/>
      </rPr>
      <t xml:space="preserve"> Reporte de asistencia zoom del evento publicaciones y arte del evento.
</t>
    </r>
    <r>
      <rPr>
        <b/>
        <sz val="9"/>
        <color theme="1"/>
        <rFont val="Century Schoolbook"/>
        <family val="1"/>
      </rPr>
      <t>5.-</t>
    </r>
    <r>
      <rPr>
        <sz val="10"/>
        <color theme="1"/>
        <rFont val="Arial Narrow"/>
        <family val="2"/>
      </rPr>
      <t xml:space="preserve"> Arte y logos del evento.</t>
    </r>
  </si>
  <si>
    <r>
      <rPr>
        <b/>
        <sz val="9"/>
        <color theme="1"/>
        <rFont val="Century Schoolbook"/>
        <family val="1"/>
      </rPr>
      <t>1.-</t>
    </r>
    <r>
      <rPr>
        <sz val="10"/>
        <color theme="1"/>
        <rFont val="Arial Narrow"/>
        <family val="2"/>
      </rPr>
      <t xml:space="preserve"> Propuestas elaboradas y/o actualizadas de instrumentos y/o resolución de aprobación de instrumentos por Consejo Universitario.</t>
    </r>
  </si>
  <si>
    <r>
      <rPr>
        <b/>
        <sz val="9"/>
        <color theme="1"/>
        <rFont val="Century Schoolbook"/>
        <family val="1"/>
      </rPr>
      <t>1.-</t>
    </r>
    <r>
      <rPr>
        <sz val="10"/>
        <color theme="1"/>
        <rFont val="Arial Narrow"/>
        <family val="2"/>
      </rPr>
      <t xml:space="preserve"> Proyecto de capacitación.
</t>
    </r>
    <r>
      <rPr>
        <b/>
        <sz val="9"/>
        <color theme="1"/>
        <rFont val="Century Schoolbook"/>
        <family val="1"/>
      </rPr>
      <t>2.-</t>
    </r>
    <r>
      <rPr>
        <sz val="10"/>
        <color theme="1"/>
        <rFont val="Arial Narrow"/>
        <family val="2"/>
      </rPr>
      <t xml:space="preserve"> Flyer de difusión.
</t>
    </r>
    <r>
      <rPr>
        <b/>
        <sz val="9"/>
        <color theme="1"/>
        <rFont val="Century Schoolbook"/>
        <family val="1"/>
      </rPr>
      <t>3.-</t>
    </r>
    <r>
      <rPr>
        <sz val="10"/>
        <color theme="1"/>
        <rFont val="Arial Narrow"/>
        <family val="2"/>
      </rPr>
      <t xml:space="preserve"> Registros de asistencia de profesores (estudiantes).
</t>
    </r>
    <r>
      <rPr>
        <b/>
        <sz val="9"/>
        <color theme="1"/>
        <rFont val="Century Schoolbook"/>
        <family val="1"/>
      </rPr>
      <t>4.-</t>
    </r>
    <r>
      <rPr>
        <sz val="10"/>
        <color theme="1"/>
        <rFont val="Arial Narrow"/>
        <family val="2"/>
      </rPr>
      <t xml:space="preserve"> Actas de calificaciones.
</t>
    </r>
    <r>
      <rPr>
        <b/>
        <sz val="9"/>
        <color theme="1"/>
        <rFont val="Century Schoolbook"/>
        <family val="1"/>
      </rPr>
      <t>5.-</t>
    </r>
    <r>
      <rPr>
        <sz val="10"/>
        <color theme="1"/>
        <rFont val="Arial Narrow"/>
        <family val="2"/>
      </rPr>
      <t xml:space="preserve"> Memoria fotográfica.
</t>
    </r>
    <r>
      <rPr>
        <b/>
        <sz val="9"/>
        <color theme="1"/>
        <rFont val="Century Schoolbook"/>
        <family val="1"/>
      </rPr>
      <t>6.-</t>
    </r>
    <r>
      <rPr>
        <sz val="10"/>
        <color theme="1"/>
        <rFont val="Arial Narrow"/>
        <family val="2"/>
      </rPr>
      <t xml:space="preserve"> Informe de finalización del curso.</t>
    </r>
  </si>
  <si>
    <r>
      <rPr>
        <b/>
        <sz val="9"/>
        <color theme="1"/>
        <rFont val="Century Schoolbook"/>
        <family val="1"/>
      </rPr>
      <t>1.-</t>
    </r>
    <r>
      <rPr>
        <sz val="10"/>
        <color theme="1"/>
        <rFont val="Arial Narrow"/>
        <family val="2"/>
      </rPr>
      <t xml:space="preserve"> Registro de asesorías y/o atención a usuarios internos y externos.</t>
    </r>
  </si>
  <si>
    <r>
      <rPr>
        <b/>
        <sz val="9"/>
        <color theme="1"/>
        <rFont val="Century Schoolbook"/>
        <family val="1"/>
      </rPr>
      <t>1.-</t>
    </r>
    <r>
      <rPr>
        <sz val="10"/>
        <color theme="1"/>
        <rFont val="Arial Narrow"/>
        <family val="2"/>
      </rPr>
      <t xml:space="preserve">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del POA </t>
    </r>
    <r>
      <rPr>
        <sz val="10"/>
        <color theme="1"/>
        <rFont val="Century Schoolbook"/>
        <family val="1"/>
      </rPr>
      <t>2023.</t>
    </r>
  </si>
  <si>
    <r>
      <rPr>
        <b/>
        <sz val="9"/>
        <color theme="1"/>
        <rFont val="Century Schoolbook"/>
        <family val="1"/>
      </rPr>
      <t>1.-</t>
    </r>
    <r>
      <rPr>
        <sz val="10"/>
        <color theme="1"/>
        <rFont val="Arial Narrow"/>
        <family val="2"/>
      </rPr>
      <t xml:space="preserve"> Inventario Documental digital.</t>
    </r>
  </si>
  <si>
    <r>
      <rPr>
        <b/>
        <sz val="9"/>
        <color theme="1"/>
        <rFont val="Century Schoolbook"/>
        <family val="1"/>
      </rPr>
      <t>1.-</t>
    </r>
    <r>
      <rPr>
        <sz val="10"/>
        <color theme="1"/>
        <rFont val="Arial Narrow"/>
        <family val="2"/>
      </rPr>
      <t xml:space="preserve"> Propuesta de actualización y/o automatización de instrumentos de prácticas preprofesionales y seguimiento a graduados.</t>
    </r>
  </si>
  <si>
    <r>
      <rPr>
        <b/>
        <sz val="9"/>
        <color theme="1"/>
        <rFont val="Century Schoolbook"/>
        <family val="1"/>
      </rPr>
      <t>1.-</t>
    </r>
    <r>
      <rPr>
        <sz val="10"/>
        <color theme="1"/>
        <rFont val="Arial Narrow"/>
        <family val="2"/>
      </rPr>
      <t xml:space="preserve"> Reporte semestral de gestión, monitoreo y/o supervisión de prácticas pre profesionales coordinados con Carreras.</t>
    </r>
  </si>
  <si>
    <r>
      <rPr>
        <b/>
        <sz val="9"/>
        <color theme="1"/>
        <rFont val="Century Schoolbook"/>
        <family val="1"/>
      </rPr>
      <t>1.-</t>
    </r>
    <r>
      <rPr>
        <sz val="10"/>
        <color theme="1"/>
        <rFont val="Arial Narrow"/>
        <family val="2"/>
      </rPr>
      <t xml:space="preserve"> Proyecto de capacitación. 
</t>
    </r>
    <r>
      <rPr>
        <b/>
        <sz val="9"/>
        <color theme="1"/>
        <rFont val="Century Schoolbook"/>
        <family val="1"/>
      </rPr>
      <t>2.-</t>
    </r>
    <r>
      <rPr>
        <sz val="10"/>
        <color theme="1"/>
        <rFont val="Arial Narrow"/>
        <family val="2"/>
      </rPr>
      <t xml:space="preserve"> Evidencias de medios de difusión.
</t>
    </r>
    <r>
      <rPr>
        <b/>
        <sz val="9"/>
        <color theme="1"/>
        <rFont val="Century Schoolbook"/>
        <family val="1"/>
      </rPr>
      <t>3.-</t>
    </r>
    <r>
      <rPr>
        <sz val="10"/>
        <color theme="1"/>
        <rFont val="Arial Narrow"/>
        <family val="2"/>
      </rPr>
      <t xml:space="preserve"> Registros y/o reportes de asistencia y calificaciones.
</t>
    </r>
    <r>
      <rPr>
        <b/>
        <sz val="9"/>
        <color theme="1"/>
        <rFont val="Century Schoolbook"/>
        <family val="1"/>
      </rPr>
      <t>4.-</t>
    </r>
    <r>
      <rPr>
        <sz val="10"/>
        <color theme="1"/>
        <rFont val="Arial Narrow"/>
        <family val="2"/>
      </rPr>
      <t xml:space="preserve"> Memoria fotográfica.
</t>
    </r>
    <r>
      <rPr>
        <b/>
        <sz val="9"/>
        <color theme="1"/>
        <rFont val="Century Schoolbook"/>
        <family val="1"/>
      </rPr>
      <t>5.-</t>
    </r>
    <r>
      <rPr>
        <sz val="10"/>
        <color theme="1"/>
        <rFont val="Arial Narrow"/>
        <family val="2"/>
      </rPr>
      <t xml:space="preserve"> Informe de finalización y/o gestión de capacitaciones.</t>
    </r>
  </si>
  <si>
    <r>
      <rPr>
        <b/>
        <sz val="9"/>
        <color theme="1"/>
        <rFont val="Century Schoolbook"/>
        <family val="1"/>
      </rPr>
      <t>1.-</t>
    </r>
    <r>
      <rPr>
        <sz val="10"/>
        <color theme="1"/>
        <rFont val="Arial Narrow"/>
        <family val="2"/>
      </rPr>
      <t xml:space="preserve"> Informe de gestión y/o resultados del proceso de prácticas preprofesionales de la Universidad Técnica de Machala.
</t>
    </r>
    <r>
      <rPr>
        <b/>
        <sz val="9"/>
        <color theme="1"/>
        <rFont val="Century Schoolbook"/>
        <family val="1"/>
      </rPr>
      <t>2.-</t>
    </r>
    <r>
      <rPr>
        <sz val="10"/>
        <color theme="1"/>
        <rFont val="Arial Narrow"/>
        <family val="2"/>
      </rPr>
      <t xml:space="preserve"> Informe institucional de seguimiento a graduados.</t>
    </r>
  </si>
  <si>
    <r>
      <rPr>
        <b/>
        <sz val="9"/>
        <color theme="1"/>
        <rFont val="Century Schoolbook"/>
        <family val="1"/>
      </rPr>
      <t>1.-</t>
    </r>
    <r>
      <rPr>
        <sz val="10"/>
        <color theme="1"/>
        <rFont val="Arial Narrow"/>
        <family val="2"/>
      </rPr>
      <t xml:space="preserve"> Reporte de planes de mejora de Carreras presentados.
</t>
    </r>
    <r>
      <rPr>
        <b/>
        <sz val="9"/>
        <color theme="1"/>
        <rFont val="Century Schoolbook"/>
        <family val="1"/>
      </rPr>
      <t>2.-</t>
    </r>
    <r>
      <rPr>
        <sz val="10"/>
        <color theme="1"/>
        <rFont val="Arial Narrow"/>
        <family val="2"/>
      </rPr>
      <t xml:space="preserve"> Registro y/o reportes de asistencia de las sesiones coordinadas.
</t>
    </r>
    <r>
      <rPr>
        <b/>
        <sz val="9"/>
        <color theme="1"/>
        <rFont val="Century Schoolbook"/>
        <family val="1"/>
      </rPr>
      <t>3.-</t>
    </r>
    <r>
      <rPr>
        <sz val="10"/>
        <color theme="1"/>
        <rFont val="Arial Narrow"/>
        <family val="2"/>
      </rPr>
      <t xml:space="preserve"> Matriz de empleadores requirentes atendidos.</t>
    </r>
  </si>
  <si>
    <r>
      <rPr>
        <b/>
        <sz val="9"/>
        <color theme="1"/>
        <rFont val="Century Schoolbook"/>
        <family val="1"/>
      </rPr>
      <t>1.-</t>
    </r>
    <r>
      <rPr>
        <sz val="10"/>
        <color theme="1"/>
        <rFont val="Arial Narrow"/>
        <family val="2"/>
      </rPr>
      <t xml:space="preserve"> Propuesta de hoja de rutas para visitas institucionales a IES.
</t>
    </r>
    <r>
      <rPr>
        <b/>
        <sz val="9"/>
        <color theme="1"/>
        <rFont val="Century Schoolbook"/>
        <family val="1"/>
      </rPr>
      <t xml:space="preserve">2.- </t>
    </r>
    <r>
      <rPr>
        <sz val="10"/>
        <color theme="1"/>
        <rFont val="Arial Narrow"/>
        <family val="2"/>
      </rPr>
      <t xml:space="preserve">Registros y/o reportes de asistencia a convocatorias efectuadas por RENSEG.
</t>
    </r>
    <r>
      <rPr>
        <b/>
        <sz val="9"/>
        <color theme="1"/>
        <rFont val="Century Schoolbook"/>
        <family val="1"/>
      </rPr>
      <t>3.-</t>
    </r>
    <r>
      <rPr>
        <sz val="10"/>
        <color theme="1"/>
        <rFont val="Arial Narrow"/>
        <family val="2"/>
      </rPr>
      <t xml:space="preserve"> Comunicaciones derivadas a Carreras para programar eventos inherentes a seguimiento a graduados e inserción laboral.
</t>
    </r>
    <r>
      <rPr>
        <b/>
        <sz val="9"/>
        <color theme="1"/>
        <rFont val="Century Schoolbook"/>
        <family val="1"/>
      </rPr>
      <t>4.-</t>
    </r>
    <r>
      <rPr>
        <sz val="10"/>
        <color theme="1"/>
        <rFont val="Arial Narrow"/>
        <family val="2"/>
      </rPr>
      <t xml:space="preserve"> Comunicaciones derivadas ante las instancias pertinentes para requerimientos de asesoría.</t>
    </r>
  </si>
  <si>
    <r>
      <rPr>
        <b/>
        <sz val="9"/>
        <color theme="1"/>
        <rFont val="Century Schoolbook"/>
        <family val="1"/>
      </rPr>
      <t>1.-</t>
    </r>
    <r>
      <rPr>
        <sz val="10"/>
        <color theme="1"/>
        <rFont val="Arial Narrow"/>
        <family val="2"/>
      </rPr>
      <t xml:space="preserve"> Propuesta de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del POA </t>
    </r>
    <r>
      <rPr>
        <sz val="10"/>
        <color theme="1"/>
        <rFont val="Century Schoolbook"/>
        <family val="1"/>
      </rPr>
      <t>2023.</t>
    </r>
  </si>
  <si>
    <r>
      <rPr>
        <b/>
        <sz val="9"/>
        <color theme="1"/>
        <rFont val="Century Schoolbook"/>
        <family val="1"/>
      </rPr>
      <t>1.-</t>
    </r>
    <r>
      <rPr>
        <sz val="10"/>
        <color theme="1"/>
        <rFont val="Arial Narrow"/>
        <family val="2"/>
      </rPr>
      <t xml:space="preserve"> Documento de  propuestas de políticas, lineamientos, instrumentos y/o estrategias.</t>
    </r>
  </si>
  <si>
    <r>
      <rPr>
        <b/>
        <sz val="9"/>
        <color theme="1"/>
        <rFont val="Century Schoolbook"/>
        <family val="1"/>
      </rPr>
      <t>1.-</t>
    </r>
    <r>
      <rPr>
        <sz val="10"/>
        <color theme="1"/>
        <rFont val="Arial Narrow"/>
        <family val="2"/>
      </rPr>
      <t xml:space="preserve"> Matriz de entrega de informes técnicos para la suscripción de convenios.</t>
    </r>
  </si>
  <si>
    <r>
      <rPr>
        <b/>
        <sz val="9"/>
        <color theme="1"/>
        <rFont val="Century Schoolbook"/>
        <family val="1"/>
      </rPr>
      <t>1.-</t>
    </r>
    <r>
      <rPr>
        <sz val="10"/>
        <color theme="1"/>
        <rFont val="Arial Narrow"/>
        <family val="2"/>
      </rPr>
      <t xml:space="preserve"> Reporte de insumos para la planificación de la Dirección de Vinculación, presentado.</t>
    </r>
  </si>
  <si>
    <r>
      <rPr>
        <b/>
        <sz val="9"/>
        <color theme="1"/>
        <rFont val="Century Schoolbook"/>
        <family val="1"/>
      </rPr>
      <t>1.-</t>
    </r>
    <r>
      <rPr>
        <sz val="10"/>
        <color theme="1"/>
        <rFont val="Arial Narrow"/>
        <family val="2"/>
      </rPr>
      <t xml:space="preserve"> Matriz de la base de datos de socios estratégicos y cooperantes.</t>
    </r>
  </si>
  <si>
    <r>
      <rPr>
        <b/>
        <sz val="9"/>
        <color theme="1"/>
        <rFont val="Century Schoolbook"/>
        <family val="1"/>
      </rPr>
      <t>1.-</t>
    </r>
    <r>
      <rPr>
        <sz val="10"/>
        <color theme="1"/>
        <rFont val="Arial Narrow"/>
        <family val="2"/>
      </rPr>
      <t xml:space="preserve"> Reporte de evento/s de cooperación nacional e internacional, coordinados.
</t>
    </r>
    <r>
      <rPr>
        <b/>
        <sz val="9"/>
        <color theme="1"/>
        <rFont val="Century Schoolbook"/>
        <family val="1"/>
      </rPr>
      <t>2.-</t>
    </r>
    <r>
      <rPr>
        <sz val="10"/>
        <color theme="1"/>
        <rFont val="Arial Narrow"/>
        <family val="2"/>
      </rPr>
      <t xml:space="preserve"> Registros de asistencia a evento/s de cooperación nacional e internacional, coordinados.</t>
    </r>
  </si>
  <si>
    <r>
      <rPr>
        <b/>
        <sz val="9"/>
        <color theme="1"/>
        <rFont val="Century Schoolbook"/>
        <family val="1"/>
      </rPr>
      <t>1.-</t>
    </r>
    <r>
      <rPr>
        <sz val="10"/>
        <color theme="1"/>
        <rFont val="Arial Narrow"/>
        <family val="2"/>
      </rPr>
      <t xml:space="preserve"> Informe de evidencias sobre el seguimiento para los procesos de captación de fondos externos, efectuado.
</t>
    </r>
    <r>
      <rPr>
        <b/>
        <sz val="9"/>
        <color theme="1"/>
        <rFont val="Century Schoolbook"/>
        <family val="1"/>
      </rPr>
      <t>2.-</t>
    </r>
    <r>
      <rPr>
        <sz val="10"/>
        <color theme="1"/>
        <rFont val="Arial Narrow"/>
        <family val="2"/>
      </rPr>
      <t xml:space="preserve"> Correos electrónicos de entrega evidencias y productos.</t>
    </r>
  </si>
  <si>
    <r>
      <rPr>
        <b/>
        <sz val="9"/>
        <color theme="1"/>
        <rFont val="Century Schoolbook"/>
        <family val="1"/>
      </rPr>
      <t>1.-</t>
    </r>
    <r>
      <rPr>
        <sz val="10"/>
        <color theme="1"/>
        <rFont val="Arial Narrow"/>
        <family val="2"/>
      </rPr>
      <t xml:space="preserve"> Reporte de los resultados de las experiencias de cooperación, movilidad y de relaciones interinstitucionales, divulgadas.</t>
    </r>
  </si>
  <si>
    <r>
      <rPr>
        <b/>
        <sz val="9"/>
        <color theme="1"/>
        <rFont val="Century Schoolbook"/>
        <family val="1"/>
      </rPr>
      <t>1.-</t>
    </r>
    <r>
      <rPr>
        <sz val="10"/>
        <color theme="1"/>
        <rFont val="Arial Narrow"/>
        <family val="2"/>
      </rPr>
      <t xml:space="preserve"> Convenios suscritos para la participación en programas de intercambio estudiantil, gestionados.
</t>
    </r>
    <r>
      <rPr>
        <b/>
        <sz val="9"/>
        <color theme="1"/>
        <rFont val="Century Schoolbook"/>
        <family val="1"/>
      </rPr>
      <t>2.-</t>
    </r>
    <r>
      <rPr>
        <sz val="10"/>
        <color theme="1"/>
        <rFont val="Arial Narrow"/>
        <family val="2"/>
      </rPr>
      <t xml:space="preserve"> Reporte de estudiantes que aplicaron a programa de intercambio estudiantil.</t>
    </r>
  </si>
  <si>
    <r>
      <rPr>
        <b/>
        <sz val="9"/>
        <color theme="1"/>
        <rFont val="Century Schoolbook"/>
        <family val="1"/>
      </rPr>
      <t>1.-</t>
    </r>
    <r>
      <rPr>
        <sz val="10"/>
        <color theme="1"/>
        <rFont val="Arial Narrow"/>
        <family val="2"/>
      </rPr>
      <t xml:space="preserve"> Matriz de seguimiento de convenios de cooperación.
</t>
    </r>
    <r>
      <rPr>
        <b/>
        <sz val="9"/>
        <color theme="1"/>
        <rFont val="Century Schoolbook"/>
        <family val="1"/>
      </rPr>
      <t>2.-</t>
    </r>
    <r>
      <rPr>
        <sz val="10"/>
        <color theme="1"/>
        <rFont val="Arial Narrow"/>
        <family val="2"/>
      </rPr>
      <t xml:space="preserve"> Informes de pertinencia relacionado a la movilidad académica, cooperación y relaciones interinstitucionales, presentados.</t>
    </r>
  </si>
  <si>
    <r>
      <rPr>
        <b/>
        <sz val="9"/>
        <color theme="1"/>
        <rFont val="Century Schoolbook"/>
        <family val="1"/>
      </rPr>
      <t>1.-</t>
    </r>
    <r>
      <rPr>
        <sz val="10"/>
        <color theme="1"/>
        <rFont val="Arial Narrow"/>
        <family val="2"/>
      </rPr>
      <t xml:space="preserve"> Reporte de control de seguimientos a los procesos de cooperación, movilidad y relaciones interinstitucionales, efectuados.</t>
    </r>
  </si>
  <si>
    <r>
      <rPr>
        <b/>
        <sz val="9"/>
        <color theme="1"/>
        <rFont val="Century Schoolbook"/>
        <family val="1"/>
      </rPr>
      <t>1.-</t>
    </r>
    <r>
      <rPr>
        <sz val="10"/>
        <color theme="1"/>
        <rFont val="Arial Narrow"/>
        <family val="2"/>
      </rPr>
      <t xml:space="preserve"> Convenios suscritos.</t>
    </r>
  </si>
  <si>
    <r>
      <rPr>
        <b/>
        <sz val="9"/>
        <color theme="1"/>
        <rFont val="Century Schoolbook"/>
        <family val="1"/>
      </rPr>
      <t>1.-</t>
    </r>
    <r>
      <rPr>
        <sz val="10"/>
        <color theme="1"/>
        <rFont val="Arial Narrow"/>
        <family val="2"/>
      </rPr>
      <t xml:space="preserve"> Elaborar oficios para la formalidad de aprobación de proyectos.
</t>
    </r>
    <r>
      <rPr>
        <b/>
        <sz val="9"/>
        <color theme="1"/>
        <rFont val="Century Schoolbook"/>
        <family val="1"/>
      </rPr>
      <t>2.-</t>
    </r>
    <r>
      <rPr>
        <sz val="10"/>
        <color theme="1"/>
        <rFont val="Arial Narrow"/>
        <family val="2"/>
      </rPr>
      <t xml:space="preserve"> Gestionar la aprobación de cartera de proyectos ante Vicerrectorado de Investigación, Vinculación y Posgrado.</t>
    </r>
  </si>
  <si>
    <r>
      <rPr>
        <b/>
        <sz val="9"/>
        <color theme="1"/>
        <rFont val="Century Schoolbook"/>
        <family val="1"/>
      </rPr>
      <t>1.-</t>
    </r>
    <r>
      <rPr>
        <sz val="10"/>
        <color theme="1"/>
        <rFont val="Arial Narrow"/>
        <family val="2"/>
      </rPr>
      <t xml:space="preserve"> Revisar matriz de proyectos vigentes.
</t>
    </r>
    <r>
      <rPr>
        <b/>
        <sz val="9"/>
        <color theme="1"/>
        <rFont val="Century Schoolbook"/>
        <family val="1"/>
      </rPr>
      <t>2.-</t>
    </r>
    <r>
      <rPr>
        <sz val="10"/>
        <color theme="1"/>
        <rFont val="Arial Narrow"/>
        <family val="2"/>
      </rPr>
      <t xml:space="preserve"> Seleccionar proyecto a evaluar.
</t>
    </r>
    <r>
      <rPr>
        <b/>
        <sz val="9"/>
        <color theme="1"/>
        <rFont val="Century Schoolbook"/>
        <family val="1"/>
      </rPr>
      <t>3.-</t>
    </r>
    <r>
      <rPr>
        <sz val="10"/>
        <color theme="1"/>
        <rFont val="Arial Narrow"/>
        <family val="2"/>
      </rPr>
      <t xml:space="preserve"> Implementar cronograma de actividades para evaluación.
</t>
    </r>
    <r>
      <rPr>
        <b/>
        <sz val="9"/>
        <color theme="1"/>
        <rFont val="Century Schoolbook"/>
        <family val="1"/>
      </rPr>
      <t>4.-</t>
    </r>
    <r>
      <rPr>
        <sz val="10"/>
        <color theme="1"/>
        <rFont val="Arial Narrow"/>
        <family val="2"/>
      </rPr>
      <t xml:space="preserve"> Levantar información de campo a población meta.
</t>
    </r>
    <r>
      <rPr>
        <b/>
        <sz val="9"/>
        <color theme="1"/>
        <rFont val="Century Schoolbook"/>
        <family val="1"/>
      </rPr>
      <t>5.-</t>
    </r>
    <r>
      <rPr>
        <sz val="10"/>
        <color theme="1"/>
        <rFont val="Arial Narrow"/>
        <family val="2"/>
      </rPr>
      <t xml:space="preserve"> Aplicar formatos pertinentes.
</t>
    </r>
    <r>
      <rPr>
        <b/>
        <sz val="9"/>
        <color theme="1"/>
        <rFont val="Century Schoolbook"/>
        <family val="1"/>
      </rPr>
      <t>6.-</t>
    </r>
    <r>
      <rPr>
        <sz val="10"/>
        <color theme="1"/>
        <rFont val="Arial Narrow"/>
        <family val="2"/>
      </rPr>
      <t xml:space="preserve"> Emitir informe de evaluación de proyecto.</t>
    </r>
  </si>
  <si>
    <r>
      <rPr>
        <b/>
        <sz val="9"/>
        <color theme="1"/>
        <rFont val="Century Schoolbook"/>
        <family val="1"/>
      </rPr>
      <t>1.-</t>
    </r>
    <r>
      <rPr>
        <sz val="10"/>
        <color theme="1"/>
        <rFont val="Arial Narrow"/>
        <family val="2"/>
      </rPr>
      <t xml:space="preserve"> Identificar la necesidad y pertinencia de firma de convenios con contraparte.
</t>
    </r>
    <r>
      <rPr>
        <b/>
        <sz val="9"/>
        <color theme="1"/>
        <rFont val="Century Schoolbook"/>
        <family val="1"/>
      </rPr>
      <t>2.-</t>
    </r>
    <r>
      <rPr>
        <sz val="10"/>
        <color theme="1"/>
        <rFont val="Arial Narrow"/>
        <family val="2"/>
      </rPr>
      <t xml:space="preserve"> Verificar la conformidad legal de las partes.
</t>
    </r>
    <r>
      <rPr>
        <b/>
        <sz val="9"/>
        <color theme="1"/>
        <rFont val="Century Schoolbook"/>
        <family val="1"/>
      </rPr>
      <t>3.-</t>
    </r>
    <r>
      <rPr>
        <sz val="10"/>
        <color theme="1"/>
        <rFont val="Arial Narrow"/>
        <family val="2"/>
      </rPr>
      <t xml:space="preserve"> Firmar convenios y actualización de la base de datos.
</t>
    </r>
    <r>
      <rPr>
        <b/>
        <sz val="9"/>
        <color theme="1"/>
        <rFont val="Century Schoolbook"/>
        <family val="1"/>
      </rPr>
      <t>4.-</t>
    </r>
    <r>
      <rPr>
        <sz val="10"/>
        <color theme="1"/>
        <rFont val="Arial Narrow"/>
        <family val="2"/>
      </rPr>
      <t xml:space="preserve"> Levantar propuesta de proyecto de investigación-vinculación-academia.
</t>
    </r>
    <r>
      <rPr>
        <b/>
        <sz val="9"/>
        <color theme="1"/>
        <rFont val="Century Schoolbook"/>
        <family val="1"/>
      </rPr>
      <t>5.-</t>
    </r>
    <r>
      <rPr>
        <sz val="10"/>
        <color theme="1"/>
        <rFont val="Arial Narrow"/>
        <family val="2"/>
      </rPr>
      <t xml:space="preserve"> Gestionar la aprobación del proyecto.</t>
    </r>
  </si>
  <si>
    <r>
      <rPr>
        <b/>
        <sz val="9"/>
        <color theme="1"/>
        <rFont val="Century Schoolbook"/>
        <family val="1"/>
      </rPr>
      <t>1.-</t>
    </r>
    <r>
      <rPr>
        <sz val="10"/>
        <color theme="1"/>
        <rFont val="Arial Narrow"/>
        <family val="2"/>
      </rPr>
      <t xml:space="preserve"> Planificar las metas por componentes.
</t>
    </r>
    <r>
      <rPr>
        <b/>
        <sz val="9"/>
        <color theme="1"/>
        <rFont val="Century Schoolbook"/>
        <family val="1"/>
      </rPr>
      <t>2.-</t>
    </r>
    <r>
      <rPr>
        <sz val="10"/>
        <color theme="1"/>
        <rFont val="Arial Narrow"/>
        <family val="2"/>
      </rPr>
      <t xml:space="preserve"> Recoger el plan de acción por cada unidad.
</t>
    </r>
    <r>
      <rPr>
        <b/>
        <sz val="9"/>
        <color theme="1"/>
        <rFont val="Century Schoolbook"/>
        <family val="1"/>
      </rPr>
      <t>3.-</t>
    </r>
    <r>
      <rPr>
        <sz val="10"/>
        <color theme="1"/>
        <rFont val="Arial Narrow"/>
        <family val="2"/>
      </rPr>
      <t xml:space="preserve"> Consolidar en un documento la información pertinente.
</t>
    </r>
    <r>
      <rPr>
        <b/>
        <sz val="9"/>
        <color theme="1"/>
        <rFont val="Century Schoolbook"/>
        <family val="1"/>
      </rPr>
      <t>4.-</t>
    </r>
    <r>
      <rPr>
        <sz val="10"/>
        <color theme="1"/>
        <rFont val="Arial Narrow"/>
        <family val="2"/>
      </rPr>
      <t xml:space="preserve"> Gestionar la aprobación de la planificación, políticas y/o estrategias.</t>
    </r>
  </si>
  <si>
    <r>
      <rPr>
        <b/>
        <sz val="9"/>
        <color theme="1"/>
        <rFont val="Century Schoolbook"/>
        <family val="1"/>
      </rPr>
      <t>1.-</t>
    </r>
    <r>
      <rPr>
        <sz val="10"/>
        <color theme="1"/>
        <rFont val="Arial Narrow"/>
        <family val="2"/>
      </rPr>
      <t xml:space="preserve"> Solicitar criterio legal de propuestas de convenio.
</t>
    </r>
    <r>
      <rPr>
        <b/>
        <sz val="9"/>
        <color theme="1"/>
        <rFont val="Century Schoolbook"/>
        <family val="1"/>
      </rPr>
      <t>2.-</t>
    </r>
    <r>
      <rPr>
        <sz val="10"/>
        <color theme="1"/>
        <rFont val="Arial Narrow"/>
        <family val="2"/>
      </rPr>
      <t xml:space="preserve"> Gestionar la suscripción de convenios en función de la línea operativa, en el caso que se declare presupuesto, se deberá solicitar a financiero la disponibilidad presupuestaria y posterior enviar ante Consejo Universitario para su aprobación.</t>
    </r>
  </si>
  <si>
    <r>
      <rPr>
        <b/>
        <sz val="9"/>
        <color theme="1"/>
        <rFont val="Century Schoolbook"/>
        <family val="1"/>
      </rPr>
      <t>1.-</t>
    </r>
    <r>
      <rPr>
        <sz val="10"/>
        <color theme="1"/>
        <rFont val="Arial Narrow"/>
        <family val="2"/>
      </rPr>
      <t xml:space="preserve"> Planificación y organización de difusión a través de componentes inherentes a la Dirección.
</t>
    </r>
    <r>
      <rPr>
        <b/>
        <sz val="9"/>
        <color theme="1"/>
        <rFont val="Century Schoolbook"/>
        <family val="1"/>
      </rPr>
      <t>2.-</t>
    </r>
    <r>
      <rPr>
        <sz val="10"/>
        <color theme="1"/>
        <rFont val="Arial Narrow"/>
        <family val="2"/>
      </rPr>
      <t xml:space="preserve"> Evento de difusión efectuado.</t>
    </r>
  </si>
  <si>
    <r>
      <rPr>
        <b/>
        <sz val="9"/>
        <color theme="1"/>
        <rFont val="Century Schoolbook"/>
        <family val="1"/>
      </rPr>
      <t>1.-</t>
    </r>
    <r>
      <rPr>
        <sz val="10"/>
        <color theme="1"/>
        <rFont val="Arial Narrow"/>
        <family val="2"/>
      </rPr>
      <t xml:space="preserve"> Solicitar criterio legal de propuestas de movilización de recursos y/o fondos externos.
</t>
    </r>
    <r>
      <rPr>
        <b/>
        <sz val="9"/>
        <color theme="1"/>
        <rFont val="Century Schoolbook"/>
        <family val="1"/>
      </rPr>
      <t>2.-</t>
    </r>
    <r>
      <rPr>
        <sz val="10"/>
        <color theme="1"/>
        <rFont val="Arial Narrow"/>
        <family val="2"/>
      </rPr>
      <t xml:space="preserve"> Gestionar difusión de convocatorias y/ propuestas inherentes a procesos de movilización de recursos y/o fondos externos ante Consejo Universitario para su aprobación.</t>
    </r>
  </si>
  <si>
    <r>
      <rPr>
        <b/>
        <sz val="9"/>
        <color theme="1"/>
        <rFont val="Century Schoolbook"/>
        <family val="1"/>
      </rPr>
      <t>1.-</t>
    </r>
    <r>
      <rPr>
        <sz val="10"/>
        <color theme="1"/>
        <rFont val="Arial Narrow"/>
        <family val="2"/>
      </rPr>
      <t xml:space="preserve"> Coordinar difusión del evento.
</t>
    </r>
    <r>
      <rPr>
        <b/>
        <sz val="9"/>
        <color theme="1"/>
        <rFont val="Century Schoolbook"/>
        <family val="1"/>
      </rPr>
      <t>2.-</t>
    </r>
    <r>
      <rPr>
        <sz val="10"/>
        <color theme="1"/>
        <rFont val="Arial Narrow"/>
        <family val="2"/>
      </rPr>
      <t xml:space="preserve"> Entregar y poner en marcha el curso de capacitación en coordinación con la dependencia pertinente.</t>
    </r>
  </si>
  <si>
    <r>
      <rPr>
        <b/>
        <sz val="9"/>
        <color theme="1"/>
        <rFont val="Century Schoolbook"/>
        <family val="1"/>
      </rPr>
      <t>1.-</t>
    </r>
    <r>
      <rPr>
        <sz val="10"/>
        <color theme="1"/>
        <rFont val="Arial Narrow"/>
        <family val="2"/>
      </rPr>
      <t xml:space="preserve"> Gestionar la aprobación del informe de gestión y resultados de prácticas pre profesionales.
</t>
    </r>
    <r>
      <rPr>
        <b/>
        <sz val="9"/>
        <color theme="1"/>
        <rFont val="Century Schoolbook"/>
        <family val="1"/>
      </rPr>
      <t>2.-</t>
    </r>
    <r>
      <rPr>
        <sz val="10"/>
        <color theme="1"/>
        <rFont val="Arial Narrow"/>
        <family val="2"/>
      </rPr>
      <t xml:space="preserve"> Gestionar la aprobación del informe de gestión y resultados de seguimiento a graduados.</t>
    </r>
  </si>
  <si>
    <r>
      <rPr>
        <b/>
        <sz val="9"/>
        <color theme="1"/>
        <rFont val="Century Schoolbook"/>
        <family val="1"/>
      </rPr>
      <t>1.-</t>
    </r>
    <r>
      <rPr>
        <sz val="10"/>
        <color theme="1"/>
        <rFont val="Arial Narrow"/>
        <family val="2"/>
      </rPr>
      <t xml:space="preserve"> Participar de sesiones de actualización y/o retroalimentación para el fortalecimiento de la oferta académica, dominios académicos institucionales y líneas de investigación de nuestra IES, convocadas por el vicerrectorado correspondiente.
</t>
    </r>
    <r>
      <rPr>
        <b/>
        <sz val="9"/>
        <color theme="1"/>
        <rFont val="Century Schoolbook"/>
        <family val="1"/>
      </rPr>
      <t>2.-</t>
    </r>
    <r>
      <rPr>
        <sz val="10"/>
        <color theme="1"/>
        <rFont val="Arial Narrow"/>
        <family val="2"/>
      </rPr>
      <t xml:space="preserve"> Remitir al vicerrectorado correspondiente los resultados de cartera de proyectos de vinculación como insumo para fortalecimiento de la oferta académica.</t>
    </r>
  </si>
  <si>
    <r>
      <rPr>
        <b/>
        <sz val="9"/>
        <color theme="1"/>
        <rFont val="Century Schoolbook"/>
        <family val="1"/>
      </rPr>
      <t>1.-</t>
    </r>
    <r>
      <rPr>
        <sz val="10"/>
        <color theme="1"/>
        <rFont val="Arial Narrow"/>
        <family val="2"/>
      </rPr>
      <t xml:space="preserve"> Participar de las convocatorias de participación institucional en espacios relevantes, de cooperación nacional e internacional.</t>
    </r>
  </si>
  <si>
    <r>
      <rPr>
        <b/>
        <sz val="9"/>
        <color theme="1"/>
        <rFont val="Century Schoolbook"/>
        <family val="1"/>
      </rPr>
      <t>1.-</t>
    </r>
    <r>
      <rPr>
        <sz val="10"/>
        <color theme="1"/>
        <rFont val="Arial Narrow"/>
        <family val="2"/>
      </rPr>
      <t xml:space="preserve"> Difundir y promocionar la convocatoria a becas de programas de movilidad estudiantil.
</t>
    </r>
    <r>
      <rPr>
        <b/>
        <sz val="9"/>
        <color theme="1"/>
        <rFont val="Century Schoolbook"/>
        <family val="1"/>
      </rPr>
      <t>2.-</t>
    </r>
    <r>
      <rPr>
        <sz val="10"/>
        <color theme="1"/>
        <rFont val="Arial Narrow"/>
        <family val="2"/>
      </rPr>
      <t xml:space="preserve"> Dirigir a los estudiantes en el proceso de postulación a los programas de movilidad.</t>
    </r>
  </si>
  <si>
    <r>
      <rPr>
        <b/>
        <sz val="9"/>
        <color theme="1"/>
        <rFont val="Century Schoolbook"/>
        <family val="1"/>
      </rPr>
      <t>1.-</t>
    </r>
    <r>
      <rPr>
        <sz val="10"/>
        <color theme="1"/>
        <rFont val="Arial Narrow"/>
        <family val="2"/>
      </rPr>
      <t xml:space="preserve"> Elaborar propuesta del plan operativo anual 2024.
</t>
    </r>
    <r>
      <rPr>
        <b/>
        <sz val="9"/>
        <color theme="1"/>
        <rFont val="Century Schoolbook"/>
        <family val="1"/>
      </rPr>
      <t>2.-</t>
    </r>
    <r>
      <rPr>
        <sz val="10"/>
        <color theme="1"/>
        <rFont val="Arial Narrow"/>
        <family val="2"/>
      </rPr>
      <t xml:space="preserve"> Cumplir las metas operativas planificadas.
</t>
    </r>
    <r>
      <rPr>
        <b/>
        <sz val="9"/>
        <color theme="1"/>
        <rFont val="Century Schoolbook"/>
        <family val="1"/>
      </rPr>
      <t>3.-</t>
    </r>
    <r>
      <rPr>
        <sz val="10"/>
        <color theme="1"/>
        <rFont val="Arial Narrow"/>
        <family val="2"/>
      </rPr>
      <t xml:space="preserve"> Elaborar de la evaluación del plan operativo anual, preparar y cargar de medios de verificación en drive compartido para el efecto.</t>
    </r>
  </si>
  <si>
    <r>
      <rPr>
        <b/>
        <sz val="9"/>
        <color theme="1"/>
        <rFont val="Century Schoolbook"/>
        <family val="1"/>
      </rPr>
      <t>1.-</t>
    </r>
    <r>
      <rPr>
        <sz val="10"/>
        <color theme="1"/>
        <rFont val="Arial Narrow"/>
        <family val="2"/>
      </rPr>
      <t xml:space="preserve"> Revisar archivo histórico.
</t>
    </r>
    <r>
      <rPr>
        <b/>
        <sz val="9"/>
        <color theme="1"/>
        <rFont val="Century Schoolbook"/>
        <family val="1"/>
      </rPr>
      <t>2.-</t>
    </r>
    <r>
      <rPr>
        <sz val="10"/>
        <color theme="1"/>
        <rFont val="Arial Narrow"/>
        <family val="2"/>
      </rPr>
      <t xml:space="preserve"> Recibir documentación de usuarios internos y externos (físico y digital).
</t>
    </r>
    <r>
      <rPr>
        <b/>
        <sz val="9"/>
        <color theme="1"/>
        <rFont val="Century Schoolbook"/>
        <family val="1"/>
      </rPr>
      <t>3.-</t>
    </r>
    <r>
      <rPr>
        <sz val="10"/>
        <color theme="1"/>
        <rFont val="Arial Narrow"/>
        <family val="2"/>
      </rPr>
      <t xml:space="preserve"> Revisar comunicaciones para su ingreso al sistema siutmach.
</t>
    </r>
    <r>
      <rPr>
        <b/>
        <sz val="9"/>
        <color theme="1"/>
        <rFont val="Century Schoolbook"/>
        <family val="1"/>
      </rPr>
      <t>4.-</t>
    </r>
    <r>
      <rPr>
        <sz val="10"/>
        <color theme="1"/>
        <rFont val="Arial Narrow"/>
        <family val="2"/>
      </rPr>
      <t xml:space="preserve"> Consolidar información de acuerdo a la naturaleza de documentos.
</t>
    </r>
    <r>
      <rPr>
        <b/>
        <sz val="9"/>
        <color theme="1"/>
        <rFont val="Century Schoolbook"/>
        <family val="1"/>
      </rPr>
      <t>5.-</t>
    </r>
    <r>
      <rPr>
        <sz val="10"/>
        <color theme="1"/>
        <rFont val="Arial Narrow"/>
        <family val="2"/>
      </rPr>
      <t xml:space="preserve"> Discriminar el inventario.
</t>
    </r>
    <r>
      <rPr>
        <b/>
        <sz val="9"/>
        <color theme="1"/>
        <rFont val="Century Schoolbook"/>
        <family val="1"/>
      </rPr>
      <t>6.-</t>
    </r>
    <r>
      <rPr>
        <sz val="10"/>
        <color theme="1"/>
        <rFont val="Arial Narrow"/>
        <family val="2"/>
      </rPr>
      <t xml:space="preserve"> contabilizar las fojas que corresponden al archivo histórico.
</t>
    </r>
    <r>
      <rPr>
        <b/>
        <sz val="9"/>
        <color theme="1"/>
        <rFont val="Century Schoolbook"/>
        <family val="1"/>
      </rPr>
      <t>7.-</t>
    </r>
    <r>
      <rPr>
        <sz val="10"/>
        <color theme="1"/>
        <rFont val="Arial Narrow"/>
        <family val="2"/>
      </rPr>
      <t xml:space="preserve"> Digitalizar los documentos recibidos y enviados.
</t>
    </r>
    <r>
      <rPr>
        <b/>
        <sz val="9"/>
        <color theme="1"/>
        <rFont val="Century Schoolbook"/>
        <family val="1"/>
      </rPr>
      <t>8.-</t>
    </r>
    <r>
      <rPr>
        <sz val="10"/>
        <color theme="1"/>
        <rFont val="Arial Narrow"/>
        <family val="2"/>
      </rPr>
      <t xml:space="preserve"> Levantar matriz de inventario documental.</t>
    </r>
  </si>
  <si>
    <r>
      <rPr>
        <b/>
        <sz val="9"/>
        <color theme="1"/>
        <rFont val="Century Schoolbook"/>
        <family val="1"/>
      </rPr>
      <t>1.-</t>
    </r>
    <r>
      <rPr>
        <sz val="10"/>
        <color theme="1"/>
        <rFont val="Arial Narrow"/>
        <family val="2"/>
      </rPr>
      <t xml:space="preserve"> Revisar los resultados de proyectos ejecutados el año anterior.
</t>
    </r>
    <r>
      <rPr>
        <b/>
        <sz val="9"/>
        <color theme="1"/>
        <rFont val="Century Schoolbook"/>
        <family val="1"/>
      </rPr>
      <t>2.-</t>
    </r>
    <r>
      <rPr>
        <sz val="10"/>
        <color theme="1"/>
        <rFont val="Arial Narrow"/>
        <family val="2"/>
      </rPr>
      <t xml:space="preserve"> Consolidar la información discriminada.
</t>
    </r>
    <r>
      <rPr>
        <b/>
        <sz val="9"/>
        <color theme="1"/>
        <rFont val="Century Schoolbook"/>
        <family val="1"/>
      </rPr>
      <t>3.-</t>
    </r>
    <r>
      <rPr>
        <sz val="10"/>
        <color theme="1"/>
        <rFont val="Arial Narrow"/>
        <family val="2"/>
      </rPr>
      <t xml:space="preserve"> Determinar las estrategias a seguir para la planificación anual del siguiente año.
</t>
    </r>
    <r>
      <rPr>
        <b/>
        <sz val="9"/>
        <color theme="1"/>
        <rFont val="Century Schoolbook"/>
        <family val="1"/>
      </rPr>
      <t>4.-</t>
    </r>
    <r>
      <rPr>
        <sz val="10"/>
        <color theme="1"/>
        <rFont val="Arial Narrow"/>
        <family val="2"/>
      </rPr>
      <t xml:space="preserve"> Elaborar la planificación de la Unidad de Gestión de Programas y Proyectos como insumo para la planificación de Dirección.</t>
    </r>
  </si>
  <si>
    <r>
      <rPr>
        <b/>
        <sz val="9"/>
        <color theme="1"/>
        <rFont val="Century Schoolbook"/>
        <family val="1"/>
      </rPr>
      <t>1.-</t>
    </r>
    <r>
      <rPr>
        <sz val="10"/>
        <color theme="1"/>
        <rFont val="Arial Narrow"/>
        <family val="2"/>
      </rPr>
      <t xml:space="preserve"> Coordinar proceso de revisión de propuestas de proyectos.
</t>
    </r>
    <r>
      <rPr>
        <b/>
        <sz val="9"/>
        <color theme="1"/>
        <rFont val="Century Schoolbook"/>
        <family val="1"/>
      </rPr>
      <t>2.-</t>
    </r>
    <r>
      <rPr>
        <sz val="10"/>
        <color theme="1"/>
        <rFont val="Arial Narrow"/>
        <family val="2"/>
      </rPr>
      <t xml:space="preserve"> Coordinar el proceso de aprobación de proyectos.
</t>
    </r>
    <r>
      <rPr>
        <b/>
        <sz val="9"/>
        <color theme="1"/>
        <rFont val="Century Schoolbook"/>
        <family val="1"/>
      </rPr>
      <t>3.-</t>
    </r>
    <r>
      <rPr>
        <sz val="10"/>
        <color theme="1"/>
        <rFont val="Arial Narrow"/>
        <family val="2"/>
      </rPr>
      <t xml:space="preserve"> Preparar insumos para inducciones de acompañamiento docente.
</t>
    </r>
    <r>
      <rPr>
        <b/>
        <sz val="9"/>
        <color theme="1"/>
        <rFont val="Century Schoolbook"/>
        <family val="1"/>
      </rPr>
      <t>4.-</t>
    </r>
    <r>
      <rPr>
        <sz val="10"/>
        <color theme="1"/>
        <rFont val="Arial Narrow"/>
        <family val="2"/>
      </rPr>
      <t xml:space="preserve"> Acompañar en sesiones de trabajo virtuales y/o presenciales con maestros para el proceso de carga y control de fuentes de información de proyectos.
</t>
    </r>
    <r>
      <rPr>
        <b/>
        <sz val="9"/>
        <color theme="1"/>
        <rFont val="Century Schoolbook"/>
        <family val="1"/>
      </rPr>
      <t>5.-</t>
    </r>
    <r>
      <rPr>
        <sz val="10"/>
        <color theme="1"/>
        <rFont val="Arial Narrow"/>
        <family val="2"/>
      </rPr>
      <t xml:space="preserve"> Efectuar carga masiva y/o manual de información de proyectos de vinculación en el sistema SIUTMACH y SIIES del Consejo de Aseguramiento de la Calidad de la Educación Superior.
</t>
    </r>
    <r>
      <rPr>
        <b/>
        <sz val="9"/>
        <color theme="1"/>
        <rFont val="Century Schoolbook"/>
        <family val="1"/>
      </rPr>
      <t>6.-</t>
    </r>
    <r>
      <rPr>
        <sz val="10"/>
        <color theme="1"/>
        <rFont val="Arial Narrow"/>
        <family val="2"/>
      </rPr>
      <t xml:space="preserve"> Coordinar el proceso de evaluación de resultados de proyectos.</t>
    </r>
  </si>
  <si>
    <r>
      <rPr>
        <b/>
        <sz val="9"/>
        <color theme="1"/>
        <rFont val="Century Schoolbook"/>
        <family val="1"/>
      </rPr>
      <t>1.-</t>
    </r>
    <r>
      <rPr>
        <sz val="10"/>
        <color theme="1"/>
        <rFont val="Arial Narrow"/>
        <family val="2"/>
      </rPr>
      <t xml:space="preserve"> Elaborar convocatoria para desarrollo del evento.
</t>
    </r>
    <r>
      <rPr>
        <b/>
        <sz val="9"/>
        <color theme="1"/>
        <rFont val="Century Schoolbook"/>
        <family val="1"/>
      </rPr>
      <t>2.-</t>
    </r>
    <r>
      <rPr>
        <sz val="10"/>
        <color theme="1"/>
        <rFont val="Arial Narrow"/>
        <family val="2"/>
      </rPr>
      <t xml:space="preserve"> Desarrollar, ejecutar y socializar la hoja ruta.
</t>
    </r>
    <r>
      <rPr>
        <b/>
        <sz val="9"/>
        <color theme="1"/>
        <rFont val="Century Schoolbook"/>
        <family val="1"/>
      </rPr>
      <t>3.-</t>
    </r>
    <r>
      <rPr>
        <sz val="10"/>
        <color theme="1"/>
        <rFont val="Arial Narrow"/>
        <family val="2"/>
      </rPr>
      <t xml:space="preserve"> Revisar referencialmente los manuscritos presentados para evento de Jornadas académicas Vinculación, Investigación y Bienestar Universitario.
</t>
    </r>
    <r>
      <rPr>
        <b/>
        <sz val="9"/>
        <color theme="1"/>
        <rFont val="Century Schoolbook"/>
        <family val="1"/>
      </rPr>
      <t>4.-</t>
    </r>
    <r>
      <rPr>
        <sz val="10"/>
        <color theme="1"/>
        <rFont val="Arial Narrow"/>
        <family val="2"/>
      </rPr>
      <t xml:space="preserve"> Coordinar con los pares evaluadores el proceso de revisión técnica de manuscritos.
</t>
    </r>
    <r>
      <rPr>
        <b/>
        <sz val="9"/>
        <color theme="1"/>
        <rFont val="Century Schoolbook"/>
        <family val="1"/>
      </rPr>
      <t>5.-</t>
    </r>
    <r>
      <rPr>
        <sz val="10"/>
        <color theme="1"/>
        <rFont val="Arial Narrow"/>
        <family val="2"/>
      </rPr>
      <t xml:space="preserve"> Notificar a autores de manuscritos.
</t>
    </r>
    <r>
      <rPr>
        <b/>
        <sz val="9"/>
        <color theme="1"/>
        <rFont val="Century Schoolbook"/>
        <family val="1"/>
      </rPr>
      <t>6.-</t>
    </r>
    <r>
      <rPr>
        <sz val="10"/>
        <color theme="1"/>
        <rFont val="Arial Narrow"/>
        <family val="2"/>
      </rPr>
      <t xml:space="preserve"> Activar de salas zoom para evento y demás actividades pertinentes.
</t>
    </r>
    <r>
      <rPr>
        <b/>
        <sz val="9"/>
        <color theme="1"/>
        <rFont val="Century Schoolbook"/>
        <family val="1"/>
      </rPr>
      <t>7.-</t>
    </r>
    <r>
      <rPr>
        <sz val="10"/>
        <color theme="1"/>
        <rFont val="Arial Narrow"/>
        <family val="2"/>
      </rPr>
      <t xml:space="preserve"> Desarrollar del evento (noviembre).</t>
    </r>
  </si>
  <si>
    <r>
      <rPr>
        <b/>
        <sz val="9"/>
        <color theme="1"/>
        <rFont val="Century Schoolbook"/>
        <family val="1"/>
      </rPr>
      <t>1.-</t>
    </r>
    <r>
      <rPr>
        <sz val="10"/>
        <color theme="1"/>
        <rFont val="Arial Narrow"/>
        <family val="2"/>
      </rPr>
      <t xml:space="preserve"> Elaborar y/o actualizar las propuestas de instrumentos.
</t>
    </r>
    <r>
      <rPr>
        <b/>
        <sz val="9"/>
        <color theme="1"/>
        <rFont val="Century Schoolbook"/>
        <family val="1"/>
      </rPr>
      <t>2.-</t>
    </r>
    <r>
      <rPr>
        <sz val="10"/>
        <color theme="1"/>
        <rFont val="Arial Narrow"/>
        <family val="2"/>
      </rPr>
      <t xml:space="preserve"> Coordinar el proceso de revisión, socialización y aprobación de instrumentos.</t>
    </r>
  </si>
  <si>
    <r>
      <rPr>
        <b/>
        <sz val="9"/>
        <color theme="1"/>
        <rFont val="Century Schoolbook"/>
        <family val="1"/>
      </rPr>
      <t>1.-</t>
    </r>
    <r>
      <rPr>
        <sz val="10"/>
        <color theme="1"/>
        <rFont val="Arial Narrow"/>
        <family val="2"/>
      </rPr>
      <t xml:space="preserve"> Elaborar proyecto de capacitación con Educación Continua y/o Investigación. 
</t>
    </r>
    <r>
      <rPr>
        <b/>
        <sz val="9"/>
        <color theme="1"/>
        <rFont val="Century Schoolbook"/>
        <family val="1"/>
      </rPr>
      <t>2.-</t>
    </r>
    <r>
      <rPr>
        <sz val="10"/>
        <color theme="1"/>
        <rFont val="Arial Narrow"/>
        <family val="2"/>
      </rPr>
      <t xml:space="preserve"> Coordinar difusión del evento.
</t>
    </r>
    <r>
      <rPr>
        <b/>
        <sz val="9"/>
        <color theme="1"/>
        <rFont val="Century Schoolbook"/>
        <family val="1"/>
      </rPr>
      <t>3.-</t>
    </r>
    <r>
      <rPr>
        <sz val="10"/>
        <color theme="1"/>
        <rFont val="Arial Narrow"/>
        <family val="2"/>
      </rPr>
      <t xml:space="preserve"> Entregar y poner en marcha el curso de capacitación en coordinación con la dependencia pertinente.
</t>
    </r>
    <r>
      <rPr>
        <b/>
        <sz val="9"/>
        <color theme="1"/>
        <rFont val="Century Schoolbook"/>
        <family val="1"/>
      </rPr>
      <t>4.-</t>
    </r>
    <r>
      <rPr>
        <sz val="10"/>
        <color theme="1"/>
        <rFont val="Arial Narrow"/>
        <family val="2"/>
      </rPr>
      <t xml:space="preserve"> Elaborar informe final de desarrollo del curso.</t>
    </r>
  </si>
  <si>
    <r>
      <rPr>
        <b/>
        <sz val="9"/>
        <color theme="1"/>
        <rFont val="Century Schoolbook"/>
        <family val="1"/>
      </rPr>
      <t>1.-</t>
    </r>
    <r>
      <rPr>
        <sz val="10"/>
        <color theme="1"/>
        <rFont val="Arial Narrow"/>
        <family val="2"/>
      </rPr>
      <t xml:space="preserve"> Atender los requerimientos y/o comunicaciones digitales y/o presenciales.
</t>
    </r>
    <r>
      <rPr>
        <b/>
        <sz val="9"/>
        <color theme="1"/>
        <rFont val="Century Schoolbook"/>
        <family val="1"/>
      </rPr>
      <t>2.-</t>
    </r>
    <r>
      <rPr>
        <sz val="10"/>
        <color theme="1"/>
        <rFont val="Arial Narrow"/>
        <family val="2"/>
      </rPr>
      <t xml:space="preserve"> Proceder con la revisión y/o elaboración de la información requerida.
</t>
    </r>
    <r>
      <rPr>
        <b/>
        <sz val="9"/>
        <color theme="1"/>
        <rFont val="Century Schoolbook"/>
        <family val="1"/>
      </rPr>
      <t>3.-</t>
    </r>
    <r>
      <rPr>
        <sz val="10"/>
        <color theme="1"/>
        <rFont val="Arial Narrow"/>
        <family val="2"/>
      </rPr>
      <t xml:space="preserve"> Registrar la atención en un medio físico o vía correo electrónico.</t>
    </r>
  </si>
  <si>
    <r>
      <rPr>
        <b/>
        <sz val="9"/>
        <color theme="1"/>
        <rFont val="Century Schoolbook"/>
        <family val="1"/>
      </rPr>
      <t>1.-</t>
    </r>
    <r>
      <rPr>
        <sz val="10"/>
        <color theme="1"/>
        <rFont val="Arial Narrow"/>
        <family val="2"/>
      </rPr>
      <t xml:space="preserve"> Elaborar propuesta del plan operativo anual 2024 de la Unidad de Gestión de Proyectos.
</t>
    </r>
    <r>
      <rPr>
        <b/>
        <sz val="9"/>
        <color theme="1"/>
        <rFont val="Century Schoolbook"/>
        <family val="1"/>
      </rPr>
      <t>2.-</t>
    </r>
    <r>
      <rPr>
        <sz val="10"/>
        <color theme="1"/>
        <rFont val="Arial Narrow"/>
        <family val="2"/>
      </rPr>
      <t xml:space="preserve"> Cumplir las metas operativas planificadas.
</t>
    </r>
    <r>
      <rPr>
        <b/>
        <sz val="9"/>
        <color theme="1"/>
        <rFont val="Century Schoolbook"/>
        <family val="1"/>
      </rPr>
      <t>3.-</t>
    </r>
    <r>
      <rPr>
        <sz val="10"/>
        <color theme="1"/>
        <rFont val="Arial Narrow"/>
        <family val="2"/>
      </rPr>
      <t xml:space="preserve"> Elaborar de la evaluación del plan operativo anual 2023, preparar y cargar de medios de verificación en drive compartido para el efecto.</t>
    </r>
  </si>
  <si>
    <r>
      <rPr>
        <b/>
        <sz val="9"/>
        <color theme="1"/>
        <rFont val="Century Schoolbook"/>
        <family val="1"/>
      </rPr>
      <t>1.-</t>
    </r>
    <r>
      <rPr>
        <sz val="10"/>
        <color theme="1"/>
        <rFont val="Arial Narrow"/>
        <family val="2"/>
      </rPr>
      <t xml:space="preserve"> Organizar el archivo digital de la Unidad de Gestión de Proyectos.
</t>
    </r>
    <r>
      <rPr>
        <b/>
        <sz val="9"/>
        <color theme="1"/>
        <rFont val="Century Schoolbook"/>
        <family val="1"/>
      </rPr>
      <t>2.-</t>
    </r>
    <r>
      <rPr>
        <sz val="10"/>
        <color theme="1"/>
        <rFont val="Arial Narrow"/>
        <family val="2"/>
      </rPr>
      <t xml:space="preserve"> Rotular carpetas digitales ordenadas por fecha y asunto.</t>
    </r>
  </si>
  <si>
    <r>
      <rPr>
        <b/>
        <sz val="9"/>
        <color theme="1"/>
        <rFont val="Century Schoolbook"/>
        <family val="1"/>
      </rPr>
      <t>1.-</t>
    </r>
    <r>
      <rPr>
        <sz val="10"/>
        <color theme="1"/>
        <rFont val="Arial Narrow"/>
        <family val="2"/>
      </rPr>
      <t xml:space="preserve"> Revisar actualizaciones de normativa externa e institucional.
</t>
    </r>
    <r>
      <rPr>
        <b/>
        <sz val="9"/>
        <color theme="1"/>
        <rFont val="Century Schoolbook"/>
        <family val="1"/>
      </rPr>
      <t>2.-</t>
    </r>
    <r>
      <rPr>
        <sz val="10"/>
        <color theme="1"/>
        <rFont val="Arial Narrow"/>
        <family val="2"/>
      </rPr>
      <t xml:space="preserve"> Desarrollar reunión con colectivos docentes para identificar necesidades de actualización, ajustes y/o elaboración de propuestas.
</t>
    </r>
    <r>
      <rPr>
        <b/>
        <sz val="9"/>
        <color theme="1"/>
        <rFont val="Century Schoolbook"/>
        <family val="1"/>
      </rPr>
      <t>3.-</t>
    </r>
    <r>
      <rPr>
        <sz val="10"/>
        <color theme="1"/>
        <rFont val="Arial Narrow"/>
        <family val="2"/>
      </rPr>
      <t xml:space="preserve"> Establecer hoja de ruta para elaboración de propuestas según cada componente.
</t>
    </r>
    <r>
      <rPr>
        <b/>
        <sz val="9"/>
        <color theme="1"/>
        <rFont val="Century Schoolbook"/>
        <family val="1"/>
      </rPr>
      <t>4.-</t>
    </r>
    <r>
      <rPr>
        <sz val="10"/>
        <color theme="1"/>
        <rFont val="Arial Narrow"/>
        <family val="2"/>
      </rPr>
      <t xml:space="preserve"> Elaborar propuesta y/o actualizaciones.
</t>
    </r>
    <r>
      <rPr>
        <b/>
        <sz val="9"/>
        <color theme="1"/>
        <rFont val="Century Schoolbook"/>
        <family val="1"/>
      </rPr>
      <t>5.-</t>
    </r>
    <r>
      <rPr>
        <sz val="10"/>
        <color theme="1"/>
        <rFont val="Arial Narrow"/>
        <family val="2"/>
      </rPr>
      <t xml:space="preserve"> Socializar propuestas con Direcciones e instancias conexas.
</t>
    </r>
    <r>
      <rPr>
        <b/>
        <sz val="9"/>
        <color theme="1"/>
        <rFont val="Century Schoolbook"/>
        <family val="1"/>
      </rPr>
      <t>6.-</t>
    </r>
    <r>
      <rPr>
        <sz val="10"/>
        <color theme="1"/>
        <rFont val="Arial Narrow"/>
        <family val="2"/>
      </rPr>
      <t xml:space="preserve"> Ajustar propuestas con base a aportes generados.
</t>
    </r>
    <r>
      <rPr>
        <b/>
        <sz val="9"/>
        <color theme="1"/>
        <rFont val="Century Schoolbook"/>
        <family val="1"/>
      </rPr>
      <t>7.-</t>
    </r>
    <r>
      <rPr>
        <sz val="10"/>
        <color theme="1"/>
        <rFont val="Arial Narrow"/>
        <family val="2"/>
      </rPr>
      <t xml:space="preserve"> Presentar ante Director de Vinculación, para el trámite regular pertinente.</t>
    </r>
  </si>
  <si>
    <r>
      <rPr>
        <b/>
        <sz val="9"/>
        <color theme="1"/>
        <rFont val="Century Schoolbook"/>
        <family val="1"/>
      </rPr>
      <t>1.-</t>
    </r>
    <r>
      <rPr>
        <sz val="10"/>
        <color theme="1"/>
        <rFont val="Arial Narrow"/>
        <family val="2"/>
      </rPr>
      <t xml:space="preserve"> Capacitar y proveer a Carreras directrices e instrumentos vigentes.
</t>
    </r>
    <r>
      <rPr>
        <b/>
        <sz val="9"/>
        <color theme="1"/>
        <rFont val="Century Schoolbook"/>
        <family val="1"/>
      </rPr>
      <t>2.-</t>
    </r>
    <r>
      <rPr>
        <sz val="10"/>
        <color theme="1"/>
        <rFont val="Arial Narrow"/>
        <family val="2"/>
      </rPr>
      <t xml:space="preserve"> Solicitar los planes de prácticas preprofesionales de las Carreras aprobados por Consejo Directivo.
</t>
    </r>
    <r>
      <rPr>
        <b/>
        <sz val="9"/>
        <color theme="1"/>
        <rFont val="Century Schoolbook"/>
        <family val="1"/>
      </rPr>
      <t>3.-</t>
    </r>
    <r>
      <rPr>
        <sz val="10"/>
        <color theme="1"/>
        <rFont val="Arial Narrow"/>
        <family val="2"/>
      </rPr>
      <t xml:space="preserve"> Verificar nómina de docentes responsables de prácticas preprofesionales.
</t>
    </r>
    <r>
      <rPr>
        <b/>
        <sz val="9"/>
        <color theme="1"/>
        <rFont val="Century Schoolbook"/>
        <family val="1"/>
      </rPr>
      <t>4.-</t>
    </r>
    <r>
      <rPr>
        <sz val="10"/>
        <color theme="1"/>
        <rFont val="Arial Narrow"/>
        <family val="2"/>
      </rPr>
      <t xml:space="preserve"> Notificar a docentes asignación de líneas operativas a estudiantes.
</t>
    </r>
    <r>
      <rPr>
        <b/>
        <sz val="9"/>
        <color theme="1"/>
        <rFont val="Century Schoolbook"/>
        <family val="1"/>
      </rPr>
      <t>5.-</t>
    </r>
    <r>
      <rPr>
        <sz val="10"/>
        <color theme="1"/>
        <rFont val="Arial Narrow"/>
        <family val="2"/>
      </rPr>
      <t xml:space="preserve"> Identificar niveles de estudiantes priorizados para el desarrollo de prácticas preprofesionales.
</t>
    </r>
    <r>
      <rPr>
        <b/>
        <sz val="9"/>
        <color theme="1"/>
        <rFont val="Century Schoolbook"/>
        <family val="1"/>
      </rPr>
      <t>6.-</t>
    </r>
    <r>
      <rPr>
        <sz val="10"/>
        <color theme="1"/>
        <rFont val="Arial Narrow"/>
        <family val="2"/>
      </rPr>
      <t xml:space="preserve"> Revisar con base a plataforma  convenios vigentes.
</t>
    </r>
    <r>
      <rPr>
        <b/>
        <sz val="9"/>
        <color theme="1"/>
        <rFont val="Century Schoolbook"/>
        <family val="1"/>
      </rPr>
      <t>7.-</t>
    </r>
    <r>
      <rPr>
        <sz val="10"/>
        <color theme="1"/>
        <rFont val="Arial Narrow"/>
        <family val="2"/>
      </rPr>
      <t xml:space="preserve"> Generar reporte semestral consolidado de prácticas preprofesionales.</t>
    </r>
  </si>
  <si>
    <r>
      <rPr>
        <b/>
        <sz val="9"/>
        <color theme="1"/>
        <rFont val="Century Schoolbook"/>
        <family val="1"/>
      </rPr>
      <t>1.-</t>
    </r>
    <r>
      <rPr>
        <sz val="10"/>
        <color theme="1"/>
        <rFont val="Arial Narrow"/>
        <family val="2"/>
      </rPr>
      <t xml:space="preserve"> Determinar las necesidades de capacitación del personal académico y/o los ALUMNI UTMACH según los componentes de la Unidad.
</t>
    </r>
    <r>
      <rPr>
        <b/>
        <sz val="9"/>
        <color theme="1"/>
        <rFont val="Century Schoolbook"/>
        <family val="1"/>
      </rPr>
      <t>2.-</t>
    </r>
    <r>
      <rPr>
        <sz val="10"/>
        <color theme="1"/>
        <rFont val="Arial Narrow"/>
        <family val="2"/>
      </rPr>
      <t xml:space="preserve"> Priorizar las temáticas de capacitación.
</t>
    </r>
    <r>
      <rPr>
        <b/>
        <sz val="9"/>
        <color theme="1"/>
        <rFont val="Century Schoolbook"/>
        <family val="1"/>
      </rPr>
      <t>3.-</t>
    </r>
    <r>
      <rPr>
        <sz val="10"/>
        <color theme="1"/>
        <rFont val="Arial Narrow"/>
        <family val="2"/>
      </rPr>
      <t xml:space="preserve"> Identificamos perfiles de capacitadores según las temáticas priorizadas.
</t>
    </r>
    <r>
      <rPr>
        <b/>
        <sz val="9"/>
        <color theme="1"/>
        <rFont val="Century Schoolbook"/>
        <family val="1"/>
      </rPr>
      <t>4.-</t>
    </r>
    <r>
      <rPr>
        <sz val="10"/>
        <color theme="1"/>
        <rFont val="Arial Narrow"/>
        <family val="2"/>
      </rPr>
      <t xml:space="preserve"> Revisar las propuestas de capacitación presentadas por los facilitadores seleccionados.
</t>
    </r>
    <r>
      <rPr>
        <b/>
        <sz val="9"/>
        <color theme="1"/>
        <rFont val="Century Schoolbook"/>
        <family val="1"/>
      </rPr>
      <t>5.-</t>
    </r>
    <r>
      <rPr>
        <sz val="10"/>
        <color theme="1"/>
        <rFont val="Arial Narrow"/>
        <family val="2"/>
      </rPr>
      <t xml:space="preserve"> Efectuar gestiones para pagos a capacitadores.
</t>
    </r>
    <r>
      <rPr>
        <b/>
        <sz val="9"/>
        <color theme="1"/>
        <rFont val="Century Schoolbook"/>
        <family val="1"/>
      </rPr>
      <t>6.-</t>
    </r>
    <r>
      <rPr>
        <sz val="10"/>
        <color theme="1"/>
        <rFont val="Arial Narrow"/>
        <family val="2"/>
      </rPr>
      <t xml:space="preserve"> Generar convocatoria a capacitaciones.
</t>
    </r>
    <r>
      <rPr>
        <b/>
        <sz val="9"/>
        <color theme="1"/>
        <rFont val="Century Schoolbook"/>
        <family val="1"/>
      </rPr>
      <t>7.-</t>
    </r>
    <r>
      <rPr>
        <sz val="10"/>
        <color theme="1"/>
        <rFont val="Arial Narrow"/>
        <family val="2"/>
      </rPr>
      <t xml:space="preserve"> Coordinar con las instancias pertinentes el proceso de registro, ejecución y aprobación de capacitaciones.</t>
    </r>
  </si>
  <si>
    <r>
      <rPr>
        <b/>
        <sz val="9"/>
        <color theme="1"/>
        <rFont val="Century Schoolbook"/>
        <family val="1"/>
      </rPr>
      <t>1.-</t>
    </r>
    <r>
      <rPr>
        <sz val="10"/>
        <color theme="1"/>
        <rFont val="Arial Narrow"/>
        <family val="2"/>
      </rPr>
      <t xml:space="preserve"> Revisar información contenida en reporte consolidado de prácticas preprofesionales.
</t>
    </r>
    <r>
      <rPr>
        <b/>
        <sz val="9"/>
        <color theme="1"/>
        <rFont val="Century Schoolbook"/>
        <family val="1"/>
      </rPr>
      <t>2.-</t>
    </r>
    <r>
      <rPr>
        <sz val="10"/>
        <color theme="1"/>
        <rFont val="Arial Narrow"/>
        <family val="2"/>
      </rPr>
      <t xml:space="preserve"> Efectuar visitas mediante muestra aleatoria a escenarios de prácticas.
</t>
    </r>
    <r>
      <rPr>
        <b/>
        <sz val="9"/>
        <color theme="1"/>
        <rFont val="Century Schoolbook"/>
        <family val="1"/>
      </rPr>
      <t>3.-</t>
    </r>
    <r>
      <rPr>
        <sz val="10"/>
        <color theme="1"/>
        <rFont val="Arial Narrow"/>
        <family val="2"/>
      </rPr>
      <t xml:space="preserve"> Desarrollar mesa de trabajo con contrapartes.
</t>
    </r>
    <r>
      <rPr>
        <b/>
        <sz val="9"/>
        <color theme="1"/>
        <rFont val="Century Schoolbook"/>
        <family val="1"/>
      </rPr>
      <t>4.-</t>
    </r>
    <r>
      <rPr>
        <sz val="10"/>
        <color theme="1"/>
        <rFont val="Arial Narrow"/>
        <family val="2"/>
      </rPr>
      <t xml:space="preserve"> Revisar informes y/o reportes de seguimiento a graduados de Carreras.
</t>
    </r>
    <r>
      <rPr>
        <b/>
        <sz val="9"/>
        <color theme="1"/>
        <rFont val="Century Schoolbook"/>
        <family val="1"/>
      </rPr>
      <t>5.-</t>
    </r>
    <r>
      <rPr>
        <sz val="10"/>
        <color theme="1"/>
        <rFont val="Arial Narrow"/>
        <family val="2"/>
      </rPr>
      <t xml:space="preserve"> Verificar uso de convenios de prácticas pre profesionales vigentes.
</t>
    </r>
    <r>
      <rPr>
        <b/>
        <sz val="9"/>
        <color theme="1"/>
        <rFont val="Century Schoolbook"/>
        <family val="1"/>
      </rPr>
      <t>6.-</t>
    </r>
    <r>
      <rPr>
        <sz val="10"/>
        <color theme="1"/>
        <rFont val="Arial Narrow"/>
        <family val="2"/>
      </rPr>
      <t xml:space="preserve"> Elaborar informe de gestión y resultados.
</t>
    </r>
    <r>
      <rPr>
        <b/>
        <sz val="9"/>
        <color theme="1"/>
        <rFont val="Century Schoolbook"/>
        <family val="1"/>
      </rPr>
      <t>7.-</t>
    </r>
    <r>
      <rPr>
        <sz val="10"/>
        <color theme="1"/>
        <rFont val="Arial Narrow"/>
        <family val="2"/>
      </rPr>
      <t xml:space="preserve"> Remitir Informe ante Director, para los fines pertinentes.</t>
    </r>
  </si>
  <si>
    <r>
      <rPr>
        <b/>
        <sz val="9"/>
        <color theme="1"/>
        <rFont val="Century Schoolbook"/>
        <family val="1"/>
      </rPr>
      <t>1.-</t>
    </r>
    <r>
      <rPr>
        <sz val="10"/>
        <color theme="1"/>
        <rFont val="Arial Narrow"/>
        <family val="2"/>
      </rPr>
      <t xml:space="preserve"> Revisar información e insumos de gestión de Seguimiento a Graduados de Carreras.
</t>
    </r>
    <r>
      <rPr>
        <b/>
        <sz val="9"/>
        <color theme="1"/>
        <rFont val="Century Schoolbook"/>
        <family val="1"/>
      </rPr>
      <t>2.-</t>
    </r>
    <r>
      <rPr>
        <sz val="10"/>
        <color theme="1"/>
        <rFont val="Arial Narrow"/>
        <family val="2"/>
      </rPr>
      <t xml:space="preserve"> Coordinar actividades con el colectivo docente para la ejecución de lo planteado en los planes de mejoras de Carreras.
</t>
    </r>
    <r>
      <rPr>
        <b/>
        <sz val="9"/>
        <color theme="1"/>
        <rFont val="Century Schoolbook"/>
        <family val="1"/>
      </rPr>
      <t>3.-</t>
    </r>
    <r>
      <rPr>
        <sz val="10"/>
        <color theme="1"/>
        <rFont val="Arial Narrow"/>
        <family val="2"/>
      </rPr>
      <t xml:space="preserve"> Coordinar con usuarios externos e instancias correspondientes los requerimientos de inserción laboral.
</t>
    </r>
    <r>
      <rPr>
        <b/>
        <sz val="9"/>
        <color theme="1"/>
        <rFont val="Century Schoolbook"/>
        <family val="1"/>
      </rPr>
      <t>4.-</t>
    </r>
    <r>
      <rPr>
        <sz val="10"/>
        <color theme="1"/>
        <rFont val="Arial Narrow"/>
        <family val="2"/>
      </rPr>
      <t xml:space="preserve"> Coordinar con D. TIC's, el mejoramiento de los espacios del seguimiento a graduados en la plataforma.
</t>
    </r>
    <r>
      <rPr>
        <b/>
        <sz val="9"/>
        <color theme="1"/>
        <rFont val="Century Schoolbook"/>
        <family val="1"/>
      </rPr>
      <t>5.-</t>
    </r>
    <r>
      <rPr>
        <sz val="10"/>
        <color theme="1"/>
        <rFont val="Arial Narrow"/>
        <family val="2"/>
      </rPr>
      <t xml:space="preserve"> Acompañar a Carreras en procesos de evaluación.
</t>
    </r>
    <r>
      <rPr>
        <b/>
        <sz val="9"/>
        <color theme="1"/>
        <rFont val="Century Schoolbook"/>
        <family val="1"/>
      </rPr>
      <t>6.-</t>
    </r>
    <r>
      <rPr>
        <sz val="10"/>
        <color theme="1"/>
        <rFont val="Arial Narrow"/>
        <family val="2"/>
      </rPr>
      <t xml:space="preserve"> Sistematizar CV de Alumnis para proveer a empleadores requirentes.</t>
    </r>
  </si>
  <si>
    <r>
      <rPr>
        <b/>
        <sz val="9"/>
        <color theme="1"/>
        <rFont val="Century Schoolbook"/>
        <family val="1"/>
      </rPr>
      <t>1.-</t>
    </r>
    <r>
      <rPr>
        <sz val="10"/>
        <color theme="1"/>
        <rFont val="Arial Narrow"/>
        <family val="2"/>
      </rPr>
      <t xml:space="preserve"> Coordinar con personal del Vicerrectorado de Investigación, Vinculación y Posgrado, y demás instancias pertinentes priorizaciones respecto de mejoras en plataformas informáticas del seguimiento a graduados e inserción laboral.
</t>
    </r>
    <r>
      <rPr>
        <b/>
        <sz val="9"/>
        <color theme="1"/>
        <rFont val="Century Schoolbook"/>
        <family val="1"/>
      </rPr>
      <t>2.-</t>
    </r>
    <r>
      <rPr>
        <sz val="10"/>
        <color theme="1"/>
        <rFont val="Arial Narrow"/>
        <family val="2"/>
      </rPr>
      <t xml:space="preserve"> Presentar propuesta de visitas a IES pioneras en temas de inserción laboral.
</t>
    </r>
    <r>
      <rPr>
        <b/>
        <sz val="9"/>
        <color theme="1"/>
        <rFont val="Century Schoolbook"/>
        <family val="1"/>
      </rPr>
      <t>3.-</t>
    </r>
    <r>
      <rPr>
        <sz val="10"/>
        <color theme="1"/>
        <rFont val="Arial Narrow"/>
        <family val="2"/>
      </rPr>
      <t xml:space="preserve"> Participar en eventos, sesiones de trabajo, talleres con RENSEG y/o redes universitarias, inherentes al seguimiento a graduados e inserción laboral.
</t>
    </r>
    <r>
      <rPr>
        <b/>
        <sz val="9"/>
        <color theme="1"/>
        <rFont val="Century Schoolbook"/>
        <family val="1"/>
      </rPr>
      <t>4.-</t>
    </r>
    <r>
      <rPr>
        <sz val="10"/>
        <color theme="1"/>
        <rFont val="Arial Narrow"/>
        <family val="2"/>
      </rPr>
      <t xml:space="preserve"> Coordinar con Carreras levantamiento de propuestas para el desarrollo de Feria de Empleo UTMACH.
</t>
    </r>
    <r>
      <rPr>
        <b/>
        <sz val="9"/>
        <color theme="1"/>
        <rFont val="Century Schoolbook"/>
        <family val="1"/>
      </rPr>
      <t>5.-</t>
    </r>
    <r>
      <rPr>
        <sz val="10"/>
        <color theme="1"/>
        <rFont val="Arial Narrow"/>
        <family val="2"/>
      </rPr>
      <t xml:space="preserve"> Coordinar con Carreras la organización de encuentros de graduados de las Carreras.
</t>
    </r>
    <r>
      <rPr>
        <b/>
        <sz val="9"/>
        <color theme="1"/>
        <rFont val="Century Schoolbook"/>
        <family val="1"/>
      </rPr>
      <t>6.-</t>
    </r>
    <r>
      <rPr>
        <sz val="10"/>
        <color theme="1"/>
        <rFont val="Arial Narrow"/>
        <family val="2"/>
      </rPr>
      <t xml:space="preserve"> Gestionar la asesoría de especialistas en temas de empleabilidad a graduados.</t>
    </r>
  </si>
  <si>
    <r>
      <rPr>
        <b/>
        <sz val="9"/>
        <color theme="1"/>
        <rFont val="Century Schoolbook"/>
        <family val="1"/>
      </rPr>
      <t>1.-</t>
    </r>
    <r>
      <rPr>
        <sz val="10"/>
        <color theme="1"/>
        <rFont val="Arial Narrow"/>
        <family val="2"/>
      </rPr>
      <t xml:space="preserve"> Elaborar propuesta de la planificación operativa anual subsiguiente de la UNIDAD DE PRÁCTICAS, PASANTÍAS Y SEGUIMIENTO
A GRADUADOS.
</t>
    </r>
    <r>
      <rPr>
        <b/>
        <sz val="9"/>
        <color theme="1"/>
        <rFont val="Century Schoolbook"/>
        <family val="1"/>
      </rPr>
      <t>2.-</t>
    </r>
    <r>
      <rPr>
        <sz val="10"/>
        <color theme="1"/>
        <rFont val="Arial Narrow"/>
        <family val="2"/>
      </rPr>
      <t xml:space="preserve"> Cumplir las metas operativas del plan operativo anual vigente.
</t>
    </r>
    <r>
      <rPr>
        <b/>
        <sz val="9"/>
        <color theme="1"/>
        <rFont val="Century Schoolbook"/>
        <family val="1"/>
      </rPr>
      <t>3.-</t>
    </r>
    <r>
      <rPr>
        <sz val="10"/>
        <color theme="1"/>
        <rFont val="Arial Narrow"/>
        <family val="2"/>
      </rPr>
      <t xml:space="preserve"> Ejecutar la evaluación del plan operativo anual.
</t>
    </r>
    <r>
      <rPr>
        <b/>
        <sz val="9"/>
        <color theme="1"/>
        <rFont val="Century Schoolbook"/>
        <family val="1"/>
      </rPr>
      <t>4.-</t>
    </r>
    <r>
      <rPr>
        <sz val="10"/>
        <color theme="1"/>
        <rFont val="Arial Narrow"/>
        <family val="2"/>
      </rPr>
      <t xml:space="preserve"> Elaborar y cargar los medios de verificación según las directrices de la Dirección de Planificación.</t>
    </r>
  </si>
  <si>
    <r>
      <rPr>
        <b/>
        <sz val="9"/>
        <color theme="1"/>
        <rFont val="Century Schoolbook"/>
        <family val="1"/>
      </rPr>
      <t>1.-</t>
    </r>
    <r>
      <rPr>
        <sz val="10"/>
        <color theme="1"/>
        <rFont val="Arial Narrow"/>
        <family val="2"/>
      </rPr>
      <t xml:space="preserve"> Receptar y revisar documentación física y/o digital derivada para atención de la UPPSG.
</t>
    </r>
    <r>
      <rPr>
        <b/>
        <sz val="9"/>
        <color theme="1"/>
        <rFont val="Century Schoolbook"/>
        <family val="1"/>
      </rPr>
      <t>2.-</t>
    </r>
    <r>
      <rPr>
        <sz val="10"/>
        <color theme="1"/>
        <rFont val="Arial Narrow"/>
        <family val="2"/>
      </rPr>
      <t xml:space="preserve"> Coordinar la atención de los requerimientos.
</t>
    </r>
    <r>
      <rPr>
        <b/>
        <sz val="9"/>
        <color theme="1"/>
        <rFont val="Century Schoolbook"/>
        <family val="1"/>
      </rPr>
      <t>3.-</t>
    </r>
    <r>
      <rPr>
        <sz val="10"/>
        <color theme="1"/>
        <rFont val="Arial Narrow"/>
        <family val="2"/>
      </rPr>
      <t xml:space="preserve"> Efectuar descargo de documentación física y/o digital.</t>
    </r>
  </si>
  <si>
    <r>
      <rPr>
        <b/>
        <sz val="9"/>
        <color theme="1"/>
        <rFont val="Century Schoolbook"/>
        <family val="1"/>
      </rPr>
      <t>1.-</t>
    </r>
    <r>
      <rPr>
        <sz val="10"/>
        <color theme="1"/>
        <rFont val="Arial Narrow"/>
        <family val="2"/>
      </rPr>
      <t xml:space="preserve"> Revisar normativas  internacionales o nacionales relacionadas  movilidad académica, cooperación y relaciones interinstitucionales.
</t>
    </r>
    <r>
      <rPr>
        <b/>
        <sz val="9"/>
        <color theme="1"/>
        <rFont val="Century Schoolbook"/>
        <family val="1"/>
      </rPr>
      <t>2.-</t>
    </r>
    <r>
      <rPr>
        <sz val="10"/>
        <color theme="1"/>
        <rFont val="Arial Narrow"/>
        <family val="2"/>
      </rPr>
      <t xml:space="preserve"> Sistematizar lineamientos bases para formular  propuestas de políticas, lineamientos, instrumentos y/o estrategias.
</t>
    </r>
    <r>
      <rPr>
        <b/>
        <sz val="9"/>
        <color theme="1"/>
        <rFont val="Century Schoolbook"/>
        <family val="1"/>
      </rPr>
      <t>3.-</t>
    </r>
    <r>
      <rPr>
        <sz val="10"/>
        <color theme="1"/>
        <rFont val="Arial Narrow"/>
        <family val="2"/>
      </rPr>
      <t xml:space="preserve"> Socializar los procesos de cooperación interinstitucional.
</t>
    </r>
    <r>
      <rPr>
        <b/>
        <sz val="9"/>
        <color theme="1"/>
        <rFont val="Century Schoolbook"/>
        <family val="1"/>
      </rPr>
      <t>4.-</t>
    </r>
    <r>
      <rPr>
        <sz val="10"/>
        <color theme="1"/>
        <rFont val="Arial Narrow"/>
        <family val="2"/>
      </rPr>
      <t xml:space="preserve"> Poner a conocimiento de la Dirección las propuestas de políticas, lineamientos, instrumentos y/o estrategias.</t>
    </r>
  </si>
  <si>
    <r>
      <rPr>
        <b/>
        <sz val="9"/>
        <color theme="1"/>
        <rFont val="Century Schoolbook"/>
        <family val="1"/>
      </rPr>
      <t>1.-</t>
    </r>
    <r>
      <rPr>
        <sz val="10"/>
        <color theme="1"/>
        <rFont val="Arial Narrow"/>
        <family val="2"/>
      </rPr>
      <t xml:space="preserve"> Atender consultas relacionadas sobre los procesos de cooperación interinstitucional a instituciones externas (nacionales e internacionales), docentes y estudiantes.
</t>
    </r>
    <r>
      <rPr>
        <b/>
        <sz val="9"/>
        <color theme="1"/>
        <rFont val="Century Schoolbook"/>
        <family val="1"/>
      </rPr>
      <t>2.-</t>
    </r>
    <r>
      <rPr>
        <sz val="10"/>
        <color theme="1"/>
        <rFont val="Arial Narrow"/>
        <family val="2"/>
      </rPr>
      <t xml:space="preserve"> Identificar las necesidades de convenio en los estudio de pertinencia.
</t>
    </r>
    <r>
      <rPr>
        <b/>
        <sz val="9"/>
        <color theme="1"/>
        <rFont val="Century Schoolbook"/>
        <family val="1"/>
      </rPr>
      <t>3.-</t>
    </r>
    <r>
      <rPr>
        <sz val="10"/>
        <color theme="1"/>
        <rFont val="Arial Narrow"/>
        <family val="2"/>
      </rPr>
      <t xml:space="preserve"> Establecer sesiones de trabajo con las carreras para determinar el ámbito y responsabilidad declaradas en el convenio.
</t>
    </r>
    <r>
      <rPr>
        <b/>
        <sz val="9"/>
        <color theme="1"/>
        <rFont val="Century Schoolbook"/>
        <family val="1"/>
      </rPr>
      <t>4.-</t>
    </r>
    <r>
      <rPr>
        <sz val="10"/>
        <color theme="1"/>
        <rFont val="Arial Narrow"/>
        <family val="2"/>
      </rPr>
      <t xml:space="preserve"> Consensuar acuerdos de cooperación con la contraparte.
</t>
    </r>
    <r>
      <rPr>
        <b/>
        <sz val="9"/>
        <color theme="1"/>
        <rFont val="Century Schoolbook"/>
        <family val="1"/>
      </rPr>
      <t>5.-</t>
    </r>
    <r>
      <rPr>
        <sz val="10"/>
        <color theme="1"/>
        <rFont val="Arial Narrow"/>
        <family val="2"/>
      </rPr>
      <t xml:space="preserve"> Orientar sobre el proceso y requisitos que deben cumplir.
</t>
    </r>
    <r>
      <rPr>
        <b/>
        <sz val="9"/>
        <color theme="1"/>
        <rFont val="Century Schoolbook"/>
        <family val="1"/>
      </rPr>
      <t>6.-</t>
    </r>
    <r>
      <rPr>
        <sz val="10"/>
        <color theme="1"/>
        <rFont val="Arial Narrow"/>
        <family val="2"/>
      </rPr>
      <t xml:space="preserve"> Revisar las propuestas de convenios y habilitantes enviados desde las carreras.
</t>
    </r>
    <r>
      <rPr>
        <b/>
        <sz val="9"/>
        <color theme="1"/>
        <rFont val="Century Schoolbook"/>
        <family val="1"/>
      </rPr>
      <t>7.-</t>
    </r>
    <r>
      <rPr>
        <sz val="10"/>
        <color theme="1"/>
        <rFont val="Arial Narrow"/>
        <family val="2"/>
      </rPr>
      <t xml:space="preserve"> Solicitar criterio legal de propuestas de convenio.
</t>
    </r>
    <r>
      <rPr>
        <b/>
        <sz val="9"/>
        <color theme="1"/>
        <rFont val="Century Schoolbook"/>
        <family val="1"/>
      </rPr>
      <t>8.-</t>
    </r>
    <r>
      <rPr>
        <sz val="10"/>
        <color theme="1"/>
        <rFont val="Arial Narrow"/>
        <family val="2"/>
      </rPr>
      <t xml:space="preserve"> Gestionar la suscripción de convenios en función en función de la línea operativa, en el caso que se declare presupuesto, se deberá solicitar a financiero la disponibilidad presupuestaria y posterior enviar ante Consejo Universitario para su aprobación.</t>
    </r>
  </si>
  <si>
    <r>
      <rPr>
        <b/>
        <sz val="9"/>
        <color theme="1"/>
        <rFont val="Century Schoolbook"/>
        <family val="1"/>
      </rPr>
      <t>1.-</t>
    </r>
    <r>
      <rPr>
        <sz val="10"/>
        <color theme="1"/>
        <rFont val="Arial Narrow"/>
        <family val="2"/>
      </rPr>
      <t xml:space="preserve"> Revisar los datos de contacto registrados en convenios firmados.
</t>
    </r>
    <r>
      <rPr>
        <b/>
        <sz val="9"/>
        <color theme="1"/>
        <rFont val="Century Schoolbook"/>
        <family val="1"/>
      </rPr>
      <t>2.-</t>
    </r>
    <r>
      <rPr>
        <sz val="10"/>
        <color theme="1"/>
        <rFont val="Arial Narrow"/>
        <family val="2"/>
      </rPr>
      <t xml:space="preserve"> Revisar documentos habilitantes en los cuales constan medios de contacto.
</t>
    </r>
    <r>
      <rPr>
        <b/>
        <sz val="9"/>
        <color theme="1"/>
        <rFont val="Century Schoolbook"/>
        <family val="1"/>
      </rPr>
      <t>3.-</t>
    </r>
    <r>
      <rPr>
        <sz val="10"/>
        <color theme="1"/>
        <rFont val="Arial Narrow"/>
        <family val="2"/>
      </rPr>
      <t xml:space="preserve"> Ingresar los datos en la plataforma de cooperación interinstitucional.
</t>
    </r>
    <r>
      <rPr>
        <b/>
        <sz val="9"/>
        <color theme="1"/>
        <rFont val="Century Schoolbook"/>
        <family val="1"/>
      </rPr>
      <t>4.-</t>
    </r>
    <r>
      <rPr>
        <sz val="10"/>
        <color theme="1"/>
        <rFont val="Arial Narrow"/>
        <family val="2"/>
      </rPr>
      <t xml:space="preserve"> Generar reporte de ésta plataforma y difundir la base de datos a profesores, estudiantes y personal administrativo.</t>
    </r>
  </si>
  <si>
    <r>
      <rPr>
        <b/>
        <sz val="9"/>
        <color theme="1"/>
        <rFont val="Century Schoolbook"/>
        <family val="1"/>
      </rPr>
      <t>1.-</t>
    </r>
    <r>
      <rPr>
        <sz val="10"/>
        <color theme="1"/>
        <rFont val="Arial Narrow"/>
        <family val="2"/>
      </rPr>
      <t xml:space="preserve"> Registrar los requerimientos de asesoría y reuniones de trabajo por parte de usuarios internos y externos mediante la agenda diaria de actividades.
</t>
    </r>
    <r>
      <rPr>
        <b/>
        <sz val="9"/>
        <color theme="1"/>
        <rFont val="Century Schoolbook"/>
        <family val="1"/>
      </rPr>
      <t>2.-</t>
    </r>
    <r>
      <rPr>
        <sz val="10"/>
        <color theme="1"/>
        <rFont val="Arial Narrow"/>
        <family val="2"/>
      </rPr>
      <t xml:space="preserve"> Analizar la información del evento de cooperación nacional e internacional.
</t>
    </r>
    <r>
      <rPr>
        <b/>
        <sz val="9"/>
        <color theme="1"/>
        <rFont val="Century Schoolbook"/>
        <family val="1"/>
      </rPr>
      <t>3.-</t>
    </r>
    <r>
      <rPr>
        <sz val="10"/>
        <color theme="1"/>
        <rFont val="Arial Narrow"/>
        <family val="2"/>
      </rPr>
      <t xml:space="preserve"> Establecer contacto con los organizadores del evento para reunión de trabajo previo a la confirmación de participación.
</t>
    </r>
    <r>
      <rPr>
        <b/>
        <sz val="9"/>
        <color theme="1"/>
        <rFont val="Century Schoolbook"/>
        <family val="1"/>
      </rPr>
      <t>4.-</t>
    </r>
    <r>
      <rPr>
        <sz val="10"/>
        <color theme="1"/>
        <rFont val="Arial Narrow"/>
        <family val="2"/>
      </rPr>
      <t xml:space="preserve"> Realizar seguimiento a los acuerdos establecidos.
</t>
    </r>
    <r>
      <rPr>
        <b/>
        <sz val="9"/>
        <color theme="1"/>
        <rFont val="Century Schoolbook"/>
        <family val="1"/>
      </rPr>
      <t>5.-</t>
    </r>
    <r>
      <rPr>
        <sz val="10"/>
        <color theme="1"/>
        <rFont val="Arial Narrow"/>
        <family val="2"/>
      </rPr>
      <t xml:space="preserve"> Asistir a  los eventos de cooperación (investigación, educación continua, vinculación y otros) nacional e internacional.
</t>
    </r>
    <r>
      <rPr>
        <b/>
        <sz val="9"/>
        <color theme="1"/>
        <rFont val="Century Schoolbook"/>
        <family val="1"/>
      </rPr>
      <t>6.-</t>
    </r>
    <r>
      <rPr>
        <sz val="10"/>
        <color theme="1"/>
        <rFont val="Arial Narrow"/>
        <family val="2"/>
      </rPr>
      <t xml:space="preserve"> Entregar informes de participación en eventos.
</t>
    </r>
    <r>
      <rPr>
        <b/>
        <sz val="9"/>
        <color theme="1"/>
        <rFont val="Century Schoolbook"/>
        <family val="1"/>
      </rPr>
      <t>7.-</t>
    </r>
    <r>
      <rPr>
        <sz val="10"/>
        <color theme="1"/>
        <rFont val="Arial Narrow"/>
        <family val="2"/>
      </rPr>
      <t xml:space="preserve"> Propiciar alianzas de cooperación siempre y cuando se determine beneficio común y colaborativo para las instituciones.</t>
    </r>
  </si>
  <si>
    <r>
      <rPr>
        <b/>
        <sz val="9"/>
        <color theme="1"/>
        <rFont val="Century Schoolbook"/>
        <family val="1"/>
      </rPr>
      <t>1.-</t>
    </r>
    <r>
      <rPr>
        <sz val="10"/>
        <color theme="1"/>
        <rFont val="Arial Narrow"/>
        <family val="2"/>
      </rPr>
      <t xml:space="preserve"> Revisar convenios de cooperación nacionales e internacionales vigentes.
</t>
    </r>
    <r>
      <rPr>
        <b/>
        <sz val="9"/>
        <color theme="1"/>
        <rFont val="Century Schoolbook"/>
        <family val="1"/>
      </rPr>
      <t>2.-</t>
    </r>
    <r>
      <rPr>
        <sz val="10"/>
        <color theme="1"/>
        <rFont val="Arial Narrow"/>
        <family val="2"/>
      </rPr>
      <t xml:space="preserve"> Revisar los programas y proyectos en movilidad académica de las universidades cooperantes.
</t>
    </r>
    <r>
      <rPr>
        <b/>
        <sz val="9"/>
        <color theme="1"/>
        <rFont val="Century Schoolbook"/>
        <family val="1"/>
      </rPr>
      <t>3.-</t>
    </r>
    <r>
      <rPr>
        <sz val="10"/>
        <color theme="1"/>
        <rFont val="Arial Narrow"/>
        <family val="2"/>
      </rPr>
      <t xml:space="preserve"> Notificar a los docentes y estudiantes sobre los programas que existen.
</t>
    </r>
    <r>
      <rPr>
        <b/>
        <sz val="9"/>
        <color theme="1"/>
        <rFont val="Century Schoolbook"/>
        <family val="1"/>
      </rPr>
      <t>4.-</t>
    </r>
    <r>
      <rPr>
        <sz val="10"/>
        <color theme="1"/>
        <rFont val="Arial Narrow"/>
        <family val="2"/>
      </rPr>
      <t xml:space="preserve"> Realizar  la divulgación de resultados de las experiencias de cooperación, movilidad y de relaciones interinstitucionales a docentes y estudiantes participantes en procesos de movilidad académica internacional a través de los diferentes medios comunicaciones de la UTMACH.</t>
    </r>
  </si>
  <si>
    <r>
      <rPr>
        <b/>
        <sz val="9"/>
        <color theme="1"/>
        <rFont val="Century Schoolbook"/>
        <family val="1"/>
      </rPr>
      <t>1.-</t>
    </r>
    <r>
      <rPr>
        <sz val="10"/>
        <color theme="1"/>
        <rFont val="Arial Narrow"/>
        <family val="2"/>
      </rPr>
      <t xml:space="preserve"> Revisar convenios de cooperación nacionales e internacionales vigentes.
</t>
    </r>
    <r>
      <rPr>
        <b/>
        <sz val="9"/>
        <color theme="1"/>
        <rFont val="Century Schoolbook"/>
        <family val="1"/>
      </rPr>
      <t>2.-</t>
    </r>
    <r>
      <rPr>
        <sz val="10"/>
        <color theme="1"/>
        <rFont val="Arial Narrow"/>
        <family val="2"/>
      </rPr>
      <t xml:space="preserve"> Revisar los programas y proyectos en movilidad académica de las universidades cooperantes.
</t>
    </r>
    <r>
      <rPr>
        <b/>
        <sz val="9"/>
        <color theme="1"/>
        <rFont val="Century Schoolbook"/>
        <family val="1"/>
      </rPr>
      <t>3.-</t>
    </r>
    <r>
      <rPr>
        <sz val="10"/>
        <color theme="1"/>
        <rFont val="Arial Narrow"/>
        <family val="2"/>
      </rPr>
      <t xml:space="preserve"> Monitorear las convocatorias de becas para programas de movilidad internacional.
</t>
    </r>
    <r>
      <rPr>
        <b/>
        <sz val="9"/>
        <color theme="1"/>
        <rFont val="Century Schoolbook"/>
        <family val="1"/>
      </rPr>
      <t>4.-</t>
    </r>
    <r>
      <rPr>
        <sz val="10"/>
        <color theme="1"/>
        <rFont val="Arial Narrow"/>
        <family val="2"/>
      </rPr>
      <t xml:space="preserve"> Gestionar la suscripción de convenios para la movilidad estudiantil internacional.
</t>
    </r>
    <r>
      <rPr>
        <b/>
        <sz val="9"/>
        <color theme="1"/>
        <rFont val="Century Schoolbook"/>
        <family val="1"/>
      </rPr>
      <t>5.-</t>
    </r>
    <r>
      <rPr>
        <sz val="10"/>
        <color theme="1"/>
        <rFont val="Arial Narrow"/>
        <family val="2"/>
      </rPr>
      <t xml:space="preserve"> Realizar la difusión de la catálogo de oportunidades de movilidad a los estudiantes y docentes.
</t>
    </r>
    <r>
      <rPr>
        <b/>
        <sz val="9"/>
        <color theme="1"/>
        <rFont val="Century Schoolbook"/>
        <family val="1"/>
      </rPr>
      <t>6.-</t>
    </r>
    <r>
      <rPr>
        <sz val="10"/>
        <color theme="1"/>
        <rFont val="Arial Narrow"/>
        <family val="2"/>
      </rPr>
      <t xml:space="preserve"> Revisar perfiles de estudiantes interesados en participar en los programas de movilidad.
</t>
    </r>
    <r>
      <rPr>
        <b/>
        <sz val="9"/>
        <color theme="1"/>
        <rFont val="Century Schoolbook"/>
        <family val="1"/>
      </rPr>
      <t>7.-</t>
    </r>
    <r>
      <rPr>
        <sz val="10"/>
        <color theme="1"/>
        <rFont val="Arial Narrow"/>
        <family val="2"/>
      </rPr>
      <t xml:space="preserve"> Acompañar a los estudiantes en su  proceso de postulación en los programas de movilidad.
</t>
    </r>
    <r>
      <rPr>
        <b/>
        <sz val="9"/>
        <color theme="1"/>
        <rFont val="Century Schoolbook"/>
        <family val="1"/>
      </rPr>
      <t>8.-</t>
    </r>
    <r>
      <rPr>
        <sz val="10"/>
        <color theme="1"/>
        <rFont val="Arial Narrow"/>
        <family val="2"/>
      </rPr>
      <t xml:space="preserve"> Gestionar ante las dependencias los permisos correspondientes e informes académicos previo a la salida de los estudiantes.</t>
    </r>
  </si>
  <si>
    <r>
      <rPr>
        <b/>
        <sz val="9"/>
        <color theme="1"/>
        <rFont val="Century Schoolbook"/>
        <family val="1"/>
      </rPr>
      <t>1.-</t>
    </r>
    <r>
      <rPr>
        <sz val="10"/>
        <color theme="1"/>
        <rFont val="Arial Narrow"/>
        <family val="2"/>
      </rPr>
      <t xml:space="preserve"> Revisar convenios de cooperación nacionales e internacionales vigentes para conocer los ámbitos de colaboración institucional.
</t>
    </r>
    <r>
      <rPr>
        <b/>
        <sz val="9"/>
        <color theme="1"/>
        <rFont val="Century Schoolbook"/>
        <family val="1"/>
      </rPr>
      <t>2.-</t>
    </r>
    <r>
      <rPr>
        <sz val="10"/>
        <color theme="1"/>
        <rFont val="Arial Narrow"/>
        <family val="2"/>
      </rPr>
      <t xml:space="preserve"> Analizar la información obtenida y generar los informes correspondientes 3,- Notificar a los docentes  y dependencias que son administradores de convenios sobre las acciones realizadas.
</t>
    </r>
    <r>
      <rPr>
        <b/>
        <sz val="9"/>
        <color theme="1"/>
        <rFont val="Century Schoolbook"/>
        <family val="1"/>
      </rPr>
      <t>3.-</t>
    </r>
    <r>
      <rPr>
        <sz val="10"/>
        <color theme="1"/>
        <rFont val="Arial Narrow"/>
        <family val="2"/>
      </rPr>
      <t xml:space="preserve"> Realizar  cronograma de notificación a administradores de convenios  de cooperación, movilidad y de relaciones interinstitucionales.
</t>
    </r>
    <r>
      <rPr>
        <b/>
        <sz val="9"/>
        <color theme="1"/>
        <rFont val="Century Schoolbook"/>
        <family val="1"/>
      </rPr>
      <t>4.-</t>
    </r>
    <r>
      <rPr>
        <sz val="10"/>
        <color theme="1"/>
        <rFont val="Arial Narrow"/>
        <family val="2"/>
      </rPr>
      <t xml:space="preserve"> Actualizar matriz de seguimiento de convenios de acuerdo a la información proporcionada por los administradores de convenio.</t>
    </r>
  </si>
  <si>
    <r>
      <rPr>
        <b/>
        <sz val="9"/>
        <color theme="1"/>
        <rFont val="Century Schoolbook"/>
        <family val="1"/>
      </rPr>
      <t>1.-</t>
    </r>
    <r>
      <rPr>
        <sz val="10"/>
        <color theme="1"/>
        <rFont val="Arial Narrow"/>
        <family val="2"/>
      </rPr>
      <t xml:space="preserve"> Revisar convenios de cooperación nacionales e internacionales vigentes para conocer los ámbitos de colaboración institucional.
</t>
    </r>
    <r>
      <rPr>
        <b/>
        <sz val="9"/>
        <color theme="1"/>
        <rFont val="Century Schoolbook"/>
        <family val="1"/>
      </rPr>
      <t>2.-</t>
    </r>
    <r>
      <rPr>
        <sz val="10"/>
        <color theme="1"/>
        <rFont val="Arial Narrow"/>
        <family val="2"/>
      </rPr>
      <t xml:space="preserve"> Solicitar a los administradores de los convenios la entrega del seguimiento de convenios que reflejen los resultados obtenidos para los procesos de cooperación, movilidad y de relaciones interinstitucionales.
</t>
    </r>
    <r>
      <rPr>
        <b/>
        <sz val="9"/>
        <color theme="1"/>
        <rFont val="Century Schoolbook"/>
        <family val="1"/>
      </rPr>
      <t>3.-</t>
    </r>
    <r>
      <rPr>
        <sz val="10"/>
        <color theme="1"/>
        <rFont val="Arial Narrow"/>
        <family val="2"/>
      </rPr>
      <t xml:space="preserve"> Recopilar los información recibidos.
</t>
    </r>
    <r>
      <rPr>
        <b/>
        <sz val="9"/>
        <color theme="1"/>
        <rFont val="Century Schoolbook"/>
        <family val="1"/>
      </rPr>
      <t>4.-</t>
    </r>
    <r>
      <rPr>
        <sz val="10"/>
        <color theme="1"/>
        <rFont val="Arial Narrow"/>
        <family val="2"/>
      </rPr>
      <t xml:space="preserve"> Actualizar la matriz de seguimiento de convenios.
</t>
    </r>
    <r>
      <rPr>
        <b/>
        <sz val="9"/>
        <color theme="1"/>
        <rFont val="Century Schoolbook"/>
        <family val="1"/>
      </rPr>
      <t>5.-</t>
    </r>
    <r>
      <rPr>
        <sz val="10"/>
        <color theme="1"/>
        <rFont val="Arial Narrow"/>
        <family val="2"/>
      </rPr>
      <t xml:space="preserve"> Reportar los avances ante las instancias pertinentes.</t>
    </r>
  </si>
  <si>
    <r>
      <rPr>
        <b/>
        <sz val="9"/>
        <color theme="1"/>
        <rFont val="Century Schoolbook"/>
        <family val="1"/>
      </rPr>
      <t>1.-</t>
    </r>
    <r>
      <rPr>
        <sz val="10"/>
        <color theme="1"/>
        <rFont val="Arial Narrow"/>
        <family val="2"/>
      </rPr>
      <t xml:space="preserve"> Buscar espacios relevantes y establecer sesiones de trabajo con usuarios externos  para determinar  las necesidades y la colaboración institucional.
</t>
    </r>
    <r>
      <rPr>
        <b/>
        <sz val="9"/>
        <color theme="1"/>
        <rFont val="Century Schoolbook"/>
        <family val="1"/>
      </rPr>
      <t>2.-</t>
    </r>
    <r>
      <rPr>
        <sz val="10"/>
        <color theme="1"/>
        <rFont val="Arial Narrow"/>
        <family val="2"/>
      </rPr>
      <t xml:space="preserve"> Consensuar acuerdos y/o compromisos con los aliados estratégicos.
</t>
    </r>
    <r>
      <rPr>
        <b/>
        <sz val="9"/>
        <color theme="1"/>
        <rFont val="Century Schoolbook"/>
        <family val="1"/>
      </rPr>
      <t>3.-</t>
    </r>
    <r>
      <rPr>
        <sz val="10"/>
        <color theme="1"/>
        <rFont val="Arial Narrow"/>
        <family val="2"/>
      </rPr>
      <t xml:space="preserve"> Orientar sobre el proceso y requisitos que deben cumplir.
</t>
    </r>
    <r>
      <rPr>
        <b/>
        <sz val="9"/>
        <color theme="1"/>
        <rFont val="Century Schoolbook"/>
        <family val="1"/>
      </rPr>
      <t>4.-</t>
    </r>
    <r>
      <rPr>
        <sz val="10"/>
        <color theme="1"/>
        <rFont val="Arial Narrow"/>
        <family val="2"/>
      </rPr>
      <t xml:space="preserve"> Revisar las propuestas y tramitarlas conforme lo establece la normativa vigente.
</t>
    </r>
    <r>
      <rPr>
        <b/>
        <sz val="9"/>
        <color theme="1"/>
        <rFont val="Century Schoolbook"/>
        <family val="1"/>
      </rPr>
      <t>5.-</t>
    </r>
    <r>
      <rPr>
        <sz val="10"/>
        <color theme="1"/>
        <rFont val="Arial Narrow"/>
        <family val="2"/>
      </rPr>
      <t xml:space="preserve"> Gestionar la suscripción de convenios en función en función de la línea operativa, en el caso que se declare presupuesto, se deberá solicitar a financiero la disponibilidad presupuestaria y posterior enviar ante Consejo Universitario para su aprobación.</t>
    </r>
  </si>
  <si>
    <r>
      <rPr>
        <b/>
        <sz val="9"/>
        <color theme="1"/>
        <rFont val="Century Schoolbook"/>
        <family val="1"/>
      </rPr>
      <t>1.-</t>
    </r>
    <r>
      <rPr>
        <sz val="10"/>
        <color theme="1"/>
        <rFont val="Arial Narrow"/>
        <family val="2"/>
      </rPr>
      <t xml:space="preserve"> Presentar la propuesta de la Planificación Operativa Anual de la Unidad.
</t>
    </r>
    <r>
      <rPr>
        <b/>
        <sz val="9"/>
        <color theme="1"/>
        <rFont val="Century Schoolbook"/>
        <family val="1"/>
      </rPr>
      <t>2.-</t>
    </r>
    <r>
      <rPr>
        <sz val="10"/>
        <color theme="1"/>
        <rFont val="Arial Narrow"/>
        <family val="2"/>
      </rPr>
      <t xml:space="preserve"> Ejecutar las actividades enmarcadas en el Plan Operativo Anual vigente.
</t>
    </r>
    <r>
      <rPr>
        <b/>
        <sz val="9"/>
        <color theme="1"/>
        <rFont val="Century Schoolbook"/>
        <family val="1"/>
      </rPr>
      <t>3.-</t>
    </r>
    <r>
      <rPr>
        <sz val="10"/>
        <color theme="1"/>
        <rFont val="Arial Narrow"/>
        <family val="2"/>
      </rPr>
      <t xml:space="preserve"> Efectuar los requerimientos del Plan Anual de Compras.
</t>
    </r>
    <r>
      <rPr>
        <b/>
        <sz val="9"/>
        <color theme="1"/>
        <rFont val="Century Schoolbook"/>
        <family val="1"/>
      </rPr>
      <t>4.-</t>
    </r>
    <r>
      <rPr>
        <sz val="10"/>
        <color theme="1"/>
        <rFont val="Arial Narrow"/>
        <family val="2"/>
      </rPr>
      <t xml:space="preserve"> Reportar las evaluaciones de Primer, Segundo y tercer cuatrimestre del POA, conforme las directrices de la Dirección de Planificación de la UTMACH.
</t>
    </r>
    <r>
      <rPr>
        <b/>
        <sz val="9"/>
        <color theme="1"/>
        <rFont val="Century Schoolbook"/>
        <family val="1"/>
      </rPr>
      <t>5.-</t>
    </r>
    <r>
      <rPr>
        <sz val="10"/>
        <color theme="1"/>
        <rFont val="Arial Narrow"/>
        <family val="2"/>
      </rPr>
      <t xml:space="preserve"> Elaborar propuesta de planificación operativa del período subsiguiente.</t>
    </r>
  </si>
  <si>
    <r>
      <rPr>
        <b/>
        <sz val="9"/>
        <color theme="1"/>
        <rFont val="Century Schoolbook"/>
        <family val="1"/>
      </rPr>
      <t>1.-</t>
    </r>
    <r>
      <rPr>
        <sz val="10"/>
        <color theme="1"/>
        <rFont val="Arial Narrow"/>
        <family val="2"/>
      </rPr>
      <t xml:space="preserve"> Revisar archivo histórico  física y/o digital de los documentos generados y/o  derivada para atención de la unidad de Movilidad y Relaciones Interinstitucionales.
</t>
    </r>
    <r>
      <rPr>
        <b/>
        <sz val="9"/>
        <color theme="1"/>
        <rFont val="Century Schoolbook"/>
        <family val="1"/>
      </rPr>
      <t>2.-</t>
    </r>
    <r>
      <rPr>
        <sz val="10"/>
        <color theme="1"/>
        <rFont val="Arial Narrow"/>
        <family val="2"/>
      </rPr>
      <t xml:space="preserve"> Coordinar la atención de los requerimientos.
</t>
    </r>
    <r>
      <rPr>
        <b/>
        <sz val="9"/>
        <color theme="1"/>
        <rFont val="Century Schoolbook"/>
        <family val="1"/>
      </rPr>
      <t>3.-</t>
    </r>
    <r>
      <rPr>
        <sz val="10"/>
        <color theme="1"/>
        <rFont val="Arial Narrow"/>
        <family val="2"/>
      </rPr>
      <t xml:space="preserve"> Consolidar la información y levantar la matriz de inventario documental.
</t>
    </r>
    <r>
      <rPr>
        <b/>
        <sz val="9"/>
        <color theme="1"/>
        <rFont val="Century Schoolbook"/>
        <family val="1"/>
      </rPr>
      <t>4.-</t>
    </r>
    <r>
      <rPr>
        <sz val="10"/>
        <color theme="1"/>
        <rFont val="Arial Narrow"/>
        <family val="2"/>
      </rPr>
      <t xml:space="preserve"> Efectuar descargo de documentación física y/o digital.</t>
    </r>
  </si>
  <si>
    <t>N° de programas y/o proyectos de vinculación gestionados.</t>
  </si>
  <si>
    <t>N° de proyectos de vinculación con impacto sobre los problemas identificados en los estudios de pertinencia de las carreras.</t>
  </si>
  <si>
    <t>N° de Políticas, estrategias y/o directrices en el ámbito de los procesos inherentes a la dirección, desarrolladas e implementadas.</t>
  </si>
  <si>
    <t>N° de Alianzas estratégicas interinstitucionales gestionadas.</t>
  </si>
  <si>
    <t>N° de Actividades de divulgación y devolución de resultados y de las buenas prácticas de los procesos que lleva a cabo la Dirección, efectuadas.</t>
  </si>
  <si>
    <t>N° de Procesos de movilización de recursos y/o fondos externos, gestionados.</t>
  </si>
  <si>
    <t>N° de Planificación Anual de la Dirección de Vinculación, aprobado.</t>
  </si>
  <si>
    <t>N° de Eventos de inducción, capacitación y/o asesoría, de las Unidades de la Dirección implementados.</t>
  </si>
  <si>
    <t>N° de Procesos de elaboración de programas, planes y proyectos en las diferentes modalidades en que se ejecuta la vinculación con la sociedad, dirigido.</t>
  </si>
  <si>
    <t>N° de Procesos de retroalimentación para el fortalecimiento de la oferta académica, dominios académicos institucionales y líneas de investigación de nuestra IES, asistidos.</t>
  </si>
  <si>
    <t>N° de Participación institucional en espacios relevantes, de cooperación nacional e internacional a través de redes, eventos académicos, científicos y culturales; gestionada.</t>
  </si>
  <si>
    <t>N° de Participación en programas de intercambio estudiantil nacional e internacional, en los que se convalidan y homologan estudios y/o prácticas, evidenciadas.</t>
  </si>
  <si>
    <t>N° de Planificaciones Operativas Anuales y Evaluaciones de la Planificación Operativa Anual entregadas a la instancia pertinente.</t>
  </si>
  <si>
    <t>N° de planes de gestión de programas y/o proyectos de vinculación con la sociedad para la planificación anual de la Dirección de Vinculación generados.</t>
  </si>
  <si>
    <t>N° de proceso de planificación, ejecución, monitoreo y/o evaluación de programas y/o proyectos de vinculación con la sociedad, coordinados.</t>
  </si>
  <si>
    <t>N° de jornadas y/o eventos de socialización derivados de la ejecución de los programas y proyectos sociales, ejecutados.</t>
  </si>
  <si>
    <t>N° de propuestas de instrumentos de gestión de proyectos sociales, elaborados y/o actualizados.</t>
  </si>
  <si>
    <t>N° de eventos de capacitación y/o inducción en temas de gestión de proyectos sociales al estamento docente y/o estudiantil, coordinados y ejecutados.</t>
  </si>
  <si>
    <t>N° de asesorías al personal docente y estudiantil con relación a la gestión de programas y/o proyectos de vinculación realizadas.</t>
  </si>
  <si>
    <t>N° Archivos de gestión organizados.</t>
  </si>
  <si>
    <t>N° de propuestas de instrumentos de planificación, ejecución, seguimiento y evaluación de pasantías, prácticas preprofesionales y seguimiento a graduados elaborados y/o actualizados.</t>
  </si>
  <si>
    <t>N° de reportes de monitoreo del proceso de prácticas preprofesionales y seguimiento a 
graduados, en conjunto con Subdecanos y Carreras efectuados.</t>
  </si>
  <si>
    <t>N° de eventos de capacitación y/o inducción en temas de gestión de pasantías, prácticas preprofesionales y seguimiento a graduados organizados.</t>
  </si>
  <si>
    <t>N° de resultados del seguimiento a los procesos de pasantías, prácticas preprofesionales y seguimiento a graduados de las carreras, evaluados.</t>
  </si>
  <si>
    <t>N° de procesos de seguimiento a graduados e inserción laboral, coordinados.</t>
  </si>
  <si>
    <t>N° de estrategias para la gestión de la bolsa de empleo institucional, establecidas.</t>
  </si>
  <si>
    <t>N° de propuestas de políticas, lineamientos, instrumentos y/o estrategias en el campo de la movilidad académica, cooperación y relaciones interinstitucionales, presentadas.</t>
  </si>
  <si>
    <t>N° de informes técnicos previo a suscripción de convenios con base a los estudios de pertinencia realizados por las instancias pertinentes.</t>
  </si>
  <si>
    <t>N° de insumos para la planificación de la Dirección de Vinculación en el ámbito de la Movilidad y Relaciones Interinstitucionales, presentados.</t>
  </si>
  <si>
    <t>N° de acciones realizadas para la actualización de la base de datos de nexos con organismos e instituciones públicas, privadas, nacionales e internacionales.</t>
  </si>
  <si>
    <t>N° de Participaciones institucionales en espacios relevantes, de cooperación nacional e internacional, coordinadas.</t>
  </si>
  <si>
    <t>N° de Seguimiento a los procesos de captación de fondos externos, efectuados.</t>
  </si>
  <si>
    <t>N° de jornadas realizadas para la socialización de los resultados de experiencias de cooperación, movilidad y de relaciones interinstitucionales.</t>
  </si>
  <si>
    <t>N° de participación en programas de intercambio estudiantil.</t>
  </si>
  <si>
    <t>N° de informes de pertinencia relacionados a la movilidad académica, cooperación y relaciones interinstitucionales, presentados.</t>
  </si>
  <si>
    <t>N° de Seguimiento a los procesos de cooperación, movilidad y relaciones interinstitucionales, efectuados.</t>
  </si>
  <si>
    <t>N° de procesos para la gestión  de alianzas estratégicas interinstitucionales,
coordinados, realizados.</t>
  </si>
  <si>
    <t>N° de Plan operativo y evaluaciones de la planificación operativa entregados oportunamente.</t>
  </si>
  <si>
    <t>Políticas, estrategias y/o directrices en el ámbito de los procesos inherentes a la dirección, desarrolladas e implementadas.</t>
  </si>
  <si>
    <t>Alianzas estratégicas interinstitucionales gestionadas.</t>
  </si>
  <si>
    <t>Actividades de divulgación y devolución de resultados y de las buenas prácticas de los procesos que lleva a cabo la Dirección, efectuados.</t>
  </si>
  <si>
    <t>Procesos de movilización de recursos y/o fondos externos, gestionados.</t>
  </si>
  <si>
    <t>Eventos de inducción, capacitación y/o asesoría, de las Unidades de la Dirección Implementados.</t>
  </si>
  <si>
    <t>Procesos de retroalimentación para el fortalecimiento de la oferta académica, dominios académicos institucionales y líneas de investigación de nuestra IES, asistidos.</t>
  </si>
  <si>
    <t>Participación institucional en espacios relevantes, de cooperación nacional e internacional a través de redes, eventos académicos, científicos y culturales; gestionada.</t>
  </si>
  <si>
    <t>Participación en programas de intercambio estudiantil nacional e internacional, en los que se convalidan y homologan estudios y/o prácticas, evidenciadas.</t>
  </si>
  <si>
    <t>Insumos de programas de proyectos y/o programas de vinculación con la sociedad generados.</t>
  </si>
  <si>
    <t>Jornadas y/o eventos de socialización derivados de la ejecución de los programas y/o proyectos de vinculación con la sociedad, ejecutados.</t>
  </si>
  <si>
    <t>Propuestas de instrumentos de gestión de proyectos sociales, elaborados y/o actualizados.</t>
  </si>
  <si>
    <t>Asesorías al personal docente y estudiantil con relación a la gestión de programas y/o proyectos de vinculación realizadas.</t>
  </si>
  <si>
    <t>Propuestas de políticas, objetivos, lineamientos y/ o estrategias 
institucionales en el campo de pasantías, prácticas preprofesionales y seguimiento a graduados, emitidas y/ o actualizadas.</t>
  </si>
  <si>
    <t>Capacitaciones con relación a los procesos de gestión de pasantías, prácticas preprofesionales y seguimiento a graduados, efectuadas.</t>
  </si>
  <si>
    <t>Propuestas de políticas, lineamientos, instrumentos y/ o estrategias en concordancia con los objetivos institucionales en el campo de la movilidad académica, cooperación y relaciones interinstitucionales, elaboradas.</t>
  </si>
  <si>
    <t>Proceso de levantamiento de estudios de pertinencia que evidencien las necesidades institucionales para el establecimiento de alianzas de cooperación interinstitucional, coordinado.</t>
  </si>
  <si>
    <t>Levantamiento de insumos para la elaboración de la planificación anual
de la Dirección de Vinculación emitidos.</t>
  </si>
  <si>
    <t>Seguimiento a los procesos 
de captación de fondos externos, que fortalezcan la  planificación y la  gestión de la vinculación social coordinados.</t>
  </si>
  <si>
    <t>Socialización de los resultados de las experiencias de cooperación, movilidad y de relaciones interinstitucionales, ejecutada.</t>
  </si>
  <si>
    <t>Participación en programas  de intercambio estudiantil, coordinados y efectuados.</t>
  </si>
  <si>
    <t>Seguimiento a los procesos de cooperación, movilidad y relaciones interinstitucionales; coordinados.</t>
  </si>
  <si>
    <t>Procesos para la gestión de alianzas estratégicas interinstitucionales, coordinados.</t>
  </si>
  <si>
    <r>
      <rPr>
        <b/>
        <sz val="10"/>
        <color rgb="FFFF0000"/>
        <rFont val="Arial Narrow"/>
      </rPr>
      <t>METAS ESTRATÉGICAS</t>
    </r>
    <r>
      <rPr>
        <b/>
        <sz val="10"/>
        <color theme="1"/>
        <rFont val="Arial Narrow"/>
      </rPr>
      <t xml:space="preserve">
</t>
    </r>
    <r>
      <rPr>
        <b/>
        <sz val="9"/>
        <color theme="1"/>
        <rFont val="Century Schoolbook"/>
        <family val="1"/>
      </rPr>
      <t>1.-</t>
    </r>
    <r>
      <rPr>
        <b/>
        <sz val="10"/>
        <color theme="1"/>
        <rFont val="Arial Narrow"/>
      </rPr>
      <t xml:space="preserve"> </t>
    </r>
    <r>
      <rPr>
        <sz val="10"/>
        <color theme="1"/>
        <rFont val="Arial Narrow"/>
      </rPr>
      <t>Incrementar la interacción de la universidad con la sociedad a través de la gestión de programas  y/o proyectos de vinculación con la sociedad.</t>
    </r>
  </si>
  <si>
    <r>
      <rPr>
        <b/>
        <sz val="9"/>
        <color theme="1"/>
        <rFont val="Century Schoolbook"/>
        <family val="1"/>
      </rPr>
      <t>2.-</t>
    </r>
    <r>
      <rPr>
        <sz val="10"/>
        <color theme="1"/>
        <rFont val="Arial Narrow"/>
      </rPr>
      <t xml:space="preserve"> Evaluar el nivel de impacto de los proyectos de vinculación a través de la valoración del grado de contribución a la solución de los problemas identificados en los estudios de pertinencia de la oferta académica.</t>
    </r>
  </si>
  <si>
    <r>
      <rPr>
        <b/>
        <sz val="9"/>
        <color theme="1"/>
        <rFont val="Century Schoolbook"/>
        <family val="1"/>
      </rPr>
      <t>3.-</t>
    </r>
    <r>
      <rPr>
        <sz val="10"/>
        <color theme="1"/>
        <rFont val="Arial Narrow"/>
      </rPr>
      <t xml:space="preserve"> Gestionar la internacionalización de los proyectos de vinculación a través de la implementación del modelo de transferencia tecnológica y científica con énfasis en los nudos problematizadores identificados a nivel zonal.</t>
    </r>
  </si>
  <si>
    <r>
      <rPr>
        <b/>
        <sz val="9"/>
        <color theme="1"/>
        <rFont val="Century Schoolbook"/>
        <family val="1"/>
      </rPr>
      <t>4.-</t>
    </r>
    <r>
      <rPr>
        <sz val="10"/>
        <color theme="1"/>
        <rFont val="Arial Narrow"/>
      </rPr>
      <t xml:space="preserve"> Asegurar la calidad de las alianzas estratégicas institucionales a través de la evaluación de impacto de los convenios sobre el desarrollo de los ejes sustantivos.</t>
    </r>
  </si>
  <si>
    <r>
      <rPr>
        <b/>
        <sz val="9"/>
        <color theme="1"/>
        <rFont val="Century Schoolbook"/>
        <family val="1"/>
      </rPr>
      <t>2.-</t>
    </r>
    <r>
      <rPr>
        <sz val="10"/>
        <color theme="1"/>
        <rFont val="Arial Narrow"/>
      </rPr>
      <t xml:space="preserve"> Gestionar alianzas estratégicas interinstitucionales.</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</si>
  <si>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Desarrollar e implementar políticas, estrategias y/o directrices en el ámbito de los procesos inherentes a la dirección.</t>
    </r>
  </si>
  <si>
    <r>
      <rPr>
        <b/>
        <sz val="9"/>
        <color theme="1"/>
        <rFont val="Century Schoolbook"/>
        <family val="1"/>
      </rPr>
      <t>3.-</t>
    </r>
    <r>
      <rPr>
        <sz val="10"/>
        <color theme="1"/>
        <rFont val="Arial Narrow"/>
      </rPr>
      <t xml:space="preserve"> Efectuar actividades de divulgación y devolución de resultados y de las buenas prácticas de los procesos que lleva a cabo la Dirección.</t>
    </r>
  </si>
  <si>
    <r>
      <rPr>
        <b/>
        <sz val="9"/>
        <color theme="1"/>
        <rFont val="Century Schoolbook"/>
        <family val="1"/>
      </rPr>
      <t>4.-</t>
    </r>
    <r>
      <rPr>
        <sz val="10"/>
        <color theme="1"/>
        <rFont val="Arial Narrow"/>
      </rPr>
      <t xml:space="preserve"> Gestionar procesos de movilización de recursos y/o fondos externos.</t>
    </r>
  </si>
  <si>
    <r>
      <rPr>
        <b/>
        <sz val="9"/>
        <color theme="1"/>
        <rFont val="Century Schoolbook"/>
        <family val="1"/>
      </rPr>
      <t>5.-</t>
    </r>
    <r>
      <rPr>
        <sz val="10"/>
        <color theme="1"/>
        <rFont val="Arial Narrow"/>
      </rPr>
      <t xml:space="preserve"> Aprobar la Planificación Anual de la Dirección de Vinculación.</t>
    </r>
  </si>
  <si>
    <r>
      <rPr>
        <b/>
        <sz val="9"/>
        <color theme="1"/>
        <rFont val="Century Schoolbook"/>
        <family val="1"/>
      </rPr>
      <t>6.-</t>
    </r>
    <r>
      <rPr>
        <sz val="10"/>
        <color theme="1"/>
        <rFont val="Arial Narrow"/>
      </rPr>
      <t xml:space="preserve"> Implementar eventos de inducción, capacitación y/o asesoría, de las Unidades de la Dirección.</t>
    </r>
  </si>
  <si>
    <r>
      <rPr>
        <b/>
        <sz val="9"/>
        <color theme="1"/>
        <rFont val="Century Schoolbook"/>
        <family val="1"/>
      </rPr>
      <t>7.-</t>
    </r>
    <r>
      <rPr>
        <sz val="10"/>
        <color theme="1"/>
        <rFont val="Arial Narrow"/>
      </rPr>
      <t xml:space="preserve"> Dirigir el proceso de elaboración de programas, planes y proyectos en las diferentes modalidades en que se ejecuta la vinculación con la sociedad.</t>
    </r>
  </si>
  <si>
    <r>
      <rPr>
        <b/>
        <sz val="9"/>
        <color theme="1"/>
        <rFont val="Century Schoolbook"/>
        <family val="1"/>
      </rPr>
      <t>8.-</t>
    </r>
    <r>
      <rPr>
        <sz val="10"/>
        <color theme="1"/>
        <rFont val="Arial Narrow"/>
      </rPr>
      <t xml:space="preserve"> Asistir en procesos de retroalimentación para el fortalecimiento de la oferta académica, dominios académicos institucionales y líneas de investigación de nuestra IES.</t>
    </r>
  </si>
  <si>
    <r>
      <rPr>
        <b/>
        <sz val="9"/>
        <color theme="1"/>
        <rFont val="Century Schoolbook"/>
        <family val="1"/>
      </rPr>
      <t>9.-</t>
    </r>
    <r>
      <rPr>
        <sz val="10"/>
        <color theme="1"/>
        <rFont val="Arial Narrow"/>
      </rPr>
      <t xml:space="preserve"> Gestionar la participación institucional en espacios relevantes, de cooperación nacional e internacional a través de redes, eventos académicos, científicos y culturales.</t>
    </r>
  </si>
  <si>
    <r>
      <rPr>
        <b/>
        <sz val="9"/>
        <color theme="1"/>
        <rFont val="Century Schoolbook"/>
        <family val="1"/>
      </rPr>
      <t>10.-</t>
    </r>
    <r>
      <rPr>
        <sz val="10"/>
        <color theme="1"/>
        <rFont val="Arial Narrow"/>
      </rPr>
      <t xml:space="preserve"> Evidenciar la participación en programas de intercambio estudiantil nacional e internacional, en los que se convalidan y homologan estudios y/o prácticas.</t>
    </r>
  </si>
  <si>
    <r>
      <rPr>
        <b/>
        <sz val="9"/>
        <color theme="1"/>
        <rFont val="Century Schoolbook"/>
        <family val="1"/>
      </rPr>
      <t>11.-</t>
    </r>
    <r>
      <rPr>
        <sz val="10"/>
        <color theme="1"/>
        <rFont val="Arial Narrow"/>
      </rPr>
      <t xml:space="preserve"> Entregar la Planificación Operativa Anual y Evaluación de la Planificación Operativa Anual, articulado al Plan se Aseguramiento de la Calidad.</t>
    </r>
  </si>
  <si>
    <r>
      <rPr>
        <b/>
        <sz val="9"/>
        <color theme="1"/>
        <rFont val="Century Schoolbook"/>
        <family val="1"/>
      </rPr>
      <t>12.-</t>
    </r>
    <r>
      <rPr>
        <sz val="10"/>
        <color theme="1"/>
        <rFont val="Arial Narrow"/>
      </rPr>
      <t xml:space="preserve"> Organizar el archivo de gestión en digital y físico.</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</si>
  <si>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Generar insumos de programas y/o proyectos con la sociedad para la planificación anual de la Dirección de Vinculación.</t>
    </r>
  </si>
  <si>
    <r>
      <rPr>
        <b/>
        <sz val="9"/>
        <color theme="1"/>
        <rFont val="Century Schoolbook"/>
        <family val="1"/>
      </rPr>
      <t>2.-</t>
    </r>
    <r>
      <rPr>
        <sz val="10"/>
        <color theme="1"/>
        <rFont val="Arial Narrow"/>
      </rPr>
      <t xml:space="preserve"> Coordinar el proceso de planificación, ejecución, monitoreo y evaluación de programas y/o proyectos de vinculación con la sociedad.</t>
    </r>
  </si>
  <si>
    <r>
      <rPr>
        <b/>
        <sz val="9"/>
        <color theme="1"/>
        <rFont val="Century Schoolbook"/>
        <family val="1"/>
      </rPr>
      <t>3.-</t>
    </r>
    <r>
      <rPr>
        <sz val="10"/>
        <color theme="1"/>
        <rFont val="Arial Narrow"/>
      </rPr>
      <t xml:space="preserve"> Ejecutar las jornadas y/o eventos de socialización derivados de la ejecución de los programas y/o proyectos de vinculación con la sociedad.</t>
    </r>
  </si>
  <si>
    <r>
      <rPr>
        <b/>
        <sz val="9"/>
        <color theme="1"/>
        <rFont val="Century Schoolbook"/>
        <family val="1"/>
      </rPr>
      <t>4.-</t>
    </r>
    <r>
      <rPr>
        <sz val="10"/>
        <color theme="1"/>
        <rFont val="Arial Narrow"/>
      </rPr>
      <t xml:space="preserve"> Elaborar y/o actualizar las propuestas de instrumentos de gestión de proyectos sociales.</t>
    </r>
  </si>
  <si>
    <r>
      <rPr>
        <b/>
        <sz val="9"/>
        <color theme="1"/>
        <rFont val="Century Schoolbook"/>
        <family val="1"/>
      </rPr>
      <t>5.-</t>
    </r>
    <r>
      <rPr>
        <b/>
        <sz val="10"/>
        <color theme="1"/>
        <rFont val="Arial Narrow"/>
        <family val="2"/>
      </rPr>
      <t xml:space="preserve"> </t>
    </r>
    <r>
      <rPr>
        <sz val="10"/>
        <color theme="1"/>
        <rFont val="Arial Narrow"/>
      </rPr>
      <t>Coordinar y/o ejecutar eventos de capacitación y/o inducción en temas de gestión de proyectos sociales al estamento docente y/o estudiantil.</t>
    </r>
  </si>
  <si>
    <r>
      <rPr>
        <b/>
        <sz val="9"/>
        <color theme="1"/>
        <rFont val="Century Schoolbook"/>
        <family val="1"/>
      </rPr>
      <t>6.-</t>
    </r>
    <r>
      <rPr>
        <sz val="10"/>
        <color theme="1"/>
        <rFont val="Arial Narrow"/>
      </rPr>
      <t xml:space="preserve"> Realizar asesorías al personal docente y estudiantil con relación a la gestión de programas y/o proyectos de vinculación.</t>
    </r>
  </si>
  <si>
    <r>
      <rPr>
        <b/>
        <sz val="9"/>
        <color theme="1"/>
        <rFont val="Century Schoolbook"/>
        <family val="1"/>
      </rPr>
      <t>9.-</t>
    </r>
    <r>
      <rPr>
        <sz val="10"/>
        <color theme="1"/>
        <rFont val="Arial Narrow"/>
      </rPr>
      <t xml:space="preserve"> Entregar la Planificación Operativa Anual y Evaluación de la Planificación Operativa Anual.</t>
    </r>
  </si>
  <si>
    <r>
      <rPr>
        <b/>
        <sz val="9"/>
        <color theme="1"/>
        <rFont val="Century Schoolbook"/>
        <family val="1"/>
      </rPr>
      <t>10.-</t>
    </r>
    <r>
      <rPr>
        <sz val="10"/>
        <color theme="1"/>
        <rFont val="Arial Narrow"/>
      </rPr>
      <t xml:space="preserve"> Organizar el Archivo de Gestión físico y/o digital de la Unidad.</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</si>
  <si>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Coordinar proceso de elaboración y/o actualización de instrumentos para el diseño, seguimiento y evaluación del componente de Pasantías, Prácticas Preprofesionales y Seguimiento a Graduados.</t>
    </r>
  </si>
  <si>
    <r>
      <rPr>
        <b/>
        <sz val="9"/>
        <color theme="1"/>
        <rFont val="Century Schoolbook"/>
        <family val="1"/>
      </rPr>
      <t>2.-</t>
    </r>
    <r>
      <rPr>
        <sz val="10"/>
        <color theme="1"/>
        <rFont val="Arial Narrow"/>
      </rPr>
      <t xml:space="preserve"> Efectuar el monitoreo de los resultados o avances de procesos de prácticas preprofesionales, pasantías y seguimiento a graduados.</t>
    </r>
  </si>
  <si>
    <r>
      <rPr>
        <b/>
        <sz val="9"/>
        <color theme="1"/>
        <rFont val="Century Schoolbook"/>
        <family val="1"/>
      </rPr>
      <t>3.-</t>
    </r>
    <r>
      <rPr>
        <b/>
        <sz val="10"/>
        <color theme="1"/>
        <rFont val="Arial Narrow"/>
      </rPr>
      <t xml:space="preserve"> </t>
    </r>
    <r>
      <rPr>
        <sz val="10"/>
        <color theme="1"/>
        <rFont val="Arial Narrow"/>
      </rPr>
      <t>Realizar capacitaciones con relación a los procesos de gestión de pasantías, prácticas preprofesionales y seguimiento a graduados.</t>
    </r>
  </si>
  <si>
    <r>
      <rPr>
        <b/>
        <sz val="9"/>
        <color theme="1"/>
        <rFont val="Century Schoolbook"/>
        <family val="1"/>
      </rPr>
      <t>4.-</t>
    </r>
    <r>
      <rPr>
        <b/>
        <sz val="10"/>
        <color theme="1"/>
        <rFont val="Arial Narrow"/>
      </rPr>
      <t xml:space="preserve"> </t>
    </r>
    <r>
      <rPr>
        <sz val="10"/>
        <color theme="1"/>
        <rFont val="Arial Narrow"/>
      </rPr>
      <t>Evaluar los resultados del proceso de seguimiento del proceso de pasantías, prácticas preprofesionales y seguimiento a graduados de las carreras.</t>
    </r>
  </si>
  <si>
    <r>
      <rPr>
        <b/>
        <sz val="9"/>
        <color theme="1"/>
        <rFont val="Century Schoolbook"/>
        <family val="1"/>
      </rPr>
      <t>5.-</t>
    </r>
    <r>
      <rPr>
        <b/>
        <sz val="10"/>
        <color theme="1"/>
        <rFont val="Arial Narrow"/>
      </rPr>
      <t xml:space="preserve"> </t>
    </r>
    <r>
      <rPr>
        <sz val="10"/>
        <color theme="1"/>
        <rFont val="Arial Narrow"/>
      </rPr>
      <t>Coordinar procesos de seguimiento a graduados e inserción laboral.</t>
    </r>
  </si>
  <si>
    <r>
      <rPr>
        <b/>
        <sz val="9"/>
        <color theme="1"/>
        <rFont val="Century Schoolbook"/>
        <family val="1"/>
      </rPr>
      <t>6.-</t>
    </r>
    <r>
      <rPr>
        <b/>
        <sz val="10"/>
        <color theme="1"/>
        <rFont val="Arial Narrow"/>
      </rPr>
      <t xml:space="preserve"> </t>
    </r>
    <r>
      <rPr>
        <sz val="10"/>
        <color theme="1"/>
        <rFont val="Arial Narrow"/>
      </rPr>
      <t>Establecer estrategias para la gestión de la bolsa de empleo institucional.</t>
    </r>
  </si>
  <si>
    <r>
      <rPr>
        <b/>
        <sz val="9"/>
        <color theme="1"/>
        <rFont val="Century Schoolbook"/>
        <family val="1"/>
      </rPr>
      <t>7.-</t>
    </r>
    <r>
      <rPr>
        <sz val="10"/>
        <color theme="1"/>
        <rFont val="Arial Narrow"/>
      </rPr>
      <t xml:space="preserve"> Presentar Planificación Operativa Anual y Evaluación de la Planificación Operativa Anual.</t>
    </r>
  </si>
  <si>
    <r>
      <rPr>
        <b/>
        <sz val="9"/>
        <color theme="1"/>
        <rFont val="Century Schoolbook"/>
        <family val="1"/>
      </rPr>
      <t>8.-</t>
    </r>
    <r>
      <rPr>
        <sz val="10"/>
        <color theme="1"/>
        <rFont val="Arial Narrow"/>
      </rPr>
      <t xml:space="preserve"> Organizar el Archivo de Gestión físico y/o digital de la Unidad.</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</si>
  <si>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Coordinar la definición del proceso de Cooperación Interinstitucional y Movilidad planteadas en conjunto con las unidades administrativas y/o facultades coordinada.</t>
    </r>
  </si>
  <si>
    <r>
      <rPr>
        <b/>
        <sz val="9"/>
        <color theme="1"/>
        <rFont val="Century Schoolbook"/>
        <family val="1"/>
      </rPr>
      <t>2.-</t>
    </r>
    <r>
      <rPr>
        <sz val="10"/>
        <color theme="1"/>
        <rFont val="Arial Narrow"/>
      </rPr>
      <t xml:space="preserve"> Orientar el levantamiento de estudios de pertinencia que evidencien las necesidades institucionales para el establecimiento de alianzas de cooperación interinstitucional.</t>
    </r>
  </si>
  <si>
    <r>
      <rPr>
        <b/>
        <sz val="9"/>
        <color theme="1"/>
        <rFont val="Century Schoolbook"/>
        <family val="1"/>
      </rPr>
      <t>3.-</t>
    </r>
    <r>
      <rPr>
        <sz val="10"/>
        <color theme="1"/>
        <rFont val="Arial Narrow"/>
      </rPr>
      <t xml:space="preserve"> Presentar los insumos para la planificación de la Dirección de Vinculación en el ámbito de la Movilidad y Relaciones Interinstitucionales.</t>
    </r>
  </si>
  <si>
    <r>
      <rPr>
        <b/>
        <sz val="9"/>
        <color theme="1"/>
        <rFont val="Century Schoolbook"/>
        <family val="1"/>
      </rPr>
      <t>4.-</t>
    </r>
    <r>
      <rPr>
        <b/>
        <sz val="10"/>
        <color theme="1"/>
        <rFont val="Arial Narrow"/>
      </rPr>
      <t xml:space="preserve"> </t>
    </r>
    <r>
      <rPr>
        <sz val="10"/>
        <color theme="1"/>
        <rFont val="Arial Narrow"/>
      </rPr>
      <t>Organizar acciones para el establecimiento y actualización de la base de datos de nexos con organismos e instituciones públicas, privadas, nacionales e internacionales.</t>
    </r>
  </si>
  <si>
    <r>
      <rPr>
        <b/>
        <sz val="9"/>
        <color theme="1"/>
        <rFont val="Century Schoolbook"/>
        <family val="1"/>
      </rPr>
      <t>5.-</t>
    </r>
    <r>
      <rPr>
        <sz val="10"/>
        <color theme="1"/>
        <rFont val="Arial Narrow"/>
      </rPr>
      <t xml:space="preserve"> Gestionar las dependencias involucradas la  participación institucional en espacios relevantes, de cooperación nacional e internacional.</t>
    </r>
  </si>
  <si>
    <r>
      <rPr>
        <b/>
        <sz val="9"/>
        <color theme="1"/>
        <rFont val="Century Schoolbook"/>
        <family val="1"/>
      </rPr>
      <t>6.-</t>
    </r>
    <r>
      <rPr>
        <sz val="10"/>
        <color theme="1"/>
        <rFont val="Arial Narrow"/>
      </rPr>
      <t xml:space="preserve"> Efectuar el seguimiento con las instancias pertinentes, a los  captación de fondos externos, que fortalezcan la planificación y  de la vinculación social.</t>
    </r>
  </si>
  <si>
    <r>
      <rPr>
        <b/>
        <sz val="9"/>
        <color theme="1"/>
        <rFont val="Century Schoolbook"/>
        <family val="1"/>
      </rPr>
      <t>7.-</t>
    </r>
    <r>
      <rPr>
        <sz val="10"/>
        <color theme="1"/>
        <rFont val="Arial Narrow"/>
      </rPr>
      <t xml:space="preserve"> Programar y difundir los resultados de las experiencias de cooperación, movilidad y de relaciones interinstitucionales.</t>
    </r>
  </si>
  <si>
    <r>
      <rPr>
        <b/>
        <sz val="9"/>
        <color theme="1"/>
        <rFont val="Century Schoolbook"/>
        <family val="1"/>
      </rPr>
      <t>8.-</t>
    </r>
    <r>
      <rPr>
        <sz val="10"/>
        <color theme="1"/>
        <rFont val="Arial Narrow"/>
      </rPr>
      <t xml:space="preserve"> Consensuar con las instancias pertinentes, el establecimiento para  la participación en programas de intercambio estudiantil nacional e internacional, en los que se convalidan y homologan  estudios  por medio de convenios  vigentes y/ o adhesión a redes académicas nacionales e internacionales.</t>
    </r>
  </si>
  <si>
    <r>
      <rPr>
        <b/>
        <sz val="9"/>
        <color theme="1"/>
        <rFont val="Century Schoolbook"/>
        <family val="1"/>
      </rPr>
      <t>9.-</t>
    </r>
    <r>
      <rPr>
        <sz val="10"/>
        <color theme="1"/>
        <rFont val="Arial Narrow"/>
      </rPr>
      <t xml:space="preserve"> Emitir informes de pertinencia relacionado a la movilidad académica, cooperación y relaciones interinstitucionales.</t>
    </r>
  </si>
  <si>
    <r>
      <rPr>
        <b/>
        <sz val="9"/>
        <color theme="1"/>
        <rFont val="Century Schoolbook"/>
        <family val="1"/>
      </rPr>
      <t>10.-</t>
    </r>
    <r>
      <rPr>
        <b/>
        <sz val="10"/>
        <color theme="1"/>
        <rFont val="Arial Narrow"/>
      </rPr>
      <t xml:space="preserve"> </t>
    </r>
    <r>
      <rPr>
        <sz val="10"/>
        <color theme="1"/>
        <rFont val="Arial Narrow"/>
      </rPr>
      <t>Coordinar el seguimiento del desempeño de los procesos  de cooperación, movilidad y relaciones interinstitucionales.</t>
    </r>
  </si>
  <si>
    <r>
      <rPr>
        <b/>
        <sz val="9"/>
        <color theme="1"/>
        <rFont val="Century Schoolbook"/>
        <family val="1"/>
      </rPr>
      <t>11.-</t>
    </r>
    <r>
      <rPr>
        <b/>
        <sz val="10"/>
        <color theme="1"/>
        <rFont val="Arial Narrow"/>
      </rPr>
      <t xml:space="preserve"> </t>
    </r>
    <r>
      <rPr>
        <sz val="10"/>
        <color theme="1"/>
        <rFont val="Arial Narrow"/>
      </rPr>
      <t>Coordinar el proceso para la gestión de alianzas estratégicas interinstitucionales.</t>
    </r>
  </si>
  <si>
    <r>
      <rPr>
        <b/>
        <sz val="9"/>
        <color theme="1"/>
        <rFont val="Century Schoolbook"/>
        <family val="1"/>
      </rPr>
      <t>12.-</t>
    </r>
    <r>
      <rPr>
        <sz val="10"/>
        <color theme="1"/>
        <rFont val="Arial Narrow"/>
      </rPr>
      <t xml:space="preserve"> Presentar la Planificación Operativa Anual y Evaluación de la Planificación Operativa Anual.</t>
    </r>
  </si>
  <si>
    <r>
      <rPr>
        <b/>
        <sz val="9"/>
        <color theme="1"/>
        <rFont val="Century Schoolbook"/>
        <family val="1"/>
      </rPr>
      <t>13.-</t>
    </r>
    <r>
      <rPr>
        <sz val="10"/>
        <color theme="1"/>
        <rFont val="Arial Narrow"/>
      </rPr>
      <t xml:space="preserve"> Organizar el archivo de gestión digital y físico.</t>
    </r>
  </si>
  <si>
    <r>
      <rPr>
        <b/>
        <sz val="9"/>
        <color theme="1"/>
        <rFont val="Century Schoolbook"/>
        <family val="1"/>
      </rPr>
      <t>1.-</t>
    </r>
    <r>
      <rPr>
        <sz val="10"/>
        <color theme="1"/>
        <rFont val="Arial Narrow"/>
        <family val="2"/>
      </rPr>
      <t xml:space="preserve"> Determinar las estrategias a seguir para la planificación anual del siguiente año.
</t>
    </r>
    <r>
      <rPr>
        <b/>
        <sz val="9"/>
        <color theme="1"/>
        <rFont val="Century Schoolbook"/>
        <family val="1"/>
      </rPr>
      <t>2.-</t>
    </r>
    <r>
      <rPr>
        <sz val="10"/>
        <color theme="1"/>
        <rFont val="Arial Narrow"/>
        <family val="2"/>
      </rPr>
      <t xml:space="preserve"> Gestionar la aprobación de la planificación de agenda de vinculación.</t>
    </r>
  </si>
  <si>
    <t>Mantenimiento de impresora Xerox</t>
  </si>
  <si>
    <r>
      <t>Computadores portátiles Core i</t>
    </r>
    <r>
      <rPr>
        <sz val="10"/>
        <color theme="1"/>
        <rFont val="Century Schoolbook"/>
        <family val="1"/>
      </rPr>
      <t>7</t>
    </r>
  </si>
  <si>
    <t>Constituye un proceso desarrollado durante todo el año, por esta razón se lo ha incluido en todos los cuatrimestres.</t>
  </si>
  <si>
    <t>De la partida restringida que se planificó</t>
  </si>
  <si>
    <r>
      <rPr>
        <b/>
        <sz val="9"/>
        <color theme="1"/>
        <rFont val="Century Schoolbook"/>
        <family val="1"/>
      </rPr>
      <t>1.-</t>
    </r>
    <r>
      <rPr>
        <sz val="10"/>
        <color theme="1"/>
        <rFont val="Arial Narrow"/>
        <family val="2"/>
      </rPr>
      <t xml:space="preserve"> Identificar los requerimientos internos y externos relacionados a la  Movilidad y Relaciones Interinstitucionales.
</t>
    </r>
    <r>
      <rPr>
        <b/>
        <sz val="9"/>
        <color theme="1"/>
        <rFont val="Century Schoolbook"/>
        <family val="1"/>
      </rPr>
      <t>2.-</t>
    </r>
    <r>
      <rPr>
        <sz val="10"/>
        <color theme="1"/>
        <rFont val="Arial Narrow"/>
        <family val="2"/>
      </rPr>
      <t xml:space="preserve"> Revisar matriz de convenios vigentes tanto nacionales e internacionales.
</t>
    </r>
    <r>
      <rPr>
        <b/>
        <sz val="9"/>
        <color theme="1"/>
        <rFont val="Century Schoolbook"/>
        <family val="1"/>
      </rPr>
      <t>3.-</t>
    </r>
    <r>
      <rPr>
        <sz val="10"/>
        <color theme="1"/>
        <rFont val="Arial Narrow"/>
        <family val="2"/>
      </rPr>
      <t xml:space="preserve"> Solicitar a las carreras y dependencias las actividades a realizar en el año con base a convenios vigentes.
</t>
    </r>
    <r>
      <rPr>
        <b/>
        <sz val="9"/>
        <color theme="1"/>
        <rFont val="Century Schoolbook"/>
        <family val="1"/>
      </rPr>
      <t>4.-</t>
    </r>
    <r>
      <rPr>
        <sz val="10"/>
        <color theme="1"/>
        <rFont val="Arial Narrow"/>
        <family val="2"/>
      </rPr>
      <t xml:space="preserve"> Revisar las convocatorias nacionales e internacionales de financiamiento para programas de movilidad estudiantil.
</t>
    </r>
    <r>
      <rPr>
        <b/>
        <sz val="9"/>
        <color theme="1"/>
        <rFont val="Century Schoolbook"/>
        <family val="1"/>
      </rPr>
      <t>5.-</t>
    </r>
    <r>
      <rPr>
        <sz val="10"/>
        <color theme="1"/>
        <rFont val="Arial Narrow"/>
        <family val="2"/>
      </rPr>
      <t xml:space="preserve"> Establecer contactos con organismos nacionales e internacionales  para intención y definición de estrategias promovimiento la cooperación interinstitucional.
</t>
    </r>
    <r>
      <rPr>
        <b/>
        <sz val="9"/>
        <color theme="1"/>
        <rFont val="Century Schoolbook"/>
        <family val="1"/>
      </rPr>
      <t>6.-</t>
    </r>
    <r>
      <rPr>
        <sz val="10"/>
        <color theme="1"/>
        <rFont val="Arial Narrow"/>
        <family val="2"/>
      </rPr>
      <t xml:space="preserve"> Generar un reporte de los insumos que permitan aportar a la planificación de la Dirección de Vinculación en el ámbito de la Movilidad y Relaciones Interinstitucionales.</t>
    </r>
  </si>
  <si>
    <r>
      <rPr>
        <b/>
        <sz val="9"/>
        <color theme="1"/>
        <rFont val="Century Schoolbook"/>
        <family val="1"/>
      </rPr>
      <t>1.-</t>
    </r>
    <r>
      <rPr>
        <sz val="10"/>
        <color theme="1"/>
        <rFont val="Arial Narrow"/>
        <family val="2"/>
      </rPr>
      <t xml:space="preserve"> Monitorear las páginas oficiales de los organismos de cooperación, embajadas y demás  instituciones que financian proyectos de vinculación e investigación.
</t>
    </r>
    <r>
      <rPr>
        <b/>
        <sz val="9"/>
        <color theme="1"/>
        <rFont val="Century Schoolbook"/>
        <family val="1"/>
      </rPr>
      <t>2.-</t>
    </r>
    <r>
      <rPr>
        <sz val="10"/>
        <color theme="1"/>
        <rFont val="Arial Narrow"/>
        <family val="2"/>
      </rPr>
      <t xml:space="preserve"> Presentar un reporte de convocatorias y bases de postulación para ser socializadas a los docentes de acuerdo al área de conocimiento.
</t>
    </r>
    <r>
      <rPr>
        <b/>
        <sz val="9"/>
        <color theme="1"/>
        <rFont val="Century Schoolbook"/>
        <family val="1"/>
      </rPr>
      <t>3.-</t>
    </r>
    <r>
      <rPr>
        <sz val="10"/>
        <color theme="1"/>
        <rFont val="Arial Narrow"/>
        <family val="2"/>
      </rPr>
      <t xml:space="preserve"> Emitir los informes solicitados por la Dirección y por el Vicerrectorado de Investigación, Vinculación y Posgrado.
</t>
    </r>
    <r>
      <rPr>
        <b/>
        <sz val="9"/>
        <color theme="1"/>
        <rFont val="Century Schoolbook"/>
        <family val="1"/>
      </rPr>
      <t>4.-</t>
    </r>
    <r>
      <rPr>
        <sz val="10"/>
        <color theme="1"/>
        <rFont val="Arial Narrow"/>
        <family val="2"/>
      </rPr>
      <t xml:space="preserve"> Acompañar en la gestión para el levantamiento de documentos que constan como requisitos para la presentación del/los proyectos institucionales a los organismos de cooperación, embajadas y demás  instituciones que financian proyectos de vinculación e investigación.
</t>
    </r>
    <r>
      <rPr>
        <b/>
        <sz val="9"/>
        <color theme="1"/>
        <rFont val="Century Schoolbook"/>
        <family val="1"/>
      </rPr>
      <t>5.-</t>
    </r>
    <r>
      <rPr>
        <sz val="10"/>
        <color theme="1"/>
        <rFont val="Arial Narrow"/>
        <family val="2"/>
      </rPr>
      <t xml:space="preserve"> Gestionar ante las instancias administrativas, legales, académicas correspondientes la viabilidad para la ejecución procesos 
de captación de fondos externos.
</t>
    </r>
    <r>
      <rPr>
        <b/>
        <sz val="9"/>
        <color theme="1"/>
        <rFont val="Century Schoolbook"/>
        <family val="1"/>
      </rPr>
      <t>6.-</t>
    </r>
    <r>
      <rPr>
        <sz val="10"/>
        <color theme="1"/>
        <rFont val="Arial Narrow"/>
        <family val="2"/>
      </rPr>
      <t xml:space="preserve"> Solicitar informes de cumplimiento de las actividades, y consolidar la información para la presentación de reportes de seguimiento ante la Dirección de vinculación y  el Vicerrectorado de Investigación, Vinculación y Posgrado.</t>
    </r>
  </si>
  <si>
    <r>
      <t xml:space="preserve">Fecha: </t>
    </r>
    <r>
      <rPr>
        <sz val="11"/>
        <color theme="1"/>
        <rFont val="Century Schoolbook"/>
        <family val="1"/>
      </rPr>
      <t>31</t>
    </r>
    <r>
      <rPr>
        <sz val="11"/>
        <color theme="1"/>
        <rFont val="Arial Narrow"/>
      </rPr>
      <t xml:space="preserve"> de agosto de </t>
    </r>
    <r>
      <rPr>
        <sz val="11"/>
        <color theme="1"/>
        <rFont val="Century Schoolbook"/>
        <family val="1"/>
      </rPr>
      <t>2022</t>
    </r>
  </si>
  <si>
    <r>
      <t xml:space="preserve">Fecha: </t>
    </r>
    <r>
      <rPr>
        <sz val="11"/>
        <color theme="1"/>
        <rFont val="Century Schoolbook"/>
        <family val="1"/>
      </rPr>
      <t>13</t>
    </r>
    <r>
      <rPr>
        <sz val="11"/>
        <color theme="1"/>
        <rFont val="Arial Narrow"/>
      </rPr>
      <t xml:space="preserve"> septiembre de </t>
    </r>
    <r>
      <rPr>
        <sz val="11"/>
        <color theme="1"/>
        <rFont val="Century Schoolbook"/>
        <family val="1"/>
      </rPr>
      <t>2022</t>
    </r>
    <r>
      <rPr>
        <sz val="11"/>
        <color theme="1"/>
        <rFont val="Arial Narrow"/>
      </rPr>
      <t xml:space="preserve">; Modificado al </t>
    </r>
    <r>
      <rPr>
        <sz val="11"/>
        <color theme="1"/>
        <rFont val="Century Schoolbook"/>
        <family val="1"/>
      </rPr>
      <t>21</t>
    </r>
    <r>
      <rPr>
        <sz val="11"/>
        <color theme="1"/>
        <rFont val="Arial Narrow"/>
      </rPr>
      <t xml:space="preserve"> de sep </t>
    </r>
    <r>
      <rPr>
        <sz val="11"/>
        <color theme="1"/>
        <rFont val="Century Schoolbook"/>
        <family val="1"/>
      </rPr>
      <t>2022</t>
    </r>
    <r>
      <rPr>
        <sz val="11"/>
        <color theme="1"/>
        <rFont val="Arial Narrow"/>
      </rPr>
      <t xml:space="preserve">
</t>
    </r>
  </si>
  <si>
    <r>
      <t xml:space="preserve">DPLAN: El egreso de la partida </t>
    </r>
    <r>
      <rPr>
        <sz val="10"/>
        <color theme="1"/>
        <rFont val="Century Schoolbook"/>
        <family val="1"/>
      </rPr>
      <t>840107</t>
    </r>
    <r>
      <rPr>
        <sz val="10"/>
        <color theme="1"/>
        <rFont val="Arial Narrow"/>
        <family val="2"/>
      </rPr>
      <t xml:space="preserve"> se centraliza en </t>
    </r>
    <r>
      <rPr>
        <sz val="10"/>
        <color theme="1"/>
        <rFont val="Century Schoolbook"/>
        <family val="1"/>
      </rPr>
      <t>17</t>
    </r>
    <r>
      <rPr>
        <sz val="10"/>
        <color theme="1"/>
        <rFont val="Arial Narrow"/>
        <family val="2"/>
      </rPr>
      <t>. DTIC; desde donde se efectuará el proceso para cubrir su requerimiento.</t>
    </r>
  </si>
  <si>
    <r>
      <t xml:space="preserve">DPLAN: Se modifican parcialmente los egresos en la partida </t>
    </r>
    <r>
      <rPr>
        <sz val="10"/>
        <color theme="1"/>
        <rFont val="Century Schoolbook"/>
        <family val="1"/>
      </rPr>
      <t>840103</t>
    </r>
    <r>
      <rPr>
        <sz val="10"/>
        <color theme="1"/>
        <rFont val="Arial Narrow"/>
        <family val="2"/>
      </rPr>
      <t xml:space="preserve"> por superar el </t>
    </r>
    <r>
      <rPr>
        <sz val="10"/>
        <color theme="1"/>
        <rFont val="Century Schoolbook"/>
        <family val="1"/>
      </rPr>
      <t>20%</t>
    </r>
    <r>
      <rPr>
        <sz val="10"/>
        <color theme="1"/>
        <rFont val="Arial Narrow"/>
        <family val="2"/>
      </rPr>
      <t xml:space="preserve"> del máximo disponible para egresos en el grupo </t>
    </r>
    <r>
      <rPr>
        <sz val="10"/>
        <color theme="1"/>
        <rFont val="Century Schoolbook"/>
        <family val="1"/>
      </rPr>
      <t>84</t>
    </r>
    <r>
      <rPr>
        <sz val="10"/>
        <color theme="1"/>
        <rFont val="Arial Narrow"/>
        <family val="2"/>
      </rPr>
      <t xml:space="preserve"> del Clasificador Presupuestario; la necesidad debe gestionarse el próximo año con la DADM y/o reprogramar los recursos en caso de ser necesario por efectos del seguimiento presupuestario.</t>
    </r>
  </si>
  <si>
    <t>* Dra. Rosemary Samaniego,
  Vicerrectora Académica
* Lic. Rosa Castro,
  Analista Administrativa
* Ing. Fernanda Samaniego,
  Analista del Vicerrectorado Académico
* Manuel Sánchez,
  Auxiliar de Servicio
* Javier Aguirre,
  Chofer Administrativo</t>
  </si>
  <si>
    <r>
      <rPr>
        <b/>
        <sz val="9"/>
        <color theme="1"/>
        <rFont val="Century Schoolbook"/>
        <family val="1"/>
      </rPr>
      <t>1.-</t>
    </r>
    <r>
      <rPr>
        <sz val="10"/>
        <color theme="1"/>
        <rFont val="Arial Narrow"/>
        <family val="2"/>
      </rPr>
      <t xml:space="preserve"> Plan Operativo Anual.
</t>
    </r>
    <r>
      <rPr>
        <b/>
        <sz val="9"/>
        <color theme="1"/>
        <rFont val="Century Schoolbook"/>
        <family val="1"/>
      </rPr>
      <t>2.-</t>
    </r>
    <r>
      <rPr>
        <sz val="10"/>
        <color theme="1"/>
        <rFont val="Arial Narrow"/>
        <family val="2"/>
      </rPr>
      <t xml:space="preserve"> Evaluación del POA.
</t>
    </r>
    <r>
      <rPr>
        <b/>
        <sz val="9"/>
        <color theme="1"/>
        <rFont val="Century Schoolbook"/>
        <family val="1"/>
      </rPr>
      <t>3.-</t>
    </r>
    <r>
      <rPr>
        <sz val="10"/>
        <color theme="1"/>
        <rFont val="Arial Narrow"/>
        <family val="2"/>
      </rPr>
      <t xml:space="preserve"> Evidencias subidas en google drive que justifican la ejecución de las Metas Operativas del Vicerrectorado Académico.</t>
    </r>
  </si>
  <si>
    <r>
      <rPr>
        <b/>
        <sz val="9"/>
        <color theme="1"/>
        <rFont val="Century Schoolbook"/>
        <family val="1"/>
      </rPr>
      <t>1.-</t>
    </r>
    <r>
      <rPr>
        <sz val="10"/>
        <color theme="1"/>
        <rFont val="Arial Narrow"/>
        <family val="2"/>
      </rPr>
      <t xml:space="preserve"> Reporte del estado actual de la acción de mejora y/o acción correctiva.</t>
    </r>
  </si>
  <si>
    <r>
      <rPr>
        <b/>
        <sz val="9"/>
        <color theme="1"/>
        <rFont val="Century Schoolbook"/>
        <family val="1"/>
      </rPr>
      <t>1.-</t>
    </r>
    <r>
      <rPr>
        <sz val="10"/>
        <color theme="1"/>
        <rFont val="Arial Narrow"/>
        <family val="2"/>
      </rPr>
      <t xml:space="preserve"> Matriz de creación de carreras por modalidades.</t>
    </r>
  </si>
  <si>
    <r>
      <rPr>
        <b/>
        <sz val="9"/>
        <color theme="1"/>
        <rFont val="Century Schoolbook"/>
        <family val="1"/>
      </rPr>
      <t>1.-</t>
    </r>
    <r>
      <rPr>
        <sz val="10"/>
        <color theme="1"/>
        <rFont val="Arial Narrow"/>
        <family val="2"/>
      </rPr>
      <t xml:space="preserve"> Reporte de resoluciones y/o decisiones adoptadas.</t>
    </r>
  </si>
  <si>
    <r>
      <rPr>
        <b/>
        <sz val="9"/>
        <color theme="1"/>
        <rFont val="Century Schoolbook"/>
        <family val="1"/>
      </rPr>
      <t>1.-</t>
    </r>
    <r>
      <rPr>
        <sz val="10"/>
        <color theme="1"/>
        <rFont val="Arial Narrow"/>
        <family val="2"/>
      </rPr>
      <t xml:space="preserve"> Reporte de actividades, funciones y atribuciones atendidas.</t>
    </r>
  </si>
  <si>
    <r>
      <rPr>
        <b/>
        <sz val="9"/>
        <color theme="1"/>
        <rFont val="Century Schoolbook"/>
        <family val="1"/>
      </rPr>
      <t>1.-</t>
    </r>
    <r>
      <rPr>
        <sz val="10"/>
        <color theme="1"/>
        <rFont val="Arial Narrow"/>
        <family val="2"/>
      </rPr>
      <t xml:space="preserve"> Resoluciones emitidas por el Consejo Académico Universitario.
</t>
    </r>
    <r>
      <rPr>
        <b/>
        <sz val="9"/>
        <color theme="1"/>
        <rFont val="Century Schoolbook"/>
        <family val="1"/>
      </rPr>
      <t>2.-</t>
    </r>
    <r>
      <rPr>
        <sz val="10"/>
        <color theme="1"/>
        <rFont val="Arial Narrow"/>
        <family val="2"/>
      </rPr>
      <t xml:space="preserve"> Resoluciones emitidas por el Consejo Universitario.
</t>
    </r>
  </si>
  <si>
    <r>
      <rPr>
        <b/>
        <sz val="9"/>
        <color theme="1"/>
        <rFont val="Century Schoolbook"/>
        <family val="1"/>
      </rPr>
      <t>1.-</t>
    </r>
    <r>
      <rPr>
        <sz val="10"/>
        <color theme="1"/>
        <rFont val="Arial Narrow"/>
        <family val="2"/>
      </rPr>
      <t xml:space="preserve"> Realizar sesiones de trabajo de la comisión designada.
</t>
    </r>
    <r>
      <rPr>
        <b/>
        <sz val="9"/>
        <color theme="1"/>
        <rFont val="Century Schoolbook"/>
        <family val="1"/>
      </rPr>
      <t>2.-</t>
    </r>
    <r>
      <rPr>
        <sz val="10"/>
        <color theme="1"/>
        <rFont val="Arial Narrow"/>
        <family val="2"/>
      </rPr>
      <t xml:space="preserve"> Participar en eventos delegados y/o presentar informes para aprobación del Consejo Universitario de la UTMACH.</t>
    </r>
  </si>
  <si>
    <r>
      <rPr>
        <b/>
        <sz val="9"/>
        <color theme="1"/>
        <rFont val="Century Schoolbook"/>
        <family val="1"/>
      </rPr>
      <t>1.-</t>
    </r>
    <r>
      <rPr>
        <sz val="10"/>
        <color theme="1"/>
        <rFont val="Arial Narrow"/>
        <family val="2"/>
      </rPr>
      <t xml:space="preserve"> Receptar y revisar la documentación recibida.
</t>
    </r>
    <r>
      <rPr>
        <b/>
        <sz val="9"/>
        <color theme="1"/>
        <rFont val="Century Schoolbook"/>
        <family val="1"/>
      </rPr>
      <t>2.-</t>
    </r>
    <r>
      <rPr>
        <sz val="10"/>
        <color theme="1"/>
        <rFont val="Arial Narrow"/>
        <family val="2"/>
      </rPr>
      <t xml:space="preserve"> Convocar a Sesiones de trabajo.
</t>
    </r>
    <r>
      <rPr>
        <b/>
        <sz val="9"/>
        <color theme="1"/>
        <rFont val="Century Schoolbook"/>
        <family val="1"/>
      </rPr>
      <t>3.-</t>
    </r>
    <r>
      <rPr>
        <sz val="10"/>
        <color theme="1"/>
        <rFont val="Arial Narrow"/>
        <family val="2"/>
      </rPr>
      <t xml:space="preserve"> Poner en conocimiento de los miembros de la sesión de trabajo la documentación para su análisis.
</t>
    </r>
    <r>
      <rPr>
        <b/>
        <sz val="9"/>
        <color theme="1"/>
        <rFont val="Century Schoolbook"/>
        <family val="1"/>
      </rPr>
      <t>4.-</t>
    </r>
    <r>
      <rPr>
        <sz val="10"/>
        <color theme="1"/>
        <rFont val="Arial Narrow"/>
        <family val="2"/>
      </rPr>
      <t xml:space="preserve"> Formular  informes  y/o decisiones adoptadas.
</t>
    </r>
    <r>
      <rPr>
        <b/>
        <sz val="9"/>
        <color theme="1"/>
        <rFont val="Century Schoolbook"/>
        <family val="1"/>
      </rPr>
      <t>5.-</t>
    </r>
    <r>
      <rPr>
        <sz val="10"/>
        <color theme="1"/>
        <rFont val="Arial Narrow"/>
        <family val="2"/>
      </rPr>
      <t xml:space="preserve"> Trasladar las informes y/o decisiones adoptadas según corresponda.</t>
    </r>
  </si>
  <si>
    <r>
      <rPr>
        <b/>
        <sz val="9"/>
        <color theme="1"/>
        <rFont val="Century Schoolbook"/>
        <family val="1"/>
      </rPr>
      <t>1.-</t>
    </r>
    <r>
      <rPr>
        <sz val="10"/>
        <color theme="1"/>
        <rFont val="Arial Narrow"/>
        <family val="2"/>
      </rPr>
      <t xml:space="preserve"> Receptar y revisar la documentación recibida.
</t>
    </r>
    <r>
      <rPr>
        <b/>
        <sz val="9"/>
        <color theme="1"/>
        <rFont val="Century Schoolbook"/>
        <family val="1"/>
      </rPr>
      <t>2.-</t>
    </r>
    <r>
      <rPr>
        <sz val="10"/>
        <color theme="1"/>
        <rFont val="Arial Narrow"/>
        <family val="2"/>
      </rPr>
      <t xml:space="preserve"> Convocar a Sesiones de trabajo.
</t>
    </r>
    <r>
      <rPr>
        <b/>
        <sz val="9"/>
        <color theme="1"/>
        <rFont val="Century Schoolbook"/>
        <family val="1"/>
      </rPr>
      <t>3.-</t>
    </r>
    <r>
      <rPr>
        <sz val="10"/>
        <color theme="1"/>
        <rFont val="Arial Narrow"/>
        <family val="2"/>
      </rPr>
      <t xml:space="preserve"> Poner en conocimiento de los miembros de la sesión de trabajo la documentación para su análisis.
</t>
    </r>
    <r>
      <rPr>
        <b/>
        <sz val="9"/>
        <color theme="1"/>
        <rFont val="Century Schoolbook"/>
        <family val="1"/>
      </rPr>
      <t>4.-</t>
    </r>
    <r>
      <rPr>
        <sz val="10"/>
        <color theme="1"/>
        <rFont val="Arial Narrow"/>
        <family val="2"/>
      </rPr>
      <t xml:space="preserve"> Formular informes y/o decisiones adoptadas.
</t>
    </r>
    <r>
      <rPr>
        <b/>
        <sz val="9"/>
        <color theme="1"/>
        <rFont val="Century Schoolbook"/>
        <family val="1"/>
      </rPr>
      <t>5.-</t>
    </r>
    <r>
      <rPr>
        <sz val="10"/>
        <color theme="1"/>
        <rFont val="Arial Narrow"/>
        <family val="2"/>
      </rPr>
      <t xml:space="preserve"> Trasladar las informes y/o decisiones adoptadas según corresponda.</t>
    </r>
  </si>
  <si>
    <r>
      <rPr>
        <b/>
        <sz val="9"/>
        <color theme="1"/>
        <rFont val="Century Schoolbook"/>
        <family val="1"/>
      </rPr>
      <t>1.-</t>
    </r>
    <r>
      <rPr>
        <sz val="10"/>
        <color theme="1"/>
        <rFont val="Arial Narrow"/>
        <family val="2"/>
      </rPr>
      <t xml:space="preserve"> Convocar a los Decanos y Subdecanos a reuniones de trabajo para realizar el análisis y levantamiento de estudios la creación de nuevas carreras en diferentes modalidades.
</t>
    </r>
    <r>
      <rPr>
        <b/>
        <sz val="9"/>
        <color theme="1"/>
        <rFont val="Century Schoolbook"/>
        <family val="1"/>
      </rPr>
      <t>2.-</t>
    </r>
    <r>
      <rPr>
        <sz val="10"/>
        <color theme="1"/>
        <rFont val="Arial Narrow"/>
        <family val="2"/>
      </rPr>
      <t xml:space="preserve"> Registrar la asistencia de los  participantes. 
</t>
    </r>
    <r>
      <rPr>
        <b/>
        <sz val="9"/>
        <color theme="1"/>
        <rFont val="Century Schoolbook"/>
        <family val="1"/>
      </rPr>
      <t>3.-</t>
    </r>
    <r>
      <rPr>
        <sz val="10"/>
        <color theme="1"/>
        <rFont val="Arial Narrow"/>
        <family val="2"/>
      </rPr>
      <t xml:space="preserve"> Solicitar a los Subdecanos el informe de levantamiento de información sobre la creación de nuevas carreras en diferentes modalidades. 
</t>
    </r>
    <r>
      <rPr>
        <b/>
        <sz val="9"/>
        <color theme="1"/>
        <rFont val="Century Schoolbook"/>
        <family val="1"/>
      </rPr>
      <t>4.-</t>
    </r>
    <r>
      <rPr>
        <sz val="10"/>
        <color theme="1"/>
        <rFont val="Arial Narrow"/>
        <family val="2"/>
      </rPr>
      <t xml:space="preserve"> Formular s y/o decisiones adoptadas.
</t>
    </r>
    <r>
      <rPr>
        <b/>
        <sz val="9"/>
        <color theme="1"/>
        <rFont val="Century Schoolbook"/>
        <family val="1"/>
      </rPr>
      <t>5.-</t>
    </r>
    <r>
      <rPr>
        <sz val="10"/>
        <color theme="1"/>
        <rFont val="Arial Narrow"/>
        <family val="2"/>
      </rPr>
      <t xml:space="preserve"> Trasladar las resoluciones y/o decisiones adoptadas según corresponda.</t>
    </r>
  </si>
  <si>
    <r>
      <rPr>
        <b/>
        <sz val="9"/>
        <color theme="1"/>
        <rFont val="Century Schoolbook"/>
        <family val="1"/>
      </rPr>
      <t>1.-</t>
    </r>
    <r>
      <rPr>
        <sz val="10"/>
        <color theme="1"/>
        <rFont val="Arial Narrow"/>
        <family val="2"/>
      </rPr>
      <t xml:space="preserve"> Receptar y revisar la documentación.
</t>
    </r>
    <r>
      <rPr>
        <b/>
        <sz val="9"/>
        <color theme="1"/>
        <rFont val="Century Schoolbook"/>
        <family val="1"/>
      </rPr>
      <t>2.-</t>
    </r>
    <r>
      <rPr>
        <sz val="10"/>
        <color theme="1"/>
        <rFont val="Arial Narrow"/>
        <family val="2"/>
      </rPr>
      <t xml:space="preserve"> Solicitar informes.
</t>
    </r>
    <r>
      <rPr>
        <b/>
        <sz val="9"/>
        <color theme="1"/>
        <rFont val="Century Schoolbook"/>
        <family val="1"/>
      </rPr>
      <t>3.-</t>
    </r>
    <r>
      <rPr>
        <sz val="10"/>
        <color theme="1"/>
        <rFont val="Arial Narrow"/>
        <family val="2"/>
      </rPr>
      <t xml:space="preserve"> Analizar, validar los Informes entregados cumplan con lo requerido.
</t>
    </r>
    <r>
      <rPr>
        <b/>
        <sz val="9"/>
        <color theme="1"/>
        <rFont val="Century Schoolbook"/>
        <family val="1"/>
      </rPr>
      <t>4.-</t>
    </r>
    <r>
      <rPr>
        <sz val="10"/>
        <color theme="1"/>
        <rFont val="Arial Narrow"/>
        <family val="2"/>
      </rPr>
      <t xml:space="preserve"> Actualizar reporte.</t>
    </r>
  </si>
  <si>
    <r>
      <rPr>
        <b/>
        <sz val="9"/>
        <color theme="1"/>
        <rFont val="Century Schoolbook"/>
        <family val="1"/>
      </rPr>
      <t>1.-</t>
    </r>
    <r>
      <rPr>
        <sz val="10"/>
        <color theme="1"/>
        <rFont val="Arial Narrow"/>
        <family val="2"/>
      </rPr>
      <t xml:space="preserve"> Elaborar y entregar Plan Operativo Anual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Elaborar y entregar evaluación del POA </t>
    </r>
    <r>
      <rPr>
        <sz val="10"/>
        <color theme="1"/>
        <rFont val="Century Schoolbook"/>
        <family val="1"/>
      </rPr>
      <t>2023.</t>
    </r>
  </si>
  <si>
    <r>
      <rPr>
        <b/>
        <sz val="9"/>
        <color theme="1"/>
        <rFont val="Century Schoolbook"/>
        <family val="1"/>
      </rPr>
      <t>1.-</t>
    </r>
    <r>
      <rPr>
        <sz val="10"/>
        <color theme="1"/>
        <rFont val="Arial Narrow"/>
        <family val="2"/>
      </rPr>
      <t xml:space="preserve"> Seleccionar la documentación.
</t>
    </r>
    <r>
      <rPr>
        <b/>
        <sz val="9"/>
        <color theme="1"/>
        <rFont val="Century Schoolbook"/>
        <family val="1"/>
      </rPr>
      <t>2.-</t>
    </r>
    <r>
      <rPr>
        <sz val="10"/>
        <color theme="1"/>
        <rFont val="Arial Narrow"/>
        <family val="2"/>
      </rPr>
      <t xml:space="preserve"> Clasificar la documentación.
</t>
    </r>
    <r>
      <rPr>
        <b/>
        <sz val="9"/>
        <color theme="1"/>
        <rFont val="Century Schoolbook"/>
        <family val="1"/>
      </rPr>
      <t>3.-</t>
    </r>
    <r>
      <rPr>
        <sz val="10"/>
        <color theme="1"/>
        <rFont val="Arial Narrow"/>
        <family val="2"/>
      </rPr>
      <t xml:space="preserve"> Describir la documentación según la norma ISAD-G.
</t>
    </r>
    <r>
      <rPr>
        <b/>
        <sz val="9"/>
        <color theme="1"/>
        <rFont val="Century Schoolbook"/>
        <family val="1"/>
      </rPr>
      <t>4.-</t>
    </r>
    <r>
      <rPr>
        <sz val="10"/>
        <color theme="1"/>
        <rFont val="Arial Narrow"/>
        <family val="2"/>
      </rPr>
      <t xml:space="preserve"> Preservar la documentación en las unidades de almacenamiento.</t>
    </r>
  </si>
  <si>
    <t>N° de Cajas registradas en el inventario documental.</t>
  </si>
  <si>
    <t>N° de documentos de planificación operativa anual y evaluaciones de la planificación operativa anual presentados.</t>
  </si>
  <si>
    <t>N° de acciones de mejora y/o correctivas.</t>
  </si>
  <si>
    <t>N° de proyectos de reforma académica y creación de nuevas carreras en diferentes modalidades.</t>
  </si>
  <si>
    <t>N° Actividades educativas institucionales en los componentes: diseño y 
rediseño pedagógico curricular, seguimiento y evaluación 
perfeccionamiento del personal académico gestionado.</t>
  </si>
  <si>
    <t>N° de actividades y funciones atendidas delegadas por la máxima autoridad y/o máximo órgano colegiado.</t>
  </si>
  <si>
    <t xml:space="preserve">Actividades, funciones, y atribuciones delegadas por la máxima autoridad y/ o máximo órgano colegiado desarrolladas.
</t>
  </si>
  <si>
    <t>Actividades educativas institucionales en los componentes: diseño y rediseño pedagógico curricular, seguimiento y evaluación perfeccionamiento del personal académico gestionado.</t>
  </si>
  <si>
    <t>Proyectos de reforma académica, así como la creación de nuevas carreras en diferentes modalidades gestionada.</t>
  </si>
  <si>
    <t>Acciones de mejora y/ o correctivas gestionadas en base a los resultados de seguimiento a los procesos académicos.</t>
  </si>
  <si>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Desarrollar actividades, funciones, y atribuciones delegadas por la máxima autoridad y/o máximo órgano colegiado.</t>
    </r>
  </si>
  <si>
    <r>
      <rPr>
        <b/>
        <sz val="9"/>
        <color theme="1"/>
        <rFont val="Century Schoolbook"/>
        <family val="1"/>
      </rPr>
      <t>2.-</t>
    </r>
    <r>
      <rPr>
        <b/>
        <sz val="10"/>
        <color theme="1"/>
        <rFont val="Arial Narrow"/>
      </rPr>
      <t xml:space="preserve"> </t>
    </r>
    <r>
      <rPr>
        <sz val="10"/>
        <color theme="1"/>
        <rFont val="Arial Narrow"/>
      </rPr>
      <t>Gestionar la planificación de los procesos académicos.</t>
    </r>
  </si>
  <si>
    <r>
      <rPr>
        <b/>
        <sz val="9"/>
        <color theme="1"/>
        <rFont val="Century Schoolbook"/>
        <family val="1"/>
      </rPr>
      <t>3.-</t>
    </r>
    <r>
      <rPr>
        <sz val="10"/>
        <color theme="1"/>
        <rFont val="Arial Narrow"/>
        <family val="2"/>
      </rPr>
      <t xml:space="preserve"> Desarrollar actividades educativas institucionales en los componentes: diseño y rediseño pedagógico curricular, seguimiento y evaluación curricular perfeccionamiento del personal académico.</t>
    </r>
  </si>
  <si>
    <r>
      <rPr>
        <b/>
        <sz val="9"/>
        <color theme="1"/>
        <rFont val="Century Schoolbook"/>
        <family val="1"/>
      </rPr>
      <t>4.-</t>
    </r>
    <r>
      <rPr>
        <sz val="10"/>
        <color theme="1"/>
        <rFont val="Arial Narrow"/>
        <family val="2"/>
      </rPr>
      <t xml:space="preserve"> Gestionar Proyectos de reforma académica, así como la creación de nuevas carreras en diferentes modalidades.</t>
    </r>
  </si>
  <si>
    <r>
      <rPr>
        <b/>
        <sz val="9"/>
        <color theme="1"/>
        <rFont val="Century Schoolbook"/>
        <family val="1"/>
      </rPr>
      <t>5.-</t>
    </r>
    <r>
      <rPr>
        <sz val="10"/>
        <color theme="1"/>
        <rFont val="Arial Narrow"/>
      </rPr>
      <t xml:space="preserve"> Gestionar acciones de mejora y/o correctivas en base a los resultados de seguimiento a los procesos académicos.</t>
    </r>
  </si>
  <si>
    <r>
      <rPr>
        <b/>
        <sz val="9"/>
        <color theme="1"/>
        <rFont val="Century Schoolbook"/>
        <family val="1"/>
      </rPr>
      <t>6.-</t>
    </r>
    <r>
      <rPr>
        <b/>
        <sz val="10"/>
        <color theme="1"/>
        <rFont val="Arial Narrow"/>
      </rPr>
      <t xml:space="preserve"> </t>
    </r>
    <r>
      <rPr>
        <sz val="10"/>
        <color theme="1"/>
        <rFont val="Arial Narrow"/>
      </rPr>
      <t>Presentar la Planificación Operativa Anual y Evaluación de la Planificación Operativa Anual.</t>
    </r>
  </si>
  <si>
    <r>
      <t>Fecha:</t>
    </r>
    <r>
      <rPr>
        <sz val="11"/>
        <color theme="1"/>
        <rFont val="Arial Narrow"/>
        <family val="2"/>
      </rPr>
      <t xml:space="preserve"> </t>
    </r>
    <r>
      <rPr>
        <sz val="11"/>
        <color theme="1"/>
        <rFont val="Century Schoolbook"/>
        <family val="1"/>
      </rPr>
      <t>13</t>
    </r>
    <r>
      <rPr>
        <sz val="11"/>
        <color theme="1"/>
        <rFont val="Arial Narrow"/>
        <family val="2"/>
      </rPr>
      <t xml:space="preserve"> de Septiembre de </t>
    </r>
    <r>
      <rPr>
        <sz val="11"/>
        <color theme="1"/>
        <rFont val="Century Schoolbook"/>
        <family val="1"/>
      </rPr>
      <t>2022</t>
    </r>
  </si>
  <si>
    <r>
      <rPr>
        <b/>
        <sz val="10"/>
        <color theme="1"/>
        <rFont val="Arial Narrow"/>
        <family val="2"/>
      </rPr>
      <t xml:space="preserve">1. </t>
    </r>
    <r>
      <rPr>
        <sz val="10"/>
        <color theme="1"/>
        <rFont val="Arial Narrow"/>
        <family val="2"/>
      </rPr>
      <t>Afianzar el proceso de rediseño y contextualización curricular.</t>
    </r>
  </si>
  <si>
    <r>
      <rPr>
        <b/>
        <sz val="10"/>
        <color theme="1"/>
        <rFont val="Arial Narrow"/>
        <family val="2"/>
      </rPr>
      <t>_3</t>
    </r>
    <r>
      <rPr>
        <sz val="10"/>
        <color theme="1"/>
        <rFont val="Arial Narrow"/>
        <family val="2"/>
      </rPr>
      <t>_Posicionamiento_del_modelo_educativo_integrador_y_desarrollador.</t>
    </r>
  </si>
  <si>
    <r>
      <rPr>
        <b/>
        <sz val="10"/>
        <color theme="1"/>
        <rFont val="Arial Narrow"/>
        <family val="2"/>
      </rPr>
      <t xml:space="preserve">3. </t>
    </r>
    <r>
      <rPr>
        <sz val="10"/>
        <color theme="1"/>
        <rFont val="Arial Narrow"/>
        <family val="2"/>
      </rPr>
      <t>Fortalecer la interacción de la docencia, investigación y vinculación para el logro de los objetivos operativos del modelo educativo.</t>
    </r>
  </si>
  <si>
    <r>
      <rPr>
        <b/>
        <sz val="10"/>
        <color theme="1"/>
        <rFont val="Arial Narrow"/>
        <family val="2"/>
      </rPr>
      <t>_4_</t>
    </r>
    <r>
      <rPr>
        <sz val="10"/>
        <color theme="1"/>
        <rFont val="Arial Narrow"/>
        <family val="2"/>
      </rPr>
      <t>Competitividad_de_la_investigación_e_innovación_universitaria.</t>
    </r>
  </si>
  <si>
    <r>
      <rPr>
        <b/>
        <sz val="10"/>
        <color theme="1"/>
        <rFont val="Arial Narrow"/>
        <family val="2"/>
      </rPr>
      <t xml:space="preserve">7. </t>
    </r>
    <r>
      <rPr>
        <sz val="10"/>
        <color theme="1"/>
        <rFont val="Arial Narrow"/>
        <family val="2"/>
      </rPr>
      <t>Impulsar la producción científica - académica derivada de la investigación formativa, para asegurar la participación masiva de la comunidad estudiantil en la generación de conocimiento.</t>
    </r>
  </si>
  <si>
    <r>
      <rPr>
        <b/>
        <sz val="10"/>
        <color theme="1"/>
        <rFont val="Arial Narrow"/>
        <family val="2"/>
      </rPr>
      <t xml:space="preserve">6. </t>
    </r>
    <r>
      <rPr>
        <sz val="10"/>
        <color theme="1"/>
        <rFont val="Arial Narrow"/>
        <family val="2"/>
      </rPr>
      <t>Revalorizar la participación docente en proyectos de vinculación con fines de acceso a mejoras escalafonarias y/o de méritos para evaluación docente.</t>
    </r>
  </si>
  <si>
    <r>
      <t xml:space="preserve">DPLAN: Se trasladan </t>
    </r>
    <r>
      <rPr>
        <sz val="10"/>
        <color theme="1"/>
        <rFont val="Century Schoolbook"/>
        <family val="1"/>
      </rPr>
      <t>$18.000,00</t>
    </r>
    <r>
      <rPr>
        <sz val="10"/>
        <color theme="1"/>
        <rFont val="Arial Narrow"/>
        <family val="2"/>
      </rPr>
      <t xml:space="preserve"> (+/-) del techo presupuestario (reajuste) de la Dirección Académica y </t>
    </r>
    <r>
      <rPr>
        <sz val="10"/>
        <color theme="1"/>
        <rFont val="Century Schoolbook"/>
        <family val="1"/>
      </rPr>
      <t>$10.000,00</t>
    </r>
    <r>
      <rPr>
        <sz val="10"/>
        <color theme="1"/>
        <rFont val="Arial Narrow"/>
        <family val="2"/>
      </rPr>
      <t xml:space="preserve"> del Vicerrectorado Académico (este último tiene planificada una actividad y egreso semejante; las dos deben articularse para su ejecución).</t>
    </r>
  </si>
  <si>
    <t>Solicitar reforma de ROGOP.</t>
  </si>
  <si>
    <t>CONSIDERAMOS Y SUGERIMOS QUE SE GESTIONE LA  ACTUALIZACIÓN,  Y SE  DEFINA CORRECTAMENTE EN EL REGLAMENTO ORGÁNICO POR PROCESOS DE LA UTMACH, EL USO DEL VERBO IMPLEMENTACIÓN DENTRO DE ESTE PRODUCTO, DEBIDO A QUE LA UNIDAD DE NIVELACIÓN Y ADMISIÓN NO TIENE COMPETENCIA EN LA IMPLEMENTACIÓN TECNOLÓGICA DE LOS PROCESOS, SIN EMBARGO SI NOS COMPETE LA COORDINACIÓN DE LOS LINEAMIENTOS PARA LA IMPLEMENTACIÓN DE ESTE PRODUCTO.</t>
  </si>
  <si>
    <t>* ING. SARA CRUZ NARANJO,
  Directora de Formación Profesional
* Ing. JORGE LUIS BENITES,
  Analista</t>
  </si>
  <si>
    <t>* ING. SARA CRUZ NARANJO,
  Directora de Formación Profesional
* ING. JORGE LUIS BENITES,
  Analista</t>
  </si>
  <si>
    <t>* ING. SARA CRUZ NARANJO,
  Directora de Formación Profesional
* LCDO. JAVIER GONZÁLEZ RAMÓN,
  Jefe de la Unidad de Nivelación y Admisión
* ING. DIANA MUÑOZ,
  Analista de Nivelación y Admisión
* ING. JAIRO JIMENEZ CONTRERAS,
  Analista Informático</t>
  </si>
  <si>
    <t>* LCDO. JAVIER GONZÁLEZ RAMÓN,
  Jefe de la Unidad de Nivelación y Admisión
* ING. DIANA MUÑOZ,
  Analista de Nivelación y Admisión
* ING. JAIRO JIMENEZ CONTRERAS,
  Analista Informático</t>
  </si>
  <si>
    <t>* LCDO. JAVIER GONZÁLEZ RAMÓN,
  Jefe de la Unidad de Nivelación y Admisión
* ING. DIANA MUÑOZ,
  Analista de Nivelación y Admisión
* ING. JAIRO JIMENEZ CONTRERAS,
  Analista Informático
* Subdecanos de las Facultades de la UTMACH</t>
  </si>
  <si>
    <t>* LCDO. JAVIER GONZÁLEZ RAMÓN,
  Jefe de la Unidad de Nivelación y Admisión
* ING. DIANA MUÑOZ,
  Analista de Nivelación y Admisión
* ING. JAIRO JIMENEZ CONTRERAS,
  Analista Informático
* Dirección de Comunicación</t>
  </si>
  <si>
    <t>* LCDO. JAVIER GONZÁLEZ RÁMON,
  Jefe de la Unidad de Nivelación y Admisión
* ING. DIANA MUÑOZ,
  Analista de Nivelación y Admisión
* ING. JAIRO JIMENEZ CONTRERAS,
  Analista Informático</t>
  </si>
  <si>
    <t>N° de Planificación y Evaluación del POA entregadas oportunamente.</t>
  </si>
  <si>
    <t>N° de Instructivos para la implementación del sitio web  para la Ejecución del Proceso de Admisión de la UTMACH.</t>
  </si>
  <si>
    <t>N° de Pruebas Aplicadas a los aspirantes al Proceso de Admisión.</t>
  </si>
  <si>
    <t>N° de difusiones de la Oferta Académica de la UTMACH.</t>
  </si>
  <si>
    <t>N° de oferta académica subidas al sistema de la Senescyt..</t>
  </si>
  <si>
    <t>N° de cupos ofertados por las diferentes facultades de la UTMACH.</t>
  </si>
  <si>
    <t>N° de Procesos de Admisión ejecutados.</t>
  </si>
  <si>
    <t>N° de carpetas registradas en el inventario documental organizadas.</t>
  </si>
  <si>
    <t>N° de Planificación Operativa Anual y Evaluaciones de la Planificación Operativa Anual entregadas.</t>
  </si>
  <si>
    <t>N° de planes de capacitación para el personal académico con base en los resultados de la evaluación integral del desempeño docente, aprobados.</t>
  </si>
  <si>
    <t>N° de estudios de factibilidad para  la implementación de modalidades no presenciales, aprobados.</t>
  </si>
  <si>
    <t>N° de convocatorias a reuniones sobre procesos de evaluación curricular.</t>
  </si>
  <si>
    <t>N° de Planes de Perfeccionamiento Académico, aprobados.</t>
  </si>
  <si>
    <t>N° de informes de resultados de la evaluación integral del desempeño docente, aprobados.</t>
  </si>
  <si>
    <t>N° de informes que identifiquen las actividades académicas complementarias por carrera, aprobados.</t>
  </si>
  <si>
    <t>N° de Informes Finales de Líneas de Investigación Formativa de tercer nivel y PPA aprobados.</t>
  </si>
  <si>
    <t>N° de planificaciones para el Proceso de nivelación y admisión, aprobados.</t>
  </si>
  <si>
    <t>N° de planificaciones para el estudio de pertinencia e innovación de los perfiles profesionales, aprobadas.</t>
  </si>
  <si>
    <t>N° de planificaciones curriculares institucionales gestionadas.</t>
  </si>
  <si>
    <t>Desarrollo y actualización permanente de la planificación curricular institucional gestionada.</t>
  </si>
  <si>
    <t>Levantamiento de estudios de pertinencia e innovación de los perfiles profesionales, dirigidos.</t>
  </si>
  <si>
    <t>Aprobación de los planes de investigación formativa a nivel institucional y su perfeccionamiento, gestionado.</t>
  </si>
  <si>
    <t>Programación anual de las actividades académicas institucionales, asistido.</t>
  </si>
  <si>
    <t>Evaluación integral del desempeño docente gestionada.</t>
  </si>
  <si>
    <t>Actividades de gestión del Plan de Perfeccionamiento Académico ejecutadas.</t>
  </si>
  <si>
    <r>
      <rPr>
        <b/>
        <sz val="9"/>
        <color theme="1"/>
        <rFont val="Century Schoolbook"/>
        <family val="1"/>
      </rPr>
      <t>1.-</t>
    </r>
    <r>
      <rPr>
        <sz val="10"/>
        <color theme="1"/>
        <rFont val="Arial Narrow"/>
        <family val="2"/>
      </rPr>
      <t xml:space="preserve"> Gestionar la elaboración, desarrollo y actualización permanente de la
planificación curricular institucional, que sustentan la formación integral de
los profesionales en la Universidad.</t>
    </r>
  </si>
  <si>
    <r>
      <rPr>
        <b/>
        <sz val="9"/>
        <color theme="1"/>
        <rFont val="Century Schoolbook"/>
        <family val="1"/>
      </rPr>
      <t>2.-</t>
    </r>
    <r>
      <rPr>
        <sz val="10"/>
        <color theme="1"/>
        <rFont val="Arial Narrow"/>
        <family val="2"/>
      </rPr>
      <t xml:space="preserve"> Dirigir el levantamiento de estudios de pertinencia e innovación de los
perfiles profesionales en correspondencia con las demandas del contexto
socioeconómico en que se enmarca la institución.</t>
    </r>
  </si>
  <si>
    <r>
      <rPr>
        <b/>
        <sz val="9"/>
        <color theme="1"/>
        <rFont val="Century Schoolbook"/>
        <family val="1"/>
      </rPr>
      <t>3.-</t>
    </r>
    <r>
      <rPr>
        <sz val="10"/>
        <color theme="1"/>
        <rFont val="Arial Narrow"/>
        <family val="2"/>
      </rPr>
      <t xml:space="preserve"> Dirigir y gestionar el proceso de admisión y nivelación, en coordinación con la Unidad de Nivelación y Admisión, y con la Dirección Académica.</t>
    </r>
  </si>
  <si>
    <r>
      <rPr>
        <b/>
        <sz val="9"/>
        <color theme="1"/>
        <rFont val="Century Schoolbook"/>
        <family val="1"/>
      </rPr>
      <t>4.-</t>
    </r>
    <r>
      <rPr>
        <sz val="10"/>
        <color theme="1"/>
        <rFont val="Arial Narrow"/>
        <family val="2"/>
      </rPr>
      <t xml:space="preserve"> Apoyar en el desarrollo de los planes de investigación formativa a nivel institucional y su perfeccionamiento, en coordinación con la Dirección de Investigación, Desarrollo e Innovación.</t>
    </r>
  </si>
  <si>
    <r>
      <rPr>
        <b/>
        <sz val="9"/>
        <color theme="1"/>
        <rFont val="Century Schoolbook"/>
        <family val="1"/>
      </rPr>
      <t>5.-</t>
    </r>
    <r>
      <rPr>
        <sz val="10"/>
        <color theme="1"/>
        <rFont val="Arial Narrow"/>
        <family val="2"/>
      </rPr>
      <t xml:space="preserve"> Apoyar la elaboración y difusión de la programación anual de las actividades académicas institucionales, en coordinación con la Dirección
Académica.</t>
    </r>
  </si>
  <si>
    <r>
      <rPr>
        <b/>
        <sz val="9"/>
        <color theme="1"/>
        <rFont val="Century Schoolbook"/>
        <family val="1"/>
      </rPr>
      <t>6.-</t>
    </r>
    <r>
      <rPr>
        <sz val="10"/>
        <color theme="1"/>
        <rFont val="Arial Narrow"/>
        <family val="2"/>
      </rPr>
      <t xml:space="preserve"> Dirigir la evaluación integral del desempeño docente.</t>
    </r>
  </si>
  <si>
    <r>
      <rPr>
        <b/>
        <sz val="9"/>
        <color theme="1"/>
        <rFont val="Century Schoolbook"/>
        <family val="1"/>
      </rPr>
      <t>7.-</t>
    </r>
    <r>
      <rPr>
        <sz val="10"/>
        <color theme="1"/>
        <rFont val="Arial Narrow"/>
        <family val="2"/>
      </rPr>
      <t xml:space="preserve"> Dirigir y gestionar las actividades relacionadas con la implementación del Plan de Perfeccionamiento Académico.</t>
    </r>
  </si>
  <si>
    <r>
      <rPr>
        <b/>
        <sz val="9"/>
        <color theme="1"/>
        <rFont val="Century Schoolbook"/>
        <family val="1"/>
      </rPr>
      <t>8.-</t>
    </r>
    <r>
      <rPr>
        <sz val="10"/>
        <color theme="1"/>
        <rFont val="Arial Narrow"/>
        <family val="2"/>
      </rPr>
      <t xml:space="preserve"> Coordinar los procesos de evaluación curricular con las facultades.</t>
    </r>
  </si>
  <si>
    <r>
      <rPr>
        <b/>
        <sz val="9"/>
        <color theme="1"/>
        <rFont val="Century Schoolbook"/>
        <family val="1"/>
      </rPr>
      <t>9.-</t>
    </r>
    <r>
      <rPr>
        <sz val="10"/>
        <color theme="1"/>
        <rFont val="Arial Narrow"/>
        <family val="2"/>
      </rPr>
      <t xml:space="preserve"> Coordinar el proceso de formación de profesionales en contextos de las modalidades no presenciales con competencias adaptadas al contexto social en respuestas a las necesidades identificadas en el entorno.</t>
    </r>
  </si>
  <si>
    <r>
      <rPr>
        <b/>
        <sz val="9"/>
        <color theme="1"/>
        <rFont val="Century Schoolbook"/>
        <family val="1"/>
      </rPr>
      <t>10.-</t>
    </r>
    <r>
      <rPr>
        <sz val="10"/>
        <color theme="1"/>
        <rFont val="Arial Narrow"/>
        <family val="2"/>
      </rPr>
      <t xml:space="preserve"> Identificar las necesidades de capacitación para el personal académico con base en los resultados de la evaluación integral del desempeño docente, del seguimiento al sílabo, entre otros.</t>
    </r>
  </si>
  <si>
    <r>
      <rPr>
        <b/>
        <sz val="9"/>
        <color theme="1"/>
        <rFont val="Century Schoolbook"/>
        <family val="1"/>
      </rPr>
      <t>11.-</t>
    </r>
    <r>
      <rPr>
        <sz val="10"/>
        <color theme="1"/>
        <rFont val="Arial Narrow"/>
        <family val="2"/>
      </rPr>
      <t xml:space="preserve"> Codificación de las certificaciones emitidas por la dependencia.</t>
    </r>
  </si>
  <si>
    <r>
      <rPr>
        <b/>
        <sz val="9"/>
        <color theme="1"/>
        <rFont val="Century Schoolbook"/>
        <family val="1"/>
      </rPr>
      <t>12.-</t>
    </r>
    <r>
      <rPr>
        <sz val="10"/>
        <color theme="1"/>
        <rFont val="Arial Narrow"/>
        <family val="2"/>
      </rPr>
      <t xml:space="preserve"> Presentar a la Dirección de Planificación la Planeación y Evaluación del Plan Operativo Anual.</t>
    </r>
  </si>
  <si>
    <r>
      <rPr>
        <b/>
        <sz val="9"/>
        <color theme="1"/>
        <rFont val="Century Schoolbook"/>
        <family val="1"/>
      </rPr>
      <t>13.-</t>
    </r>
    <r>
      <rPr>
        <sz val="10"/>
        <color theme="1"/>
        <rFont val="Arial Narrow"/>
        <family val="2"/>
      </rPr>
      <t xml:space="preserve"> Organizar el archivo de gestión de conformidad con la normativa interna de gestión documental.</t>
    </r>
  </si>
  <si>
    <r>
      <rPr>
        <b/>
        <sz val="10"/>
        <color rgb="FFFF0000"/>
        <rFont val="Arial Narrow"/>
        <family val="2"/>
      </rPr>
      <t>METAS OPERATIVAS</t>
    </r>
    <r>
      <rPr>
        <sz val="10"/>
        <color rgb="FFFF0000"/>
        <rFont val="Arial Narrow"/>
        <family val="2"/>
      </rPr>
      <t xml:space="preserve">
</t>
    </r>
    <r>
      <rPr>
        <b/>
        <sz val="9"/>
        <rFont val="Century Schoolbook"/>
        <family val="1"/>
      </rPr>
      <t>1.-</t>
    </r>
    <r>
      <rPr>
        <sz val="10"/>
        <color rgb="FFFF0000"/>
        <rFont val="Arial Narrow"/>
        <family val="2"/>
      </rPr>
      <t xml:space="preserve"> </t>
    </r>
    <r>
      <rPr>
        <sz val="10"/>
        <color theme="1"/>
        <rFont val="Arial Narrow"/>
        <family val="2"/>
      </rPr>
      <t>Dirigir y gestionar el proceso de admisión y nivelación para su aprobación por el Órgano Colegiado Superior.</t>
    </r>
  </si>
  <si>
    <r>
      <rPr>
        <b/>
        <sz val="10"/>
        <color theme="1"/>
        <rFont val="Arial Narrow"/>
        <family val="2"/>
      </rPr>
      <t xml:space="preserve">
</t>
    </r>
    <r>
      <rPr>
        <b/>
        <sz val="9"/>
        <color theme="1"/>
        <rFont val="Century Schoolbook"/>
        <family val="1"/>
      </rPr>
      <t>2.-</t>
    </r>
    <r>
      <rPr>
        <sz val="10"/>
        <color theme="1"/>
        <rFont val="Arial Narrow"/>
        <family val="2"/>
      </rPr>
      <t xml:space="preserve"> Coordinar con las carreras la propuesta de oferta académica.</t>
    </r>
  </si>
  <si>
    <r>
      <rPr>
        <b/>
        <sz val="9"/>
        <color theme="1"/>
        <rFont val="Century Schoolbook"/>
        <family val="1"/>
      </rPr>
      <t>3.-</t>
    </r>
    <r>
      <rPr>
        <sz val="10"/>
        <color theme="1"/>
        <rFont val="Arial Narrow"/>
        <family val="2"/>
      </rPr>
      <t xml:space="preserve"> Elaborar la compilación de cupos que se ofertan en cada periodo académico.</t>
    </r>
  </si>
  <si>
    <r>
      <rPr>
        <b/>
        <sz val="9"/>
        <color theme="1"/>
        <rFont val="Century Schoolbook"/>
        <family val="1"/>
      </rPr>
      <t>4.-</t>
    </r>
    <r>
      <rPr>
        <sz val="10"/>
        <color theme="1"/>
        <rFont val="Arial Narrow"/>
        <family val="2"/>
      </rPr>
      <t xml:space="preserve"> Difundir la oferta académica de la UTMACH.</t>
    </r>
  </si>
  <si>
    <r>
      <rPr>
        <b/>
        <sz val="9"/>
        <color theme="1"/>
        <rFont val="Century Schoolbook"/>
        <family val="1"/>
      </rPr>
      <t>5.-</t>
    </r>
    <r>
      <rPr>
        <sz val="10"/>
        <color theme="1"/>
        <rFont val="Arial Narrow"/>
        <family val="2"/>
      </rPr>
      <t xml:space="preserve"> Ejecutar la propuesta de evaluación del proceso de admisión para el primer nivel.</t>
    </r>
  </si>
  <si>
    <r>
      <rPr>
        <b/>
        <sz val="9"/>
        <color theme="1"/>
        <rFont val="Century Schoolbook"/>
        <family val="1"/>
      </rPr>
      <t>6.-</t>
    </r>
    <r>
      <rPr>
        <sz val="10"/>
        <color theme="1"/>
        <rFont val="Arial Narrow"/>
        <family val="2"/>
      </rPr>
      <t xml:space="preserve"> Informes técnicos del proceso de admisión y/o nivelación de las carreras, solicitados por los órganos de control del sistema de educación superior, elaborado.</t>
    </r>
  </si>
  <si>
    <r>
      <rPr>
        <b/>
        <sz val="9"/>
        <color theme="1"/>
        <rFont val="Century Schoolbook"/>
        <family val="1"/>
      </rPr>
      <t>7.-</t>
    </r>
    <r>
      <rPr>
        <sz val="10"/>
        <color theme="1"/>
        <rFont val="Arial Narrow"/>
        <family val="2"/>
      </rPr>
      <t xml:space="preserve"> Coordinar con la Dirección de Tecnologías de la Información la implementación de la infraestructura tecnológica, y/o actualizaciones, del proceso de admisión y nivelación, dirigidas y coordinadas.</t>
    </r>
  </si>
  <si>
    <r>
      <rPr>
        <b/>
        <sz val="9"/>
        <color theme="1"/>
        <rFont val="Century Schoolbook"/>
        <family val="1"/>
      </rPr>
      <t>8.-</t>
    </r>
    <r>
      <rPr>
        <sz val="10"/>
        <color theme="1"/>
        <rFont val="Arial Narrow"/>
        <family val="2"/>
      </rPr>
      <t xml:space="preserve"> Brindar asesoría al aspirante en las diferentes etapas del proceso de postulación para el ingreso a la Educación Superior.</t>
    </r>
  </si>
  <si>
    <r>
      <rPr>
        <b/>
        <sz val="9"/>
        <color theme="1"/>
        <rFont val="Century Schoolbook"/>
        <family val="1"/>
      </rPr>
      <t>9.-</t>
    </r>
    <r>
      <rPr>
        <sz val="10"/>
        <color theme="1"/>
        <rFont val="Arial Narrow"/>
        <family val="2"/>
      </rPr>
      <t xml:space="preserve"> Presentar el Plan Operativo Anual y Evaluación de la Planificación Operativa Anual.</t>
    </r>
  </si>
  <si>
    <r>
      <rPr>
        <b/>
        <sz val="9"/>
        <color theme="1"/>
        <rFont val="Century Schoolbook"/>
        <family val="1"/>
      </rPr>
      <t>10.-</t>
    </r>
    <r>
      <rPr>
        <sz val="10"/>
        <color theme="1"/>
        <rFont val="Arial Narrow"/>
        <family val="2"/>
      </rPr>
      <t xml:space="preserve"> Organizar el Archivo de Gestión.</t>
    </r>
  </si>
  <si>
    <r>
      <rPr>
        <b/>
        <sz val="9"/>
        <color theme="1"/>
        <rFont val="Century Schoolbook"/>
        <family val="1"/>
      </rPr>
      <t>1.-</t>
    </r>
    <r>
      <rPr>
        <sz val="10"/>
        <color theme="1"/>
        <rFont val="Arial Narrow"/>
        <family val="2"/>
      </rPr>
      <t xml:space="preserve"> Levantar la información necesaria en corresponsabilidad con la Dirección Académica y facultades relacionadas con la planificación curricular institucional.
</t>
    </r>
    <r>
      <rPr>
        <b/>
        <sz val="9"/>
        <color theme="1"/>
        <rFont val="Century Schoolbook"/>
        <family val="1"/>
      </rPr>
      <t>2.-</t>
    </r>
    <r>
      <rPr>
        <sz val="10"/>
        <color theme="1"/>
        <rFont val="Arial Narrow"/>
        <family val="2"/>
      </rPr>
      <t xml:space="preserve"> Diseñar el plan de acciones que consideren el desarrollo y actualización de la planificación curricular institucional.
</t>
    </r>
    <r>
      <rPr>
        <b/>
        <sz val="9"/>
        <color theme="1"/>
        <rFont val="Century Schoolbook"/>
        <family val="1"/>
      </rPr>
      <t>3.-</t>
    </r>
    <r>
      <rPr>
        <sz val="10"/>
        <color theme="1"/>
        <rFont val="Arial Narrow"/>
        <family val="2"/>
      </rPr>
      <t xml:space="preserve"> Ejecutar el plan de acciones para el desarrollo y actualización de la planificación curricular institucional.
</t>
    </r>
    <r>
      <rPr>
        <b/>
        <sz val="9"/>
        <color theme="1"/>
        <rFont val="Century Schoolbook"/>
        <family val="1"/>
      </rPr>
      <t>4.-</t>
    </r>
    <r>
      <rPr>
        <sz val="10"/>
        <color theme="1"/>
        <rFont val="Arial Narrow"/>
        <family val="2"/>
      </rPr>
      <t xml:space="preserve"> Evaluar el plan de acciones para el desarrollo y actualización de la planificación curricular institucional.</t>
    </r>
  </si>
  <si>
    <r>
      <rPr>
        <b/>
        <sz val="9"/>
        <color theme="1"/>
        <rFont val="Century Schoolbook"/>
        <family val="1"/>
      </rPr>
      <t>1.-</t>
    </r>
    <r>
      <rPr>
        <sz val="10"/>
        <color theme="1"/>
        <rFont val="Arial Narrow"/>
        <family val="2"/>
      </rPr>
      <t xml:space="preserve"> Coordinar con las facultades  el levantamiento de estudios de pertinencia e innovación de los perfiles
profesionales.
</t>
    </r>
    <r>
      <rPr>
        <b/>
        <sz val="9"/>
        <color theme="1"/>
        <rFont val="Century Schoolbook"/>
        <family val="1"/>
      </rPr>
      <t>2.-</t>
    </r>
    <r>
      <rPr>
        <sz val="10"/>
        <color theme="1"/>
        <rFont val="Arial Narrow"/>
        <family val="2"/>
      </rPr>
      <t xml:space="preserve"> Diseñar la planificación para el levantamiento de estudio de pertinencia e innovación de los perfiles profesionales, para aprobación.
</t>
    </r>
    <r>
      <rPr>
        <b/>
        <sz val="9"/>
        <color theme="1"/>
        <rFont val="Century Schoolbook"/>
        <family val="1"/>
      </rPr>
      <t>3.-</t>
    </r>
    <r>
      <rPr>
        <sz val="10"/>
        <color theme="1"/>
        <rFont val="Arial Narrow"/>
        <family val="2"/>
      </rPr>
      <t xml:space="preserve"> Ejecutar la planificación para el levantamiento de estudio de pertinencia e innovación de los perfiles profesionales.</t>
    </r>
  </si>
  <si>
    <r>
      <rPr>
        <b/>
        <sz val="9"/>
        <color theme="1"/>
        <rFont val="Century Schoolbook"/>
        <family val="1"/>
      </rPr>
      <t>1.-</t>
    </r>
    <r>
      <rPr>
        <sz val="10"/>
        <color theme="1"/>
        <rFont val="Arial Narrow"/>
        <family val="2"/>
      </rPr>
      <t xml:space="preserve"> Coordinar con la Unidad de Nivelación y Admisión, y con la Dirección Académica, las acciones relacionadas con el  Proceso de nivelación y admisión.
</t>
    </r>
    <r>
      <rPr>
        <b/>
        <sz val="9"/>
        <color theme="1"/>
        <rFont val="Century Schoolbook"/>
        <family val="1"/>
      </rPr>
      <t>2.-</t>
    </r>
    <r>
      <rPr>
        <sz val="10"/>
        <color theme="1"/>
        <rFont val="Arial Narrow"/>
        <family val="2"/>
      </rPr>
      <t xml:space="preserve"> Solicitar a la Unidad de Nivelación y Admisión la planificación para el Proceso de nivelación y admisión, para aprobación.
</t>
    </r>
    <r>
      <rPr>
        <b/>
        <sz val="9"/>
        <color theme="1"/>
        <rFont val="Century Schoolbook"/>
        <family val="1"/>
      </rPr>
      <t>3.-</t>
    </r>
    <r>
      <rPr>
        <sz val="10"/>
        <color theme="1"/>
        <rFont val="Arial Narrow"/>
        <family val="2"/>
      </rPr>
      <t xml:space="preserve"> Solicitar el informe del nivel de cumplimiento de la planificación para el  Proceso de nivelación y admisión.</t>
    </r>
  </si>
  <si>
    <r>
      <rPr>
        <b/>
        <sz val="9"/>
        <color theme="1"/>
        <rFont val="Century Schoolbook"/>
        <family val="1"/>
      </rPr>
      <t>1.-</t>
    </r>
    <r>
      <rPr>
        <sz val="10"/>
        <color theme="1"/>
        <rFont val="Arial Narrow"/>
        <family val="2"/>
      </rPr>
      <t xml:space="preserve"> Diseñar el plan de levantamiento de información relacionado con la identificación de las líneas de investigación formativa por carrera y PPA, para aprobación.
</t>
    </r>
    <r>
      <rPr>
        <b/>
        <sz val="9"/>
        <color theme="1"/>
        <rFont val="Century Schoolbook"/>
        <family val="1"/>
      </rPr>
      <t>2.-</t>
    </r>
    <r>
      <rPr>
        <sz val="10"/>
        <color theme="1"/>
        <rFont val="Arial Narrow"/>
        <family val="2"/>
      </rPr>
      <t xml:space="preserve"> Ejecutar las actividades contempladas en el Plan de líneas de investigación formativa.
</t>
    </r>
    <r>
      <rPr>
        <b/>
        <sz val="9"/>
        <color theme="1"/>
        <rFont val="Century Schoolbook"/>
        <family val="1"/>
      </rPr>
      <t>3.-</t>
    </r>
    <r>
      <rPr>
        <sz val="10"/>
        <color theme="1"/>
        <rFont val="Arial Narrow"/>
        <family val="2"/>
      </rPr>
      <t xml:space="preserve"> Consolidar los resultados de levantamiento de información para construir el Informe final de Líneas de Investigación Formativa de tercer nivel y PPA, para aprobación.</t>
    </r>
  </si>
  <si>
    <r>
      <rPr>
        <b/>
        <sz val="9"/>
        <color theme="1"/>
        <rFont val="Century Schoolbook"/>
        <family val="1"/>
      </rPr>
      <t>1.-</t>
    </r>
    <r>
      <rPr>
        <sz val="10"/>
        <color theme="1"/>
        <rFont val="Arial Narrow"/>
        <family val="2"/>
      </rPr>
      <t xml:space="preserve"> Diseñar el plan de levantamiento de información relacionado con la identificación de las actividades académicas complementarias por carrera, para aprobación.
</t>
    </r>
    <r>
      <rPr>
        <b/>
        <sz val="9"/>
        <color theme="1"/>
        <rFont val="Century Schoolbook"/>
        <family val="1"/>
      </rPr>
      <t>2.-</t>
    </r>
    <r>
      <rPr>
        <sz val="10"/>
        <color theme="1"/>
        <rFont val="Arial Narrow"/>
        <family val="2"/>
      </rPr>
      <t xml:space="preserve"> Ejecutar las actividades contempladas en el Plan de actividades académicas complementarias por carrera.
</t>
    </r>
    <r>
      <rPr>
        <b/>
        <sz val="9"/>
        <color theme="1"/>
        <rFont val="Century Schoolbook"/>
        <family val="1"/>
      </rPr>
      <t>3.-</t>
    </r>
    <r>
      <rPr>
        <sz val="10"/>
        <color theme="1"/>
        <rFont val="Arial Narrow"/>
        <family val="2"/>
      </rPr>
      <t xml:space="preserve"> Consolidar los resultados de levantamiento de información para construir el Informe final de actividades complementarias por carrera para aprobación.</t>
    </r>
  </si>
  <si>
    <r>
      <rPr>
        <b/>
        <sz val="9"/>
        <color theme="1"/>
        <rFont val="Century Schoolbook"/>
        <family val="1"/>
      </rPr>
      <t>1.-</t>
    </r>
    <r>
      <rPr>
        <sz val="10"/>
        <color theme="1"/>
        <rFont val="Arial Narrow"/>
        <family val="2"/>
      </rPr>
      <t xml:space="preserve"> Diseñar el cronograma para la evaluación integral del desempeño docente, para aprobación.
</t>
    </r>
    <r>
      <rPr>
        <b/>
        <sz val="9"/>
        <color theme="1"/>
        <rFont val="Century Schoolbook"/>
        <family val="1"/>
      </rPr>
      <t>2.-</t>
    </r>
    <r>
      <rPr>
        <sz val="10"/>
        <color theme="1"/>
        <rFont val="Arial Narrow"/>
        <family val="2"/>
      </rPr>
      <t xml:space="preserve"> Supervisar  la ejecución de las actividades contempladas en el cronograma para la evaluación integral del desempeño docente.
</t>
    </r>
    <r>
      <rPr>
        <b/>
        <sz val="9"/>
        <color theme="1"/>
        <rFont val="Century Schoolbook"/>
        <family val="1"/>
      </rPr>
      <t>3.-</t>
    </r>
    <r>
      <rPr>
        <sz val="10"/>
        <color theme="1"/>
        <rFont val="Arial Narrow"/>
        <family val="2"/>
      </rPr>
      <t xml:space="preserve"> Diseñar el informe de resultados de la evaluación integral del desempeño docente, para aprobación.</t>
    </r>
  </si>
  <si>
    <r>
      <rPr>
        <b/>
        <sz val="9"/>
        <color theme="1"/>
        <rFont val="Century Schoolbook"/>
        <family val="1"/>
      </rPr>
      <t>1.-</t>
    </r>
    <r>
      <rPr>
        <sz val="10"/>
        <color theme="1"/>
        <rFont val="Arial Narrow"/>
        <family val="2"/>
      </rPr>
      <t xml:space="preserve"> Diseñar el cronograma para la gestión del Plan de Perfeccionamiento Académico, para aprobación.
</t>
    </r>
    <r>
      <rPr>
        <b/>
        <sz val="9"/>
        <color theme="1"/>
        <rFont val="Century Schoolbook"/>
        <family val="1"/>
      </rPr>
      <t>2.-</t>
    </r>
    <r>
      <rPr>
        <sz val="10"/>
        <color theme="1"/>
        <rFont val="Arial Narrow"/>
        <family val="2"/>
      </rPr>
      <t xml:space="preserve"> Diseñar el Plan de Perfeccionamiento Académico, para aprobación.
</t>
    </r>
    <r>
      <rPr>
        <b/>
        <sz val="9"/>
        <color theme="1"/>
        <rFont val="Century Schoolbook"/>
        <family val="1"/>
      </rPr>
      <t>3.-</t>
    </r>
    <r>
      <rPr>
        <sz val="10"/>
        <color theme="1"/>
        <rFont val="Arial Narrow"/>
        <family val="2"/>
      </rPr>
      <t xml:space="preserve"> Supervisar  la ejecución de las actividades contempladas en el Plan de Perfeccionamiento Académico.
</t>
    </r>
    <r>
      <rPr>
        <b/>
        <sz val="9"/>
        <color theme="1"/>
        <rFont val="Century Schoolbook"/>
        <family val="1"/>
      </rPr>
      <t>4.-</t>
    </r>
    <r>
      <rPr>
        <sz val="10"/>
        <color theme="1"/>
        <rFont val="Arial Narrow"/>
        <family val="2"/>
      </rPr>
      <t xml:space="preserve"> Diseñar el informe de resultados de la ejecución del Plan de Perfeccionamiento Académico, para aprobación.</t>
    </r>
  </si>
  <si>
    <r>
      <rPr>
        <b/>
        <sz val="9"/>
        <color theme="1"/>
        <rFont val="Century Schoolbook"/>
        <family val="1"/>
      </rPr>
      <t>1.-</t>
    </r>
    <r>
      <rPr>
        <sz val="10"/>
        <color theme="1"/>
        <rFont val="Arial Narrow"/>
        <family val="2"/>
      </rPr>
      <t xml:space="preserve"> Participar en la comisión de revisión de instrumentos de evaluación.
</t>
    </r>
    <r>
      <rPr>
        <b/>
        <sz val="9"/>
        <color theme="1"/>
        <rFont val="Century Schoolbook"/>
        <family val="1"/>
      </rPr>
      <t>2.-</t>
    </r>
    <r>
      <rPr>
        <sz val="10"/>
        <color theme="1"/>
        <rFont val="Arial Narrow"/>
        <family val="2"/>
      </rPr>
      <t xml:space="preserve"> Supervisar la ejecución del proceso de evaluación.
</t>
    </r>
    <r>
      <rPr>
        <b/>
        <sz val="9"/>
        <color theme="1"/>
        <rFont val="Century Schoolbook"/>
        <family val="1"/>
      </rPr>
      <t>3.-</t>
    </r>
    <r>
      <rPr>
        <sz val="10"/>
        <color theme="1"/>
        <rFont val="Arial Narrow"/>
        <family val="2"/>
      </rPr>
      <t xml:space="preserve"> Presentar informes con resultados de evaluación.</t>
    </r>
  </si>
  <si>
    <r>
      <rPr>
        <b/>
        <sz val="9"/>
        <color theme="1"/>
        <rFont val="Century Schoolbook"/>
        <family val="1"/>
      </rPr>
      <t>1.-</t>
    </r>
    <r>
      <rPr>
        <sz val="10"/>
        <color theme="1"/>
        <rFont val="Arial Narrow"/>
        <family val="2"/>
      </rPr>
      <t xml:space="preserve"> Analizar el informe aprobado de resultados de la evaluación integral del desempeño docente.
</t>
    </r>
    <r>
      <rPr>
        <b/>
        <sz val="9"/>
        <color theme="1"/>
        <rFont val="Century Schoolbook"/>
        <family val="1"/>
      </rPr>
      <t>2.-</t>
    </r>
    <r>
      <rPr>
        <sz val="10"/>
        <color theme="1"/>
        <rFont val="Arial Narrow"/>
        <family val="2"/>
      </rPr>
      <t xml:space="preserve"> Diseñar el plan de capacitación para el personal académico con base en los resultados de la evaluación integral del desempeño docente, para aprobación.
</t>
    </r>
    <r>
      <rPr>
        <b/>
        <sz val="9"/>
        <color theme="1"/>
        <rFont val="Century Schoolbook"/>
        <family val="1"/>
      </rPr>
      <t>3.-</t>
    </r>
    <r>
      <rPr>
        <sz val="10"/>
        <color theme="1"/>
        <rFont val="Arial Narrow"/>
        <family val="2"/>
      </rPr>
      <t xml:space="preserve"> Supervisar la ejecución del plan de capacitación para el personal académico con base en los resultados de la evaluación integral del desempeño docente.
</t>
    </r>
    <r>
      <rPr>
        <b/>
        <sz val="9"/>
        <color theme="1"/>
        <rFont val="Century Schoolbook"/>
        <family val="1"/>
      </rPr>
      <t>4.-</t>
    </r>
    <r>
      <rPr>
        <sz val="10"/>
        <color theme="1"/>
        <rFont val="Arial Narrow"/>
        <family val="2"/>
      </rPr>
      <t xml:space="preserve"> Diseñar el informe de resultados de la ejecución del plan de capacitación para el personal académico con base en los resultados de la evaluación integral del desempeño docente, para aprobación.</t>
    </r>
  </si>
  <si>
    <r>
      <rPr>
        <b/>
        <sz val="9"/>
        <color theme="1"/>
        <rFont val="Century Schoolbook"/>
        <family val="1"/>
      </rPr>
      <t>1.-</t>
    </r>
    <r>
      <rPr>
        <sz val="10"/>
        <color theme="1"/>
        <rFont val="Arial Narrow"/>
        <family val="2"/>
      </rPr>
      <t xml:space="preserve"> Seleccionar y clasificar la documentación.
</t>
    </r>
    <r>
      <rPr>
        <b/>
        <sz val="9"/>
        <color theme="1"/>
        <rFont val="Century Schoolbook"/>
        <family val="1"/>
      </rPr>
      <t>2.-</t>
    </r>
    <r>
      <rPr>
        <sz val="10"/>
        <color theme="1"/>
        <rFont val="Arial Narrow"/>
        <family val="2"/>
      </rPr>
      <t xml:space="preserve"> Describir la documentación según la norma ISAD-G.
</t>
    </r>
    <r>
      <rPr>
        <b/>
        <sz val="9"/>
        <color theme="1"/>
        <rFont val="Century Schoolbook"/>
        <family val="1"/>
      </rPr>
      <t>3.-</t>
    </r>
    <r>
      <rPr>
        <sz val="10"/>
        <color theme="1"/>
        <rFont val="Arial Narrow"/>
        <family val="2"/>
      </rPr>
      <t xml:space="preserve"> Preservar la documentación en las unidades de almacenamiento.</t>
    </r>
  </si>
  <si>
    <r>
      <rPr>
        <b/>
        <sz val="9"/>
        <color theme="1"/>
        <rFont val="Century Schoolbook"/>
        <family val="1"/>
      </rPr>
      <t>1.-</t>
    </r>
    <r>
      <rPr>
        <sz val="10"/>
        <color theme="1"/>
        <rFont val="Arial Narrow"/>
        <family val="2"/>
      </rPr>
      <t xml:space="preserve"> Redactar y enviar Oficios relacionados al Informe del Proceso de Admisión de la UTMACH.
</t>
    </r>
    <r>
      <rPr>
        <b/>
        <sz val="9"/>
        <color theme="1"/>
        <rFont val="Century Schoolbook"/>
        <family val="1"/>
      </rPr>
      <t>2.-</t>
    </r>
    <r>
      <rPr>
        <sz val="10"/>
        <color theme="1"/>
        <rFont val="Arial Narrow"/>
        <family val="2"/>
      </rPr>
      <t xml:space="preserve"> Recibir Oficios relacionados al Proceso de Admisión de la UTMACH.
</t>
    </r>
    <r>
      <rPr>
        <b/>
        <sz val="9"/>
        <color theme="1"/>
        <rFont val="Century Schoolbook"/>
        <family val="1"/>
      </rPr>
      <t>3.-</t>
    </r>
    <r>
      <rPr>
        <sz val="10"/>
        <color theme="1"/>
        <rFont val="Arial Narrow"/>
        <family val="2"/>
      </rPr>
      <t xml:space="preserve"> Realizar Reuniones con el personal de Dirección de Formación Profesional, Dirección Académica y Vicerrectorado Académico y demás funcionarios involucrados para la ejecución de la aplicación del Proceso de Admisión de la UTMACH.
</t>
    </r>
    <r>
      <rPr>
        <b/>
        <sz val="9"/>
        <color theme="1"/>
        <rFont val="Century Schoolbook"/>
        <family val="1"/>
      </rPr>
      <t>4.-</t>
    </r>
    <r>
      <rPr>
        <sz val="10"/>
        <color theme="1"/>
        <rFont val="Arial Narrow"/>
        <family val="2"/>
      </rPr>
      <t xml:space="preserve"> Asistir a reuniones con SENESCYT relacionadas al Proceso de Admisión de la UTMACH.
</t>
    </r>
    <r>
      <rPr>
        <b/>
        <sz val="9"/>
        <color theme="1"/>
        <rFont val="Century Schoolbook"/>
        <family val="1"/>
      </rPr>
      <t>5.-</t>
    </r>
    <r>
      <rPr>
        <sz val="10"/>
        <color theme="1"/>
        <rFont val="Arial Narrow"/>
        <family val="2"/>
      </rPr>
      <t xml:space="preserve"> Coordinar la aplicación del Proceso de Admisión de la UTMACH.
</t>
    </r>
    <r>
      <rPr>
        <b/>
        <sz val="9"/>
        <color theme="1"/>
        <rFont val="Century Schoolbook"/>
        <family val="1"/>
      </rPr>
      <t>6.-</t>
    </r>
    <r>
      <rPr>
        <sz val="10"/>
        <color theme="1"/>
        <rFont val="Arial Narrow"/>
        <family val="2"/>
      </rPr>
      <t xml:space="preserve"> Socializar el Proceso de Admisión.</t>
    </r>
  </si>
  <si>
    <r>
      <rPr>
        <b/>
        <sz val="9"/>
        <color theme="1"/>
        <rFont val="Century Schoolbook"/>
        <family val="1"/>
      </rPr>
      <t>1.-</t>
    </r>
    <r>
      <rPr>
        <sz val="10"/>
        <color theme="1"/>
        <rFont val="Arial Narrow"/>
        <family val="2"/>
      </rPr>
      <t xml:space="preserve"> Revisar y preparar los diferentes laboratorios de cómputo para la aplicación del Proceso de Admisión.
</t>
    </r>
    <r>
      <rPr>
        <b/>
        <sz val="9"/>
        <color theme="1"/>
        <rFont val="Century Schoolbook"/>
        <family val="1"/>
      </rPr>
      <t>2.-</t>
    </r>
    <r>
      <rPr>
        <sz val="10"/>
        <color theme="1"/>
        <rFont val="Arial Narrow"/>
        <family val="2"/>
      </rPr>
      <t xml:space="preserve"> Coordinar con la Dirección de Formación Profesional la elaboración de los reactivos para la ejecución de la prueba de admisión.
</t>
    </r>
    <r>
      <rPr>
        <b/>
        <sz val="9"/>
        <color theme="1"/>
        <rFont val="Century Schoolbook"/>
        <family val="1"/>
      </rPr>
      <t>3.-</t>
    </r>
    <r>
      <rPr>
        <sz val="10"/>
        <color theme="1"/>
        <rFont val="Arial Narrow"/>
        <family val="2"/>
      </rPr>
      <t xml:space="preserve"> Aplicación de la Prueba de Admisión de la UTMACH.</t>
    </r>
  </si>
  <si>
    <r>
      <rPr>
        <b/>
        <sz val="9"/>
        <color theme="1"/>
        <rFont val="Century Schoolbook"/>
        <family val="1"/>
      </rPr>
      <t>1.-</t>
    </r>
    <r>
      <rPr>
        <sz val="10"/>
        <color theme="1"/>
        <rFont val="Arial Narrow"/>
        <family val="2"/>
      </rPr>
      <t xml:space="preserve"> Recopilar las evidencias para la evaluación del POA </t>
    </r>
    <r>
      <rPr>
        <sz val="10"/>
        <color theme="1"/>
        <rFont val="Century Schoolbook"/>
        <family val="1"/>
      </rPr>
      <t>2023.</t>
    </r>
    <r>
      <rPr>
        <sz val="10"/>
        <color theme="1"/>
        <rFont val="Arial Narrow"/>
        <family val="2"/>
      </rPr>
      <t xml:space="preserve">
</t>
    </r>
    <r>
      <rPr>
        <b/>
        <sz val="9"/>
        <color theme="1"/>
        <rFont val="Century Schoolbook"/>
        <family val="1"/>
      </rPr>
      <t>2.-</t>
    </r>
    <r>
      <rPr>
        <sz val="10"/>
        <color theme="1"/>
        <rFont val="Arial Narrow"/>
        <family val="2"/>
      </rPr>
      <t xml:space="preserve"> Elaboración del POA </t>
    </r>
    <r>
      <rPr>
        <sz val="10"/>
        <color theme="1"/>
        <rFont val="Century Schoolbook"/>
        <family val="1"/>
      </rPr>
      <t>2024.</t>
    </r>
  </si>
  <si>
    <r>
      <rPr>
        <b/>
        <sz val="9"/>
        <color theme="1"/>
        <rFont val="Century Schoolbook"/>
        <family val="1"/>
      </rPr>
      <t>1.-</t>
    </r>
    <r>
      <rPr>
        <sz val="10"/>
        <color theme="1"/>
        <rFont val="Arial Narrow"/>
        <family val="2"/>
      </rPr>
      <t xml:space="preserve"> Reporte de comunicaciones enviadas y recibidas por la UNIDAD DE NIVELACIÓN Y ADMISIÓN de la UTMACH.</t>
    </r>
  </si>
  <si>
    <r>
      <t xml:space="preserve">
</t>
    </r>
    <r>
      <rPr>
        <b/>
        <sz val="9"/>
        <color theme="1"/>
        <rFont val="Century Schoolbook"/>
        <family val="1"/>
      </rPr>
      <t>1.-</t>
    </r>
    <r>
      <rPr>
        <sz val="10"/>
        <color theme="1"/>
        <rFont val="Arial Narrow"/>
        <family val="2"/>
      </rPr>
      <t xml:space="preserve"> Evaluación del POA </t>
    </r>
    <r>
      <rPr>
        <sz val="10"/>
        <color theme="1"/>
        <rFont val="Century Schoolbook"/>
        <family val="1"/>
      </rPr>
      <t>2023</t>
    </r>
    <r>
      <rPr>
        <sz val="10"/>
        <color theme="1"/>
        <rFont val="Arial Narrow"/>
        <family val="2"/>
      </rPr>
      <t xml:space="preserve">.
</t>
    </r>
    <r>
      <rPr>
        <b/>
        <sz val="9"/>
        <color theme="1"/>
        <rFont val="Century Schoolbook"/>
        <family val="1"/>
      </rPr>
      <t>2.-</t>
    </r>
    <r>
      <rPr>
        <sz val="10"/>
        <color theme="1"/>
        <rFont val="Arial Narrow"/>
        <family val="2"/>
      </rPr>
      <t xml:space="preserve"> POA </t>
    </r>
    <r>
      <rPr>
        <sz val="10"/>
        <color theme="1"/>
        <rFont val="Century Schoolbook"/>
        <family val="1"/>
      </rPr>
      <t>2024.</t>
    </r>
  </si>
  <si>
    <r>
      <rPr>
        <b/>
        <sz val="9"/>
        <color theme="1"/>
        <rFont val="Century Schoolbook"/>
        <family val="1"/>
      </rPr>
      <t>1.-</t>
    </r>
    <r>
      <rPr>
        <sz val="10"/>
        <color theme="1"/>
        <rFont val="Arial Narrow"/>
        <family val="2"/>
      </rPr>
      <t xml:space="preserve"> Registro de atención al usuario firmada manualmente.
</t>
    </r>
    <r>
      <rPr>
        <b/>
        <sz val="9"/>
        <color theme="1"/>
        <rFont val="Century Schoolbook"/>
        <family val="1"/>
      </rPr>
      <t>2.-</t>
    </r>
    <r>
      <rPr>
        <sz val="10"/>
        <color theme="1"/>
        <rFont val="Arial Narrow"/>
        <family val="2"/>
      </rPr>
      <t xml:space="preserve"> Capture de los correos que hemos emitido sobre las consultas que realizan los aspirantes al correo departamental de Nivelación y Admisión de la UTMACH.</t>
    </r>
  </si>
  <si>
    <r>
      <rPr>
        <b/>
        <sz val="9"/>
        <color theme="1"/>
        <rFont val="Century Schoolbook"/>
        <family val="1"/>
      </rPr>
      <t>1.-</t>
    </r>
    <r>
      <rPr>
        <sz val="10"/>
        <color theme="1"/>
        <rFont val="Arial Narrow"/>
        <family val="2"/>
      </rPr>
      <t xml:space="preserve"> Registro de Asistencia de las reuniones relacionadas a la implementación del proceso.
</t>
    </r>
    <r>
      <rPr>
        <b/>
        <sz val="9"/>
        <color theme="1"/>
        <rFont val="Century Schoolbook"/>
        <family val="1"/>
      </rPr>
      <t>2.-</t>
    </r>
    <r>
      <rPr>
        <sz val="10"/>
        <color theme="1"/>
        <rFont val="Arial Narrow"/>
        <family val="2"/>
      </rPr>
      <t xml:space="preserve"> Instructivo con la DIRECTRICES para la implementación del PROCESO DE ADMISIÓN DE LA UTMACH.</t>
    </r>
  </si>
  <si>
    <r>
      <rPr>
        <b/>
        <sz val="9"/>
        <color theme="1"/>
        <rFont val="Century Schoolbook"/>
        <family val="1"/>
      </rPr>
      <t>1.-</t>
    </r>
    <r>
      <rPr>
        <sz val="10"/>
        <color theme="1"/>
        <rFont val="Arial Narrow"/>
        <family val="2"/>
      </rPr>
      <t xml:space="preserve"> Informe Técnico del proceso de admisión y/o nivelación de la UTMACH.</t>
    </r>
  </si>
  <si>
    <r>
      <rPr>
        <b/>
        <sz val="9"/>
        <color theme="1"/>
        <rFont val="Century Schoolbook"/>
        <family val="1"/>
      </rPr>
      <t>1.-</t>
    </r>
    <r>
      <rPr>
        <sz val="10"/>
        <color theme="1"/>
        <rFont val="Arial Narrow"/>
        <family val="2"/>
      </rPr>
      <t xml:space="preserve"> Oficios recibidos de la Facultades del número de laboratorios de cómputo activos para la aplicación del Proceso de Admisión.
</t>
    </r>
    <r>
      <rPr>
        <b/>
        <sz val="9"/>
        <color theme="1"/>
        <rFont val="Century Schoolbook"/>
        <family val="1"/>
      </rPr>
      <t>2.-</t>
    </r>
    <r>
      <rPr>
        <sz val="10"/>
        <color theme="1"/>
        <rFont val="Arial Narrow"/>
        <family val="2"/>
      </rPr>
      <t xml:space="preserve"> Informe Resultados de la Aplicación de las Pruebas de Admisión de la UTMACH.</t>
    </r>
  </si>
  <si>
    <r>
      <rPr>
        <b/>
        <sz val="9"/>
        <color theme="1"/>
        <rFont val="Century Schoolbook"/>
        <family val="1"/>
      </rPr>
      <t>1.-</t>
    </r>
    <r>
      <rPr>
        <sz val="10"/>
        <color theme="1"/>
        <rFont val="Arial Narrow"/>
        <family val="2"/>
      </rPr>
      <t xml:space="preserve"> Oficios recibidos, correos electrónicos de los colegios invitando a la difusión de la Oferta Académica.
</t>
    </r>
    <r>
      <rPr>
        <b/>
        <sz val="9"/>
        <color theme="1"/>
        <rFont val="Century Schoolbook"/>
        <family val="1"/>
      </rPr>
      <t>2.-</t>
    </r>
    <r>
      <rPr>
        <sz val="10"/>
        <color theme="1"/>
        <rFont val="Arial Narrow"/>
        <family val="2"/>
      </rPr>
      <t xml:space="preserve"> Captura de pantalla, enlaces de acceso de las redes oficiales, y publicaciones en la que la Unidad Nivelación y Admisión ha desarrollado las diferentes difusiones de las Oferta Académica de la UTMACH.</t>
    </r>
  </si>
  <si>
    <r>
      <rPr>
        <b/>
        <sz val="9"/>
        <color theme="1"/>
        <rFont val="Century Schoolbook"/>
        <family val="1"/>
      </rPr>
      <t>1.-</t>
    </r>
    <r>
      <rPr>
        <sz val="10"/>
        <color theme="1"/>
        <rFont val="Arial Narrow"/>
        <family val="2"/>
      </rPr>
      <t xml:space="preserve"> Archivo generado de la Oferta Académica de las carreras vigentes de la Universidad Técnica de Machala.
</t>
    </r>
    <r>
      <rPr>
        <b/>
        <sz val="9"/>
        <color theme="1"/>
        <rFont val="Century Schoolbook"/>
        <family val="1"/>
      </rPr>
      <t>2.-</t>
    </r>
    <r>
      <rPr>
        <sz val="10"/>
        <color theme="1"/>
        <rFont val="Arial Narrow"/>
        <family val="2"/>
      </rPr>
      <t xml:space="preserve"> Oficios enviados a la Dirección de Formación Profesional y al Señor Rector para la firma de la Oferta Académica de la UTMACH generada por la plataforma de SENESCYT.
</t>
    </r>
    <r>
      <rPr>
        <b/>
        <sz val="9"/>
        <color theme="1"/>
        <rFont val="Century Schoolbook"/>
        <family val="1"/>
      </rPr>
      <t>3.-</t>
    </r>
    <r>
      <rPr>
        <sz val="10"/>
        <color theme="1"/>
        <rFont val="Arial Narrow"/>
        <family val="2"/>
      </rPr>
      <t xml:space="preserve"> Oferta Académica firmada por el Señor Rector en el que detalla las carreras vigentes de la Universidad Técnica de Machala.
</t>
    </r>
    <r>
      <rPr>
        <b/>
        <sz val="9"/>
        <color theme="1"/>
        <rFont val="Century Schoolbook"/>
        <family val="1"/>
      </rPr>
      <t>4.-</t>
    </r>
    <r>
      <rPr>
        <sz val="10"/>
        <color theme="1"/>
        <rFont val="Arial Narrow"/>
        <family val="2"/>
      </rPr>
      <t xml:space="preserve"> Captura de pantalla de la constancia de la subida de la Oferta Académica de la UTMACH en la plataforma de SENESCYT.
</t>
    </r>
    <r>
      <rPr>
        <b/>
        <sz val="9"/>
        <color theme="1"/>
        <rFont val="Century Schoolbook"/>
        <family val="1"/>
      </rPr>
      <t>5.-</t>
    </r>
    <r>
      <rPr>
        <sz val="10"/>
        <color theme="1"/>
        <rFont val="Arial Narrow"/>
        <family val="2"/>
      </rPr>
      <t xml:space="preserve"> Oficios enviados a la Dirección de Formación Profesional  y al Señor Rector indicando que se ha subido la Oferta Académica de la UTMACH a la plataforma de SENESCYT.</t>
    </r>
  </si>
  <si>
    <r>
      <rPr>
        <b/>
        <sz val="9"/>
        <color theme="1"/>
        <rFont val="Century Schoolbook"/>
        <family val="1"/>
      </rPr>
      <t>1.-</t>
    </r>
    <r>
      <rPr>
        <sz val="10"/>
        <color theme="1"/>
        <rFont val="Arial Narrow"/>
        <family val="2"/>
      </rPr>
      <t xml:space="preserve"> Oficios enviados relacionados al Proceso de Admisión de la UTMACH.
</t>
    </r>
    <r>
      <rPr>
        <b/>
        <sz val="9"/>
        <color theme="1"/>
        <rFont val="Century Schoolbook"/>
        <family val="1"/>
      </rPr>
      <t>2.-</t>
    </r>
    <r>
      <rPr>
        <sz val="10"/>
        <color theme="1"/>
        <rFont val="Arial Narrow"/>
        <family val="2"/>
      </rPr>
      <t xml:space="preserve"> Recibir Oficios relacionados al Proceso de Admisión de la UTMACH.
</t>
    </r>
    <r>
      <rPr>
        <b/>
        <sz val="9"/>
        <color theme="1"/>
        <rFont val="Century Schoolbook"/>
        <family val="1"/>
      </rPr>
      <t>3.-</t>
    </r>
    <r>
      <rPr>
        <sz val="10"/>
        <color theme="1"/>
        <rFont val="Arial Narrow"/>
        <family val="2"/>
      </rPr>
      <t xml:space="preserve"> Asistir a las reuniones relacionadas al Proceso de Admisión de la UTMACH.
</t>
    </r>
    <r>
      <rPr>
        <b/>
        <sz val="9"/>
        <color theme="1"/>
        <rFont val="Century Schoolbook"/>
        <family val="1"/>
      </rPr>
      <t>4.-</t>
    </r>
    <r>
      <rPr>
        <sz val="10"/>
        <color theme="1"/>
        <rFont val="Arial Narrow"/>
        <family val="2"/>
      </rPr>
      <t xml:space="preserve"> Registro de asistencia a la reuniones relacionadas al Proceso de Admisión de la UTMACH.
</t>
    </r>
    <r>
      <rPr>
        <b/>
        <sz val="9"/>
        <color theme="1"/>
        <rFont val="Century Schoolbook"/>
        <family val="1"/>
      </rPr>
      <t>5.-</t>
    </r>
    <r>
      <rPr>
        <sz val="10"/>
        <color theme="1"/>
        <rFont val="Arial Narrow"/>
        <family val="2"/>
      </rPr>
      <t xml:space="preserve"> Resolución de Consejo Universitario de la UTMACH en la que aprueba el Proceso de Admisión de la UTMACH.
</t>
    </r>
    <r>
      <rPr>
        <b/>
        <sz val="9"/>
        <color theme="1"/>
        <rFont val="Century Schoolbook"/>
        <family val="1"/>
      </rPr>
      <t>6.-</t>
    </r>
    <r>
      <rPr>
        <sz val="10"/>
        <color theme="1"/>
        <rFont val="Arial Narrow"/>
        <family val="2"/>
      </rPr>
      <t xml:space="preserve"> Fotografías y captura de pantalla de la socialización del Proceso de Admisión de la UTMACH.</t>
    </r>
  </si>
  <si>
    <r>
      <rPr>
        <b/>
        <sz val="9"/>
        <color theme="1"/>
        <rFont val="Century Schoolbook"/>
        <family val="1"/>
      </rPr>
      <t>1.-</t>
    </r>
    <r>
      <rPr>
        <sz val="10"/>
        <color theme="1"/>
        <rFont val="Arial Narrow"/>
        <family val="2"/>
      </rPr>
      <t xml:space="preserve"> Inventario documental organizado.</t>
    </r>
  </si>
  <si>
    <r>
      <rPr>
        <b/>
        <sz val="9"/>
        <color theme="1"/>
        <rFont val="Century Schoolbook"/>
        <family val="1"/>
      </rPr>
      <t>1.-</t>
    </r>
    <r>
      <rPr>
        <sz val="10"/>
        <color theme="1"/>
        <rFont val="Arial Narrow"/>
        <family val="2"/>
      </rPr>
      <t xml:space="preserve">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 POA </t>
    </r>
    <r>
      <rPr>
        <sz val="10"/>
        <color theme="1"/>
        <rFont val="Century Schoolbook"/>
        <family val="1"/>
      </rPr>
      <t>2023</t>
    </r>
    <r>
      <rPr>
        <sz val="10"/>
        <color theme="1"/>
        <rFont val="Arial Narrow"/>
        <family val="2"/>
      </rPr>
      <t>.</t>
    </r>
  </si>
  <si>
    <r>
      <rPr>
        <b/>
        <sz val="9"/>
        <color theme="1"/>
        <rFont val="Century Schoolbook"/>
        <family val="1"/>
      </rPr>
      <t>1.-</t>
    </r>
    <r>
      <rPr>
        <sz val="10"/>
        <color theme="1"/>
        <rFont val="Arial Narrow"/>
        <family val="2"/>
      </rPr>
      <t xml:space="preserve"> Plan de capacitación para el personal académico con base en los resultados de la evaluación integral del desempeño docente, aprobado.
</t>
    </r>
    <r>
      <rPr>
        <b/>
        <sz val="9"/>
        <color theme="1"/>
        <rFont val="Century Schoolbook"/>
        <family val="1"/>
      </rPr>
      <t>2.-</t>
    </r>
    <r>
      <rPr>
        <sz val="10"/>
        <color theme="1"/>
        <rFont val="Arial Narrow"/>
        <family val="2"/>
      </rPr>
      <t xml:space="preserve"> Informe de resultados de la ejecución del plan de capacitación para el personal académico con base en los resultados de la evaluación integral del desempeño docentes, aprobado.</t>
    </r>
  </si>
  <si>
    <r>
      <rPr>
        <b/>
        <sz val="9"/>
        <color theme="1"/>
        <rFont val="Century Schoolbook"/>
        <family val="1"/>
      </rPr>
      <t>1.-</t>
    </r>
    <r>
      <rPr>
        <sz val="10"/>
        <color theme="1"/>
        <rFont val="Arial Narrow"/>
        <family val="2"/>
      </rPr>
      <t xml:space="preserve"> Plan para determinar la factibilidad para la implementación de modalidades no presenciales, aprobado.
</t>
    </r>
    <r>
      <rPr>
        <b/>
        <sz val="9"/>
        <color theme="1"/>
        <rFont val="Century Schoolbook"/>
        <family val="1"/>
      </rPr>
      <t>2.-</t>
    </r>
    <r>
      <rPr>
        <sz val="10"/>
        <color theme="1"/>
        <rFont val="Arial Narrow"/>
        <family val="2"/>
      </rPr>
      <t xml:space="preserve"> Informe de factibilidad de modalidades no presenciales, aprobado.</t>
    </r>
  </si>
  <si>
    <r>
      <rPr>
        <b/>
        <sz val="9"/>
        <color theme="1"/>
        <rFont val="Century Schoolbook"/>
        <family val="1"/>
      </rPr>
      <t>1.-</t>
    </r>
    <r>
      <rPr>
        <sz val="10"/>
        <color theme="1"/>
        <rFont val="Arial Narrow"/>
        <family val="2"/>
      </rPr>
      <t xml:space="preserve"> Informe de resultados de evaluación.</t>
    </r>
  </si>
  <si>
    <r>
      <rPr>
        <b/>
        <sz val="9"/>
        <color theme="1"/>
        <rFont val="Century Schoolbook"/>
        <family val="1"/>
      </rPr>
      <t>1.-</t>
    </r>
    <r>
      <rPr>
        <sz val="10"/>
        <color theme="1"/>
        <rFont val="Arial Narrow"/>
        <family val="2"/>
      </rPr>
      <t xml:space="preserve"> Cronograma para la gestión del Plan de Perfeccionamiento Académico, aprobado.
</t>
    </r>
    <r>
      <rPr>
        <b/>
        <sz val="9"/>
        <color theme="1"/>
        <rFont val="Century Schoolbook"/>
        <family val="1"/>
      </rPr>
      <t>2.-</t>
    </r>
    <r>
      <rPr>
        <sz val="10"/>
        <color theme="1"/>
        <rFont val="Arial Narrow"/>
        <family val="2"/>
      </rPr>
      <t xml:space="preserve"> Plan de Perfeccionamiento Académico, aprobado.
</t>
    </r>
    <r>
      <rPr>
        <b/>
        <sz val="9"/>
        <color theme="1"/>
        <rFont val="Century Schoolbook"/>
        <family val="1"/>
      </rPr>
      <t>3.-</t>
    </r>
    <r>
      <rPr>
        <sz val="10"/>
        <color theme="1"/>
        <rFont val="Arial Narrow"/>
        <family val="2"/>
      </rPr>
      <t xml:space="preserve"> Informe de resultados de la ejecución del Plan de Perfeccionamiento Académico, aprobado.</t>
    </r>
  </si>
  <si>
    <r>
      <rPr>
        <b/>
        <sz val="9"/>
        <color theme="1"/>
        <rFont val="Century Schoolbook"/>
        <family val="1"/>
      </rPr>
      <t>1.-</t>
    </r>
    <r>
      <rPr>
        <sz val="10"/>
        <color theme="1"/>
        <rFont val="Arial Narrow"/>
        <family val="2"/>
      </rPr>
      <t xml:space="preserve"> Cronograma para la evaluación integral del desempeño docente, aprobado.
</t>
    </r>
    <r>
      <rPr>
        <b/>
        <sz val="9"/>
        <color theme="1"/>
        <rFont val="Century Schoolbook"/>
        <family val="1"/>
      </rPr>
      <t>2.-</t>
    </r>
    <r>
      <rPr>
        <sz val="10"/>
        <color theme="1"/>
        <rFont val="Arial Narrow"/>
        <family val="2"/>
      </rPr>
      <t xml:space="preserve"> Informe de resultados de la evaluación integral del desempeño docente, aprobado.</t>
    </r>
  </si>
  <si>
    <r>
      <rPr>
        <b/>
        <sz val="9"/>
        <color theme="1"/>
        <rFont val="Century Schoolbook"/>
        <family val="1"/>
      </rPr>
      <t>1.-</t>
    </r>
    <r>
      <rPr>
        <sz val="10"/>
        <color theme="1"/>
        <rFont val="Arial Narrow"/>
        <family val="2"/>
      </rPr>
      <t xml:space="preserve"> Plan de levantamiento de información para identificar las actividades académicas complementarias por carrera, aprobado.
</t>
    </r>
    <r>
      <rPr>
        <b/>
        <sz val="9"/>
        <color theme="1"/>
        <rFont val="Century Schoolbook"/>
        <family val="1"/>
      </rPr>
      <t>2.-</t>
    </r>
    <r>
      <rPr>
        <sz val="10"/>
        <color theme="1"/>
        <rFont val="Arial Narrow"/>
        <family val="2"/>
      </rPr>
      <t xml:space="preserve"> Informe Final de Actividades académicas complementarias, aprobado.</t>
    </r>
  </si>
  <si>
    <r>
      <rPr>
        <b/>
        <sz val="9"/>
        <color theme="1"/>
        <rFont val="Century Schoolbook"/>
        <family val="1"/>
      </rPr>
      <t>1.-</t>
    </r>
    <r>
      <rPr>
        <sz val="10"/>
        <color theme="1"/>
        <rFont val="Arial Narrow"/>
        <family val="2"/>
      </rPr>
      <t xml:space="preserve"> Plan de levantamiento de información para identificar las líneas de investigación formativa por carrera y PPA, aprobado.
</t>
    </r>
    <r>
      <rPr>
        <b/>
        <sz val="9"/>
        <color theme="1"/>
        <rFont val="Century Schoolbook"/>
        <family val="1"/>
      </rPr>
      <t>2.-</t>
    </r>
    <r>
      <rPr>
        <sz val="10"/>
        <color theme="1"/>
        <rFont val="Arial Narrow"/>
        <family val="2"/>
      </rPr>
      <t xml:space="preserve"> Informe Final de Líneas de Investigación Formativa de tercer nivel y PPA, aprobado.</t>
    </r>
  </si>
  <si>
    <r>
      <rPr>
        <b/>
        <sz val="9"/>
        <color theme="1"/>
        <rFont val="Century Schoolbook"/>
        <family val="1"/>
      </rPr>
      <t>1.-</t>
    </r>
    <r>
      <rPr>
        <sz val="10"/>
        <color theme="1"/>
        <rFont val="Arial Narrow"/>
        <family val="2"/>
      </rPr>
      <t xml:space="preserve"> Planificación para para el Proceso de nivelación y admisión.
</t>
    </r>
    <r>
      <rPr>
        <b/>
        <sz val="9"/>
        <color theme="1"/>
        <rFont val="Century Schoolbook"/>
        <family val="1"/>
      </rPr>
      <t>2.-</t>
    </r>
    <r>
      <rPr>
        <sz val="10"/>
        <color theme="1"/>
        <rFont val="Arial Narrow"/>
        <family val="2"/>
      </rPr>
      <t xml:space="preserve"> Informe del nivel de cumplimiento de la planificación para el Proceso de nivelación y admisión.</t>
    </r>
  </si>
  <si>
    <r>
      <rPr>
        <b/>
        <sz val="9"/>
        <color theme="1"/>
        <rFont val="Century Schoolbook"/>
        <family val="1"/>
      </rPr>
      <t>1.-</t>
    </r>
    <r>
      <rPr>
        <sz val="10"/>
        <color theme="1"/>
        <rFont val="Arial Narrow"/>
        <family val="2"/>
      </rPr>
      <t xml:space="preserve"> Planificación para el estudio de pertinencia e innovación de los perfiles profesionales.</t>
    </r>
  </si>
  <si>
    <r>
      <rPr>
        <b/>
        <sz val="9"/>
        <color theme="1"/>
        <rFont val="Century Schoolbook"/>
        <family val="1"/>
      </rPr>
      <t>1.-</t>
    </r>
    <r>
      <rPr>
        <sz val="10"/>
        <color theme="1"/>
        <rFont val="Arial Narrow"/>
        <family val="2"/>
      </rPr>
      <t xml:space="preserve"> Plan de acciones para el desarrollo y actualización de la planificación curricular institucional.
</t>
    </r>
    <r>
      <rPr>
        <b/>
        <sz val="9"/>
        <color theme="1"/>
        <rFont val="Century Schoolbook"/>
        <family val="1"/>
      </rPr>
      <t>2.-</t>
    </r>
    <r>
      <rPr>
        <sz val="10"/>
        <color theme="1"/>
        <rFont val="Arial Narrow"/>
        <family val="2"/>
      </rPr>
      <t xml:space="preserve"> Informe de seguimiento y control del desarrollo y actualización de la planificación curricular institucional.</t>
    </r>
  </si>
  <si>
    <r>
      <rPr>
        <b/>
        <sz val="9"/>
        <color theme="1"/>
        <rFont val="Century Schoolbook"/>
        <family val="1"/>
      </rPr>
      <t>1.-</t>
    </r>
    <r>
      <rPr>
        <sz val="10"/>
        <color theme="1"/>
        <rFont val="Arial Narrow"/>
        <family val="2"/>
      </rPr>
      <t xml:space="preserve"> Diseñar el plan para determinar la factibilidad para la implementación  de modalidades no presenciales, para aprobación.
</t>
    </r>
    <r>
      <rPr>
        <b/>
        <sz val="9"/>
        <color theme="1"/>
        <rFont val="Century Schoolbook"/>
        <family val="1"/>
      </rPr>
      <t>2.-</t>
    </r>
    <r>
      <rPr>
        <sz val="10"/>
        <color theme="1"/>
        <rFont val="Arial Narrow"/>
        <family val="2"/>
      </rPr>
      <t xml:space="preserve"> Ejecutar las actividades del plan de análisis de factibilidad para la implementación de modalidades no presenciales.
</t>
    </r>
    <r>
      <rPr>
        <b/>
        <sz val="9"/>
        <color theme="1"/>
        <rFont val="Century Schoolbook"/>
        <family val="1"/>
      </rPr>
      <t>3.-</t>
    </r>
    <r>
      <rPr>
        <sz val="10"/>
        <color theme="1"/>
        <rFont val="Arial Narrow"/>
        <family val="2"/>
      </rPr>
      <t xml:space="preserve"> Diseñar el informe de factibilidad de modalidades no presenciales, para aprobación.</t>
    </r>
  </si>
  <si>
    <r>
      <rPr>
        <b/>
        <sz val="9"/>
        <color theme="1"/>
        <rFont val="Century Schoolbook"/>
        <family val="1"/>
      </rPr>
      <t>1.-</t>
    </r>
    <r>
      <rPr>
        <sz val="10"/>
        <color theme="1"/>
        <rFont val="Arial Narrow"/>
        <family val="2"/>
      </rPr>
      <t xml:space="preserve"> Enviar Comunicación al Rector y Vicerrector Académica dando a conocer sobre el requerimiento de la oferta académica.
</t>
    </r>
    <r>
      <rPr>
        <b/>
        <sz val="9"/>
        <color theme="1"/>
        <rFont val="Century Schoolbook"/>
        <family val="1"/>
      </rPr>
      <t>2.-</t>
    </r>
    <r>
      <rPr>
        <sz val="10"/>
        <color theme="1"/>
        <rFont val="Arial Narrow"/>
        <family val="2"/>
      </rPr>
      <t xml:space="preserve"> Enviar comunicaciones a los Decanos  y subdecanos  solicitando la oferta académica de las cinco facultades de la UTMACH.
</t>
    </r>
    <r>
      <rPr>
        <b/>
        <sz val="9"/>
        <color theme="1"/>
        <rFont val="Century Schoolbook"/>
        <family val="1"/>
      </rPr>
      <t>3.-</t>
    </r>
    <r>
      <rPr>
        <sz val="10"/>
        <color theme="1"/>
        <rFont val="Arial Narrow"/>
        <family val="2"/>
      </rPr>
      <t xml:space="preserve"> Recibir comunicaciones  de las autoridades de la facultades de la UTMACH, indicando el número de  cupos que ofertará la facultades.
</t>
    </r>
    <r>
      <rPr>
        <b/>
        <sz val="9"/>
        <color theme="1"/>
        <rFont val="Century Schoolbook"/>
        <family val="1"/>
      </rPr>
      <t>4.-</t>
    </r>
    <r>
      <rPr>
        <sz val="10"/>
        <color theme="1"/>
        <rFont val="Arial Narrow"/>
        <family val="2"/>
      </rPr>
      <t xml:space="preserve"> Agendar la reunión con la principales autoridades y los decanos de la UTMACH, en la que se tratará sobre la oferta de cupos de las diferentes facultades.
</t>
    </r>
    <r>
      <rPr>
        <b/>
        <sz val="9"/>
        <color theme="1"/>
        <rFont val="Century Schoolbook"/>
        <family val="1"/>
      </rPr>
      <t>5.-</t>
    </r>
    <r>
      <rPr>
        <sz val="10"/>
        <color theme="1"/>
        <rFont val="Arial Narrow"/>
        <family val="2"/>
      </rPr>
      <t xml:space="preserve"> Convocar a una reunión mediante la Dirección de Formación Profesional  con la principales autoridades y los decanos de la UTMACH, en la que se tratará sobre la oferta de cupos de las diferentes facultades.
</t>
    </r>
    <r>
      <rPr>
        <b/>
        <sz val="9"/>
        <color theme="1"/>
        <rFont val="Century Schoolbook"/>
        <family val="1"/>
      </rPr>
      <t>6.-</t>
    </r>
    <r>
      <rPr>
        <sz val="10"/>
        <color theme="1"/>
        <rFont val="Arial Narrow"/>
        <family val="2"/>
      </rPr>
      <t xml:space="preserve"> Recibir comunicaciones de la Facultades de la UTMACH, (si hubiese un cambios de cupos en la oferta académicas en la diferentes facultades).</t>
    </r>
  </si>
  <si>
    <r>
      <rPr>
        <b/>
        <sz val="9"/>
        <color theme="1"/>
        <rFont val="Century Schoolbook"/>
        <family val="1"/>
      </rPr>
      <t>1.-</t>
    </r>
    <r>
      <rPr>
        <sz val="10"/>
        <color theme="1"/>
        <rFont val="Arial Narrow"/>
        <family val="2"/>
      </rPr>
      <t xml:space="preserve"> Oficios enviados  relacionados con el requerimiento de Oferta Académica de la UTMACH.
</t>
    </r>
    <r>
      <rPr>
        <b/>
        <sz val="9"/>
        <color theme="1"/>
        <rFont val="Century Schoolbook"/>
        <family val="1"/>
      </rPr>
      <t>2.-</t>
    </r>
    <r>
      <rPr>
        <sz val="10"/>
        <color theme="1"/>
        <rFont val="Arial Narrow"/>
        <family val="2"/>
      </rPr>
      <t xml:space="preserve"> Oficios recibidos de las diferentes Facultades en donde que detallan los cupos de la oferta académica de las carreras vigentes.
</t>
    </r>
    <r>
      <rPr>
        <b/>
        <sz val="9"/>
        <color theme="1"/>
        <rFont val="Century Schoolbook"/>
        <family val="1"/>
      </rPr>
      <t>3.-</t>
    </r>
    <r>
      <rPr>
        <sz val="10"/>
        <color theme="1"/>
        <rFont val="Arial Narrow"/>
        <family val="2"/>
      </rPr>
      <t xml:space="preserve"> Registro de asistencias a las diferentes reuniones  relacionadas a la Oferta Académica.
</t>
    </r>
    <r>
      <rPr>
        <b/>
        <sz val="9"/>
        <color theme="1"/>
        <rFont val="Century Schoolbook"/>
        <family val="1"/>
      </rPr>
      <t>4.-</t>
    </r>
    <r>
      <rPr>
        <sz val="10"/>
        <color theme="1"/>
        <rFont val="Arial Narrow"/>
        <family val="2"/>
      </rPr>
      <t xml:space="preserve"> Acuerdo de  confidencialidad de la Reunión relacionadas a la Oferta Académica de la UTMACH.
</t>
    </r>
    <r>
      <rPr>
        <b/>
        <sz val="9"/>
        <color theme="1"/>
        <rFont val="Century Schoolbook"/>
        <family val="1"/>
      </rPr>
      <t>5.-</t>
    </r>
    <r>
      <rPr>
        <sz val="10"/>
        <color theme="1"/>
        <rFont val="Arial Narrow"/>
        <family val="2"/>
      </rPr>
      <t xml:space="preserve"> Resumen de cupos de la Oferta Académica de la UTMACH.
</t>
    </r>
    <r>
      <rPr>
        <b/>
        <sz val="9"/>
        <color theme="1"/>
        <rFont val="Century Schoolbook"/>
        <family val="1"/>
      </rPr>
      <t>6.-</t>
    </r>
    <r>
      <rPr>
        <sz val="10"/>
        <color theme="1"/>
        <rFont val="Arial Narrow"/>
        <family val="2"/>
      </rPr>
      <t xml:space="preserve"> Oficio enviado al Rector  de la Oferta Académica de la UTMACH.</t>
    </r>
  </si>
  <si>
    <r>
      <rPr>
        <b/>
        <sz val="9"/>
        <color theme="1"/>
        <rFont val="Century Schoolbook"/>
        <family val="1"/>
      </rPr>
      <t>1.-</t>
    </r>
    <r>
      <rPr>
        <sz val="10"/>
        <color theme="1"/>
        <rFont val="Arial Narrow"/>
        <family val="2"/>
      </rPr>
      <t xml:space="preserve"> Compilar una sola oferta académica de la UTMACH, estableciendo el número de cupos requeridos por la  autoridades de la UTMACH.
</t>
    </r>
    <r>
      <rPr>
        <b/>
        <sz val="9"/>
        <color theme="1"/>
        <rFont val="Century Schoolbook"/>
        <family val="1"/>
      </rPr>
      <t>2.-</t>
    </r>
    <r>
      <rPr>
        <sz val="10"/>
        <color theme="1"/>
        <rFont val="Arial Narrow"/>
        <family val="2"/>
      </rPr>
      <t xml:space="preserve"> Enviar mediante la Dirección de Formación Profesional el oficio al Rector, con copia al Vicerrectorado Académica, solicitando la autorización de la oferta académica de la UTMACH.
</t>
    </r>
    <r>
      <rPr>
        <b/>
        <sz val="9"/>
        <color theme="1"/>
        <rFont val="Century Schoolbook"/>
        <family val="1"/>
      </rPr>
      <t>3.-</t>
    </r>
    <r>
      <rPr>
        <sz val="10"/>
        <color theme="1"/>
        <rFont val="Arial Narrow"/>
        <family val="2"/>
      </rPr>
      <t xml:space="preserve"> Recibir la oferta académica de la UTMACH autorizada  por el Rector.
</t>
    </r>
    <r>
      <rPr>
        <b/>
        <sz val="9"/>
        <color theme="1"/>
        <rFont val="Century Schoolbook"/>
        <family val="1"/>
      </rPr>
      <t>4.-</t>
    </r>
    <r>
      <rPr>
        <sz val="10"/>
        <color theme="1"/>
        <rFont val="Arial Narrow"/>
        <family val="2"/>
      </rPr>
      <t xml:space="preserve"> Subir la Oferta Académica, perfil académico y la demás información a la plataforma de la SENESCYT - SNNA.
</t>
    </r>
    <r>
      <rPr>
        <b/>
        <sz val="9"/>
        <color theme="1"/>
        <rFont val="Century Schoolbook"/>
        <family val="1"/>
      </rPr>
      <t>5.-</t>
    </r>
    <r>
      <rPr>
        <sz val="10"/>
        <color theme="1"/>
        <rFont val="Arial Narrow"/>
        <family val="2"/>
      </rPr>
      <t xml:space="preserve"> Generar la Oferta Académica desde la plataforma de SENESCYT.
</t>
    </r>
    <r>
      <rPr>
        <b/>
        <sz val="9"/>
        <color theme="1"/>
        <rFont val="Century Schoolbook"/>
        <family val="1"/>
      </rPr>
      <t>6.-</t>
    </r>
    <r>
      <rPr>
        <sz val="10"/>
        <color theme="1"/>
        <rFont val="Arial Narrow"/>
        <family val="2"/>
      </rPr>
      <t xml:space="preserve"> Enviar una comunicación mediante la Dirección de Formación Profesional al Señor Rector de la UTMACH,  solicitando firma de la Oferta Académica.
</t>
    </r>
    <r>
      <rPr>
        <b/>
        <sz val="9"/>
        <color theme="1"/>
        <rFont val="Century Schoolbook"/>
        <family val="1"/>
      </rPr>
      <t>7.-</t>
    </r>
    <r>
      <rPr>
        <sz val="10"/>
        <color theme="1"/>
        <rFont val="Arial Narrow"/>
        <family val="2"/>
      </rPr>
      <t xml:space="preserve"> Subir al Sistema de la SENESCYT la oferta Académica  de la UTMACH.</t>
    </r>
  </si>
  <si>
    <r>
      <rPr>
        <b/>
        <sz val="9"/>
        <color theme="1"/>
        <rFont val="Century Schoolbook"/>
        <family val="1"/>
      </rPr>
      <t>1.-</t>
    </r>
    <r>
      <rPr>
        <sz val="10"/>
        <color theme="1"/>
        <rFont val="Arial Narrow"/>
        <family val="2"/>
      </rPr>
      <t xml:space="preserve"> Mantener reunión con la  dirección de comunicación de la UTMACH.
</t>
    </r>
    <r>
      <rPr>
        <b/>
        <sz val="9"/>
        <color theme="1"/>
        <rFont val="Century Schoolbook"/>
        <family val="1"/>
      </rPr>
      <t>2.-</t>
    </r>
    <r>
      <rPr>
        <sz val="10"/>
        <color theme="1"/>
        <rFont val="Arial Narrow"/>
        <family val="2"/>
      </rPr>
      <t xml:space="preserve"> Coordinar con el director del dircom la elaboración de los flayers informativos referentes a la Oferta Académica de la UTMACH.
</t>
    </r>
    <r>
      <rPr>
        <b/>
        <sz val="9"/>
        <color theme="1"/>
        <rFont val="Century Schoolbook"/>
        <family val="1"/>
      </rPr>
      <t>3.-</t>
    </r>
    <r>
      <rPr>
        <sz val="10"/>
        <color theme="1"/>
        <rFont val="Arial Narrow"/>
        <family val="2"/>
      </rPr>
      <t xml:space="preserve"> Coordinar con el Distrito provincial de Educación de Machala para la difusión de la oferta académica de la UTMACH en sus diferentes establecimientos Educativos.
</t>
    </r>
    <r>
      <rPr>
        <b/>
        <sz val="9"/>
        <color theme="1"/>
        <rFont val="Century Schoolbook"/>
        <family val="1"/>
      </rPr>
      <t>4.-</t>
    </r>
    <r>
      <rPr>
        <sz val="10"/>
        <color theme="1"/>
        <rFont val="Arial Narrow"/>
        <family val="2"/>
      </rPr>
      <t xml:space="preserve"> Desarrollar la difusión de la oferta académica de la UTMACH.</t>
    </r>
  </si>
  <si>
    <r>
      <rPr>
        <b/>
        <sz val="9"/>
        <color theme="1"/>
        <rFont val="Century Schoolbook"/>
        <family val="1"/>
      </rPr>
      <t>1.-</t>
    </r>
    <r>
      <rPr>
        <sz val="10"/>
        <color theme="1"/>
        <rFont val="Arial Narrow"/>
        <family val="2"/>
      </rPr>
      <t xml:space="preserve"> Elaborar un informe técnico del proceso de admisión y/o nivelación.
</t>
    </r>
    <r>
      <rPr>
        <b/>
        <sz val="9"/>
        <color theme="1"/>
        <rFont val="Century Schoolbook"/>
        <family val="1"/>
      </rPr>
      <t>2.-</t>
    </r>
    <r>
      <rPr>
        <sz val="10"/>
        <color theme="1"/>
        <rFont val="Arial Narrow"/>
        <family val="2"/>
      </rPr>
      <t xml:space="preserve"> Entregar el Informe técnico del proceso de admisión/o nivelación a la Dirección de Formación Profesional.</t>
    </r>
  </si>
  <si>
    <r>
      <rPr>
        <b/>
        <sz val="9"/>
        <color theme="1"/>
        <rFont val="Century Schoolbook"/>
        <family val="1"/>
      </rPr>
      <t>1.-</t>
    </r>
    <r>
      <rPr>
        <sz val="10"/>
        <color theme="1"/>
        <rFont val="Arial Narrow"/>
        <family val="2"/>
      </rPr>
      <t xml:space="preserve"> Planificar reuniones de trabajo con la Dirección de TICS a fin de coordinar la implementación del sitio web que alojará el proceso de admisiones de la UTMACH.
</t>
    </r>
    <r>
      <rPr>
        <b/>
        <sz val="9"/>
        <color theme="1"/>
        <rFont val="Century Schoolbook"/>
        <family val="1"/>
      </rPr>
      <t>2.-</t>
    </r>
    <r>
      <rPr>
        <sz val="10"/>
        <color theme="1"/>
        <rFont val="Arial Narrow"/>
        <family val="2"/>
      </rPr>
      <t xml:space="preserve"> Elaborar el Instructivo que contiene las directrices para la implementación del sitio web de admisiones de la UTMACH.</t>
    </r>
  </si>
  <si>
    <r>
      <rPr>
        <b/>
        <sz val="9"/>
        <color theme="1"/>
        <rFont val="Century Schoolbook"/>
        <family val="1"/>
      </rPr>
      <t>1.-</t>
    </r>
    <r>
      <rPr>
        <sz val="10"/>
        <color theme="1"/>
        <rFont val="Arial Narrow"/>
        <family val="2"/>
      </rPr>
      <t xml:space="preserve"> Leer y entender el Reglamento del Sistema Nacional de Nivelación y Admisión- SENESCYT y de la UTMACH.
</t>
    </r>
    <r>
      <rPr>
        <b/>
        <sz val="9"/>
        <color theme="1"/>
        <rFont val="Century Schoolbook"/>
        <family val="1"/>
      </rPr>
      <t>2.-</t>
    </r>
    <r>
      <rPr>
        <sz val="10"/>
        <color theme="1"/>
        <rFont val="Arial Narrow"/>
        <family val="2"/>
      </rPr>
      <t xml:space="preserve"> Leer y entender el Reglamento de Régimen Académico de la UTMACH.
</t>
    </r>
    <r>
      <rPr>
        <b/>
        <sz val="9"/>
        <color theme="1"/>
        <rFont val="Century Schoolbook"/>
        <family val="1"/>
      </rPr>
      <t>3.-</t>
    </r>
    <r>
      <rPr>
        <sz val="10"/>
        <color theme="1"/>
        <rFont val="Arial Narrow"/>
        <family val="2"/>
      </rPr>
      <t xml:space="preserve"> Asesorarse con el personal de la Senescyt sobre casos específicos.
</t>
    </r>
    <r>
      <rPr>
        <b/>
        <sz val="9"/>
        <color theme="1"/>
        <rFont val="Century Schoolbook"/>
        <family val="1"/>
      </rPr>
      <t>4.-</t>
    </r>
    <r>
      <rPr>
        <sz val="10"/>
        <color theme="1"/>
        <rFont val="Arial Narrow"/>
        <family val="2"/>
      </rPr>
      <t xml:space="preserve"> Brindar el asesoramiento respectivo a los aspirantes a la UTMACH.</t>
    </r>
  </si>
  <si>
    <r>
      <rPr>
        <b/>
        <sz val="9"/>
        <color theme="1"/>
        <rFont val="Century Schoolbook"/>
        <family val="1"/>
      </rPr>
      <t>1.-</t>
    </r>
    <r>
      <rPr>
        <sz val="10"/>
        <color theme="1"/>
        <rFont val="Arial Narrow"/>
        <family val="2"/>
      </rPr>
      <t xml:space="preserve"> Recibir y enviar comunicaciones de la UNIDAD DE NIVELACIÓN Y ADMISIÓN de la UTMACH.
</t>
    </r>
    <r>
      <rPr>
        <b/>
        <sz val="9"/>
        <color theme="1"/>
        <rFont val="Century Schoolbook"/>
        <family val="1"/>
      </rPr>
      <t>2.-</t>
    </r>
    <r>
      <rPr>
        <sz val="10"/>
        <color theme="1"/>
        <rFont val="Arial Narrow"/>
        <family val="2"/>
      </rPr>
      <t xml:space="preserve"> Registrar las comunicaciones recibidas y enviadas de la Dirección de Nivelación y Admisión.          </t>
    </r>
  </si>
  <si>
    <r>
      <t xml:space="preserve">Con oficio No. </t>
    </r>
    <r>
      <rPr>
        <sz val="10"/>
        <color theme="1"/>
        <rFont val="Century Schoolbook"/>
        <family val="1"/>
      </rPr>
      <t>183</t>
    </r>
    <r>
      <rPr>
        <sz val="10"/>
        <color theme="1"/>
        <rFont val="Arial Narrow"/>
        <family val="2"/>
      </rPr>
      <t>, se solicita modificación de indicador de resultado.</t>
    </r>
  </si>
  <si>
    <r>
      <t xml:space="preserve">DPLAN: El egreso de la partida </t>
    </r>
    <r>
      <rPr>
        <sz val="10"/>
        <color theme="1"/>
        <rFont val="Century Schoolbook"/>
        <family val="1"/>
      </rPr>
      <t>840107</t>
    </r>
    <r>
      <rPr>
        <sz val="10"/>
        <color theme="1"/>
        <rFont val="Arial Narrow"/>
        <family val="2"/>
      </rPr>
      <t xml:space="preserve"> se centraliza en </t>
    </r>
    <r>
      <rPr>
        <sz val="10"/>
        <color theme="1"/>
        <rFont val="Century Schoolbook"/>
        <family val="1"/>
      </rPr>
      <t>17.</t>
    </r>
    <r>
      <rPr>
        <sz val="10"/>
        <color theme="1"/>
        <rFont val="Arial Narrow"/>
        <family val="2"/>
      </rPr>
      <t xml:space="preserve"> DTIC.</t>
    </r>
  </si>
  <si>
    <r>
      <t xml:space="preserve">COMPUTADORAS PORTÁTILES PERFIL </t>
    </r>
    <r>
      <rPr>
        <sz val="10"/>
        <color rgb="FF000000"/>
        <rFont val="Century Schoolbook"/>
        <family val="1"/>
      </rPr>
      <t>4.1</t>
    </r>
  </si>
  <si>
    <t>* Lic. Esthela Ruilova,
  Directora Académica
* Ing. Franklin Conza Apolo,
  Jefe de la UGC.</t>
  </si>
  <si>
    <t>* Lic. Esthela Ruilova,
  Directora Académica
* Ing. Franklin Conza Apolo,
  Jefe de la UGC.
* Dra. Kyra Ramírez,
  Supervisora de la UGC.
* Lic. Jacqueline Valarezo,
  Supervisora de la UGC.</t>
  </si>
  <si>
    <t>* Lic. Esthela Ruilova,
  Directora Académica
* Ing. Franklin Conza Apolo,
  Jefe de la UGC.
* Dra. Kyra Ramírez,
  Supervisora de la UGC.
*Lic. Jacqueline Valarezo,
  Supervisora de la UGC.</t>
  </si>
  <si>
    <t>* Franklin Conza,
  Jefe Unidad de Gestión Curricular
* Jacqueline Valarezo,
  Supervisora de Unidad de Gestión Curricular
* Kyra Ramírez,
  Supervisora Unidad de Gestión Curricular</t>
  </si>
  <si>
    <r>
      <rPr>
        <b/>
        <sz val="9"/>
        <color theme="1"/>
        <rFont val="Century Schoolbook"/>
        <family val="1"/>
      </rPr>
      <t>1.-</t>
    </r>
    <r>
      <rPr>
        <sz val="10"/>
        <color theme="1"/>
        <rFont val="Arial Narrow"/>
      </rPr>
      <t xml:space="preserve"> Estudio de pertinencia.</t>
    </r>
  </si>
  <si>
    <r>
      <rPr>
        <b/>
        <sz val="9"/>
        <color theme="1"/>
        <rFont val="Century Schoolbook"/>
        <family val="1"/>
      </rPr>
      <t>1.-</t>
    </r>
    <r>
      <rPr>
        <sz val="10"/>
        <color theme="1"/>
        <rFont val="Arial Narrow"/>
      </rPr>
      <t xml:space="preserve"> Cupos ofertados.</t>
    </r>
  </si>
  <si>
    <r>
      <rPr>
        <b/>
        <sz val="9"/>
        <color theme="1"/>
        <rFont val="Century Schoolbook"/>
        <family val="1"/>
      </rPr>
      <t>1.-</t>
    </r>
    <r>
      <rPr>
        <sz val="10"/>
        <color theme="1"/>
        <rFont val="Arial Narrow"/>
      </rPr>
      <t xml:space="preserve"> Carreras no presenciales implementadas o en proceso.</t>
    </r>
  </si>
  <si>
    <r>
      <rPr>
        <b/>
        <sz val="9"/>
        <color theme="1"/>
        <rFont val="Century Schoolbook"/>
        <family val="1"/>
      </rPr>
      <t>1.-</t>
    </r>
    <r>
      <rPr>
        <sz val="10"/>
        <color theme="1"/>
        <rFont val="Arial Narrow"/>
      </rPr>
      <t xml:space="preserve"> Modelo de gestión académica y curricular.</t>
    </r>
  </si>
  <si>
    <r>
      <rPr>
        <b/>
        <sz val="9"/>
        <color theme="1"/>
        <rFont val="Century Schoolbook"/>
        <family val="1"/>
      </rPr>
      <t>1.-</t>
    </r>
    <r>
      <rPr>
        <sz val="10"/>
        <color theme="1"/>
        <rFont val="Arial Narrow"/>
      </rPr>
      <t xml:space="preserve"> Calendario académico.
</t>
    </r>
    <r>
      <rPr>
        <b/>
        <sz val="9"/>
        <color theme="1"/>
        <rFont val="Century Schoolbook"/>
        <family val="1"/>
      </rPr>
      <t>2.-</t>
    </r>
    <r>
      <rPr>
        <sz val="10"/>
        <color theme="1"/>
        <rFont val="Arial Narrow"/>
      </rPr>
      <t xml:space="preserve"> Resolución de aprobación de Calendario Académico.
</t>
    </r>
    <r>
      <rPr>
        <b/>
        <sz val="9"/>
        <color theme="1"/>
        <rFont val="Century Schoolbook"/>
        <family val="1"/>
      </rPr>
      <t>3.-</t>
    </r>
    <r>
      <rPr>
        <sz val="10"/>
        <color theme="1"/>
        <rFont val="Arial Narrow"/>
      </rPr>
      <t xml:space="preserve"> Resoluciones de actualizaciones.</t>
    </r>
  </si>
  <si>
    <r>
      <t xml:space="preserve">
</t>
    </r>
    <r>
      <rPr>
        <b/>
        <sz val="9"/>
        <color theme="1"/>
        <rFont val="Century Schoolbook"/>
        <family val="1"/>
      </rPr>
      <t>1.-</t>
    </r>
    <r>
      <rPr>
        <sz val="10"/>
        <color theme="1"/>
        <rFont val="Arial Narrow"/>
      </rPr>
      <t xml:space="preserve"> Cronogramas.
</t>
    </r>
    <r>
      <rPr>
        <b/>
        <sz val="9"/>
        <color theme="1"/>
        <rFont val="Century Schoolbook"/>
        <family val="1"/>
      </rPr>
      <t>2.-</t>
    </r>
    <r>
      <rPr>
        <sz val="10"/>
        <color theme="1"/>
        <rFont val="Arial Narrow"/>
      </rPr>
      <t xml:space="preserve"> Resolución de aprobación de cronogramas.
</t>
    </r>
    <r>
      <rPr>
        <b/>
        <sz val="9"/>
        <color theme="1"/>
        <rFont val="Century Schoolbook"/>
        <family val="1"/>
      </rPr>
      <t>3.-</t>
    </r>
    <r>
      <rPr>
        <sz val="10"/>
        <color theme="1"/>
        <rFont val="Arial Narrow"/>
      </rPr>
      <t xml:space="preserve"> Directrices.
</t>
    </r>
    <r>
      <rPr>
        <b/>
        <sz val="9"/>
        <color theme="1"/>
        <rFont val="Century Schoolbook"/>
        <family val="1"/>
      </rPr>
      <t>4.-</t>
    </r>
    <r>
      <rPr>
        <sz val="10"/>
        <color theme="1"/>
        <rFont val="Arial Narrow"/>
      </rPr>
      <t xml:space="preserve"> Resoluciones de aprobación de directrices.
</t>
    </r>
  </si>
  <si>
    <r>
      <rPr>
        <b/>
        <sz val="9"/>
        <color theme="1"/>
        <rFont val="Century Schoolbook"/>
        <family val="1"/>
      </rPr>
      <t>1.-</t>
    </r>
    <r>
      <rPr>
        <sz val="10"/>
        <color theme="1"/>
        <rFont val="Arial Narrow"/>
      </rPr>
      <t xml:space="preserve"> Actas de reuniones y
Registro de asistencia.</t>
    </r>
  </si>
  <si>
    <r>
      <rPr>
        <b/>
        <sz val="9"/>
        <color theme="1"/>
        <rFont val="Century Schoolbook"/>
        <family val="1"/>
      </rPr>
      <t>1.-</t>
    </r>
    <r>
      <rPr>
        <sz val="10"/>
        <color theme="1"/>
        <rFont val="Arial Narrow"/>
      </rPr>
      <t xml:space="preserve"> Registro de Asistencia.</t>
    </r>
  </si>
  <si>
    <r>
      <rPr>
        <b/>
        <sz val="9"/>
        <color theme="1"/>
        <rFont val="Century Schoolbook"/>
        <family val="1"/>
      </rPr>
      <t>1.-</t>
    </r>
    <r>
      <rPr>
        <sz val="10"/>
        <color theme="1"/>
        <rFont val="Arial Narrow"/>
      </rPr>
      <t xml:space="preserve"> Carreras creadas.</t>
    </r>
  </si>
  <si>
    <r>
      <rPr>
        <b/>
        <sz val="9"/>
        <color theme="1"/>
        <rFont val="Century Schoolbook"/>
        <family val="1"/>
      </rPr>
      <t>1.-</t>
    </r>
    <r>
      <rPr>
        <sz val="10"/>
        <color theme="1"/>
        <rFont val="Arial Narrow"/>
      </rPr>
      <t xml:space="preserve"> Registro de asistencia de los procesos de evaluación de carreras.</t>
    </r>
  </si>
  <si>
    <r>
      <rPr>
        <b/>
        <sz val="9"/>
        <color theme="1"/>
        <rFont val="Century Schoolbook"/>
        <family val="1"/>
      </rPr>
      <t>1.-</t>
    </r>
    <r>
      <rPr>
        <sz val="10"/>
        <color theme="1"/>
        <rFont val="Arial Narrow"/>
      </rPr>
      <t xml:space="preserve"> Informes de implementación del currículo de las carreras.</t>
    </r>
  </si>
  <si>
    <r>
      <rPr>
        <b/>
        <sz val="9"/>
        <color theme="1"/>
        <rFont val="Century Schoolbook"/>
        <family val="1"/>
      </rPr>
      <t>1.-</t>
    </r>
    <r>
      <rPr>
        <sz val="10"/>
        <color theme="1"/>
        <rFont val="Arial Narrow"/>
      </rPr>
      <t xml:space="preserve"> Plan Operativo Anual.
</t>
    </r>
    <r>
      <rPr>
        <b/>
        <sz val="9"/>
        <color theme="1"/>
        <rFont val="Century Schoolbook"/>
        <family val="1"/>
      </rPr>
      <t>2.-</t>
    </r>
    <r>
      <rPr>
        <sz val="10"/>
        <color theme="1"/>
        <rFont val="Arial Narrow"/>
      </rPr>
      <t xml:space="preserve"> Evaluación anual del Plan Operativo Anual </t>
    </r>
    <r>
      <rPr>
        <sz val="10"/>
        <color theme="1"/>
        <rFont val="Century Schoolbook"/>
        <family val="1"/>
      </rPr>
      <t>2023.</t>
    </r>
    <r>
      <rPr>
        <sz val="10"/>
        <color theme="1"/>
        <rFont val="Arial Narrow"/>
      </rPr>
      <t xml:space="preserve">
</t>
    </r>
  </si>
  <si>
    <r>
      <rPr>
        <b/>
        <sz val="9"/>
        <color theme="1"/>
        <rFont val="Century Schoolbook"/>
        <family val="1"/>
      </rPr>
      <t>1.-</t>
    </r>
    <r>
      <rPr>
        <sz val="10"/>
        <color theme="1"/>
        <rFont val="Arial Narrow"/>
      </rPr>
      <t xml:space="preserve"> Lineamientos Estratégicos para la gestión curricular gestionados.</t>
    </r>
  </si>
  <si>
    <r>
      <rPr>
        <b/>
        <sz val="9"/>
        <color theme="1"/>
        <rFont val="Century Schoolbook"/>
        <family val="1"/>
      </rPr>
      <t>1.-</t>
    </r>
    <r>
      <rPr>
        <sz val="10"/>
        <color theme="1"/>
        <rFont val="Arial Narrow"/>
      </rPr>
      <t xml:space="preserve"> Lineamientos Estratégicos para la gestión académica gestionados.</t>
    </r>
  </si>
  <si>
    <r>
      <rPr>
        <b/>
        <sz val="9"/>
        <color theme="1"/>
        <rFont val="Century Schoolbook"/>
        <family val="1"/>
      </rPr>
      <t>1.-</t>
    </r>
    <r>
      <rPr>
        <sz val="10"/>
        <color theme="1"/>
        <rFont val="Arial Narrow"/>
      </rPr>
      <t xml:space="preserve"> Diseño y actualización curricular coordinados con Dirección Académica.</t>
    </r>
  </si>
  <si>
    <r>
      <rPr>
        <b/>
        <sz val="9"/>
        <color theme="1"/>
        <rFont val="Century Schoolbook"/>
        <family val="1"/>
      </rPr>
      <t>1.-</t>
    </r>
    <r>
      <rPr>
        <sz val="10"/>
        <color theme="1"/>
        <rFont val="Arial Narrow"/>
      </rPr>
      <t xml:space="preserve"> Planificación curricular  modalidad no presencial.</t>
    </r>
  </si>
  <si>
    <r>
      <rPr>
        <b/>
        <sz val="9"/>
        <color theme="1"/>
        <rFont val="Century Schoolbook"/>
        <family val="1"/>
      </rPr>
      <t>1.-</t>
    </r>
    <r>
      <rPr>
        <sz val="10"/>
        <color theme="1"/>
        <rFont val="Arial Narrow"/>
      </rPr>
      <t xml:space="preserve"> Calendario Académico.</t>
    </r>
  </si>
  <si>
    <r>
      <rPr>
        <b/>
        <sz val="9"/>
        <color theme="1"/>
        <rFont val="Century Schoolbook"/>
        <family val="1"/>
      </rPr>
      <t>1.-</t>
    </r>
    <r>
      <rPr>
        <sz val="10"/>
        <color theme="1"/>
        <rFont val="Arial Narrow"/>
      </rPr>
      <t xml:space="preserve"> Listado de carreras de grado ofertado.</t>
    </r>
  </si>
  <si>
    <r>
      <rPr>
        <b/>
        <sz val="9"/>
        <color theme="1"/>
        <rFont val="Century Schoolbook"/>
        <family val="1"/>
      </rPr>
      <t>1.-</t>
    </r>
    <r>
      <rPr>
        <sz val="10"/>
        <color theme="1"/>
        <rFont val="Arial Narrow"/>
      </rPr>
      <t xml:space="preserve"> Lineamientos elaborados.</t>
    </r>
  </si>
  <si>
    <r>
      <rPr>
        <b/>
        <sz val="9"/>
        <color theme="1"/>
        <rFont val="Century Schoolbook"/>
        <family val="1"/>
      </rPr>
      <t>1.-</t>
    </r>
    <r>
      <rPr>
        <sz val="10"/>
        <color theme="1"/>
        <rFont val="Arial Narrow"/>
      </rPr>
      <t xml:space="preserve"> Informe validación de distributivos.</t>
    </r>
  </si>
  <si>
    <r>
      <rPr>
        <b/>
        <sz val="9"/>
        <color theme="1"/>
        <rFont val="Century Schoolbook"/>
        <family val="1"/>
      </rPr>
      <t>1.-</t>
    </r>
    <r>
      <rPr>
        <sz val="10"/>
        <color theme="1"/>
        <rFont val="Arial Narrow"/>
      </rPr>
      <t xml:space="preserve"> Plan Operativo Anua.
</t>
    </r>
    <r>
      <rPr>
        <b/>
        <sz val="9"/>
        <color theme="1"/>
        <rFont val="Century Schoolbook"/>
        <family val="1"/>
      </rPr>
      <t>2.-</t>
    </r>
    <r>
      <rPr>
        <sz val="10"/>
        <color theme="1"/>
        <rFont val="Arial Narrow"/>
      </rPr>
      <t xml:space="preserve"> Evaluación anual del Plan Operativo Anual </t>
    </r>
    <r>
      <rPr>
        <sz val="10"/>
        <color theme="1"/>
        <rFont val="Century Schoolbook"/>
        <family val="1"/>
      </rPr>
      <t>2023.</t>
    </r>
  </si>
  <si>
    <r>
      <rPr>
        <b/>
        <sz val="9"/>
        <color theme="1"/>
        <rFont val="Century Schoolbook"/>
        <family val="1"/>
      </rPr>
      <t>1.-</t>
    </r>
    <r>
      <rPr>
        <sz val="10"/>
        <color theme="1"/>
        <rFont val="Arial Narrow"/>
      </rPr>
      <t xml:space="preserve"> Archivar los documentos que se reciben y se envían.</t>
    </r>
  </si>
  <si>
    <r>
      <rPr>
        <b/>
        <sz val="9"/>
        <color theme="1"/>
        <rFont val="Century Schoolbook"/>
        <family val="1"/>
      </rPr>
      <t>1.-</t>
    </r>
    <r>
      <rPr>
        <sz val="10"/>
        <color theme="1"/>
        <rFont val="Arial Narrow"/>
      </rPr>
      <t xml:space="preserve"> Elaborar el POA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Elaborar oficio remitiendo el POA </t>
    </r>
    <r>
      <rPr>
        <sz val="10"/>
        <color theme="1"/>
        <rFont val="Century Schoolbook"/>
        <family val="1"/>
      </rPr>
      <t>2024.</t>
    </r>
    <r>
      <rPr>
        <sz val="10"/>
        <color theme="1"/>
        <rFont val="Arial Narrow"/>
      </rPr>
      <t xml:space="preserve">
</t>
    </r>
    <r>
      <rPr>
        <b/>
        <sz val="9"/>
        <color theme="1"/>
        <rFont val="Century Schoolbook"/>
        <family val="1"/>
      </rPr>
      <t>3.-</t>
    </r>
    <r>
      <rPr>
        <sz val="10"/>
        <color theme="1"/>
        <rFont val="Arial Narrow"/>
      </rPr>
      <t xml:space="preserve"> Elaborar la Evaluación del POA </t>
    </r>
    <r>
      <rPr>
        <sz val="10"/>
        <color theme="1"/>
        <rFont val="Century Schoolbook"/>
        <family val="1"/>
      </rPr>
      <t>2023.</t>
    </r>
  </si>
  <si>
    <r>
      <rPr>
        <b/>
        <sz val="9"/>
        <color theme="1"/>
        <rFont val="Century Schoolbook"/>
        <family val="1"/>
      </rPr>
      <t>1.-</t>
    </r>
    <r>
      <rPr>
        <sz val="10"/>
        <color theme="1"/>
        <rFont val="Arial Narrow"/>
      </rPr>
      <t xml:space="preserve"> Elaborar informe de revisión de distributivos académicos remitido desde las  cinco Facultades.
</t>
    </r>
    <r>
      <rPr>
        <b/>
        <sz val="9"/>
        <color theme="1"/>
        <rFont val="Century Schoolbook"/>
        <family val="1"/>
      </rPr>
      <t>2.-</t>
    </r>
    <r>
      <rPr>
        <sz val="10"/>
        <color theme="1"/>
        <rFont val="Arial Narrow"/>
      </rPr>
      <t xml:space="preserve"> Verificar y validar el distributivo académico.
</t>
    </r>
    <r>
      <rPr>
        <b/>
        <sz val="9"/>
        <color theme="1"/>
        <rFont val="Century Schoolbook"/>
        <family val="1"/>
      </rPr>
      <t>3.-</t>
    </r>
    <r>
      <rPr>
        <sz val="10"/>
        <color theme="1"/>
        <rFont val="Arial Narrow"/>
      </rPr>
      <t xml:space="preserve"> Remitir mediante oficio  a  Vicerrectorado Académico sobre la capacitación, revisión y validación del distributivo académico institucional.</t>
    </r>
  </si>
  <si>
    <r>
      <rPr>
        <b/>
        <sz val="9"/>
        <color theme="1"/>
        <rFont val="Century Schoolbook"/>
        <family val="1"/>
      </rPr>
      <t>1.-</t>
    </r>
    <r>
      <rPr>
        <sz val="10"/>
        <color theme="1"/>
        <rFont val="Arial Narrow"/>
      </rPr>
      <t xml:space="preserve"> Solicitar a las Facultades el reporte de Tutorías académicas cada final de parcial.
</t>
    </r>
    <r>
      <rPr>
        <b/>
        <sz val="9"/>
        <color theme="1"/>
        <rFont val="Century Schoolbook"/>
        <family val="1"/>
      </rPr>
      <t>2.-</t>
    </r>
    <r>
      <rPr>
        <sz val="10"/>
        <color theme="1"/>
        <rFont val="Arial Narrow"/>
      </rPr>
      <t xml:space="preserve"> Remitir a Vicerrectorado Académico para su conocimiento.</t>
    </r>
  </si>
  <si>
    <r>
      <rPr>
        <b/>
        <sz val="9"/>
        <color theme="1"/>
        <rFont val="Century Schoolbook"/>
        <family val="1"/>
      </rPr>
      <t>1.-</t>
    </r>
    <r>
      <rPr>
        <sz val="10"/>
        <color theme="1"/>
        <rFont val="Arial Narrow"/>
      </rPr>
      <t xml:space="preserve"> Solicitar a la Facultad la oferta académica vigente.
</t>
    </r>
    <r>
      <rPr>
        <b/>
        <sz val="9"/>
        <color theme="1"/>
        <rFont val="Century Schoolbook"/>
        <family val="1"/>
      </rPr>
      <t>2.-</t>
    </r>
    <r>
      <rPr>
        <sz val="10"/>
        <color theme="1"/>
        <rFont val="Arial Narrow"/>
      </rPr>
      <t xml:space="preserve"> Receptar información sobre oferta académica remitidos desde el subdecanato de las facultades.
</t>
    </r>
    <r>
      <rPr>
        <b/>
        <sz val="9"/>
        <color theme="1"/>
        <rFont val="Century Schoolbook"/>
        <family val="1"/>
      </rPr>
      <t>3.-</t>
    </r>
    <r>
      <rPr>
        <sz val="10"/>
        <color theme="1"/>
        <rFont val="Arial Narrow"/>
      </rPr>
      <t xml:space="preserve"> Consolidar la información de las carreras con su oferta académica para el período académico correspondiente.
</t>
    </r>
    <r>
      <rPr>
        <b/>
        <sz val="9"/>
        <color theme="1"/>
        <rFont val="Century Schoolbook"/>
        <family val="1"/>
      </rPr>
      <t>4.-</t>
    </r>
    <r>
      <rPr>
        <sz val="10"/>
        <color theme="1"/>
        <rFont val="Arial Narrow"/>
      </rPr>
      <t xml:space="preserve"> Solicitar a Dirección Académica trámite regular para aprobación de la oferta académica institucional.</t>
    </r>
  </si>
  <si>
    <r>
      <rPr>
        <b/>
        <sz val="9"/>
        <color theme="1"/>
        <rFont val="Century Schoolbook"/>
        <family val="1"/>
      </rPr>
      <t>1.-</t>
    </r>
    <r>
      <rPr>
        <sz val="10"/>
        <color theme="1"/>
        <rFont val="Arial Narrow"/>
      </rPr>
      <t xml:space="preserve"> Consolidar la planificación anual de actividades remitidas desde las Facultades  académicas y administrativas en el calendario académico institucional.
</t>
    </r>
    <r>
      <rPr>
        <b/>
        <sz val="9"/>
        <color theme="1"/>
        <rFont val="Century Schoolbook"/>
        <family val="1"/>
      </rPr>
      <t>2.-</t>
    </r>
    <r>
      <rPr>
        <sz val="10"/>
        <color theme="1"/>
        <rFont val="Arial Narrow"/>
      </rPr>
      <t xml:space="preserve"> Registrar acuerdos referente a la elaboración del calendario académico.
</t>
    </r>
    <r>
      <rPr>
        <b/>
        <sz val="9"/>
        <color theme="1"/>
        <rFont val="Century Schoolbook"/>
        <family val="1"/>
      </rPr>
      <t>3.-</t>
    </r>
    <r>
      <rPr>
        <sz val="10"/>
        <color theme="1"/>
        <rFont val="Arial Narrow"/>
      </rPr>
      <t xml:space="preserve"> Revisar que el calendario académico cumpla conforme a lo establecido por la normativa vigente.
</t>
    </r>
    <r>
      <rPr>
        <b/>
        <sz val="9"/>
        <color theme="1"/>
        <rFont val="Century Schoolbook"/>
        <family val="1"/>
      </rPr>
      <t>4.-</t>
    </r>
    <r>
      <rPr>
        <sz val="10"/>
        <color theme="1"/>
        <rFont val="Arial Narrow"/>
      </rPr>
      <t xml:space="preserve"> Solicitar a Dirección Académica el trámite correspondiente para la aprobación del Calendario Institucional.</t>
    </r>
  </si>
  <si>
    <r>
      <rPr>
        <b/>
        <sz val="9"/>
        <color theme="1"/>
        <rFont val="Century Schoolbook"/>
        <family val="1"/>
      </rPr>
      <t>1.-</t>
    </r>
    <r>
      <rPr>
        <sz val="10"/>
        <color theme="1"/>
        <rFont val="Arial Narrow"/>
      </rPr>
      <t xml:space="preserve"> Convocar  sesiones de trabajo  para la planificación del currículo modalidad no presencial.
</t>
    </r>
    <r>
      <rPr>
        <b/>
        <sz val="9"/>
        <color theme="1"/>
        <rFont val="Century Schoolbook"/>
        <family val="1"/>
      </rPr>
      <t>2.-</t>
    </r>
    <r>
      <rPr>
        <sz val="10"/>
        <color theme="1"/>
        <rFont val="Arial Narrow"/>
      </rPr>
      <t xml:space="preserve"> Elaborar oficios ante las instancias correspondiente  para su proceso de aprobación.</t>
    </r>
  </si>
  <si>
    <r>
      <rPr>
        <b/>
        <sz val="9"/>
        <color theme="1"/>
        <rFont val="Century Schoolbook"/>
        <family val="1"/>
      </rPr>
      <t>1.-</t>
    </r>
    <r>
      <rPr>
        <sz val="10"/>
        <color theme="1"/>
        <rFont val="Arial Narrow"/>
      </rPr>
      <t xml:space="preserve"> Convocar sesiones de trabajo con coordinadores de carrera y registrar acuerdos para el proceso de diseño y actualización Curricular.
</t>
    </r>
    <r>
      <rPr>
        <b/>
        <sz val="9"/>
        <color theme="1"/>
        <rFont val="Century Schoolbook"/>
        <family val="1"/>
      </rPr>
      <t>2.-</t>
    </r>
    <r>
      <rPr>
        <sz val="10"/>
        <color theme="1"/>
        <rFont val="Arial Narrow"/>
      </rPr>
      <t xml:space="preserve"> Elaborar oficios ante las instancias pertinentes para su proceso de aprobación.</t>
    </r>
  </si>
  <si>
    <r>
      <rPr>
        <b/>
        <sz val="9"/>
        <color theme="1"/>
        <rFont val="Century Schoolbook"/>
        <family val="1"/>
      </rPr>
      <t>1.-</t>
    </r>
    <r>
      <rPr>
        <sz val="10"/>
        <color theme="1"/>
        <rFont val="Arial Narrow"/>
      </rPr>
      <t xml:space="preserve"> Convocar y registrar acuerdos tomados para los Lineamientos gestión académica.
</t>
    </r>
    <r>
      <rPr>
        <b/>
        <sz val="9"/>
        <color theme="1"/>
        <rFont val="Century Schoolbook"/>
        <family val="1"/>
      </rPr>
      <t>2.-</t>
    </r>
    <r>
      <rPr>
        <sz val="10"/>
        <color theme="1"/>
        <rFont val="Arial Narrow"/>
      </rPr>
      <t xml:space="preserve"> Elaborar oficios para el trámite correspondiente.</t>
    </r>
  </si>
  <si>
    <r>
      <rPr>
        <b/>
        <sz val="9"/>
        <color theme="1"/>
        <rFont val="Century Schoolbook"/>
        <family val="1"/>
      </rPr>
      <t>1.-</t>
    </r>
    <r>
      <rPr>
        <sz val="10"/>
        <color theme="1"/>
        <rFont val="Arial Narrow"/>
      </rPr>
      <t xml:space="preserve"> Convocar y registrar acuerdos tomados para los Lineamientos gestión curricular.
</t>
    </r>
    <r>
      <rPr>
        <b/>
        <sz val="9"/>
        <color theme="1"/>
        <rFont val="Century Schoolbook"/>
        <family val="1"/>
      </rPr>
      <t>2.-</t>
    </r>
    <r>
      <rPr>
        <sz val="10"/>
        <color theme="1"/>
        <rFont val="Arial Narrow"/>
      </rPr>
      <t xml:space="preserve"> Elaborar oficios para el trámite respectivos.</t>
    </r>
  </si>
  <si>
    <r>
      <rPr>
        <b/>
        <sz val="9"/>
        <color theme="1"/>
        <rFont val="Century Schoolbook"/>
        <family val="1"/>
      </rPr>
      <t>1.-</t>
    </r>
    <r>
      <rPr>
        <sz val="10"/>
        <color theme="1"/>
        <rFont val="Arial Narrow"/>
        <family val="2"/>
      </rPr>
      <t xml:space="preserve"> Elaborar el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Elaborar oficio remitiendo el POA </t>
    </r>
    <r>
      <rPr>
        <sz val="10"/>
        <color theme="1"/>
        <rFont val="Century Schoolbook"/>
        <family val="1"/>
      </rPr>
      <t>2024.</t>
    </r>
    <r>
      <rPr>
        <sz val="10"/>
        <color theme="1"/>
        <rFont val="Arial Narrow"/>
      </rPr>
      <t xml:space="preserve">
</t>
    </r>
    <r>
      <rPr>
        <b/>
        <sz val="9"/>
        <color theme="1"/>
        <rFont val="Century Schoolbook"/>
        <family val="1"/>
      </rPr>
      <t>3.-</t>
    </r>
    <r>
      <rPr>
        <sz val="10"/>
        <color theme="1"/>
        <rFont val="Arial Narrow"/>
      </rPr>
      <t xml:space="preserve"> Elaborar la Evaluación del POA </t>
    </r>
    <r>
      <rPr>
        <sz val="10"/>
        <color theme="1"/>
        <rFont val="Century Schoolbook"/>
        <family val="1"/>
      </rPr>
      <t>2023.</t>
    </r>
  </si>
  <si>
    <r>
      <rPr>
        <b/>
        <sz val="9"/>
        <color theme="1"/>
        <rFont val="Century Schoolbook"/>
        <family val="1"/>
      </rPr>
      <t>1.-</t>
    </r>
    <r>
      <rPr>
        <sz val="10"/>
        <color theme="1"/>
        <rFont val="Arial Narrow"/>
      </rPr>
      <t xml:space="preserve"> Convocar a Subdecanos y Directores de carrera.
</t>
    </r>
    <r>
      <rPr>
        <b/>
        <sz val="9"/>
        <color theme="1"/>
        <rFont val="Century Schoolbook"/>
        <family val="1"/>
      </rPr>
      <t>2.-</t>
    </r>
    <r>
      <rPr>
        <sz val="10"/>
        <color theme="1"/>
        <rFont val="Arial Narrow"/>
      </rPr>
      <t xml:space="preserve"> Remitir informe de la implementación del currículo de las carreras.</t>
    </r>
  </si>
  <si>
    <r>
      <rPr>
        <b/>
        <sz val="9"/>
        <color theme="1"/>
        <rFont val="Century Schoolbook"/>
        <family val="1"/>
      </rPr>
      <t>1.-</t>
    </r>
    <r>
      <rPr>
        <sz val="10"/>
        <color theme="1"/>
        <rFont val="Arial Narrow"/>
      </rPr>
      <t xml:space="preserve"> Asistir a reunión convocada por la Dirección de Evaluación y gestión de la calidad.</t>
    </r>
  </si>
  <si>
    <r>
      <rPr>
        <b/>
        <sz val="9"/>
        <color theme="1"/>
        <rFont val="Century Schoolbook"/>
        <family val="1"/>
      </rPr>
      <t>1.-</t>
    </r>
    <r>
      <rPr>
        <sz val="10"/>
        <color theme="1"/>
        <rFont val="Arial Narrow"/>
      </rPr>
      <t xml:space="preserve"> Convocar a sesiones de trabajo para creación de carreras.
</t>
    </r>
    <r>
      <rPr>
        <b/>
        <sz val="9"/>
        <color theme="1"/>
        <rFont val="Century Schoolbook"/>
        <family val="1"/>
      </rPr>
      <t>2.-</t>
    </r>
    <r>
      <rPr>
        <sz val="10"/>
        <color theme="1"/>
        <rFont val="Arial Narrow"/>
      </rPr>
      <t xml:space="preserve"> Gestionar mediante oficio al Vicerrectorado Académico para su aprobación.</t>
    </r>
  </si>
  <si>
    <r>
      <rPr>
        <b/>
        <sz val="9"/>
        <color theme="1"/>
        <rFont val="Century Schoolbook"/>
        <family val="1"/>
      </rPr>
      <t>1.-</t>
    </r>
    <r>
      <rPr>
        <sz val="10"/>
        <color theme="1"/>
        <rFont val="Arial Narrow"/>
      </rPr>
      <t xml:space="preserve"> Convocar a Subdecanos y Directores de carrera.
</t>
    </r>
    <r>
      <rPr>
        <b/>
        <sz val="9"/>
        <color theme="1"/>
        <rFont val="Century Schoolbook"/>
        <family val="1"/>
      </rPr>
      <t>2.-</t>
    </r>
    <r>
      <rPr>
        <sz val="10"/>
        <color theme="1"/>
        <rFont val="Arial Narrow"/>
      </rPr>
      <t xml:space="preserve"> Orientar para el proceso de diseño curricular de las nuevas carreras y actualización de las existentes.</t>
    </r>
  </si>
  <si>
    <r>
      <rPr>
        <b/>
        <sz val="9"/>
        <color theme="1"/>
        <rFont val="Century Schoolbook"/>
        <family val="1"/>
      </rPr>
      <t>1.-</t>
    </r>
    <r>
      <rPr>
        <sz val="10"/>
        <color theme="1"/>
        <rFont val="Arial Narrow"/>
      </rPr>
      <t xml:space="preserve"> Convocar a los departamentos involucrados para analizar normativa y solicitar actualización.
</t>
    </r>
    <r>
      <rPr>
        <b/>
        <sz val="9"/>
        <color theme="1"/>
        <rFont val="Century Schoolbook"/>
        <family val="1"/>
      </rPr>
      <t>2.-</t>
    </r>
    <r>
      <rPr>
        <sz val="10"/>
        <color theme="1"/>
        <rFont val="Arial Narrow"/>
      </rPr>
      <t xml:space="preserve"> Solicitar actualización de normativa al Vicerrectorado Académico.
</t>
    </r>
    <r>
      <rPr>
        <b/>
        <sz val="9"/>
        <color theme="1"/>
        <rFont val="Century Schoolbook"/>
        <family val="1"/>
      </rPr>
      <t>3.-</t>
    </r>
    <r>
      <rPr>
        <sz val="10"/>
        <color theme="1"/>
        <rFont val="Arial Narrow"/>
      </rPr>
      <t xml:space="preserve"> Aprobar la actualización de normativa.</t>
    </r>
  </si>
  <si>
    <r>
      <rPr>
        <b/>
        <sz val="9"/>
        <color theme="1"/>
        <rFont val="Century Schoolbook"/>
        <family val="1"/>
      </rPr>
      <t>1.-</t>
    </r>
    <r>
      <rPr>
        <sz val="10"/>
        <color theme="1"/>
        <rFont val="Arial Narrow"/>
      </rPr>
      <t xml:space="preserve"> Socializar las Directrices para elaborar distributivo.
</t>
    </r>
    <r>
      <rPr>
        <b/>
        <sz val="9"/>
        <color theme="1"/>
        <rFont val="Century Schoolbook"/>
        <family val="1"/>
      </rPr>
      <t>2.-</t>
    </r>
    <r>
      <rPr>
        <sz val="10"/>
        <color theme="1"/>
        <rFont val="Arial Narrow"/>
      </rPr>
      <t xml:space="preserve"> Solicitar al Vicerrectorado trámite regular para aprobar de directrices para elaborar distributivo.</t>
    </r>
  </si>
  <si>
    <r>
      <rPr>
        <b/>
        <sz val="9"/>
        <color theme="1"/>
        <rFont val="Century Schoolbook"/>
        <family val="1"/>
      </rPr>
      <t>1.-</t>
    </r>
    <r>
      <rPr>
        <sz val="10"/>
        <color theme="1"/>
        <rFont val="Arial Narrow"/>
      </rPr>
      <t xml:space="preserve"> Socializar de Calendario Académico con Subdecanos.
</t>
    </r>
    <r>
      <rPr>
        <b/>
        <sz val="9"/>
        <color theme="1"/>
        <rFont val="Century Schoolbook"/>
        <family val="1"/>
      </rPr>
      <t>2.-</t>
    </r>
    <r>
      <rPr>
        <sz val="10"/>
        <color theme="1"/>
        <rFont val="Arial Narrow"/>
      </rPr>
      <t xml:space="preserve"> Solicitar al Vicerrectorado trámite regular para aprobar calendario.</t>
    </r>
  </si>
  <si>
    <r>
      <rPr>
        <b/>
        <sz val="9"/>
        <color theme="1"/>
        <rFont val="Century Schoolbook"/>
        <family val="1"/>
      </rPr>
      <t>1.-</t>
    </r>
    <r>
      <rPr>
        <sz val="10"/>
        <color theme="1"/>
        <rFont val="Arial Narrow"/>
      </rPr>
      <t xml:space="preserve"> Convocar a Subdecanos, Directores de carrera.
</t>
    </r>
    <r>
      <rPr>
        <b/>
        <sz val="9"/>
        <color theme="1"/>
        <rFont val="Century Schoolbook"/>
        <family val="1"/>
      </rPr>
      <t>2.-</t>
    </r>
    <r>
      <rPr>
        <sz val="10"/>
        <color theme="1"/>
        <rFont val="Arial Narrow"/>
      </rPr>
      <t xml:space="preserve"> Informar de avances de carreras no presenciales en proceso.</t>
    </r>
  </si>
  <si>
    <r>
      <rPr>
        <b/>
        <sz val="9"/>
        <color theme="1"/>
        <rFont val="Century Schoolbook"/>
        <family val="1"/>
      </rPr>
      <t>1.-</t>
    </r>
    <r>
      <rPr>
        <sz val="10"/>
        <color theme="1"/>
        <rFont val="Arial Narrow"/>
      </rPr>
      <t xml:space="preserve"> Convocar a sesión de trabajo a Directores de carrera.
</t>
    </r>
    <r>
      <rPr>
        <b/>
        <sz val="9"/>
        <color theme="1"/>
        <rFont val="Century Schoolbook"/>
        <family val="1"/>
      </rPr>
      <t>2.-</t>
    </r>
    <r>
      <rPr>
        <sz val="10"/>
        <color theme="1"/>
        <rFont val="Arial Narrow"/>
      </rPr>
      <t xml:space="preserve"> Tomar acuerdo de la reunión de trabajo.
</t>
    </r>
    <r>
      <rPr>
        <b/>
        <sz val="9"/>
        <color theme="1"/>
        <rFont val="Century Schoolbook"/>
        <family val="1"/>
      </rPr>
      <t>3.-</t>
    </r>
    <r>
      <rPr>
        <sz val="10"/>
        <color theme="1"/>
        <rFont val="Arial Narrow"/>
      </rPr>
      <t xml:space="preserve"> Informar al Vicerrectorado Académico sobre el avance de la implementación del proceso.</t>
    </r>
  </si>
  <si>
    <r>
      <rPr>
        <b/>
        <sz val="9"/>
        <color theme="1"/>
        <rFont val="Century Schoolbook"/>
        <family val="1"/>
      </rPr>
      <t>1.-</t>
    </r>
    <r>
      <rPr>
        <sz val="10"/>
        <color theme="1"/>
        <rFont val="Arial Narrow"/>
      </rPr>
      <t xml:space="preserve"> Asistir a reunión con decanos y subdecanos para la elaborar la oferta académica.
</t>
    </r>
    <r>
      <rPr>
        <b/>
        <sz val="9"/>
        <color theme="1"/>
        <rFont val="Century Schoolbook"/>
        <family val="1"/>
      </rPr>
      <t>2.-</t>
    </r>
    <r>
      <rPr>
        <sz val="10"/>
        <color theme="1"/>
        <rFont val="Arial Narrow"/>
      </rPr>
      <t xml:space="preserve"> Asistir a la socialización de la oferta académica.
</t>
    </r>
    <r>
      <rPr>
        <b/>
        <sz val="9"/>
        <color theme="1"/>
        <rFont val="Century Schoolbook"/>
        <family val="1"/>
      </rPr>
      <t>3.-</t>
    </r>
    <r>
      <rPr>
        <sz val="10"/>
        <color theme="1"/>
        <rFont val="Arial Narrow"/>
      </rPr>
      <t xml:space="preserve"> Revisar oferta académica remitida por la Unidad  de Nivelación y Admisión.</t>
    </r>
  </si>
  <si>
    <r>
      <rPr>
        <b/>
        <sz val="9"/>
        <color theme="1"/>
        <rFont val="Century Schoolbook"/>
        <family val="1"/>
      </rPr>
      <t>1.-</t>
    </r>
    <r>
      <rPr>
        <sz val="10"/>
        <color theme="1"/>
        <rFont val="Arial Narrow"/>
      </rPr>
      <t xml:space="preserve"> Convocar a Subdedancos y Directores de carrera.
</t>
    </r>
    <r>
      <rPr>
        <b/>
        <sz val="9"/>
        <color theme="1"/>
        <rFont val="Century Schoolbook"/>
        <family val="1"/>
      </rPr>
      <t>2.-</t>
    </r>
    <r>
      <rPr>
        <sz val="10"/>
        <color theme="1"/>
        <rFont val="Arial Narrow"/>
      </rPr>
      <t xml:space="preserve"> Orientar las tareas para el estudio de pertinencia/factibilidad.
</t>
    </r>
    <r>
      <rPr>
        <b/>
        <sz val="9"/>
        <color theme="1"/>
        <rFont val="Century Schoolbook"/>
        <family val="1"/>
      </rPr>
      <t>3.-</t>
    </r>
    <r>
      <rPr>
        <sz val="10"/>
        <color theme="1"/>
        <rFont val="Arial Narrow"/>
      </rPr>
      <t xml:space="preserve"> Revisar criterio de pertinencia.</t>
    </r>
  </si>
  <si>
    <t>N° de estudios de pertinencia/factibilidad elaborados.</t>
  </si>
  <si>
    <r>
      <t xml:space="preserve">Porcentaje promedio de incremento de cupos desde el </t>
    </r>
    <r>
      <rPr>
        <sz val="10"/>
        <color theme="1"/>
        <rFont val="Century Schoolbook"/>
        <family val="1"/>
      </rPr>
      <t>2021</t>
    </r>
    <r>
      <rPr>
        <sz val="10"/>
        <color theme="1"/>
        <rFont val="Arial Narrow"/>
      </rPr>
      <t xml:space="preserve"> al </t>
    </r>
    <r>
      <rPr>
        <sz val="10"/>
        <color theme="1"/>
        <rFont val="Century Schoolbook"/>
        <family val="1"/>
      </rPr>
      <t>2024.</t>
    </r>
  </si>
  <si>
    <t>N° de carreras no presenciales implementadas o en proceso de implementación.</t>
  </si>
  <si>
    <t>N° de modelos de gestión académica y curricular implementado o en proceso.</t>
  </si>
  <si>
    <t>N° de calendario académico aprobado y sus actualizaciones.</t>
  </si>
  <si>
    <t>N° de cronogramas y directrices elaborados en relación a las actividades del calendario académico.</t>
  </si>
  <si>
    <t>N° de actividades realizadas y/o actas de reuniones para la actualización de la normativa académica.</t>
  </si>
  <si>
    <t>N° de nuevas carreras y rediseños existentes, dirigidos y gestionados.</t>
  </si>
  <si>
    <t>N° de carreras en diferentes modalidades de estudio creadas.</t>
  </si>
  <si>
    <t>N° de proceso de evaluación de la calidad y acreditación de las carreras, asistido.</t>
  </si>
  <si>
    <t>N° de informe elaborado en relación a la implementación del currículo de las carreras.</t>
  </si>
  <si>
    <t>N° de Plan operativo y Matrices de autoevaluación presentados.</t>
  </si>
  <si>
    <t>Creación de carreras en las diferentes modalidades de estudio, de conformidad con la normativa vigente dirigidos.</t>
  </si>
  <si>
    <t>Carreras con modalidad no presenciales.</t>
  </si>
  <si>
    <t>Cupos generados de la oferta académica.</t>
  </si>
  <si>
    <t>Estudio de Pertinencia/factibilidad para la creación de la oferta académica de tercer nivel.</t>
  </si>
  <si>
    <r>
      <t>Pla</t>
    </r>
    <r>
      <rPr>
        <sz val="10"/>
        <color theme="1"/>
        <rFont val="Arial Narrow"/>
      </rPr>
      <t>nificación del currículo en modalidades no presenciales, en coordinación con las  instancias académicas pertinentes, diseñado.</t>
    </r>
  </si>
  <si>
    <t>Programación anual de las actividades académicas institucionales, en coordinación con las instancias pertinentes, elaborado.</t>
  </si>
  <si>
    <t xml:space="preserve">Proceso de consolidación de la Oferta Académica, elaborado.
</t>
  </si>
  <si>
    <t>Tutorías académicas coordinadas.</t>
  </si>
  <si>
    <t>Distributivo Académico elaborado.</t>
  </si>
  <si>
    <t>Planificación Operativa Anual y Evaluación de la Planificación Anual  entregadas oportunamente.</t>
  </si>
  <si>
    <t>Archivo de Gestión Organizado.</t>
  </si>
  <si>
    <t>N° de lineamientos Estratégicos  para la gestión curricular generados.</t>
  </si>
  <si>
    <t>N° de Lineamientos Estratégicos  para la gestión académica  generados.</t>
  </si>
  <si>
    <t>N° de Diseños y actualización curricular elaborados.</t>
  </si>
  <si>
    <t>N° de Planificación curricular modalidades no presenciales gestionados.</t>
  </si>
  <si>
    <t>N° de cronogramas en relación a las actividades del calendario académico elaborados.</t>
  </si>
  <si>
    <t>N° de Carreras Ofertadas.</t>
  </si>
  <si>
    <t>N° de lineamientos implementados para asegurar el correcto desenvolvimiento de las tutorías académicas.</t>
  </si>
  <si>
    <t>N° de Distributivos Validados.</t>
  </si>
  <si>
    <t>N° de Documentos Registrados en el Inventario documental.</t>
  </si>
  <si>
    <r>
      <rPr>
        <b/>
        <sz val="10"/>
        <color rgb="FFFF0000"/>
        <rFont val="Arial Narrow"/>
      </rPr>
      <t>META ESTRATÉGICA</t>
    </r>
    <r>
      <rPr>
        <sz val="10"/>
        <color theme="1"/>
        <rFont val="Arial Narrow"/>
      </rPr>
      <t xml:space="preserve">
</t>
    </r>
    <r>
      <rPr>
        <b/>
        <sz val="9"/>
        <color theme="1"/>
        <rFont val="Century Schoolbook"/>
        <family val="1"/>
      </rPr>
      <t>1.-</t>
    </r>
    <r>
      <rPr>
        <sz val="10"/>
        <color theme="1"/>
        <rFont val="Arial Narrow"/>
      </rPr>
      <t xml:space="preserve"> Determinar el grado de pertinencia de la oferta académica a través de la medición del impacto del perfil de egreso sobre los sectores priorizados a nivel zonal en el marco del régimen de desarrollo nacional.</t>
    </r>
  </si>
  <si>
    <r>
      <rPr>
        <b/>
        <sz val="9"/>
        <color theme="1"/>
        <rFont val="Century Schoolbook"/>
        <family val="1"/>
      </rPr>
      <t>2.-</t>
    </r>
    <r>
      <rPr>
        <sz val="10"/>
        <color theme="1"/>
        <rFont val="Arial Narrow"/>
      </rPr>
      <t xml:space="preserve"> Mejorar la calidad de la oferta académica a través de la creación de nuevas carreras, incremento de cupos de acceso o implementación de nuevas modalidades de estudio, considerando la pertinencia zonal.</t>
    </r>
  </si>
  <si>
    <r>
      <rPr>
        <b/>
        <sz val="9"/>
        <color theme="1"/>
        <rFont val="Century Schoolbook"/>
        <family val="1"/>
      </rPr>
      <t>3.-</t>
    </r>
    <r>
      <rPr>
        <sz val="10"/>
        <color theme="1"/>
        <rFont val="Arial Narrow"/>
      </rPr>
      <t xml:space="preserve"> Mejorar la calidad de la oferta académica a través de la creación de nuevas carreras, incremento de cupos de acceso o implementación de nuevas modalidades de estudio, considerando la pertinencia zonal.</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</si>
  <si>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Elaborar propuesta de directrices para creación de modelo de gestión académica y curricular.</t>
    </r>
  </si>
  <si>
    <r>
      <rPr>
        <b/>
        <sz val="9"/>
        <color theme="1"/>
        <rFont val="Century Schoolbook"/>
        <family val="1"/>
      </rPr>
      <t>2.-</t>
    </r>
    <r>
      <rPr>
        <sz val="10"/>
        <color theme="1"/>
        <rFont val="Arial Narrow"/>
      </rPr>
      <t xml:space="preserve"> Gestionar la aprobación del Calendario Académico.</t>
    </r>
  </si>
  <si>
    <r>
      <rPr>
        <b/>
        <sz val="9"/>
        <color theme="1"/>
        <rFont val="Century Schoolbook"/>
        <family val="1"/>
      </rPr>
      <t>3.-</t>
    </r>
    <r>
      <rPr>
        <sz val="10"/>
        <color theme="1"/>
        <rFont val="Arial Narrow"/>
      </rPr>
      <t xml:space="preserve"> Gestionar la elaboración de cronogramas relacionadas a las actividades establecidas en el calendario académico, de acuerdo a las funciones y atribuciones de la Dirección Académica.</t>
    </r>
  </si>
  <si>
    <r>
      <rPr>
        <b/>
        <sz val="9"/>
        <color theme="1"/>
        <rFont val="Century Schoolbook"/>
        <family val="1"/>
      </rPr>
      <t>4.-</t>
    </r>
    <r>
      <rPr>
        <sz val="10"/>
        <color theme="1"/>
        <rFont val="Arial Narrow"/>
      </rPr>
      <t xml:space="preserve"> Gestionar la actualización de la normativa académica institucional.</t>
    </r>
  </si>
  <si>
    <r>
      <rPr>
        <b/>
        <sz val="9"/>
        <color theme="1"/>
        <rFont val="Century Schoolbook"/>
        <family val="1"/>
      </rPr>
      <t>5.-</t>
    </r>
    <r>
      <rPr>
        <sz val="10"/>
        <color theme="1"/>
        <rFont val="Arial Narrow"/>
        <family val="2"/>
      </rPr>
      <t xml:space="preserve"> Dirigir y gestionar la oferta académica a través del proceso de diseño y actualización curricular de las carreras, en coordinación con otras estructuras académicas institucionales.</t>
    </r>
  </si>
  <si>
    <r>
      <rPr>
        <b/>
        <sz val="9"/>
        <color theme="1"/>
        <rFont val="Century Schoolbook"/>
        <family val="1"/>
      </rPr>
      <t>6.-</t>
    </r>
    <r>
      <rPr>
        <sz val="10"/>
        <color theme="1"/>
        <rFont val="Arial Narrow"/>
        <family val="2"/>
      </rPr>
      <t xml:space="preserve"> Dirigir la creación de carreras en las diferentes modalidades de estudio de conformidad a la normativa vigente.</t>
    </r>
  </si>
  <si>
    <r>
      <rPr>
        <b/>
        <sz val="9"/>
        <color theme="1"/>
        <rFont val="Century Schoolbook"/>
        <family val="1"/>
      </rPr>
      <t>7.-</t>
    </r>
    <r>
      <rPr>
        <sz val="10"/>
        <color theme="1"/>
        <rFont val="Arial Narrow"/>
        <family val="2"/>
      </rPr>
      <t xml:space="preserve"> Apoyar en el proceso de evaluación de la calidad y acreditación de las carreras.</t>
    </r>
  </si>
  <si>
    <r>
      <rPr>
        <b/>
        <sz val="9"/>
        <color theme="1"/>
        <rFont val="Century Schoolbook"/>
        <family val="1"/>
      </rPr>
      <t>8.-</t>
    </r>
    <r>
      <rPr>
        <sz val="10"/>
        <color theme="1"/>
        <rFont val="Arial Narrow"/>
      </rPr>
      <t xml:space="preserve"> Gestionar la implementación del currículo de las carreras, en coordinación con las estructuras académicas.</t>
    </r>
  </si>
  <si>
    <r>
      <rPr>
        <b/>
        <sz val="9"/>
        <color theme="1"/>
        <rFont val="Century Schoolbook"/>
        <family val="1"/>
      </rPr>
      <t>2.-</t>
    </r>
    <r>
      <rPr>
        <sz val="10"/>
        <color theme="1"/>
        <rFont val="Arial Narrow"/>
        <family val="2"/>
      </rPr>
      <t xml:space="preserve"> Generar y ejecutar los lineamientos estratégicos y operativos para la gestión académica.</t>
    </r>
  </si>
  <si>
    <r>
      <rPr>
        <b/>
        <sz val="10"/>
        <color rgb="FFFF0000"/>
        <rFont val="Arial Narrow"/>
      </rPr>
      <t>METAS OPERATIVAS</t>
    </r>
    <r>
      <rPr>
        <sz val="10"/>
        <color theme="1"/>
        <rFont val="Arial Narrow"/>
      </rPr>
      <t xml:space="preserve">
</t>
    </r>
    <r>
      <rPr>
        <b/>
        <sz val="9"/>
        <color theme="1"/>
        <rFont val="Century Schoolbook"/>
        <family val="1"/>
      </rPr>
      <t xml:space="preserve">1.- </t>
    </r>
    <r>
      <rPr>
        <sz val="10"/>
        <color theme="1"/>
        <rFont val="Arial Narrow"/>
      </rPr>
      <t>Generar y Ejecutar los Lineamientos estratégicos y operativos para la gestión curricular.</t>
    </r>
  </si>
  <si>
    <r>
      <rPr>
        <b/>
        <sz val="9"/>
        <color theme="1"/>
        <rFont val="Century Schoolbook"/>
        <family val="1"/>
      </rPr>
      <t>3.-</t>
    </r>
    <r>
      <rPr>
        <sz val="10"/>
        <color theme="1"/>
        <rFont val="Arial Narrow"/>
        <family val="2"/>
      </rPr>
      <t xml:space="preserve"> Identificar y elaborar la actualización del proceso de diseño y actualización curricular de las carreras, en coordinación con la Dirección Académica.</t>
    </r>
  </si>
  <si>
    <r>
      <rPr>
        <b/>
        <sz val="9"/>
        <color theme="1"/>
        <rFont val="Century Schoolbook"/>
        <family val="1"/>
      </rPr>
      <t>4.-</t>
    </r>
    <r>
      <rPr>
        <sz val="10"/>
        <color theme="1"/>
        <rFont val="Arial Narrow"/>
        <family val="2"/>
      </rPr>
      <t xml:space="preserve"> Diseñar la planificación del currículo en modalidades no presenciales, en coordinación con las instancias académicas pertinentes, tomando en cuenta las normativas vigentes y las características de las diferentes carreras.</t>
    </r>
  </si>
  <si>
    <r>
      <rPr>
        <b/>
        <sz val="9"/>
        <color theme="1"/>
        <rFont val="Century Schoolbook"/>
        <family val="1"/>
      </rPr>
      <t>5.-</t>
    </r>
    <r>
      <rPr>
        <sz val="10"/>
        <color theme="1"/>
        <rFont val="Arial Narrow"/>
        <family val="2"/>
      </rPr>
      <t xml:space="preserve"> Elaborar la programación anual de las </t>
    </r>
    <r>
      <rPr>
        <sz val="10"/>
        <color theme="1"/>
        <rFont val="Arial Narrow"/>
      </rPr>
      <t>actividades académicas institucionales, en coordinación con las instancias pertinentes.</t>
    </r>
  </si>
  <si>
    <r>
      <rPr>
        <b/>
        <sz val="9"/>
        <color theme="1"/>
        <rFont val="Century Schoolbook"/>
        <family val="1"/>
      </rPr>
      <t>6.-</t>
    </r>
    <r>
      <rPr>
        <sz val="10"/>
        <color theme="1"/>
        <rFont val="Arial Narrow"/>
        <family val="2"/>
      </rPr>
      <t xml:space="preserve"> Elaborar el proceso de consolidación de la Oferta Académica.</t>
    </r>
  </si>
  <si>
    <r>
      <rPr>
        <b/>
        <sz val="9"/>
        <color theme="1"/>
        <rFont val="Century Schoolbook"/>
        <family val="1"/>
      </rPr>
      <t>7.-</t>
    </r>
    <r>
      <rPr>
        <sz val="10"/>
        <color theme="1"/>
        <rFont val="Arial Narrow"/>
        <family val="2"/>
      </rPr>
      <t xml:space="preserve"> Coordinar las tutorías académicas con las Facultades.</t>
    </r>
  </si>
  <si>
    <r>
      <rPr>
        <b/>
        <sz val="9"/>
        <color theme="1"/>
        <rFont val="Century Schoolbook"/>
        <family val="1"/>
      </rPr>
      <t>8.-</t>
    </r>
    <r>
      <rPr>
        <sz val="10"/>
        <color theme="1"/>
        <rFont val="Arial Narrow"/>
        <family val="2"/>
      </rPr>
      <t xml:space="preserve"> Iniciar el proceso para la elaboración del Distributivo Académico, y verificar el cumplimiento de los lineamientos estratégicos y operativos.</t>
    </r>
  </si>
  <si>
    <r>
      <rPr>
        <b/>
        <sz val="9"/>
        <color theme="1"/>
        <rFont val="Century Schoolbook"/>
        <family val="1"/>
      </rPr>
      <t>9.-</t>
    </r>
    <r>
      <rPr>
        <sz val="10"/>
        <color theme="1"/>
        <rFont val="Arial Narrow"/>
        <family val="2"/>
      </rPr>
      <t xml:space="preserve"> Presentar a la Dirección de Planificación la Planeación y Evaluación del Plan Operativo Anual.</t>
    </r>
  </si>
  <si>
    <r>
      <rPr>
        <b/>
        <sz val="9"/>
        <color theme="1"/>
        <rFont val="Century Schoolbook"/>
        <family val="1"/>
      </rPr>
      <t>10.-</t>
    </r>
    <r>
      <rPr>
        <sz val="10"/>
        <color theme="1"/>
        <rFont val="Arial Narrow"/>
        <family val="2"/>
      </rPr>
      <t xml:space="preserve"> Organizar el archivo de gestión de conformidad con la normativa interna de gestión documental.</t>
    </r>
  </si>
  <si>
    <t>Computadoras Portátiles alto</t>
  </si>
  <si>
    <t>* Dra. Kyra Ramírez,
  Supervisora de la UGC.
* Lic. Jacqueline Valarezo,
  Supervisora de la UGC.</t>
  </si>
  <si>
    <r>
      <t xml:space="preserve">DPLAN: Se traslada este egreso a la DTH por cuanto planificó la necesidad de talento humano para el </t>
    </r>
    <r>
      <rPr>
        <sz val="10"/>
        <color theme="1"/>
        <rFont val="Century Schoolbook"/>
        <family val="1"/>
      </rPr>
      <t>2023</t>
    </r>
    <r>
      <rPr>
        <sz val="10"/>
        <color theme="1"/>
        <rFont val="Arial Narrow"/>
        <family val="2"/>
      </rPr>
      <t xml:space="preserve"> y las necesidades emergentes deberán coordinarse con dicha dependencia.</t>
    </r>
  </si>
  <si>
    <r>
      <t xml:space="preserve">DPLAN: Se modifican parcialmente los egresos en la partida </t>
    </r>
    <r>
      <rPr>
        <sz val="10"/>
        <color theme="1"/>
        <rFont val="Century Schoolbook"/>
        <family val="1"/>
      </rPr>
      <t>840107</t>
    </r>
    <r>
      <rPr>
        <sz val="10"/>
        <color theme="1"/>
        <rFont val="Arial Narrow"/>
        <family val="2"/>
      </rPr>
      <t xml:space="preserve"> por superar el </t>
    </r>
    <r>
      <rPr>
        <sz val="10"/>
        <color theme="1"/>
        <rFont val="Century Schoolbook"/>
        <family val="1"/>
      </rPr>
      <t>20%</t>
    </r>
    <r>
      <rPr>
        <sz val="10"/>
        <color theme="1"/>
        <rFont val="Arial Narrow"/>
        <family val="2"/>
      </rPr>
      <t xml:space="preserve"> del máximo disponible para egresos en el grupo </t>
    </r>
    <r>
      <rPr>
        <sz val="10"/>
        <color theme="1"/>
        <rFont val="Century Schoolbook"/>
        <family val="1"/>
      </rPr>
      <t>84</t>
    </r>
    <r>
      <rPr>
        <sz val="10"/>
        <color theme="1"/>
        <rFont val="Arial Narrow"/>
        <family val="2"/>
      </rPr>
      <t xml:space="preserve"> del Clasificador Presupuestario.</t>
    </r>
  </si>
  <si>
    <r>
      <t xml:space="preserve">DPLAN: Se modifican parcialmente los egresos en la partida </t>
    </r>
    <r>
      <rPr>
        <sz val="10"/>
        <color theme="1"/>
        <rFont val="Century Schoolbook"/>
        <family val="1"/>
      </rPr>
      <t>840104</t>
    </r>
    <r>
      <rPr>
        <sz val="10"/>
        <color theme="1"/>
        <rFont val="Arial Narrow"/>
        <family val="2"/>
      </rPr>
      <t xml:space="preserve"> por superar el </t>
    </r>
    <r>
      <rPr>
        <sz val="10"/>
        <color theme="1"/>
        <rFont val="Century Schoolbook"/>
        <family val="1"/>
      </rPr>
      <t>20%</t>
    </r>
    <r>
      <rPr>
        <sz val="10"/>
        <color theme="1"/>
        <rFont val="Arial Narrow"/>
        <family val="2"/>
      </rPr>
      <t xml:space="preserve"> del máximo disponible para egresos en el grupo </t>
    </r>
    <r>
      <rPr>
        <sz val="10"/>
        <color theme="1"/>
        <rFont val="Century Schoolbook"/>
        <family val="1"/>
      </rPr>
      <t>84</t>
    </r>
    <r>
      <rPr>
        <sz val="10"/>
        <color theme="1"/>
        <rFont val="Arial Narrow"/>
        <family val="2"/>
      </rPr>
      <t xml:space="preserve"> del Clasificador Presupuestario.</t>
    </r>
  </si>
  <si>
    <r>
      <t xml:space="preserve">PAPEL HIGIÉNICO JUMBO HOJA SIMPLE BLANCO </t>
    </r>
    <r>
      <rPr>
        <sz val="10"/>
        <color theme="1"/>
        <rFont val="Century Schoolbook"/>
        <family val="1"/>
      </rPr>
      <t xml:space="preserve">550 </t>
    </r>
    <r>
      <rPr>
        <sz val="10"/>
        <color theme="1"/>
        <rFont val="Arial Narrow"/>
        <family val="2"/>
      </rPr>
      <t>METROS</t>
    </r>
  </si>
  <si>
    <r>
      <t xml:space="preserve">Ambiental varias fragancias en Aerosol </t>
    </r>
    <r>
      <rPr>
        <sz val="10"/>
        <color theme="1"/>
        <rFont val="Century Schoolbook"/>
        <family val="1"/>
      </rPr>
      <t>400</t>
    </r>
    <r>
      <rPr>
        <sz val="10"/>
        <color theme="1"/>
        <rFont val="Arial Narrow"/>
      </rPr>
      <t xml:space="preserve"> CC</t>
    </r>
  </si>
  <si>
    <r>
      <t xml:space="preserve">Funda de basura Domestica negra </t>
    </r>
    <r>
      <rPr>
        <sz val="10"/>
        <color theme="1"/>
        <rFont val="Century Schoolbook"/>
        <family val="1"/>
      </rPr>
      <t>23</t>
    </r>
    <r>
      <rPr>
        <sz val="10"/>
        <color theme="1"/>
        <rFont val="Arial Narrow"/>
      </rPr>
      <t>X</t>
    </r>
    <r>
      <rPr>
        <sz val="10"/>
        <color theme="1"/>
        <rFont val="Century Schoolbook"/>
        <family val="1"/>
      </rPr>
      <t>28</t>
    </r>
    <r>
      <rPr>
        <sz val="10"/>
        <color theme="1"/>
        <rFont val="Arial Narrow"/>
      </rPr>
      <t xml:space="preserve"> PULGADAS</t>
    </r>
  </si>
  <si>
    <r>
      <t xml:space="preserve">Paño de limpieza para superficies </t>
    </r>
    <r>
      <rPr>
        <sz val="10"/>
        <color theme="1"/>
        <rFont val="Century Schoolbook"/>
        <family val="1"/>
      </rPr>
      <t>10</t>
    </r>
    <r>
      <rPr>
        <sz val="10"/>
        <color theme="1"/>
        <rFont val="Arial Narrow"/>
      </rPr>
      <t xml:space="preserve"> unidades</t>
    </r>
  </si>
  <si>
    <r>
      <t xml:space="preserve">Trapeador Plano </t>
    </r>
    <r>
      <rPr>
        <sz val="10"/>
        <color theme="1"/>
        <rFont val="Century Schoolbook"/>
        <family val="1"/>
      </rPr>
      <t>26</t>
    </r>
    <r>
      <rPr>
        <sz val="10"/>
        <color theme="1"/>
        <rFont val="Arial Narrow"/>
      </rPr>
      <t xml:space="preserve"> a </t>
    </r>
    <r>
      <rPr>
        <sz val="10"/>
        <color theme="1"/>
        <rFont val="Century Schoolbook"/>
        <family val="1"/>
      </rPr>
      <t>30</t>
    </r>
    <r>
      <rPr>
        <sz val="10"/>
        <color theme="1"/>
        <rFont val="Arial Narrow"/>
      </rPr>
      <t xml:space="preserve"> cm de largo</t>
    </r>
  </si>
  <si>
    <r>
      <t xml:space="preserve">Escoba de madera fibra de coco </t>
    </r>
    <r>
      <rPr>
        <sz val="10"/>
        <color theme="1"/>
        <rFont val="Century Schoolbook"/>
        <family val="1"/>
      </rPr>
      <t>40</t>
    </r>
    <r>
      <rPr>
        <sz val="10"/>
        <color theme="1"/>
        <rFont val="Arial Narrow"/>
      </rPr>
      <t xml:space="preserve"> cm</t>
    </r>
  </si>
  <si>
    <r>
      <t xml:space="preserve">HIPOCLORITO DE SODIO AL </t>
    </r>
    <r>
      <rPr>
        <sz val="10"/>
        <color theme="1"/>
        <rFont val="Century Schoolbook"/>
        <family val="1"/>
      </rPr>
      <t>10</t>
    </r>
    <r>
      <rPr>
        <sz val="10"/>
        <color theme="1"/>
        <rFont val="Arial Narrow"/>
      </rPr>
      <t xml:space="preserve"> POR CIENTO</t>
    </r>
  </si>
  <si>
    <r>
      <t xml:space="preserve">DETERGENTE EN POLVO FUNDA DE </t>
    </r>
    <r>
      <rPr>
        <sz val="10"/>
        <color theme="1"/>
        <rFont val="Century Schoolbook"/>
        <family val="1"/>
      </rPr>
      <t>5</t>
    </r>
    <r>
      <rPr>
        <sz val="10"/>
        <color theme="1"/>
        <rFont val="Arial Narrow"/>
      </rPr>
      <t xml:space="preserve"> KG</t>
    </r>
  </si>
  <si>
    <r>
      <t xml:space="preserve">Franela Cortada </t>
    </r>
    <r>
      <rPr>
        <sz val="10"/>
        <color theme="1"/>
        <rFont val="Century Schoolbook"/>
        <family val="1"/>
      </rPr>
      <t>1</t>
    </r>
    <r>
      <rPr>
        <sz val="10"/>
        <color theme="1"/>
        <rFont val="Arial Narrow"/>
      </rPr>
      <t xml:space="preserve"> metro</t>
    </r>
  </si>
  <si>
    <r>
      <t xml:space="preserve">Papel toalla de manos blanco en Z </t>
    </r>
    <r>
      <rPr>
        <sz val="10"/>
        <color theme="1"/>
        <rFont val="Century Schoolbook"/>
        <family val="1"/>
      </rPr>
      <t>150</t>
    </r>
    <r>
      <rPr>
        <sz val="10"/>
        <color theme="1"/>
        <rFont val="Arial Narrow"/>
      </rPr>
      <t xml:space="preserve"> Unidades</t>
    </r>
  </si>
  <si>
    <r>
      <t>Botella de tinta original EPSON L</t>
    </r>
    <r>
      <rPr>
        <sz val="10"/>
        <color theme="1"/>
        <rFont val="Century Schoolbook"/>
        <family val="1"/>
      </rPr>
      <t>350</t>
    </r>
    <r>
      <rPr>
        <sz val="10"/>
        <color theme="1"/>
        <rFont val="Arial Narrow"/>
      </rPr>
      <t xml:space="preserve"> color negro</t>
    </r>
  </si>
  <si>
    <r>
      <t>Botella de tinta original EPSON L</t>
    </r>
    <r>
      <rPr>
        <sz val="10"/>
        <color theme="1"/>
        <rFont val="Century Schoolbook"/>
        <family val="1"/>
      </rPr>
      <t>350</t>
    </r>
    <r>
      <rPr>
        <sz val="10"/>
        <color theme="1"/>
        <rFont val="Arial Narrow"/>
      </rPr>
      <t xml:space="preserve"> color azul</t>
    </r>
  </si>
  <si>
    <r>
      <t>Botella de tinta original EPSON L</t>
    </r>
    <r>
      <rPr>
        <sz val="10"/>
        <color theme="1"/>
        <rFont val="Century Schoolbook"/>
        <family val="1"/>
      </rPr>
      <t>350</t>
    </r>
    <r>
      <rPr>
        <sz val="10"/>
        <color theme="1"/>
        <rFont val="Arial Narrow"/>
      </rPr>
      <t xml:space="preserve"> color amarillo</t>
    </r>
  </si>
  <si>
    <r>
      <t>Botella de tinta original EPSON L</t>
    </r>
    <r>
      <rPr>
        <sz val="10"/>
        <color theme="1"/>
        <rFont val="Century Schoolbook"/>
        <family val="1"/>
      </rPr>
      <t>350</t>
    </r>
    <r>
      <rPr>
        <sz val="10"/>
        <color theme="1"/>
        <rFont val="Arial Narrow"/>
      </rPr>
      <t xml:space="preserve"> color rojo</t>
    </r>
  </si>
  <si>
    <r>
      <t xml:space="preserve">COMPUTADORAS PORTÁTILES PERFIL </t>
    </r>
    <r>
      <rPr>
        <sz val="10"/>
        <color theme="1"/>
        <rFont val="Century Schoolbook"/>
        <family val="1"/>
      </rPr>
      <t>4.1</t>
    </r>
  </si>
  <si>
    <t>Vestuario, Lencería, Prendas de Protección</t>
  </si>
  <si>
    <t>* Ing. Manuel López Feijóo
  (Director del DEC)
* Ing. María Isabel Carpio J.
  (Analista del DEC)</t>
  </si>
  <si>
    <t>* Ing. Manuel López Feijóo
  (Director del DEC)
* Lcda. Susana Ramos J.
  (Analista del DEC)</t>
  </si>
  <si>
    <t>* Ing. Manuel López Feijoo
  (Director del DEC)
* Lcda. Susana Ramos J.
  (Analista del DEC)
* Econ. Carlos Reyes C.
  (Analista del DEC)</t>
  </si>
  <si>
    <t>* Ing. Manuel López Feijoo
  (Director del DEC)
* Econ. Carlos Reyes C.
  (Analista del DEC)</t>
  </si>
  <si>
    <r>
      <rPr>
        <b/>
        <sz val="9"/>
        <color theme="1"/>
        <rFont val="Century Schoolbook"/>
        <family val="1"/>
      </rPr>
      <t>1.-</t>
    </r>
    <r>
      <rPr>
        <sz val="10"/>
        <color theme="1"/>
        <rFont val="Arial Narrow"/>
        <family val="2"/>
      </rPr>
      <t xml:space="preserve"> Informe de cumplimiento de actividades ejecutadas.</t>
    </r>
  </si>
  <si>
    <r>
      <rPr>
        <b/>
        <sz val="9"/>
        <color theme="1"/>
        <rFont val="Century Schoolbook"/>
        <family val="1"/>
      </rPr>
      <t>1.-</t>
    </r>
    <r>
      <rPr>
        <sz val="10"/>
        <color theme="1"/>
        <rFont val="Arial Narrow"/>
        <family val="2"/>
      </rPr>
      <t xml:space="preserve"> Planificación de cursos intensivos, test de ubicación, speech.
</t>
    </r>
    <r>
      <rPr>
        <b/>
        <sz val="9"/>
        <color theme="1"/>
        <rFont val="Century Schoolbook"/>
        <family val="1"/>
      </rPr>
      <t>2.-</t>
    </r>
    <r>
      <rPr>
        <sz val="10"/>
        <color theme="1"/>
        <rFont val="Arial Narrow"/>
        <family val="2"/>
      </rPr>
      <t xml:space="preserve"> Planes de clases.
</t>
    </r>
    <r>
      <rPr>
        <b/>
        <sz val="9"/>
        <color theme="1"/>
        <rFont val="Century Schoolbook"/>
        <family val="1"/>
      </rPr>
      <t>3.-</t>
    </r>
    <r>
      <rPr>
        <sz val="10"/>
        <color theme="1"/>
        <rFont val="Arial Narrow"/>
        <family val="2"/>
      </rPr>
      <t xml:space="preserve"> Informes de estudiantes aprobados y reprobados.
</t>
    </r>
  </si>
  <si>
    <r>
      <rPr>
        <b/>
        <sz val="9"/>
        <color theme="1"/>
        <rFont val="Century Schoolbook"/>
        <family val="1"/>
      </rPr>
      <t>1.-</t>
    </r>
    <r>
      <rPr>
        <sz val="10"/>
        <color theme="1"/>
        <rFont val="Arial Narrow"/>
        <family val="2"/>
      </rPr>
      <t xml:space="preserve"> Presupuestos individuales de cada cursos autogestionado.
</t>
    </r>
    <r>
      <rPr>
        <b/>
        <sz val="9"/>
        <color theme="1"/>
        <rFont val="Century Schoolbook"/>
        <family val="1"/>
      </rPr>
      <t>2.-</t>
    </r>
    <r>
      <rPr>
        <sz val="10"/>
        <color theme="1"/>
        <rFont val="Arial Narrow"/>
        <family val="2"/>
      </rPr>
      <t xml:space="preserve"> Consolidado de valores a recaudar.</t>
    </r>
  </si>
  <si>
    <r>
      <rPr>
        <b/>
        <sz val="9"/>
        <color theme="1"/>
        <rFont val="Century Schoolbook"/>
        <family val="1"/>
      </rPr>
      <t>1.-</t>
    </r>
    <r>
      <rPr>
        <sz val="10"/>
        <color theme="1"/>
        <rFont val="Arial Narrow"/>
        <family val="2"/>
      </rPr>
      <t xml:space="preserve"> Listados de participantes matriculados en los diferentes programas.</t>
    </r>
  </si>
  <si>
    <r>
      <rPr>
        <b/>
        <sz val="9"/>
        <color theme="1"/>
        <rFont val="Century Schoolbook"/>
        <family val="1"/>
      </rPr>
      <t>1.-</t>
    </r>
    <r>
      <rPr>
        <sz val="10"/>
        <color theme="1"/>
        <rFont val="Arial Narrow"/>
        <family val="2"/>
      </rPr>
      <t xml:space="preserve"> Oficios de solicitud dirigido a IBEC para toma de examen del idioma portugués.
</t>
    </r>
    <r>
      <rPr>
        <b/>
        <sz val="9"/>
        <color theme="1"/>
        <rFont val="Century Schoolbook"/>
        <family val="1"/>
      </rPr>
      <t>2.-</t>
    </r>
    <r>
      <rPr>
        <sz val="10"/>
        <color theme="1"/>
        <rFont val="Arial Narrow"/>
        <family val="2"/>
      </rPr>
      <t xml:space="preserve"> Acta de estudiantes aprobados en el idioma portugués.</t>
    </r>
  </si>
  <si>
    <r>
      <rPr>
        <b/>
        <sz val="9"/>
        <color theme="1"/>
        <rFont val="Century Schoolbook"/>
        <family val="1"/>
      </rPr>
      <t>1.-</t>
    </r>
    <r>
      <rPr>
        <sz val="10"/>
        <color theme="1"/>
        <rFont val="Arial Narrow"/>
        <family val="2"/>
      </rPr>
      <t xml:space="preserve"> Oficio de solicitud de legalización de certificados en Vicerrectorado Académico.
</t>
    </r>
    <r>
      <rPr>
        <b/>
        <sz val="9"/>
        <color theme="1"/>
        <rFont val="Century Schoolbook"/>
        <family val="1"/>
      </rPr>
      <t>2.-</t>
    </r>
    <r>
      <rPr>
        <sz val="10"/>
        <color theme="1"/>
        <rFont val="Arial Narrow"/>
        <family val="2"/>
      </rPr>
      <t xml:space="preserve"> Matriz de constancia de certificados para la legalización en Rectorado.
</t>
    </r>
    <r>
      <rPr>
        <b/>
        <sz val="9"/>
        <color theme="1"/>
        <rFont val="Century Schoolbook"/>
        <family val="1"/>
      </rPr>
      <t>3.-</t>
    </r>
    <r>
      <rPr>
        <sz val="10"/>
        <color theme="1"/>
        <rFont val="Arial Narrow"/>
        <family val="2"/>
      </rPr>
      <t xml:space="preserve"> Solicitud de codificación y legalización en Secretaria General.</t>
    </r>
  </si>
  <si>
    <r>
      <rPr>
        <b/>
        <sz val="9"/>
        <color theme="1"/>
        <rFont val="Century Schoolbook"/>
        <family val="1"/>
      </rPr>
      <t>1.-</t>
    </r>
    <r>
      <rPr>
        <sz val="10"/>
        <color theme="1"/>
        <rFont val="Arial Narrow"/>
        <family val="2"/>
      </rPr>
      <t xml:space="preserve"> Informe de actividades de proyectos de vinculación  ejecutadas.</t>
    </r>
  </si>
  <si>
    <r>
      <rPr>
        <b/>
        <sz val="9"/>
        <color theme="1"/>
        <rFont val="Century Schoolbook"/>
        <family val="1"/>
      </rPr>
      <t>1.-</t>
    </r>
    <r>
      <rPr>
        <sz val="10"/>
        <color theme="1"/>
        <rFont val="Arial Narrow"/>
        <family val="2"/>
      </rPr>
      <t xml:space="preserve"> Informes de actividades de ejecución.</t>
    </r>
  </si>
  <si>
    <r>
      <rPr>
        <b/>
        <sz val="9"/>
        <color theme="1"/>
        <rFont val="Century Schoolbook"/>
        <family val="1"/>
      </rPr>
      <t>1.-</t>
    </r>
    <r>
      <rPr>
        <sz val="10"/>
        <color theme="1"/>
        <rFont val="Arial Narrow"/>
        <family val="2"/>
      </rPr>
      <t xml:space="preserve"> Cronograma de publicaciones.
</t>
    </r>
    <r>
      <rPr>
        <b/>
        <sz val="9"/>
        <color theme="1"/>
        <rFont val="Century Schoolbook"/>
        <family val="1"/>
      </rPr>
      <t>2.-</t>
    </r>
    <r>
      <rPr>
        <sz val="10"/>
        <color theme="1"/>
        <rFont val="Arial Narrow"/>
        <family val="2"/>
      </rPr>
      <t xml:space="preserve"> Publicaciones en redes sociales y página web.</t>
    </r>
  </si>
  <si>
    <r>
      <rPr>
        <b/>
        <sz val="9"/>
        <color theme="1"/>
        <rFont val="Century Schoolbook"/>
        <family val="1"/>
      </rPr>
      <t>1.-</t>
    </r>
    <r>
      <rPr>
        <sz val="10"/>
        <color theme="1"/>
        <rFont val="Arial Narrow"/>
        <family val="2"/>
      </rPr>
      <t xml:space="preserve"> Contratos ocasionales y civiles de profesionales de apoyo académico.</t>
    </r>
  </si>
  <si>
    <r>
      <rPr>
        <b/>
        <sz val="9"/>
        <color theme="1"/>
        <rFont val="Century Schoolbook"/>
        <family val="1"/>
      </rPr>
      <t>1.-</t>
    </r>
    <r>
      <rPr>
        <sz val="10"/>
        <color theme="1"/>
        <rFont val="Arial Narrow"/>
        <family val="2"/>
      </rPr>
      <t xml:space="preserve"> Matriz consolidada de profesionales que colaboraron en calidad de capacitadores de los diferentes cursos y programas de capacitación de Educación Continua.</t>
    </r>
  </si>
  <si>
    <r>
      <rPr>
        <b/>
        <sz val="9"/>
        <color theme="1"/>
        <rFont val="Century Schoolbook"/>
        <family val="1"/>
      </rPr>
      <t>1.-</t>
    </r>
    <r>
      <rPr>
        <sz val="10"/>
        <color theme="1"/>
        <rFont val="Arial Narrow"/>
        <family val="2"/>
      </rPr>
      <t xml:space="preserve"> Evaluación del POA </t>
    </r>
    <r>
      <rPr>
        <sz val="10"/>
        <color theme="1"/>
        <rFont val="Century Schoolbook"/>
        <family val="1"/>
      </rPr>
      <t>2023.</t>
    </r>
    <r>
      <rPr>
        <sz val="10"/>
        <color theme="1"/>
        <rFont val="Arial Narrow"/>
        <family val="2"/>
      </rPr>
      <t xml:space="preserve">
</t>
    </r>
    <r>
      <rPr>
        <b/>
        <sz val="9"/>
        <color theme="1"/>
        <rFont val="Century Schoolbook"/>
        <family val="1"/>
      </rPr>
      <t>2.-</t>
    </r>
    <r>
      <rPr>
        <sz val="10"/>
        <color theme="1"/>
        <rFont val="Arial Narrow"/>
        <family val="2"/>
      </rPr>
      <t xml:space="preserve"> POA </t>
    </r>
    <r>
      <rPr>
        <sz val="10"/>
        <color theme="1"/>
        <rFont val="Century Schoolbook"/>
        <family val="1"/>
      </rPr>
      <t>2024.</t>
    </r>
  </si>
  <si>
    <r>
      <rPr>
        <b/>
        <sz val="9"/>
        <color theme="1"/>
        <rFont val="Century Schoolbook"/>
        <family val="1"/>
      </rPr>
      <t>1.-</t>
    </r>
    <r>
      <rPr>
        <sz val="10"/>
        <color theme="1"/>
        <rFont val="Arial Narrow"/>
        <family val="2"/>
      </rPr>
      <t xml:space="preserve"> Matriz de inventario documental.</t>
    </r>
  </si>
  <si>
    <r>
      <rPr>
        <b/>
        <sz val="9"/>
        <color theme="1"/>
        <rFont val="Century Schoolbook"/>
        <family val="1"/>
      </rPr>
      <t>1.-</t>
    </r>
    <r>
      <rPr>
        <sz val="10"/>
        <color theme="1"/>
        <rFont val="Arial Narrow"/>
        <family val="2"/>
      </rPr>
      <t xml:space="preserve"> Coordinar reuniones de orientación para la elaboración del plan anual del CEC.
</t>
    </r>
    <r>
      <rPr>
        <b/>
        <sz val="9"/>
        <color theme="1"/>
        <rFont val="Century Schoolbook"/>
        <family val="1"/>
      </rPr>
      <t>2.-</t>
    </r>
    <r>
      <rPr>
        <sz val="10"/>
        <color theme="1"/>
        <rFont val="Arial Narrow"/>
        <family val="2"/>
      </rPr>
      <t xml:space="preserve"> Levantar información en base a necesidades y requerimientos.
</t>
    </r>
    <r>
      <rPr>
        <b/>
        <sz val="9"/>
        <color theme="1"/>
        <rFont val="Century Schoolbook"/>
        <family val="1"/>
      </rPr>
      <t>3.-</t>
    </r>
    <r>
      <rPr>
        <sz val="10"/>
        <color theme="1"/>
        <rFont val="Arial Narrow"/>
        <family val="2"/>
      </rPr>
      <t xml:space="preserve"> Gestionar la aprobación de la planificación.</t>
    </r>
  </si>
  <si>
    <r>
      <rPr>
        <b/>
        <sz val="9"/>
        <color theme="1"/>
        <rFont val="Century Schoolbook"/>
        <family val="1"/>
      </rPr>
      <t>1.-</t>
    </r>
    <r>
      <rPr>
        <sz val="10"/>
        <color theme="1"/>
        <rFont val="Arial Narrow"/>
        <family val="2"/>
      </rPr>
      <t xml:space="preserve"> Coordinar reuniones para la elaboración y socialización de distributivo de cursos de lengua extranjera.
</t>
    </r>
    <r>
      <rPr>
        <b/>
        <sz val="9"/>
        <color theme="1"/>
        <rFont val="Century Schoolbook"/>
        <family val="1"/>
      </rPr>
      <t>2.-</t>
    </r>
    <r>
      <rPr>
        <sz val="10"/>
        <color theme="1"/>
        <rFont val="Arial Narrow"/>
        <family val="2"/>
      </rPr>
      <t xml:space="preserve"> Gestionar la aprobación de la planificación y distributivos de periodos de clases de inglés.</t>
    </r>
  </si>
  <si>
    <r>
      <rPr>
        <b/>
        <sz val="9"/>
        <color theme="1"/>
        <rFont val="Century Schoolbook"/>
        <family val="1"/>
      </rPr>
      <t>1.-</t>
    </r>
    <r>
      <rPr>
        <sz val="10"/>
        <color theme="1"/>
        <rFont val="Arial Narrow"/>
        <family val="2"/>
      </rPr>
      <t xml:space="preserve"> Coordinar reunión para la determinación de valores a recaudar.
</t>
    </r>
    <r>
      <rPr>
        <b/>
        <sz val="9"/>
        <color theme="1"/>
        <rFont val="Century Schoolbook"/>
        <family val="1"/>
      </rPr>
      <t>2.-</t>
    </r>
    <r>
      <rPr>
        <sz val="10"/>
        <color theme="1"/>
        <rFont val="Arial Narrow"/>
        <family val="2"/>
      </rPr>
      <t xml:space="preserve"> Elaboración de presupuestos individuales de los cursos.</t>
    </r>
  </si>
  <si>
    <r>
      <rPr>
        <b/>
        <sz val="9"/>
        <color theme="1"/>
        <rFont val="Century Schoolbook"/>
        <family val="1"/>
      </rPr>
      <t>1.-</t>
    </r>
    <r>
      <rPr>
        <sz val="10"/>
        <color theme="1"/>
        <rFont val="Arial Narrow"/>
        <family val="2"/>
      </rPr>
      <t xml:space="preserve"> Crear cursos en el sistema de matriculación de Educación Continua.
</t>
    </r>
    <r>
      <rPr>
        <b/>
        <sz val="9"/>
        <color theme="1"/>
        <rFont val="Century Schoolbook"/>
        <family val="1"/>
      </rPr>
      <t>2.-</t>
    </r>
    <r>
      <rPr>
        <sz val="10"/>
        <color theme="1"/>
        <rFont val="Arial Narrow"/>
        <family val="2"/>
      </rPr>
      <t xml:space="preserve"> Validar matrículas en el SISMAT previo a la ejecución de los diferentes cursos.</t>
    </r>
  </si>
  <si>
    <r>
      <rPr>
        <b/>
        <sz val="9"/>
        <color theme="1"/>
        <rFont val="Century Schoolbook"/>
        <family val="1"/>
      </rPr>
      <t>1.-</t>
    </r>
    <r>
      <rPr>
        <sz val="10"/>
        <color theme="1"/>
        <rFont val="Arial Narrow"/>
        <family val="2"/>
      </rPr>
      <t xml:space="preserve"> Solicitar la toma de examen a IBEC.
</t>
    </r>
    <r>
      <rPr>
        <b/>
        <sz val="9"/>
        <color theme="1"/>
        <rFont val="Century Schoolbook"/>
        <family val="1"/>
      </rPr>
      <t>2.-</t>
    </r>
    <r>
      <rPr>
        <sz val="10"/>
        <color theme="1"/>
        <rFont val="Arial Narrow"/>
        <family val="2"/>
      </rPr>
      <t xml:space="preserve"> Emitir el  listado de postulantes.
</t>
    </r>
    <r>
      <rPr>
        <b/>
        <sz val="9"/>
        <color theme="1"/>
        <rFont val="Century Schoolbook"/>
        <family val="1"/>
      </rPr>
      <t>3.-</t>
    </r>
    <r>
      <rPr>
        <sz val="10"/>
        <color theme="1"/>
        <rFont val="Arial Narrow"/>
        <family val="2"/>
      </rPr>
      <t xml:space="preserve"> Gestionar infraestructura para toma de examen.
</t>
    </r>
    <r>
      <rPr>
        <b/>
        <sz val="9"/>
        <color theme="1"/>
        <rFont val="Century Schoolbook"/>
        <family val="1"/>
      </rPr>
      <t>4.-</t>
    </r>
    <r>
      <rPr>
        <sz val="10"/>
        <color theme="1"/>
        <rFont val="Arial Narrow"/>
        <family val="2"/>
      </rPr>
      <t xml:space="preserve"> Ejecutar la toma de examen a postulantes.</t>
    </r>
  </si>
  <si>
    <r>
      <rPr>
        <b/>
        <sz val="9"/>
        <color theme="1"/>
        <rFont val="Century Schoolbook"/>
        <family val="1"/>
      </rPr>
      <t>1.-</t>
    </r>
    <r>
      <rPr>
        <sz val="10"/>
        <color theme="1"/>
        <rFont val="Arial Narrow"/>
        <family val="2"/>
      </rPr>
      <t xml:space="preserve"> Revisar actas de aprobación y/o asistencia.
</t>
    </r>
    <r>
      <rPr>
        <b/>
        <sz val="9"/>
        <color theme="1"/>
        <rFont val="Century Schoolbook"/>
        <family val="1"/>
      </rPr>
      <t>2.-</t>
    </r>
    <r>
      <rPr>
        <sz val="10"/>
        <color theme="1"/>
        <rFont val="Arial Narrow"/>
        <family val="2"/>
      </rPr>
      <t xml:space="preserve"> Elaborar formato de certificados.
</t>
    </r>
    <r>
      <rPr>
        <b/>
        <sz val="9"/>
        <color theme="1"/>
        <rFont val="Century Schoolbook"/>
        <family val="1"/>
      </rPr>
      <t>3.-</t>
    </r>
    <r>
      <rPr>
        <sz val="10"/>
        <color theme="1"/>
        <rFont val="Arial Narrow"/>
        <family val="2"/>
      </rPr>
      <t xml:space="preserve"> Llenar información en formato.
</t>
    </r>
    <r>
      <rPr>
        <b/>
        <sz val="9"/>
        <color theme="1"/>
        <rFont val="Century Schoolbook"/>
        <family val="1"/>
      </rPr>
      <t>4.-</t>
    </r>
    <r>
      <rPr>
        <sz val="10"/>
        <color theme="1"/>
        <rFont val="Arial Narrow"/>
        <family val="2"/>
      </rPr>
      <t xml:space="preserve"> Elaborar matriz de entrega y/o recepción de certificados.
</t>
    </r>
    <r>
      <rPr>
        <b/>
        <sz val="9"/>
        <color theme="1"/>
        <rFont val="Century Schoolbook"/>
        <family val="1"/>
      </rPr>
      <t>5.-</t>
    </r>
    <r>
      <rPr>
        <sz val="10"/>
        <color theme="1"/>
        <rFont val="Arial Narrow"/>
        <family val="2"/>
      </rPr>
      <t xml:space="preserve"> Ejecutar la legalización de certificados.
</t>
    </r>
    <r>
      <rPr>
        <b/>
        <sz val="9"/>
        <color theme="1"/>
        <rFont val="Century Schoolbook"/>
        <family val="1"/>
      </rPr>
      <t>6.-</t>
    </r>
    <r>
      <rPr>
        <sz val="10"/>
        <color theme="1"/>
        <rFont val="Arial Narrow"/>
        <family val="2"/>
      </rPr>
      <t xml:space="preserve"> Realizar el registro de certificados en Secretaria General.</t>
    </r>
  </si>
  <si>
    <r>
      <rPr>
        <b/>
        <sz val="9"/>
        <color theme="1"/>
        <rFont val="Century Schoolbook"/>
        <family val="1"/>
      </rPr>
      <t>1.-</t>
    </r>
    <r>
      <rPr>
        <sz val="10"/>
        <color theme="1"/>
        <rFont val="Arial Narrow"/>
        <family val="2"/>
      </rPr>
      <t xml:space="preserve"> Coordinar reuniones de orientación para la elaboración del plan anual del CEC.
</t>
    </r>
    <r>
      <rPr>
        <b/>
        <sz val="9"/>
        <color theme="1"/>
        <rFont val="Century Schoolbook"/>
        <family val="1"/>
      </rPr>
      <t>2.-</t>
    </r>
    <r>
      <rPr>
        <sz val="10"/>
        <color theme="1"/>
        <rFont val="Arial Narrow"/>
        <family val="2"/>
      </rPr>
      <t xml:space="preserve"> Levantar información en base a necesidades y requerimientos de facultades e institución que mantienen convenio con la Utmach.
</t>
    </r>
    <r>
      <rPr>
        <b/>
        <sz val="9"/>
        <color theme="1"/>
        <rFont val="Century Schoolbook"/>
        <family val="1"/>
      </rPr>
      <t>3.-</t>
    </r>
    <r>
      <rPr>
        <sz val="10"/>
        <color theme="1"/>
        <rFont val="Arial Narrow"/>
        <family val="2"/>
      </rPr>
      <t xml:space="preserve"> Gestionar la aprobación de la planificación.</t>
    </r>
  </si>
  <si>
    <r>
      <rPr>
        <b/>
        <sz val="9"/>
        <color theme="1"/>
        <rFont val="Century Schoolbook"/>
        <family val="1"/>
      </rPr>
      <t>1.-</t>
    </r>
    <r>
      <rPr>
        <sz val="10"/>
        <color theme="1"/>
        <rFont val="Arial Narrow"/>
        <family val="2"/>
      </rPr>
      <t xml:space="preserve"> Elaborar matrices de seguimiento y control de ejecución de cursos.
</t>
    </r>
    <r>
      <rPr>
        <b/>
        <sz val="9"/>
        <color theme="1"/>
        <rFont val="Century Schoolbook"/>
        <family val="1"/>
      </rPr>
      <t>2.-</t>
    </r>
    <r>
      <rPr>
        <sz val="10"/>
        <color theme="1"/>
        <rFont val="Arial Narrow"/>
        <family val="2"/>
      </rPr>
      <t xml:space="preserve"> Evaluar y revisar informes de actividades.</t>
    </r>
  </si>
  <si>
    <r>
      <rPr>
        <b/>
        <sz val="9"/>
        <color theme="1"/>
        <rFont val="Century Schoolbook"/>
        <family val="1"/>
      </rPr>
      <t>1.-</t>
    </r>
    <r>
      <rPr>
        <sz val="10"/>
        <color theme="1"/>
        <rFont val="Arial Narrow"/>
        <family val="2"/>
      </rPr>
      <t xml:space="preserve"> Coordinar sesiones de trabajo para creación de estrategias publicitarias.
</t>
    </r>
    <r>
      <rPr>
        <b/>
        <sz val="9"/>
        <color theme="1"/>
        <rFont val="Century Schoolbook"/>
        <family val="1"/>
      </rPr>
      <t>2.-</t>
    </r>
    <r>
      <rPr>
        <sz val="10"/>
        <color theme="1"/>
        <rFont val="Arial Narrow"/>
        <family val="2"/>
      </rPr>
      <t xml:space="preserve"> Gestionar los medios de comunicación para difusión de información.</t>
    </r>
  </si>
  <si>
    <r>
      <rPr>
        <b/>
        <sz val="9"/>
        <rFont val="Century Schoolbook"/>
        <family val="1"/>
      </rPr>
      <t>1.-</t>
    </r>
    <r>
      <rPr>
        <sz val="10"/>
        <rFont val="Arial Narrow"/>
        <family val="2"/>
      </rPr>
      <t xml:space="preserve"> Coordinar reunión para socialización y aprobación de profesionales para impartir cursos de inglés y otros programas.</t>
    </r>
  </si>
  <si>
    <r>
      <rPr>
        <b/>
        <sz val="9"/>
        <color theme="1"/>
        <rFont val="Century Schoolbook"/>
        <family val="1"/>
      </rPr>
      <t>1.-</t>
    </r>
    <r>
      <rPr>
        <sz val="10"/>
        <color theme="1"/>
        <rFont val="Arial Narrow"/>
        <family val="2"/>
      </rPr>
      <t xml:space="preserve"> Actualizar base de datos de profesionales de cursos gratuitos y autogestionados.</t>
    </r>
  </si>
  <si>
    <r>
      <rPr>
        <b/>
        <sz val="9"/>
        <color theme="1"/>
        <rFont val="Century Schoolbook"/>
        <family val="1"/>
      </rPr>
      <t>1.-</t>
    </r>
    <r>
      <rPr>
        <sz val="10"/>
        <color theme="1"/>
        <rFont val="Arial Narrow"/>
        <family val="2"/>
      </rPr>
      <t xml:space="preserve"> Revisar actas de aprobación y/o asistencia.
</t>
    </r>
    <r>
      <rPr>
        <b/>
        <sz val="9"/>
        <color theme="1"/>
        <rFont val="Century Schoolbook"/>
        <family val="1"/>
      </rPr>
      <t>2.-</t>
    </r>
    <r>
      <rPr>
        <sz val="10"/>
        <color theme="1"/>
        <rFont val="Arial Narrow"/>
        <family val="2"/>
      </rPr>
      <t xml:space="preserve"> Elaborar matriz de entrega y/o recepción de certificados.
</t>
    </r>
    <r>
      <rPr>
        <b/>
        <sz val="9"/>
        <color theme="1"/>
        <rFont val="Century Schoolbook"/>
        <family val="1"/>
      </rPr>
      <t>3.-</t>
    </r>
    <r>
      <rPr>
        <sz val="10"/>
        <color theme="1"/>
        <rFont val="Arial Narrow"/>
        <family val="2"/>
      </rPr>
      <t xml:space="preserve"> Ejecutar la legalización de certificados.
</t>
    </r>
    <r>
      <rPr>
        <b/>
        <sz val="9"/>
        <color theme="1"/>
        <rFont val="Century Schoolbook"/>
        <family val="1"/>
      </rPr>
      <t>4.-</t>
    </r>
    <r>
      <rPr>
        <sz val="10"/>
        <color theme="1"/>
        <rFont val="Arial Narrow"/>
        <family val="2"/>
      </rPr>
      <t xml:space="preserve"> Realizar el registro de certificados en Secretaria General.</t>
    </r>
  </si>
  <si>
    <r>
      <rPr>
        <b/>
        <sz val="9"/>
        <color theme="1"/>
        <rFont val="Century Schoolbook"/>
        <family val="1"/>
      </rPr>
      <t>1.-</t>
    </r>
    <r>
      <rPr>
        <sz val="10"/>
        <color theme="1"/>
        <rFont val="Arial Narrow"/>
        <family val="2"/>
      </rPr>
      <t xml:space="preserve"> Coordinar reunión de trabajo para revisión de proyectos ejecutados y archivados.
</t>
    </r>
    <r>
      <rPr>
        <b/>
        <sz val="9"/>
        <color theme="1"/>
        <rFont val="Century Schoolbook"/>
        <family val="1"/>
      </rPr>
      <t>2.-</t>
    </r>
    <r>
      <rPr>
        <sz val="10"/>
        <color theme="1"/>
        <rFont val="Arial Narrow"/>
        <family val="2"/>
      </rPr>
      <t xml:space="preserve"> Recopilar banner publicitario de cursos ofertados y ejecutados.
</t>
    </r>
    <r>
      <rPr>
        <b/>
        <sz val="9"/>
        <color theme="1"/>
        <rFont val="Century Schoolbook"/>
        <family val="1"/>
      </rPr>
      <t>3.-</t>
    </r>
    <r>
      <rPr>
        <sz val="10"/>
        <color theme="1"/>
        <rFont val="Arial Narrow"/>
        <family val="2"/>
      </rPr>
      <t xml:space="preserve"> Revisar convenios suscritos.
</t>
    </r>
    <r>
      <rPr>
        <b/>
        <sz val="9"/>
        <color theme="1"/>
        <rFont val="Century Schoolbook"/>
        <family val="1"/>
      </rPr>
      <t>4.-</t>
    </r>
    <r>
      <rPr>
        <sz val="10"/>
        <color theme="1"/>
        <rFont val="Arial Narrow"/>
        <family val="2"/>
      </rPr>
      <t xml:space="preserve"> Revisar el Plan Anual de Desarrollo (PND).</t>
    </r>
  </si>
  <si>
    <r>
      <rPr>
        <b/>
        <sz val="9"/>
        <color theme="1"/>
        <rFont val="Century Schoolbook"/>
        <family val="1"/>
      </rPr>
      <t>1.-</t>
    </r>
    <r>
      <rPr>
        <sz val="10"/>
        <color theme="1"/>
        <rFont val="Arial Narrow"/>
        <family val="2"/>
      </rPr>
      <t xml:space="preserve"> Recopilar la documentación de procesos internos/externos.
</t>
    </r>
    <r>
      <rPr>
        <b/>
        <sz val="9"/>
        <color theme="1"/>
        <rFont val="Century Schoolbook"/>
        <family val="1"/>
      </rPr>
      <t>2.-</t>
    </r>
    <r>
      <rPr>
        <sz val="10"/>
        <color theme="1"/>
        <rFont val="Arial Narrow"/>
        <family val="2"/>
      </rPr>
      <t xml:space="preserve"> Revisar habilitantes por procesos ejecutados bajo lineamientos de Educación Continua.
</t>
    </r>
    <r>
      <rPr>
        <b/>
        <sz val="9"/>
        <color theme="1"/>
        <rFont val="Century Schoolbook"/>
        <family val="1"/>
      </rPr>
      <t>3.-</t>
    </r>
    <r>
      <rPr>
        <sz val="10"/>
        <color theme="1"/>
        <rFont val="Arial Narrow"/>
        <family val="2"/>
      </rPr>
      <t xml:space="preserve"> Valorar y transferir la información a la plantilla de gestión documental.</t>
    </r>
  </si>
  <si>
    <t>N° de capacitaciones autofinanciadas ejecutadas y evaluadas.</t>
  </si>
  <si>
    <t>N° de cursos de inglés programados.</t>
  </si>
  <si>
    <t>N° de Presupuestos elaborados.</t>
  </si>
  <si>
    <t>N° de participantes matriculados en los diferentes cursos y programas.</t>
  </si>
  <si>
    <t>N° de evaluaciones de conocimientos de lengua extranjera ejecutadas.</t>
  </si>
  <si>
    <t>N° de certificados elaborados.</t>
  </si>
  <si>
    <t>N° de capacitaciones gratuitas ejecutadas.</t>
  </si>
  <si>
    <t>N° de capacitaciones con instituciones públicas y/o  privadas ejecutadas.</t>
  </si>
  <si>
    <t>N° de difusión de publicidad ejecutada.</t>
  </si>
  <si>
    <t>N° de datas actualizadas.</t>
  </si>
  <si>
    <t>N° de certificados codificados.</t>
  </si>
  <si>
    <t>N° de Planificaciones Operativas Anuales y Evaluaciones del POA entregadas oportunamente.</t>
  </si>
  <si>
    <t>N° de Cajas de archivos organizado.</t>
  </si>
  <si>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Gestionar la Planificación Anual de los Proyectos de capacitación Educación Continua Autofinanciada.</t>
    </r>
  </si>
  <si>
    <r>
      <rPr>
        <b/>
        <sz val="9"/>
        <color theme="1"/>
        <rFont val="Century Schoolbook"/>
        <family val="1"/>
      </rPr>
      <t>2.-</t>
    </r>
    <r>
      <rPr>
        <sz val="10"/>
        <color theme="1"/>
        <rFont val="Arial Narrow"/>
      </rPr>
      <t xml:space="preserve"> Planificar y ejecutar los programas de aprendizaje de segundas lenguas extranjeras.</t>
    </r>
  </si>
  <si>
    <r>
      <rPr>
        <b/>
        <sz val="9"/>
        <color theme="1"/>
        <rFont val="Century Schoolbook"/>
        <family val="1"/>
      </rPr>
      <t>3.-</t>
    </r>
    <r>
      <rPr>
        <sz val="10"/>
        <color theme="1"/>
        <rFont val="Arial Narrow"/>
      </rPr>
      <t xml:space="preserve"> Autogestionar y administrar recursos.</t>
    </r>
  </si>
  <si>
    <r>
      <rPr>
        <b/>
        <sz val="9"/>
        <color theme="1"/>
        <rFont val="Century Schoolbook"/>
        <family val="1"/>
      </rPr>
      <t>4.-</t>
    </r>
    <r>
      <rPr>
        <sz val="10"/>
        <color theme="1"/>
        <rFont val="Arial Narrow"/>
      </rPr>
      <t xml:space="preserve"> Gestionar matrículas y homologaciones.</t>
    </r>
  </si>
  <si>
    <r>
      <rPr>
        <b/>
        <sz val="9"/>
        <color theme="1"/>
        <rFont val="Century Schoolbook"/>
        <family val="1"/>
      </rPr>
      <t>5.-</t>
    </r>
    <r>
      <rPr>
        <sz val="10"/>
        <color theme="1"/>
        <rFont val="Arial Narrow"/>
      </rPr>
      <t xml:space="preserve"> Dirigir evaluaciones de conocimientos de lengua extranjera.</t>
    </r>
  </si>
  <si>
    <r>
      <rPr>
        <b/>
        <sz val="9"/>
        <color theme="1"/>
        <rFont val="Century Schoolbook"/>
        <family val="1"/>
      </rPr>
      <t>6.-</t>
    </r>
    <r>
      <rPr>
        <sz val="10"/>
        <color theme="1"/>
        <rFont val="Arial Narrow"/>
      </rPr>
      <t xml:space="preserve"> Gestionar para el proceso de emisión de certificaciones de competencia laboral a usuario.</t>
    </r>
  </si>
  <si>
    <r>
      <rPr>
        <b/>
        <sz val="9"/>
        <color theme="1"/>
        <rFont val="Century Schoolbook"/>
        <family val="1"/>
      </rPr>
      <t>7.-</t>
    </r>
    <r>
      <rPr>
        <sz val="10"/>
        <color theme="1"/>
        <rFont val="Arial Narrow"/>
      </rPr>
      <t xml:space="preserve"> Gestionar la Planificación Anual de los Proyectos de capacitación gratuitas, sociales e inclusivas de Educación Continua.</t>
    </r>
  </si>
  <si>
    <r>
      <rPr>
        <b/>
        <sz val="9"/>
        <color theme="1"/>
        <rFont val="Century Schoolbook"/>
        <family val="1"/>
      </rPr>
      <t>8.-</t>
    </r>
    <r>
      <rPr>
        <sz val="10"/>
        <color theme="1"/>
        <rFont val="Arial Narrow"/>
      </rPr>
      <t xml:space="preserve"> Supervisar y evaluar la ejecución de la planificación anual de la educación continua.</t>
    </r>
  </si>
  <si>
    <r>
      <rPr>
        <b/>
        <sz val="9"/>
        <color theme="1"/>
        <rFont val="Century Schoolbook"/>
        <family val="1"/>
      </rPr>
      <t>9.-</t>
    </r>
    <r>
      <rPr>
        <sz val="10"/>
        <color theme="1"/>
        <rFont val="Arial Narrow"/>
      </rPr>
      <t xml:space="preserve"> Diseñar y/o actualizar las acciones de divulgación y difusión de la educación continua.</t>
    </r>
  </si>
  <si>
    <r>
      <rPr>
        <b/>
        <sz val="9"/>
        <color theme="1"/>
        <rFont val="Century Schoolbook"/>
        <family val="1"/>
      </rPr>
      <t>10.-</t>
    </r>
    <r>
      <rPr>
        <sz val="10"/>
        <color theme="1"/>
        <rFont val="Arial Narrow"/>
      </rPr>
      <t xml:space="preserve"> Coordinar la selección de personal de apoyo académico.</t>
    </r>
  </si>
  <si>
    <r>
      <rPr>
        <b/>
        <sz val="9"/>
        <color theme="1"/>
        <rFont val="Century Schoolbook"/>
        <family val="1"/>
      </rPr>
      <t>11.-</t>
    </r>
    <r>
      <rPr>
        <sz val="10"/>
        <color theme="1"/>
        <rFont val="Arial Narrow"/>
      </rPr>
      <t xml:space="preserve"> Actualizar la Base de datos de los facilitadores de los cursos, talleres y demás similares.</t>
    </r>
  </si>
  <si>
    <r>
      <rPr>
        <b/>
        <sz val="9"/>
        <color theme="1"/>
        <rFont val="Century Schoolbook"/>
        <family val="1"/>
      </rPr>
      <t>12.-</t>
    </r>
    <r>
      <rPr>
        <sz val="10"/>
        <color theme="1"/>
        <rFont val="Arial Narrow"/>
        <family val="2"/>
      </rPr>
      <t xml:space="preserve"> Certificaciones emitidas por la dependencia codificada.</t>
    </r>
  </si>
  <si>
    <r>
      <rPr>
        <b/>
        <sz val="9"/>
        <color theme="1"/>
        <rFont val="Century Schoolbook"/>
        <family val="1"/>
      </rPr>
      <t>13.-</t>
    </r>
    <r>
      <rPr>
        <sz val="10"/>
        <color theme="1"/>
        <rFont val="Arial Narrow"/>
      </rPr>
      <t xml:space="preserve"> Entrega de la Planificación Operativa Anual y Evaluación de la Planificación Operativa Anual.</t>
    </r>
  </si>
  <si>
    <r>
      <rPr>
        <b/>
        <sz val="9"/>
        <color theme="1"/>
        <rFont val="Century Schoolbook"/>
        <family val="1"/>
      </rPr>
      <t>14.-</t>
    </r>
    <r>
      <rPr>
        <sz val="10"/>
        <color theme="1"/>
        <rFont val="Arial Narrow"/>
      </rPr>
      <t xml:space="preserve"> Organizar el archivo de Gestión.</t>
    </r>
  </si>
  <si>
    <r>
      <t xml:space="preserve">DPLAN: El egreso de la partida </t>
    </r>
    <r>
      <rPr>
        <sz val="10"/>
        <color theme="1"/>
        <rFont val="Century Schoolbook"/>
        <family val="1"/>
      </rPr>
      <t>840107</t>
    </r>
    <r>
      <rPr>
        <sz val="10"/>
        <color theme="1"/>
        <rFont val="Arial Narrow"/>
        <family val="2"/>
      </rPr>
      <t xml:space="preserve"> se centraliza en </t>
    </r>
    <r>
      <rPr>
        <sz val="10"/>
        <color theme="1"/>
        <rFont val="Century Schoolbook"/>
        <family val="1"/>
      </rPr>
      <t>17</t>
    </r>
    <r>
      <rPr>
        <sz val="10"/>
        <color theme="1"/>
        <rFont val="Arial Narrow"/>
        <family val="2"/>
      </rPr>
      <t>. DTIC.</t>
    </r>
  </si>
  <si>
    <r>
      <t xml:space="preserve">Laptop Ultrabook </t>
    </r>
    <r>
      <rPr>
        <sz val="10"/>
        <color theme="1"/>
        <rFont val="Century Schoolbook"/>
        <family val="1"/>
      </rPr>
      <t>14</t>
    </r>
    <r>
      <rPr>
        <sz val="10"/>
        <color theme="1"/>
        <rFont val="Arial Narrow"/>
        <family val="2"/>
      </rPr>
      <t xml:space="preserve"> pulgadas, chip Apple M</t>
    </r>
    <r>
      <rPr>
        <sz val="10"/>
        <color theme="1"/>
        <rFont val="Century Schoolbook"/>
        <family val="1"/>
      </rPr>
      <t>1</t>
    </r>
    <r>
      <rPr>
        <sz val="10"/>
        <color theme="1"/>
        <rFont val="Arial Narrow"/>
        <family val="2"/>
      </rPr>
      <t xml:space="preserve"> Pro con CPU de </t>
    </r>
    <r>
      <rPr>
        <sz val="10"/>
        <color theme="1"/>
        <rFont val="Century Schoolbook"/>
        <family val="1"/>
      </rPr>
      <t>10</t>
    </r>
    <r>
      <rPr>
        <sz val="10"/>
        <color theme="1"/>
        <rFont val="Arial Narrow"/>
        <family val="2"/>
      </rPr>
      <t xml:space="preserve"> núcleos y GPU de </t>
    </r>
    <r>
      <rPr>
        <sz val="10"/>
        <color theme="1"/>
        <rFont val="Century Schoolbook"/>
        <family val="1"/>
      </rPr>
      <t>16</t>
    </r>
    <r>
      <rPr>
        <sz val="10"/>
        <color theme="1"/>
        <rFont val="Arial Narrow"/>
        <family val="2"/>
      </rPr>
      <t xml:space="preserve"> núcleos, </t>
    </r>
    <r>
      <rPr>
        <sz val="10"/>
        <color theme="1"/>
        <rFont val="Century Schoolbook"/>
        <family val="1"/>
      </rPr>
      <t>16</t>
    </r>
    <r>
      <rPr>
        <sz val="10"/>
        <color theme="1"/>
        <rFont val="Arial Narrow"/>
        <family val="2"/>
      </rPr>
      <t xml:space="preserve"> GB de RAM, SSD de </t>
    </r>
    <r>
      <rPr>
        <sz val="10"/>
        <color theme="1"/>
        <rFont val="Century Schoolbook"/>
        <family val="1"/>
      </rPr>
      <t>1</t>
    </r>
    <r>
      <rPr>
        <sz val="10"/>
        <color theme="1"/>
        <rFont val="Arial Narrow"/>
        <family val="2"/>
      </rPr>
      <t xml:space="preserve"> TB</t>
    </r>
  </si>
  <si>
    <r>
      <t>Tarjeta proximidad imprimible AN-ASC-EM</t>
    </r>
    <r>
      <rPr>
        <sz val="10"/>
        <color theme="1"/>
        <rFont val="Century Schoolbook"/>
        <family val="1"/>
      </rPr>
      <t>02</t>
    </r>
  </si>
  <si>
    <r>
      <rPr>
        <b/>
        <sz val="9"/>
        <color theme="1"/>
        <rFont val="Century Schoolbook"/>
        <family val="1"/>
      </rPr>
      <t>1.-</t>
    </r>
    <r>
      <rPr>
        <sz val="10"/>
        <color theme="1"/>
        <rFont val="Arial Narrow"/>
        <family val="2"/>
      </rPr>
      <t xml:space="preserve"> Informe de actividades presentados por la Dirección de Talento Humano, Dirección Financiera, Dirección Administrativa y Dirección de TICs, de forma cuatrimestral.
</t>
    </r>
    <r>
      <rPr>
        <b/>
        <sz val="9"/>
        <color theme="1"/>
        <rFont val="Century Schoolbook"/>
        <family val="1"/>
      </rPr>
      <t>2.-</t>
    </r>
    <r>
      <rPr>
        <sz val="10"/>
        <color theme="1"/>
        <rFont val="Arial Narrow"/>
        <family val="2"/>
      </rPr>
      <t xml:space="preserve"> Informe cuatrimestral sobre el estado de la ejecución de los procesos</t>
    </r>
  </si>
  <si>
    <r>
      <rPr>
        <b/>
        <sz val="9"/>
        <color theme="1"/>
        <rFont val="Century Schoolbook"/>
        <family val="1"/>
      </rPr>
      <t>1.-</t>
    </r>
    <r>
      <rPr>
        <sz val="10"/>
        <color theme="1"/>
        <rFont val="Arial Narrow"/>
      </rPr>
      <t xml:space="preserve"> Informes emitidos por la Dirección de Talento Humano.
</t>
    </r>
    <r>
      <rPr>
        <b/>
        <sz val="9"/>
        <color theme="1"/>
        <rFont val="Century Schoolbook"/>
        <family val="1"/>
      </rPr>
      <t>2.-</t>
    </r>
    <r>
      <rPr>
        <sz val="10"/>
        <color theme="1"/>
        <rFont val="Arial Narrow"/>
      </rPr>
      <t xml:space="preserve"> Reporte de acciones de mejoras y/o correctivas relacionadas con el personal administrativo y trabajadores, de existir novedades.</t>
    </r>
  </si>
  <si>
    <r>
      <rPr>
        <b/>
        <sz val="9"/>
        <color theme="1"/>
        <rFont val="Century Schoolbook"/>
        <family val="1"/>
      </rPr>
      <t>1.-</t>
    </r>
    <r>
      <rPr>
        <sz val="10"/>
        <color theme="1"/>
        <rFont val="Arial Narrow"/>
        <family val="2"/>
      </rPr>
      <t xml:space="preserve"> Informes emitidos por la dirección Administrativa y sus Unidades.</t>
    </r>
  </si>
  <si>
    <r>
      <rPr>
        <b/>
        <sz val="9"/>
        <color theme="1"/>
        <rFont val="Century Schoolbook"/>
        <family val="1"/>
      </rPr>
      <t>1.-</t>
    </r>
    <r>
      <rPr>
        <sz val="10"/>
        <color theme="1"/>
        <rFont val="Arial Narrow"/>
      </rPr>
      <t xml:space="preserve"> Informes del estado actual de la implementación de documentos.</t>
    </r>
  </si>
  <si>
    <r>
      <rPr>
        <b/>
        <sz val="9"/>
        <color theme="1"/>
        <rFont val="Century Schoolbook"/>
        <family val="1"/>
      </rPr>
      <t>1.-</t>
    </r>
    <r>
      <rPr>
        <sz val="10"/>
        <color theme="1"/>
        <rFont val="Arial Narrow"/>
      </rPr>
      <t xml:space="preserve"> Informe de acciones de mejoras y/o correctivas.</t>
    </r>
  </si>
  <si>
    <r>
      <rPr>
        <b/>
        <sz val="9"/>
        <color theme="1"/>
        <rFont val="Century Schoolbook"/>
        <family val="1"/>
      </rPr>
      <t>1.-</t>
    </r>
    <r>
      <rPr>
        <sz val="10"/>
        <color theme="1"/>
        <rFont val="Arial Narrow"/>
        <family val="2"/>
      </rPr>
      <t xml:space="preserve"> Informe de avance de planificación de proyectos de infraestructura y tecnología.            </t>
    </r>
    <r>
      <rPr>
        <b/>
        <sz val="9"/>
        <color theme="1"/>
        <rFont val="Century Schoolbook"/>
        <family val="1"/>
      </rPr>
      <t>2.-</t>
    </r>
    <r>
      <rPr>
        <sz val="10"/>
        <color theme="1"/>
        <rFont val="Arial Narrow"/>
        <family val="2"/>
      </rPr>
      <t xml:space="preserve"> Reporte de diseños de Proyectos coordinados de seguridad de la infraestructura física.</t>
    </r>
  </si>
  <si>
    <r>
      <rPr>
        <b/>
        <sz val="9"/>
        <color theme="1"/>
        <rFont val="Century Schoolbook"/>
        <family val="1"/>
      </rPr>
      <t>1.-</t>
    </r>
    <r>
      <rPr>
        <sz val="10"/>
        <color theme="1"/>
        <rFont val="Arial Narrow"/>
      </rPr>
      <t xml:space="preserve"> Reporte de actividades atendidas, dispuestas por el máximo organismo.
</t>
    </r>
    <r>
      <rPr>
        <b/>
        <sz val="9"/>
        <color theme="1"/>
        <rFont val="Century Schoolbook"/>
        <family val="1"/>
      </rPr>
      <t>2.-</t>
    </r>
    <r>
      <rPr>
        <sz val="10"/>
        <color theme="1"/>
        <rFont val="Arial Narrow"/>
      </rPr>
      <t xml:space="preserve"> Reporte de actividades atendidas, delegadas por la máxima autoridad.</t>
    </r>
  </si>
  <si>
    <r>
      <rPr>
        <b/>
        <sz val="9"/>
        <color theme="1"/>
        <rFont val="Century Schoolbook"/>
        <family val="1"/>
      </rPr>
      <t>1.-</t>
    </r>
    <r>
      <rPr>
        <sz val="10"/>
        <color theme="1"/>
        <rFont val="Arial Narrow"/>
        <family val="2"/>
      </rPr>
      <t xml:space="preserve">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POA </t>
    </r>
    <r>
      <rPr>
        <sz val="10"/>
        <color theme="1"/>
        <rFont val="Century Schoolbook"/>
        <family val="1"/>
      </rPr>
      <t>2023.</t>
    </r>
  </si>
  <si>
    <r>
      <rPr>
        <b/>
        <sz val="9"/>
        <color theme="1"/>
        <rFont val="Century Schoolbook"/>
        <family val="1"/>
      </rPr>
      <t>1.-</t>
    </r>
    <r>
      <rPr>
        <sz val="10"/>
        <color theme="1"/>
        <rFont val="Arial Narrow"/>
        <family val="2"/>
      </rPr>
      <t xml:space="preserve"> Llevar la organización de la correspondencia del Vicerrectorado Administrativo.</t>
    </r>
  </si>
  <si>
    <r>
      <rPr>
        <b/>
        <sz val="9"/>
        <color theme="1"/>
        <rFont val="Century Schoolbook"/>
        <family val="1"/>
      </rPr>
      <t>1.-</t>
    </r>
    <r>
      <rPr>
        <sz val="10"/>
        <color theme="1"/>
        <rFont val="Arial Narrow"/>
        <family val="2"/>
      </rPr>
      <t xml:space="preserve"> Elaboración del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Solicitar informes y/o habilitantes para la evaluación del POA, Primer y Segundo Semestre </t>
    </r>
    <r>
      <rPr>
        <sz val="10"/>
        <color theme="1"/>
        <rFont val="Century Schoolbook"/>
        <family val="1"/>
      </rPr>
      <t>2023.</t>
    </r>
  </si>
  <si>
    <r>
      <rPr>
        <b/>
        <sz val="9"/>
        <color theme="1"/>
        <rFont val="Century Schoolbook"/>
        <family val="1"/>
      </rPr>
      <t>1.-</t>
    </r>
    <r>
      <rPr>
        <sz val="10"/>
        <color theme="1"/>
        <rFont val="Arial Narrow"/>
        <family val="2"/>
      </rPr>
      <t xml:space="preserve"> Atender las actividades dispuestas por el máximo organismo.
</t>
    </r>
    <r>
      <rPr>
        <b/>
        <sz val="9"/>
        <color theme="1"/>
        <rFont val="Century Schoolbook"/>
        <family val="1"/>
      </rPr>
      <t>2.-</t>
    </r>
    <r>
      <rPr>
        <sz val="10"/>
        <color theme="1"/>
        <rFont val="Arial Narrow"/>
        <family val="2"/>
      </rPr>
      <t xml:space="preserve"> Atender actividades delegadas por la máxima autoridad.</t>
    </r>
  </si>
  <si>
    <r>
      <rPr>
        <b/>
        <sz val="9"/>
        <color theme="1"/>
        <rFont val="Century Schoolbook"/>
        <family val="1"/>
      </rPr>
      <t>1.-</t>
    </r>
    <r>
      <rPr>
        <sz val="10"/>
        <color theme="1"/>
        <rFont val="Arial Narrow"/>
        <family val="2"/>
      </rPr>
      <t xml:space="preserve"> Dar seguimiento a las dependencias responsables de la elaboración del diseño para mejorar la infraestructura física y tecnológica.
</t>
    </r>
    <r>
      <rPr>
        <b/>
        <sz val="9"/>
        <color theme="1"/>
        <rFont val="Century Schoolbook"/>
        <family val="1"/>
      </rPr>
      <t>2.-</t>
    </r>
    <r>
      <rPr>
        <sz val="10"/>
        <color theme="1"/>
        <rFont val="Arial Narrow"/>
        <family val="2"/>
      </rPr>
      <t xml:space="preserve"> Solicitar informes de cumplimiento a la Jefatura de Obras de Infraestructura, Fiscalización y Mantenimiento; y Dirección de Tecnología de la Información y Comunicación.</t>
    </r>
  </si>
  <si>
    <r>
      <rPr>
        <b/>
        <sz val="9"/>
        <color theme="1"/>
        <rFont val="Century Schoolbook"/>
        <family val="1"/>
      </rPr>
      <t>1.-</t>
    </r>
    <r>
      <rPr>
        <sz val="10"/>
        <color theme="1"/>
        <rFont val="Arial Narrow"/>
        <family val="2"/>
      </rPr>
      <t xml:space="preserve"> Dar seguimiento a la Dependencia responsable, la aplicación de normas de conservación del ambiente.
</t>
    </r>
    <r>
      <rPr>
        <b/>
        <sz val="9"/>
        <color theme="1"/>
        <rFont val="Century Schoolbook"/>
        <family val="1"/>
      </rPr>
      <t>2.-</t>
    </r>
    <r>
      <rPr>
        <sz val="10"/>
        <color theme="1"/>
        <rFont val="Arial Narrow"/>
        <family val="2"/>
      </rPr>
      <t xml:space="preserve"> Solicitar informe de cumplimiento a la Unidad de Obras de Infraestructura, Fiscalización y Mantenimiento.</t>
    </r>
  </si>
  <si>
    <r>
      <rPr>
        <b/>
        <sz val="9"/>
        <color theme="1"/>
        <rFont val="Century Schoolbook"/>
        <family val="1"/>
      </rPr>
      <t>1.-</t>
    </r>
    <r>
      <rPr>
        <sz val="10"/>
        <color theme="1"/>
        <rFont val="Arial Narrow"/>
        <family val="2"/>
      </rPr>
      <t xml:space="preserve"> Coordinar con la Dirección de Talento Humano la revisión, análisis y actualización del Reglamento Orgánico Funcional.
</t>
    </r>
    <r>
      <rPr>
        <b/>
        <sz val="9"/>
        <color theme="1"/>
        <rFont val="Century Schoolbook"/>
        <family val="1"/>
      </rPr>
      <t>2.-</t>
    </r>
    <r>
      <rPr>
        <sz val="10"/>
        <color theme="1"/>
        <rFont val="Arial Narrow"/>
        <family val="2"/>
      </rPr>
      <t xml:space="preserve"> Coordinar con otras Dependencias la elaboración y/o actualización de Instructivos y/o procedimientos.</t>
    </r>
  </si>
  <si>
    <r>
      <rPr>
        <b/>
        <sz val="9"/>
        <color theme="1"/>
        <rFont val="Century Schoolbook"/>
        <family val="1"/>
      </rPr>
      <t>1.-</t>
    </r>
    <r>
      <rPr>
        <sz val="10"/>
        <color theme="1"/>
        <rFont val="Arial Narrow"/>
        <family val="2"/>
      </rPr>
      <t xml:space="preserve"> Realizar reuniones de trabajo.
</t>
    </r>
    <r>
      <rPr>
        <b/>
        <sz val="9"/>
        <color theme="1"/>
        <rFont val="Century Schoolbook"/>
        <family val="1"/>
      </rPr>
      <t>2.-</t>
    </r>
    <r>
      <rPr>
        <sz val="10"/>
        <color theme="1"/>
        <rFont val="Arial Narrow"/>
        <family val="2"/>
      </rPr>
      <t xml:space="preserve"> Elaborar actas de acuerdos establecidos.
</t>
    </r>
    <r>
      <rPr>
        <b/>
        <sz val="9"/>
        <color theme="1"/>
        <rFont val="Century Schoolbook"/>
        <family val="1"/>
      </rPr>
      <t>3.-</t>
    </r>
    <r>
      <rPr>
        <sz val="10"/>
        <color theme="1"/>
        <rFont val="Arial Narrow"/>
        <family val="2"/>
      </rPr>
      <t xml:space="preserve"> Emisión del documento sobre las directrices para el control administrativo del patrimonio  institucional.</t>
    </r>
  </si>
  <si>
    <r>
      <rPr>
        <b/>
        <sz val="9"/>
        <color theme="1"/>
        <rFont val="Century Schoolbook"/>
        <family val="1"/>
      </rPr>
      <t>1.-</t>
    </r>
    <r>
      <rPr>
        <sz val="10"/>
        <color theme="1"/>
        <rFont val="Arial Narrow"/>
        <family val="2"/>
      </rPr>
      <t xml:space="preserve"> Solicitar a la Dirección de Talento Humano informe sobre la ejecución de los Planes de capacitación y evaluación del desempeño de los servidores; informes de asistencia y permanencia del personal sujetos al régimen LOSEP y Código de Trabajo; e informes del estado de quejas, denuncias y/o contravenciones gestionadas, relacionadas con el personal administrativo y trabajadores.
</t>
    </r>
    <r>
      <rPr>
        <b/>
        <sz val="9"/>
        <color theme="1"/>
        <rFont val="Century Schoolbook"/>
        <family val="1"/>
      </rPr>
      <t>2.-</t>
    </r>
    <r>
      <rPr>
        <sz val="10"/>
        <color theme="1"/>
        <rFont val="Arial Narrow"/>
        <family val="2"/>
      </rPr>
      <t xml:space="preserve"> Revisar y analizar informes emitidos por la Dirección de Talento Humano.
</t>
    </r>
    <r>
      <rPr>
        <b/>
        <sz val="9"/>
        <color theme="1"/>
        <rFont val="Century Schoolbook"/>
        <family val="1"/>
      </rPr>
      <t>3.-</t>
    </r>
    <r>
      <rPr>
        <sz val="10"/>
        <color theme="1"/>
        <rFont val="Arial Narrow"/>
        <family val="2"/>
      </rPr>
      <t xml:space="preserve"> Elaborar informe de acciones de mejoras y/o correctivas para su aplicación, de existir novedades.</t>
    </r>
  </si>
  <si>
    <r>
      <rPr>
        <b/>
        <sz val="9"/>
        <color theme="1"/>
        <rFont val="Century Schoolbook"/>
        <family val="1"/>
      </rPr>
      <t>1.-</t>
    </r>
    <r>
      <rPr>
        <sz val="10"/>
        <color theme="1"/>
        <rFont val="Arial Narrow"/>
        <family val="2"/>
      </rPr>
      <t xml:space="preserve"> Solicitar y coordinar la planificación anual  de actividades a la Dirección de Talento Humano, Dirección Financiera, Dirección Administrativa y Dirección de TICs.
</t>
    </r>
    <r>
      <rPr>
        <b/>
        <sz val="9"/>
        <color theme="1"/>
        <rFont val="Century Schoolbook"/>
        <family val="1"/>
      </rPr>
      <t>2.-</t>
    </r>
    <r>
      <rPr>
        <sz val="10"/>
        <color theme="1"/>
        <rFont val="Arial Narrow"/>
        <family val="2"/>
      </rPr>
      <t xml:space="preserve"> Revisar y validar los informes de cada área y/o unidad de forma cuatrimestral. 
</t>
    </r>
    <r>
      <rPr>
        <b/>
        <sz val="9"/>
        <color theme="1"/>
        <rFont val="Century Schoolbook"/>
        <family val="1"/>
      </rPr>
      <t>3.-</t>
    </r>
    <r>
      <rPr>
        <sz val="10"/>
        <color theme="1"/>
        <rFont val="Arial Narrow"/>
        <family val="2"/>
      </rPr>
      <t xml:space="preserve"> Elaborar informe de supervisión de áreas y/o unidades.</t>
    </r>
  </si>
  <si>
    <t>* Ing. Irene Patricia Sánchez González,
  Vicerrectora Administrativa
* Ing. Maribel Pineda de la Torre,
  Analista de Vicerrectorado Administrativo
* Lcda. Maritza Ojeda Cueva</t>
  </si>
  <si>
    <r>
      <rPr>
        <b/>
        <sz val="10"/>
        <color theme="1"/>
        <rFont val="Arial Narrow"/>
        <family val="2"/>
      </rPr>
      <t xml:space="preserve">5.- </t>
    </r>
    <r>
      <rPr>
        <sz val="10"/>
        <color theme="1"/>
        <rFont val="Arial Narrow"/>
        <family val="2"/>
      </rPr>
      <t>Gestionar la planificación anual de contingencia de desarrollo de software.</t>
    </r>
  </si>
  <si>
    <t>Si bien es cierto el producto es "Comité Informático implementado", en este año deberá evidenciarse el trabajo del Comité mediante la gestión para aprobación de estrategias tecnológicas ante Consejo Universitario.</t>
  </si>
  <si>
    <r>
      <t xml:space="preserve">No se planifica compra de impresora atendiendo al eje </t>
    </r>
    <r>
      <rPr>
        <sz val="10"/>
        <color theme="1"/>
        <rFont val="Century Schoolbook"/>
        <family val="1"/>
      </rPr>
      <t>3</t>
    </r>
    <r>
      <rPr>
        <sz val="10"/>
        <color theme="1"/>
        <rFont val="Arial Narrow"/>
        <family val="2"/>
      </rPr>
      <t>. "Transformación digital y calidad". Se planifica mantenimiento de impresoras existentes.</t>
    </r>
  </si>
  <si>
    <r>
      <t xml:space="preserve">Acondicionador de aire </t>
    </r>
    <r>
      <rPr>
        <sz val="10"/>
        <color theme="1"/>
        <rFont val="Century Schoolbook"/>
        <family val="1"/>
      </rPr>
      <t>24000</t>
    </r>
  </si>
  <si>
    <r>
      <t xml:space="preserve">Acondicionador de aire </t>
    </r>
    <r>
      <rPr>
        <sz val="10"/>
        <color theme="1"/>
        <rFont val="Century Schoolbook"/>
        <family val="1"/>
      </rPr>
      <t>12000</t>
    </r>
  </si>
  <si>
    <r>
      <t xml:space="preserve">Contrato del servicio de acceso a una red avanzada de Internet, Nivel Avanzado </t>
    </r>
    <r>
      <rPr>
        <sz val="10"/>
        <color theme="1"/>
        <rFont val="Century Schoolbook"/>
        <family val="1"/>
      </rPr>
      <t>2</t>
    </r>
  </si>
  <si>
    <r>
      <t xml:space="preserve">Adquisición e instalación de equipos de cómputo y almacenamiento para la implementación de infraestructura de cómputo y almacenamiento, como parte del componente </t>
    </r>
    <r>
      <rPr>
        <sz val="10"/>
        <color theme="1"/>
        <rFont val="Century Schoolbook"/>
        <family val="1"/>
      </rPr>
      <t>3</t>
    </r>
    <r>
      <rPr>
        <sz val="10"/>
        <color theme="1"/>
        <rFont val="Arial Narrow"/>
        <family val="2"/>
      </rPr>
      <t xml:space="preserve"> del Proyecto de Actualización de la Infraestructura Tecnológica de Nueva Generación de Procesamiento, Almacenamiento y del Core de la Red LAN de la Universidad Técnica de Machala (PAI </t>
    </r>
    <r>
      <rPr>
        <sz val="10"/>
        <color theme="1"/>
        <rFont val="Century Schoolbook"/>
        <family val="1"/>
      </rPr>
      <t>2023</t>
    </r>
    <r>
      <rPr>
        <sz val="10"/>
        <color theme="1"/>
        <rFont val="Arial Narrow"/>
        <family val="2"/>
      </rPr>
      <t>)</t>
    </r>
  </si>
  <si>
    <r>
      <t xml:space="preserve">Monitor  </t>
    </r>
    <r>
      <rPr>
        <sz val="10"/>
        <color rgb="FF000000"/>
        <rFont val="Century Schoolbook"/>
        <family val="1"/>
      </rPr>
      <t>27</t>
    </r>
    <r>
      <rPr>
        <sz val="10"/>
        <color rgb="FF000000"/>
        <rFont val="Arial Narrow"/>
        <family val="2"/>
      </rPr>
      <t>''</t>
    </r>
  </si>
  <si>
    <r>
      <t>Monitores -</t>
    </r>
    <r>
      <rPr>
        <sz val="10"/>
        <color rgb="FF000000"/>
        <rFont val="Century Schoolbook"/>
        <family val="1"/>
      </rPr>
      <t>21</t>
    </r>
    <r>
      <rPr>
        <sz val="10"/>
        <color rgb="FF000000"/>
        <rFont val="Arial Narrow"/>
        <family val="2"/>
      </rPr>
      <t xml:space="preserve">''  </t>
    </r>
  </si>
  <si>
    <r>
      <t xml:space="preserve">UPS de </t>
    </r>
    <r>
      <rPr>
        <sz val="10"/>
        <color theme="1"/>
        <rFont val="Century Schoolbook"/>
        <family val="1"/>
      </rPr>
      <t>550</t>
    </r>
    <r>
      <rPr>
        <sz val="10"/>
        <color theme="1"/>
        <rFont val="Arial Narrow"/>
        <family val="2"/>
      </rPr>
      <t xml:space="preserve"> W</t>
    </r>
  </si>
  <si>
    <t>* Oscar Riofrío Orozco,
  Director TIC</t>
  </si>
  <si>
    <t>* Betty Pachucho Hernández,
  Jefe de la Unidad de Sistemas</t>
  </si>
  <si>
    <t>* Freddy Rojas Vilela,
  Analista de Sistemas</t>
  </si>
  <si>
    <t>* Ing. Byron Ramírez C.,
  Jefe de la URT</t>
  </si>
  <si>
    <t>* Ing. Byron Ramírez C.,
  Jefe de la URT
* Paúl Cabrera,
  Analista de la URT</t>
  </si>
  <si>
    <t>* Oscar Riofrío Orozco,
  Director TIC
* Howard Pazmiño Carrión,
  Analista de Mantenimiento de Equipos Informáticos</t>
  </si>
  <si>
    <t>N° de proyectos TI que consideren estrategias tecnológicas gestionadas.</t>
  </si>
  <si>
    <t>N° de informes de valoración de las asesorías técnicas brindadas por las unidades administrativas DTIC, diseñados.</t>
  </si>
  <si>
    <t>N° de modelos de gestión institucional de la información y comunicación, aprobado.</t>
  </si>
  <si>
    <t>N° de Planificaciones Estratégicas de TIC, implementada.</t>
  </si>
  <si>
    <t>N° de modelos de sistemas de información, implementados.</t>
  </si>
  <si>
    <t>N° de procesos de seguimiento y monitoreo a la Política general de seguridad de la información UTMACH, dirigido.</t>
  </si>
  <si>
    <t>N° de procesos de evaluación del impacto de los procesos automatizados, gestionados.</t>
  </si>
  <si>
    <t>N° de planes de contingencia de procesos tecnológicos, gestionados.</t>
  </si>
  <si>
    <t>N° de proyectos tecnológicos, gestionados.</t>
  </si>
  <si>
    <t>N° de planificaciones de capacitación informática, gestionada.</t>
  </si>
  <si>
    <t>N° de planificaciones de desarrollo de software e infraestructura tecnológica UTMACH, aprobado.</t>
  </si>
  <si>
    <t>N° de planificaciones operativas anuales y evaluaciones de la planificación operativa anual DIR TIC, entregadas.</t>
  </si>
  <si>
    <t>N° de carpetas registradas en  el inventario documental DTIC, organizadas.</t>
  </si>
  <si>
    <t>N° de propuestas de políticas, procedimientos, proyectos, manuales y otros instrumentos presentadas.</t>
  </si>
  <si>
    <t>N° de planes de desarrollo de software, presentado.</t>
  </si>
  <si>
    <t>N° de planes de contingencia e informes semestrales de supervisión del proceso de desarrollo de software presentados.</t>
  </si>
  <si>
    <t>N° de aplicaciones informáticas implementadas.</t>
  </si>
  <si>
    <t>N° de planes de capacitación elaborados e informes de supervisión del proceso de capacitación presentados.</t>
  </si>
  <si>
    <t>N° de soportes técnicos brindados a usuarios en lo relacionado al uso de las aplicaciones informática.</t>
  </si>
  <si>
    <t>N° de estudios de funcionalidad del sitio web oficial de la institución realizados.</t>
  </si>
  <si>
    <t>N° de cuentas de correo electrónico institucional creadas / actualizadas.</t>
  </si>
  <si>
    <t>N° de procesos de Seguimiento del desempeño de las soluciones tecnológicas, coordinado.</t>
  </si>
  <si>
    <t>N° de usuarios capacitados en el uso seguro de las soluciones tecnológicas.</t>
  </si>
  <si>
    <t>N° de planificaciones y evaluaciones del POA entregadas oportunamente.</t>
  </si>
  <si>
    <t>N° de oficios o correos electrónicos enviados con Propuestas de políticas, procedimientos, proyectos, manuales y/o otros instrumentos, que contribuyan a la implementación del modelo de gestión institucional de tecnologías de la información y comunicación, relacionado con los procesos de la Unidad de Redes y Telecomunicaciones, diseñadas y/o actualizadas.</t>
  </si>
  <si>
    <t>N° de procesos de contratación de mantenimiento iniciados o en ejecución.</t>
  </si>
  <si>
    <t>N° de contratos de mantenimiento ejecutados o en ejecución.</t>
  </si>
  <si>
    <t>N° de proyectos de infraestructura de red propuestos.</t>
  </si>
  <si>
    <t>N° de reportes semestrales emitidos del estado de aplicación de las políticas de seguridad de la información (acceso a la red).</t>
  </si>
  <si>
    <t>N° de reportes semestrales emitidos de los servicios del centro de datos.</t>
  </si>
  <si>
    <t>N° de carpetas registradas.</t>
  </si>
  <si>
    <t>N° de propuestas de diseño y/o actualización de procedimientos e instrumentos, aprobados.</t>
  </si>
  <si>
    <t>N° de planificaciones de mantenimiento de equipos informáticos, aprobadas.</t>
  </si>
  <si>
    <t>N° de informes de cumplimiento del plan anual de mantenimiento preventivo y correctivo de equipos informáticos y actualizaciones de software, aprobados.</t>
  </si>
  <si>
    <t>N° de informes de monitoreo de la plataforma de protección de malware y virus informático, aprobados.</t>
  </si>
  <si>
    <t>N° de informes de cumplimiento de la Política General de Seguridad de la Información en el ámbito del mantenimiento de equipos informáticos, aprobado.</t>
  </si>
  <si>
    <t>N° de informes de asesorías técnicas brindadas, aprobado.</t>
  </si>
  <si>
    <t>N° de informes de escenarios de riesgo relacionados al parque informáticos, aprobado.</t>
  </si>
  <si>
    <t>N° de informes de estado de funcionalidad de los equipos informáticos, emitidos.</t>
  </si>
  <si>
    <t>N° de informes de inventario de Software, actualizado.</t>
  </si>
  <si>
    <t>N° de informes de inventario de Hardware, actualizado.</t>
  </si>
  <si>
    <t>Riesgos de seguridad de la información, identificados y controlados.</t>
  </si>
  <si>
    <t>Seguimiento del desempeño de las soluciones tecnológicas, coordinado.</t>
  </si>
  <si>
    <t>Usuarios capacitados en el uso seguro de las soluciones tecnológicas.</t>
  </si>
  <si>
    <t>Propuestas de políticas, procedimientos, proyectos, manuales y otros instrumentos, que contribuyan a la implementación del modelo de gestión institucional de tecnologías de la información y comunicación, relacionado con los procesos de la Unidad de Mantenimiento de Equipos Informáticos, diseñadas y/o actualizadas.</t>
  </si>
  <si>
    <t>Mantenimiento preventivo y correctivo de hardware y software, coordinado.</t>
  </si>
  <si>
    <t>Administración y monitoreo de la plataforma de protección de malware y virus informático, coordinada.</t>
  </si>
  <si>
    <t>Cumplimiento de la Política General de Seguridad de la Información en el ámbito de las competencias de la Unidad de Mantenimiento de Equipos Informáticos, coordinado.</t>
  </si>
  <si>
    <t>Soporte a los usuarios en el entorno tecnológico (help desk), ejecutado.</t>
  </si>
  <si>
    <t>Criterios técnicos sobre el estado de los recursos tecnológicos institucionales y para la adquisición de equipos informáticos, emitidos.</t>
  </si>
  <si>
    <t>Levantamiento y/o actualización del inventario Software operativo y utilitario, ejecutado.</t>
  </si>
  <si>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Gestionar la articulación de mecanismos y decisiones relacionadas con las estrategias tecnológicas que permitan la supervisión, evaluación y regulación del crecimiento de las Tecnologías de la Información y Comunicación y la calidad de los servicios informáticos en la institución.</t>
    </r>
  </si>
  <si>
    <r>
      <rPr>
        <b/>
        <sz val="9"/>
        <color theme="1"/>
        <rFont val="Century Schoolbook"/>
        <family val="1"/>
      </rPr>
      <t>2.-</t>
    </r>
    <r>
      <rPr>
        <sz val="10"/>
        <color theme="1"/>
        <rFont val="Arial Narrow"/>
        <family val="2"/>
      </rPr>
      <t xml:space="preserve"> Brindar asesoría técnica para la toma de decisiones relacionadas con las actividades y procesos de las tecnologías de la información y comunicación.</t>
    </r>
  </si>
  <si>
    <r>
      <rPr>
        <b/>
        <sz val="9"/>
        <color theme="1"/>
        <rFont val="Century Schoolbook"/>
        <family val="1"/>
      </rPr>
      <t>3.-</t>
    </r>
    <r>
      <rPr>
        <b/>
        <sz val="10"/>
        <color theme="1"/>
        <rFont val="Arial Narrow"/>
        <family val="2"/>
      </rPr>
      <t xml:space="preserve"> </t>
    </r>
    <r>
      <rPr>
        <sz val="10"/>
        <color theme="1"/>
        <rFont val="Arial Narrow"/>
        <family val="2"/>
      </rPr>
      <t>Gestionar la definición e implementación del modelo de gestión institucional de la información y comunicación.</t>
    </r>
  </si>
  <si>
    <r>
      <rPr>
        <b/>
        <sz val="9"/>
        <color theme="1"/>
        <rFont val="Century Schoolbook"/>
        <family val="1"/>
      </rPr>
      <t>4.-</t>
    </r>
    <r>
      <rPr>
        <b/>
        <sz val="10"/>
        <color theme="1"/>
        <rFont val="Arial Narrow"/>
        <family val="2"/>
      </rPr>
      <t xml:space="preserve"> </t>
    </r>
    <r>
      <rPr>
        <sz val="10"/>
        <color theme="1"/>
        <rFont val="Arial Narrow"/>
        <family val="2"/>
      </rPr>
      <t>Gestionar la actualización para aprobación de la Planificación Estratégica de Tecnologías de la Información y Comunicación.</t>
    </r>
  </si>
  <si>
    <r>
      <rPr>
        <b/>
        <sz val="9"/>
        <color theme="1"/>
        <rFont val="Century Schoolbook"/>
        <family val="1"/>
      </rPr>
      <t>5.-</t>
    </r>
    <r>
      <rPr>
        <b/>
        <sz val="10"/>
        <color theme="1"/>
        <rFont val="Arial Narrow"/>
        <family val="2"/>
      </rPr>
      <t xml:space="preserve"> </t>
    </r>
    <r>
      <rPr>
        <sz val="10"/>
        <color theme="1"/>
        <rFont val="Arial Narrow"/>
        <family val="2"/>
      </rPr>
      <t>Dirigir el proceso de implementación del modelo de sistemas de información.</t>
    </r>
  </si>
  <si>
    <r>
      <rPr>
        <b/>
        <sz val="9"/>
        <color theme="1"/>
        <rFont val="Century Schoolbook"/>
        <family val="1"/>
      </rPr>
      <t>6.-</t>
    </r>
    <r>
      <rPr>
        <b/>
        <sz val="10"/>
        <color theme="1"/>
        <rFont val="Arial Narrow"/>
        <family val="2"/>
      </rPr>
      <t xml:space="preserve"> </t>
    </r>
    <r>
      <rPr>
        <sz val="10"/>
        <color theme="1"/>
        <rFont val="Arial Narrow"/>
        <family val="2"/>
      </rPr>
      <t>Dirigir el seguimiento a la política general de seguridad de la información.</t>
    </r>
  </si>
  <si>
    <r>
      <rPr>
        <b/>
        <sz val="9"/>
        <color theme="1"/>
        <rFont val="Century Schoolbook"/>
        <family val="1"/>
      </rPr>
      <t>7.-</t>
    </r>
    <r>
      <rPr>
        <b/>
        <sz val="10"/>
        <color theme="1"/>
        <rFont val="Arial Narrow"/>
        <family val="2"/>
      </rPr>
      <t xml:space="preserve"> </t>
    </r>
    <r>
      <rPr>
        <sz val="10"/>
        <color theme="1"/>
        <rFont val="Arial Narrow"/>
        <family val="2"/>
      </rPr>
      <t>Gestionar la Evaluación del impacto de los procesos automatizados.</t>
    </r>
  </si>
  <si>
    <r>
      <rPr>
        <b/>
        <sz val="9"/>
        <color theme="1"/>
        <rFont val="Century Schoolbook"/>
        <family val="1"/>
      </rPr>
      <t>8.-</t>
    </r>
    <r>
      <rPr>
        <b/>
        <sz val="10"/>
        <color theme="1"/>
        <rFont val="Arial Narrow"/>
        <family val="2"/>
      </rPr>
      <t xml:space="preserve"> </t>
    </r>
    <r>
      <rPr>
        <sz val="10"/>
        <color theme="1"/>
        <rFont val="Arial Narrow"/>
        <family val="2"/>
      </rPr>
      <t>Gestionar la planificación de contingencias de procesos tecnológicos en coordinación con las instancias pertinentes.</t>
    </r>
  </si>
  <si>
    <r>
      <rPr>
        <b/>
        <sz val="9"/>
        <color theme="1"/>
        <rFont val="Century Schoolbook"/>
        <family val="1"/>
      </rPr>
      <t>9.-</t>
    </r>
    <r>
      <rPr>
        <b/>
        <sz val="10"/>
        <color theme="1"/>
        <rFont val="Arial Narrow"/>
        <family val="2"/>
      </rPr>
      <t xml:space="preserve"> </t>
    </r>
    <r>
      <rPr>
        <sz val="10"/>
        <color theme="1"/>
        <rFont val="Arial Narrow"/>
        <family val="2"/>
      </rPr>
      <t>Gestionar la planificación de proyectos tecnológicos en coordinación con las instancias pertinentes.</t>
    </r>
  </si>
  <si>
    <r>
      <rPr>
        <b/>
        <sz val="9"/>
        <color theme="1"/>
        <rFont val="Century Schoolbook"/>
        <family val="1"/>
      </rPr>
      <t>10.-</t>
    </r>
    <r>
      <rPr>
        <b/>
        <sz val="10"/>
        <color theme="1"/>
        <rFont val="Arial Narrow"/>
        <family val="2"/>
      </rPr>
      <t xml:space="preserve"> </t>
    </r>
    <r>
      <rPr>
        <sz val="10"/>
        <color theme="1"/>
        <rFont val="Arial Narrow"/>
        <family val="2"/>
      </rPr>
      <t>Gestionar la Planificación de capacitación informática.</t>
    </r>
  </si>
  <si>
    <r>
      <rPr>
        <b/>
        <sz val="9"/>
        <color theme="1"/>
        <rFont val="Century Schoolbook"/>
        <family val="1"/>
      </rPr>
      <t>11.-</t>
    </r>
    <r>
      <rPr>
        <b/>
        <sz val="10"/>
        <color theme="1"/>
        <rFont val="Arial Narrow"/>
        <family val="2"/>
      </rPr>
      <t xml:space="preserve"> </t>
    </r>
    <r>
      <rPr>
        <sz val="10"/>
        <color theme="1"/>
        <rFont val="Arial Narrow"/>
        <family val="2"/>
      </rPr>
      <t>Gestionar la Planificación de desarrollo y adquisición de software e infraestructura tecnológica.</t>
    </r>
  </si>
  <si>
    <r>
      <rPr>
        <b/>
        <sz val="9"/>
        <color theme="1"/>
        <rFont val="Century Schoolbook"/>
        <family val="1"/>
      </rPr>
      <t>12.-</t>
    </r>
    <r>
      <rPr>
        <b/>
        <sz val="10"/>
        <color theme="1"/>
        <rFont val="Arial Narrow"/>
        <family val="2"/>
      </rPr>
      <t xml:space="preserve"> </t>
    </r>
    <r>
      <rPr>
        <sz val="10"/>
        <color theme="1"/>
        <rFont val="Arial Narrow"/>
        <family val="2"/>
      </rPr>
      <t>Entregar la Planificación Operativa Anual y Evaluación de la Planificación Operativa Anual.</t>
    </r>
  </si>
  <si>
    <r>
      <rPr>
        <b/>
        <sz val="9"/>
        <color theme="1"/>
        <rFont val="Century Schoolbook"/>
        <family val="1"/>
      </rPr>
      <t>13.-</t>
    </r>
    <r>
      <rPr>
        <b/>
        <sz val="10"/>
        <color theme="1"/>
        <rFont val="Arial Narrow"/>
        <family val="2"/>
      </rPr>
      <t xml:space="preserve"> </t>
    </r>
    <r>
      <rPr>
        <sz val="10"/>
        <color theme="1"/>
        <rFont val="Arial Narrow"/>
        <family val="2"/>
      </rPr>
      <t>Organizar el Archivo de Gestión.</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</si>
  <si>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b/>
        <sz val="10"/>
        <color theme="1"/>
        <rFont val="Arial Narrow"/>
        <family val="2"/>
      </rPr>
      <t xml:space="preserve"> </t>
    </r>
    <r>
      <rPr>
        <sz val="10"/>
        <color theme="1"/>
        <rFont val="Arial Narrow"/>
        <family val="2"/>
      </rPr>
      <t>Diseñar y/o actualizar Propuestas de políticas, procedimientos, proyectos, manuales u otros instrumentos, que contribuyan a la implementación del modelo de gestión institucional de tecnologías de la información y comunicación, relacionado con aplicaciones informáticas.</t>
    </r>
  </si>
  <si>
    <r>
      <rPr>
        <b/>
        <sz val="9"/>
        <color theme="1"/>
        <rFont val="Century Schoolbook"/>
        <family val="1"/>
      </rPr>
      <t>2.-</t>
    </r>
    <r>
      <rPr>
        <b/>
        <sz val="10"/>
        <color theme="1"/>
        <rFont val="Arial Narrow"/>
        <family val="2"/>
      </rPr>
      <t xml:space="preserve"> </t>
    </r>
    <r>
      <rPr>
        <sz val="10"/>
        <color theme="1"/>
        <rFont val="Arial Narrow"/>
        <family val="2"/>
      </rPr>
      <t>Planificar el proceso de desarrollo de Software.</t>
    </r>
  </si>
  <si>
    <r>
      <rPr>
        <b/>
        <sz val="9"/>
        <color theme="1"/>
        <rFont val="Century Schoolbook"/>
        <family val="1"/>
      </rPr>
      <t>3.-</t>
    </r>
    <r>
      <rPr>
        <b/>
        <sz val="10"/>
        <color theme="1"/>
        <rFont val="Arial Narrow"/>
        <family val="2"/>
      </rPr>
      <t xml:space="preserve"> </t>
    </r>
    <r>
      <rPr>
        <sz val="10"/>
        <color theme="1"/>
        <rFont val="Arial Narrow"/>
        <family val="2"/>
      </rPr>
      <t>Supervisar la ejecución del proceso de desarrollo de Software.</t>
    </r>
  </si>
  <si>
    <r>
      <rPr>
        <b/>
        <sz val="9"/>
        <color theme="1"/>
        <rFont val="Century Schoolbook"/>
        <family val="1"/>
      </rPr>
      <t>4.-</t>
    </r>
    <r>
      <rPr>
        <b/>
        <sz val="10"/>
        <color theme="1"/>
        <rFont val="Arial Narrow"/>
        <family val="2"/>
      </rPr>
      <t xml:space="preserve"> </t>
    </r>
    <r>
      <rPr>
        <sz val="10"/>
        <color theme="1"/>
        <rFont val="Arial Narrow"/>
        <family val="2"/>
      </rPr>
      <t>Analizar y desarrollar aplicaciones informáticas.</t>
    </r>
  </si>
  <si>
    <r>
      <rPr>
        <b/>
        <sz val="9"/>
        <color theme="1"/>
        <rFont val="Century Schoolbook"/>
        <family val="1"/>
      </rPr>
      <t>5.-</t>
    </r>
    <r>
      <rPr>
        <b/>
        <sz val="10"/>
        <color theme="1"/>
        <rFont val="Arial Narrow"/>
        <family val="2"/>
      </rPr>
      <t xml:space="preserve"> </t>
    </r>
    <r>
      <rPr>
        <sz val="10"/>
        <color theme="1"/>
        <rFont val="Arial Narrow"/>
        <family val="2"/>
      </rPr>
      <t>Planificar y supervisar el proceso de capacitación relacionado con las aplicaciones informáticas.</t>
    </r>
  </si>
  <si>
    <r>
      <rPr>
        <b/>
        <sz val="9"/>
        <color theme="1"/>
        <rFont val="Century Schoolbook"/>
        <family val="1"/>
      </rPr>
      <t>6.-</t>
    </r>
    <r>
      <rPr>
        <b/>
        <sz val="10"/>
        <color theme="1"/>
        <rFont val="Arial Narrow"/>
        <family val="2"/>
      </rPr>
      <t xml:space="preserve"> </t>
    </r>
    <r>
      <rPr>
        <sz val="10"/>
        <color theme="1"/>
        <rFont val="Arial Narrow"/>
        <family val="2"/>
      </rPr>
      <t>Emitir criterios técnicos (informe de asesoría) para soporte a usuarios.</t>
    </r>
  </si>
  <si>
    <r>
      <rPr>
        <b/>
        <sz val="9"/>
        <color theme="1"/>
        <rFont val="Century Schoolbook"/>
        <family val="1"/>
      </rPr>
      <t>7.-</t>
    </r>
    <r>
      <rPr>
        <b/>
        <sz val="10"/>
        <color theme="1"/>
        <rFont val="Arial Narrow"/>
        <family val="2"/>
      </rPr>
      <t xml:space="preserve"> </t>
    </r>
    <r>
      <rPr>
        <sz val="10"/>
        <color theme="1"/>
        <rFont val="Arial Narrow"/>
        <family val="2"/>
      </rPr>
      <t>Coordinar la funcionalidad del aspecto tecnológico del sitio web oficial de la institución.</t>
    </r>
  </si>
  <si>
    <r>
      <rPr>
        <b/>
        <sz val="9"/>
        <color theme="1"/>
        <rFont val="Century Schoolbook"/>
        <family val="1"/>
      </rPr>
      <t>8.-</t>
    </r>
    <r>
      <rPr>
        <b/>
        <sz val="10"/>
        <color theme="1"/>
        <rFont val="Arial Narrow"/>
        <family val="2"/>
      </rPr>
      <t xml:space="preserve"> </t>
    </r>
    <r>
      <rPr>
        <sz val="10"/>
        <color theme="1"/>
        <rFont val="Arial Narrow"/>
        <family val="2"/>
      </rPr>
      <t>Coordinar y supervisar la administración del correo electrónico institucional.</t>
    </r>
  </si>
  <si>
    <r>
      <rPr>
        <b/>
        <sz val="9"/>
        <color theme="1"/>
        <rFont val="Century Schoolbook"/>
        <family val="1"/>
      </rPr>
      <t>9.-</t>
    </r>
    <r>
      <rPr>
        <b/>
        <sz val="10"/>
        <color theme="1"/>
        <rFont val="Arial Narrow"/>
        <family val="2"/>
      </rPr>
      <t xml:space="preserve"> </t>
    </r>
    <r>
      <rPr>
        <sz val="10"/>
        <color theme="1"/>
        <rFont val="Arial Narrow"/>
        <family val="2"/>
      </rPr>
      <t>Emitir reportes de estado de aplicación de las políticas de seguridad de la información (sistemas informáticos).</t>
    </r>
  </si>
  <si>
    <r>
      <rPr>
        <b/>
        <sz val="9"/>
        <color theme="1"/>
        <rFont val="Century Schoolbook"/>
        <family val="1"/>
      </rPr>
      <t>10.-</t>
    </r>
    <r>
      <rPr>
        <b/>
        <sz val="10"/>
        <color theme="1"/>
        <rFont val="Arial Narrow"/>
        <family val="2"/>
      </rPr>
      <t xml:space="preserve"> </t>
    </r>
    <r>
      <rPr>
        <sz val="10"/>
        <color theme="1"/>
        <rFont val="Arial Narrow"/>
        <family val="2"/>
      </rPr>
      <t>Emitir reportes de estado de monitoreo y revisión de los riesgos.</t>
    </r>
  </si>
  <si>
    <r>
      <rPr>
        <b/>
        <sz val="9"/>
        <color theme="1"/>
        <rFont val="Century Schoolbook"/>
        <family val="1"/>
      </rPr>
      <t>11.-</t>
    </r>
    <r>
      <rPr>
        <b/>
        <sz val="10"/>
        <color theme="1"/>
        <rFont val="Arial Narrow"/>
        <family val="2"/>
      </rPr>
      <t xml:space="preserve"> </t>
    </r>
    <r>
      <rPr>
        <sz val="10"/>
        <color theme="1"/>
        <rFont val="Arial Narrow"/>
        <family val="2"/>
      </rPr>
      <t>Emitir reportes de cumplimiento de las soluciones tecnológicas.</t>
    </r>
  </si>
  <si>
    <r>
      <rPr>
        <b/>
        <sz val="9"/>
        <color theme="1"/>
        <rFont val="Century Schoolbook"/>
        <family val="1"/>
      </rPr>
      <t>12.-</t>
    </r>
    <r>
      <rPr>
        <b/>
        <sz val="10"/>
        <color theme="1"/>
        <rFont val="Arial Narrow"/>
        <family val="2"/>
      </rPr>
      <t xml:space="preserve"> </t>
    </r>
    <r>
      <rPr>
        <sz val="10"/>
        <color theme="1"/>
        <rFont val="Arial Narrow"/>
        <family val="2"/>
      </rPr>
      <t>Planificar y supervisar el proceso de capacitación relacionado con las soluciones tecnológicas.</t>
    </r>
  </si>
  <si>
    <r>
      <rPr>
        <b/>
        <sz val="9"/>
        <color theme="1"/>
        <rFont val="Century Schoolbook"/>
        <family val="1"/>
      </rPr>
      <t>13.-</t>
    </r>
    <r>
      <rPr>
        <b/>
        <sz val="10"/>
        <color theme="1"/>
        <rFont val="Arial Narrow"/>
        <family val="2"/>
      </rPr>
      <t xml:space="preserve"> </t>
    </r>
    <r>
      <rPr>
        <sz val="10"/>
        <color theme="1"/>
        <rFont val="Arial Narrow"/>
        <family val="2"/>
      </rPr>
      <t>Entregar la Planificaciones Operativas Anuales y Evaluaciones de la Planificación Operativa Anual.</t>
    </r>
  </si>
  <si>
    <r>
      <rPr>
        <b/>
        <sz val="9"/>
        <color theme="1"/>
        <rFont val="Century Schoolbook"/>
        <family val="1"/>
      </rPr>
      <t>14.-</t>
    </r>
    <r>
      <rPr>
        <b/>
        <sz val="10"/>
        <color theme="1"/>
        <rFont val="Arial Narrow"/>
        <family val="2"/>
      </rPr>
      <t xml:space="preserve"> </t>
    </r>
    <r>
      <rPr>
        <sz val="10"/>
        <color theme="1"/>
        <rFont val="Arial Narrow"/>
        <family val="2"/>
      </rPr>
      <t>Organizar el Archivo de Gestión.</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</si>
  <si>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b/>
        <sz val="10"/>
        <color theme="1"/>
        <rFont val="Arial Narrow"/>
        <family val="2"/>
      </rPr>
      <t xml:space="preserve"> </t>
    </r>
    <r>
      <rPr>
        <sz val="10"/>
        <color theme="1"/>
        <rFont val="Arial Narrow"/>
        <family val="2"/>
      </rPr>
      <t>Diseñar y/o actualizar Propuestas de políticas, procedimientos, proyectos, manuales y/o otros instrumentos, que contribuyan a la implementación del modelo de gestión institucional de tecnologías de la información y comunicación, relacionado con los procesos de la Unidad de Redes y Telecomunicaciones.</t>
    </r>
  </si>
  <si>
    <r>
      <rPr>
        <b/>
        <sz val="9"/>
        <color theme="1"/>
        <rFont val="Century Schoolbook"/>
        <family val="1"/>
      </rPr>
      <t>2.-</t>
    </r>
    <r>
      <rPr>
        <b/>
        <sz val="10"/>
        <color theme="1"/>
        <rFont val="Arial Narrow"/>
        <family val="2"/>
      </rPr>
      <t xml:space="preserve"> </t>
    </r>
    <r>
      <rPr>
        <sz val="10"/>
        <color theme="1"/>
        <rFont val="Arial Narrow"/>
        <family val="2"/>
      </rPr>
      <t>Planificar anualmente el proceso de mantenimiento de infraestructura de red (activa y/o pasiva).</t>
    </r>
  </si>
  <si>
    <r>
      <rPr>
        <b/>
        <sz val="9"/>
        <color theme="1"/>
        <rFont val="Century Schoolbook"/>
        <family val="1"/>
      </rPr>
      <t>3.-</t>
    </r>
    <r>
      <rPr>
        <b/>
        <sz val="10"/>
        <color theme="1"/>
        <rFont val="Arial Narrow"/>
        <family val="2"/>
      </rPr>
      <t xml:space="preserve"> </t>
    </r>
    <r>
      <rPr>
        <sz val="10"/>
        <color theme="1"/>
        <rFont val="Arial Narrow"/>
        <family val="2"/>
      </rPr>
      <t>Supervisar la ejecución del proceso de mantenimiento de infraestructura de red  (activa y/o pasiva).</t>
    </r>
  </si>
  <si>
    <r>
      <rPr>
        <b/>
        <sz val="9"/>
        <color theme="1"/>
        <rFont val="Century Schoolbook"/>
        <family val="1"/>
      </rPr>
      <t>4.-</t>
    </r>
    <r>
      <rPr>
        <b/>
        <sz val="10"/>
        <color theme="1"/>
        <rFont val="Arial Narrow"/>
        <family val="2"/>
      </rPr>
      <t xml:space="preserve"> </t>
    </r>
    <r>
      <rPr>
        <sz val="10"/>
        <color theme="1"/>
        <rFont val="Arial Narrow"/>
        <family val="2"/>
      </rPr>
      <t>Diseñar y/o actualizar proyectos para la implementación de la infraestructura de red (activa y/o pasiva).</t>
    </r>
  </si>
  <si>
    <r>
      <rPr>
        <b/>
        <sz val="9"/>
        <color theme="1"/>
        <rFont val="Century Schoolbook"/>
        <family val="1"/>
      </rPr>
      <t>5.-</t>
    </r>
    <r>
      <rPr>
        <b/>
        <sz val="10"/>
        <color theme="1"/>
        <rFont val="Arial Narrow"/>
        <family val="2"/>
      </rPr>
      <t xml:space="preserve"> </t>
    </r>
    <r>
      <rPr>
        <sz val="10"/>
        <color theme="1"/>
        <rFont val="Arial Narrow"/>
        <family val="2"/>
      </rPr>
      <t>Emitir reportes del estado de aplicación de las políticas de seguridad de la información (acceso a la red).</t>
    </r>
  </si>
  <si>
    <r>
      <rPr>
        <b/>
        <sz val="9"/>
        <color theme="1"/>
        <rFont val="Century Schoolbook"/>
        <family val="1"/>
      </rPr>
      <t>6.-</t>
    </r>
    <r>
      <rPr>
        <b/>
        <sz val="10"/>
        <color theme="1"/>
        <rFont val="Arial Narrow"/>
        <family val="2"/>
      </rPr>
      <t xml:space="preserve"> </t>
    </r>
    <r>
      <rPr>
        <sz val="10"/>
        <color theme="1"/>
        <rFont val="Arial Narrow"/>
        <family val="2"/>
      </rPr>
      <t>Administrar los servicios del centro de datos.</t>
    </r>
  </si>
  <si>
    <r>
      <rPr>
        <b/>
        <sz val="9"/>
        <color theme="1"/>
        <rFont val="Century Schoolbook"/>
        <family val="1"/>
      </rPr>
      <t>7.-</t>
    </r>
    <r>
      <rPr>
        <b/>
        <sz val="10"/>
        <color theme="1"/>
        <rFont val="Arial Narrow"/>
        <family val="2"/>
      </rPr>
      <t xml:space="preserve"> </t>
    </r>
    <r>
      <rPr>
        <sz val="10"/>
        <color theme="1"/>
        <rFont val="Arial Narrow"/>
        <family val="2"/>
      </rPr>
      <t>Entregar las Planificaciones Operativas Anuales y Evaluaciones de las Planificaciones Operativas Anuales.</t>
    </r>
  </si>
  <si>
    <r>
      <rPr>
        <b/>
        <sz val="9"/>
        <color theme="1"/>
        <rFont val="Century Schoolbook"/>
        <family val="1"/>
      </rPr>
      <t>8.-</t>
    </r>
    <r>
      <rPr>
        <b/>
        <sz val="10"/>
        <color theme="1"/>
        <rFont val="Arial Narrow"/>
        <family val="2"/>
      </rPr>
      <t xml:space="preserve"> </t>
    </r>
    <r>
      <rPr>
        <sz val="10"/>
        <color theme="1"/>
        <rFont val="Arial Narrow"/>
        <family val="2"/>
      </rPr>
      <t>Organizar el Archivo de Gestión.</t>
    </r>
  </si>
  <si>
    <r>
      <rPr>
        <b/>
        <sz val="9"/>
        <color theme="1"/>
        <rFont val="Century Schoolbook"/>
        <family val="1"/>
      </rPr>
      <t>1.-</t>
    </r>
    <r>
      <rPr>
        <b/>
        <sz val="10"/>
        <color theme="1"/>
        <rFont val="Arial Narrow"/>
        <family val="2"/>
      </rPr>
      <t xml:space="preserve"> </t>
    </r>
    <r>
      <rPr>
        <sz val="10"/>
        <color theme="1"/>
        <rFont val="Arial Narrow"/>
        <family val="2"/>
      </rPr>
      <t>Diseñar y/o Actualizar procedimientos e instrumentos que permitan la gestión institucional de las Tecnologías de la Información y Comunicación en el ámbito del mantenimiento de equipos informáticos.</t>
    </r>
  </si>
  <si>
    <r>
      <rPr>
        <b/>
        <sz val="9"/>
        <color theme="1"/>
        <rFont val="Century Schoolbook"/>
        <family val="1"/>
      </rPr>
      <t>2.-</t>
    </r>
    <r>
      <rPr>
        <sz val="10"/>
        <color theme="1"/>
        <rFont val="Arial Narrow"/>
        <family val="2"/>
      </rPr>
      <t xml:space="preserve"> Diseñar la planificación anual de mantenimiento preventivo de equipos informáticos.</t>
    </r>
  </si>
  <si>
    <r>
      <rPr>
        <b/>
        <sz val="9"/>
        <color theme="1"/>
        <rFont val="Century Schoolbook"/>
        <family val="1"/>
      </rPr>
      <t>3.-</t>
    </r>
    <r>
      <rPr>
        <sz val="10"/>
        <color theme="1"/>
        <rFont val="Arial Narrow"/>
        <family val="2"/>
      </rPr>
      <t xml:space="preserve"> Ejecutar el mantenimiento preventivo y correctivo de hardware y software, garantizando la continuidad de las operaciones.</t>
    </r>
  </si>
  <si>
    <r>
      <rPr>
        <b/>
        <sz val="9"/>
        <color theme="1"/>
        <rFont val="Century Schoolbook"/>
        <family val="1"/>
      </rPr>
      <t>4.-</t>
    </r>
    <r>
      <rPr>
        <sz val="10"/>
        <color theme="1"/>
        <rFont val="Arial Narrow"/>
        <family val="2"/>
      </rPr>
      <t xml:space="preserve"> Administrar el monitoreo de la plataforma de protección de malware y virus informático.</t>
    </r>
  </si>
  <si>
    <r>
      <rPr>
        <b/>
        <sz val="9"/>
        <color theme="1"/>
        <rFont val="Century Schoolbook"/>
        <family val="1"/>
      </rPr>
      <t>5.-</t>
    </r>
    <r>
      <rPr>
        <sz val="10"/>
        <color theme="1"/>
        <rFont val="Arial Narrow"/>
        <family val="2"/>
      </rPr>
      <t xml:space="preserve"> Coordinar el cumplimiento de la Política General de Seguridad de la Información en el ámbito de las competencias de la Unidad de Mantenimiento de Equipos Informáticos, coordinado.</t>
    </r>
  </si>
  <si>
    <r>
      <rPr>
        <b/>
        <sz val="9"/>
        <color theme="1"/>
        <rFont val="Century Schoolbook"/>
        <family val="1"/>
      </rPr>
      <t>6.-</t>
    </r>
    <r>
      <rPr>
        <sz val="10"/>
        <color theme="1"/>
        <rFont val="Arial Narrow"/>
        <family val="2"/>
      </rPr>
      <t xml:space="preserve"> Brindar el soporte técnico en el ámbito del entorno tecnológico (ámbito de mantenimiento de equipos informáticos).</t>
    </r>
  </si>
  <si>
    <r>
      <rPr>
        <b/>
        <sz val="9"/>
        <color theme="1"/>
        <rFont val="Century Schoolbook"/>
        <family val="1"/>
      </rPr>
      <t>7.-</t>
    </r>
    <r>
      <rPr>
        <sz val="10"/>
        <color theme="1"/>
        <rFont val="Arial Narrow"/>
        <family val="2"/>
      </rPr>
      <t xml:space="preserve"> Determinar los escenarios de riesgo relacionados al parque informático y proponer mejoras.</t>
    </r>
  </si>
  <si>
    <r>
      <rPr>
        <b/>
        <sz val="9"/>
        <color theme="1"/>
        <rFont val="Century Schoolbook"/>
        <family val="1"/>
      </rPr>
      <t>8.-</t>
    </r>
    <r>
      <rPr>
        <sz val="10"/>
        <color theme="1"/>
        <rFont val="Arial Narrow"/>
        <family val="2"/>
      </rPr>
      <t xml:space="preserve"> Emitir criterios técnicos sobre el estado de los recursos tecnológicos institucionales para la adquisición de equipos informáticos.</t>
    </r>
  </si>
  <si>
    <r>
      <rPr>
        <b/>
        <sz val="9"/>
        <color theme="1"/>
        <rFont val="Century Schoolbook"/>
        <family val="1"/>
      </rPr>
      <t>9.-</t>
    </r>
    <r>
      <rPr>
        <sz val="10"/>
        <color theme="1"/>
        <rFont val="Arial Narrow"/>
        <family val="2"/>
      </rPr>
      <t xml:space="preserve"> Diseñar el levantamiento del inventario de Software.</t>
    </r>
  </si>
  <si>
    <r>
      <rPr>
        <b/>
        <sz val="9"/>
        <color theme="1"/>
        <rFont val="Century Schoolbook"/>
        <family val="1"/>
      </rPr>
      <t>10.-</t>
    </r>
    <r>
      <rPr>
        <sz val="10"/>
        <color theme="1"/>
        <rFont val="Arial Narrow"/>
        <family val="2"/>
      </rPr>
      <t xml:space="preserve"> Diseñar el levantamiento del inventario de Hardware.</t>
    </r>
  </si>
  <si>
    <r>
      <rPr>
        <b/>
        <sz val="9"/>
        <color theme="1"/>
        <rFont val="Century Schoolbook"/>
        <family val="1"/>
      </rPr>
      <t>11.-</t>
    </r>
    <r>
      <rPr>
        <b/>
        <sz val="10"/>
        <color theme="1"/>
        <rFont val="Arial Narrow"/>
        <family val="2"/>
      </rPr>
      <t xml:space="preserve"> </t>
    </r>
    <r>
      <rPr>
        <sz val="10"/>
        <color theme="1"/>
        <rFont val="Arial Narrow"/>
        <family val="2"/>
      </rPr>
      <t>Entregar la Planificación Operativa Anual y Evaluación de la Planificación Operativa Anual.</t>
    </r>
  </si>
  <si>
    <r>
      <rPr>
        <b/>
        <sz val="9"/>
        <color theme="1"/>
        <rFont val="Century Schoolbook"/>
        <family val="1"/>
      </rPr>
      <t>12.-</t>
    </r>
    <r>
      <rPr>
        <b/>
        <sz val="10"/>
        <color theme="1"/>
        <rFont val="Arial Narrow"/>
        <family val="2"/>
      </rPr>
      <t xml:space="preserve"> </t>
    </r>
    <r>
      <rPr>
        <sz val="10"/>
        <color theme="1"/>
        <rFont val="Arial Narrow"/>
        <family val="2"/>
      </rPr>
      <t>Organizar el Archivo de Gestión.</t>
    </r>
  </si>
  <si>
    <r>
      <rPr>
        <b/>
        <sz val="9"/>
        <color theme="1"/>
        <rFont val="Century Schoolbook"/>
        <family val="1"/>
      </rPr>
      <t>1.-</t>
    </r>
    <r>
      <rPr>
        <sz val="10"/>
        <color theme="1"/>
        <rFont val="Arial Narrow"/>
        <family val="2"/>
      </rPr>
      <t xml:space="preserve"> Solicitar a las unidades administrativas DTIC el diseño del informe de asesorías técnicas brindadas.
</t>
    </r>
    <r>
      <rPr>
        <b/>
        <sz val="9"/>
        <color theme="1"/>
        <rFont val="Century Schoolbook"/>
        <family val="1"/>
      </rPr>
      <t>2.-</t>
    </r>
    <r>
      <rPr>
        <sz val="10"/>
        <color theme="1"/>
        <rFont val="Arial Narrow"/>
        <family val="2"/>
      </rPr>
      <t xml:space="preserve"> Diseñar el informe de valoración de las asesorías técnicas brindadas por las unidades administrativas DTIC.</t>
    </r>
  </si>
  <si>
    <r>
      <rPr>
        <b/>
        <sz val="9"/>
        <color theme="1"/>
        <rFont val="Century Schoolbook"/>
        <family val="1"/>
      </rPr>
      <t>1.-</t>
    </r>
    <r>
      <rPr>
        <sz val="10"/>
        <color theme="1"/>
        <rFont val="Arial Narrow"/>
        <family val="2"/>
      </rPr>
      <t xml:space="preserve"> Valorar para actualizar la propuesta vigente del modelo de gestión institucional de la información y comunicación.
</t>
    </r>
    <r>
      <rPr>
        <b/>
        <sz val="9"/>
        <color theme="1"/>
        <rFont val="Century Schoolbook"/>
        <family val="1"/>
      </rPr>
      <t>2.-</t>
    </r>
    <r>
      <rPr>
        <sz val="10"/>
        <color theme="1"/>
        <rFont val="Arial Narrow"/>
        <family val="2"/>
      </rPr>
      <t xml:space="preserve"> Actualizar el modelo de gestión institucional de la información y comunicación.</t>
    </r>
  </si>
  <si>
    <r>
      <rPr>
        <b/>
        <sz val="9"/>
        <color theme="1"/>
        <rFont val="Century Schoolbook"/>
        <family val="1"/>
      </rPr>
      <t>1.-</t>
    </r>
    <r>
      <rPr>
        <sz val="10"/>
        <color theme="1"/>
        <rFont val="Arial Narrow"/>
        <family val="2"/>
      </rPr>
      <t xml:space="preserve"> Actualizar la propuesta vigente de la Planificación Estratégica de Tecnologías de la Información y Comunicación (PETI).
</t>
    </r>
    <r>
      <rPr>
        <b/>
        <sz val="9"/>
        <color theme="1"/>
        <rFont val="Century Schoolbook"/>
        <family val="1"/>
      </rPr>
      <t>2.-</t>
    </r>
    <r>
      <rPr>
        <sz val="10"/>
        <color theme="1"/>
        <rFont val="Arial Narrow"/>
        <family val="2"/>
      </rPr>
      <t xml:space="preserve"> Gestionar la aprobación del PETI ante Consejo Universitario.</t>
    </r>
  </si>
  <si>
    <r>
      <rPr>
        <b/>
        <sz val="9"/>
        <color theme="1"/>
        <rFont val="Century Schoolbook"/>
        <family val="1"/>
      </rPr>
      <t>1.-</t>
    </r>
    <r>
      <rPr>
        <sz val="10"/>
        <color theme="1"/>
        <rFont val="Arial Narrow"/>
        <family val="2"/>
      </rPr>
      <t xml:space="preserve"> Revisar la propuesta inicial relacionada con el modelo de sistemas de información.
</t>
    </r>
    <r>
      <rPr>
        <b/>
        <sz val="9"/>
        <color theme="1"/>
        <rFont val="Century Schoolbook"/>
        <family val="1"/>
      </rPr>
      <t>2.-</t>
    </r>
    <r>
      <rPr>
        <sz val="10"/>
        <color theme="1"/>
        <rFont val="Arial Narrow"/>
        <family val="2"/>
      </rPr>
      <t xml:space="preserve"> Rediseñar el modelo de sistemas de información en base a posibles observaciones identificadas.
</t>
    </r>
    <r>
      <rPr>
        <b/>
        <sz val="9"/>
        <color theme="1"/>
        <rFont val="Century Schoolbook"/>
        <family val="1"/>
      </rPr>
      <t>3.-</t>
    </r>
    <r>
      <rPr>
        <sz val="10"/>
        <color theme="1"/>
        <rFont val="Arial Narrow"/>
        <family val="2"/>
      </rPr>
      <t xml:space="preserve"> Aprobar el modelo de sistemas de información.</t>
    </r>
  </si>
  <si>
    <r>
      <rPr>
        <b/>
        <sz val="9"/>
        <color theme="1"/>
        <rFont val="Century Schoolbook"/>
        <family val="1"/>
      </rPr>
      <t>1.-</t>
    </r>
    <r>
      <rPr>
        <sz val="10"/>
        <color theme="1"/>
        <rFont val="Arial Narrow"/>
        <family val="2"/>
      </rPr>
      <t xml:space="preserve"> Gestionar la actualización de la Política General de Seguridad de la Información.
</t>
    </r>
    <r>
      <rPr>
        <b/>
        <sz val="9"/>
        <color theme="1"/>
        <rFont val="Century Schoolbook"/>
        <family val="1"/>
      </rPr>
      <t>2.-</t>
    </r>
    <r>
      <rPr>
        <sz val="10"/>
        <color theme="1"/>
        <rFont val="Arial Narrow"/>
        <family val="2"/>
      </rPr>
      <t xml:space="preserve"> Socializar con la comunidad universitaria la Política de seguridad de la información.
</t>
    </r>
    <r>
      <rPr>
        <b/>
        <sz val="9"/>
        <color theme="1"/>
        <rFont val="Century Schoolbook"/>
        <family val="1"/>
      </rPr>
      <t>3.-</t>
    </r>
    <r>
      <rPr>
        <sz val="10"/>
        <color theme="1"/>
        <rFont val="Arial Narrow"/>
        <family val="2"/>
      </rPr>
      <t xml:space="preserve"> Supervisar el cumplimiento de la Política de seguridad de la información.
</t>
    </r>
    <r>
      <rPr>
        <b/>
        <sz val="9"/>
        <color theme="1"/>
        <rFont val="Century Schoolbook"/>
        <family val="1"/>
      </rPr>
      <t>4.-</t>
    </r>
    <r>
      <rPr>
        <sz val="10"/>
        <color theme="1"/>
        <rFont val="Arial Narrow"/>
        <family val="2"/>
      </rPr>
      <t xml:space="preserve"> Identificar los hallazgos e implementar controles basados en el informe de seguimiento y monitoreo.</t>
    </r>
  </si>
  <si>
    <r>
      <rPr>
        <b/>
        <sz val="9"/>
        <color theme="1"/>
        <rFont val="Century Schoolbook"/>
        <family val="1"/>
      </rPr>
      <t>1.-</t>
    </r>
    <r>
      <rPr>
        <sz val="10"/>
        <color theme="1"/>
        <rFont val="Arial Narrow"/>
        <family val="2"/>
      </rPr>
      <t xml:space="preserve"> Gestionar la actualización de los instrumentos que permitan medir el impacto de los procesos automatizados.
</t>
    </r>
    <r>
      <rPr>
        <b/>
        <sz val="9"/>
        <color theme="1"/>
        <rFont val="Century Schoolbook"/>
        <family val="1"/>
      </rPr>
      <t>2.-</t>
    </r>
    <r>
      <rPr>
        <sz val="10"/>
        <color theme="1"/>
        <rFont val="Arial Narrow"/>
        <family val="2"/>
      </rPr>
      <t xml:space="preserve"> Solicitar a la unidad de sistemas, el informe de evaluación del impacto de los procesos automatizados.
</t>
    </r>
    <r>
      <rPr>
        <b/>
        <sz val="9"/>
        <color theme="1"/>
        <rFont val="Century Schoolbook"/>
        <family val="1"/>
      </rPr>
      <t>3.-</t>
    </r>
    <r>
      <rPr>
        <sz val="10"/>
        <color theme="1"/>
        <rFont val="Arial Narrow"/>
        <family val="2"/>
      </rPr>
      <t xml:space="preserve"> Aprobar el informe de la evaluación del impacto de los procesos automatizados.</t>
    </r>
  </si>
  <si>
    <r>
      <rPr>
        <b/>
        <sz val="9"/>
        <color theme="1"/>
        <rFont val="Century Schoolbook"/>
        <family val="1"/>
      </rPr>
      <t>1.-</t>
    </r>
    <r>
      <rPr>
        <sz val="10"/>
        <color theme="1"/>
        <rFont val="Arial Narrow"/>
        <family val="2"/>
      </rPr>
      <t xml:space="preserve"> Solicitar a las unidades administrativas DIR TIC, el diseño del plan de contingencia de procesos tecnológicos, para aprobación.
</t>
    </r>
    <r>
      <rPr>
        <b/>
        <sz val="9"/>
        <color theme="1"/>
        <rFont val="Century Schoolbook"/>
        <family val="1"/>
      </rPr>
      <t>2.-</t>
    </r>
    <r>
      <rPr>
        <sz val="10"/>
        <color theme="1"/>
        <rFont val="Arial Narrow"/>
        <family val="2"/>
      </rPr>
      <t xml:space="preserve"> Solicitar a las unidades administrativas DTIC, el diseño del informe de cumplimiento del plan de contingencia de procesos tecnológicos.</t>
    </r>
  </si>
  <si>
    <r>
      <rPr>
        <b/>
        <sz val="9"/>
        <color theme="1"/>
        <rFont val="Century Schoolbook"/>
        <family val="1"/>
      </rPr>
      <t>1.-</t>
    </r>
    <r>
      <rPr>
        <sz val="10"/>
        <color theme="1"/>
        <rFont val="Arial Narrow"/>
        <family val="2"/>
      </rPr>
      <t xml:space="preserve"> Solicitar a la unidad de sistemas, el diseño del plan de capacitación informático para aprobación.
</t>
    </r>
    <r>
      <rPr>
        <b/>
        <sz val="9"/>
        <color theme="1"/>
        <rFont val="Century Schoolbook"/>
        <family val="1"/>
      </rPr>
      <t>2.-</t>
    </r>
    <r>
      <rPr>
        <sz val="10"/>
        <color theme="1"/>
        <rFont val="Arial Narrow"/>
        <family val="2"/>
      </rPr>
      <t xml:space="preserve"> Solicitar a la unidad de sistemas, el diseño del informe de cumplimiento del plan anual de capacitación para aprobación.</t>
    </r>
  </si>
  <si>
    <r>
      <rPr>
        <b/>
        <sz val="9"/>
        <color theme="1"/>
        <rFont val="Century Schoolbook"/>
        <family val="1"/>
      </rPr>
      <t>1.-</t>
    </r>
    <r>
      <rPr>
        <sz val="10"/>
        <color theme="1"/>
        <rFont val="Arial Narrow"/>
        <family val="2"/>
      </rPr>
      <t xml:space="preserve"> Solicitar a la unidad de sistemas, el diseño del plan de desarrollo de software y a la unidad de redes y telecomunicaciones el plan de adquisición de infraestructura tecnológica, para aprobación.
</t>
    </r>
    <r>
      <rPr>
        <b/>
        <sz val="9"/>
        <color theme="1"/>
        <rFont val="Century Schoolbook"/>
        <family val="1"/>
      </rPr>
      <t>2.-</t>
    </r>
    <r>
      <rPr>
        <sz val="10"/>
        <color theme="1"/>
        <rFont val="Arial Narrow"/>
        <family val="2"/>
      </rPr>
      <t xml:space="preserve"> Solicitar a las unidades de sistemas y de redes y telecomunicaciones el diseño del informe de complimiento del  plan de desarrollo de software y del plan de adquisición de infraestructura tecnológica, respectivamente.</t>
    </r>
  </si>
  <si>
    <r>
      <rPr>
        <b/>
        <sz val="9"/>
        <color theme="1"/>
        <rFont val="Century Schoolbook"/>
        <family val="1"/>
      </rPr>
      <t>1.-</t>
    </r>
    <r>
      <rPr>
        <sz val="10"/>
        <color theme="1"/>
        <rFont val="Arial Narrow"/>
        <family val="2"/>
      </rPr>
      <t xml:space="preserve"> Elaborar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Evaluar el POA </t>
    </r>
    <r>
      <rPr>
        <sz val="10"/>
        <color theme="1"/>
        <rFont val="Century Schoolbook"/>
        <family val="1"/>
      </rPr>
      <t>2023.</t>
    </r>
  </si>
  <si>
    <r>
      <rPr>
        <b/>
        <sz val="9"/>
        <color theme="1"/>
        <rFont val="Century Schoolbook"/>
        <family val="1"/>
      </rPr>
      <t>1.-</t>
    </r>
    <r>
      <rPr>
        <sz val="10"/>
        <color theme="1"/>
        <rFont val="Arial Narrow"/>
        <family val="2"/>
      </rPr>
      <t xml:space="preserve"> Seleccionar y clasificar la documentación.
</t>
    </r>
    <r>
      <rPr>
        <b/>
        <sz val="9"/>
        <color theme="1"/>
        <rFont val="Century Schoolbook"/>
        <family val="1"/>
      </rPr>
      <t>2.-</t>
    </r>
    <r>
      <rPr>
        <sz val="10"/>
        <color theme="1"/>
        <rFont val="Arial Narrow"/>
        <family val="2"/>
      </rPr>
      <t xml:space="preserve"> Describir la documentación según la norma ISAD-G.
</t>
    </r>
    <r>
      <rPr>
        <b/>
        <sz val="9"/>
        <color theme="1"/>
        <rFont val="Century Schoolbook"/>
        <family val="1"/>
      </rPr>
      <t>3.-</t>
    </r>
    <r>
      <rPr>
        <sz val="10"/>
        <color theme="1"/>
        <rFont val="Arial Narrow"/>
        <family val="2"/>
      </rPr>
      <t xml:space="preserve"> Preservar la documentación en las Unidades de Almacenamiento.</t>
    </r>
  </si>
  <si>
    <r>
      <rPr>
        <b/>
        <sz val="9"/>
        <color theme="1"/>
        <rFont val="Century Schoolbook"/>
        <family val="1"/>
      </rPr>
      <t>1.-</t>
    </r>
    <r>
      <rPr>
        <sz val="10"/>
        <color theme="1"/>
        <rFont val="Arial Narrow"/>
        <family val="2"/>
      </rPr>
      <t xml:space="preserve"> Elaborar la propuesta.
</t>
    </r>
    <r>
      <rPr>
        <b/>
        <sz val="9"/>
        <color theme="1"/>
        <rFont val="Century Schoolbook"/>
        <family val="1"/>
      </rPr>
      <t>2.-</t>
    </r>
    <r>
      <rPr>
        <sz val="10"/>
        <color theme="1"/>
        <rFont val="Arial Narrow"/>
        <family val="2"/>
      </rPr>
      <t xml:space="preserve"> Gestionar la aprobación de la propuesta.</t>
    </r>
  </si>
  <si>
    <r>
      <rPr>
        <b/>
        <sz val="9"/>
        <color theme="1"/>
        <rFont val="Century Schoolbook"/>
        <family val="1"/>
      </rPr>
      <t>1.-</t>
    </r>
    <r>
      <rPr>
        <sz val="10"/>
        <color theme="1"/>
        <rFont val="Arial Narrow"/>
        <family val="2"/>
      </rPr>
      <t xml:space="preserve"> Analizar procesos que requieren automatización.
</t>
    </r>
    <r>
      <rPr>
        <b/>
        <sz val="9"/>
        <color theme="1"/>
        <rFont val="Century Schoolbook"/>
        <family val="1"/>
      </rPr>
      <t>2.-</t>
    </r>
    <r>
      <rPr>
        <sz val="10"/>
        <color theme="1"/>
        <rFont val="Arial Narrow"/>
        <family val="2"/>
      </rPr>
      <t xml:space="preserve"> Validar los requerimientos de automatización.
</t>
    </r>
    <r>
      <rPr>
        <b/>
        <sz val="9"/>
        <color theme="1"/>
        <rFont val="Century Schoolbook"/>
        <family val="1"/>
      </rPr>
      <t>3.-</t>
    </r>
    <r>
      <rPr>
        <sz val="10"/>
        <color theme="1"/>
        <rFont val="Arial Narrow"/>
        <family val="2"/>
      </rPr>
      <t xml:space="preserve"> Elaborar el Plan anual de desarrollo de software.</t>
    </r>
  </si>
  <si>
    <r>
      <rPr>
        <b/>
        <sz val="9"/>
        <color theme="1"/>
        <rFont val="Century Schoolbook"/>
        <family val="1"/>
      </rPr>
      <t>1.-</t>
    </r>
    <r>
      <rPr>
        <sz val="10"/>
        <color theme="1"/>
        <rFont val="Arial Narrow"/>
        <family val="2"/>
      </rPr>
      <t xml:space="preserve"> Realizar el seguimiento de la ejecución del Plan de desarrollo de software.
</t>
    </r>
    <r>
      <rPr>
        <b/>
        <sz val="9"/>
        <color theme="1"/>
        <rFont val="Century Schoolbook"/>
        <family val="1"/>
      </rPr>
      <t>2.-</t>
    </r>
    <r>
      <rPr>
        <sz val="10"/>
        <color theme="1"/>
        <rFont val="Arial Narrow"/>
        <family val="2"/>
      </rPr>
      <t xml:space="preserve"> Analizar requerimientos de automatización emergentes.
</t>
    </r>
    <r>
      <rPr>
        <b/>
        <sz val="9"/>
        <color theme="1"/>
        <rFont val="Century Schoolbook"/>
        <family val="1"/>
      </rPr>
      <t>3.-</t>
    </r>
    <r>
      <rPr>
        <sz val="10"/>
        <color theme="1"/>
        <rFont val="Arial Narrow"/>
        <family val="2"/>
      </rPr>
      <t xml:space="preserve"> Elaborar el Plan anual de contingencia de desarrollo de software.</t>
    </r>
  </si>
  <si>
    <r>
      <rPr>
        <b/>
        <sz val="9"/>
        <color theme="1"/>
        <rFont val="Century Schoolbook"/>
        <family val="1"/>
      </rPr>
      <t>1.-</t>
    </r>
    <r>
      <rPr>
        <sz val="10"/>
        <color theme="1"/>
        <rFont val="Arial Narrow"/>
        <family val="2"/>
      </rPr>
      <t xml:space="preserve"> Convocar a reuniones de trabajo con los usuarios de las aplicaciones.
</t>
    </r>
    <r>
      <rPr>
        <b/>
        <sz val="9"/>
        <color theme="1"/>
        <rFont val="Century Schoolbook"/>
        <family val="1"/>
      </rPr>
      <t>2.-</t>
    </r>
    <r>
      <rPr>
        <sz val="10"/>
        <color theme="1"/>
        <rFont val="Arial Narrow"/>
        <family val="2"/>
      </rPr>
      <t xml:space="preserve"> Realizar el análisis, diseño y programación del sistema informáticos.
</t>
    </r>
    <r>
      <rPr>
        <b/>
        <sz val="9"/>
        <color theme="1"/>
        <rFont val="Century Schoolbook"/>
        <family val="1"/>
      </rPr>
      <t>3.-</t>
    </r>
    <r>
      <rPr>
        <sz val="10"/>
        <color theme="1"/>
        <rFont val="Arial Narrow"/>
        <family val="2"/>
      </rPr>
      <t xml:space="preserve"> Implementar la aplicación.</t>
    </r>
  </si>
  <si>
    <r>
      <rPr>
        <b/>
        <sz val="9"/>
        <color theme="1"/>
        <rFont val="Century Schoolbook"/>
        <family val="1"/>
      </rPr>
      <t>1.-</t>
    </r>
    <r>
      <rPr>
        <sz val="10"/>
        <color theme="1"/>
        <rFont val="Arial Narrow"/>
        <family val="2"/>
      </rPr>
      <t xml:space="preserve"> Revisar el inventario de aplicaciones informáticas desarrolladas.
</t>
    </r>
    <r>
      <rPr>
        <b/>
        <sz val="9"/>
        <color theme="1"/>
        <rFont val="Century Schoolbook"/>
        <family val="1"/>
      </rPr>
      <t>2.-</t>
    </r>
    <r>
      <rPr>
        <sz val="10"/>
        <color theme="1"/>
        <rFont val="Arial Narrow"/>
        <family val="2"/>
      </rPr>
      <t xml:space="preserve"> Receptar requerimientos de capacitación.
</t>
    </r>
    <r>
      <rPr>
        <b/>
        <sz val="9"/>
        <color theme="1"/>
        <rFont val="Century Schoolbook"/>
        <family val="1"/>
      </rPr>
      <t>3.-</t>
    </r>
    <r>
      <rPr>
        <sz val="10"/>
        <color theme="1"/>
        <rFont val="Arial Narrow"/>
        <family val="2"/>
      </rPr>
      <t xml:space="preserve"> Analizar la necesidad de capacitación.
</t>
    </r>
    <r>
      <rPr>
        <b/>
        <sz val="9"/>
        <color theme="1"/>
        <rFont val="Century Schoolbook"/>
        <family val="1"/>
      </rPr>
      <t>4.-</t>
    </r>
    <r>
      <rPr>
        <sz val="10"/>
        <color theme="1"/>
        <rFont val="Arial Narrow"/>
        <family val="2"/>
      </rPr>
      <t xml:space="preserve"> Elaborar el plan de capacitación.
</t>
    </r>
    <r>
      <rPr>
        <b/>
        <sz val="9"/>
        <color theme="1"/>
        <rFont val="Century Schoolbook"/>
        <family val="1"/>
      </rPr>
      <t>5.-</t>
    </r>
    <r>
      <rPr>
        <sz val="10"/>
        <color theme="1"/>
        <rFont val="Arial Narrow"/>
        <family val="2"/>
      </rPr>
      <t xml:space="preserve"> Coordinar la capacitación.</t>
    </r>
  </si>
  <si>
    <r>
      <rPr>
        <b/>
        <sz val="9"/>
        <color theme="1"/>
        <rFont val="Century Schoolbook"/>
        <family val="1"/>
      </rPr>
      <t>1.-</t>
    </r>
    <r>
      <rPr>
        <sz val="10"/>
        <color theme="1"/>
        <rFont val="Arial Narrow"/>
        <family val="2"/>
      </rPr>
      <t xml:space="preserve"> Receptar el requerimiento de criterio técnico.
</t>
    </r>
    <r>
      <rPr>
        <b/>
        <sz val="9"/>
        <color theme="1"/>
        <rFont val="Century Schoolbook"/>
        <family val="1"/>
      </rPr>
      <t>2.-</t>
    </r>
    <r>
      <rPr>
        <sz val="10"/>
        <color theme="1"/>
        <rFont val="Arial Narrow"/>
        <family val="2"/>
      </rPr>
      <t xml:space="preserve"> Analizar el requerimiento solicitado.
</t>
    </r>
    <r>
      <rPr>
        <b/>
        <sz val="9"/>
        <color theme="1"/>
        <rFont val="Century Schoolbook"/>
        <family val="1"/>
      </rPr>
      <t>3.-</t>
    </r>
    <r>
      <rPr>
        <sz val="10"/>
        <color theme="1"/>
        <rFont val="Arial Narrow"/>
        <family val="2"/>
      </rPr>
      <t xml:space="preserve"> Notificar al usuario el soporte brindado.</t>
    </r>
  </si>
  <si>
    <r>
      <rPr>
        <b/>
        <sz val="9"/>
        <color theme="1"/>
        <rFont val="Century Schoolbook"/>
        <family val="1"/>
      </rPr>
      <t>1.-</t>
    </r>
    <r>
      <rPr>
        <sz val="10"/>
        <color theme="1"/>
        <rFont val="Arial Narrow"/>
        <family val="2"/>
      </rPr>
      <t xml:space="preserve"> Revisar la capacidad de almacenamiento en el servidor.
</t>
    </r>
    <r>
      <rPr>
        <b/>
        <sz val="9"/>
        <color theme="1"/>
        <rFont val="Century Schoolbook"/>
        <family val="1"/>
      </rPr>
      <t>2.-</t>
    </r>
    <r>
      <rPr>
        <sz val="10"/>
        <color theme="1"/>
        <rFont val="Arial Narrow"/>
        <family val="2"/>
      </rPr>
      <t xml:space="preserve"> Analizar nuevas versiones de software para actualización de acuerdo a compatibilidad.
</t>
    </r>
    <r>
      <rPr>
        <b/>
        <sz val="9"/>
        <color theme="1"/>
        <rFont val="Century Schoolbook"/>
        <family val="1"/>
      </rPr>
      <t>3.-</t>
    </r>
    <r>
      <rPr>
        <sz val="10"/>
        <color theme="1"/>
        <rFont val="Arial Narrow"/>
        <family val="2"/>
      </rPr>
      <t xml:space="preserve"> Realizar la actualización de la versión del software del portal.</t>
    </r>
  </si>
  <si>
    <r>
      <rPr>
        <b/>
        <sz val="9"/>
        <color theme="1"/>
        <rFont val="Century Schoolbook"/>
        <family val="1"/>
      </rPr>
      <t>1.-</t>
    </r>
    <r>
      <rPr>
        <sz val="10"/>
        <color theme="1"/>
        <rFont val="Arial Narrow"/>
        <family val="2"/>
      </rPr>
      <t xml:space="preserve"> Efectuar la recepción de las solicitudes de creación de correos institucionales.
</t>
    </r>
    <r>
      <rPr>
        <b/>
        <sz val="9"/>
        <color theme="1"/>
        <rFont val="Century Schoolbook"/>
        <family val="1"/>
      </rPr>
      <t>2.-</t>
    </r>
    <r>
      <rPr>
        <sz val="10"/>
        <color theme="1"/>
        <rFont val="Arial Narrow"/>
        <family val="2"/>
      </rPr>
      <t xml:space="preserve"> Realizar la creación de las cuentas de correos institucionales.
</t>
    </r>
    <r>
      <rPr>
        <b/>
        <sz val="9"/>
        <color theme="1"/>
        <rFont val="Century Schoolbook"/>
        <family val="1"/>
      </rPr>
      <t>3.-</t>
    </r>
    <r>
      <rPr>
        <sz val="10"/>
        <color theme="1"/>
        <rFont val="Arial Narrow"/>
        <family val="2"/>
      </rPr>
      <t xml:space="preserve"> Realizar la actualización de la plataforma de correos institucionales.</t>
    </r>
  </si>
  <si>
    <r>
      <rPr>
        <b/>
        <sz val="9"/>
        <color theme="1"/>
        <rFont val="Century Schoolbook"/>
        <family val="1"/>
      </rPr>
      <t>1.-</t>
    </r>
    <r>
      <rPr>
        <sz val="10"/>
        <color theme="1"/>
        <rFont val="Arial Narrow"/>
        <family val="2"/>
      </rPr>
      <t xml:space="preserve"> Otorgar acceso a las aplicaciones informáticas de acuerdo a los roles asignados (uso de claves y seguridad).</t>
    </r>
  </si>
  <si>
    <r>
      <rPr>
        <b/>
        <sz val="9"/>
        <color theme="1"/>
        <rFont val="Century Schoolbook"/>
        <family val="1"/>
      </rPr>
      <t>1.-</t>
    </r>
    <r>
      <rPr>
        <sz val="10"/>
        <color theme="1"/>
        <rFont val="Arial Narrow"/>
        <family val="2"/>
      </rPr>
      <t xml:space="preserve"> Supervisar el monitoreo y revisión de los riesgos.</t>
    </r>
  </si>
  <si>
    <r>
      <rPr>
        <b/>
        <sz val="9"/>
        <color theme="1"/>
        <rFont val="Century Schoolbook"/>
        <family val="1"/>
      </rPr>
      <t>1.-</t>
    </r>
    <r>
      <rPr>
        <sz val="10"/>
        <color theme="1"/>
        <rFont val="Arial Narrow"/>
        <family val="2"/>
      </rPr>
      <t xml:space="preserve"> Revisar las soluciones tecnológicas.
</t>
    </r>
    <r>
      <rPr>
        <b/>
        <sz val="9"/>
        <color theme="1"/>
        <rFont val="Century Schoolbook"/>
        <family val="1"/>
      </rPr>
      <t>2.-</t>
    </r>
    <r>
      <rPr>
        <sz val="10"/>
        <color theme="1"/>
        <rFont val="Arial Narrow"/>
        <family val="2"/>
      </rPr>
      <t xml:space="preserve"> Proponer el informe de cumplimiento.</t>
    </r>
  </si>
  <si>
    <r>
      <rPr>
        <b/>
        <sz val="9"/>
        <color theme="1"/>
        <rFont val="Century Schoolbook"/>
        <family val="1"/>
      </rPr>
      <t>1.-</t>
    </r>
    <r>
      <rPr>
        <sz val="10"/>
        <color theme="1"/>
        <rFont val="Arial Narrow"/>
        <family val="2"/>
      </rPr>
      <t xml:space="preserve"> Elaborar el plan de capacitación.
</t>
    </r>
    <r>
      <rPr>
        <b/>
        <sz val="9"/>
        <color theme="1"/>
        <rFont val="Century Schoolbook"/>
        <family val="1"/>
      </rPr>
      <t>2.-</t>
    </r>
    <r>
      <rPr>
        <sz val="10"/>
        <color theme="1"/>
        <rFont val="Arial Narrow"/>
        <family val="2"/>
      </rPr>
      <t xml:space="preserve"> Realizar la capacitación.</t>
    </r>
  </si>
  <si>
    <r>
      <rPr>
        <b/>
        <sz val="9"/>
        <color theme="1"/>
        <rFont val="Century Schoolbook"/>
        <family val="1"/>
      </rPr>
      <t>1.-</t>
    </r>
    <r>
      <rPr>
        <sz val="10"/>
        <color theme="1"/>
        <rFont val="Arial Narrow"/>
        <family val="2"/>
      </rPr>
      <t xml:space="preserve"> Determinar las metas a alcanzar en base a la necesidad institucional.
</t>
    </r>
    <r>
      <rPr>
        <b/>
        <sz val="9"/>
        <color theme="1"/>
        <rFont val="Century Schoolbook"/>
        <family val="1"/>
      </rPr>
      <t>2.-</t>
    </r>
    <r>
      <rPr>
        <sz val="10"/>
        <color theme="1"/>
        <rFont val="Arial Narrow"/>
        <family val="2"/>
      </rPr>
      <t xml:space="preserve"> Efectuar la relación de las evidencias a las metas planteadas.
</t>
    </r>
    <r>
      <rPr>
        <b/>
        <sz val="9"/>
        <color theme="1"/>
        <rFont val="Century Schoolbook"/>
        <family val="1"/>
      </rPr>
      <t>3.-</t>
    </r>
    <r>
      <rPr>
        <sz val="10"/>
        <color theme="1"/>
        <rFont val="Arial Narrow"/>
        <family val="2"/>
      </rPr>
      <t xml:space="preserve"> Elaborar los planes operativos anuales.
</t>
    </r>
    <r>
      <rPr>
        <b/>
        <sz val="9"/>
        <color theme="1"/>
        <rFont val="Century Schoolbook"/>
        <family val="1"/>
      </rPr>
      <t>4.-</t>
    </r>
    <r>
      <rPr>
        <sz val="10"/>
        <color theme="1"/>
        <rFont val="Arial Narrow"/>
        <family val="2"/>
      </rPr>
      <t xml:space="preserve"> Realizar la recolección de evidencias de cumplimiento.
</t>
    </r>
    <r>
      <rPr>
        <b/>
        <sz val="9"/>
        <color theme="1"/>
        <rFont val="Century Schoolbook"/>
        <family val="1"/>
      </rPr>
      <t>5.-</t>
    </r>
    <r>
      <rPr>
        <sz val="10"/>
        <color theme="1"/>
        <rFont val="Arial Narrow"/>
        <family val="2"/>
      </rPr>
      <t xml:space="preserve"> Elaborar matrices de evaluación del POA.</t>
    </r>
  </si>
  <si>
    <r>
      <rPr>
        <b/>
        <sz val="9"/>
        <color theme="1"/>
        <rFont val="Century Schoolbook"/>
        <family val="1"/>
      </rPr>
      <t>1.-</t>
    </r>
    <r>
      <rPr>
        <sz val="10"/>
        <color theme="1"/>
        <rFont val="Arial Narrow"/>
        <family val="2"/>
      </rPr>
      <t xml:space="preserve"> Analizar el modelo de gestión institucional de tic.
</t>
    </r>
    <r>
      <rPr>
        <b/>
        <sz val="9"/>
        <color theme="1"/>
        <rFont val="Century Schoolbook"/>
        <family val="1"/>
      </rPr>
      <t>2.-</t>
    </r>
    <r>
      <rPr>
        <sz val="10"/>
        <color theme="1"/>
        <rFont val="Arial Narrow"/>
        <family val="2"/>
      </rPr>
      <t xml:space="preserve"> Elaborar propuesta de políticas, procedimientos, proyectos manuales y otros instrumentos.</t>
    </r>
  </si>
  <si>
    <r>
      <rPr>
        <b/>
        <sz val="9"/>
        <color theme="1"/>
        <rFont val="Century Schoolbook"/>
        <family val="1"/>
      </rPr>
      <t>1.-</t>
    </r>
    <r>
      <rPr>
        <sz val="10"/>
        <color theme="1"/>
        <rFont val="Arial Narrow"/>
        <family val="2"/>
      </rPr>
      <t xml:space="preserve"> Revisar el estado de los contratos de mantenimiento activos.
</t>
    </r>
    <r>
      <rPr>
        <b/>
        <sz val="9"/>
        <color theme="1"/>
        <rFont val="Century Schoolbook"/>
        <family val="1"/>
      </rPr>
      <t>2.-</t>
    </r>
    <r>
      <rPr>
        <sz val="10"/>
        <color theme="1"/>
        <rFont val="Arial Narrow"/>
        <family val="2"/>
      </rPr>
      <t xml:space="preserve"> Revisar el estado inicial de los equipos de red activa y/o pasiva.
</t>
    </r>
    <r>
      <rPr>
        <b/>
        <sz val="9"/>
        <color theme="1"/>
        <rFont val="Century Schoolbook"/>
        <family val="1"/>
      </rPr>
      <t>3.-</t>
    </r>
    <r>
      <rPr>
        <sz val="10"/>
        <color theme="1"/>
        <rFont val="Arial Narrow"/>
        <family val="2"/>
      </rPr>
      <t xml:space="preserve"> Elaborar el plan de mantenimiento de infraestructura de red activa y/o pasiva.
</t>
    </r>
    <r>
      <rPr>
        <b/>
        <sz val="9"/>
        <color theme="1"/>
        <rFont val="Century Schoolbook"/>
        <family val="1"/>
      </rPr>
      <t>4.-</t>
    </r>
    <r>
      <rPr>
        <sz val="10"/>
        <color theme="1"/>
        <rFont val="Arial Narrow"/>
        <family val="2"/>
      </rPr>
      <t xml:space="preserve"> Elaborar los Términos de referencia para el proceso de contratación del mantenimiento de la red activa y/o pasiva.
</t>
    </r>
    <r>
      <rPr>
        <b/>
        <sz val="9"/>
        <color theme="1"/>
        <rFont val="Century Schoolbook"/>
        <family val="1"/>
      </rPr>
      <t>5.-</t>
    </r>
    <r>
      <rPr>
        <sz val="10"/>
        <color theme="1"/>
        <rFont val="Arial Narrow"/>
        <family val="2"/>
      </rPr>
      <t xml:space="preserve"> Solicitar el inicio del proceso de contratación.</t>
    </r>
  </si>
  <si>
    <r>
      <rPr>
        <b/>
        <sz val="9"/>
        <color theme="1"/>
        <rFont val="Century Schoolbook"/>
        <family val="1"/>
      </rPr>
      <t>1.-</t>
    </r>
    <r>
      <rPr>
        <sz val="10"/>
        <color theme="1"/>
        <rFont val="Arial Narrow"/>
        <family val="2"/>
      </rPr>
      <t xml:space="preserve"> Elaborar el cronograma  para la ejecución del mantenimiento de infraestructura de red (activa y/o pasiva).
</t>
    </r>
    <r>
      <rPr>
        <b/>
        <sz val="9"/>
        <color theme="1"/>
        <rFont val="Century Schoolbook"/>
        <family val="1"/>
      </rPr>
      <t>2.-</t>
    </r>
    <r>
      <rPr>
        <sz val="10"/>
        <color theme="1"/>
        <rFont val="Arial Narrow"/>
        <family val="2"/>
      </rPr>
      <t xml:space="preserve"> Coordinar el mantenimiento con contratista.
</t>
    </r>
    <r>
      <rPr>
        <b/>
        <sz val="9"/>
        <color theme="1"/>
        <rFont val="Century Schoolbook"/>
        <family val="1"/>
      </rPr>
      <t>3.-</t>
    </r>
    <r>
      <rPr>
        <sz val="10"/>
        <color theme="1"/>
        <rFont val="Arial Narrow"/>
        <family val="2"/>
      </rPr>
      <t xml:space="preserve"> Revisar y aprobar el  informe de ejecución de mantenimiento.</t>
    </r>
  </si>
  <si>
    <r>
      <rPr>
        <b/>
        <sz val="9"/>
        <color theme="1"/>
        <rFont val="Century Schoolbook"/>
        <family val="1"/>
      </rPr>
      <t>1.-</t>
    </r>
    <r>
      <rPr>
        <sz val="10"/>
        <color theme="1"/>
        <rFont val="Arial Narrow"/>
        <family val="2"/>
      </rPr>
      <t xml:space="preserve"> Atender nuevas solicitudes de implementación de infraestructura de red (activa y/o pasiva).
</t>
    </r>
    <r>
      <rPr>
        <b/>
        <sz val="9"/>
        <color theme="1"/>
        <rFont val="Century Schoolbook"/>
        <family val="1"/>
      </rPr>
      <t>2.-</t>
    </r>
    <r>
      <rPr>
        <sz val="10"/>
        <color theme="1"/>
        <rFont val="Arial Narrow"/>
        <family val="2"/>
      </rPr>
      <t xml:space="preserve"> Levantar información en sitio.
</t>
    </r>
    <r>
      <rPr>
        <b/>
        <sz val="9"/>
        <color theme="1"/>
        <rFont val="Century Schoolbook"/>
        <family val="1"/>
      </rPr>
      <t>3.-</t>
    </r>
    <r>
      <rPr>
        <sz val="10"/>
        <color theme="1"/>
        <rFont val="Arial Narrow"/>
        <family val="2"/>
      </rPr>
      <t xml:space="preserve"> Elaborar Informe técnico o similares.
</t>
    </r>
    <r>
      <rPr>
        <b/>
        <sz val="9"/>
        <color theme="1"/>
        <rFont val="Century Schoolbook"/>
        <family val="1"/>
      </rPr>
      <t>4.-</t>
    </r>
    <r>
      <rPr>
        <sz val="10"/>
        <color theme="1"/>
        <rFont val="Arial Narrow"/>
        <family val="2"/>
      </rPr>
      <t xml:space="preserve"> Elaborar informe de estado de proyectos de infraestructura de red.</t>
    </r>
  </si>
  <si>
    <r>
      <rPr>
        <b/>
        <sz val="9"/>
        <color theme="1"/>
        <rFont val="Century Schoolbook"/>
        <family val="1"/>
      </rPr>
      <t>1.-</t>
    </r>
    <r>
      <rPr>
        <sz val="10"/>
        <color theme="1"/>
        <rFont val="Arial Narrow"/>
        <family val="2"/>
      </rPr>
      <t xml:space="preserve"> Monitorear el tráfico generado en la Red de UTMACH.
</t>
    </r>
    <r>
      <rPr>
        <b/>
        <sz val="9"/>
        <color theme="1"/>
        <rFont val="Century Schoolbook"/>
        <family val="1"/>
      </rPr>
      <t>2.-</t>
    </r>
    <r>
      <rPr>
        <sz val="10"/>
        <color theme="1"/>
        <rFont val="Arial Narrow"/>
        <family val="2"/>
      </rPr>
      <t xml:space="preserve"> Elaborar el informe semestral de estado de la aplicación de las Políticas de Seguridad de la Información.</t>
    </r>
  </si>
  <si>
    <r>
      <rPr>
        <b/>
        <sz val="9"/>
        <color theme="1"/>
        <rFont val="Century Schoolbook"/>
        <family val="1"/>
      </rPr>
      <t>1.-</t>
    </r>
    <r>
      <rPr>
        <sz val="10"/>
        <color theme="1"/>
        <rFont val="Arial Narrow"/>
        <family val="2"/>
      </rPr>
      <t xml:space="preserve"> Monitorear el estado de servicio de virtualización.
</t>
    </r>
    <r>
      <rPr>
        <b/>
        <sz val="9"/>
        <color theme="1"/>
        <rFont val="Century Schoolbook"/>
        <family val="1"/>
      </rPr>
      <t>2.-</t>
    </r>
    <r>
      <rPr>
        <sz val="10"/>
        <color theme="1"/>
        <rFont val="Arial Narrow"/>
        <family val="2"/>
      </rPr>
      <t xml:space="preserve"> Mantener la infraestructura de Virtualización.
</t>
    </r>
    <r>
      <rPr>
        <b/>
        <sz val="9"/>
        <color theme="1"/>
        <rFont val="Century Schoolbook"/>
        <family val="1"/>
      </rPr>
      <t>3.-</t>
    </r>
    <r>
      <rPr>
        <sz val="10"/>
        <color theme="1"/>
        <rFont val="Arial Narrow"/>
        <family val="2"/>
      </rPr>
      <t xml:space="preserve"> Elaborar informe de estado de la infraestructura de Virtualización.</t>
    </r>
  </si>
  <si>
    <r>
      <rPr>
        <b/>
        <sz val="9"/>
        <color theme="1"/>
        <rFont val="Century Schoolbook"/>
        <family val="1"/>
      </rPr>
      <t>1.-</t>
    </r>
    <r>
      <rPr>
        <sz val="10"/>
        <color theme="1"/>
        <rFont val="Arial Narrow"/>
        <family val="2"/>
      </rPr>
      <t xml:space="preserve"> Elaborar las Planificaciones Operativas.
</t>
    </r>
    <r>
      <rPr>
        <b/>
        <sz val="9"/>
        <color theme="1"/>
        <rFont val="Century Schoolbook"/>
        <family val="1"/>
      </rPr>
      <t>2.-</t>
    </r>
    <r>
      <rPr>
        <sz val="10"/>
        <color theme="1"/>
        <rFont val="Arial Narrow"/>
        <family val="2"/>
      </rPr>
      <t xml:space="preserve"> Elaborar la evaluación de las planificaciones operativas anuales del </t>
    </r>
    <r>
      <rPr>
        <sz val="10"/>
        <color theme="1"/>
        <rFont val="Century Schoolbook"/>
        <family val="1"/>
      </rPr>
      <t>2023.</t>
    </r>
    <r>
      <rPr>
        <sz val="10"/>
        <color theme="1"/>
        <rFont val="Arial Narrow"/>
        <family val="2"/>
      </rPr>
      <t xml:space="preserve">
</t>
    </r>
    <r>
      <rPr>
        <b/>
        <sz val="9"/>
        <color theme="1"/>
        <rFont val="Century Schoolbook"/>
        <family val="1"/>
      </rPr>
      <t>3.-</t>
    </r>
    <r>
      <rPr>
        <sz val="10"/>
        <color theme="1"/>
        <rFont val="Arial Narrow"/>
        <family val="2"/>
      </rPr>
      <t xml:space="preserve"> Analizar las adquisiciones acorde a las Planificaciones Operativas.
</t>
    </r>
    <r>
      <rPr>
        <b/>
        <sz val="9"/>
        <color theme="1"/>
        <rFont val="Century Schoolbook"/>
        <family val="1"/>
      </rPr>
      <t>4.-</t>
    </r>
    <r>
      <rPr>
        <sz val="10"/>
        <color theme="1"/>
        <rFont val="Arial Narrow"/>
        <family val="2"/>
      </rPr>
      <t xml:space="preserve"> Elaborar el Plan anual de contratación.
</t>
    </r>
    <r>
      <rPr>
        <b/>
        <sz val="9"/>
        <color theme="1"/>
        <rFont val="Century Schoolbook"/>
        <family val="1"/>
      </rPr>
      <t>5.-</t>
    </r>
    <r>
      <rPr>
        <sz val="10"/>
        <color theme="1"/>
        <rFont val="Arial Narrow"/>
        <family val="2"/>
      </rPr>
      <t xml:space="preserve"> Ejecutar el PAC.
</t>
    </r>
    <r>
      <rPr>
        <b/>
        <sz val="9"/>
        <color theme="1"/>
        <rFont val="Century Schoolbook"/>
        <family val="1"/>
      </rPr>
      <t>6.-</t>
    </r>
    <r>
      <rPr>
        <sz val="10"/>
        <color theme="1"/>
        <rFont val="Arial Narrow"/>
        <family val="2"/>
      </rPr>
      <t xml:space="preserve"> Evaluar el PAC.</t>
    </r>
  </si>
  <si>
    <r>
      <rPr>
        <b/>
        <sz val="9"/>
        <color theme="1"/>
        <rFont val="Century Schoolbook"/>
        <family val="1"/>
      </rPr>
      <t>1.-</t>
    </r>
    <r>
      <rPr>
        <sz val="10"/>
        <color theme="1"/>
        <rFont val="Arial Narrow"/>
        <family val="2"/>
      </rPr>
      <t xml:space="preserve"> Diseñar el procedimiento de atención a requerimientos relacionados con el mantenimiento de equipos informáticos, para aprobación.
</t>
    </r>
    <r>
      <rPr>
        <b/>
        <sz val="9"/>
        <color theme="1"/>
        <rFont val="Century Schoolbook"/>
        <family val="1"/>
      </rPr>
      <t>2.-</t>
    </r>
    <r>
      <rPr>
        <sz val="10"/>
        <color theme="1"/>
        <rFont val="Arial Narrow"/>
        <family val="2"/>
      </rPr>
      <t xml:space="preserve"> Actualizar los instrumentos para registro de mantenimientos preventivos y correctivos de equipos informáticos, para aprobación.</t>
    </r>
  </si>
  <si>
    <r>
      <rPr>
        <b/>
        <sz val="9"/>
        <color theme="1"/>
        <rFont val="Century Schoolbook"/>
        <family val="1"/>
      </rPr>
      <t>1.-</t>
    </r>
    <r>
      <rPr>
        <sz val="10"/>
        <color theme="1"/>
        <rFont val="Arial Narrow"/>
        <family val="2"/>
      </rPr>
      <t xml:space="preserve"> Diseñar la planificación anual de mantenimiento de equipos informáticos, para aprobación.</t>
    </r>
  </si>
  <si>
    <r>
      <rPr>
        <b/>
        <sz val="9"/>
        <color theme="1"/>
        <rFont val="Century Schoolbook"/>
        <family val="1"/>
      </rPr>
      <t>1.-</t>
    </r>
    <r>
      <rPr>
        <sz val="10"/>
        <color theme="1"/>
        <rFont val="Arial Narrow"/>
        <family val="2"/>
      </rPr>
      <t xml:space="preserve"> Diseñar el informe semestral de cumplimiento del plan anual de mantenimiento preventivo y correctivo de equipos informáticos y actualizaciones de software, para aprobación.</t>
    </r>
  </si>
  <si>
    <r>
      <rPr>
        <b/>
        <sz val="9"/>
        <color theme="1"/>
        <rFont val="Century Schoolbook"/>
        <family val="1"/>
      </rPr>
      <t>1.-</t>
    </r>
    <r>
      <rPr>
        <sz val="10"/>
        <color theme="1"/>
        <rFont val="Arial Narrow"/>
        <family val="2"/>
      </rPr>
      <t xml:space="preserve"> Diseñar el informe de monitoreo de la plataforma de protección de malware y virus informático, para aprobación.</t>
    </r>
  </si>
  <si>
    <r>
      <rPr>
        <b/>
        <sz val="9"/>
        <color theme="1"/>
        <rFont val="Century Schoolbook"/>
        <family val="1"/>
      </rPr>
      <t>1.-</t>
    </r>
    <r>
      <rPr>
        <sz val="10"/>
        <color theme="1"/>
        <rFont val="Arial Narrow"/>
        <family val="2"/>
      </rPr>
      <t xml:space="preserve"> Diseñar el Informe semestral de cumplimiento de la Política General de Seguridad de la Información en el ámbito del mantenimiento de equipos informáticos, para aprobación.</t>
    </r>
  </si>
  <si>
    <r>
      <rPr>
        <b/>
        <sz val="9"/>
        <color theme="1"/>
        <rFont val="Century Schoolbook"/>
        <family val="1"/>
      </rPr>
      <t>1.-</t>
    </r>
    <r>
      <rPr>
        <sz val="10"/>
        <color theme="1"/>
        <rFont val="Arial Narrow"/>
        <family val="2"/>
      </rPr>
      <t xml:space="preserve"> Diseñar el informe semestral de asesorías técnicas brindadas, para aprobación.</t>
    </r>
  </si>
  <si>
    <r>
      <rPr>
        <b/>
        <sz val="9"/>
        <color theme="1"/>
        <rFont val="Century Schoolbook"/>
        <family val="1"/>
      </rPr>
      <t>1.-</t>
    </r>
    <r>
      <rPr>
        <sz val="10"/>
        <color theme="1"/>
        <rFont val="Arial Narrow"/>
        <family val="2"/>
      </rPr>
      <t xml:space="preserve"> Diseñar el informe de escenarios de riesgo relacionados al parque informático, para aprobación.</t>
    </r>
  </si>
  <si>
    <r>
      <rPr>
        <b/>
        <sz val="9"/>
        <color theme="1"/>
        <rFont val="Century Schoolbook"/>
        <family val="1"/>
      </rPr>
      <t>1.-</t>
    </r>
    <r>
      <rPr>
        <sz val="10"/>
        <color theme="1"/>
        <rFont val="Arial Narrow"/>
        <family val="2"/>
      </rPr>
      <t xml:space="preserve"> Diseñar informes</t>
    </r>
    <r>
      <rPr>
        <sz val="10"/>
        <color rgb="FFFF0000"/>
        <rFont val="Arial Narrow"/>
        <family val="2"/>
      </rPr>
      <t xml:space="preserve"> </t>
    </r>
    <r>
      <rPr>
        <sz val="10"/>
        <color theme="1"/>
        <rFont val="Arial Narrow"/>
        <family val="2"/>
      </rPr>
      <t>de estado de funcionalidad de los equipos informáticos, para aprobación.</t>
    </r>
  </si>
  <si>
    <r>
      <rPr>
        <b/>
        <sz val="9"/>
        <color theme="1"/>
        <rFont val="Century Schoolbook"/>
        <family val="1"/>
      </rPr>
      <t>1.-</t>
    </r>
    <r>
      <rPr>
        <sz val="10"/>
        <color theme="1"/>
        <rFont val="Arial Narrow"/>
        <family val="2"/>
      </rPr>
      <t xml:space="preserve"> Diseñar informes de inventario de Software, para aprobación.</t>
    </r>
  </si>
  <si>
    <r>
      <rPr>
        <b/>
        <sz val="9"/>
        <color theme="1"/>
        <rFont val="Century Schoolbook"/>
        <family val="1"/>
      </rPr>
      <t>1.-</t>
    </r>
    <r>
      <rPr>
        <sz val="10"/>
        <color theme="1"/>
        <rFont val="Arial Narrow"/>
        <family val="2"/>
      </rPr>
      <t xml:space="preserve"> Diseñar informes de inventario de Hardware, para aprobación.</t>
    </r>
  </si>
  <si>
    <r>
      <rPr>
        <b/>
        <sz val="9"/>
        <color theme="1"/>
        <rFont val="Century Schoolbook"/>
        <family val="1"/>
      </rPr>
      <t>1.-</t>
    </r>
    <r>
      <rPr>
        <sz val="10"/>
        <color theme="1"/>
        <rFont val="Arial Narrow"/>
        <family val="2"/>
      </rPr>
      <t xml:space="preserve"> Inventario documental DTIC, organizado.</t>
    </r>
  </si>
  <si>
    <r>
      <rPr>
        <b/>
        <sz val="9"/>
        <color theme="1"/>
        <rFont val="Century Schoolbook"/>
        <family val="1"/>
      </rPr>
      <t>1.-</t>
    </r>
    <r>
      <rPr>
        <sz val="10"/>
        <color theme="1"/>
        <rFont val="Arial Narrow"/>
        <family val="2"/>
      </rPr>
      <t xml:space="preserve"> POA DTIC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POA DTIC </t>
    </r>
    <r>
      <rPr>
        <sz val="10"/>
        <color theme="1"/>
        <rFont val="Century Schoolbook"/>
        <family val="1"/>
      </rPr>
      <t>2023.</t>
    </r>
  </si>
  <si>
    <r>
      <rPr>
        <b/>
        <sz val="9"/>
        <color theme="1"/>
        <rFont val="Century Schoolbook"/>
        <family val="1"/>
      </rPr>
      <t>1.-</t>
    </r>
    <r>
      <rPr>
        <sz val="10"/>
        <color theme="1"/>
        <rFont val="Arial Narrow"/>
        <family val="2"/>
      </rPr>
      <t xml:space="preserve"> Informes de inventario de Hardware, aprobado.</t>
    </r>
  </si>
  <si>
    <r>
      <rPr>
        <b/>
        <sz val="9"/>
        <color theme="1"/>
        <rFont val="Century Schoolbook"/>
        <family val="1"/>
      </rPr>
      <t>1.-</t>
    </r>
    <r>
      <rPr>
        <sz val="10"/>
        <color rgb="FFFF0000"/>
        <rFont val="Arial Narrow"/>
        <family val="2"/>
      </rPr>
      <t xml:space="preserve"> </t>
    </r>
    <r>
      <rPr>
        <sz val="10"/>
        <color theme="1"/>
        <rFont val="Arial Narrow"/>
        <family val="2"/>
      </rPr>
      <t>Informes de inventario de Software, aprobado.</t>
    </r>
  </si>
  <si>
    <r>
      <rPr>
        <b/>
        <sz val="9"/>
        <color theme="1"/>
        <rFont val="Century Schoolbook"/>
        <family val="1"/>
      </rPr>
      <t>1.-</t>
    </r>
    <r>
      <rPr>
        <sz val="10"/>
        <color theme="1"/>
        <rFont val="Arial Narrow"/>
        <family val="2"/>
      </rPr>
      <t xml:space="preserve"> Informes de estado de funcionalidad de los equipos informáticos, para aprobación.</t>
    </r>
  </si>
  <si>
    <r>
      <rPr>
        <b/>
        <sz val="9"/>
        <color theme="1"/>
        <rFont val="Century Schoolbook"/>
        <family val="1"/>
      </rPr>
      <t>1.-</t>
    </r>
    <r>
      <rPr>
        <sz val="10"/>
        <color theme="1"/>
        <rFont val="Arial Narrow"/>
        <family val="2"/>
      </rPr>
      <t xml:space="preserve"> Informe de escenarios de riesgo relacionados al parque informático, aprobado.</t>
    </r>
  </si>
  <si>
    <r>
      <rPr>
        <b/>
        <sz val="9"/>
        <color theme="1"/>
        <rFont val="Century Schoolbook"/>
        <family val="1"/>
      </rPr>
      <t>1.-</t>
    </r>
    <r>
      <rPr>
        <sz val="10"/>
        <color theme="1"/>
        <rFont val="Arial Narrow"/>
        <family val="2"/>
      </rPr>
      <t xml:space="preserve"> Informes semestrales de asesorías técnicas brindadas, aprobado.</t>
    </r>
  </si>
  <si>
    <r>
      <rPr>
        <b/>
        <sz val="9"/>
        <color theme="1"/>
        <rFont val="Century Schoolbook"/>
        <family val="1"/>
      </rPr>
      <t>1.-</t>
    </r>
    <r>
      <rPr>
        <sz val="10"/>
        <color theme="1"/>
        <rFont val="Arial Narrow"/>
        <family val="2"/>
      </rPr>
      <t xml:space="preserve"> Informes semestrales de cumplimiento de la Política General de Seguridad de la Información en el ámbito del mantenimiento de equipos informáticos, aprobado.</t>
    </r>
  </si>
  <si>
    <r>
      <rPr>
        <b/>
        <sz val="9"/>
        <color theme="1"/>
        <rFont val="Century Schoolbook"/>
        <family val="1"/>
      </rPr>
      <t>1.-</t>
    </r>
    <r>
      <rPr>
        <sz val="10"/>
        <color theme="1"/>
        <rFont val="Arial Narrow"/>
        <family val="2"/>
      </rPr>
      <t xml:space="preserve"> Informes de monitoreo de la plataforma de protección de malware y virus informático, para aprobado.</t>
    </r>
  </si>
  <si>
    <r>
      <rPr>
        <b/>
        <sz val="9"/>
        <color theme="1"/>
        <rFont val="Century Schoolbook"/>
        <family val="1"/>
      </rPr>
      <t>1.-</t>
    </r>
    <r>
      <rPr>
        <sz val="10"/>
        <color theme="1"/>
        <rFont val="Arial Narrow"/>
        <family val="2"/>
      </rPr>
      <t xml:space="preserve"> Informes semestrales de cumplimiento del plan anual de mantenimiento preventivo y correctivo de equipos informáticos y actualizaciones de software, aprobado.</t>
    </r>
  </si>
  <si>
    <r>
      <rPr>
        <b/>
        <sz val="9"/>
        <color theme="1"/>
        <rFont val="Century Schoolbook"/>
        <family val="1"/>
      </rPr>
      <t>1.-</t>
    </r>
    <r>
      <rPr>
        <sz val="10"/>
        <color theme="1"/>
        <rFont val="Arial Narrow"/>
        <family val="2"/>
      </rPr>
      <t xml:space="preserve"> Planificación Anual de Mantenimiento de Equipos Informáticos, aprobada.</t>
    </r>
  </si>
  <si>
    <r>
      <rPr>
        <b/>
        <sz val="9"/>
        <color theme="1"/>
        <rFont val="Century Schoolbook"/>
        <family val="1"/>
      </rPr>
      <t>1.-</t>
    </r>
    <r>
      <rPr>
        <sz val="10"/>
        <color theme="1"/>
        <rFont val="Arial Narrow"/>
        <family val="2"/>
      </rPr>
      <t xml:space="preserve"> Procedimiento para la atención a requerimientos relacionados con el mantenimiento de equipos informáticos, aprobado.
</t>
    </r>
    <r>
      <rPr>
        <b/>
        <sz val="9"/>
        <color theme="1"/>
        <rFont val="Century Schoolbook"/>
        <family val="1"/>
      </rPr>
      <t>2.-</t>
    </r>
    <r>
      <rPr>
        <sz val="10"/>
        <color theme="1"/>
        <rFont val="Arial Narrow"/>
        <family val="2"/>
      </rPr>
      <t xml:space="preserve"> Instrumentos para registro de mantenimientos preventivos y correctivos actualizados y aprobados.</t>
    </r>
  </si>
  <si>
    <r>
      <rPr>
        <b/>
        <sz val="9"/>
        <color theme="1"/>
        <rFont val="Century Schoolbook"/>
        <family val="1"/>
      </rPr>
      <t>1.-</t>
    </r>
    <r>
      <rPr>
        <sz val="10"/>
        <color theme="1"/>
        <rFont val="Arial Narrow"/>
        <family val="2"/>
      </rPr>
      <t xml:space="preserve"> Informe de monitoreo de servicio de virtualización.
</t>
    </r>
    <r>
      <rPr>
        <b/>
        <sz val="9"/>
        <color theme="1"/>
        <rFont val="Century Schoolbook"/>
        <family val="1"/>
      </rPr>
      <t>2.-</t>
    </r>
    <r>
      <rPr>
        <sz val="10"/>
        <color theme="1"/>
        <rFont val="Arial Narrow"/>
        <family val="2"/>
      </rPr>
      <t xml:space="preserve"> Informe de mantenimiento de infraestructura de virtualización.
</t>
    </r>
    <r>
      <rPr>
        <b/>
        <sz val="9"/>
        <color theme="1"/>
        <rFont val="Century Schoolbook"/>
        <family val="1"/>
      </rPr>
      <t>3.-</t>
    </r>
    <r>
      <rPr>
        <sz val="10"/>
        <color theme="1"/>
        <rFont val="Arial Narrow"/>
        <family val="2"/>
      </rPr>
      <t xml:space="preserve"> Informe semestral de estado de la infraestructura de Virtualización.</t>
    </r>
  </si>
  <si>
    <r>
      <rPr>
        <b/>
        <sz val="9"/>
        <color theme="1"/>
        <rFont val="Century Schoolbook"/>
        <family val="1"/>
      </rPr>
      <t>1.-</t>
    </r>
    <r>
      <rPr>
        <sz val="10"/>
        <color theme="1"/>
        <rFont val="Arial Narrow"/>
        <family val="2"/>
      </rPr>
      <t xml:space="preserve"> Informe de monitoreo de servicio de tráfico generado en la Red de UTMACH.
</t>
    </r>
    <r>
      <rPr>
        <b/>
        <sz val="9"/>
        <color theme="1"/>
        <rFont val="Century Schoolbook"/>
        <family val="1"/>
      </rPr>
      <t>2.-</t>
    </r>
    <r>
      <rPr>
        <sz val="10"/>
        <color theme="1"/>
        <rFont val="Arial Narrow"/>
        <family val="2"/>
      </rPr>
      <t xml:space="preserve"> Informe semestral de estado de la aplicación de las Políticas de Seguridad de la Información.</t>
    </r>
  </si>
  <si>
    <r>
      <rPr>
        <b/>
        <sz val="9"/>
        <color theme="1"/>
        <rFont val="Century Schoolbook"/>
        <family val="1"/>
      </rPr>
      <t>1.-</t>
    </r>
    <r>
      <rPr>
        <sz val="10"/>
        <color theme="1"/>
        <rFont val="Arial Narrow"/>
        <family val="2"/>
      </rPr>
      <t xml:space="preserve"> Oficios recibidos de solicitudes de implementación de infraestructura de red (activo y/o pasiva).
</t>
    </r>
    <r>
      <rPr>
        <b/>
        <sz val="9"/>
        <color theme="1"/>
        <rFont val="Century Schoolbook"/>
        <family val="1"/>
      </rPr>
      <t>2.-</t>
    </r>
    <r>
      <rPr>
        <sz val="10"/>
        <color theme="1"/>
        <rFont val="Arial Narrow"/>
        <family val="2"/>
      </rPr>
      <t xml:space="preserve"> Oficio enviado con informe técnico o similares referente a los proyectos de infraestructura de red.</t>
    </r>
  </si>
  <si>
    <r>
      <rPr>
        <b/>
        <sz val="9"/>
        <color theme="1"/>
        <rFont val="Century Schoolbook"/>
        <family val="1"/>
      </rPr>
      <t>1.-</t>
    </r>
    <r>
      <rPr>
        <sz val="10"/>
        <color theme="1"/>
        <rFont val="Arial Narrow"/>
        <family val="2"/>
      </rPr>
      <t xml:space="preserve"> Cronograma de mantenimiento de infraestructura de red (activo y/o pasivo).
</t>
    </r>
    <r>
      <rPr>
        <b/>
        <sz val="9"/>
        <color theme="1"/>
        <rFont val="Century Schoolbook"/>
        <family val="1"/>
      </rPr>
      <t>2.-</t>
    </r>
    <r>
      <rPr>
        <sz val="10"/>
        <color theme="1"/>
        <rFont val="Arial Narrow"/>
        <family val="2"/>
      </rPr>
      <t xml:space="preserve"> Correo de confirmación al contratista para la ejecución del mantenimiento a la infraestructura de red  (activo y/o) pasivo.
</t>
    </r>
    <r>
      <rPr>
        <b/>
        <sz val="9"/>
        <color theme="1"/>
        <rFont val="Century Schoolbook"/>
        <family val="1"/>
      </rPr>
      <t>3.-</t>
    </r>
    <r>
      <rPr>
        <sz val="10"/>
        <color theme="1"/>
        <rFont val="Arial Narrow"/>
        <family val="2"/>
      </rPr>
      <t xml:space="preserve"> Informe de ejecución de mantenimiento.</t>
    </r>
  </si>
  <si>
    <r>
      <rPr>
        <b/>
        <sz val="9"/>
        <color theme="1"/>
        <rFont val="Century Schoolbook"/>
        <family val="1"/>
      </rPr>
      <t>1.-</t>
    </r>
    <r>
      <rPr>
        <sz val="10"/>
        <color theme="1"/>
        <rFont val="Arial Narrow"/>
        <family val="2"/>
      </rPr>
      <t xml:space="preserve"> Contratos Vigentes de mantenimiento.
</t>
    </r>
    <r>
      <rPr>
        <b/>
        <sz val="9"/>
        <color theme="1"/>
        <rFont val="Century Schoolbook"/>
        <family val="1"/>
      </rPr>
      <t>2.-</t>
    </r>
    <r>
      <rPr>
        <sz val="10"/>
        <color theme="1"/>
        <rFont val="Arial Narrow"/>
        <family val="2"/>
      </rPr>
      <t xml:space="preserve"> Plan de mantenimiento de infraestructura activa y/o pasiva.
</t>
    </r>
    <r>
      <rPr>
        <b/>
        <sz val="9"/>
        <color theme="1"/>
        <rFont val="Century Schoolbook"/>
        <family val="1"/>
      </rPr>
      <t>3.-</t>
    </r>
    <r>
      <rPr>
        <sz val="10"/>
        <color theme="1"/>
        <rFont val="Arial Narrow"/>
        <family val="2"/>
      </rPr>
      <t xml:space="preserve"> Documentos para inicio de proceso de contratación del servicio de mantenimiento de la infraestructura de red activa y/o pasiva.
</t>
    </r>
    <r>
      <rPr>
        <b/>
        <sz val="9"/>
        <color theme="1"/>
        <rFont val="Century Schoolbook"/>
        <family val="1"/>
      </rPr>
      <t>4.-</t>
    </r>
    <r>
      <rPr>
        <sz val="10"/>
        <color theme="1"/>
        <rFont val="Arial Narrow"/>
        <family val="2"/>
      </rPr>
      <t xml:space="preserve"> Oficio enviado solicitando el inicio del proceso de contratación, adjuntando formularios de requerimiento.</t>
    </r>
  </si>
  <si>
    <r>
      <rPr>
        <b/>
        <sz val="9"/>
        <color theme="1"/>
        <rFont val="Century Schoolbook"/>
        <family val="1"/>
      </rPr>
      <t>1.-</t>
    </r>
    <r>
      <rPr>
        <sz val="10"/>
        <color theme="1"/>
        <rFont val="Arial Narrow"/>
        <family val="2"/>
      </rPr>
      <t xml:space="preserve"> Oficios o correos enviados con Propuestas de políticas, procedimientos, proyectos, manuales y/o otros instrumentos, que contribuyan a la implementación del modelo de gestión institucional de tecnologías de la información y comunicación, relacionado con los procesos de la Unidad de Redes y Telecomunicaciones, diseñadas y/o actualizadas.
</t>
    </r>
    <r>
      <rPr>
        <b/>
        <sz val="9"/>
        <color theme="1"/>
        <rFont val="Century Schoolbook"/>
        <family val="1"/>
      </rPr>
      <t>2.-</t>
    </r>
    <r>
      <rPr>
        <sz val="10"/>
        <color theme="1"/>
        <rFont val="Arial Narrow"/>
        <family val="2"/>
      </rPr>
      <t xml:space="preserve"> Plan de Contingencia de procesos tecnológicos.</t>
    </r>
  </si>
  <si>
    <r>
      <rPr>
        <b/>
        <sz val="9"/>
        <color theme="1"/>
        <rFont val="Century Schoolbook"/>
        <family val="1"/>
      </rPr>
      <t>1.-</t>
    </r>
    <r>
      <rPr>
        <sz val="10"/>
        <color theme="1"/>
        <rFont val="Arial Narrow"/>
        <family val="2"/>
      </rPr>
      <t xml:space="preserve"> Evaluación POA </t>
    </r>
    <r>
      <rPr>
        <sz val="10"/>
        <color theme="1"/>
        <rFont val="Century Schoolbook"/>
        <family val="1"/>
      </rPr>
      <t>2023.</t>
    </r>
    <r>
      <rPr>
        <sz val="10"/>
        <color theme="1"/>
        <rFont val="Arial Narrow"/>
        <family val="2"/>
      </rPr>
      <t xml:space="preserve">
</t>
    </r>
    <r>
      <rPr>
        <b/>
        <sz val="9"/>
        <color theme="1"/>
        <rFont val="Century Schoolbook"/>
        <family val="1"/>
      </rPr>
      <t>2.-</t>
    </r>
    <r>
      <rPr>
        <sz val="10"/>
        <color theme="1"/>
        <rFont val="Arial Narrow"/>
        <family val="2"/>
      </rPr>
      <t xml:space="preserve"> POA </t>
    </r>
    <r>
      <rPr>
        <sz val="10"/>
        <color theme="1"/>
        <rFont val="Century Schoolbook"/>
        <family val="1"/>
      </rPr>
      <t>2024.</t>
    </r>
  </si>
  <si>
    <r>
      <rPr>
        <b/>
        <sz val="9"/>
        <color theme="1"/>
        <rFont val="Century Schoolbook"/>
        <family val="1"/>
      </rPr>
      <t>1.-</t>
    </r>
    <r>
      <rPr>
        <sz val="10"/>
        <color theme="1"/>
        <rFont val="Arial Narrow"/>
        <family val="2"/>
      </rPr>
      <t xml:space="preserve"> Plan anual del proceso de capacitación relacionado con las soluciones tecnológicas.
</t>
    </r>
    <r>
      <rPr>
        <b/>
        <sz val="9"/>
        <color theme="1"/>
        <rFont val="Century Schoolbook"/>
        <family val="1"/>
      </rPr>
      <t>2.-</t>
    </r>
    <r>
      <rPr>
        <sz val="10"/>
        <color theme="1"/>
        <rFont val="Arial Narrow"/>
        <family val="2"/>
      </rPr>
      <t xml:space="preserve"> Informe semestral del estado de ejecución del  proceso de capacitación relacionado con las soluciones tecnológicas.</t>
    </r>
  </si>
  <si>
    <r>
      <rPr>
        <b/>
        <sz val="9"/>
        <color theme="1"/>
        <rFont val="Century Schoolbook"/>
        <family val="1"/>
      </rPr>
      <t>1.-</t>
    </r>
    <r>
      <rPr>
        <sz val="10"/>
        <color theme="1"/>
        <rFont val="Arial Narrow"/>
        <family val="2"/>
      </rPr>
      <t xml:space="preserve"> Informe de cumplimiento de las soluciones tecnológicas coordinadas.</t>
    </r>
  </si>
  <si>
    <r>
      <rPr>
        <b/>
        <sz val="9"/>
        <color theme="1"/>
        <rFont val="Century Schoolbook"/>
        <family val="1"/>
      </rPr>
      <t>1.-</t>
    </r>
    <r>
      <rPr>
        <sz val="10"/>
        <color theme="1"/>
        <rFont val="Arial Narrow"/>
        <family val="2"/>
      </rPr>
      <t xml:space="preserve"> Informe de resultados del estado producto del monitoreo y revisión de los riesgos.</t>
    </r>
  </si>
  <si>
    <r>
      <rPr>
        <b/>
        <sz val="9"/>
        <color theme="1"/>
        <rFont val="Century Schoolbook"/>
        <family val="1"/>
      </rPr>
      <t>1.-</t>
    </r>
    <r>
      <rPr>
        <sz val="10"/>
        <color theme="1"/>
        <rFont val="Arial Narrow"/>
        <family val="2"/>
      </rPr>
      <t xml:space="preserve"> Informe de estado de aplicación de las políticas de seguridad de la información.</t>
    </r>
  </si>
  <si>
    <r>
      <rPr>
        <b/>
        <sz val="9"/>
        <color theme="1"/>
        <rFont val="Century Schoolbook"/>
        <family val="1"/>
      </rPr>
      <t>1.-</t>
    </r>
    <r>
      <rPr>
        <sz val="10"/>
        <color theme="1"/>
        <rFont val="Arial Narrow"/>
        <family val="2"/>
      </rPr>
      <t xml:space="preserve"> Informe de administración del correo electrónico institucional.</t>
    </r>
  </si>
  <si>
    <r>
      <rPr>
        <b/>
        <sz val="9"/>
        <color theme="1"/>
        <rFont val="Century Schoolbook"/>
        <family val="1"/>
      </rPr>
      <t>1.-</t>
    </r>
    <r>
      <rPr>
        <sz val="10"/>
        <color theme="1"/>
        <rFont val="Arial Narrow"/>
        <family val="2"/>
      </rPr>
      <t xml:space="preserve"> Informe de funcionalidad del sitio web oficial de la institución.</t>
    </r>
  </si>
  <si>
    <r>
      <rPr>
        <b/>
        <sz val="9"/>
        <color theme="1"/>
        <rFont val="Century Schoolbook"/>
        <family val="1"/>
      </rPr>
      <t>1.-</t>
    </r>
    <r>
      <rPr>
        <sz val="10"/>
        <color theme="1"/>
        <rFont val="Arial Narrow"/>
        <family val="2"/>
      </rPr>
      <t xml:space="preserve"> Reporte de criterios técnicos para soporte de usuarios.</t>
    </r>
  </si>
  <si>
    <r>
      <rPr>
        <b/>
        <sz val="9"/>
        <color theme="1"/>
        <rFont val="Century Schoolbook"/>
        <family val="1"/>
      </rPr>
      <t>1.-</t>
    </r>
    <r>
      <rPr>
        <sz val="10"/>
        <color rgb="FFFF0000"/>
        <rFont val="Arial Narrow"/>
        <family val="2"/>
      </rPr>
      <t xml:space="preserve"> </t>
    </r>
    <r>
      <rPr>
        <sz val="10"/>
        <color theme="1"/>
        <rFont val="Arial Narrow"/>
        <family val="2"/>
      </rPr>
      <t xml:space="preserve">Plan anual del proceso de capacitación relacionado con las aplicaciones informáticas.
</t>
    </r>
    <r>
      <rPr>
        <b/>
        <sz val="9"/>
        <color theme="1"/>
        <rFont val="Century Schoolbook"/>
        <family val="1"/>
      </rPr>
      <t>2.-</t>
    </r>
    <r>
      <rPr>
        <sz val="10"/>
        <color theme="1"/>
        <rFont val="Arial Narrow"/>
        <family val="2"/>
      </rPr>
      <t xml:space="preserve"> Informe semestral del estado de ejecución del proceso de capacitación relacionado con las aplicaciones informáticas.</t>
    </r>
  </si>
  <si>
    <r>
      <rPr>
        <b/>
        <sz val="9"/>
        <color theme="1"/>
        <rFont val="Century Schoolbook"/>
        <family val="1"/>
      </rPr>
      <t>1.-</t>
    </r>
    <r>
      <rPr>
        <sz val="10"/>
        <color theme="1"/>
        <rFont val="Arial Narrow"/>
        <family val="2"/>
      </rPr>
      <t xml:space="preserve"> Acta de entrega-recepción de software por cada aplicación informática implementada.</t>
    </r>
  </si>
  <si>
    <r>
      <rPr>
        <b/>
        <sz val="9"/>
        <color theme="1"/>
        <rFont val="Century Schoolbook"/>
        <family val="1"/>
      </rPr>
      <t>1.-</t>
    </r>
    <r>
      <rPr>
        <sz val="10"/>
        <color theme="1"/>
        <rFont val="Arial Narrow"/>
        <family val="2"/>
      </rPr>
      <t xml:space="preserve"> Plan anual de contingencia de software.
</t>
    </r>
    <r>
      <rPr>
        <b/>
        <sz val="9"/>
        <color theme="1"/>
        <rFont val="Century Schoolbook"/>
        <family val="1"/>
      </rPr>
      <t>2.-</t>
    </r>
    <r>
      <rPr>
        <sz val="10"/>
        <color theme="1"/>
        <rFont val="Arial Narrow"/>
        <family val="2"/>
      </rPr>
      <t xml:space="preserve"> Informe semestral del estado de ejecución del plan de desarrollo de software.</t>
    </r>
  </si>
  <si>
    <r>
      <rPr>
        <b/>
        <sz val="9"/>
        <color theme="1"/>
        <rFont val="Century Schoolbook"/>
        <family val="1"/>
      </rPr>
      <t>1.-</t>
    </r>
    <r>
      <rPr>
        <sz val="10"/>
        <color theme="1"/>
        <rFont val="Arial Narrow"/>
        <family val="2"/>
      </rPr>
      <t xml:space="preserve"> Plan anual de desarrollo de software.</t>
    </r>
  </si>
  <si>
    <r>
      <rPr>
        <b/>
        <sz val="9"/>
        <color theme="1"/>
        <rFont val="Century Schoolbook"/>
        <family val="1"/>
      </rPr>
      <t>1.-</t>
    </r>
    <r>
      <rPr>
        <sz val="10"/>
        <color theme="1"/>
        <rFont val="Arial Narrow"/>
        <family val="2"/>
      </rPr>
      <t xml:space="preserve"> Oficios y/o correos electrónicos de entrega de los documentos.
</t>
    </r>
    <r>
      <rPr>
        <b/>
        <sz val="9"/>
        <color theme="1"/>
        <rFont val="Century Schoolbook"/>
        <family val="1"/>
      </rPr>
      <t>2.-</t>
    </r>
    <r>
      <rPr>
        <sz val="10"/>
        <color theme="1"/>
        <rFont val="Arial Narrow"/>
        <family val="2"/>
      </rPr>
      <t xml:space="preserve"> Documento de la política, procedimientos, proyectos, manuales u otros instrumentos.</t>
    </r>
  </si>
  <si>
    <r>
      <rPr>
        <b/>
        <sz val="9"/>
        <color theme="1"/>
        <rFont val="Century Schoolbook"/>
        <family val="1"/>
      </rPr>
      <t>1.-</t>
    </r>
    <r>
      <rPr>
        <sz val="10"/>
        <color theme="1"/>
        <rFont val="Arial Narrow"/>
        <family val="2"/>
      </rPr>
      <t xml:space="preserve"> Plan de desarrollo de software y Plan anual de adquisición de infraestructura tecnológica UTMACH, aprobado.
</t>
    </r>
    <r>
      <rPr>
        <b/>
        <sz val="9"/>
        <color theme="1"/>
        <rFont val="Century Schoolbook"/>
        <family val="1"/>
      </rPr>
      <t>2.-</t>
    </r>
    <r>
      <rPr>
        <sz val="10"/>
        <color theme="1"/>
        <rFont val="Arial Narrow"/>
        <family val="2"/>
      </rPr>
      <t xml:space="preserve"> Informe de cumplimiento del Plan anual de desarrollo de software y del Plan anual de adquisición de infraestructura tecnológica UTMACH, valorado.</t>
    </r>
  </si>
  <si>
    <r>
      <t xml:space="preserve">
</t>
    </r>
    <r>
      <rPr>
        <b/>
        <sz val="9"/>
        <color theme="1"/>
        <rFont val="Century Schoolbook"/>
        <family val="1"/>
      </rPr>
      <t>1.-</t>
    </r>
    <r>
      <rPr>
        <sz val="10"/>
        <color theme="1"/>
        <rFont val="Arial Narrow"/>
        <family val="2"/>
      </rPr>
      <t xml:space="preserve"> Plan de capacitación informático UTMACH aprobado.
</t>
    </r>
    <r>
      <rPr>
        <b/>
        <sz val="9"/>
        <color theme="1"/>
        <rFont val="Century Schoolbook"/>
        <family val="1"/>
      </rPr>
      <t>2.-</t>
    </r>
    <r>
      <rPr>
        <sz val="10"/>
        <color theme="1"/>
        <rFont val="Arial Narrow"/>
        <family val="2"/>
      </rPr>
      <t xml:space="preserve"> Informe de cumplimiento del plan de capacitación informático UTMACH, valorado.</t>
    </r>
  </si>
  <si>
    <r>
      <rPr>
        <b/>
        <sz val="9"/>
        <rFont val="Century Schoolbook"/>
        <family val="1"/>
      </rPr>
      <t>1.-</t>
    </r>
    <r>
      <rPr>
        <sz val="10"/>
        <color theme="1"/>
        <rFont val="Arial Narrow"/>
        <family val="2"/>
      </rPr>
      <t xml:space="preserve"> Plan de contingencia de procesos tecnológicos UTMACH, aprobados.
</t>
    </r>
    <r>
      <rPr>
        <b/>
        <sz val="9"/>
        <color theme="1"/>
        <rFont val="Century Schoolbook"/>
        <family val="1"/>
      </rPr>
      <t>2.-</t>
    </r>
    <r>
      <rPr>
        <sz val="10"/>
        <color theme="1"/>
        <rFont val="Arial Narrow"/>
        <family val="2"/>
      </rPr>
      <t xml:space="preserve"> Informe de cumplimiento del plan de contingencia de procesos tecnológicos UTMACH, valorado.</t>
    </r>
  </si>
  <si>
    <r>
      <rPr>
        <b/>
        <sz val="9"/>
        <color theme="1"/>
        <rFont val="Century Schoolbook"/>
        <family val="1"/>
      </rPr>
      <t>1.-</t>
    </r>
    <r>
      <rPr>
        <sz val="10"/>
        <color theme="1"/>
        <rFont val="Arial Narrow"/>
        <family val="2"/>
      </rPr>
      <t xml:space="preserve"> Informe de evaluación del impacto de los procesos automatizados UTMACH, aprobado.</t>
    </r>
  </si>
  <si>
    <r>
      <rPr>
        <b/>
        <sz val="9"/>
        <color theme="1"/>
        <rFont val="Century Schoolbook"/>
        <family val="1"/>
      </rPr>
      <t>1.-</t>
    </r>
    <r>
      <rPr>
        <sz val="10"/>
        <color theme="1"/>
        <rFont val="Arial Narrow"/>
        <family val="2"/>
      </rPr>
      <t xml:space="preserve"> Política General de Seguridad de la Información UTMACH, actualizada.
</t>
    </r>
    <r>
      <rPr>
        <b/>
        <sz val="9"/>
        <color theme="1"/>
        <rFont val="Century Schoolbook"/>
        <family val="1"/>
      </rPr>
      <t>2.-</t>
    </r>
    <r>
      <rPr>
        <sz val="10"/>
        <color theme="1"/>
        <rFont val="Arial Narrow"/>
        <family val="2"/>
      </rPr>
      <t xml:space="preserve"> Informe de seguimiento y monitoreo a la Política general de seguridad de la información UTMACH, diseñado.
</t>
    </r>
    <r>
      <rPr>
        <b/>
        <sz val="9"/>
        <color theme="1"/>
        <rFont val="Century Schoolbook"/>
        <family val="1"/>
      </rPr>
      <t>3.-</t>
    </r>
    <r>
      <rPr>
        <sz val="10"/>
        <color theme="1"/>
        <rFont val="Arial Narrow"/>
        <family val="2"/>
      </rPr>
      <t xml:space="preserve"> Informe de controles implementados basados en hallazgos del seguimiento y control de la Política General de Seguridad de la Información UTMACH, valorado.</t>
    </r>
  </si>
  <si>
    <r>
      <rPr>
        <b/>
        <sz val="9"/>
        <color theme="1"/>
        <rFont val="Century Schoolbook"/>
        <family val="1"/>
      </rPr>
      <t>1.-</t>
    </r>
    <r>
      <rPr>
        <sz val="10"/>
        <color theme="1"/>
        <rFont val="Arial Narrow"/>
        <family val="2"/>
      </rPr>
      <t xml:space="preserve"> Modelo de sistemas de información, aprobado.
</t>
    </r>
    <r>
      <rPr>
        <b/>
        <sz val="9"/>
        <color theme="1"/>
        <rFont val="Century Schoolbook"/>
        <family val="1"/>
      </rPr>
      <t>2.-</t>
    </r>
    <r>
      <rPr>
        <sz val="10"/>
        <color theme="1"/>
        <rFont val="Arial Narrow"/>
        <family val="2"/>
      </rPr>
      <t xml:space="preserve"> Informe de seguimiento de la aplicación del modelo de sistemas de información, aprobado.</t>
    </r>
  </si>
  <si>
    <r>
      <rPr>
        <b/>
        <sz val="9"/>
        <color theme="1"/>
        <rFont val="Century Schoolbook"/>
        <family val="1"/>
      </rPr>
      <t>1.-</t>
    </r>
    <r>
      <rPr>
        <sz val="10"/>
        <color theme="1"/>
        <rFont val="Arial Narrow"/>
        <family val="2"/>
      </rPr>
      <t xml:space="preserve"> Planificación Estratégica de TIC, implementada.</t>
    </r>
  </si>
  <si>
    <r>
      <rPr>
        <b/>
        <sz val="9"/>
        <color theme="1"/>
        <rFont val="Century Schoolbook"/>
        <family val="1"/>
      </rPr>
      <t>1.-</t>
    </r>
    <r>
      <rPr>
        <sz val="10"/>
        <color theme="1"/>
        <rFont val="Arial Narrow"/>
        <family val="2"/>
      </rPr>
      <t xml:space="preserve"> Modelo de gestión de la información y comunicación UTMACH, aprobado.</t>
    </r>
  </si>
  <si>
    <r>
      <rPr>
        <b/>
        <sz val="9"/>
        <color theme="1"/>
        <rFont val="Century Schoolbook"/>
        <family val="1"/>
      </rPr>
      <t>1.-</t>
    </r>
    <r>
      <rPr>
        <sz val="10"/>
        <color theme="1"/>
        <rFont val="Arial Narrow"/>
        <family val="2"/>
      </rPr>
      <t xml:space="preserve"> Informe de valoración de asesorías técnicas DTIC brindadas por las unidades administrativas DTIC (Unidades de: Sistemas-Seguridad, Redes y Telecomunicaciones, Mantenimiento de equipos informáticos).</t>
    </r>
  </si>
  <si>
    <r>
      <rPr>
        <b/>
        <sz val="9"/>
        <color theme="1"/>
        <rFont val="Century Schoolbook"/>
        <family val="1"/>
      </rPr>
      <t>1.-</t>
    </r>
    <r>
      <rPr>
        <sz val="10"/>
        <color theme="1"/>
        <rFont val="Arial Narrow"/>
        <family val="2"/>
      </rPr>
      <t xml:space="preserve"> Actas de sesión de trabajo del Comité Informático.
</t>
    </r>
    <r>
      <rPr>
        <b/>
        <sz val="9"/>
        <color theme="1"/>
        <rFont val="Century Schoolbook"/>
        <family val="1"/>
      </rPr>
      <t>2.-</t>
    </r>
    <r>
      <rPr>
        <sz val="10"/>
        <color theme="1"/>
        <rFont val="Arial Narrow"/>
        <family val="2"/>
      </rPr>
      <t xml:space="preserve"> Resoluciones de Consejo Universitario aprobando estrategias tecnológicas (proyectos TI) gestionadas.
</t>
    </r>
    <r>
      <rPr>
        <b/>
        <sz val="9"/>
        <color theme="1"/>
        <rFont val="Century Schoolbook"/>
        <family val="1"/>
      </rPr>
      <t>3.-</t>
    </r>
    <r>
      <rPr>
        <sz val="10"/>
        <color theme="1"/>
        <rFont val="Arial Narrow"/>
        <family val="2"/>
      </rPr>
      <t xml:space="preserve"> Informe de seguimiento para control de la ejecución de proyectos TI.</t>
    </r>
  </si>
  <si>
    <r>
      <rPr>
        <b/>
        <sz val="9"/>
        <color theme="1"/>
        <rFont val="Century Schoolbook"/>
        <family val="1"/>
      </rPr>
      <t>1.-</t>
    </r>
    <r>
      <rPr>
        <sz val="10"/>
        <color theme="1"/>
        <rFont val="Arial Narrow"/>
        <family val="2"/>
      </rPr>
      <t xml:space="preserve"> Gestionar con las unidades administrativas y/o académicas propuestas conducentes al crecimiento de las TIC y la calidad de los servicios informáticos de la institución evidenciadas en proyectos TI generando  propuestas dirigidas para aprobación ante Consejo Universitario.
</t>
    </r>
    <r>
      <rPr>
        <b/>
        <sz val="9"/>
        <color theme="1"/>
        <rFont val="Century Schoolbook"/>
        <family val="1"/>
      </rPr>
      <t>2.-</t>
    </r>
    <r>
      <rPr>
        <sz val="10"/>
        <color theme="1"/>
        <rFont val="Arial Narrow"/>
        <family val="2"/>
      </rPr>
      <t xml:space="preserve"> Diseñar el informe de seguimiento para control de la ejecución de los proyectos TI propuestas por el Comité Informático y aprobados por Consejo Universitario.</t>
    </r>
  </si>
  <si>
    <t>* Oscar Riofrío Orozco,
  Director TIC
* Betty Pachucho Hernández,
  Jefa de Sistemas
* Byron Ramírez Carrillo,
  Jefe de Redes y Telecomunicaciones
* Howard Pazmiño Carrión,
  Analista de la Unidad de Mantenimiento de Equipos Informáticos</t>
  </si>
  <si>
    <t>* Oscar Riofrío Orozco,
  Director TIC
* Betty Pachucho Hernández,
  Jefa de Sistemas
* Byron Ramírez Carrillo,
  Jefe de Redes y Telecomunicaciones</t>
  </si>
  <si>
    <t>* Oscar Riofrío Orozco,
  Director TIC
* Betty Pachucho Hernández,
  Jefa de Sistemas</t>
  </si>
  <si>
    <r>
      <rPr>
        <b/>
        <sz val="9"/>
        <color theme="1"/>
        <rFont val="Century Schoolbook"/>
        <family val="1"/>
      </rPr>
      <t>1.-</t>
    </r>
    <r>
      <rPr>
        <sz val="10"/>
        <color theme="1"/>
        <rFont val="Arial Narrow"/>
        <family val="2"/>
      </rPr>
      <t xml:space="preserve"> Solicitar a las unidades administrativas DIR TIC, el diseño de proyectos tecnológicos gestionados en coordinación con la Dirección de Planificación u otras instancias pertinentes, para aprobación.
</t>
    </r>
    <r>
      <rPr>
        <b/>
        <sz val="9"/>
        <color theme="1"/>
        <rFont val="Century Schoolbook"/>
        <family val="1"/>
      </rPr>
      <t>2.-</t>
    </r>
    <r>
      <rPr>
        <sz val="10"/>
        <color theme="1"/>
        <rFont val="Arial Narrow"/>
        <family val="2"/>
      </rPr>
      <t xml:space="preserve"> Solicitar a las unidades administrativas DTIC el informe de cumplimiento de los proyectos tecnológicos aprobados.</t>
    </r>
  </si>
  <si>
    <r>
      <t xml:space="preserve">
</t>
    </r>
    <r>
      <rPr>
        <b/>
        <sz val="9"/>
        <color theme="1"/>
        <rFont val="Century Schoolbook"/>
        <family val="1"/>
      </rPr>
      <t>1.-</t>
    </r>
    <r>
      <rPr>
        <sz val="10"/>
        <color theme="1"/>
        <rFont val="Arial Narrow"/>
        <family val="2"/>
      </rPr>
      <t xml:space="preserve"> Proyectos tecnológicos UTMACH, aprobados.
</t>
    </r>
    <r>
      <rPr>
        <b/>
        <sz val="9"/>
        <color theme="1"/>
        <rFont val="Century Schoolbook"/>
        <family val="1"/>
      </rPr>
      <t>2.-</t>
    </r>
    <r>
      <rPr>
        <sz val="10"/>
        <color theme="1"/>
        <rFont val="Arial Narrow"/>
        <family val="2"/>
      </rPr>
      <t xml:space="preserve"> Informe de cumplimiento de los proyectos tecnológicos UTMACH valorado.</t>
    </r>
  </si>
  <si>
    <t>Escáner</t>
  </si>
  <si>
    <t>DTH (2), DAdm (1), DFIN (2), PG (1), SG (1 Dúplex), DPOS (1)</t>
  </si>
  <si>
    <t>N° de acceso a las aplicaciones informáticas institucionales otorgados a usuarios.</t>
  </si>
  <si>
    <t>N° de informes de monitoreo de los riesgos, presentado.</t>
  </si>
  <si>
    <t>Audífonos LogiTech USB con micrófono incorporado para computadora</t>
  </si>
  <si>
    <t>Regletas eléctricas para RACK</t>
  </si>
  <si>
    <t>TOTAL PRESUPUESTO ESTIMATIVO UNIDAD DE SISTEMAS Y SEGURIDAD INFORMÁTICA 2023:</t>
  </si>
  <si>
    <t>Paquete</t>
  </si>
  <si>
    <t>Cajas</t>
  </si>
  <si>
    <r>
      <t xml:space="preserve">Escritorio en L Minka I </t>
    </r>
    <r>
      <rPr>
        <sz val="10"/>
        <color theme="1"/>
        <rFont val="Century Schoolbook"/>
        <family val="1"/>
      </rPr>
      <t>1500</t>
    </r>
    <r>
      <rPr>
        <sz val="10"/>
        <color theme="1"/>
        <rFont val="Arial Narrow"/>
        <family val="2"/>
      </rPr>
      <t xml:space="preserve"> Mm X </t>
    </r>
    <r>
      <rPr>
        <sz val="10"/>
        <color theme="1"/>
        <rFont val="Century Schoolbook"/>
        <family val="1"/>
      </rPr>
      <t>1500</t>
    </r>
    <r>
      <rPr>
        <sz val="10"/>
        <color theme="1"/>
        <rFont val="Arial Narrow"/>
        <family val="2"/>
      </rPr>
      <t xml:space="preserve"> Mm, con Cajonera</t>
    </r>
  </si>
  <si>
    <r>
      <t xml:space="preserve">Proyecto de inversión jubilación </t>
    </r>
    <r>
      <rPr>
        <sz val="10"/>
        <color theme="1"/>
        <rFont val="Century Schoolbook"/>
        <family val="1"/>
      </rPr>
      <t>2023</t>
    </r>
  </si>
  <si>
    <r>
      <t>Tinta para impresora EPSON WF - C</t>
    </r>
    <r>
      <rPr>
        <sz val="10"/>
        <color theme="1"/>
        <rFont val="Century Schoolbook"/>
        <family val="1"/>
      </rPr>
      <t>5790</t>
    </r>
    <r>
      <rPr>
        <sz val="10"/>
        <color theme="1"/>
        <rFont val="Arial Narrow"/>
        <family val="2"/>
      </rPr>
      <t xml:space="preserve"> Series color preto negro R</t>
    </r>
    <r>
      <rPr>
        <sz val="10"/>
        <color theme="1"/>
        <rFont val="Century Schoolbook"/>
        <family val="1"/>
      </rPr>
      <t>04</t>
    </r>
    <r>
      <rPr>
        <sz val="10"/>
        <color theme="1"/>
        <rFont val="Arial Narrow"/>
        <family val="2"/>
      </rPr>
      <t>X – Código C1</t>
    </r>
    <r>
      <rPr>
        <sz val="10"/>
        <color theme="1"/>
        <rFont val="Century Schoolbook"/>
        <family val="1"/>
      </rPr>
      <t>3</t>
    </r>
    <r>
      <rPr>
        <sz val="10"/>
        <color theme="1"/>
        <rFont val="Arial Narrow"/>
        <family val="2"/>
      </rPr>
      <t>T</t>
    </r>
    <r>
      <rPr>
        <sz val="10"/>
        <color theme="1"/>
        <rFont val="Century Schoolbook"/>
        <family val="1"/>
      </rPr>
      <t>94212</t>
    </r>
    <r>
      <rPr>
        <sz val="10"/>
        <color theme="1"/>
        <rFont val="Arial Narrow"/>
        <family val="2"/>
      </rPr>
      <t>A</t>
    </r>
  </si>
  <si>
    <r>
      <t>Tinta para impresora EPSON WF - C</t>
    </r>
    <r>
      <rPr>
        <sz val="10"/>
        <color theme="1"/>
        <rFont val="Century Schoolbook"/>
        <family val="1"/>
      </rPr>
      <t>5790</t>
    </r>
    <r>
      <rPr>
        <sz val="10"/>
        <color theme="1"/>
        <rFont val="Arial Narrow"/>
        <family val="2"/>
      </rPr>
      <t xml:space="preserve"> Series
color amarelo amarillo R</t>
    </r>
    <r>
      <rPr>
        <sz val="10"/>
        <color theme="1"/>
        <rFont val="Century Schoolbook"/>
        <family val="1"/>
      </rPr>
      <t>04</t>
    </r>
    <r>
      <rPr>
        <sz val="10"/>
        <color theme="1"/>
        <rFont val="Arial Narrow"/>
        <family val="2"/>
      </rPr>
      <t>L – Código C1</t>
    </r>
    <r>
      <rPr>
        <sz val="10"/>
        <color theme="1"/>
        <rFont val="Century Schoolbook"/>
        <family val="1"/>
      </rPr>
      <t>3</t>
    </r>
    <r>
      <rPr>
        <sz val="10"/>
        <color theme="1"/>
        <rFont val="Arial Narrow"/>
        <family val="2"/>
      </rPr>
      <t>T</t>
    </r>
    <r>
      <rPr>
        <sz val="10"/>
        <color theme="1"/>
        <rFont val="Century Schoolbook"/>
        <family val="1"/>
      </rPr>
      <t>94142</t>
    </r>
    <r>
      <rPr>
        <sz val="10"/>
        <color theme="1"/>
        <rFont val="Arial Narrow"/>
        <family val="2"/>
      </rPr>
      <t>A</t>
    </r>
  </si>
  <si>
    <r>
      <t>Tinta para impresora EPSON WF - C</t>
    </r>
    <r>
      <rPr>
        <sz val="10"/>
        <color theme="1"/>
        <rFont val="Century Schoolbook"/>
        <family val="1"/>
      </rPr>
      <t>5790</t>
    </r>
    <r>
      <rPr>
        <sz val="10"/>
        <color theme="1"/>
        <rFont val="Arial Narrow"/>
        <family val="2"/>
      </rPr>
      <t xml:space="preserve"> Series color magenta R</t>
    </r>
    <r>
      <rPr>
        <sz val="10"/>
        <color theme="1"/>
        <rFont val="Century Schoolbook"/>
        <family val="1"/>
      </rPr>
      <t>04</t>
    </r>
    <r>
      <rPr>
        <sz val="10"/>
        <color theme="1"/>
        <rFont val="Arial Narrow"/>
        <family val="2"/>
      </rPr>
      <t>L – Código C1</t>
    </r>
    <r>
      <rPr>
        <sz val="10"/>
        <color theme="1"/>
        <rFont val="Century Schoolbook"/>
        <family val="1"/>
      </rPr>
      <t>3</t>
    </r>
    <r>
      <rPr>
        <sz val="10"/>
        <color theme="1"/>
        <rFont val="Arial Narrow"/>
        <family val="2"/>
      </rPr>
      <t>T</t>
    </r>
    <r>
      <rPr>
        <sz val="10"/>
        <color theme="1"/>
        <rFont val="Century Schoolbook"/>
        <family val="1"/>
      </rPr>
      <t>94132</t>
    </r>
    <r>
      <rPr>
        <sz val="10"/>
        <color theme="1"/>
        <rFont val="Arial Narrow"/>
        <family val="2"/>
      </rPr>
      <t>A</t>
    </r>
  </si>
  <si>
    <r>
      <t>Tinta para impresora EPSON WF - C</t>
    </r>
    <r>
      <rPr>
        <sz val="10"/>
        <color theme="1"/>
        <rFont val="Century Schoolbook"/>
        <family val="1"/>
      </rPr>
      <t>5790</t>
    </r>
    <r>
      <rPr>
        <sz val="10"/>
        <color theme="1"/>
        <rFont val="Arial Narrow"/>
        <family val="2"/>
      </rPr>
      <t xml:space="preserve"> Series color Ciano/Cian R</t>
    </r>
    <r>
      <rPr>
        <sz val="10"/>
        <color theme="1"/>
        <rFont val="Century Schoolbook"/>
        <family val="1"/>
      </rPr>
      <t>04</t>
    </r>
    <r>
      <rPr>
        <sz val="10"/>
        <color theme="1"/>
        <rFont val="Arial Narrow"/>
        <family val="2"/>
      </rPr>
      <t>L – Código C</t>
    </r>
    <r>
      <rPr>
        <sz val="10"/>
        <color theme="1"/>
        <rFont val="Century Schoolbook"/>
        <family val="1"/>
      </rPr>
      <t>13</t>
    </r>
    <r>
      <rPr>
        <sz val="10"/>
        <color theme="1"/>
        <rFont val="Arial Narrow"/>
        <family val="2"/>
      </rPr>
      <t>T</t>
    </r>
    <r>
      <rPr>
        <sz val="10"/>
        <color theme="1"/>
        <rFont val="Century Schoolbook"/>
        <family val="1"/>
      </rPr>
      <t>94122</t>
    </r>
    <r>
      <rPr>
        <sz val="10"/>
        <color theme="1"/>
        <rFont val="Arial Narrow"/>
        <family val="2"/>
      </rPr>
      <t>A</t>
    </r>
  </si>
  <si>
    <r>
      <t xml:space="preserve">PENICILINA BENZATINICA </t>
    </r>
    <r>
      <rPr>
        <sz val="10"/>
        <color theme="1"/>
        <rFont val="Century Schoolbook"/>
        <family val="1"/>
      </rPr>
      <t>1´200.000</t>
    </r>
    <r>
      <rPr>
        <sz val="10"/>
        <color theme="1"/>
        <rFont val="Arial Narrow"/>
        <family val="2"/>
      </rPr>
      <t xml:space="preserve"> UI SÓLIDO PARENTERAL </t>
    </r>
  </si>
  <si>
    <r>
      <t xml:space="preserve">PARACETAMOL </t>
    </r>
    <r>
      <rPr>
        <sz val="10"/>
        <color theme="1"/>
        <rFont val="Century Schoolbook"/>
        <family val="1"/>
      </rPr>
      <t>1000</t>
    </r>
    <r>
      <rPr>
        <sz val="10"/>
        <color theme="1"/>
        <rFont val="Arial Narrow"/>
        <family val="2"/>
      </rPr>
      <t xml:space="preserve"> MG SÓLIDO ORAL </t>
    </r>
  </si>
  <si>
    <r>
      <t xml:space="preserve">DICLOFENACO </t>
    </r>
    <r>
      <rPr>
        <sz val="10"/>
        <color theme="1"/>
        <rFont val="Century Schoolbook"/>
        <family val="1"/>
      </rPr>
      <t>100</t>
    </r>
    <r>
      <rPr>
        <sz val="10"/>
        <color theme="1"/>
        <rFont val="Arial Narrow"/>
        <family val="2"/>
      </rPr>
      <t xml:space="preserve"> MG SÓLIDO ORAL </t>
    </r>
  </si>
  <si>
    <r>
      <t xml:space="preserve">AZITROMICINA </t>
    </r>
    <r>
      <rPr>
        <sz val="10"/>
        <color theme="1"/>
        <rFont val="Century Schoolbook"/>
        <family val="1"/>
      </rPr>
      <t>500</t>
    </r>
    <r>
      <rPr>
        <sz val="10"/>
        <color theme="1"/>
        <rFont val="Arial Narrow"/>
        <family val="2"/>
      </rPr>
      <t xml:space="preserve"> MG  SÓLIDO ORAL </t>
    </r>
  </si>
  <si>
    <r>
      <t xml:space="preserve">DICLOXACILINA </t>
    </r>
    <r>
      <rPr>
        <sz val="10"/>
        <color theme="1"/>
        <rFont val="Century Schoolbook"/>
        <family val="1"/>
      </rPr>
      <t>500</t>
    </r>
    <r>
      <rPr>
        <sz val="10"/>
        <color theme="1"/>
        <rFont val="Arial Narrow"/>
        <family val="2"/>
      </rPr>
      <t xml:space="preserve"> MG SÓLIDO ORAL</t>
    </r>
  </si>
  <si>
    <r>
      <t xml:space="preserve">IBUPROFENO </t>
    </r>
    <r>
      <rPr>
        <sz val="10"/>
        <color theme="1"/>
        <rFont val="Century Schoolbook"/>
        <family val="1"/>
      </rPr>
      <t>600</t>
    </r>
    <r>
      <rPr>
        <sz val="10"/>
        <color theme="1"/>
        <rFont val="Arial Narrow"/>
        <family val="2"/>
      </rPr>
      <t xml:space="preserve"> MG SÓLIDO ORAL </t>
    </r>
  </si>
  <si>
    <r>
      <t xml:space="preserve">DICLOFENACO </t>
    </r>
    <r>
      <rPr>
        <sz val="10"/>
        <color theme="1"/>
        <rFont val="Century Schoolbook"/>
        <family val="1"/>
      </rPr>
      <t>75</t>
    </r>
    <r>
      <rPr>
        <sz val="10"/>
        <color theme="1"/>
        <rFont val="Arial Narrow"/>
        <family val="2"/>
      </rPr>
      <t xml:space="preserve"> MG LÍQUIDO PARENTERAL</t>
    </r>
  </si>
  <si>
    <r>
      <t xml:space="preserve">LOSARTAN </t>
    </r>
    <r>
      <rPr>
        <sz val="10"/>
        <color theme="1"/>
        <rFont val="Century Schoolbook"/>
        <family val="1"/>
      </rPr>
      <t>50</t>
    </r>
    <r>
      <rPr>
        <sz val="10"/>
        <color theme="1"/>
        <rFont val="Arial Narrow"/>
        <family val="2"/>
      </rPr>
      <t xml:space="preserve"> MG SÓLIDO ORAL</t>
    </r>
  </si>
  <si>
    <r>
      <t xml:space="preserve">COMPLEXIGEME </t>
    </r>
    <r>
      <rPr>
        <sz val="10"/>
        <color theme="1"/>
        <rFont val="Century Schoolbook"/>
        <family val="1"/>
      </rPr>
      <t>10</t>
    </r>
    <r>
      <rPr>
        <sz val="10"/>
        <color theme="1"/>
        <rFont val="Arial Narrow"/>
        <family val="2"/>
      </rPr>
      <t xml:space="preserve"> ML LÍQUIDO PARENTERAL</t>
    </r>
  </si>
  <si>
    <r>
      <t xml:space="preserve">CLORURO DE SODIO AL </t>
    </r>
    <r>
      <rPr>
        <sz val="10"/>
        <color theme="1"/>
        <rFont val="Century Schoolbook"/>
        <family val="1"/>
      </rPr>
      <t>0,9% 1000</t>
    </r>
    <r>
      <rPr>
        <sz val="10"/>
        <color theme="1"/>
        <rFont val="Arial Narrow"/>
        <family val="2"/>
      </rPr>
      <t xml:space="preserve"> cc</t>
    </r>
  </si>
  <si>
    <r>
      <t xml:space="preserve">CLORURO DE SODIO AL </t>
    </r>
    <r>
      <rPr>
        <sz val="10"/>
        <color theme="1"/>
        <rFont val="Century Schoolbook"/>
        <family val="1"/>
      </rPr>
      <t>0,9% 500</t>
    </r>
    <r>
      <rPr>
        <sz val="10"/>
        <color theme="1"/>
        <rFont val="Arial Narrow"/>
        <family val="2"/>
      </rPr>
      <t xml:space="preserve"> cc</t>
    </r>
  </si>
  <si>
    <r>
      <t xml:space="preserve">ENTEROGERMINA </t>
    </r>
    <r>
      <rPr>
        <sz val="10"/>
        <color theme="1"/>
        <rFont val="Century Schoolbook"/>
        <family val="1"/>
      </rPr>
      <t>5</t>
    </r>
    <r>
      <rPr>
        <sz val="10"/>
        <color theme="1"/>
        <rFont val="Arial Narrow"/>
        <family val="2"/>
      </rPr>
      <t xml:space="preserve"> ML LÍQUIDO ORAL</t>
    </r>
  </si>
  <si>
    <r>
      <t xml:space="preserve">CIPROFLOXACINA </t>
    </r>
    <r>
      <rPr>
        <sz val="10"/>
        <color theme="1"/>
        <rFont val="Century Schoolbook"/>
        <family val="1"/>
      </rPr>
      <t>750</t>
    </r>
    <r>
      <rPr>
        <sz val="10"/>
        <color theme="1"/>
        <rFont val="Arial Narrow"/>
        <family val="2"/>
      </rPr>
      <t xml:space="preserve"> MG SÓLIDO ORAL </t>
    </r>
  </si>
  <si>
    <r>
      <t xml:space="preserve">AMOXICILINA+ACIDO CLAVULANICO </t>
    </r>
    <r>
      <rPr>
        <sz val="10"/>
        <color theme="1"/>
        <rFont val="Century Schoolbook"/>
        <family val="1"/>
      </rPr>
      <t>875+125</t>
    </r>
    <r>
      <rPr>
        <sz val="10"/>
        <color theme="1"/>
        <rFont val="Arial Narrow"/>
        <family val="2"/>
      </rPr>
      <t xml:space="preserve"> mg SÓLIDO ORAL </t>
    </r>
  </si>
  <si>
    <r>
      <t xml:space="preserve">FLUCONAZOL </t>
    </r>
    <r>
      <rPr>
        <sz val="10"/>
        <color theme="1"/>
        <rFont val="Century Schoolbook"/>
        <family val="1"/>
      </rPr>
      <t>150</t>
    </r>
    <r>
      <rPr>
        <sz val="10"/>
        <color theme="1"/>
        <rFont val="Arial Narrow"/>
        <family val="2"/>
      </rPr>
      <t>MG SÓLIDO ORAL</t>
    </r>
  </si>
  <si>
    <r>
      <t xml:space="preserve">GENTAMICINA </t>
    </r>
    <r>
      <rPr>
        <sz val="10"/>
        <color theme="1"/>
        <rFont val="Century Schoolbook"/>
        <family val="1"/>
      </rPr>
      <t>160</t>
    </r>
    <r>
      <rPr>
        <sz val="10"/>
        <color theme="1"/>
        <rFont val="Arial Narrow"/>
        <family val="2"/>
      </rPr>
      <t xml:space="preserve"> MG LÍQUIDO PARENTERAL</t>
    </r>
  </si>
  <si>
    <r>
      <t xml:space="preserve">LEVOCETIRIZINA </t>
    </r>
    <r>
      <rPr>
        <sz val="10"/>
        <color theme="1"/>
        <rFont val="Century Schoolbook"/>
        <family val="1"/>
      </rPr>
      <t>5</t>
    </r>
    <r>
      <rPr>
        <sz val="10"/>
        <color theme="1"/>
        <rFont val="Arial Narrow"/>
        <family val="2"/>
      </rPr>
      <t xml:space="preserve"> MG SÓLIDO ORAL</t>
    </r>
  </si>
  <si>
    <r>
      <t xml:space="preserve">TRIGENTAX </t>
    </r>
    <r>
      <rPr>
        <sz val="10"/>
        <color theme="1"/>
        <rFont val="Century Schoolbook"/>
        <family val="1"/>
      </rPr>
      <t>25</t>
    </r>
    <r>
      <rPr>
        <sz val="10"/>
        <color theme="1"/>
        <rFont val="Arial Narrow"/>
        <family val="2"/>
      </rPr>
      <t xml:space="preserve"> G TUBO</t>
    </r>
  </si>
  <si>
    <r>
      <t xml:space="preserve">QUERATOL </t>
    </r>
    <r>
      <rPr>
        <sz val="10"/>
        <color theme="1"/>
        <rFont val="Century Schoolbook"/>
        <family val="1"/>
      </rPr>
      <t>5</t>
    </r>
    <r>
      <rPr>
        <sz val="10"/>
        <color theme="1"/>
        <rFont val="Arial Narrow"/>
        <family val="2"/>
      </rPr>
      <t xml:space="preserve"> G </t>
    </r>
    <r>
      <rPr>
        <sz val="10"/>
        <color theme="1"/>
        <rFont val="Century Schoolbook"/>
        <family val="1"/>
      </rPr>
      <t>40%</t>
    </r>
    <r>
      <rPr>
        <sz val="10"/>
        <color theme="1"/>
        <rFont val="Arial Narrow"/>
        <family val="2"/>
      </rPr>
      <t xml:space="preserve"> TUBO X </t>
    </r>
    <r>
      <rPr>
        <sz val="10"/>
        <color theme="1"/>
        <rFont val="Century Schoolbook"/>
        <family val="1"/>
      </rPr>
      <t>6</t>
    </r>
    <r>
      <rPr>
        <sz val="10"/>
        <color theme="1"/>
        <rFont val="Arial Narrow"/>
        <family val="2"/>
      </rPr>
      <t xml:space="preserve"> U</t>
    </r>
  </si>
  <si>
    <r>
      <t xml:space="preserve">ALBENDAZOL SÓLIDO ORAL </t>
    </r>
    <r>
      <rPr>
        <sz val="10"/>
        <color theme="1"/>
        <rFont val="Century Schoolbook"/>
        <family val="1"/>
      </rPr>
      <t>400</t>
    </r>
    <r>
      <rPr>
        <sz val="10"/>
        <color theme="1"/>
        <rFont val="Arial Narrow"/>
        <family val="2"/>
      </rPr>
      <t xml:space="preserve"> mg </t>
    </r>
  </si>
  <si>
    <r>
      <t xml:space="preserve">SECNIDAZOL SÓLIDO ORAL </t>
    </r>
    <r>
      <rPr>
        <sz val="10"/>
        <color theme="1"/>
        <rFont val="Century Schoolbook"/>
        <family val="1"/>
      </rPr>
      <t>500</t>
    </r>
    <r>
      <rPr>
        <sz val="10"/>
        <color theme="1"/>
        <rFont val="Arial Narrow"/>
        <family val="2"/>
      </rPr>
      <t xml:space="preserve"> mg</t>
    </r>
  </si>
  <si>
    <r>
      <t xml:space="preserve">SULFADIAZINA DE PLATA CREMA AL </t>
    </r>
    <r>
      <rPr>
        <sz val="10"/>
        <color theme="1"/>
        <rFont val="Century Schoolbook"/>
        <family val="1"/>
      </rPr>
      <t>1%</t>
    </r>
  </si>
  <si>
    <t>TIRILLAS  ACCU-CHEK INSTANT</t>
  </si>
  <si>
    <r>
      <t xml:space="preserve">JERINGAS </t>
    </r>
    <r>
      <rPr>
        <sz val="10"/>
        <color theme="1"/>
        <rFont val="Century Schoolbook"/>
        <family val="1"/>
      </rPr>
      <t>3</t>
    </r>
    <r>
      <rPr>
        <sz val="10"/>
        <color theme="1"/>
        <rFont val="Arial Narrow"/>
        <family val="2"/>
      </rPr>
      <t xml:space="preserve"> mm</t>
    </r>
  </si>
  <si>
    <r>
      <t xml:space="preserve">JERINGAS </t>
    </r>
    <r>
      <rPr>
        <sz val="10"/>
        <color theme="1"/>
        <rFont val="Century Schoolbook"/>
        <family val="1"/>
      </rPr>
      <t>5</t>
    </r>
    <r>
      <rPr>
        <sz val="10"/>
        <color theme="1"/>
        <rFont val="Arial Narrow"/>
        <family val="2"/>
      </rPr>
      <t xml:space="preserve"> mm</t>
    </r>
  </si>
  <si>
    <r>
      <t xml:space="preserve">JERINGAS </t>
    </r>
    <r>
      <rPr>
        <sz val="10"/>
        <color theme="1"/>
        <rFont val="Century Schoolbook"/>
        <family val="1"/>
      </rPr>
      <t>10</t>
    </r>
    <r>
      <rPr>
        <sz val="10"/>
        <color theme="1"/>
        <rFont val="Arial Narrow"/>
        <family val="2"/>
      </rPr>
      <t xml:space="preserve"> mm</t>
    </r>
  </si>
  <si>
    <r>
      <t xml:space="preserve">BAJALENGUA DE MADERA PAQUETE X </t>
    </r>
    <r>
      <rPr>
        <sz val="10"/>
        <color theme="1"/>
        <rFont val="Century Schoolbook"/>
        <family val="1"/>
      </rPr>
      <t>100</t>
    </r>
    <r>
      <rPr>
        <sz val="10"/>
        <color theme="1"/>
        <rFont val="Arial Narrow"/>
        <family val="2"/>
      </rPr>
      <t xml:space="preserve"> U.</t>
    </r>
  </si>
  <si>
    <r>
      <t xml:space="preserve">NYLON </t>
    </r>
    <r>
      <rPr>
        <sz val="10"/>
        <color theme="1"/>
        <rFont val="Century Schoolbook"/>
        <family val="1"/>
      </rPr>
      <t>2,0</t>
    </r>
  </si>
  <si>
    <r>
      <t xml:space="preserve">SABANA QUIRÚRGICAS DESECHABLE X </t>
    </r>
    <r>
      <rPr>
        <sz val="10"/>
        <color theme="1"/>
        <rFont val="Century Schoolbook"/>
        <family val="1"/>
      </rPr>
      <t>5</t>
    </r>
  </si>
  <si>
    <r>
      <t xml:space="preserve">ESPARADRAPO POROSO COLOR PIEL </t>
    </r>
    <r>
      <rPr>
        <sz val="10"/>
        <color theme="1"/>
        <rFont val="Century Schoolbook"/>
        <family val="1"/>
      </rPr>
      <t>3</t>
    </r>
    <r>
      <rPr>
        <sz val="10"/>
        <color theme="1"/>
        <rFont val="Arial Narrow"/>
        <family val="2"/>
      </rPr>
      <t xml:space="preserve"> mm</t>
    </r>
  </si>
  <si>
    <r>
      <t xml:space="preserve">GASA QUIRURGICA ESTERIL PAQUETE X </t>
    </r>
    <r>
      <rPr>
        <sz val="10"/>
        <color theme="1"/>
        <rFont val="Century Schoolbook"/>
        <family val="1"/>
      </rPr>
      <t>50</t>
    </r>
    <r>
      <rPr>
        <sz val="10"/>
        <color theme="1"/>
        <rFont val="Arial Narrow"/>
        <family val="2"/>
      </rPr>
      <t xml:space="preserve"> U.</t>
    </r>
  </si>
  <si>
    <r>
      <t xml:space="preserve">POVIDIN YODADO SOLUCIÓN AL </t>
    </r>
    <r>
      <rPr>
        <sz val="10"/>
        <color theme="1"/>
        <rFont val="Century Schoolbook"/>
        <family val="1"/>
      </rPr>
      <t>10%</t>
    </r>
  </si>
  <si>
    <r>
      <t xml:space="preserve">EXTINTORES </t>
    </r>
    <r>
      <rPr>
        <sz val="10"/>
        <color theme="1"/>
        <rFont val="Century Schoolbook"/>
        <family val="1"/>
      </rPr>
      <t>5</t>
    </r>
    <r>
      <rPr>
        <sz val="10"/>
        <color theme="1"/>
        <rFont val="Arial Narrow"/>
        <family val="2"/>
      </rPr>
      <t xml:space="preserve"> LIBRAS CO</t>
    </r>
    <r>
      <rPr>
        <sz val="10"/>
        <color theme="1"/>
        <rFont val="Century Schoolbook"/>
        <family val="1"/>
      </rPr>
      <t>2</t>
    </r>
  </si>
  <si>
    <r>
      <t xml:space="preserve">EXTINTORES </t>
    </r>
    <r>
      <rPr>
        <sz val="10"/>
        <color theme="1"/>
        <rFont val="Century Schoolbook"/>
        <family val="1"/>
      </rPr>
      <t>10</t>
    </r>
    <r>
      <rPr>
        <sz val="10"/>
        <color theme="1"/>
        <rFont val="Arial Narrow"/>
        <family val="2"/>
      </rPr>
      <t xml:space="preserve"> LIBRAS CO</t>
    </r>
    <r>
      <rPr>
        <sz val="10"/>
        <color theme="1"/>
        <rFont val="Century Schoolbook"/>
        <family val="1"/>
      </rPr>
      <t>2</t>
    </r>
  </si>
  <si>
    <r>
      <t xml:space="preserve">EXTINTORES DE </t>
    </r>
    <r>
      <rPr>
        <sz val="10"/>
        <color theme="1"/>
        <rFont val="Century Schoolbook"/>
        <family val="1"/>
      </rPr>
      <t>5</t>
    </r>
    <r>
      <rPr>
        <sz val="10"/>
        <color theme="1"/>
        <rFont val="Arial Narrow"/>
        <family val="2"/>
      </rPr>
      <t xml:space="preserve"> LIBRAS PQS</t>
    </r>
  </si>
  <si>
    <r>
      <t xml:space="preserve">EXTINTORES DE </t>
    </r>
    <r>
      <rPr>
        <sz val="10"/>
        <color theme="1"/>
        <rFont val="Century Schoolbook"/>
        <family val="1"/>
      </rPr>
      <t>10</t>
    </r>
    <r>
      <rPr>
        <sz val="10"/>
        <color theme="1"/>
        <rFont val="Arial Narrow"/>
        <family val="2"/>
      </rPr>
      <t xml:space="preserve"> LIBRAS PQS</t>
    </r>
  </si>
  <si>
    <r>
      <t xml:space="preserve">EXTINTORES DE </t>
    </r>
    <r>
      <rPr>
        <sz val="10"/>
        <color theme="1"/>
        <rFont val="Century Schoolbook"/>
        <family val="1"/>
      </rPr>
      <t>20</t>
    </r>
    <r>
      <rPr>
        <sz val="10"/>
        <color theme="1"/>
        <rFont val="Arial Narrow"/>
        <family val="2"/>
      </rPr>
      <t xml:space="preserve"> LIBRAS PQS</t>
    </r>
  </si>
  <si>
    <t>* Ab. Mariuxi Apolo Silva,
  Directora de Talento Humano
* Ing. Rina Loayza,
  Jefe de Desarrollo de Talento Humano</t>
  </si>
  <si>
    <t>* Ab. Mariuxi Apolo Silva,
  Directora de Talento Humano</t>
  </si>
  <si>
    <t>* Ab. Mariuxi Apolo Silva,
  Directora de Talento Humano
* Ing. Liliana Campoverde Muñoz,
  Jefe de Gestión del Talento Humano</t>
  </si>
  <si>
    <t>* Ab. Mariuxi Apolo Silva,
  Directora de Talento Humano
* Ing. Nelly Zapata Eras,
  Jefe de Gestión Organizacional del Talento Humano</t>
  </si>
  <si>
    <t>* Ing. Nelly Zapata Eras,
  Jefe de Gestión Organizacional
* Lic. Amparito Pogo Labanda,
  Analista de Gestión Organizacional</t>
  </si>
  <si>
    <t>* Mariuxi Apolo Silva,
  Directora de Talento Humano
* Ing. Liliana Campoverde Muñoz,
  Jefe de Gestión del Talento Humano</t>
  </si>
  <si>
    <t>* Ab. Mariuxi Apolo Silva,
  Directora de Talento Humano
* Ing. Rina Loayza,
  Jefe de Desarrollo de Talento Humano
* Ing. Nelly Zapata Eras,
  Jefe de Gestión Organizacional del Talento Humano
* Ing. Liliana Campoverde Muñoz,
  Jefe de Gestión del Talento Humano</t>
  </si>
  <si>
    <t>* JEFE DE GESTIÓN DE TALENTO HUMANO
  Liliana Campoverde
* ANALISTAS DE GESTIÓN DEL TALENTO HUMANO
  Walter Correa
  Ana Satán
  Lourdes Zhiminaycela
  Erwin Cevallos
  Rocio Espinoza
  Viviana Mendoza</t>
  </si>
  <si>
    <t>*  Ing. Nelly Zapata Eras,
  Jefe de Gestión Organizacional
* Lic. Amparito Pogo Labanda,
  Analista de Gestión Organizacional</t>
  </si>
  <si>
    <t>* Ab. Mariuxi Apolo Silva,
  Directora de Talento Humano
* Tlga. Nely Vera Encalada e Ing.  xavier Chávez Arciniegas,
  Técnicos de Documentación y Archivo</t>
  </si>
  <si>
    <t>* Ing. Liliana Campoverde Muñoz,
  Jefe de Gestión del Talento Humano
* Lic. Erwin Cevallos Onofre,
  Supervisor de Gestión del Talento Humano
* Ing. Viviana Mendoza Ramia,
* Ing. Xavier Chávez Arciniegas
* Ing. Ana Satán Moreira,
* Ing. Walter Correa Anchundia,
* Lic. Rocío Espinoza González,
* Ing. Lourdes Zhiminaycela Pacheco,
  Analistas de Gestión del Talento Humano</t>
  </si>
  <si>
    <t>* Ing. Liliana Campoverde Muñoz,
  Jefe de Gestión del Talento Humano
* Lic. Erwin Cevallos Onofre,
* Ing. María Pacheco Carvajal
  Supervisores de Gestión del Talento Humano
* Ing. Viviana Mendoza Ramia,
* Ing. Xavier Chávez Arciniega,
* Ing. Ana Satán Moreira,
* Ing. Walter Correa Anchundia,
* Lic. Rocío Espinoza González,
* Ing. Lourdes Zhiminaycela Pacheco,
  Analistas de Gestión del Talento Humano</t>
  </si>
  <si>
    <t>* Ing. Liliana Campoverde Muñoz,
  Jefe de Gestión del Talento Humano
* Lic. Erwin Cevallos Onofre,
* Ing. María Pacheco Carvajal,
  Supervisores de Gestión del Talento Humano
* Lic. Rocío Espinoza González,
  Analistas de Gestión del Talento Humano</t>
  </si>
  <si>
    <t>* Ing. Liliana Campoverde Muñoz,
  Jefe de Gestión del Talento Humano
* Ing. Ana Satán Moreira,
  Analista de Gestión del Talento Humano</t>
  </si>
  <si>
    <t>* Ing. Liliana Campoverde Muñoz,
  Jefe de Gestión del Talento Humano
* Ing. Ana Satán Moreira,
* Ing. Lourdes Zhiminaycela Pacheco,
  Analistas de Gestión del Talento Humano</t>
  </si>
  <si>
    <t>* Ing. Liliana Campoverde Muñoz,
  Jefe de Gestión del Talento Humano
* Lic. Erwin Cevallos Onofre,
* Ing. María Pacheco Carvajal,
  Supervisores de Gestión del Talento Humano
* Ing. Viviana Mendoza Ramia,
* Ing. Xavier Chávez Arciniegas
* Ing. Ana Satán Moreira,
* Ing. Walter Correa Anchundia,
* Lic. Rocío Espinoza González,
* Ing. Lourdes Zhiminaycela Pacheco,
  Analistas de Gestión del Talento Humano</t>
  </si>
  <si>
    <t>* Ing. Liliana Campoverde Muñoz,
  Jefe de Gestión del Talento Humano
* Lic. Erwin Cevallos Onofre,
* Ing. María Pacheco Carvajal,
  Supervisores de Gestión del Talento Humano
* Ing. Viviana Mendoza Ramia,
* Ing. Xavier Chávez Arciniegas,
* Ing. Ana Satán Moreira,
* Lic. Rocío Espinoza González,
* Ing. Lourdes Zhiminaycela Pacheco,
  Analistas de Gestión del Talento Humano</t>
  </si>
  <si>
    <t>* Lic. Erwin Cevallos Onofre,
* Ing. María Pacheco Carvajal,
  Supervisores de Gestión del Talento Humano
* Ing. Viviana Mendoza Ramia,
* Ing. Xavier Chávez Arciniegas,
* Ing. Ana Satán Moreira,
* Lic. Rocío Espinoza González,
* Ing. Lourdes Zhiminaycela Pacheco,
  Analistas de Gestión del Talento Humano</t>
  </si>
  <si>
    <t>* Ing. Liliana Campoverde Muñoz,
  Jefe de Gestión del Talento Humano (POA)
EVAL POA:
* Lic. Erwin Cevallos Onofre,
* Ing. María Pacheco Carvajal,
  Supervisores de Gestión del Talento Humano
* Ing. Viviana Mendoza Ramia,
* Ing. Xavier Chávez Arciniegas,
* Ing. Ana Satán Moreira,
* Ing. Walter Correa Anchundia,
* Lic. Rocío Espinoza González,
* Ing. Lourdes Zhiminaycela Pacheco,
  Analistas de Gestión del Talento Humano</t>
  </si>
  <si>
    <t>* Ing. Liliana Campoverde Muñoz,
  Jefe de Gestión del Talento Humano
* Lic. Erwin Cevallos Onofre,
* Ing. María del Cisne Pacheco Carvajal,
  Supervisor de Gestión del Talento Humano
* Lic. Rocío Espinoza González,
* Ing. Ana Satán Moreira,
* Ing. Lourdes Zhiminaycela Pacheco,
* Ing. Viviana Mendoza Ramia (CONSOLIDACIÓN)           
* Ing.Xavier Chávez,
  Analistas de Gestión del Talento Humano</t>
  </si>
  <si>
    <t>* Ab. Mariuxi Apolo Silva,
  Directora de Talento Humano
* Ing. Rina Loayza Ramírez,
  Jefe de Desarrollo del Talento Humano
* Ing. Verónica Delgado Bermeo,
  Analista de Desarrollo del Talento Humano</t>
  </si>
  <si>
    <t>* Ab. Mariuxi Apolo Silva,
  Directora de Talento Humano
* Ing. Rina Loayza Ramírez,
  Jefe de Desarrollo del Talento Humano</t>
  </si>
  <si>
    <t>* Nelly Zapata Eras,
  Jefe de Gestión Organizacional
* Amparo Pogo Labanda,
  Analista de Gestión Organizacional</t>
  </si>
  <si>
    <t>* Nelly Zapata Eras,
  Jefe de Gestión Organizacional</t>
  </si>
  <si>
    <t>* Amparo Pogo Labanda,
  Analista de Gestión Organizacional</t>
  </si>
  <si>
    <t>* TS. ERNESTO CORREA PARRALES,
  JEFE SEGURIDAD
* DRA. GLORIA BRAVO LOOR,
  MÉDICO OCUPACIONAL
* LCDO. JUAN ENCALADA REYES,
  SUPERVISOR SALUD Y SEGURIDAD OCUPACIONAL</t>
  </si>
  <si>
    <t>* DRA. GLORIA BRAVO LOOR,
  MÉDICO OCUPACIONAL
* TS. ERNESTO CORREA PARRALES,
  JEFE SEGURIDAD</t>
  </si>
  <si>
    <t>* TS. ERNESTO CORREA PARRALES,
  JEFE SEGURIDAD
* DRA. GLORIA BRAVO LOOR,
  MÉDICO OCUPACIONAL
* LCDO. JUAN ENCALADA REYES,
  SUPERVISOR DE SALUD Y SEGURIDAD OCUPACIONAL</t>
  </si>
  <si>
    <t>* TS. ERNESTO CORRERA PARRALES,
  JEFE SEGURIDAD
* DRA. GLORIA BRAVO LOOR,
  MEDICO OCUPACIONAL
* LCDO. JUAN ENCALADA REYES,
  SUPERVISOR DE SALUD Y SEGURIDAD OCUPACIONAL</t>
  </si>
  <si>
    <t>* TS. ERNESTO CORREA PARRALES,
 JEFE SEGURIDAD
* LCDO. PATRICIO ROJAS MUÑOZ,
  AUXILIAR ADMINISTRATIVO</t>
  </si>
  <si>
    <r>
      <rPr>
        <b/>
        <sz val="9"/>
        <color theme="1"/>
        <rFont val="Century Schoolbook"/>
        <family val="1"/>
      </rPr>
      <t>1.-</t>
    </r>
    <r>
      <rPr>
        <sz val="10"/>
        <color theme="1"/>
        <rFont val="Arial Narrow"/>
        <family val="2"/>
      </rPr>
      <t xml:space="preserve"> Reporte de servidores administrativos y trabajadores capacitados.</t>
    </r>
  </si>
  <si>
    <r>
      <rPr>
        <b/>
        <sz val="9"/>
        <color theme="1"/>
        <rFont val="Century Schoolbook"/>
        <family val="1"/>
      </rPr>
      <t>1.-</t>
    </r>
    <r>
      <rPr>
        <sz val="10"/>
        <color theme="1"/>
        <rFont val="Arial Narrow"/>
        <family val="2"/>
      </rPr>
      <t xml:space="preserve"> Reporte de directrices validadas con las unidades que dependen de la Dirección de Talento Humano.</t>
    </r>
  </si>
  <si>
    <r>
      <rPr>
        <b/>
        <sz val="9"/>
        <color theme="1"/>
        <rFont val="Century Schoolbook"/>
        <family val="1"/>
      </rPr>
      <t>1.-</t>
    </r>
    <r>
      <rPr>
        <sz val="10"/>
        <color theme="1"/>
        <rFont val="Arial Narrow"/>
        <family val="2"/>
      </rPr>
      <t xml:space="preserve"> Informe del resultado del proceso de control de asistencia y permanencia de personal.
</t>
    </r>
    <r>
      <rPr>
        <b/>
        <sz val="9"/>
        <color theme="1"/>
        <rFont val="Century Schoolbook"/>
        <family val="1"/>
      </rPr>
      <t>2.-</t>
    </r>
    <r>
      <rPr>
        <sz val="10"/>
        <color theme="1"/>
        <rFont val="Arial Narrow"/>
        <family val="2"/>
      </rPr>
      <t xml:space="preserve"> Reportes para la verificación del control de asistencia y permanencia del personal.</t>
    </r>
  </si>
  <si>
    <r>
      <rPr>
        <b/>
        <sz val="9"/>
        <color theme="1"/>
        <rFont val="Century Schoolbook"/>
        <family val="1"/>
      </rPr>
      <t>1.-</t>
    </r>
    <r>
      <rPr>
        <sz val="10"/>
        <color theme="1"/>
        <rFont val="Arial Narrow"/>
        <family val="2"/>
      </rPr>
      <t xml:space="preserve"> Informe de cumplimiento del proceso de Planificación del Talento Humano Gestionado.</t>
    </r>
  </si>
  <si>
    <r>
      <rPr>
        <b/>
        <sz val="9"/>
        <color theme="1"/>
        <rFont val="Century Schoolbook"/>
        <family val="1"/>
      </rPr>
      <t>1.-</t>
    </r>
    <r>
      <rPr>
        <sz val="10"/>
        <color theme="1"/>
        <rFont val="Arial Narrow"/>
        <family val="2"/>
      </rPr>
      <t xml:space="preserve"> Informe de cumplimiento de procesos para prevención en salud y riesgos laborales.</t>
    </r>
  </si>
  <si>
    <r>
      <rPr>
        <b/>
        <sz val="9"/>
        <color theme="1"/>
        <rFont val="Century Schoolbook"/>
        <family val="1"/>
      </rPr>
      <t>1.-</t>
    </r>
    <r>
      <rPr>
        <sz val="10"/>
        <color theme="1"/>
        <rFont val="Arial Narrow"/>
        <family val="2"/>
      </rPr>
      <t xml:space="preserve"> Reporte de la coordinación del proceso de elaboración y/o actualización de Manuales para la descripción, valoración y clasificación de puestos.</t>
    </r>
  </si>
  <si>
    <r>
      <rPr>
        <b/>
        <sz val="9"/>
        <color theme="1"/>
        <rFont val="Century Schoolbook"/>
        <family val="1"/>
      </rPr>
      <t>1.-</t>
    </r>
    <r>
      <rPr>
        <sz val="10"/>
        <color theme="1"/>
        <rFont val="Arial Narrow"/>
        <family val="2"/>
      </rPr>
      <t xml:space="preserve"> Informes técnicos para la toma de decisiones de la autoridad nominadora relacionados con los procesos de concursos de méritos y oposición.</t>
    </r>
  </si>
  <si>
    <r>
      <rPr>
        <b/>
        <sz val="9"/>
        <color theme="1"/>
        <rFont val="Century Schoolbook"/>
        <family val="1"/>
      </rPr>
      <t>1.-</t>
    </r>
    <r>
      <rPr>
        <sz val="10"/>
        <color theme="1"/>
        <rFont val="Arial Narrow"/>
        <family val="2"/>
      </rPr>
      <t xml:space="preserve"> Reporte de informes técnicos para la toma de decisiones de la autoridad nominadora relacionados con los procesos de contratación y/o concursos de méritos y oposición para el ingreso de personal académico y de apoyo académico.</t>
    </r>
  </si>
  <si>
    <r>
      <rPr>
        <b/>
        <sz val="9"/>
        <color theme="1"/>
        <rFont val="Century Schoolbook"/>
        <family val="1"/>
      </rPr>
      <t>1.-</t>
    </r>
    <r>
      <rPr>
        <sz val="10"/>
        <color theme="1"/>
        <rFont val="Arial Narrow"/>
        <family val="2"/>
      </rPr>
      <t xml:space="preserve"> Informe de resultados de la ejecución de la capacitación y formación de los servidores administrativos y de servicio.</t>
    </r>
  </si>
  <si>
    <r>
      <rPr>
        <b/>
        <sz val="9"/>
        <color theme="1"/>
        <rFont val="Century Schoolbook"/>
        <family val="1"/>
      </rPr>
      <t>1.-</t>
    </r>
    <r>
      <rPr>
        <sz val="10"/>
        <color theme="1"/>
        <rFont val="Arial Narrow"/>
        <family val="2"/>
      </rPr>
      <t xml:space="preserve"> Informe de resultados del proceso de evaluación de desempeño del personal administrativo.</t>
    </r>
  </si>
  <si>
    <r>
      <rPr>
        <b/>
        <sz val="9"/>
        <color theme="1"/>
        <rFont val="Century Schoolbook"/>
        <family val="1"/>
      </rPr>
      <t>1.-</t>
    </r>
    <r>
      <rPr>
        <sz val="10"/>
        <color theme="1"/>
        <rFont val="Arial Narrow"/>
        <family val="2"/>
      </rPr>
      <t xml:space="preserve"> Reporte de Cumplimiento de carga de información relacionada con el Talento Humano solicitados por organismos externos que rigen a la institución.</t>
    </r>
  </si>
  <si>
    <r>
      <rPr>
        <b/>
        <sz val="9"/>
        <color theme="1"/>
        <rFont val="Century Schoolbook"/>
        <family val="1"/>
      </rPr>
      <t>1.-</t>
    </r>
    <r>
      <rPr>
        <sz val="10"/>
        <color theme="1"/>
        <rFont val="Arial Narrow"/>
        <family val="2"/>
      </rPr>
      <t xml:space="preserve"> Informe semestral de los procesos de desvinculación de personal.</t>
    </r>
  </si>
  <si>
    <r>
      <rPr>
        <b/>
        <sz val="9"/>
        <color theme="1"/>
        <rFont val="Century Schoolbook"/>
        <family val="1"/>
      </rPr>
      <t>1.-</t>
    </r>
    <r>
      <rPr>
        <sz val="10"/>
        <color theme="1"/>
        <rFont val="Arial Narrow"/>
        <family val="2"/>
      </rPr>
      <t xml:space="preserve"> Reporte de quejas y denuncias tramitadas.</t>
    </r>
  </si>
  <si>
    <r>
      <rPr>
        <b/>
        <sz val="9"/>
        <color theme="1"/>
        <rFont val="Century Schoolbook"/>
        <family val="1"/>
      </rPr>
      <t>1.-</t>
    </r>
    <r>
      <rPr>
        <sz val="10"/>
        <color theme="1"/>
        <rFont val="Arial Narrow"/>
        <family val="2"/>
      </rPr>
      <t xml:space="preserve"> Reporte de Informes técnicos de movimientos de personal.</t>
    </r>
  </si>
  <si>
    <r>
      <rPr>
        <b/>
        <sz val="9"/>
        <color theme="1"/>
        <rFont val="Century Schoolbook"/>
        <family val="1"/>
      </rPr>
      <t>1.-</t>
    </r>
    <r>
      <rPr>
        <sz val="10"/>
        <color theme="1"/>
        <rFont val="Arial Narrow"/>
        <family val="2"/>
      </rPr>
      <t xml:space="preserve"> Reporte de directrices de la implementación de normativa en los procesos de Talento Humano.</t>
    </r>
  </si>
  <si>
    <r>
      <rPr>
        <b/>
        <sz val="9"/>
        <color theme="1"/>
        <rFont val="Century Schoolbook"/>
        <family val="1"/>
      </rPr>
      <t>1.-</t>
    </r>
    <r>
      <rPr>
        <sz val="10"/>
        <color theme="1"/>
        <rFont val="Arial Narrow"/>
        <family val="2"/>
      </rPr>
      <t xml:space="preserve"> Propuesta del Diseño del Sistema de Evaluación de desempeño del personal sujeto al Código del Trabajo.</t>
    </r>
  </si>
  <si>
    <r>
      <rPr>
        <b/>
        <sz val="9"/>
        <color theme="1"/>
        <rFont val="Century Schoolbook"/>
        <family val="1"/>
      </rPr>
      <t>1.-</t>
    </r>
    <r>
      <rPr>
        <sz val="10"/>
        <color theme="1"/>
        <rFont val="Arial Narrow"/>
        <family val="2"/>
      </rPr>
      <t xml:space="preserve"> Planificación Operativa Anual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 la Planificación Operativa Anual </t>
    </r>
    <r>
      <rPr>
        <sz val="10"/>
        <color theme="1"/>
        <rFont val="Century Schoolbook"/>
        <family val="1"/>
      </rPr>
      <t>2023.</t>
    </r>
  </si>
  <si>
    <r>
      <rPr>
        <b/>
        <sz val="9"/>
        <color theme="1"/>
        <rFont val="Century Schoolbook"/>
        <family val="1"/>
      </rPr>
      <t>1.-</t>
    </r>
    <r>
      <rPr>
        <sz val="10"/>
        <color theme="1"/>
        <rFont val="Arial Narrow"/>
        <family val="2"/>
      </rPr>
      <t xml:space="preserve"> Reporte consolidado del estado de Ejecución de los Procesos de contratación y/o concursos de méritos y oposición (LOSEP) para el ingreso de personal registrados.</t>
    </r>
  </si>
  <si>
    <r>
      <rPr>
        <b/>
        <sz val="9"/>
        <color theme="1"/>
        <rFont val="Century Schoolbook"/>
        <family val="1"/>
      </rPr>
      <t>1.-</t>
    </r>
    <r>
      <rPr>
        <sz val="10"/>
        <color theme="1"/>
        <rFont val="Arial Narrow"/>
        <family val="2"/>
      </rPr>
      <t xml:space="preserve"> Reporte de procesos de modificaciones a los contratos y/o acciones de personal.</t>
    </r>
  </si>
  <si>
    <r>
      <rPr>
        <b/>
        <sz val="9"/>
        <color theme="1"/>
        <rFont val="Century Schoolbook"/>
        <family val="1"/>
      </rPr>
      <t>1.-</t>
    </r>
    <r>
      <rPr>
        <sz val="10"/>
        <color theme="1"/>
        <rFont val="Arial Narrow"/>
        <family val="2"/>
      </rPr>
      <t xml:space="preserve"> Reporte consolidado de Registro de la asistencia y de la permanencia de personal.</t>
    </r>
  </si>
  <si>
    <r>
      <rPr>
        <b/>
        <sz val="9"/>
        <color theme="1"/>
        <rFont val="Century Schoolbook"/>
        <family val="1"/>
      </rPr>
      <t>1.-</t>
    </r>
    <r>
      <rPr>
        <sz val="10"/>
        <color theme="1"/>
        <rFont val="Arial Narrow"/>
        <family val="2"/>
      </rPr>
      <t xml:space="preserve"> Reporte del estado de la actualización de información en el sistema del ente rector del Control Fiscal, para efecto de validación de las declaraciones juramentadas patrimoniales de los servidores.</t>
    </r>
  </si>
  <si>
    <r>
      <rPr>
        <b/>
        <sz val="9"/>
        <color theme="1"/>
        <rFont val="Century Schoolbook"/>
        <family val="1"/>
      </rPr>
      <t>1.-</t>
    </r>
    <r>
      <rPr>
        <sz val="10"/>
        <color theme="1"/>
        <rFont val="Arial Narrow"/>
        <family val="2"/>
      </rPr>
      <t xml:space="preserve"> Reporte consolidado con  número de Registros y actualización de los expedientes del personal respecto del ingreso, desvinculación y otros cambios de su situación laboral, en físico y digital, según corresponda. Además el registro en el sistema informático institucional y/o del ente rector del trabajo.</t>
    </r>
  </si>
  <si>
    <r>
      <rPr>
        <b/>
        <sz val="9"/>
        <color theme="1"/>
        <rFont val="Century Schoolbook"/>
        <family val="1"/>
      </rPr>
      <t>1.-</t>
    </r>
    <r>
      <rPr>
        <sz val="10"/>
        <color theme="1"/>
        <rFont val="Arial Narrow"/>
        <family val="2"/>
      </rPr>
      <t xml:space="preserve"> Reporte de la Ejecución de vacaciones del personal.</t>
    </r>
  </si>
  <si>
    <r>
      <rPr>
        <b/>
        <sz val="9"/>
        <color theme="1"/>
        <rFont val="Century Schoolbook"/>
        <family val="1"/>
      </rPr>
      <t>1.-</t>
    </r>
    <r>
      <rPr>
        <sz val="10"/>
        <color theme="1"/>
        <rFont val="Arial Narrow"/>
        <family val="2"/>
      </rPr>
      <t xml:space="preserve"> Reporte de los procesos de desvinculación de personal.</t>
    </r>
  </si>
  <si>
    <r>
      <rPr>
        <b/>
        <sz val="9"/>
        <color theme="1"/>
        <rFont val="Century Schoolbook"/>
        <family val="1"/>
      </rPr>
      <t>1.-</t>
    </r>
    <r>
      <rPr>
        <sz val="10"/>
        <color theme="1"/>
        <rFont val="Arial Narrow"/>
        <family val="2"/>
      </rPr>
      <t xml:space="preserve"> Reporte de acciones de personal emitidas para aplicación de las resoluciones adoptadas por el máximo órgano colegiado superior, relacionado con sanciones impuestas por faltas disciplinarias a los servidores de la UTMACH.</t>
    </r>
  </si>
  <si>
    <r>
      <rPr>
        <b/>
        <sz val="9"/>
        <color theme="1"/>
        <rFont val="Century Schoolbook"/>
        <family val="1"/>
      </rPr>
      <t>1.-</t>
    </r>
    <r>
      <rPr>
        <sz val="10"/>
        <color theme="1"/>
        <rFont val="Arial Narrow"/>
        <family val="2"/>
      </rPr>
      <t xml:space="preserve"> Reporte de informes técnicos del  mes, relacionados con permisos, licencias, comisiones de servicios, vacaciones, y demás procesos que se lleven a cabo en la unidad de Gestión de Talento Humano.
</t>
    </r>
  </si>
  <si>
    <r>
      <rPr>
        <b/>
        <sz val="9"/>
        <color theme="1"/>
        <rFont val="Century Schoolbook"/>
        <family val="1"/>
      </rPr>
      <t>1.-</t>
    </r>
    <r>
      <rPr>
        <sz val="10"/>
        <color theme="1"/>
        <rFont val="Arial Narrow"/>
        <family val="2"/>
      </rPr>
      <t xml:space="preserve"> Reporte de Cumplimiento de carga de información relacionada con el Talento Humano o matrices solicitados por organismos externos que rigen a la institución.</t>
    </r>
  </si>
  <si>
    <r>
      <rPr>
        <b/>
        <sz val="9"/>
        <color theme="1"/>
        <rFont val="Century Schoolbook"/>
        <family val="1"/>
      </rPr>
      <t>1.-</t>
    </r>
    <r>
      <rPr>
        <sz val="10"/>
        <color theme="1"/>
        <rFont val="Arial Narrow"/>
        <family val="2"/>
      </rPr>
      <t xml:space="preserve"> Plan Operativo Anual </t>
    </r>
    <r>
      <rPr>
        <sz val="10"/>
        <color theme="1"/>
        <rFont val="Century Schoolbook"/>
        <family val="1"/>
      </rPr>
      <t>2022.</t>
    </r>
    <r>
      <rPr>
        <sz val="10"/>
        <color theme="1"/>
        <rFont val="Arial Narrow"/>
        <family val="2"/>
      </rPr>
      <t xml:space="preserve">
</t>
    </r>
    <r>
      <rPr>
        <b/>
        <sz val="9"/>
        <color theme="1"/>
        <rFont val="Century Schoolbook"/>
        <family val="1"/>
      </rPr>
      <t>2.-</t>
    </r>
    <r>
      <rPr>
        <sz val="10"/>
        <color theme="1"/>
        <rFont val="Arial Narrow"/>
        <family val="2"/>
      </rPr>
      <t xml:space="preserve"> Evaluación del POA I Semestre </t>
    </r>
    <r>
      <rPr>
        <sz val="10"/>
        <color theme="1"/>
        <rFont val="Century Schoolbook"/>
        <family val="1"/>
      </rPr>
      <t>2022.</t>
    </r>
    <r>
      <rPr>
        <sz val="10"/>
        <color theme="1"/>
        <rFont val="Arial Narrow"/>
        <family val="2"/>
      </rPr>
      <t xml:space="preserve">
</t>
    </r>
    <r>
      <rPr>
        <b/>
        <sz val="9"/>
        <color theme="1"/>
        <rFont val="Century Schoolbook"/>
        <family val="1"/>
      </rPr>
      <t>3.-</t>
    </r>
    <r>
      <rPr>
        <sz val="10"/>
        <color theme="1"/>
        <rFont val="Arial Narrow"/>
        <family val="2"/>
      </rPr>
      <t xml:space="preserve"> Plan Operativo Anual </t>
    </r>
    <r>
      <rPr>
        <sz val="10"/>
        <color theme="1"/>
        <rFont val="Century Schoolbook"/>
        <family val="1"/>
      </rPr>
      <t>2023.</t>
    </r>
    <r>
      <rPr>
        <sz val="10"/>
        <color theme="1"/>
        <rFont val="Arial Narrow"/>
        <family val="2"/>
      </rPr>
      <t xml:space="preserve">
</t>
    </r>
    <r>
      <rPr>
        <b/>
        <sz val="9"/>
        <color theme="1"/>
        <rFont val="Century Schoolbook"/>
        <family val="1"/>
      </rPr>
      <t>4.-</t>
    </r>
    <r>
      <rPr>
        <sz val="10"/>
        <color theme="1"/>
        <rFont val="Arial Narrow"/>
        <family val="2"/>
      </rPr>
      <t xml:space="preserve"> Evaluación del POA II Semestre </t>
    </r>
    <r>
      <rPr>
        <sz val="10"/>
        <color theme="1"/>
        <rFont val="Century Schoolbook"/>
        <family val="1"/>
      </rPr>
      <t>2022.</t>
    </r>
  </si>
  <si>
    <r>
      <rPr>
        <b/>
        <sz val="9"/>
        <color theme="1"/>
        <rFont val="Century Schoolbook"/>
        <family val="1"/>
      </rPr>
      <t>1.-</t>
    </r>
    <r>
      <rPr>
        <sz val="10"/>
        <color theme="1"/>
        <rFont val="Arial Narrow"/>
        <family val="2"/>
      </rPr>
      <t xml:space="preserve"> Plan Anual de Capacitación de los servidores amparados por la Ley Orgánica del Servicio Público y Código del Trabajo.
</t>
    </r>
    <r>
      <rPr>
        <b/>
        <sz val="9"/>
        <color theme="1"/>
        <rFont val="Century Schoolbook"/>
        <family val="1"/>
      </rPr>
      <t>2.-</t>
    </r>
    <r>
      <rPr>
        <sz val="10"/>
        <color theme="1"/>
        <rFont val="Arial Narrow"/>
        <family val="2"/>
      </rPr>
      <t xml:space="preserve"> Resolución de Consejo Universitario de aprobación del Plan de Capacitación de los servidores amparados por la Ley Orgánica del Servicio Público y Código del Trabajo.</t>
    </r>
  </si>
  <si>
    <r>
      <rPr>
        <b/>
        <sz val="9"/>
        <color theme="1"/>
        <rFont val="Century Schoolbook"/>
        <family val="1"/>
      </rPr>
      <t>1.-</t>
    </r>
    <r>
      <rPr>
        <sz val="10"/>
        <color theme="1"/>
        <rFont val="Arial Narrow"/>
        <family val="2"/>
      </rPr>
      <t xml:space="preserve"> Informes de ejecución de los eventos de capacitación.</t>
    </r>
  </si>
  <si>
    <r>
      <rPr>
        <b/>
        <sz val="9"/>
        <color theme="1"/>
        <rFont val="Century Schoolbook"/>
        <family val="1"/>
      </rPr>
      <t>1.-</t>
    </r>
    <r>
      <rPr>
        <sz val="10"/>
        <color theme="1"/>
        <rFont val="Arial Narrow"/>
        <family val="2"/>
      </rPr>
      <t xml:space="preserve"> Plan Anual de Apoyo Institucional Económico Tipo A.
</t>
    </r>
    <r>
      <rPr>
        <b/>
        <sz val="9"/>
        <color theme="1"/>
        <rFont val="Century Schoolbook"/>
        <family val="1"/>
      </rPr>
      <t>2.-</t>
    </r>
    <r>
      <rPr>
        <sz val="10"/>
        <color theme="1"/>
        <rFont val="Arial Narrow"/>
        <family val="2"/>
      </rPr>
      <t xml:space="preserve"> Resolución de Consejo Universitario de aprobación del Plan.</t>
    </r>
  </si>
  <si>
    <r>
      <rPr>
        <b/>
        <sz val="9"/>
        <color theme="1"/>
        <rFont val="Century Schoolbook"/>
        <family val="1"/>
      </rPr>
      <t>1.-</t>
    </r>
    <r>
      <rPr>
        <sz val="10"/>
        <color theme="1"/>
        <rFont val="Arial Narrow"/>
        <family val="2"/>
      </rPr>
      <t xml:space="preserve"> Informe de la ejecución del Plan Anual de apoyo institucional económico tipo A para los servidores administrativos.</t>
    </r>
  </si>
  <si>
    <r>
      <rPr>
        <b/>
        <sz val="9"/>
        <color theme="1"/>
        <rFont val="Century Schoolbook"/>
        <family val="1"/>
      </rPr>
      <t>1.-</t>
    </r>
    <r>
      <rPr>
        <sz val="10"/>
        <color theme="1"/>
        <rFont val="Arial Narrow"/>
        <family val="2"/>
      </rPr>
      <t xml:space="preserve"> Plan de Evaluación de Desempeño.
</t>
    </r>
    <r>
      <rPr>
        <b/>
        <sz val="9"/>
        <color theme="1"/>
        <rFont val="Century Schoolbook"/>
        <family val="1"/>
      </rPr>
      <t>2.-</t>
    </r>
    <r>
      <rPr>
        <sz val="10"/>
        <color theme="1"/>
        <rFont val="Arial Narrow"/>
        <family val="2"/>
      </rPr>
      <t xml:space="preserve"> Oficio Aprobación Plan de Evaluación de Desempeño.</t>
    </r>
  </si>
  <si>
    <r>
      <rPr>
        <b/>
        <sz val="9"/>
        <color theme="1"/>
        <rFont val="Century Schoolbook"/>
        <family val="1"/>
      </rPr>
      <t>1.-</t>
    </r>
    <r>
      <rPr>
        <sz val="10"/>
        <color theme="1"/>
        <rFont val="Arial Narrow"/>
        <family val="2"/>
      </rPr>
      <t xml:space="preserve"> Informe sobre la ejecución de las Fases del Plan Anual de Evaluación de Desempeño de los servidores régimen LOSEP.</t>
    </r>
  </si>
  <si>
    <r>
      <rPr>
        <b/>
        <sz val="9"/>
        <color theme="1"/>
        <rFont val="Century Schoolbook"/>
        <family val="1"/>
      </rPr>
      <t>1.-</t>
    </r>
    <r>
      <rPr>
        <sz val="10"/>
        <color theme="1"/>
        <rFont val="Arial Narrow"/>
        <family val="2"/>
      </rPr>
      <t xml:space="preserve"> Reporte consolidado de informes técnicos emitidos.</t>
    </r>
  </si>
  <si>
    <r>
      <rPr>
        <b/>
        <sz val="9"/>
        <color theme="1"/>
        <rFont val="Century Schoolbook"/>
        <family val="1"/>
      </rPr>
      <t>1.-</t>
    </r>
    <r>
      <rPr>
        <sz val="10"/>
        <color theme="1"/>
        <rFont val="Arial Narrow"/>
        <family val="2"/>
      </rPr>
      <t xml:space="preserve"> Reporte de capacitaciones registradas en la plataforma dispuesta por el ente rector del trabajo.</t>
    </r>
  </si>
  <si>
    <r>
      <rPr>
        <b/>
        <sz val="9"/>
        <color theme="1"/>
        <rFont val="Century Schoolbook"/>
        <family val="1"/>
      </rPr>
      <t>1.-</t>
    </r>
    <r>
      <rPr>
        <sz val="10"/>
        <color theme="1"/>
        <rFont val="Arial Narrow"/>
        <family val="2"/>
      </rPr>
      <t xml:space="preserve"> Reporte sobre información relacionada con el Talento Humano solicitados por organismos externos que rigen a la institución.
</t>
    </r>
    <r>
      <rPr>
        <b/>
        <sz val="9"/>
        <color theme="1"/>
        <rFont val="Century Schoolbook"/>
        <family val="1"/>
      </rPr>
      <t>2.-</t>
    </r>
    <r>
      <rPr>
        <sz val="10"/>
        <color theme="1"/>
        <rFont val="Arial Narrow"/>
        <family val="2"/>
      </rPr>
      <t xml:space="preserve"> Reporte de Plantillas del Directorio de la Institución.</t>
    </r>
  </si>
  <si>
    <r>
      <rPr>
        <b/>
        <sz val="9"/>
        <color theme="1"/>
        <rFont val="Century Schoolbook"/>
        <family val="1"/>
      </rPr>
      <t>1.-</t>
    </r>
    <r>
      <rPr>
        <sz val="10"/>
        <color theme="1"/>
        <rFont val="Arial Narrow"/>
        <family val="2"/>
      </rPr>
      <t xml:space="preserve"> Informe de actualización de perfiles.
</t>
    </r>
    <r>
      <rPr>
        <b/>
        <sz val="9"/>
        <color theme="1"/>
        <rFont val="Century Schoolbook"/>
        <family val="1"/>
      </rPr>
      <t>2.-</t>
    </r>
    <r>
      <rPr>
        <sz val="10"/>
        <color theme="1"/>
        <rFont val="Arial Narrow"/>
        <family val="2"/>
      </rPr>
      <t xml:space="preserve"> Solicitudes para levantamiento de información.
</t>
    </r>
    <r>
      <rPr>
        <b/>
        <sz val="9"/>
        <color theme="1"/>
        <rFont val="Century Schoolbook"/>
        <family val="1"/>
      </rPr>
      <t>3.-</t>
    </r>
    <r>
      <rPr>
        <sz val="10"/>
        <color theme="1"/>
        <rFont val="Arial Narrow"/>
        <family val="2"/>
      </rPr>
      <t xml:space="preserve"> Registro Asistencia de reuniones trabajo para reforma Integral del Manual de Puestos.
</t>
    </r>
    <r>
      <rPr>
        <b/>
        <sz val="9"/>
        <color theme="1"/>
        <rFont val="Century Schoolbook"/>
        <family val="1"/>
      </rPr>
      <t>4.-</t>
    </r>
    <r>
      <rPr>
        <sz val="10"/>
        <color theme="1"/>
        <rFont val="Arial Narrow"/>
        <family val="2"/>
      </rPr>
      <t xml:space="preserve"> Informe Técnico Final.
</t>
    </r>
    <r>
      <rPr>
        <b/>
        <sz val="9"/>
        <color theme="1"/>
        <rFont val="Century Schoolbook"/>
        <family val="1"/>
      </rPr>
      <t>5.-</t>
    </r>
    <r>
      <rPr>
        <sz val="10"/>
        <color theme="1"/>
        <rFont val="Arial Narrow"/>
        <family val="2"/>
      </rPr>
      <t xml:space="preserve"> Manual de descripción, clasificación, valoración de puestos y escala salarial.</t>
    </r>
  </si>
  <si>
    <r>
      <rPr>
        <b/>
        <sz val="9"/>
        <color theme="1"/>
        <rFont val="Century Schoolbook"/>
        <family val="1"/>
      </rPr>
      <t>1.-</t>
    </r>
    <r>
      <rPr>
        <sz val="10"/>
        <color theme="1"/>
        <rFont val="Arial Narrow"/>
        <family val="2"/>
      </rPr>
      <t xml:space="preserve"> Reporte de entrega de Informes Técnicos Relacionados con cambios en la Estructura Organizacional, Perfiles de puestos, Traspasos, Cambios Administrativos y/o Traslados.</t>
    </r>
  </si>
  <si>
    <r>
      <rPr>
        <b/>
        <sz val="9"/>
        <color theme="1"/>
        <rFont val="Century Schoolbook"/>
        <family val="1"/>
      </rPr>
      <t>1.-</t>
    </r>
    <r>
      <rPr>
        <sz val="10"/>
        <color theme="1"/>
        <rFont val="Arial Narrow"/>
        <family val="2"/>
      </rPr>
      <t xml:space="preserve"> Matriz de Planificación de Talento Humano por Niveles Territoriales.
</t>
    </r>
    <r>
      <rPr>
        <b/>
        <sz val="9"/>
        <color theme="1"/>
        <rFont val="Century Schoolbook"/>
        <family val="1"/>
      </rPr>
      <t>2.-</t>
    </r>
    <r>
      <rPr>
        <sz val="10"/>
        <color theme="1"/>
        <rFont val="Arial Narrow"/>
        <family val="2"/>
      </rPr>
      <t xml:space="preserve"> Registro de Plantillas de Talento Humano, con reporte de brechas (servidores requeridos).
</t>
    </r>
    <r>
      <rPr>
        <b/>
        <sz val="9"/>
        <color theme="1"/>
        <rFont val="Century Schoolbook"/>
        <family val="1"/>
      </rPr>
      <t>3.-</t>
    </r>
    <r>
      <rPr>
        <sz val="10"/>
        <color theme="1"/>
        <rFont val="Arial Narrow"/>
        <family val="2"/>
      </rPr>
      <t xml:space="preserve"> Informe de optimización y racionalización por Nivel Territorial.
</t>
    </r>
    <r>
      <rPr>
        <b/>
        <sz val="9"/>
        <color theme="1"/>
        <rFont val="Century Schoolbook"/>
        <family val="1"/>
      </rPr>
      <t>4.-</t>
    </r>
    <r>
      <rPr>
        <sz val="10"/>
        <color theme="1"/>
        <rFont val="Arial Narrow"/>
        <family val="2"/>
      </rPr>
      <t xml:space="preserve"> Informe del Plan Consolidado de la Planificación de Talento Humano.</t>
    </r>
  </si>
  <si>
    <r>
      <rPr>
        <b/>
        <sz val="9"/>
        <color theme="1"/>
        <rFont val="Century Schoolbook"/>
        <family val="1"/>
      </rPr>
      <t>1.-</t>
    </r>
    <r>
      <rPr>
        <sz val="10"/>
        <color theme="1"/>
        <rFont val="Arial Narrow"/>
        <family val="2"/>
      </rPr>
      <t xml:space="preserve"> Reporte de Brechas.
</t>
    </r>
    <r>
      <rPr>
        <b/>
        <sz val="9"/>
        <color theme="1"/>
        <rFont val="Century Schoolbook"/>
        <family val="1"/>
      </rPr>
      <t>2.-</t>
    </r>
    <r>
      <rPr>
        <sz val="10"/>
        <color theme="1"/>
        <rFont val="Arial Narrow"/>
        <family val="2"/>
      </rPr>
      <t xml:space="preserve"> Plan de Auditoría.</t>
    </r>
  </si>
  <si>
    <r>
      <rPr>
        <b/>
        <sz val="9"/>
        <color theme="1"/>
        <rFont val="Century Schoolbook"/>
        <family val="1"/>
      </rPr>
      <t>1.-</t>
    </r>
    <r>
      <rPr>
        <sz val="10"/>
        <color theme="1"/>
        <rFont val="Arial Narrow"/>
        <family val="2"/>
      </rPr>
      <t xml:space="preserve"> Reporte de quejas y/o denuncias tramitadas.
</t>
    </r>
    <r>
      <rPr>
        <b/>
        <sz val="9"/>
        <color theme="1"/>
        <rFont val="Century Schoolbook"/>
        <family val="1"/>
      </rPr>
      <t>2.-</t>
    </r>
    <r>
      <rPr>
        <sz val="10"/>
        <color theme="1"/>
        <rFont val="Arial Narrow"/>
        <family val="2"/>
      </rPr>
      <t xml:space="preserve"> Reporte de quejas y/o denuncias generadas por el SIUTMACH.</t>
    </r>
  </si>
  <si>
    <r>
      <rPr>
        <b/>
        <sz val="9"/>
        <color theme="1"/>
        <rFont val="Century Schoolbook"/>
        <family val="1"/>
      </rPr>
      <t>1.-</t>
    </r>
    <r>
      <rPr>
        <sz val="10"/>
        <color theme="1"/>
        <rFont val="Arial Narrow"/>
        <family val="2"/>
      </rPr>
      <t xml:space="preserve"> Reporte de entrega de plantillas de los literal a </t>
    </r>
    <r>
      <rPr>
        <sz val="10"/>
        <color theme="1"/>
        <rFont val="Century Schoolbook"/>
        <family val="1"/>
      </rPr>
      <t>1</t>
    </r>
    <r>
      <rPr>
        <sz val="10"/>
        <color theme="1"/>
        <rFont val="Arial Narrow"/>
        <family val="2"/>
      </rPr>
      <t xml:space="preserve">) y b </t>
    </r>
    <r>
      <rPr>
        <sz val="10"/>
        <color theme="1"/>
        <rFont val="Century Schoolbook"/>
        <family val="1"/>
      </rPr>
      <t>2</t>
    </r>
    <r>
      <rPr>
        <sz val="10"/>
        <color theme="1"/>
        <rFont val="Arial Narrow"/>
        <family val="2"/>
      </rPr>
      <t xml:space="preserve">) a la Dirección de Talento Humano para trámite al comité de transparencia.
</t>
    </r>
    <r>
      <rPr>
        <b/>
        <sz val="9"/>
        <color theme="1"/>
        <rFont val="Century Schoolbook"/>
        <family val="1"/>
      </rPr>
      <t>2.-</t>
    </r>
    <r>
      <rPr>
        <sz val="10"/>
        <color theme="1"/>
        <rFont val="Arial Narrow"/>
        <family val="2"/>
      </rPr>
      <t xml:space="preserve"> Plantillas mensuales del literal a</t>
    </r>
    <r>
      <rPr>
        <sz val="10"/>
        <color theme="1"/>
        <rFont val="Century Schoolbook"/>
        <family val="1"/>
      </rPr>
      <t>1</t>
    </r>
    <r>
      <rPr>
        <sz val="10"/>
        <color theme="1"/>
        <rFont val="Arial Narrow"/>
        <family val="2"/>
      </rPr>
      <t xml:space="preserve">) Estructura Orgánica.
</t>
    </r>
    <r>
      <rPr>
        <b/>
        <sz val="9"/>
        <color theme="1"/>
        <rFont val="Century Schoolbook"/>
        <family val="1"/>
      </rPr>
      <t>3.-</t>
    </r>
    <r>
      <rPr>
        <sz val="10"/>
        <color theme="1"/>
        <rFont val="Arial Narrow"/>
        <family val="2"/>
      </rPr>
      <t xml:space="preserve"> Plantillas mensuales del literal b</t>
    </r>
    <r>
      <rPr>
        <sz val="10"/>
        <color theme="1"/>
        <rFont val="Century Schoolbook"/>
        <family val="1"/>
      </rPr>
      <t>2</t>
    </r>
    <r>
      <rPr>
        <sz val="10"/>
        <color theme="1"/>
        <rFont val="Arial Narrow"/>
        <family val="2"/>
      </rPr>
      <t>), Distributivo de Personal para el cumplimiento de la Ley de Transparencia.</t>
    </r>
  </si>
  <si>
    <r>
      <rPr>
        <b/>
        <sz val="9"/>
        <color theme="1"/>
        <rFont val="Century Schoolbook"/>
        <family val="1"/>
      </rPr>
      <t>1.-</t>
    </r>
    <r>
      <rPr>
        <sz val="10"/>
        <color theme="1"/>
        <rFont val="Arial Narrow"/>
        <family val="2"/>
      </rPr>
      <t xml:space="preserve"> Reporte de Cumplimiento de carga de información relacionada con el Talento Humano solicitados por organismos externos que rigen a la institución y el MDT.</t>
    </r>
  </si>
  <si>
    <r>
      <rPr>
        <b/>
        <sz val="9"/>
        <color theme="1"/>
        <rFont val="Century Schoolbook"/>
        <family val="1"/>
      </rPr>
      <t>1.-</t>
    </r>
    <r>
      <rPr>
        <sz val="10"/>
        <color theme="1"/>
        <rFont val="Arial Narrow"/>
        <family val="2"/>
      </rPr>
      <t xml:space="preserve"> POA - UGO -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del POA </t>
    </r>
    <r>
      <rPr>
        <sz val="10"/>
        <color theme="1"/>
        <rFont val="Century Schoolbook"/>
        <family val="1"/>
      </rPr>
      <t>2023.</t>
    </r>
  </si>
  <si>
    <r>
      <rPr>
        <b/>
        <sz val="9"/>
        <color theme="1"/>
        <rFont val="Century Schoolbook"/>
        <family val="1"/>
      </rPr>
      <t>1.-</t>
    </r>
    <r>
      <rPr>
        <sz val="10"/>
        <color theme="1"/>
        <rFont val="Arial Narrow"/>
        <family val="2"/>
      </rPr>
      <t xml:space="preserve"> REPORTE DE INFORME TÉCNICO SOBRE LOS RIESGOS EN MATERIA DE SEGURIDAD, SALUD Y RIESGO DEL TRABAJO EN SALUD.</t>
    </r>
  </si>
  <si>
    <r>
      <rPr>
        <b/>
        <sz val="9"/>
        <color theme="1"/>
        <rFont val="Century Schoolbook"/>
        <family val="1"/>
      </rPr>
      <t>1.-</t>
    </r>
    <r>
      <rPr>
        <sz val="10"/>
        <color theme="1"/>
        <rFont val="Arial Narrow"/>
        <family val="2"/>
      </rPr>
      <t xml:space="preserve"> INFORME DE ELABORACIÓN DE LAS FICHAS MÉDICAS Y ATENCIONES.</t>
    </r>
  </si>
  <si>
    <r>
      <rPr>
        <b/>
        <sz val="9"/>
        <color theme="1"/>
        <rFont val="Century Schoolbook"/>
        <family val="1"/>
      </rPr>
      <t>1.-</t>
    </r>
    <r>
      <rPr>
        <sz val="10"/>
        <color theme="1"/>
        <rFont val="Arial Narrow"/>
        <family val="2"/>
      </rPr>
      <t xml:space="preserve"> INFORME DE LAS CAPACITACIONES EN PREVENCIÓN DE RIESGOS LABORALES.</t>
    </r>
  </si>
  <si>
    <r>
      <rPr>
        <b/>
        <sz val="9"/>
        <color theme="1"/>
        <rFont val="Century Schoolbook"/>
        <family val="1"/>
      </rPr>
      <t>1.-</t>
    </r>
    <r>
      <rPr>
        <sz val="10"/>
        <color theme="1"/>
        <rFont val="Arial Narrow"/>
        <family val="2"/>
      </rPr>
      <t xml:space="preserve"> INFORME SEGUIMIENTOS EN SALUD PREVENTIVA.</t>
    </r>
  </si>
  <si>
    <r>
      <rPr>
        <b/>
        <sz val="9"/>
        <color theme="1"/>
        <rFont val="Century Schoolbook"/>
        <family val="1"/>
      </rPr>
      <t>1.-</t>
    </r>
    <r>
      <rPr>
        <sz val="10"/>
        <color theme="1"/>
        <rFont val="Arial Narrow"/>
        <family val="2"/>
      </rPr>
      <t xml:space="preserve"> INFORME DE SEGUIMIENTOS EN RIESGOS LABORALES.</t>
    </r>
  </si>
  <si>
    <r>
      <rPr>
        <b/>
        <sz val="9"/>
        <color theme="1"/>
        <rFont val="Century Schoolbook"/>
        <family val="1"/>
      </rPr>
      <t>1.-</t>
    </r>
    <r>
      <rPr>
        <sz val="10"/>
        <color theme="1"/>
        <rFont val="Arial Narrow"/>
        <family val="2"/>
      </rPr>
      <t xml:space="preserve"> INFORME EN ASESORAMIENTO EN RIESGOS LABORALES.</t>
    </r>
  </si>
  <si>
    <r>
      <rPr>
        <b/>
        <sz val="9"/>
        <color theme="1"/>
        <rFont val="Century Schoolbook"/>
        <family val="1"/>
      </rPr>
      <t>1.-</t>
    </r>
    <r>
      <rPr>
        <sz val="10"/>
        <color theme="1"/>
        <rFont val="Arial Narrow"/>
        <family val="2"/>
      </rPr>
      <t xml:space="preserve"> REPORTE ESTRUCTURACIÓN DE LOS COMITÉ Y SUBCOMITÉ PARITARIO.</t>
    </r>
  </si>
  <si>
    <r>
      <rPr>
        <b/>
        <sz val="9"/>
        <color theme="1"/>
        <rFont val="Century Schoolbook"/>
        <family val="1"/>
      </rPr>
      <t>1.-</t>
    </r>
    <r>
      <rPr>
        <sz val="10"/>
        <color theme="1"/>
        <rFont val="Arial Narrow"/>
        <family val="2"/>
      </rPr>
      <t xml:space="preserve"> REPORTE DE RESULTADOS DE EJECUCIÓN DEL PROCESO AUDITORIA EN SEGURIDAD, SALUD Y RIESGO DEL TRABAJO.</t>
    </r>
  </si>
  <si>
    <r>
      <rPr>
        <b/>
        <sz val="9"/>
        <color theme="1"/>
        <rFont val="Century Schoolbook"/>
        <family val="1"/>
      </rPr>
      <t>1.-</t>
    </r>
    <r>
      <rPr>
        <sz val="10"/>
        <color theme="1"/>
        <rFont val="Arial Narrow"/>
        <family val="2"/>
      </rPr>
      <t xml:space="preserve"> INFORME DE LA EJECUCIÓN DE LOS PROGRAMAS DE SEGURIDAD Y SALUD OCUPACIONAL.</t>
    </r>
  </si>
  <si>
    <r>
      <rPr>
        <b/>
        <sz val="9"/>
        <color theme="1"/>
        <rFont val="Century Schoolbook"/>
        <family val="1"/>
      </rPr>
      <t>1.-</t>
    </r>
    <r>
      <rPr>
        <sz val="10"/>
        <color theme="1"/>
        <rFont val="Arial Narrow"/>
        <family val="2"/>
      </rPr>
      <t xml:space="preserve"> INFORME DE SOCIALIZACIÓN Y ENTREGA DEL REGLAMENTO DE HIGIENE Y SEGURIDAD.</t>
    </r>
  </si>
  <si>
    <r>
      <rPr>
        <b/>
        <sz val="9"/>
        <color rgb="FF000000"/>
        <rFont val="Century Schoolbook"/>
        <family val="1"/>
      </rPr>
      <t>1.-</t>
    </r>
    <r>
      <rPr>
        <sz val="10"/>
        <color rgb="FF000000"/>
        <rFont val="Arial Narrow"/>
        <family val="2"/>
      </rPr>
      <t xml:space="preserve"> ELABORACIÓN DEL POA </t>
    </r>
    <r>
      <rPr>
        <sz val="10"/>
        <color rgb="FF000000"/>
        <rFont val="Century Schoolbook"/>
        <family val="1"/>
      </rPr>
      <t>2024.</t>
    </r>
    <r>
      <rPr>
        <sz val="10"/>
        <color rgb="FF000000"/>
        <rFont val="Arial Narrow"/>
        <family val="2"/>
      </rPr>
      <t xml:space="preserve">
</t>
    </r>
    <r>
      <rPr>
        <b/>
        <sz val="9"/>
        <color rgb="FF000000"/>
        <rFont val="Century Schoolbook"/>
        <family val="1"/>
      </rPr>
      <t>2.-</t>
    </r>
    <r>
      <rPr>
        <sz val="10"/>
        <color rgb="FF000000"/>
        <rFont val="Arial Narrow"/>
        <family val="2"/>
      </rPr>
      <t xml:space="preserve"> EVALUACION ANUAL DEL POA </t>
    </r>
    <r>
      <rPr>
        <sz val="10"/>
        <color rgb="FF000000"/>
        <rFont val="Century Schoolbook"/>
        <family val="1"/>
      </rPr>
      <t>2023.</t>
    </r>
  </si>
  <si>
    <r>
      <rPr>
        <b/>
        <sz val="9"/>
        <color rgb="FF000000"/>
        <rFont val="Century Schoolbook"/>
        <family val="1"/>
      </rPr>
      <t>1.-</t>
    </r>
    <r>
      <rPr>
        <sz val="10"/>
        <color rgb="FF000000"/>
        <rFont val="Arial Narrow"/>
        <family val="2"/>
      </rPr>
      <t xml:space="preserve"> INVENTARIO DOCUMENTAL.</t>
    </r>
  </si>
  <si>
    <r>
      <rPr>
        <b/>
        <sz val="9"/>
        <color rgb="FF000000"/>
        <rFont val="Century Schoolbook"/>
        <family val="1"/>
      </rPr>
      <t>1.-</t>
    </r>
    <r>
      <rPr>
        <sz val="10"/>
        <color rgb="FF000000"/>
        <rFont val="Arial Narrow"/>
        <family val="2"/>
      </rPr>
      <t xml:space="preserve"> ORGANIZAR EL ARCHIVO DOCUMENTAL DE LA USSRT.</t>
    </r>
  </si>
  <si>
    <r>
      <rPr>
        <b/>
        <sz val="9"/>
        <color rgb="FF000000"/>
        <rFont val="Century Schoolbook"/>
        <family val="1"/>
      </rPr>
      <t>1.-</t>
    </r>
    <r>
      <rPr>
        <sz val="10"/>
        <color rgb="FF000000"/>
        <rFont val="Arial Narrow"/>
        <family val="2"/>
      </rPr>
      <t xml:space="preserve"> ELABORAR POA </t>
    </r>
    <r>
      <rPr>
        <sz val="10"/>
        <color rgb="FF000000"/>
        <rFont val="Century Schoolbook"/>
        <family val="1"/>
      </rPr>
      <t>2024.</t>
    </r>
    <r>
      <rPr>
        <sz val="10"/>
        <color rgb="FF000000"/>
        <rFont val="Arial Narrow"/>
        <family val="2"/>
      </rPr>
      <t xml:space="preserve">
</t>
    </r>
    <r>
      <rPr>
        <b/>
        <sz val="9"/>
        <color rgb="FF000000"/>
        <rFont val="Century Schoolbook"/>
        <family val="1"/>
      </rPr>
      <t>2.-</t>
    </r>
    <r>
      <rPr>
        <sz val="10"/>
        <color rgb="FF000000"/>
        <rFont val="Arial Narrow"/>
        <family val="2"/>
      </rPr>
      <t xml:space="preserve"> ELABORAR Y ENTREGAR LA EVALUACIÓN DEL POA </t>
    </r>
    <r>
      <rPr>
        <sz val="10"/>
        <color rgb="FF000000"/>
        <rFont val="Century Schoolbook"/>
        <family val="1"/>
      </rPr>
      <t>2023.</t>
    </r>
  </si>
  <si>
    <r>
      <rPr>
        <b/>
        <sz val="9"/>
        <color theme="1"/>
        <rFont val="Century Schoolbook"/>
        <family val="1"/>
      </rPr>
      <t>1.-</t>
    </r>
    <r>
      <rPr>
        <sz val="10"/>
        <color theme="1"/>
        <rFont val="Arial Narrow"/>
        <family val="2"/>
      </rPr>
      <t xml:space="preserve"> SOCIALIZACIÓN DEL REGLAMENTO DE HIGIENE Y SEGURIDAD.
</t>
    </r>
    <r>
      <rPr>
        <b/>
        <sz val="9"/>
        <color theme="1"/>
        <rFont val="Century Schoolbook"/>
        <family val="1"/>
      </rPr>
      <t>2.-</t>
    </r>
    <r>
      <rPr>
        <sz val="10"/>
        <color theme="1"/>
        <rFont val="Arial Narrow"/>
        <family val="2"/>
      </rPr>
      <t xml:space="preserve"> ENTREGA DEL REGLAMENTO DE HIGIENE Y SEGURIDAD.</t>
    </r>
  </si>
  <si>
    <r>
      <rPr>
        <b/>
        <sz val="9"/>
        <color theme="1"/>
        <rFont val="Century Schoolbook"/>
        <family val="1"/>
      </rPr>
      <t>1.-</t>
    </r>
    <r>
      <rPr>
        <sz val="10"/>
        <color theme="1"/>
        <rFont val="Arial Narrow"/>
        <family val="2"/>
      </rPr>
      <t xml:space="preserve"> EJECUCIÓN DE LOS PROGRAMAS DE SEGURIDAD Y SALUD OCUPACIONAL.</t>
    </r>
  </si>
  <si>
    <r>
      <rPr>
        <b/>
        <sz val="9"/>
        <color theme="1"/>
        <rFont val="Century Schoolbook"/>
        <family val="1"/>
      </rPr>
      <t>1.-</t>
    </r>
    <r>
      <rPr>
        <sz val="10"/>
        <color theme="1"/>
        <rFont val="Arial Narrow"/>
        <family val="2"/>
      </rPr>
      <t xml:space="preserve"> ELABORAR INFORME DE AUDITORIA DOCUMENTAL.</t>
    </r>
  </si>
  <si>
    <r>
      <rPr>
        <b/>
        <sz val="9"/>
        <color theme="1"/>
        <rFont val="Century Schoolbook"/>
        <family val="1"/>
      </rPr>
      <t>1.-</t>
    </r>
    <r>
      <rPr>
        <sz val="10"/>
        <color theme="1"/>
        <rFont val="Arial Narrow"/>
        <family val="2"/>
      </rPr>
      <t xml:space="preserve"> PROGRAMAR LA CONFORMACIÓN DEL COMITÉ Y LOS SUBCOMITÉS PARITARIOS.
</t>
    </r>
    <r>
      <rPr>
        <b/>
        <sz val="9"/>
        <color theme="1"/>
        <rFont val="Century Schoolbook"/>
        <family val="1"/>
      </rPr>
      <t>2.-</t>
    </r>
    <r>
      <rPr>
        <sz val="10"/>
        <color theme="1"/>
        <rFont val="Arial Narrow"/>
        <family val="2"/>
      </rPr>
      <t xml:space="preserve"> ELABORAR LAS ACTAS ESTRUCTURACIÓN DEL COMITÉ Y LOS SUBCOMITÉS.</t>
    </r>
  </si>
  <si>
    <r>
      <rPr>
        <b/>
        <sz val="9"/>
        <color theme="1"/>
        <rFont val="Century Schoolbook"/>
        <family val="1"/>
      </rPr>
      <t>1.-</t>
    </r>
    <r>
      <rPr>
        <sz val="10"/>
        <color theme="1"/>
        <rFont val="Arial Narrow"/>
        <family val="2"/>
      </rPr>
      <t xml:space="preserve"> EJECUTAR ASESORAMIENTO TÉCNICO EN RIESGOS LABORALES.</t>
    </r>
  </si>
  <si>
    <r>
      <rPr>
        <b/>
        <sz val="9"/>
        <color theme="1"/>
        <rFont val="Century Schoolbook"/>
        <family val="1"/>
      </rPr>
      <t>1.-</t>
    </r>
    <r>
      <rPr>
        <sz val="10"/>
        <color theme="1"/>
        <rFont val="Arial Narrow"/>
        <family val="2"/>
      </rPr>
      <t xml:space="preserve"> PROGRAMAR E INFORMAR SEGUIMIENTO DE ACCIDENTABILIDAD Y AUSENTISMO.</t>
    </r>
  </si>
  <si>
    <r>
      <rPr>
        <b/>
        <sz val="9"/>
        <color theme="1"/>
        <rFont val="Century Schoolbook"/>
        <family val="1"/>
      </rPr>
      <t>1.-</t>
    </r>
    <r>
      <rPr>
        <sz val="10"/>
        <color theme="1"/>
        <rFont val="Arial Narrow"/>
        <family val="2"/>
      </rPr>
      <t xml:space="preserve"> IDENTIFICAR LAS ENFERMEDADES PROFESIONALES Y ACCIDENTES LABORALES.</t>
    </r>
  </si>
  <si>
    <r>
      <rPr>
        <b/>
        <sz val="9"/>
        <color theme="1"/>
        <rFont val="Century Schoolbook"/>
        <family val="1"/>
      </rPr>
      <t>1.-</t>
    </r>
    <r>
      <rPr>
        <sz val="10"/>
        <color theme="1"/>
        <rFont val="Arial Narrow"/>
        <family val="2"/>
      </rPr>
      <t xml:space="preserve"> PROGRAMAR Y EJECUTAR CAPACITACIONES EN PREVENCIÓN DE RIESGOS LABORALES.</t>
    </r>
  </si>
  <si>
    <r>
      <rPr>
        <b/>
        <sz val="9"/>
        <color theme="1"/>
        <rFont val="Century Schoolbook"/>
        <family val="1"/>
      </rPr>
      <t>1.-</t>
    </r>
    <r>
      <rPr>
        <sz val="10"/>
        <color theme="1"/>
        <rFont val="Arial Narrow"/>
        <family val="2"/>
      </rPr>
      <t xml:space="preserve"> ELABORAR FICHAS MÉDICAS A SERVIDORES.
</t>
    </r>
    <r>
      <rPr>
        <b/>
        <sz val="9"/>
        <color theme="1"/>
        <rFont val="Century Schoolbook"/>
        <family val="1"/>
      </rPr>
      <t>2.-</t>
    </r>
    <r>
      <rPr>
        <sz val="10"/>
        <color theme="1"/>
        <rFont val="Arial Narrow"/>
        <family val="2"/>
      </rPr>
      <t xml:space="preserve"> PROGRAMAR ATENCIÓN MÉDICA A SERVIDORES.</t>
    </r>
  </si>
  <si>
    <r>
      <rPr>
        <b/>
        <sz val="9"/>
        <color theme="1"/>
        <rFont val="Century Schoolbook"/>
        <family val="1"/>
      </rPr>
      <t>1.-</t>
    </r>
    <r>
      <rPr>
        <sz val="10"/>
        <color theme="1"/>
        <rFont val="Arial Narrow"/>
        <family val="2"/>
      </rPr>
      <t xml:space="preserve"> IDENTIFICAR RIESGOS EN LOS PUESTOS DE TRABAJO.
</t>
    </r>
    <r>
      <rPr>
        <b/>
        <sz val="9"/>
        <color theme="1"/>
        <rFont val="Century Schoolbook"/>
        <family val="1"/>
      </rPr>
      <t>2.-</t>
    </r>
    <r>
      <rPr>
        <sz val="10"/>
        <color theme="1"/>
        <rFont val="Arial Narrow"/>
        <family val="2"/>
      </rPr>
      <t xml:space="preserve"> EVALUAR LOS RIESGOS EN LOS PUESTOS DE TRABAJO.</t>
    </r>
  </si>
  <si>
    <r>
      <rPr>
        <b/>
        <sz val="9"/>
        <color theme="1"/>
        <rFont val="Century Schoolbook"/>
        <family val="1"/>
      </rPr>
      <t>1.-</t>
    </r>
    <r>
      <rPr>
        <sz val="10"/>
        <color theme="1"/>
        <rFont val="Arial Narrow"/>
        <family val="2"/>
      </rPr>
      <t xml:space="preserve"> Revisar y clasificar la documentación a ser archivada.
</t>
    </r>
    <r>
      <rPr>
        <b/>
        <sz val="9"/>
        <color theme="1"/>
        <rFont val="Century Schoolbook"/>
        <family val="1"/>
      </rPr>
      <t>2.-</t>
    </r>
    <r>
      <rPr>
        <sz val="10"/>
        <color theme="1"/>
        <rFont val="Arial Narrow"/>
        <family val="2"/>
      </rPr>
      <t xml:space="preserve"> Describir la documentación según la norma ISAD-G.
</t>
    </r>
    <r>
      <rPr>
        <b/>
        <sz val="9"/>
        <color theme="1"/>
        <rFont val="Century Schoolbook"/>
        <family val="1"/>
      </rPr>
      <t>3.-</t>
    </r>
    <r>
      <rPr>
        <sz val="10"/>
        <color theme="1"/>
        <rFont val="Arial Narrow"/>
        <family val="2"/>
      </rPr>
      <t xml:space="preserve"> Preservar la documentación en la UGO.</t>
    </r>
  </si>
  <si>
    <r>
      <rPr>
        <b/>
        <sz val="9"/>
        <color theme="1"/>
        <rFont val="Century Schoolbook"/>
        <family val="1"/>
      </rPr>
      <t>1.-</t>
    </r>
    <r>
      <rPr>
        <sz val="10"/>
        <color theme="1"/>
        <rFont val="Arial Narrow"/>
        <family val="2"/>
      </rPr>
      <t xml:space="preserve"> Consolidar los requerimientos de la Unidad.
</t>
    </r>
    <r>
      <rPr>
        <b/>
        <sz val="9"/>
        <color theme="1"/>
        <rFont val="Century Schoolbook"/>
        <family val="1"/>
      </rPr>
      <t>2.-</t>
    </r>
    <r>
      <rPr>
        <sz val="10"/>
        <color theme="1"/>
        <rFont val="Arial Narrow"/>
        <family val="2"/>
      </rPr>
      <t xml:space="preserve"> Elaborar el POA.
</t>
    </r>
    <r>
      <rPr>
        <b/>
        <sz val="9"/>
        <color theme="1"/>
        <rFont val="Century Schoolbook"/>
        <family val="1"/>
      </rPr>
      <t>3.-</t>
    </r>
    <r>
      <rPr>
        <sz val="10"/>
        <color theme="1"/>
        <rFont val="Arial Narrow"/>
        <family val="2"/>
      </rPr>
      <t xml:space="preserve"> Realizar la evaluación del POA.
</t>
    </r>
    <r>
      <rPr>
        <b/>
        <sz val="9"/>
        <color theme="1"/>
        <rFont val="Century Schoolbook"/>
        <family val="1"/>
      </rPr>
      <t>4.-</t>
    </r>
    <r>
      <rPr>
        <sz val="10"/>
        <color theme="1"/>
        <rFont val="Arial Narrow"/>
        <family val="2"/>
      </rPr>
      <t xml:space="preserve"> Cargar evidencias del cumplimiento de las metas operativas en la carpeta de la Unidad de Gestión Organizacional en el google drive.
</t>
    </r>
    <r>
      <rPr>
        <b/>
        <sz val="9"/>
        <color theme="1"/>
        <rFont val="Century Schoolbook"/>
        <family val="1"/>
      </rPr>
      <t>5.-</t>
    </r>
    <r>
      <rPr>
        <sz val="10"/>
        <color theme="1"/>
        <rFont val="Arial Narrow"/>
        <family val="2"/>
      </rPr>
      <t xml:space="preserve"> Realizar la entrega de la planificación y evaluación del POA.</t>
    </r>
  </si>
  <si>
    <r>
      <rPr>
        <b/>
        <sz val="9"/>
        <color theme="1"/>
        <rFont val="Century Schoolbook"/>
        <family val="1"/>
      </rPr>
      <t>1.-</t>
    </r>
    <r>
      <rPr>
        <sz val="10"/>
        <color theme="1"/>
        <rFont val="Arial Narrow"/>
        <family val="2"/>
      </rPr>
      <t xml:space="preserve"> Levantar información solicitada por los organismos externos y cumplir con la entrega de la misma.
</t>
    </r>
    <r>
      <rPr>
        <b/>
        <sz val="9"/>
        <color theme="1"/>
        <rFont val="Century Schoolbook"/>
        <family val="1"/>
      </rPr>
      <t>2.-</t>
    </r>
    <r>
      <rPr>
        <sz val="10"/>
        <color theme="1"/>
        <rFont val="Arial Narrow"/>
        <family val="2"/>
      </rPr>
      <t xml:space="preserve"> Solicitar y recopilar información sobre el Talento Humano de la Unidades correspondientes y elaborar la Encuesta mensual solicita por el  MDT.
</t>
    </r>
    <r>
      <rPr>
        <b/>
        <sz val="9"/>
        <color theme="1"/>
        <rFont val="Century Schoolbook"/>
        <family val="1"/>
      </rPr>
      <t>3.-</t>
    </r>
    <r>
      <rPr>
        <sz val="10"/>
        <color theme="1"/>
        <rFont val="Arial Narrow"/>
        <family val="2"/>
      </rPr>
      <t xml:space="preserve"> Ingresar información de Talento Humano en el SIITH del MDT, respecto a puestos en Administración de Catálogo de Puestos, Estructura Organizacional,  Asignación de puestos en el Organigrama de de posición.</t>
    </r>
  </si>
  <si>
    <r>
      <rPr>
        <b/>
        <sz val="9"/>
        <color theme="1"/>
        <rFont val="Century Schoolbook"/>
        <family val="1"/>
      </rPr>
      <t>1.-</t>
    </r>
    <r>
      <rPr>
        <sz val="10"/>
        <color theme="1"/>
        <rFont val="Arial Narrow"/>
        <family val="2"/>
      </rPr>
      <t xml:space="preserve"> Revisar la Información de Ingresos, Egresos, Movimientos de Personal y Estructura Organizacional de la IES.
</t>
    </r>
    <r>
      <rPr>
        <b/>
        <sz val="9"/>
        <color theme="1"/>
        <rFont val="Century Schoolbook"/>
        <family val="1"/>
      </rPr>
      <t>2.-</t>
    </r>
    <r>
      <rPr>
        <sz val="10"/>
        <color theme="1"/>
        <rFont val="Arial Narrow"/>
        <family val="2"/>
      </rPr>
      <t xml:space="preserve"> Elaborar la matriz del Distributivo de Personal del literal b </t>
    </r>
    <r>
      <rPr>
        <sz val="10"/>
        <color theme="1"/>
        <rFont val="Century Schoolbook"/>
        <family val="1"/>
      </rPr>
      <t>2</t>
    </r>
    <r>
      <rPr>
        <sz val="10"/>
        <color theme="1"/>
        <rFont val="Arial Narrow"/>
        <family val="2"/>
      </rPr>
      <t xml:space="preserve">) Art. </t>
    </r>
    <r>
      <rPr>
        <sz val="10"/>
        <color theme="1"/>
        <rFont val="Century Schoolbook"/>
        <family val="1"/>
      </rPr>
      <t>7</t>
    </r>
    <r>
      <rPr>
        <sz val="10"/>
        <color theme="1"/>
        <rFont val="Arial Narrow"/>
        <family val="2"/>
      </rPr>
      <t xml:space="preserve"> de la LOTAIP.
</t>
    </r>
    <r>
      <rPr>
        <sz val="10"/>
        <color theme="1"/>
        <rFont val="Century Schoolbook"/>
        <family val="1"/>
      </rPr>
      <t>3.-</t>
    </r>
    <r>
      <rPr>
        <sz val="10"/>
        <color theme="1"/>
        <rFont val="Arial Narrow"/>
        <family val="2"/>
      </rPr>
      <t xml:space="preserve"> Elaborar la matriz Estructura Orgánica, del literal a </t>
    </r>
    <r>
      <rPr>
        <sz val="10"/>
        <color theme="1"/>
        <rFont val="Century Schoolbook"/>
        <family val="1"/>
      </rPr>
      <t>1</t>
    </r>
    <r>
      <rPr>
        <sz val="10"/>
        <color theme="1"/>
        <rFont val="Arial Narrow"/>
        <family val="2"/>
      </rPr>
      <t>) Art.</t>
    </r>
    <r>
      <rPr>
        <sz val="10"/>
        <color theme="1"/>
        <rFont val="Century Schoolbook"/>
        <family val="1"/>
      </rPr>
      <t xml:space="preserve"> 7</t>
    </r>
    <r>
      <rPr>
        <sz val="10"/>
        <color theme="1"/>
        <rFont val="Arial Narrow"/>
        <family val="2"/>
      </rPr>
      <t xml:space="preserve"> de la LOTAIP.</t>
    </r>
  </si>
  <si>
    <r>
      <rPr>
        <b/>
        <sz val="9"/>
        <color theme="1"/>
        <rFont val="Century Schoolbook"/>
        <family val="1"/>
      </rPr>
      <t>1.-</t>
    </r>
    <r>
      <rPr>
        <sz val="10"/>
        <color theme="1"/>
        <rFont val="Arial Narrow"/>
        <family val="2"/>
      </rPr>
      <t xml:space="preserve"> Verificar, descargar y suscribir las quejas y/o denuncias realizadas por los usuarios.
</t>
    </r>
    <r>
      <rPr>
        <b/>
        <sz val="9"/>
        <color theme="1"/>
        <rFont val="Century Schoolbook"/>
        <family val="1"/>
      </rPr>
      <t>2.-</t>
    </r>
    <r>
      <rPr>
        <sz val="10"/>
        <color theme="1"/>
        <rFont val="Arial Narrow"/>
        <family val="2"/>
      </rPr>
      <t xml:space="preserve"> Elaborar oficio para suscripción de la Dirección de T. H., direccionando la queja y/o denuncia a la Unidad que corresponda.
</t>
    </r>
    <r>
      <rPr>
        <b/>
        <sz val="9"/>
        <color theme="1"/>
        <rFont val="Century Schoolbook"/>
        <family val="1"/>
      </rPr>
      <t>3.-</t>
    </r>
    <r>
      <rPr>
        <sz val="10"/>
        <color theme="1"/>
        <rFont val="Arial Narrow"/>
        <family val="2"/>
      </rPr>
      <t xml:space="preserve"> Registrar en el Buzón de Quejas en opción atendidas el número de oficio y a quien se dirigió la queja.
</t>
    </r>
    <r>
      <rPr>
        <b/>
        <sz val="9"/>
        <color theme="1"/>
        <rFont val="Century Schoolbook"/>
        <family val="1"/>
      </rPr>
      <t>4.-</t>
    </r>
    <r>
      <rPr>
        <sz val="10"/>
        <color theme="1"/>
        <rFont val="Arial Narrow"/>
        <family val="2"/>
      </rPr>
      <t xml:space="preserve"> Receptar y registrar la solución de las quejas ejecutadas por la Facultades y Unidades Administrativas a las que se les direccionó las mismas.</t>
    </r>
  </si>
  <si>
    <r>
      <rPr>
        <b/>
        <sz val="9"/>
        <color theme="1"/>
        <rFont val="Century Schoolbook"/>
        <family val="1"/>
      </rPr>
      <t>1.-</t>
    </r>
    <r>
      <rPr>
        <sz val="10"/>
        <color theme="1"/>
        <rFont val="Arial Narrow"/>
        <family val="2"/>
      </rPr>
      <t xml:space="preserve"> Analizar el resultado de las Brechas de la planificación de talento humano.
</t>
    </r>
    <r>
      <rPr>
        <b/>
        <sz val="9"/>
        <color theme="1"/>
        <rFont val="Century Schoolbook"/>
        <family val="1"/>
      </rPr>
      <t>2.-</t>
    </r>
    <r>
      <rPr>
        <sz val="10"/>
        <color theme="1"/>
        <rFont val="Arial Narrow"/>
        <family val="2"/>
      </rPr>
      <t xml:space="preserve"> Efectuar el cálculo aleatorio para realizar el Plan de Auditoría.
</t>
    </r>
    <r>
      <rPr>
        <b/>
        <sz val="9"/>
        <color theme="1"/>
        <rFont val="Century Schoolbook"/>
        <family val="1"/>
      </rPr>
      <t>3.-</t>
    </r>
    <r>
      <rPr>
        <sz val="10"/>
        <color theme="1"/>
        <rFont val="Arial Narrow"/>
        <family val="2"/>
      </rPr>
      <t xml:space="preserve"> Elaborar el Plan de Auditoría.
</t>
    </r>
    <r>
      <rPr>
        <b/>
        <sz val="9"/>
        <color theme="1"/>
        <rFont val="Century Schoolbook"/>
        <family val="1"/>
      </rPr>
      <t>4.-</t>
    </r>
    <r>
      <rPr>
        <sz val="10"/>
        <color theme="1"/>
        <rFont val="Arial Narrow"/>
        <family val="2"/>
      </rPr>
      <t xml:space="preserve"> Solicitar a la Dirección de Talento Humano se gestione la aprobación del Plan.</t>
    </r>
  </si>
  <si>
    <r>
      <rPr>
        <b/>
        <sz val="9"/>
        <color theme="1"/>
        <rFont val="Century Schoolbook"/>
        <family val="1"/>
      </rPr>
      <t>1.-</t>
    </r>
    <r>
      <rPr>
        <sz val="10"/>
        <color theme="1"/>
        <rFont val="Arial Narrow"/>
        <family val="2"/>
      </rPr>
      <t xml:space="preserve"> Solicitar autorización para el inicio del proceso de planificación de talento humano.
</t>
    </r>
    <r>
      <rPr>
        <b/>
        <sz val="9"/>
        <color theme="1"/>
        <rFont val="Century Schoolbook"/>
        <family val="1"/>
      </rPr>
      <t>2.-</t>
    </r>
    <r>
      <rPr>
        <sz val="10"/>
        <color theme="1"/>
        <rFont val="Arial Narrow"/>
        <family val="2"/>
      </rPr>
      <t xml:space="preserve"> Absolver consultas y asesorar a los responsables de unidad o proceso sobre el registro de información en las Plantillas antes mencionadas.
</t>
    </r>
    <r>
      <rPr>
        <b/>
        <sz val="9"/>
        <color theme="1"/>
        <rFont val="Century Schoolbook"/>
        <family val="1"/>
      </rPr>
      <t>3.-</t>
    </r>
    <r>
      <rPr>
        <sz val="10"/>
        <color theme="1"/>
        <rFont val="Arial Narrow"/>
        <family val="2"/>
      </rPr>
      <t xml:space="preserve"> Receptar y Revisar las Plantillas de Talento Humano emitidas por las diferentes unidades.
</t>
    </r>
    <r>
      <rPr>
        <b/>
        <sz val="9"/>
        <color theme="1"/>
        <rFont val="Century Schoolbook"/>
        <family val="1"/>
      </rPr>
      <t>4.-</t>
    </r>
    <r>
      <rPr>
        <sz val="10"/>
        <color theme="1"/>
        <rFont val="Arial Narrow"/>
        <family val="2"/>
      </rPr>
      <t xml:space="preserve"> Consolidar el resultado de las Plantilla de T. H. a fin de elaborar la Planificación para el año siguiente.
</t>
    </r>
    <r>
      <rPr>
        <b/>
        <sz val="9"/>
        <color theme="1"/>
        <rFont val="Century Schoolbook"/>
        <family val="1"/>
      </rPr>
      <t>5.-</t>
    </r>
    <r>
      <rPr>
        <sz val="10"/>
        <color theme="1"/>
        <rFont val="Arial Narrow"/>
        <family val="2"/>
      </rPr>
      <t xml:space="preserve"> Elaborar el Informe y Plan de Optimización y Racionalización del Talento Humano.</t>
    </r>
  </si>
  <si>
    <r>
      <rPr>
        <b/>
        <sz val="9"/>
        <color theme="1"/>
        <rFont val="Century Schoolbook"/>
        <family val="1"/>
      </rPr>
      <t>1.-</t>
    </r>
    <r>
      <rPr>
        <sz val="10"/>
        <color theme="1"/>
        <rFont val="Arial Narrow"/>
        <family val="2"/>
      </rPr>
      <t xml:space="preserve"> Registrar los requerimientos sumillados por la Dirección de Talento Humano.
</t>
    </r>
    <r>
      <rPr>
        <b/>
        <sz val="9"/>
        <color theme="1"/>
        <rFont val="Century Schoolbook"/>
        <family val="1"/>
      </rPr>
      <t>2.-</t>
    </r>
    <r>
      <rPr>
        <sz val="10"/>
        <color theme="1"/>
        <rFont val="Arial Narrow"/>
        <family val="2"/>
      </rPr>
      <t xml:space="preserve"> Analizar la base legal, respecto de cada caso.
</t>
    </r>
    <r>
      <rPr>
        <b/>
        <sz val="9"/>
        <color theme="1"/>
        <rFont val="Century Schoolbook"/>
        <family val="1"/>
      </rPr>
      <t>3.-</t>
    </r>
    <r>
      <rPr>
        <sz val="10"/>
        <color theme="1"/>
        <rFont val="Arial Narrow"/>
        <family val="2"/>
      </rPr>
      <t xml:space="preserve"> Realizar el informe respectivo.</t>
    </r>
  </si>
  <si>
    <r>
      <rPr>
        <b/>
        <sz val="9"/>
        <color theme="1"/>
        <rFont val="Century Schoolbook"/>
        <family val="1"/>
      </rPr>
      <t>1.-</t>
    </r>
    <r>
      <rPr>
        <sz val="10"/>
        <color theme="1"/>
        <rFont val="Arial Narrow"/>
        <family val="2"/>
      </rPr>
      <t xml:space="preserve"> Revisar, analizar para actualizar la Estructura Orgánica y el Manual de Descripción, Clasificación, Valoración de Puestos y Escala Salarial.
</t>
    </r>
    <r>
      <rPr>
        <b/>
        <sz val="9"/>
        <color theme="1"/>
        <rFont val="Century Schoolbook"/>
        <family val="1"/>
      </rPr>
      <t>2.-</t>
    </r>
    <r>
      <rPr>
        <sz val="10"/>
        <color theme="1"/>
        <rFont val="Arial Narrow"/>
        <family val="2"/>
      </rPr>
      <t xml:space="preserve"> Levantar la información con las demás dependencias para el proceso de actualización del Manual de Descripción, Valoración y Clasificación de Puestos.
</t>
    </r>
    <r>
      <rPr>
        <b/>
        <sz val="9"/>
        <color theme="1"/>
        <rFont val="Century Schoolbook"/>
        <family val="1"/>
      </rPr>
      <t>3.-</t>
    </r>
    <r>
      <rPr>
        <sz val="10"/>
        <color theme="1"/>
        <rFont val="Arial Narrow"/>
        <family val="2"/>
      </rPr>
      <t xml:space="preserve"> Informe a Rectorado para aprobación del proceso.</t>
    </r>
  </si>
  <si>
    <r>
      <rPr>
        <b/>
        <sz val="9"/>
        <color theme="1"/>
        <rFont val="Century Schoolbook"/>
        <family val="1"/>
      </rPr>
      <t>1.-</t>
    </r>
    <r>
      <rPr>
        <sz val="10"/>
        <color theme="1"/>
        <rFont val="Arial Narrow"/>
        <family val="2"/>
      </rPr>
      <t xml:space="preserve"> Seleccionar la documentación para su depuración.
</t>
    </r>
    <r>
      <rPr>
        <b/>
        <sz val="9"/>
        <color theme="1"/>
        <rFont val="Century Schoolbook"/>
        <family val="1"/>
      </rPr>
      <t>2.-</t>
    </r>
    <r>
      <rPr>
        <sz val="10"/>
        <color theme="1"/>
        <rFont val="Arial Narrow"/>
        <family val="2"/>
      </rPr>
      <t xml:space="preserve"> Organizar las carpetas.
</t>
    </r>
    <r>
      <rPr>
        <b/>
        <sz val="9"/>
        <color theme="1"/>
        <rFont val="Century Schoolbook"/>
        <family val="1"/>
      </rPr>
      <t>3.-</t>
    </r>
    <r>
      <rPr>
        <sz val="10"/>
        <color theme="1"/>
        <rFont val="Arial Narrow"/>
        <family val="2"/>
      </rPr>
      <t xml:space="preserve"> Describir la documentación según la norma ISAD-G.
</t>
    </r>
    <r>
      <rPr>
        <b/>
        <sz val="9"/>
        <color theme="1"/>
        <rFont val="Century Schoolbook"/>
        <family val="1"/>
      </rPr>
      <t>4.-</t>
    </r>
    <r>
      <rPr>
        <sz val="10"/>
        <color theme="1"/>
        <rFont val="Arial Narrow"/>
        <family val="2"/>
      </rPr>
      <t xml:space="preserve"> Preservar la documentación en las unidades de almacena.</t>
    </r>
  </si>
  <si>
    <r>
      <rPr>
        <b/>
        <sz val="9"/>
        <color theme="1"/>
        <rFont val="Century Schoolbook"/>
        <family val="1"/>
      </rPr>
      <t>1.-</t>
    </r>
    <r>
      <rPr>
        <sz val="10"/>
        <color theme="1"/>
        <rFont val="Arial Narrow"/>
        <family val="2"/>
      </rPr>
      <t xml:space="preserve"> Elaborar el POA de acuerdo a las directrices emitidas.
</t>
    </r>
    <r>
      <rPr>
        <b/>
        <sz val="9"/>
        <color theme="1"/>
        <rFont val="Century Schoolbook"/>
        <family val="1"/>
      </rPr>
      <t>2.-</t>
    </r>
    <r>
      <rPr>
        <sz val="10"/>
        <color theme="1"/>
        <rFont val="Arial Narrow"/>
        <family val="2"/>
      </rPr>
      <t xml:space="preserve"> Efectuar la evaluación del POA.
</t>
    </r>
    <r>
      <rPr>
        <b/>
        <sz val="9"/>
        <color theme="1"/>
        <rFont val="Century Schoolbook"/>
        <family val="1"/>
      </rPr>
      <t>3.-</t>
    </r>
    <r>
      <rPr>
        <sz val="10"/>
        <color theme="1"/>
        <rFont val="Arial Narrow"/>
        <family val="2"/>
      </rPr>
      <t xml:space="preserve"> Preparar y cargar evidencias del POA en la carpeta asignada a la Unidad.</t>
    </r>
  </si>
  <si>
    <r>
      <rPr>
        <b/>
        <sz val="9"/>
        <color theme="1"/>
        <rFont val="Century Schoolbook"/>
        <family val="1"/>
      </rPr>
      <t>1.-</t>
    </r>
    <r>
      <rPr>
        <sz val="10"/>
        <color theme="1"/>
        <rFont val="Arial Narrow"/>
        <family val="2"/>
      </rPr>
      <t xml:space="preserve"> Obtener y revisar la información solicitada por organismos externos.
</t>
    </r>
    <r>
      <rPr>
        <b/>
        <sz val="9"/>
        <color theme="1"/>
        <rFont val="Century Schoolbook"/>
        <family val="1"/>
      </rPr>
      <t>2.-</t>
    </r>
    <r>
      <rPr>
        <sz val="10"/>
        <color theme="1"/>
        <rFont val="Arial Narrow"/>
        <family val="2"/>
      </rPr>
      <t xml:space="preserve"> Elaborar la matriz o reportes según los requerimientos de organismos externos.
</t>
    </r>
    <r>
      <rPr>
        <b/>
        <sz val="9"/>
        <color theme="1"/>
        <rFont val="Century Schoolbook"/>
        <family val="1"/>
      </rPr>
      <t>3.-</t>
    </r>
    <r>
      <rPr>
        <sz val="10"/>
        <color theme="1"/>
        <rFont val="Arial Narrow"/>
        <family val="2"/>
      </rPr>
      <t xml:space="preserve"> Revisar la información de ingresos y salida del personal.
</t>
    </r>
    <r>
      <rPr>
        <b/>
        <sz val="9"/>
        <color theme="1"/>
        <rFont val="Century Schoolbook"/>
        <family val="1"/>
      </rPr>
      <t>4.-</t>
    </r>
    <r>
      <rPr>
        <sz val="10"/>
        <color theme="1"/>
        <rFont val="Arial Narrow"/>
        <family val="2"/>
      </rPr>
      <t xml:space="preserve"> Elaborar la matriz del literal b)</t>
    </r>
    <r>
      <rPr>
        <sz val="10"/>
        <color theme="1"/>
        <rFont val="Century Schoolbook"/>
        <family val="1"/>
      </rPr>
      <t>1</t>
    </r>
    <r>
      <rPr>
        <sz val="10"/>
        <color theme="1"/>
        <rFont val="Arial Narrow"/>
        <family val="2"/>
      </rPr>
      <t xml:space="preserve"> Directorio de la Institución.</t>
    </r>
  </si>
  <si>
    <r>
      <rPr>
        <b/>
        <sz val="9"/>
        <color theme="1"/>
        <rFont val="Century Schoolbook"/>
        <family val="1"/>
      </rPr>
      <t>1.-</t>
    </r>
    <r>
      <rPr>
        <sz val="10"/>
        <color theme="1"/>
        <rFont val="Arial Narrow"/>
        <family val="2"/>
      </rPr>
      <t xml:space="preserve"> Revisar expedientes y/o la información registrada en el Módulo Capacitaciones del SIUTMACH.
</t>
    </r>
    <r>
      <rPr>
        <b/>
        <sz val="9"/>
        <color theme="1"/>
        <rFont val="Century Schoolbook"/>
        <family val="1"/>
      </rPr>
      <t>2.-</t>
    </r>
    <r>
      <rPr>
        <sz val="10"/>
        <color theme="1"/>
        <rFont val="Arial Narrow"/>
        <family val="2"/>
      </rPr>
      <t xml:space="preserve"> Ingresar la información de capacitación de los servidores en el SIITH - módulo de capacitación.
</t>
    </r>
    <r>
      <rPr>
        <b/>
        <sz val="9"/>
        <color theme="1"/>
        <rFont val="Century Schoolbook"/>
        <family val="1"/>
      </rPr>
      <t>3.-</t>
    </r>
    <r>
      <rPr>
        <sz val="10"/>
        <color theme="1"/>
        <rFont val="Arial Narrow"/>
        <family val="2"/>
      </rPr>
      <t xml:space="preserve"> Realizar reportes de capacitaciones registradas en la plataforma.</t>
    </r>
  </si>
  <si>
    <r>
      <rPr>
        <b/>
        <sz val="9"/>
        <color theme="1"/>
        <rFont val="Century Schoolbook"/>
        <family val="1"/>
      </rPr>
      <t>1.-</t>
    </r>
    <r>
      <rPr>
        <sz val="10"/>
        <color theme="1"/>
        <rFont val="Arial Narrow"/>
        <family val="2"/>
      </rPr>
      <t xml:space="preserve"> Efectuar el análisis de la normativa interna y externa.
</t>
    </r>
    <r>
      <rPr>
        <b/>
        <sz val="9"/>
        <color theme="1"/>
        <rFont val="Century Schoolbook"/>
        <family val="1"/>
      </rPr>
      <t>2.-</t>
    </r>
    <r>
      <rPr>
        <sz val="10"/>
        <color theme="1"/>
        <rFont val="Arial Narrow"/>
        <family val="2"/>
      </rPr>
      <t xml:space="preserve"> Realizar la revisión de expedientes de los servidores.
</t>
    </r>
    <r>
      <rPr>
        <b/>
        <sz val="9"/>
        <color theme="1"/>
        <rFont val="Century Schoolbook"/>
        <family val="1"/>
      </rPr>
      <t>3.-</t>
    </r>
    <r>
      <rPr>
        <sz val="10"/>
        <color theme="1"/>
        <rFont val="Arial Narrow"/>
        <family val="2"/>
      </rPr>
      <t xml:space="preserve"> Efectuar los informes técnicos según los requerimientos.
</t>
    </r>
    <r>
      <rPr>
        <b/>
        <sz val="9"/>
        <color theme="1"/>
        <rFont val="Century Schoolbook"/>
        <family val="1"/>
      </rPr>
      <t>4.-</t>
    </r>
    <r>
      <rPr>
        <sz val="10"/>
        <color theme="1"/>
        <rFont val="Arial Narrow"/>
        <family val="2"/>
      </rPr>
      <t xml:space="preserve"> Elaborar reporte consolidado de informes técnicos emitidos.</t>
    </r>
  </si>
  <si>
    <r>
      <rPr>
        <b/>
        <sz val="9"/>
        <color theme="1"/>
        <rFont val="Century Schoolbook"/>
        <family val="1"/>
      </rPr>
      <t>1.-</t>
    </r>
    <r>
      <rPr>
        <sz val="10"/>
        <color theme="1"/>
        <rFont val="Arial Narrow"/>
        <family val="2"/>
      </rPr>
      <t xml:space="preserve"> Revisar en el SIITH el proceso de asignación de Responsabilidades, de ser necesario habilitar los formularios de metas y de asignación de responsabilidades.
</t>
    </r>
    <r>
      <rPr>
        <b/>
        <sz val="9"/>
        <color theme="1"/>
        <rFont val="Century Schoolbook"/>
        <family val="1"/>
      </rPr>
      <t>2.-</t>
    </r>
    <r>
      <rPr>
        <sz val="10"/>
        <color theme="1"/>
        <rFont val="Arial Narrow"/>
        <family val="2"/>
      </rPr>
      <t xml:space="preserve"> Coordinar la evaluación de Niveles de Eficiencia.
</t>
    </r>
    <r>
      <rPr>
        <b/>
        <sz val="9"/>
        <color theme="1"/>
        <rFont val="Century Schoolbook"/>
        <family val="1"/>
      </rPr>
      <t>3.-</t>
    </r>
    <r>
      <rPr>
        <sz val="10"/>
        <color theme="1"/>
        <rFont val="Arial Narrow"/>
        <family val="2"/>
      </rPr>
      <t xml:space="preserve"> Coordinar la evaluación de los Niveles de Satisfacción de Usuarios externos, así como la evaluación de los Niveles de Satisfacción de Usuarios Internos.
</t>
    </r>
    <r>
      <rPr>
        <b/>
        <sz val="9"/>
        <color theme="1"/>
        <rFont val="Century Schoolbook"/>
        <family val="1"/>
      </rPr>
      <t>4.-</t>
    </r>
    <r>
      <rPr>
        <sz val="10"/>
        <color theme="1"/>
        <rFont val="Arial Narrow"/>
        <family val="2"/>
      </rPr>
      <t xml:space="preserve"> Coordinar la evaluación a los servidores del Nivel Jerárquico Superior.
</t>
    </r>
    <r>
      <rPr>
        <b/>
        <sz val="9"/>
        <color theme="1"/>
        <rFont val="Century Schoolbook"/>
        <family val="1"/>
      </rPr>
      <t>5.-</t>
    </r>
    <r>
      <rPr>
        <sz val="10"/>
        <color theme="1"/>
        <rFont val="Arial Narrow"/>
        <family val="2"/>
      </rPr>
      <t xml:space="preserve"> Elaborar el Informe Anual del Plan de Evaluación del Desempeño.</t>
    </r>
  </si>
  <si>
    <r>
      <rPr>
        <b/>
        <sz val="9"/>
        <color theme="1"/>
        <rFont val="Century Schoolbook"/>
        <family val="1"/>
      </rPr>
      <t>1.-</t>
    </r>
    <r>
      <rPr>
        <sz val="10"/>
        <color theme="1"/>
        <rFont val="Arial Narrow"/>
        <family val="2"/>
      </rPr>
      <t xml:space="preserve"> Realizar el ingreso del cronograma en el SIITH.
</t>
    </r>
    <r>
      <rPr>
        <b/>
        <sz val="9"/>
        <color theme="1"/>
        <rFont val="Century Schoolbook"/>
        <family val="1"/>
      </rPr>
      <t>2.-</t>
    </r>
    <r>
      <rPr>
        <sz val="10"/>
        <color theme="1"/>
        <rFont val="Arial Narrow"/>
        <family val="2"/>
      </rPr>
      <t xml:space="preserve"> Elaborar la propuesta del Plan Anual de Evaluación del Desempeño.
</t>
    </r>
    <r>
      <rPr>
        <b/>
        <sz val="9"/>
        <color theme="1"/>
        <rFont val="Century Schoolbook"/>
        <family val="1"/>
      </rPr>
      <t>3.-</t>
    </r>
    <r>
      <rPr>
        <sz val="10"/>
        <color theme="1"/>
        <rFont val="Arial Narrow"/>
        <family val="2"/>
      </rPr>
      <t xml:space="preserve"> Coordinar la socialización del proceso de evaluación, ingreso de Metas por Unidad.
</t>
    </r>
    <r>
      <rPr>
        <b/>
        <sz val="9"/>
        <color theme="1"/>
        <rFont val="Century Schoolbook"/>
        <family val="1"/>
      </rPr>
      <t>4.-</t>
    </r>
    <r>
      <rPr>
        <sz val="10"/>
        <color theme="1"/>
        <rFont val="Arial Narrow"/>
        <family val="2"/>
      </rPr>
      <t xml:space="preserve"> Coordinar el proceso de asignación de responsabilidades en el SIITH.</t>
    </r>
  </si>
  <si>
    <r>
      <rPr>
        <b/>
        <sz val="9"/>
        <color theme="1"/>
        <rFont val="Century Schoolbook"/>
        <family val="1"/>
      </rPr>
      <t>1.-</t>
    </r>
    <r>
      <rPr>
        <sz val="10"/>
        <color theme="1"/>
        <rFont val="Arial Narrow"/>
        <family val="2"/>
      </rPr>
      <t xml:space="preserve"> Realizar el seguimiento a los justificativos presentados por los servidores.
</t>
    </r>
    <r>
      <rPr>
        <b/>
        <sz val="9"/>
        <color theme="1"/>
        <rFont val="Century Schoolbook"/>
        <family val="1"/>
      </rPr>
      <t>2.-</t>
    </r>
    <r>
      <rPr>
        <sz val="10"/>
        <color theme="1"/>
        <rFont val="Arial Narrow"/>
        <family val="2"/>
      </rPr>
      <t xml:space="preserve"> Elaborar Informe de ejecución del Plan Anual de Apoyo Institucional.</t>
    </r>
  </si>
  <si>
    <r>
      <rPr>
        <b/>
        <sz val="9"/>
        <color theme="1"/>
        <rFont val="Century Schoolbook"/>
        <family val="1"/>
      </rPr>
      <t>1.-</t>
    </r>
    <r>
      <rPr>
        <sz val="10"/>
        <color theme="1"/>
        <rFont val="Arial Narrow"/>
        <family val="2"/>
      </rPr>
      <t xml:space="preserve"> Coordinar con la Directora de Talento Humano, el envío de circulares a servidores sobre plan.
</t>
    </r>
    <r>
      <rPr>
        <b/>
        <sz val="9"/>
        <color theme="1"/>
        <rFont val="Century Schoolbook"/>
        <family val="1"/>
      </rPr>
      <t>2.-</t>
    </r>
    <r>
      <rPr>
        <sz val="10"/>
        <color theme="1"/>
        <rFont val="Arial Narrow"/>
        <family val="2"/>
      </rPr>
      <t xml:space="preserve"> Elaborar la propuesta del Plan Anual de apoyo institucional tipo A, previo análisis de la documentación por parte de la Comisión.</t>
    </r>
  </si>
  <si>
    <r>
      <rPr>
        <b/>
        <sz val="9"/>
        <color theme="1"/>
        <rFont val="Century Schoolbook"/>
        <family val="1"/>
      </rPr>
      <t>1.-</t>
    </r>
    <r>
      <rPr>
        <sz val="10"/>
        <color theme="1"/>
        <rFont val="Arial Narrow"/>
        <family val="2"/>
      </rPr>
      <t xml:space="preserve"> Preparar la logística de los eventos.
</t>
    </r>
    <r>
      <rPr>
        <b/>
        <sz val="9"/>
        <color theme="1"/>
        <rFont val="Century Schoolbook"/>
        <family val="1"/>
      </rPr>
      <t>2.-</t>
    </r>
    <r>
      <rPr>
        <sz val="10"/>
        <color theme="1"/>
        <rFont val="Arial Narrow"/>
        <family val="2"/>
      </rPr>
      <t xml:space="preserve"> Notificar a los servidores designados a los eventos de capacitación.
</t>
    </r>
    <r>
      <rPr>
        <b/>
        <sz val="9"/>
        <color theme="1"/>
        <rFont val="Century Schoolbook"/>
        <family val="1"/>
      </rPr>
      <t>3.-</t>
    </r>
    <r>
      <rPr>
        <sz val="10"/>
        <color theme="1"/>
        <rFont val="Arial Narrow"/>
        <family val="2"/>
      </rPr>
      <t xml:space="preserve"> Evaluar los  Eventos de capacitación.
</t>
    </r>
    <r>
      <rPr>
        <b/>
        <sz val="9"/>
        <color theme="1"/>
        <rFont val="Century Schoolbook"/>
        <family val="1"/>
      </rPr>
      <t>4.-</t>
    </r>
    <r>
      <rPr>
        <sz val="10"/>
        <color theme="1"/>
        <rFont val="Arial Narrow"/>
        <family val="2"/>
      </rPr>
      <t xml:space="preserve"> Realizar informes de ejecución de los eventos de capacitación.
</t>
    </r>
    <r>
      <rPr>
        <b/>
        <sz val="9"/>
        <color theme="1"/>
        <rFont val="Century Schoolbook"/>
        <family val="1"/>
      </rPr>
      <t>5.-</t>
    </r>
    <r>
      <rPr>
        <sz val="10"/>
        <color theme="1"/>
        <rFont val="Arial Narrow"/>
        <family val="2"/>
      </rPr>
      <t xml:space="preserve"> Efectuar informes de impacto de capacitación.</t>
    </r>
  </si>
  <si>
    <r>
      <rPr>
        <b/>
        <sz val="9"/>
        <color theme="1"/>
        <rFont val="Century Schoolbook"/>
        <family val="1"/>
      </rPr>
      <t>1.-</t>
    </r>
    <r>
      <rPr>
        <sz val="10"/>
        <color theme="1"/>
        <rFont val="Arial Narrow"/>
        <family val="2"/>
      </rPr>
      <t xml:space="preserve"> Coordinar la elaboración y envío de los formularios para la detección de las necesidades de capacitación.
</t>
    </r>
    <r>
      <rPr>
        <b/>
        <sz val="9"/>
        <color theme="1"/>
        <rFont val="Century Schoolbook"/>
        <family val="1"/>
      </rPr>
      <t>2.-</t>
    </r>
    <r>
      <rPr>
        <sz val="10"/>
        <color theme="1"/>
        <rFont val="Arial Narrow"/>
        <family val="2"/>
      </rPr>
      <t xml:space="preserve"> Elaborar el reporte de necesidades de capacitación.
</t>
    </r>
    <r>
      <rPr>
        <b/>
        <sz val="9"/>
        <color theme="1"/>
        <rFont val="Century Schoolbook"/>
        <family val="1"/>
      </rPr>
      <t>3.-</t>
    </r>
    <r>
      <rPr>
        <sz val="10"/>
        <color theme="1"/>
        <rFont val="Arial Narrow"/>
        <family val="2"/>
      </rPr>
      <t xml:space="preserve"> Elaborar la propuesta del Plan Anual de Capacitación del personal administrativo y trabajadores.</t>
    </r>
  </si>
  <si>
    <r>
      <rPr>
        <b/>
        <sz val="9"/>
        <color theme="1"/>
        <rFont val="Century Schoolbook"/>
        <family val="1"/>
      </rPr>
      <t>1.-</t>
    </r>
    <r>
      <rPr>
        <sz val="10"/>
        <color theme="1"/>
        <rFont val="Arial Narrow"/>
        <family val="2"/>
      </rPr>
      <t xml:space="preserve"> Seleccionar la documentación para su depuración.
</t>
    </r>
    <r>
      <rPr>
        <b/>
        <sz val="9"/>
        <color theme="1"/>
        <rFont val="Century Schoolbook"/>
        <family val="1"/>
      </rPr>
      <t>2.-</t>
    </r>
    <r>
      <rPr>
        <sz val="10"/>
        <color theme="1"/>
        <rFont val="Arial Narrow"/>
        <family val="2"/>
      </rPr>
      <t xml:space="preserve"> Organizar las carpetas.
</t>
    </r>
    <r>
      <rPr>
        <b/>
        <sz val="9"/>
        <color theme="1"/>
        <rFont val="Century Schoolbook"/>
        <family val="1"/>
      </rPr>
      <t>3.-</t>
    </r>
    <r>
      <rPr>
        <sz val="10"/>
        <color theme="1"/>
        <rFont val="Arial Narrow"/>
        <family val="2"/>
      </rPr>
      <t xml:space="preserve"> Describir la documentación según la norma ISAD-G.
</t>
    </r>
    <r>
      <rPr>
        <b/>
        <sz val="9"/>
        <color theme="1"/>
        <rFont val="Century Schoolbook"/>
        <family val="1"/>
      </rPr>
      <t>4.-</t>
    </r>
    <r>
      <rPr>
        <sz val="10"/>
        <color theme="1"/>
        <rFont val="Arial Narrow"/>
        <family val="2"/>
      </rPr>
      <t xml:space="preserve"> Preservar la documentación en las unidades de almacenamiento.</t>
    </r>
  </si>
  <si>
    <r>
      <rPr>
        <b/>
        <sz val="9"/>
        <color theme="1"/>
        <rFont val="Century Schoolbook"/>
        <family val="1"/>
      </rPr>
      <t>1.-</t>
    </r>
    <r>
      <rPr>
        <sz val="10"/>
        <color theme="1"/>
        <rFont val="Arial Narrow"/>
        <family val="2"/>
      </rPr>
      <t xml:space="preserve"> Detectar necesidades.
</t>
    </r>
    <r>
      <rPr>
        <b/>
        <sz val="9"/>
        <color theme="1"/>
        <rFont val="Century Schoolbook"/>
        <family val="1"/>
      </rPr>
      <t>2.-</t>
    </r>
    <r>
      <rPr>
        <sz val="10"/>
        <color theme="1"/>
        <rFont val="Arial Narrow"/>
        <family val="2"/>
      </rPr>
      <t xml:space="preserve"> Elaborar el POA.
</t>
    </r>
    <r>
      <rPr>
        <b/>
        <sz val="9"/>
        <color theme="1"/>
        <rFont val="Century Schoolbook"/>
        <family val="1"/>
      </rPr>
      <t>3.-</t>
    </r>
    <r>
      <rPr>
        <sz val="10"/>
        <color theme="1"/>
        <rFont val="Arial Narrow"/>
        <family val="2"/>
      </rPr>
      <t xml:space="preserve"> Elaborar evaluación semestral del POA.
</t>
    </r>
    <r>
      <rPr>
        <b/>
        <sz val="9"/>
        <color theme="1"/>
        <rFont val="Century Schoolbook"/>
        <family val="1"/>
      </rPr>
      <t>4.-</t>
    </r>
    <r>
      <rPr>
        <sz val="10"/>
        <color theme="1"/>
        <rFont val="Arial Narrow"/>
        <family val="2"/>
      </rPr>
      <t xml:space="preserve"> Cargar evidencias de cumplimiento de las metas operativas en la carpeta google drive.
</t>
    </r>
    <r>
      <rPr>
        <b/>
        <sz val="9"/>
        <color theme="1"/>
        <rFont val="Century Schoolbook"/>
        <family val="1"/>
      </rPr>
      <t>5.-</t>
    </r>
    <r>
      <rPr>
        <sz val="10"/>
        <color theme="1"/>
        <rFont val="Arial Narrow"/>
        <family val="2"/>
      </rPr>
      <t xml:space="preserve"> Realizar la entrega de la planificación y evaluaciones semestrales del POA.</t>
    </r>
  </si>
  <si>
    <r>
      <rPr>
        <sz val="10"/>
        <color theme="1"/>
        <rFont val="Century Schoolbook"/>
        <family val="1"/>
      </rPr>
      <t>1</t>
    </r>
    <r>
      <rPr>
        <sz val="10"/>
        <color theme="1"/>
        <rFont val="Arial Narrow"/>
        <family val="2"/>
      </rPr>
      <t xml:space="preserve">) PARTICIPACIÓN EN PROCESO para ingreso de información al PAC bajo la Dirección de Talento Humano.
</t>
    </r>
    <r>
      <rPr>
        <sz val="10"/>
        <color theme="1"/>
        <rFont val="Century Schoolbook"/>
        <family val="1"/>
      </rPr>
      <t>2</t>
    </r>
    <r>
      <rPr>
        <sz val="10"/>
        <color theme="1"/>
        <rFont val="Arial Narrow"/>
        <family val="2"/>
      </rPr>
      <t xml:space="preserve">) PROCESO SISTEMA INFORMÁTICO EXTERNO/ SIITH MDT EN ÁREA DE COMPETENCIA
</t>
    </r>
    <r>
      <rPr>
        <b/>
        <sz val="9"/>
        <color theme="1"/>
        <rFont val="Century Schoolbook"/>
        <family val="1"/>
      </rPr>
      <t>1.-</t>
    </r>
    <r>
      <rPr>
        <sz val="10"/>
        <color theme="1"/>
        <rFont val="Arial Narrow"/>
        <family val="2"/>
      </rPr>
      <t xml:space="preserve"> Ingresar datos personales, familiares e instrucción formal de los servidores en la plataforma del MDT.
</t>
    </r>
    <r>
      <rPr>
        <b/>
        <sz val="9"/>
        <color theme="1"/>
        <rFont val="Century Schoolbook"/>
        <family val="1"/>
      </rPr>
      <t>2.-</t>
    </r>
    <r>
      <rPr>
        <sz val="10"/>
        <color theme="1"/>
        <rFont val="Arial Narrow"/>
        <family val="2"/>
      </rPr>
      <t xml:space="preserve"> Vincular y actualizar a los servidores, a la institución en caso de existir en el sistema en la plataforma del MDT.
</t>
    </r>
    <r>
      <rPr>
        <b/>
        <sz val="9"/>
        <color theme="1"/>
        <rFont val="Century Schoolbook"/>
        <family val="1"/>
      </rPr>
      <t>3.-</t>
    </r>
    <r>
      <rPr>
        <sz val="10"/>
        <color theme="1"/>
        <rFont val="Arial Narrow"/>
        <family val="2"/>
      </rPr>
      <t xml:space="preserve"> Desvincular servidores por movimientos de renuncias, jubilaciones, visto bueno en la plataforma del MDT.
</t>
    </r>
    <r>
      <rPr>
        <b/>
        <sz val="9"/>
        <color theme="1"/>
        <rFont val="Century Schoolbook"/>
        <family val="1"/>
      </rPr>
      <t>4.-</t>
    </r>
    <r>
      <rPr>
        <sz val="10"/>
        <color theme="1"/>
        <rFont val="Arial Narrow"/>
        <family val="2"/>
      </rPr>
      <t xml:space="preserve"> Enlace de puestos.
</t>
    </r>
    <r>
      <rPr>
        <b/>
        <sz val="9"/>
        <color theme="1"/>
        <rFont val="Century Schoolbook"/>
        <family val="1"/>
      </rPr>
      <t>5.-</t>
    </r>
    <r>
      <rPr>
        <sz val="10"/>
        <color theme="1"/>
        <rFont val="Arial Narrow"/>
        <family val="2"/>
      </rPr>
      <t xml:space="preserve"> Otras Matrices que soliciten Organismos Externos en Área de Competencias.</t>
    </r>
  </si>
  <si>
    <r>
      <rPr>
        <sz val="10"/>
        <color theme="1"/>
        <rFont val="Century Schoolbook"/>
        <family val="1"/>
      </rPr>
      <t>1</t>
    </r>
    <r>
      <rPr>
        <sz val="10"/>
        <color theme="1"/>
        <rFont val="Arial Narrow"/>
        <family val="2"/>
      </rPr>
      <t xml:space="preserve">) PROCESO INFORMES TÉCNICOS DE ANTECEDENTES SOLICITADOS (NO LEGALES) RELACIONADOS CON PERMISOS, LICENCIAS, COMISIONES DE SERVICIOS, VACACIONES
</t>
    </r>
    <r>
      <rPr>
        <b/>
        <sz val="9"/>
        <color theme="1"/>
        <rFont val="Century Schoolbook"/>
        <family val="1"/>
      </rPr>
      <t>1.-</t>
    </r>
    <r>
      <rPr>
        <sz val="10"/>
        <color theme="1"/>
        <rFont val="Arial Narrow"/>
        <family val="2"/>
      </rPr>
      <t xml:space="preserve"> Receptar la petición cuando lo requiera desde la Dirección TH.
</t>
    </r>
    <r>
      <rPr>
        <b/>
        <sz val="9"/>
        <color theme="1"/>
        <rFont val="Century Schoolbook"/>
        <family val="1"/>
      </rPr>
      <t>2.-</t>
    </r>
    <r>
      <rPr>
        <sz val="10"/>
        <color theme="1"/>
        <rFont val="Arial Narrow"/>
        <family val="2"/>
      </rPr>
      <t xml:space="preserve"> Análisis de los Antecedentes.
</t>
    </r>
    <r>
      <rPr>
        <b/>
        <sz val="9"/>
        <color theme="1"/>
        <rFont val="Century Schoolbook"/>
        <family val="1"/>
      </rPr>
      <t>3.-</t>
    </r>
    <r>
      <rPr>
        <sz val="10"/>
        <color theme="1"/>
        <rFont val="Arial Narrow"/>
        <family val="2"/>
      </rPr>
      <t xml:space="preserve"> Elaborar informe Técnico de Antecedentes solicitado desde la Dirección.
</t>
    </r>
    <r>
      <rPr>
        <sz val="10"/>
        <color theme="1"/>
        <rFont val="Century Schoolbook"/>
        <family val="1"/>
      </rPr>
      <t>2</t>
    </r>
    <r>
      <rPr>
        <sz val="10"/>
        <color theme="1"/>
        <rFont val="Arial Narrow"/>
        <family val="2"/>
      </rPr>
      <t xml:space="preserve">) PROCESO ACCIONES DE PERSONAL
</t>
    </r>
    <r>
      <rPr>
        <b/>
        <sz val="9"/>
        <color theme="1"/>
        <rFont val="Century Schoolbook"/>
        <family val="1"/>
      </rPr>
      <t>1.-</t>
    </r>
    <r>
      <rPr>
        <sz val="10"/>
        <color theme="1"/>
        <rFont val="Arial Narrow"/>
        <family val="2"/>
      </rPr>
      <t xml:space="preserve"> Receptar la autorización para elaborar la acción de personal.canalizada desde la Dirección.
</t>
    </r>
    <r>
      <rPr>
        <b/>
        <sz val="9"/>
        <color theme="1"/>
        <rFont val="Century Schoolbook"/>
        <family val="1"/>
      </rPr>
      <t>2.-</t>
    </r>
    <r>
      <rPr>
        <sz val="10"/>
        <color theme="1"/>
        <rFont val="Arial Narrow"/>
        <family val="2"/>
      </rPr>
      <t xml:space="preserve"> Elaborar acción de personal.</t>
    </r>
  </si>
  <si>
    <r>
      <t xml:space="preserve">PROCESO SANCIONES 
</t>
    </r>
    <r>
      <rPr>
        <b/>
        <sz val="9"/>
        <color theme="1"/>
        <rFont val="Century Schoolbook"/>
        <family val="1"/>
      </rPr>
      <t>1.-</t>
    </r>
    <r>
      <rPr>
        <sz val="10"/>
        <color theme="1"/>
        <rFont val="Arial Narrow"/>
        <family val="2"/>
      </rPr>
      <t xml:space="preserve"> Receptar de la documentación sustento de la ejecución de la sanción de personal canalizada desde la Dirección.
</t>
    </r>
    <r>
      <rPr>
        <b/>
        <sz val="9"/>
        <color theme="1"/>
        <rFont val="Century Schoolbook"/>
        <family val="1"/>
      </rPr>
      <t>2.-</t>
    </r>
    <r>
      <rPr>
        <sz val="10"/>
        <color theme="1"/>
        <rFont val="Arial Narrow"/>
        <family val="2"/>
      </rPr>
      <t xml:space="preserve"> Solicitar a la Secretaría General informe si la sanción ha sido ejecutoriada.
</t>
    </r>
    <r>
      <rPr>
        <b/>
        <sz val="9"/>
        <color theme="1"/>
        <rFont val="Century Schoolbook"/>
        <family val="1"/>
      </rPr>
      <t>3.-</t>
    </r>
    <r>
      <rPr>
        <sz val="10"/>
        <color theme="1"/>
        <rFont val="Arial Narrow"/>
        <family val="2"/>
      </rPr>
      <t xml:space="preserve"> Consolidar la información con respuesta de lo antes solicitado.
</t>
    </r>
    <r>
      <rPr>
        <b/>
        <sz val="9"/>
        <color theme="1"/>
        <rFont val="Century Schoolbook"/>
        <family val="1"/>
      </rPr>
      <t>4.-</t>
    </r>
    <r>
      <rPr>
        <sz val="10"/>
        <color theme="1"/>
        <rFont val="Arial Narrow"/>
        <family val="2"/>
      </rPr>
      <t xml:space="preserve"> En caso recibir respuesta de Secretaría General que si ha sido ejecutoriada la sanción impuesta.
</t>
    </r>
    <r>
      <rPr>
        <b/>
        <sz val="9"/>
        <color theme="1"/>
        <rFont val="Century Schoolbook"/>
        <family val="1"/>
      </rPr>
      <t>5.-</t>
    </r>
    <r>
      <rPr>
        <sz val="10"/>
        <color theme="1"/>
        <rFont val="Arial Narrow"/>
        <family val="2"/>
      </rPr>
      <t xml:space="preserve"> Elaborar la acción de personal por sanción y registro.
</t>
    </r>
    <r>
      <rPr>
        <b/>
        <sz val="9"/>
        <color theme="1"/>
        <rFont val="Century Schoolbook"/>
        <family val="1"/>
      </rPr>
      <t>6.-</t>
    </r>
    <r>
      <rPr>
        <sz val="10"/>
        <color theme="1"/>
        <rFont val="Arial Narrow"/>
        <family val="2"/>
      </rPr>
      <t xml:space="preserve"> Alimentar la Matriz de Sanciones UTMACH.
</t>
    </r>
    <r>
      <rPr>
        <b/>
        <sz val="9"/>
        <color theme="1"/>
        <rFont val="Century Schoolbook"/>
        <family val="1"/>
      </rPr>
      <t>7.-</t>
    </r>
    <r>
      <rPr>
        <sz val="10"/>
        <color theme="1"/>
        <rFont val="Arial Narrow"/>
        <family val="2"/>
      </rPr>
      <t xml:space="preserve"> Registrar en el Sistema Biométrico para control de la sanción vs asistencia del personal.</t>
    </r>
  </si>
  <si>
    <r>
      <t xml:space="preserve">PROCESO PLAN DE DESVINCULACIÓN 
</t>
    </r>
    <r>
      <rPr>
        <b/>
        <sz val="9"/>
        <color theme="1"/>
        <rFont val="Century Schoolbook"/>
        <family val="1"/>
      </rPr>
      <t>1.-</t>
    </r>
    <r>
      <rPr>
        <sz val="10"/>
        <color theme="1"/>
        <rFont val="Arial Narrow"/>
        <family val="2"/>
      </rPr>
      <t xml:space="preserve"> Consolidar los requisitos en aplicación al Proceso del Plan Institucional de Retiro Voluntario y Obligatorio con fines de Jubilación,  aprobado por instancias superiores.
</t>
    </r>
    <r>
      <rPr>
        <b/>
        <sz val="9"/>
        <color theme="1"/>
        <rFont val="Century Schoolbook"/>
        <family val="1"/>
      </rPr>
      <t>2.-</t>
    </r>
    <r>
      <rPr>
        <sz val="10"/>
        <color theme="1"/>
        <rFont val="Arial Narrow"/>
        <family val="2"/>
      </rPr>
      <t xml:space="preserve"> Realizar las actas de finiquito (CÓDIGO DE TRABAJO).
</t>
    </r>
    <r>
      <rPr>
        <b/>
        <sz val="9"/>
        <color theme="1"/>
        <rFont val="Century Schoolbook"/>
        <family val="1"/>
      </rPr>
      <t>3.-</t>
    </r>
    <r>
      <rPr>
        <sz val="10"/>
        <color theme="1"/>
        <rFont val="Arial Narrow"/>
        <family val="2"/>
      </rPr>
      <t xml:space="preserve"> Elaborar acciones de personal por desvinculación  de personal titular LOSEP Y LOES).
</t>
    </r>
    <r>
      <rPr>
        <b/>
        <sz val="9"/>
        <color theme="1"/>
        <rFont val="Century Schoolbook"/>
        <family val="1"/>
      </rPr>
      <t>4.-</t>
    </r>
    <r>
      <rPr>
        <sz val="10"/>
        <color theme="1"/>
        <rFont val="Arial Narrow"/>
        <family val="2"/>
      </rPr>
      <t xml:space="preserve"> Efectuar informes para pago de indemnización de tiempo de servicio en la UTMACH y otras instituciones del sector público de todos los regímenes.
</t>
    </r>
    <r>
      <rPr>
        <b/>
        <sz val="9"/>
        <color theme="1"/>
        <rFont val="Century Schoolbook"/>
        <family val="1"/>
      </rPr>
      <t>5.-</t>
    </r>
    <r>
      <rPr>
        <sz val="10"/>
        <color theme="1"/>
        <rFont val="Arial Narrow"/>
        <family val="2"/>
      </rPr>
      <t xml:space="preserve"> Elaborar informes del promedio de horas de docencia durante el tiempo de servicio en la UTMACH (LOES).
</t>
    </r>
    <r>
      <rPr>
        <b/>
        <sz val="9"/>
        <color theme="1"/>
        <rFont val="Century Schoolbook"/>
        <family val="1"/>
      </rPr>
      <t>6.-</t>
    </r>
    <r>
      <rPr>
        <sz val="10"/>
        <color theme="1"/>
        <rFont val="Arial Narrow"/>
        <family val="2"/>
      </rPr>
      <t xml:space="preserve"> Realizar informes para liquidación de vacaciones del personal titular que se desvincula definitivamente (CÓDIGO DE TRABAJO, LOSEP Y LOES).
</t>
    </r>
    <r>
      <rPr>
        <b/>
        <sz val="9"/>
        <color theme="1"/>
        <rFont val="Century Schoolbook"/>
        <family val="1"/>
      </rPr>
      <t>7.-</t>
    </r>
    <r>
      <rPr>
        <sz val="10"/>
        <color theme="1"/>
        <rFont val="Arial Narrow"/>
        <family val="2"/>
      </rPr>
      <t xml:space="preserve"> Elaborar informes para pago por desahucio (CÓDIGO DE TRABAJO).
</t>
    </r>
    <r>
      <rPr>
        <b/>
        <sz val="9"/>
        <color theme="1"/>
        <rFont val="Century Schoolbook"/>
        <family val="1"/>
      </rPr>
      <t>8.-</t>
    </r>
    <r>
      <rPr>
        <sz val="10"/>
        <color theme="1"/>
        <rFont val="Arial Narrow"/>
        <family val="2"/>
      </rPr>
      <t xml:space="preserve"> Elaborar avisos de salida al IESS del personal cesante.</t>
    </r>
  </si>
  <si>
    <r>
      <rPr>
        <sz val="10"/>
        <color theme="1"/>
        <rFont val="Century Schoolbook"/>
        <family val="1"/>
      </rPr>
      <t>1</t>
    </r>
    <r>
      <rPr>
        <sz val="10"/>
        <color theme="1"/>
        <rFont val="Arial Narrow"/>
        <family val="2"/>
      </rPr>
      <t xml:space="preserve">) PROCESO PLAN Y EJECUCIÓN ANUAL DE VACACIONES
</t>
    </r>
    <r>
      <rPr>
        <b/>
        <sz val="9"/>
        <color theme="1"/>
        <rFont val="Century Schoolbook"/>
        <family val="1"/>
      </rPr>
      <t>1.-</t>
    </r>
    <r>
      <rPr>
        <sz val="10"/>
        <color theme="1"/>
        <rFont val="Arial Narrow"/>
        <family val="2"/>
      </rPr>
      <t xml:space="preserve"> Elaborar Plan de Vacaciones, en consolidación con la información requerida a otras unidades.
</t>
    </r>
    <r>
      <rPr>
        <b/>
        <sz val="9"/>
        <color theme="1"/>
        <rFont val="Century Schoolbook"/>
        <family val="1"/>
      </rPr>
      <t>2.-</t>
    </r>
    <r>
      <rPr>
        <sz val="10"/>
        <color theme="1"/>
        <rFont val="Arial Narrow"/>
        <family val="2"/>
      </rPr>
      <t xml:space="preserve"> Aplicar el Plan mediante el control de marcaciones y/o consolidación de registros manuales de los servidores.
</t>
    </r>
    <r>
      <rPr>
        <b/>
        <sz val="9"/>
        <color theme="1"/>
        <rFont val="Century Schoolbook"/>
        <family val="1"/>
      </rPr>
      <t>3.-</t>
    </r>
    <r>
      <rPr>
        <sz val="10"/>
        <color theme="1"/>
        <rFont val="Arial Narrow"/>
        <family val="2"/>
      </rPr>
      <t xml:space="preserve"> Elaborar Acciones de personal por vacaciones, en los casos que se requiera, autorizadas por modificaciones fuera del calendario establecido, previo notificación desde la Dirección.
</t>
    </r>
    <r>
      <rPr>
        <b/>
        <sz val="9"/>
        <color theme="1"/>
        <rFont val="Century Schoolbook"/>
        <family val="1"/>
      </rPr>
      <t>4.-</t>
    </r>
    <r>
      <rPr>
        <sz val="10"/>
        <color theme="1"/>
        <rFont val="Arial Narrow"/>
        <family val="2"/>
      </rPr>
      <t xml:space="preserve"> Realizar Informes para Liquidación de vacaciones del personal NO TITULAR que se desvincula definitivamente de la UTMACH, en concordancia con las directrices del Ministerio de Finanzas.(CODIGO DE TRABAJO-LOSEP-LOES).</t>
    </r>
  </si>
  <si>
    <r>
      <rPr>
        <sz val="10"/>
        <color theme="1"/>
        <rFont val="Century Schoolbook"/>
        <family val="1"/>
      </rPr>
      <t>1</t>
    </r>
    <r>
      <rPr>
        <sz val="10"/>
        <color theme="1"/>
        <rFont val="Arial Narrow"/>
        <family val="2"/>
      </rPr>
      <t xml:space="preserve">) PROCESO EXPEDIENTES FÍSICO y DIGITAL ACTUALIZADOS
</t>
    </r>
    <r>
      <rPr>
        <b/>
        <sz val="9"/>
        <color theme="1"/>
        <rFont val="Century Schoolbook"/>
        <family val="1"/>
      </rPr>
      <t>1.-</t>
    </r>
    <r>
      <rPr>
        <sz val="10"/>
        <color theme="1"/>
        <rFont val="Arial Narrow"/>
        <family val="2"/>
      </rPr>
      <t xml:space="preserve"> Clasificar, Depurar, organizar y archivar la documentación en los expedientes del personal de la UTMACH.
</t>
    </r>
    <r>
      <rPr>
        <b/>
        <sz val="9"/>
        <color theme="1"/>
        <rFont val="Century Schoolbook"/>
        <family val="1"/>
      </rPr>
      <t>2.-</t>
    </r>
    <r>
      <rPr>
        <sz val="10"/>
        <color theme="1"/>
        <rFont val="Arial Narrow"/>
        <family val="2"/>
      </rPr>
      <t xml:space="preserve"> Elaborar Certificaciones laborales del personal requirente, con sustento al expediente.
</t>
    </r>
    <r>
      <rPr>
        <sz val="10"/>
        <color theme="1"/>
        <rFont val="Century Schoolbook"/>
        <family val="1"/>
      </rPr>
      <t>2</t>
    </r>
    <r>
      <rPr>
        <sz val="10"/>
        <color theme="1"/>
        <rFont val="Arial Narrow"/>
        <family val="2"/>
      </rPr>
      <t xml:space="preserve">) SISTEMA INFORMATICO INSTITUCIONAL SIUTMACH
</t>
    </r>
    <r>
      <rPr>
        <b/>
        <sz val="9"/>
        <color theme="1"/>
        <rFont val="Century Schoolbook"/>
        <family val="1"/>
      </rPr>
      <t>1.-</t>
    </r>
    <r>
      <rPr>
        <sz val="10"/>
        <color theme="1"/>
        <rFont val="Arial Narrow"/>
        <family val="2"/>
      </rPr>
      <t xml:space="preserve"> Crear y asignar del currículo de servidores nuevos y pasantes; activar e inactivar puestos, en el sistema SIUTMACH.
</t>
    </r>
    <r>
      <rPr>
        <b/>
        <sz val="9"/>
        <color theme="1"/>
        <rFont val="Century Schoolbook"/>
        <family val="1"/>
      </rPr>
      <t>2.-</t>
    </r>
    <r>
      <rPr>
        <sz val="10"/>
        <color theme="1"/>
        <rFont val="Arial Narrow"/>
        <family val="2"/>
      </rPr>
      <t xml:space="preserve"> Ingresar y actualizar datos personales, instrucción, formal, trayectoria laboral de los servidores en el sistema.</t>
    </r>
  </si>
  <si>
    <r>
      <t xml:space="preserve">PROCESO DE REGISTRO EN EL SISTEMA DE CONTRALORÍA LAS DECLARACIONES JURAMENTADAS
</t>
    </r>
    <r>
      <rPr>
        <b/>
        <sz val="9"/>
        <color theme="1"/>
        <rFont val="Century Schoolbook"/>
        <family val="1"/>
      </rPr>
      <t>1.-</t>
    </r>
    <r>
      <rPr>
        <sz val="10"/>
        <color theme="1"/>
        <rFont val="Arial Narrow"/>
        <family val="2"/>
      </rPr>
      <t xml:space="preserve"> Validar las declaraciones juramentadas de bienes en la Plataforma de la Contraloría General del Estado. Por inicio, fin de gestión y periódicas.
</t>
    </r>
    <r>
      <rPr>
        <b/>
        <sz val="9"/>
        <color theme="1"/>
        <rFont val="Century Schoolbook"/>
        <family val="1"/>
      </rPr>
      <t>2.-</t>
    </r>
    <r>
      <rPr>
        <sz val="10"/>
        <color theme="1"/>
        <rFont val="Arial Narrow"/>
        <family val="2"/>
      </rPr>
      <t xml:space="preserve"> Elaborar el Reporte mensual de declaraciones juramentadas de bienes en la plataforma de la CGE. Por inicio, fin de gestión y periódicas y carga del mismo.</t>
    </r>
  </si>
  <si>
    <r>
      <rPr>
        <sz val="10"/>
        <color theme="1"/>
        <rFont val="Century Schoolbook"/>
        <family val="1"/>
      </rPr>
      <t>1</t>
    </r>
    <r>
      <rPr>
        <sz val="10"/>
        <color theme="1"/>
        <rFont val="Arial Narrow"/>
        <family val="2"/>
      </rPr>
      <t xml:space="preserve">) PERSONAL DOCENTE - REGISTROS DE ASISTENCIA Y PERMANENCIA
</t>
    </r>
    <r>
      <rPr>
        <b/>
        <sz val="9"/>
        <color theme="1"/>
        <rFont val="Century Schoolbook"/>
        <family val="1"/>
      </rPr>
      <t>1.-</t>
    </r>
    <r>
      <rPr>
        <sz val="10"/>
        <color theme="1"/>
        <rFont val="Arial Narrow"/>
        <family val="2"/>
      </rPr>
      <t xml:space="preserve"> Receptar notificación de documentación sustento de justificaciones canalizadas desde la DirecciónTH.
</t>
    </r>
    <r>
      <rPr>
        <b/>
        <sz val="9"/>
        <color theme="1"/>
        <rFont val="Century Schoolbook"/>
        <family val="1"/>
      </rPr>
      <t>2.-</t>
    </r>
    <r>
      <rPr>
        <sz val="10"/>
        <color theme="1"/>
        <rFont val="Arial Narrow"/>
        <family val="2"/>
      </rPr>
      <t xml:space="preserve"> Ingresar horario de labores al sistema del reloj biométrico y descargar archivos de los relojes.
</t>
    </r>
    <r>
      <rPr>
        <b/>
        <sz val="9"/>
        <color theme="1"/>
        <rFont val="Century Schoolbook"/>
        <family val="1"/>
      </rPr>
      <t>3.-</t>
    </r>
    <r>
      <rPr>
        <sz val="10"/>
        <color theme="1"/>
        <rFont val="Arial Narrow"/>
        <family val="2"/>
      </rPr>
      <t xml:space="preserve"> Analizar y registrar  en el  sistema para obtener la generación del reporte de asistencia consolidado.
</t>
    </r>
    <r>
      <rPr>
        <b/>
        <sz val="9"/>
        <color theme="1"/>
        <rFont val="Century Schoolbook"/>
        <family val="1"/>
      </rPr>
      <t>4.-</t>
    </r>
    <r>
      <rPr>
        <sz val="10"/>
        <color theme="1"/>
        <rFont val="Arial Narrow"/>
        <family val="2"/>
      </rPr>
      <t xml:space="preserve"> Realizar el proceso de coactivas.
</t>
    </r>
    <r>
      <rPr>
        <b/>
        <sz val="9"/>
        <color theme="1"/>
        <rFont val="Century Schoolbook"/>
        <family val="1"/>
      </rPr>
      <t>5.-</t>
    </r>
    <r>
      <rPr>
        <sz val="10"/>
        <color theme="1"/>
        <rFont val="Arial Narrow"/>
        <family val="2"/>
      </rPr>
      <t xml:space="preserve"> Supervisar y/o monitorear la permanencia de personal, según requerimiento DUT y presentar informe de cumplimiento o novedades.
</t>
    </r>
    <r>
      <rPr>
        <sz val="10"/>
        <color theme="1"/>
        <rFont val="Century Schoolbook"/>
        <family val="1"/>
      </rPr>
      <t>2</t>
    </r>
    <r>
      <rPr>
        <sz val="10"/>
        <color theme="1"/>
        <rFont val="Arial Narrow"/>
        <family val="2"/>
      </rPr>
      <t xml:space="preserve">) PERSONAL NO DOCENTE - REGISTROS DE ASISTENCIA Y PERMANENCIA
</t>
    </r>
    <r>
      <rPr>
        <b/>
        <sz val="9"/>
        <color theme="1"/>
        <rFont val="Century Schoolbook"/>
        <family val="1"/>
      </rPr>
      <t>1.-</t>
    </r>
    <r>
      <rPr>
        <sz val="10"/>
        <color theme="1"/>
        <rFont val="Arial Narrow"/>
        <family val="2"/>
      </rPr>
      <t xml:space="preserve"> Receptar y registrar horarios y justificaciones  del Personal no docente, para consolidación de nóminas e información de informes para pago al personal no docente,  por diferentes rubros:  de: Alimentación y Transporte del Personal (Código de Trabajo); para pago de Horas Suplementarias y/o extraordinarias de personal autorizado (LOSEP y Código de Trabajo), previa autorización de la Autoridad competente; de Cargas Familiares (Código de Trabajo).
</t>
    </r>
    <r>
      <rPr>
        <b/>
        <sz val="9"/>
        <color theme="1"/>
        <rFont val="Century Schoolbook"/>
        <family val="1"/>
      </rPr>
      <t>2.-</t>
    </r>
    <r>
      <rPr>
        <sz val="10"/>
        <color theme="1"/>
        <rFont val="Arial Narrow"/>
        <family val="2"/>
      </rPr>
      <t xml:space="preserve"> Supervisar y/o monitorear el buen uso del uniforme institucional y/o la permanencia del personal, según requerimiento, previo disposición canalizada desde la Dirección.</t>
    </r>
  </si>
  <si>
    <r>
      <rPr>
        <b/>
        <sz val="9"/>
        <color theme="1"/>
        <rFont val="Century Schoolbook"/>
        <family val="1"/>
      </rPr>
      <t>1.-</t>
    </r>
    <r>
      <rPr>
        <sz val="10"/>
        <color theme="1"/>
        <rFont val="Arial Narrow"/>
        <family val="2"/>
      </rPr>
      <t xml:space="preserve"> Receptar de la documentación sustento para trámite de modificación canalizada desde la Dirección.
</t>
    </r>
    <r>
      <rPr>
        <b/>
        <sz val="9"/>
        <color theme="1"/>
        <rFont val="Century Schoolbook"/>
        <family val="1"/>
      </rPr>
      <t>2.-</t>
    </r>
    <r>
      <rPr>
        <sz val="10"/>
        <color theme="1"/>
        <rFont val="Arial Narrow"/>
        <family val="2"/>
      </rPr>
      <t xml:space="preserve"> Registrar el reajuste de la disponibilidad económica, en caso de requerirlo.
</t>
    </r>
    <r>
      <rPr>
        <b/>
        <sz val="9"/>
        <color theme="1"/>
        <rFont val="Century Schoolbook"/>
        <family val="1"/>
      </rPr>
      <t>3.-</t>
    </r>
    <r>
      <rPr>
        <sz val="10"/>
        <color theme="1"/>
        <rFont val="Arial Narrow"/>
        <family val="2"/>
      </rPr>
      <t xml:space="preserve"> Elaborar del nuevo contrato y/o acción. de ser el caso y registrarlo.
</t>
    </r>
    <r>
      <rPr>
        <b/>
        <sz val="9"/>
        <color theme="1"/>
        <rFont val="Century Schoolbook"/>
        <family val="1"/>
      </rPr>
      <t>4.-</t>
    </r>
    <r>
      <rPr>
        <sz val="10"/>
        <color theme="1"/>
        <rFont val="Arial Narrow"/>
        <family val="2"/>
      </rPr>
      <t xml:space="preserve"> Realizar los Avisos de entrada y/o salida al IESS según corresponda.</t>
    </r>
  </si>
  <si>
    <r>
      <rPr>
        <b/>
        <sz val="9"/>
        <color theme="1"/>
        <rFont val="Century Schoolbook"/>
        <family val="1"/>
      </rPr>
      <t>1.-</t>
    </r>
    <r>
      <rPr>
        <sz val="10"/>
        <color theme="1"/>
        <rFont val="Arial Narrow"/>
        <family val="2"/>
      </rPr>
      <t xml:space="preserve"> Receptar las notificaciones canalizadas desde la Dirección TH, coordinar y asignar al personal la elaboración de contratos o acciones de personal previo cumplimiento de requisitos notificados hasta la suscripción y firma de los servidores.
</t>
    </r>
    <r>
      <rPr>
        <b/>
        <sz val="9"/>
        <color theme="1"/>
        <rFont val="Century Schoolbook"/>
        <family val="1"/>
      </rPr>
      <t>2.-</t>
    </r>
    <r>
      <rPr>
        <sz val="10"/>
        <color theme="1"/>
        <rFont val="Arial Narrow"/>
        <family val="2"/>
      </rPr>
      <t xml:space="preserve"> Elaborar de avisos de entrada o salida al IESS,según reforma web de la UREM.
</t>
    </r>
    <r>
      <rPr>
        <b/>
        <sz val="9"/>
        <color theme="1"/>
        <rFont val="Century Schoolbook"/>
        <family val="1"/>
      </rPr>
      <t>3.-</t>
    </r>
    <r>
      <rPr>
        <sz val="10"/>
        <color theme="1"/>
        <rFont val="Arial Narrow"/>
        <family val="2"/>
      </rPr>
      <t xml:space="preserve"> Registrar las Actas de Declaratoria de Concursos de Méritos y Oposición canalizadas desde la DTH ante la Autoridad Nominadora.
</t>
    </r>
    <r>
      <rPr>
        <b/>
        <sz val="9"/>
        <color theme="1"/>
        <rFont val="Century Schoolbook"/>
        <family val="1"/>
      </rPr>
      <t>4.-</t>
    </r>
    <r>
      <rPr>
        <sz val="10"/>
        <color theme="1"/>
        <rFont val="Arial Narrow"/>
        <family val="2"/>
      </rPr>
      <t xml:space="preserve"> Elaborar el Proceso de Elaboración de Acciones de Persona.</t>
    </r>
  </si>
  <si>
    <r>
      <rPr>
        <b/>
        <sz val="9"/>
        <color theme="1"/>
        <rFont val="Century Schoolbook"/>
        <family val="1"/>
      </rPr>
      <t>1.-</t>
    </r>
    <r>
      <rPr>
        <sz val="10"/>
        <color theme="1"/>
        <rFont val="Arial Narrow"/>
        <family val="2"/>
      </rPr>
      <t xml:space="preserve"> Detectar necesidades.
</t>
    </r>
    <r>
      <rPr>
        <b/>
        <sz val="9"/>
        <color theme="1"/>
        <rFont val="Century Schoolbook"/>
        <family val="1"/>
      </rPr>
      <t>2.-</t>
    </r>
    <r>
      <rPr>
        <sz val="10"/>
        <color theme="1"/>
        <rFont val="Arial Narrow"/>
        <family val="2"/>
      </rPr>
      <t xml:space="preserve"> Elaborar el POA </t>
    </r>
    <r>
      <rPr>
        <sz val="10"/>
        <color theme="1"/>
        <rFont val="Century Schoolbook"/>
        <family val="1"/>
      </rPr>
      <t>2024.</t>
    </r>
    <r>
      <rPr>
        <sz val="10"/>
        <color theme="1"/>
        <rFont val="Arial Narrow"/>
        <family val="2"/>
      </rPr>
      <t xml:space="preserve">
</t>
    </r>
    <r>
      <rPr>
        <b/>
        <sz val="9"/>
        <color theme="1"/>
        <rFont val="Century Schoolbook"/>
        <family val="1"/>
      </rPr>
      <t>3.-</t>
    </r>
    <r>
      <rPr>
        <sz val="10"/>
        <color theme="1"/>
        <rFont val="Arial Narrow"/>
        <family val="2"/>
      </rPr>
      <t xml:space="preserve"> Elaborar la evaluación anual del POA </t>
    </r>
    <r>
      <rPr>
        <sz val="10"/>
        <color theme="1"/>
        <rFont val="Century Schoolbook"/>
        <family val="1"/>
      </rPr>
      <t>2023.</t>
    </r>
    <r>
      <rPr>
        <sz val="10"/>
        <color theme="1"/>
        <rFont val="Arial Narrow"/>
        <family val="2"/>
      </rPr>
      <t xml:space="preserve">
</t>
    </r>
    <r>
      <rPr>
        <b/>
        <sz val="9"/>
        <color theme="1"/>
        <rFont val="Century Schoolbook"/>
        <family val="1"/>
      </rPr>
      <t>4.-</t>
    </r>
    <r>
      <rPr>
        <sz val="10"/>
        <color theme="1"/>
        <rFont val="Arial Narrow"/>
        <family val="2"/>
      </rPr>
      <t xml:space="preserve"> Cargar evidencias del cumplimiento de las metas operativas en la carpeta de la Unidad de Desarrollo del Talento Humano en el google drive.
</t>
    </r>
    <r>
      <rPr>
        <b/>
        <sz val="9"/>
        <color theme="1"/>
        <rFont val="Century Schoolbook"/>
        <family val="1"/>
      </rPr>
      <t>5.-</t>
    </r>
    <r>
      <rPr>
        <sz val="10"/>
        <color theme="1"/>
        <rFont val="Arial Narrow"/>
        <family val="2"/>
      </rPr>
      <t xml:space="preserve"> Realizar la entrega de la planificación y evaluación del POA.</t>
    </r>
  </si>
  <si>
    <r>
      <rPr>
        <b/>
        <sz val="9"/>
        <color theme="1"/>
        <rFont val="Century Schoolbook"/>
        <family val="1"/>
      </rPr>
      <t>1.-</t>
    </r>
    <r>
      <rPr>
        <sz val="10"/>
        <color theme="1"/>
        <rFont val="Arial Narrow"/>
        <family val="2"/>
      </rPr>
      <t xml:space="preserve"> Revisar y analizar normativa externa aplicada al proceso de evaluación de los trabajores.
</t>
    </r>
    <r>
      <rPr>
        <b/>
        <sz val="9"/>
        <color theme="1"/>
        <rFont val="Century Schoolbook"/>
        <family val="1"/>
      </rPr>
      <t>2.-</t>
    </r>
    <r>
      <rPr>
        <sz val="10"/>
        <color theme="1"/>
        <rFont val="Arial Narrow"/>
        <family val="2"/>
      </rPr>
      <t xml:space="preserve"> Presentar ante la Autoridad Nominadora la propuesta del Diseño del Sistema de Evaluación de desempeño del personal sujeto al Código del Trabajo.</t>
    </r>
  </si>
  <si>
    <r>
      <rPr>
        <b/>
        <sz val="9"/>
        <color theme="1"/>
        <rFont val="Century Schoolbook"/>
        <family val="1"/>
      </rPr>
      <t>1.-</t>
    </r>
    <r>
      <rPr>
        <sz val="10"/>
        <color theme="1"/>
        <rFont val="Arial Narrow"/>
        <family val="2"/>
      </rPr>
      <t xml:space="preserve"> Disponer la aplicación de normativas en procesos del Talento Humano.
</t>
    </r>
    <r>
      <rPr>
        <b/>
        <sz val="9"/>
        <color theme="1"/>
        <rFont val="Century Schoolbook"/>
        <family val="1"/>
      </rPr>
      <t>2.-</t>
    </r>
    <r>
      <rPr>
        <sz val="10"/>
        <color theme="1"/>
        <rFont val="Arial Narrow"/>
        <family val="2"/>
      </rPr>
      <t xml:space="preserve"> Realizar el seguimiento de la implementación de las normativas.</t>
    </r>
  </si>
  <si>
    <r>
      <rPr>
        <b/>
        <sz val="9"/>
        <color theme="1"/>
        <rFont val="Century Schoolbook"/>
        <family val="1"/>
      </rPr>
      <t>1.-</t>
    </r>
    <r>
      <rPr>
        <sz val="10"/>
        <color theme="1"/>
        <rFont val="Arial Narrow"/>
        <family val="2"/>
      </rPr>
      <t xml:space="preserve"> Solicitar a la Autoridad Nominadora la autorización para legalización del movimiento de personal según la necesidad institucional.
</t>
    </r>
    <r>
      <rPr>
        <b/>
        <sz val="9"/>
        <color theme="1"/>
        <rFont val="Century Schoolbook"/>
        <family val="1"/>
      </rPr>
      <t>2.-</t>
    </r>
    <r>
      <rPr>
        <sz val="10"/>
        <color theme="1"/>
        <rFont val="Arial Narrow"/>
        <family val="2"/>
      </rPr>
      <t xml:space="preserve"> Coordinar la elaboración y legalización de la Acción de Personal.
</t>
    </r>
    <r>
      <rPr>
        <b/>
        <sz val="9"/>
        <color theme="1"/>
        <rFont val="Century Schoolbook"/>
        <family val="1"/>
      </rPr>
      <t>3.-</t>
    </r>
    <r>
      <rPr>
        <sz val="10"/>
        <color theme="1"/>
        <rFont val="Arial Narrow"/>
        <family val="2"/>
      </rPr>
      <t xml:space="preserve"> Remitir a la Unidad de Remuneraciones la Acción de Movimientos de Personal gestionados.</t>
    </r>
  </si>
  <si>
    <r>
      <rPr>
        <b/>
        <sz val="9"/>
        <color theme="1"/>
        <rFont val="Century Schoolbook"/>
        <family val="1"/>
      </rPr>
      <t>1.-</t>
    </r>
    <r>
      <rPr>
        <sz val="10"/>
        <color theme="1"/>
        <rFont val="Arial Narrow"/>
        <family val="2"/>
      </rPr>
      <t xml:space="preserve"> Revisar y direccionar la quejas y denuncias, a la Unidad de Gestión Organizacional para el trámite respectivo.
</t>
    </r>
    <r>
      <rPr>
        <b/>
        <sz val="9"/>
        <color theme="1"/>
        <rFont val="Century Schoolbook"/>
        <family val="1"/>
      </rPr>
      <t>2.-</t>
    </r>
    <r>
      <rPr>
        <sz val="10"/>
        <color theme="1"/>
        <rFont val="Arial Narrow"/>
        <family val="2"/>
      </rPr>
      <t xml:space="preserve"> Gestionar ante  las Unidades Académicas o Administrativas, según el caso, las quejas para la solución pertinente.
</t>
    </r>
    <r>
      <rPr>
        <b/>
        <sz val="9"/>
        <color theme="1"/>
        <rFont val="Century Schoolbook"/>
        <family val="1"/>
      </rPr>
      <t>3.-</t>
    </r>
    <r>
      <rPr>
        <sz val="10"/>
        <color theme="1"/>
        <rFont val="Arial Narrow"/>
        <family val="2"/>
      </rPr>
      <t xml:space="preserve"> Coordinar el seguimiento de la solución de las quejas gestionadas.</t>
    </r>
  </si>
  <si>
    <r>
      <rPr>
        <b/>
        <sz val="9"/>
        <color theme="1"/>
        <rFont val="Century Schoolbook"/>
        <family val="1"/>
      </rPr>
      <t>1.-</t>
    </r>
    <r>
      <rPr>
        <sz val="10"/>
        <color theme="1"/>
        <rFont val="Arial Narrow"/>
        <family val="2"/>
      </rPr>
      <t xml:space="preserve"> Elaborar el Plan de  Desvinculación.
</t>
    </r>
    <r>
      <rPr>
        <b/>
        <sz val="9"/>
        <color theme="1"/>
        <rFont val="Century Schoolbook"/>
        <family val="1"/>
      </rPr>
      <t>2.-</t>
    </r>
    <r>
      <rPr>
        <sz val="10"/>
        <color theme="1"/>
        <rFont val="Arial Narrow"/>
        <family val="2"/>
      </rPr>
      <t xml:space="preserve"> Coordinar el  seguimiento de la aplicación del Plan de Desvinculación del Personal.
</t>
    </r>
    <r>
      <rPr>
        <b/>
        <sz val="9"/>
        <color theme="1"/>
        <rFont val="Century Schoolbook"/>
        <family val="1"/>
      </rPr>
      <t>3.-</t>
    </r>
    <r>
      <rPr>
        <sz val="10"/>
        <color theme="1"/>
        <rFont val="Arial Narrow"/>
        <family val="2"/>
      </rPr>
      <t xml:space="preserve"> Elaborar Informes de Tiempo de Servicio para efectos de pago de Liquidación en la  UTMACH y otras Instituciones del Sector Público (CÓDIGO DE TRABAJO, LOSEP Y LOES), así como para pago de  Desahucio (CÓDIGO DEL TRABAJO).
</t>
    </r>
    <r>
      <rPr>
        <b/>
        <sz val="9"/>
        <color theme="1"/>
        <rFont val="Century Schoolbook"/>
        <family val="1"/>
      </rPr>
      <t>4.-</t>
    </r>
    <r>
      <rPr>
        <sz val="10"/>
        <color theme="1"/>
        <rFont val="Arial Narrow"/>
        <family val="2"/>
      </rPr>
      <t xml:space="preserve"> Elaborar  informes del  Promedio de Horas Docencia durante tiempo de servicio del  Docente en la UTMACH (LOES).
</t>
    </r>
    <r>
      <rPr>
        <b/>
        <sz val="9"/>
        <color theme="1"/>
        <rFont val="Century Schoolbook"/>
        <family val="1"/>
      </rPr>
      <t>5.-</t>
    </r>
    <r>
      <rPr>
        <sz val="10"/>
        <color theme="1"/>
        <rFont val="Arial Narrow"/>
        <family val="2"/>
      </rPr>
      <t xml:space="preserve"> Elaborar informes para  Liquidación de  Vacaciones del Personal Desvinculante de la UTMACH (CÓDIGO DE TRABAJO, LOSEP Y LOES).
</t>
    </r>
    <r>
      <rPr>
        <b/>
        <sz val="9"/>
        <color theme="1"/>
        <rFont val="Century Schoolbook"/>
        <family val="1"/>
      </rPr>
      <t>6.-</t>
    </r>
    <r>
      <rPr>
        <sz val="10"/>
        <color theme="1"/>
        <rFont val="Arial Narrow"/>
        <family val="2"/>
      </rPr>
      <t xml:space="preserve"> Elaborar Avisos de Entrada y Salida del IESS del  Personal Cesante.</t>
    </r>
  </si>
  <si>
    <r>
      <rPr>
        <b/>
        <sz val="9"/>
        <color theme="1"/>
        <rFont val="Century Schoolbook"/>
        <family val="1"/>
      </rPr>
      <t>1.-</t>
    </r>
    <r>
      <rPr>
        <sz val="10"/>
        <color theme="1"/>
        <rFont val="Arial Narrow"/>
        <family val="2"/>
      </rPr>
      <t xml:space="preserve"> Coordinar con el personal de la Dirección de Talento Humano, para cumplir con la información solicitada por los Organismos externos.
</t>
    </r>
    <r>
      <rPr>
        <b/>
        <sz val="9"/>
        <color theme="1"/>
        <rFont val="Century Schoolbook"/>
        <family val="1"/>
      </rPr>
      <t>2.-</t>
    </r>
    <r>
      <rPr>
        <sz val="10"/>
        <color theme="1"/>
        <rFont val="Arial Narrow"/>
        <family val="2"/>
      </rPr>
      <t xml:space="preserve"> Dar seguimiento y evaluación a la información requerida por los organismos externos.
</t>
    </r>
    <r>
      <rPr>
        <b/>
        <sz val="9"/>
        <color theme="1"/>
        <rFont val="Century Schoolbook"/>
        <family val="1"/>
      </rPr>
      <t>3.-</t>
    </r>
    <r>
      <rPr>
        <sz val="10"/>
        <color theme="1"/>
        <rFont val="Arial Narrow"/>
        <family val="2"/>
      </rPr>
      <t xml:space="preserve"> Emitir el informe de cumplimiento de la información solicitada por los organismos externos.</t>
    </r>
  </si>
  <si>
    <r>
      <rPr>
        <b/>
        <sz val="9"/>
        <color theme="1"/>
        <rFont val="Century Schoolbook"/>
        <family val="1"/>
      </rPr>
      <t>1.-</t>
    </r>
    <r>
      <rPr>
        <sz val="10"/>
        <color theme="1"/>
        <rFont val="Arial Narrow"/>
        <family val="2"/>
      </rPr>
      <t xml:space="preserve"> Gestionar ante la Autoridad Nominadora la aprobación del proceso de evaluación de desempeño del personal administrativo.
</t>
    </r>
    <r>
      <rPr>
        <b/>
        <sz val="9"/>
        <color theme="1"/>
        <rFont val="Century Schoolbook"/>
        <family val="1"/>
      </rPr>
      <t>2.-</t>
    </r>
    <r>
      <rPr>
        <sz val="10"/>
        <color theme="1"/>
        <rFont val="Arial Narrow"/>
        <family val="2"/>
      </rPr>
      <t xml:space="preserve"> Supervisar la ejecución del proceso de evaluación  de desempeño.
</t>
    </r>
    <r>
      <rPr>
        <b/>
        <sz val="9"/>
        <color theme="1"/>
        <rFont val="Century Schoolbook"/>
        <family val="1"/>
      </rPr>
      <t>3.-</t>
    </r>
    <r>
      <rPr>
        <sz val="10"/>
        <color theme="1"/>
        <rFont val="Arial Narrow"/>
        <family val="2"/>
      </rPr>
      <t xml:space="preserve"> Realizar el reporte final del proceso de evaluación de desempeño.</t>
    </r>
  </si>
  <si>
    <r>
      <rPr>
        <b/>
        <sz val="9"/>
        <color theme="1"/>
        <rFont val="Century Schoolbook"/>
        <family val="1"/>
      </rPr>
      <t>1.-</t>
    </r>
    <r>
      <rPr>
        <sz val="10"/>
        <color theme="1"/>
        <rFont val="Arial Narrow"/>
        <family val="2"/>
      </rPr>
      <t xml:space="preserve"> Gestionar la asignación de recursos en la partidas correspondientes para capacitación y formación de los servidores.
</t>
    </r>
    <r>
      <rPr>
        <b/>
        <sz val="9"/>
        <color theme="1"/>
        <rFont val="Century Schoolbook"/>
        <family val="1"/>
      </rPr>
      <t>2.-</t>
    </r>
    <r>
      <rPr>
        <sz val="10"/>
        <color theme="1"/>
        <rFont val="Arial Narrow"/>
        <family val="2"/>
      </rPr>
      <t xml:space="preserve"> Tramitar ante la Autoridad Nominadora el informe de pertinencia de las capacitaciones para el personal administrativo y de servicio.
</t>
    </r>
    <r>
      <rPr>
        <b/>
        <sz val="9"/>
        <color theme="1"/>
        <rFont val="Century Schoolbook"/>
        <family val="1"/>
      </rPr>
      <t>3.-</t>
    </r>
    <r>
      <rPr>
        <sz val="10"/>
        <color theme="1"/>
        <rFont val="Arial Narrow"/>
        <family val="2"/>
      </rPr>
      <t xml:space="preserve"> Coordinar el proceso de capacitación y formación de los servidores.
</t>
    </r>
    <r>
      <rPr>
        <b/>
        <sz val="9"/>
        <color theme="1"/>
        <rFont val="Century Schoolbook"/>
        <family val="1"/>
      </rPr>
      <t>4.-</t>
    </r>
    <r>
      <rPr>
        <sz val="10"/>
        <color theme="1"/>
        <rFont val="Arial Narrow"/>
        <family val="2"/>
      </rPr>
      <t xml:space="preserve"> Elaborar el reporte de capacitaciones efectuadas.</t>
    </r>
  </si>
  <si>
    <r>
      <rPr>
        <b/>
        <sz val="9"/>
        <color theme="1"/>
        <rFont val="Century Schoolbook"/>
        <family val="1"/>
      </rPr>
      <t>1.-</t>
    </r>
    <r>
      <rPr>
        <sz val="10"/>
        <color theme="1"/>
        <rFont val="Arial Narrow"/>
        <family val="2"/>
      </rPr>
      <t xml:space="preserve"> Receptar las peticiones de las Unidades Administrativas y/o Facultades para su proceso de contratación.
</t>
    </r>
    <r>
      <rPr>
        <b/>
        <sz val="9"/>
        <color theme="1"/>
        <rFont val="Century Schoolbook"/>
        <family val="1"/>
      </rPr>
      <t>2.-</t>
    </r>
    <r>
      <rPr>
        <sz val="10"/>
        <color theme="1"/>
        <rFont val="Arial Narrow"/>
        <family val="2"/>
      </rPr>
      <t xml:space="preserve"> Solicitar la Disponibilidad Económica a la Dirección Financiera.
</t>
    </r>
    <r>
      <rPr>
        <b/>
        <sz val="9"/>
        <color theme="1"/>
        <rFont val="Century Schoolbook"/>
        <family val="1"/>
      </rPr>
      <t>3.-</t>
    </r>
    <r>
      <rPr>
        <sz val="10"/>
        <color theme="1"/>
        <rFont val="Arial Narrow"/>
        <family val="2"/>
      </rPr>
      <t xml:space="preserve"> Emitir el informe técnico a la Autoridad Nominadora conforme a la pertinencia del pedido.
</t>
    </r>
    <r>
      <rPr>
        <b/>
        <sz val="9"/>
        <color theme="1"/>
        <rFont val="Century Schoolbook"/>
        <family val="1"/>
      </rPr>
      <t>4.-</t>
    </r>
    <r>
      <rPr>
        <sz val="10"/>
        <color theme="1"/>
        <rFont val="Arial Narrow"/>
        <family val="2"/>
      </rPr>
      <t xml:space="preserve"> Elaborar Contratos previa aprobación del Consejo Universitario.</t>
    </r>
  </si>
  <si>
    <r>
      <rPr>
        <b/>
        <sz val="9"/>
        <color theme="1"/>
        <rFont val="Century Schoolbook"/>
        <family val="1"/>
      </rPr>
      <t>1.-</t>
    </r>
    <r>
      <rPr>
        <sz val="10"/>
        <color theme="1"/>
        <rFont val="Arial Narrow"/>
        <family val="2"/>
      </rPr>
      <t xml:space="preserve"> Solicitar la Disponibilidad Económica a la Dirección Financiera.
</t>
    </r>
    <r>
      <rPr>
        <b/>
        <sz val="9"/>
        <color theme="1"/>
        <rFont val="Century Schoolbook"/>
        <family val="1"/>
      </rPr>
      <t>2.-</t>
    </r>
    <r>
      <rPr>
        <sz val="10"/>
        <color theme="1"/>
        <rFont val="Arial Narrow"/>
        <family val="2"/>
      </rPr>
      <t xml:space="preserve"> Emitir el informe técnico a la Autoridad Nominadora para la autorización de la planificación del concurso.
</t>
    </r>
    <r>
      <rPr>
        <b/>
        <sz val="9"/>
        <color theme="1"/>
        <rFont val="Century Schoolbook"/>
        <family val="1"/>
      </rPr>
      <t>3.-</t>
    </r>
    <r>
      <rPr>
        <sz val="10"/>
        <color theme="1"/>
        <rFont val="Arial Narrow"/>
        <family val="2"/>
      </rPr>
      <t xml:space="preserve"> Realizar etapas de concurso de meritos y oposicion.</t>
    </r>
  </si>
  <si>
    <r>
      <rPr>
        <b/>
        <sz val="9"/>
        <color theme="1"/>
        <rFont val="Century Schoolbook"/>
        <family val="1"/>
      </rPr>
      <t>1.-</t>
    </r>
    <r>
      <rPr>
        <sz val="10"/>
        <color theme="1"/>
        <rFont val="Arial Narrow"/>
        <family val="2"/>
      </rPr>
      <t xml:space="preserve"> Requerir a la Unidad de Seguridad Salud y Riesgos del trabajo detección de necesidades para atender procesos de  prevención de riesgos laborales.
</t>
    </r>
    <r>
      <rPr>
        <b/>
        <sz val="9"/>
        <color theme="1"/>
        <rFont val="Century Schoolbook"/>
        <family val="1"/>
      </rPr>
      <t>2.-</t>
    </r>
    <r>
      <rPr>
        <sz val="10"/>
        <color theme="1"/>
        <rFont val="Arial Narrow"/>
        <family val="2"/>
      </rPr>
      <t xml:space="preserve"> Gestionar la asignación de recursos en las partidas correspondientes para los procesos relacionados con la salud y seguridad ocupacional.
</t>
    </r>
    <r>
      <rPr>
        <b/>
        <sz val="9"/>
        <color theme="1"/>
        <rFont val="Century Schoolbook"/>
        <family val="1"/>
      </rPr>
      <t>3.-</t>
    </r>
    <r>
      <rPr>
        <sz val="10"/>
        <color theme="1"/>
        <rFont val="Arial Narrow"/>
        <family val="2"/>
      </rPr>
      <t xml:space="preserve"> Coordinar con la unidad respectiva para la ejecución de los recursos para la prevención de riesgos laborales.</t>
    </r>
  </si>
  <si>
    <r>
      <rPr>
        <b/>
        <sz val="9"/>
        <color theme="1"/>
        <rFont val="Century Schoolbook"/>
        <family val="1"/>
      </rPr>
      <t>1.-</t>
    </r>
    <r>
      <rPr>
        <sz val="10"/>
        <color theme="1"/>
        <rFont val="Arial Narrow"/>
        <family val="2"/>
      </rPr>
      <t xml:space="preserve"> Solicitar a las Unidades Administrativas y/o Facultades las plantillas para la Planificación del Talento Humano.
</t>
    </r>
    <r>
      <rPr>
        <b/>
        <sz val="9"/>
        <color theme="1"/>
        <rFont val="Century Schoolbook"/>
        <family val="1"/>
      </rPr>
      <t>2.-</t>
    </r>
    <r>
      <rPr>
        <sz val="10"/>
        <color theme="1"/>
        <rFont val="Arial Narrow"/>
        <family val="2"/>
      </rPr>
      <t xml:space="preserve"> Realizar el seguimiento del proceso de planificación del Talento Humano.
</t>
    </r>
    <r>
      <rPr>
        <b/>
        <sz val="9"/>
        <color theme="1"/>
        <rFont val="Century Schoolbook"/>
        <family val="1"/>
      </rPr>
      <t>3.-</t>
    </r>
    <r>
      <rPr>
        <sz val="10"/>
        <color theme="1"/>
        <rFont val="Arial Narrow"/>
        <family val="2"/>
      </rPr>
      <t xml:space="preserve"> Elaborar el informe de  Planificación del  Talento Humano para la aprobación de la autoridad nominadora.</t>
    </r>
  </si>
  <si>
    <r>
      <rPr>
        <b/>
        <sz val="9"/>
        <color theme="1"/>
        <rFont val="Century Schoolbook"/>
        <family val="1"/>
      </rPr>
      <t>1.-</t>
    </r>
    <r>
      <rPr>
        <sz val="10"/>
        <color theme="1"/>
        <rFont val="Arial Narrow"/>
        <family val="2"/>
      </rPr>
      <t xml:space="preserve"> Verificar del horario de trabajo y/o unidad administrativa en la que se encuentre el personal laborando.
</t>
    </r>
    <r>
      <rPr>
        <b/>
        <sz val="9"/>
        <color theme="1"/>
        <rFont val="Century Schoolbook"/>
        <family val="1"/>
      </rPr>
      <t>2.-</t>
    </r>
    <r>
      <rPr>
        <sz val="10"/>
        <color theme="1"/>
        <rFont val="Arial Narrow"/>
        <family val="2"/>
      </rPr>
      <t xml:space="preserve"> Verificar la permanencia del personal de conformidad a su horario y lugar de trabajo.
</t>
    </r>
    <r>
      <rPr>
        <b/>
        <sz val="9"/>
        <color theme="1"/>
        <rFont val="Century Schoolbook"/>
        <family val="1"/>
      </rPr>
      <t>3.-</t>
    </r>
    <r>
      <rPr>
        <sz val="10"/>
        <color theme="1"/>
        <rFont val="Arial Narrow"/>
        <family val="2"/>
      </rPr>
      <t xml:space="preserve"> Emitir el informe final del control de asistencia y permanencia al personal a la Autoridad Nominadora.</t>
    </r>
  </si>
  <si>
    <r>
      <rPr>
        <b/>
        <sz val="9"/>
        <color theme="1"/>
        <rFont val="Century Schoolbook"/>
        <family val="1"/>
      </rPr>
      <t>1.-</t>
    </r>
    <r>
      <rPr>
        <sz val="10"/>
        <color theme="1"/>
        <rFont val="Arial Narrow"/>
        <family val="2"/>
      </rPr>
      <t xml:space="preserve"> Emitir Directrices a las Unidades de esta Dirección de Talento Humano.
</t>
    </r>
    <r>
      <rPr>
        <b/>
        <sz val="9"/>
        <color theme="1"/>
        <rFont val="Century Schoolbook"/>
        <family val="1"/>
      </rPr>
      <t>2.-</t>
    </r>
    <r>
      <rPr>
        <sz val="10"/>
        <color theme="1"/>
        <rFont val="Arial Narrow"/>
        <family val="2"/>
      </rPr>
      <t xml:space="preserve"> Socializar lineamientos para los diversos procedimientos que se desarrollan en la Dirección de Talento Humano.</t>
    </r>
  </si>
  <si>
    <r>
      <rPr>
        <b/>
        <sz val="9"/>
        <color theme="1"/>
        <rFont val="Century Schoolbook"/>
        <family val="1"/>
      </rPr>
      <t>1.-</t>
    </r>
    <r>
      <rPr>
        <sz val="10"/>
        <color theme="1"/>
        <rFont val="Arial Narrow"/>
        <family val="2"/>
      </rPr>
      <t xml:space="preserve"> Coordinar las  directrices para la ejecución de capacitaciones al personal administrativo y trabajadores.
</t>
    </r>
    <r>
      <rPr>
        <b/>
        <sz val="9"/>
        <color theme="1"/>
        <rFont val="Century Schoolbook"/>
        <family val="1"/>
      </rPr>
      <t>2.-</t>
    </r>
    <r>
      <rPr>
        <sz val="10"/>
        <color theme="1"/>
        <rFont val="Arial Narrow"/>
        <family val="2"/>
      </rPr>
      <t xml:space="preserve"> Coordinar la designación del personal a participar en las capacitaciones.
</t>
    </r>
    <r>
      <rPr>
        <b/>
        <sz val="9"/>
        <color theme="1"/>
        <rFont val="Century Schoolbook"/>
        <family val="1"/>
      </rPr>
      <t>3.-</t>
    </r>
    <r>
      <rPr>
        <sz val="10"/>
        <color theme="1"/>
        <rFont val="Arial Narrow"/>
        <family val="2"/>
      </rPr>
      <t xml:space="preserve"> Realizar el seguimiento del informe final de las capacitaciones impartidas a los servidores y trabajadores.</t>
    </r>
  </si>
  <si>
    <t>N° de directrices para la organización interna,emitidas.</t>
  </si>
  <si>
    <t>N° de Controles de asistencia y permanencia del personal gestionados.</t>
  </si>
  <si>
    <t>N° de procesos de planificación del Talento Humano  gestionado.</t>
  </si>
  <si>
    <t>N° de procesos para la obtención de recursos respecto a la salud y prevención de riesgos laborales,gestionados.</t>
  </si>
  <si>
    <t>N° de procesos sobre elaboración y/o actualización de Manuales para la descripción, valoración y clasificación de puestos, coordinados.</t>
  </si>
  <si>
    <t>N° de Informes técnicos para la toma de decisiones de la autoridad nominadora relacionados con los procesos de concursos de méritos y oposición para el ingreso de personal administrativo.</t>
  </si>
  <si>
    <t>N° de Informes técnicos para la toma de decisiones de la autoridad nominadora relacionados con los procesos de contratación y/o concursos de méritos y oposición para el ingreso de personal académico y de apoyo académico emitidos.</t>
  </si>
  <si>
    <t>N° de las capacitaciones y formación de los servidores administrativos y de servicio gestionada.</t>
  </si>
  <si>
    <t>N° de Fases del Proceso de evaluación de desempeño del personal administrativo gestionadas.</t>
  </si>
  <si>
    <t>N° de Informes relacionados con el Talento Humano, solicitados por organismos externos.</t>
  </si>
  <si>
    <t>N° de procesos de desvinculación de personal gestionados.</t>
  </si>
  <si>
    <t>N° de quejas y denuncias gestionadas.</t>
  </si>
  <si>
    <t>N° de Procesos de movimientos de personal gestionados.</t>
  </si>
  <si>
    <t>N° de procesos relacionados con la actualización de la normativa para el Talento Humano, gestionados.</t>
  </si>
  <si>
    <t>N° de procesos de diseño y/o actualización del sistema de evaluación de desempeño de los trabajadores, gestionados.</t>
  </si>
  <si>
    <t>N° de Cajas del Archivo de la Dirección de Talento Humano registradas en el Inventario Documental.</t>
  </si>
  <si>
    <t xml:space="preserve">
N° de contratos registrados y/o registro de concursos de méritos y oposición.</t>
  </si>
  <si>
    <t>N° de procesos de contratos y/o acciones por cambios ejecutados y registrados.</t>
  </si>
  <si>
    <t>N° de servidores ingresados y/o actualizados en expedientes.</t>
  </si>
  <si>
    <t>N° de procesos de desvinculación de personal coordinados.</t>
  </si>
  <si>
    <t>N° de sanciones disciplinarias ejecutadas mediante acciones de personal e impuestas por Autoridad Superior.</t>
  </si>
  <si>
    <t>N° de Procesos solicitados por organismos externos atendidos.</t>
  </si>
  <si>
    <t>N° de Cursos del Plan de Capacitación de los Servidores amparados por la Ley Orgánica del Servicio Público y Código del Trabajo, ejecutados.</t>
  </si>
  <si>
    <t>N° de informes al seguimiento y evaluación de la planificación anual de apoyo institucional para los servidores administrativos.</t>
  </si>
  <si>
    <t>N° de Criterios técnicos relacionados con cambios de la estructura organizacional, movimiento de personal y análisis de perfiles de puestos, emitidos.</t>
  </si>
  <si>
    <t>N° de procesos de planificación del Talento Humano efectuados.</t>
  </si>
  <si>
    <t>N° de planes de Auditoría elaborados.</t>
  </si>
  <si>
    <t>N° de Informe de quejas y/o denuncias administradas.</t>
  </si>
  <si>
    <r>
      <t>N° de Plantillas correspondientes al Literal a</t>
    </r>
    <r>
      <rPr>
        <sz val="10"/>
        <color theme="1"/>
        <rFont val="Century Schoolbook"/>
        <family val="1"/>
      </rPr>
      <t>1</t>
    </r>
    <r>
      <rPr>
        <sz val="10"/>
        <color theme="1"/>
        <rFont val="Arial Narrow"/>
        <family val="2"/>
      </rPr>
      <t>) Estructura Organizacional y b</t>
    </r>
    <r>
      <rPr>
        <sz val="10"/>
        <color theme="1"/>
        <rFont val="Century Schoolbook"/>
        <family val="1"/>
      </rPr>
      <t>2</t>
    </r>
    <r>
      <rPr>
        <sz val="10"/>
        <color theme="1"/>
        <rFont val="Arial Narrow"/>
        <family val="2"/>
      </rPr>
      <t>)  distributivo de personal emitidas.</t>
    </r>
  </si>
  <si>
    <t>N° de solicitudes de información por parte de organismos externos atendidas.</t>
  </si>
  <si>
    <t>N° de Planificación Operativa Anual y evaluación de la planificación operativa anual entregadas oportunamente.</t>
  </si>
  <si>
    <t>N° de carpetas registradas en el Inventario Documental.</t>
  </si>
  <si>
    <t>N° DE SERVIDORES BENEFICIADOS.</t>
  </si>
  <si>
    <t>N° DE PROCESOS DE LA VIGILANCIA DE LA SALUD, APLICADOS.</t>
  </si>
  <si>
    <t>N° DE SERVIDORES CAPACITADOS EN RIESGOS LABORALES.</t>
  </si>
  <si>
    <t>N° DE INFORMES VIGILANCIA DE SALUD OCUPACIONAL EMITIDOS.</t>
  </si>
  <si>
    <t>N° DE INFORME DE SEGUIMIENTO CON ACCIDENTABILIDAD Y AUSENTISMO DE SERVIDORES.</t>
  </si>
  <si>
    <t>N° DE ASESORAMIENTO EN PREVENCIÓN DE RIESGOS LABORALES.</t>
  </si>
  <si>
    <t>N° DE COMITÉ Y LOS SUBCOMITÉS ESTRUCTURADOS.</t>
  </si>
  <si>
    <t>N° DE AUDITORIAS EN SEGURIDAD, SALUD Y RIESGO DEL TRABAJO.</t>
  </si>
  <si>
    <t>N° DE PROGRAMAS DE SEGURIDAD Y SALUD OCUPACIONAL EJECUTADOS.</t>
  </si>
  <si>
    <t>N° DE SOCIALIZACIÓN Y ENTREGA DE REGLAMENTO DE HIGIENE Y SEGURIDAD A SERVIDORES.</t>
  </si>
  <si>
    <t>N° DE PLANIFICACIONES OPERATIVAS ANUALES Y EVALUACIÓN DE LAS PLANIFICACIONES OPERATIVAS ANUALES ENTREGADAS OPORTUNAMENTE.</t>
  </si>
  <si>
    <t>N° DE CARPETAS CON INFORMACIÓN DE LA USSRT REGISTRADAS EN EL INVENTARIO.</t>
  </si>
  <si>
    <t>Directrices para la ejecución de programas de capacitación.</t>
  </si>
  <si>
    <r>
      <rPr>
        <b/>
        <sz val="10"/>
        <color rgb="FFFF0000"/>
        <rFont val="Arial Narrow"/>
        <family val="2"/>
      </rPr>
      <t>META ESTRATÉGICA</t>
    </r>
    <r>
      <rPr>
        <b/>
        <sz val="10"/>
        <color theme="1"/>
        <rFont val="Arial Narrow"/>
        <family val="2"/>
      </rPr>
      <t xml:space="preserve">
</t>
    </r>
    <r>
      <rPr>
        <b/>
        <sz val="9"/>
        <color theme="1"/>
        <rFont val="Century Schoolbook"/>
        <family val="1"/>
      </rPr>
      <t>1.-</t>
    </r>
    <r>
      <rPr>
        <b/>
        <sz val="10"/>
        <color theme="1"/>
        <rFont val="Arial Narrow"/>
        <family val="2"/>
      </rPr>
      <t xml:space="preserve"> </t>
    </r>
    <r>
      <rPr>
        <sz val="10"/>
        <color theme="1"/>
        <rFont val="Arial Narrow"/>
        <family val="2"/>
      </rPr>
      <t>Fortalecer las competencias tecnológicas de estudiantes, docentes y servidores a través de programas de capacitación continua.</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</si>
  <si>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Emitir las directrices para la organización interna con las unidades que dependen de la Dirección de Talento Humano.</t>
    </r>
  </si>
  <si>
    <r>
      <rPr>
        <b/>
        <sz val="9"/>
        <color theme="1"/>
        <rFont val="Century Schoolbook"/>
        <family val="1"/>
      </rPr>
      <t>2.-</t>
    </r>
    <r>
      <rPr>
        <sz val="10"/>
        <color theme="1"/>
        <rFont val="Arial Narrow"/>
        <family val="2"/>
      </rPr>
      <t xml:space="preserve"> Gestionar el proceso de control de asistencia y permanencia de personal.</t>
    </r>
  </si>
  <si>
    <r>
      <rPr>
        <b/>
        <sz val="9"/>
        <color theme="1"/>
        <rFont val="Century Schoolbook"/>
        <family val="1"/>
      </rPr>
      <t>3.-</t>
    </r>
    <r>
      <rPr>
        <sz val="10"/>
        <color theme="1"/>
        <rFont val="Arial Narrow"/>
        <family val="2"/>
      </rPr>
      <t xml:space="preserve"> Gestionar el proceso de planificación del Talento Humano.</t>
    </r>
  </si>
  <si>
    <r>
      <rPr>
        <b/>
        <sz val="9"/>
        <color theme="1"/>
        <rFont val="Century Schoolbook"/>
        <family val="1"/>
      </rPr>
      <t>4.-</t>
    </r>
    <r>
      <rPr>
        <b/>
        <sz val="10"/>
        <color theme="1"/>
        <rFont val="Arial Narrow"/>
        <family val="2"/>
      </rPr>
      <t xml:space="preserve"> </t>
    </r>
    <r>
      <rPr>
        <sz val="10"/>
        <color theme="1"/>
        <rFont val="Arial Narrow"/>
        <family val="2"/>
      </rPr>
      <t>Gestionar recursos para los procesos relacionados con la salud y seguridad ocupacional, prevención de riesgos laborales.</t>
    </r>
  </si>
  <si>
    <r>
      <rPr>
        <b/>
        <sz val="9"/>
        <color theme="1"/>
        <rFont val="Century Schoolbook"/>
        <family val="1"/>
      </rPr>
      <t>5.-</t>
    </r>
    <r>
      <rPr>
        <sz val="10"/>
        <color theme="1"/>
        <rFont val="Arial Narrow"/>
        <family val="2"/>
      </rPr>
      <t xml:space="preserve"> Gestionar el proceso de conformación de comisiones para la elaboración y/o actualización de la estructura organizacional y manuales de descripción, valoración clasificación de puestos.</t>
    </r>
  </si>
  <si>
    <r>
      <rPr>
        <b/>
        <sz val="9"/>
        <color theme="1"/>
        <rFont val="Century Schoolbook"/>
        <family val="1"/>
      </rPr>
      <t>6.-</t>
    </r>
    <r>
      <rPr>
        <b/>
        <sz val="10"/>
        <color theme="1"/>
        <rFont val="Arial Narrow"/>
        <family val="2"/>
      </rPr>
      <t xml:space="preserve"> </t>
    </r>
    <r>
      <rPr>
        <sz val="10"/>
        <color theme="1"/>
        <rFont val="Arial Narrow"/>
        <family val="2"/>
      </rPr>
      <t>Dirigir Concursos de Méritos y Oposición para el personal administrativo.</t>
    </r>
  </si>
  <si>
    <r>
      <rPr>
        <b/>
        <sz val="9"/>
        <color theme="1"/>
        <rFont val="Century Schoolbook"/>
        <family val="1"/>
      </rPr>
      <t>7.-</t>
    </r>
    <r>
      <rPr>
        <sz val="10"/>
        <color theme="1"/>
        <rFont val="Arial Narrow"/>
        <family val="2"/>
      </rPr>
      <t xml:space="preserve"> Emitir los informes técnicos para la toma de decisiones de la autoridad nominadora relacionados con los procesos de contratación y/o concursos de méritos y oposición para el ingreso de personal académico y de apoyo académico.</t>
    </r>
  </si>
  <si>
    <r>
      <rPr>
        <b/>
        <sz val="9"/>
        <color theme="1"/>
        <rFont val="Century Schoolbook"/>
        <family val="1"/>
      </rPr>
      <t>8.-</t>
    </r>
    <r>
      <rPr>
        <sz val="10"/>
        <color theme="1"/>
        <rFont val="Arial Narrow"/>
        <family val="2"/>
      </rPr>
      <t xml:space="preserve"> Gestionar los recursos para la ejecución de la capacitación y formación de los servidores administrativos y de servicio.</t>
    </r>
  </si>
  <si>
    <r>
      <rPr>
        <b/>
        <sz val="9"/>
        <color theme="1"/>
        <rFont val="Century Schoolbook"/>
        <family val="1"/>
      </rPr>
      <t>9.-</t>
    </r>
    <r>
      <rPr>
        <sz val="10"/>
        <color theme="1"/>
        <rFont val="Arial Narrow"/>
        <family val="2"/>
      </rPr>
      <t xml:space="preserve"> Gestionar el proceso de evaluación de desempeño del personal administrativo.</t>
    </r>
  </si>
  <si>
    <r>
      <rPr>
        <b/>
        <sz val="9"/>
        <color theme="1"/>
        <rFont val="Century Schoolbook"/>
        <family val="1"/>
      </rPr>
      <t>10.-</t>
    </r>
    <r>
      <rPr>
        <sz val="10"/>
        <color theme="1"/>
        <rFont val="Arial Narrow"/>
        <family val="2"/>
      </rPr>
      <t xml:space="preserve"> Emitir la información relacionada con el Talento Humano, solicitados por organismos externo que rigen a la institución.</t>
    </r>
  </si>
  <si>
    <r>
      <rPr>
        <b/>
        <sz val="9"/>
        <color theme="1"/>
        <rFont val="Century Schoolbook"/>
        <family val="1"/>
      </rPr>
      <t>11.-</t>
    </r>
    <r>
      <rPr>
        <b/>
        <sz val="10"/>
        <color theme="1"/>
        <rFont val="Arial Narrow"/>
        <family val="2"/>
      </rPr>
      <t xml:space="preserve"> </t>
    </r>
    <r>
      <rPr>
        <sz val="10"/>
        <color theme="1"/>
        <rFont val="Arial Narrow"/>
        <family val="2"/>
      </rPr>
      <t>Gestionar procesos de desvinculación de los servidores de la institución.</t>
    </r>
  </si>
  <si>
    <r>
      <rPr>
        <b/>
        <sz val="9"/>
        <color theme="1"/>
        <rFont val="Century Schoolbook"/>
        <family val="1"/>
      </rPr>
      <t>12.-</t>
    </r>
    <r>
      <rPr>
        <b/>
        <sz val="10"/>
        <color theme="1"/>
        <rFont val="Arial Narrow"/>
        <family val="2"/>
      </rPr>
      <t xml:space="preserve"> </t>
    </r>
    <r>
      <rPr>
        <sz val="10"/>
        <color theme="1"/>
        <rFont val="Arial Narrow"/>
        <family val="2"/>
      </rPr>
      <t>Gestionar quejas y denuncias realizadas por usuarios internos y externos, en contra de servidores universitarios.</t>
    </r>
  </si>
  <si>
    <r>
      <rPr>
        <b/>
        <sz val="9"/>
        <color theme="1"/>
        <rFont val="Century Schoolbook"/>
        <family val="1"/>
      </rPr>
      <t>13.-</t>
    </r>
    <r>
      <rPr>
        <b/>
        <sz val="10"/>
        <color theme="1"/>
        <rFont val="Arial Narrow"/>
        <family val="2"/>
      </rPr>
      <t xml:space="preserve"> </t>
    </r>
    <r>
      <rPr>
        <sz val="10"/>
        <color theme="1"/>
        <rFont val="Arial Narrow"/>
        <family val="2"/>
      </rPr>
      <t>Gestionar procesos de movimientos de personal.</t>
    </r>
  </si>
  <si>
    <r>
      <rPr>
        <b/>
        <sz val="9"/>
        <color theme="1"/>
        <rFont val="Century Schoolbook"/>
        <family val="1"/>
      </rPr>
      <t>14.-</t>
    </r>
    <r>
      <rPr>
        <b/>
        <sz val="10"/>
        <color theme="1"/>
        <rFont val="Arial Narrow"/>
        <family val="2"/>
      </rPr>
      <t xml:space="preserve"> </t>
    </r>
    <r>
      <rPr>
        <sz val="10"/>
        <color theme="1"/>
        <rFont val="Arial Narrow"/>
        <family val="2"/>
      </rPr>
      <t>Gestionar la implementación de normativas e instrumentos relacionada con los procesos de Talento Humano.</t>
    </r>
  </si>
  <si>
    <r>
      <rPr>
        <b/>
        <sz val="9"/>
        <color theme="1"/>
        <rFont val="Century Schoolbook"/>
        <family val="1"/>
      </rPr>
      <t>15.-</t>
    </r>
    <r>
      <rPr>
        <b/>
        <sz val="10"/>
        <color theme="1"/>
        <rFont val="Arial Narrow"/>
        <family val="2"/>
      </rPr>
      <t xml:space="preserve"> </t>
    </r>
    <r>
      <rPr>
        <sz val="10"/>
        <color theme="1"/>
        <rFont val="Arial Narrow"/>
        <family val="2"/>
      </rPr>
      <t>Gestionar el Proceso de diseño y/o actualización del sistema de evaluación de desempeño de los trabajadores amparados en el Código de Trabajo.</t>
    </r>
  </si>
  <si>
    <r>
      <rPr>
        <b/>
        <sz val="9"/>
        <color theme="1"/>
        <rFont val="Century Schoolbook"/>
        <family val="1"/>
      </rPr>
      <t>16.-</t>
    </r>
    <r>
      <rPr>
        <sz val="10"/>
        <color theme="1"/>
        <rFont val="Arial Narrow"/>
        <family val="2"/>
      </rPr>
      <t xml:space="preserve"> Presentación de la Planificación Operativa Anual y Evaluación de la Planificación Operativa Anual.</t>
    </r>
  </si>
  <si>
    <r>
      <rPr>
        <b/>
        <sz val="9"/>
        <color theme="1"/>
        <rFont val="Century Schoolbook"/>
        <family val="1"/>
      </rPr>
      <t>17.-</t>
    </r>
    <r>
      <rPr>
        <sz val="10"/>
        <color theme="1"/>
        <rFont val="Arial Narrow"/>
        <family val="2"/>
      </rPr>
      <t xml:space="preserve"> Organizar el Archivo de Gestión.</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</si>
  <si>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Coordinar y ejecutar los Procesos de contratación según competencias, y/o registros de concursos de méritos y oposición (LOSEP, para el ingreso del personal).</t>
    </r>
  </si>
  <si>
    <r>
      <rPr>
        <b/>
        <sz val="9"/>
        <color theme="1"/>
        <rFont val="Century Schoolbook"/>
        <family val="1"/>
      </rPr>
      <t>2.-</t>
    </r>
    <r>
      <rPr>
        <sz val="10"/>
        <color theme="1"/>
        <rFont val="Arial Narrow"/>
        <family val="2"/>
      </rPr>
      <t xml:space="preserve"> Ejecutar los requerimientos de cambios en los contratos y/o acciones de personal.</t>
    </r>
  </si>
  <si>
    <r>
      <rPr>
        <b/>
        <sz val="9"/>
        <color theme="1"/>
        <rFont val="Century Schoolbook"/>
        <family val="1"/>
      </rPr>
      <t>3.-</t>
    </r>
    <r>
      <rPr>
        <sz val="10"/>
        <color theme="1"/>
        <rFont val="Arial Narrow"/>
        <family val="2"/>
      </rPr>
      <t xml:space="preserve"> Supervisar el registro de asistencia (todos los regímenes laborales) y permanencia de personal (LOSEP, Código de Trabajo).</t>
    </r>
  </si>
  <si>
    <r>
      <rPr>
        <b/>
        <sz val="9"/>
        <color theme="1"/>
        <rFont val="Century Schoolbook"/>
        <family val="1"/>
      </rPr>
      <t>4.-</t>
    </r>
    <r>
      <rPr>
        <b/>
        <sz val="10"/>
        <color theme="1"/>
        <rFont val="Arial Narrow"/>
        <family val="2"/>
      </rPr>
      <t xml:space="preserve"> </t>
    </r>
    <r>
      <rPr>
        <sz val="10"/>
        <color theme="1"/>
        <rFont val="Arial Narrow"/>
        <family val="2"/>
      </rPr>
      <t>Realizar la actualización de información en el sistema del ente rector del Control Fiscal, para efecto de validación de las declaraciones juramentadas patrimoniales de los servidores.</t>
    </r>
  </si>
  <si>
    <r>
      <rPr>
        <b/>
        <sz val="9"/>
        <color theme="1"/>
        <rFont val="Century Schoolbook"/>
        <family val="1"/>
      </rPr>
      <t>5.-</t>
    </r>
    <r>
      <rPr>
        <sz val="10"/>
        <color theme="1"/>
        <rFont val="Arial Narrow"/>
        <family val="2"/>
      </rPr>
      <t xml:space="preserve"> Registrar y/o actualizar los expedientes del personal respecto del ingreso, desvinculación y otros cambios de su situación laboral, en físico y digital.</t>
    </r>
  </si>
  <si>
    <r>
      <rPr>
        <b/>
        <sz val="9"/>
        <color theme="1"/>
        <rFont val="Century Schoolbook"/>
        <family val="1"/>
      </rPr>
      <t>6.-</t>
    </r>
    <r>
      <rPr>
        <b/>
        <sz val="10"/>
        <color theme="1"/>
        <rFont val="Arial Narrow"/>
        <family val="2"/>
      </rPr>
      <t xml:space="preserve"> </t>
    </r>
    <r>
      <rPr>
        <sz val="10"/>
        <color theme="1"/>
        <rFont val="Arial Narrow"/>
        <family val="2"/>
      </rPr>
      <t>Planificar y controlar la ejecución de las vacaciones del personal, en caso de la LOES, la aplicación es vinculante según calendario aprobado previa intervención de instancias académicas.</t>
    </r>
  </si>
  <si>
    <r>
      <rPr>
        <b/>
        <sz val="9"/>
        <color theme="1"/>
        <rFont val="Century Schoolbook"/>
        <family val="1"/>
      </rPr>
      <t>7.-</t>
    </r>
    <r>
      <rPr>
        <sz val="10"/>
        <color theme="1"/>
        <rFont val="Arial Narrow"/>
        <family val="2"/>
      </rPr>
      <t xml:space="preserve"> Coordinar los procesos de desvinculación de personal.</t>
    </r>
  </si>
  <si>
    <r>
      <rPr>
        <b/>
        <sz val="9"/>
        <color theme="1"/>
        <rFont val="Century Schoolbook"/>
        <family val="1"/>
      </rPr>
      <t>8.-</t>
    </r>
    <r>
      <rPr>
        <b/>
        <sz val="10"/>
        <color theme="1"/>
        <rFont val="Arial Narrow"/>
        <family val="2"/>
      </rPr>
      <t xml:space="preserve"> </t>
    </r>
    <r>
      <rPr>
        <sz val="10"/>
        <color theme="1"/>
        <rFont val="Arial Narrow"/>
        <family val="2"/>
      </rPr>
      <t>Coordinar el proceso de aplicación de las resoluciones adoptadas por el máximo órgano colegiado superior, relacionado con sanciones impuestas por faltas disciplinarias a los servidores de la UTMACH.</t>
    </r>
  </si>
  <si>
    <r>
      <rPr>
        <b/>
        <sz val="9"/>
        <color theme="1"/>
        <rFont val="Century Schoolbook"/>
        <family val="1"/>
      </rPr>
      <t>9.-</t>
    </r>
    <r>
      <rPr>
        <sz val="10"/>
        <color theme="1"/>
        <rFont val="Arial Narrow"/>
        <family val="2"/>
      </rPr>
      <t xml:space="preserve"> Emitir los Informes técnicos relacionados con permisos, licencias, comisiones de servicios, vacaciones, y demás procesos que se lleven a cabo en la Unidad de Gestión de Talento Humano.</t>
    </r>
  </si>
  <si>
    <r>
      <rPr>
        <b/>
        <sz val="9"/>
        <color theme="1"/>
        <rFont val="Century Schoolbook"/>
        <family val="1"/>
      </rPr>
      <t>11.-</t>
    </r>
    <r>
      <rPr>
        <sz val="10"/>
        <color theme="1"/>
        <rFont val="Arial Narrow"/>
        <family val="2"/>
      </rPr>
      <t xml:space="preserve"> Presentar la Planificación Operativa Anual y Evaluación de la Planificación Operativa Anual.</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</si>
  <si>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b/>
        <sz val="10"/>
        <color theme="1"/>
        <rFont val="Arial Narrow"/>
        <family val="2"/>
      </rPr>
      <t xml:space="preserve"> </t>
    </r>
    <r>
      <rPr>
        <sz val="10"/>
        <color theme="1"/>
        <rFont val="Arial Narrow"/>
        <family val="2"/>
      </rPr>
      <t>Coordinar la Planificación anual de capacitación del personal administrativo perteneciente a la Ley Orgánica de Servicio Público y trabajadores amparados bajo el régimen de Código de Trabajo.</t>
    </r>
  </si>
  <si>
    <r>
      <rPr>
        <b/>
        <sz val="9"/>
        <color theme="1"/>
        <rFont val="Century Schoolbook"/>
        <family val="1"/>
      </rPr>
      <t>2.-</t>
    </r>
    <r>
      <rPr>
        <sz val="10"/>
        <color theme="1"/>
        <rFont val="Arial Narrow"/>
        <family val="2"/>
      </rPr>
      <t xml:space="preserve"> Supervisar la ejecución del Plan Anual de Capacitación de los servidores administrativos y de servicio de la UTMACH.</t>
    </r>
  </si>
  <si>
    <r>
      <rPr>
        <b/>
        <sz val="9"/>
        <color theme="1"/>
        <rFont val="Century Schoolbook"/>
        <family val="1"/>
      </rPr>
      <t>3.-</t>
    </r>
    <r>
      <rPr>
        <b/>
        <sz val="10"/>
        <color theme="1"/>
        <rFont val="Arial Narrow"/>
        <family val="2"/>
      </rPr>
      <t xml:space="preserve"> </t>
    </r>
    <r>
      <rPr>
        <sz val="10"/>
        <color theme="1"/>
        <rFont val="Arial Narrow"/>
        <family val="2"/>
      </rPr>
      <t>Coordinar la Planificación anual de apoyo institucional para formación de los servidores administrativos de la UTMACH.</t>
    </r>
  </si>
  <si>
    <r>
      <rPr>
        <b/>
        <sz val="9"/>
        <color theme="1"/>
        <rFont val="Century Schoolbook"/>
        <family val="1"/>
      </rPr>
      <t>4.-</t>
    </r>
    <r>
      <rPr>
        <sz val="10"/>
        <color theme="1"/>
        <rFont val="Arial Narrow"/>
        <family val="2"/>
      </rPr>
      <t xml:space="preserve"> Supervisar la ejecución del Plan Anual de apoyo institucional económico tipo A para los servidores administrativos.</t>
    </r>
  </si>
  <si>
    <r>
      <rPr>
        <b/>
        <sz val="9"/>
        <color theme="1"/>
        <rFont val="Century Schoolbook"/>
        <family val="1"/>
      </rPr>
      <t>5.-</t>
    </r>
    <r>
      <rPr>
        <b/>
        <sz val="10"/>
        <color theme="1"/>
        <rFont val="Arial Narrow"/>
        <family val="2"/>
      </rPr>
      <t xml:space="preserve"> </t>
    </r>
    <r>
      <rPr>
        <sz val="10"/>
        <color theme="1"/>
        <rFont val="Arial Narrow"/>
        <family val="2"/>
      </rPr>
      <t>Coordinar la Planificación anual de evaluación de desempeño de los servidores.</t>
    </r>
  </si>
  <si>
    <r>
      <rPr>
        <b/>
        <sz val="9"/>
        <color theme="1"/>
        <rFont val="Century Schoolbook"/>
        <family val="1"/>
      </rPr>
      <t>6.-</t>
    </r>
    <r>
      <rPr>
        <sz val="10"/>
        <color theme="1"/>
        <rFont val="Arial Narrow"/>
        <family val="2"/>
      </rPr>
      <t xml:space="preserve"> Administrar el módulo relacionado con la evaluación del Talento Humano en la plataforma dispuesta por el ente rector del trabajo.</t>
    </r>
  </si>
  <si>
    <r>
      <rPr>
        <b/>
        <sz val="9"/>
        <color theme="1"/>
        <rFont val="Century Schoolbook"/>
        <family val="1"/>
      </rPr>
      <t>7.-</t>
    </r>
    <r>
      <rPr>
        <sz val="10"/>
        <color theme="1"/>
        <rFont val="Arial Narrow"/>
        <family val="2"/>
      </rPr>
      <t xml:space="preserve"> Emitir informes técnicos relacionados con el desarrollo del talento humano (capacitación, formación y evaluación, peticiones de becas y/o ayudas económicas, apoyo institucional, comisiones de servicio, licencias y permisos para estudios de tercer o cuarto nivel).</t>
    </r>
  </si>
  <si>
    <r>
      <rPr>
        <b/>
        <sz val="9"/>
        <color theme="1"/>
        <rFont val="Century Schoolbook"/>
        <family val="1"/>
      </rPr>
      <t>8.-</t>
    </r>
    <r>
      <rPr>
        <sz val="10"/>
        <color theme="1"/>
        <rFont val="Arial Narrow"/>
        <family val="2"/>
      </rPr>
      <t xml:space="preserve"> Administrar el módulo relacionado con la capacitación del Talento Humano en la plataforma dispuesta por el ente rector del trabajo.</t>
    </r>
  </si>
  <si>
    <r>
      <rPr>
        <b/>
        <sz val="9"/>
        <color theme="1"/>
        <rFont val="Century Schoolbook"/>
        <family val="1"/>
      </rPr>
      <t>9.-</t>
    </r>
    <r>
      <rPr>
        <sz val="10"/>
        <color theme="1"/>
        <rFont val="Arial Narrow"/>
        <family val="2"/>
      </rPr>
      <t xml:space="preserve"> Emitir información relacionada con el Talento Humano solicitada por Organismos Externos que rigen a la Institución.</t>
    </r>
  </si>
  <si>
    <r>
      <rPr>
        <b/>
        <sz val="9"/>
        <color theme="1"/>
        <rFont val="Century Schoolbook"/>
        <family val="1"/>
      </rPr>
      <t>10.-</t>
    </r>
    <r>
      <rPr>
        <sz val="10"/>
        <color theme="1"/>
        <rFont val="Arial Narrow"/>
        <family val="2"/>
      </rPr>
      <t xml:space="preserve"> Presentar la Planificación Operativa Anual y Evaluación de la Planificación Operativa Anual.</t>
    </r>
  </si>
  <si>
    <r>
      <rPr>
        <sz val="10"/>
        <color theme="1"/>
        <rFont val="Century Schoolbook"/>
        <family val="1"/>
      </rPr>
      <t>11.-</t>
    </r>
    <r>
      <rPr>
        <sz val="10"/>
        <color theme="1"/>
        <rFont val="Arial Narrow"/>
        <family val="2"/>
      </rPr>
      <t xml:space="preserve"> Organizar el Archivo de Gestión </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</si>
  <si>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Coordinar el proceso de elaboración y/o actualización de la Estructura Organizacional y Manuales para la descripción, valoración y clasificación de puestos.</t>
    </r>
  </si>
  <si>
    <r>
      <rPr>
        <b/>
        <sz val="9"/>
        <color theme="1"/>
        <rFont val="Century Schoolbook"/>
        <family val="1"/>
      </rPr>
      <t>2.-</t>
    </r>
    <r>
      <rPr>
        <sz val="10"/>
        <color theme="1"/>
        <rFont val="Arial Narrow"/>
        <family val="2"/>
      </rPr>
      <t xml:space="preserve"> Emitir Informes técnicos relacionados con cambios en la estructura organizacional, movimiento de personal y análisis de perfiles de
puestos.</t>
    </r>
  </si>
  <si>
    <r>
      <rPr>
        <b/>
        <sz val="9"/>
        <color theme="1"/>
        <rFont val="Century Schoolbook"/>
        <family val="1"/>
      </rPr>
      <t>3.-</t>
    </r>
    <r>
      <rPr>
        <sz val="10"/>
        <color theme="1"/>
        <rFont val="Arial Narrow"/>
        <family val="2"/>
      </rPr>
      <t xml:space="preserve"> Coordinar el proceso de Planificación del Talento Humano.</t>
    </r>
  </si>
  <si>
    <r>
      <rPr>
        <b/>
        <sz val="9"/>
        <color theme="1"/>
        <rFont val="Century Schoolbook"/>
        <family val="1"/>
      </rPr>
      <t>4.-</t>
    </r>
    <r>
      <rPr>
        <sz val="10"/>
        <color theme="1"/>
        <rFont val="Arial Narrow"/>
        <family val="2"/>
      </rPr>
      <t xml:space="preserve"> Coordinar procesos de auditoría de trabajo.</t>
    </r>
  </si>
  <si>
    <r>
      <rPr>
        <b/>
        <sz val="9"/>
        <color theme="1"/>
        <rFont val="Century Schoolbook"/>
        <family val="1"/>
      </rPr>
      <t>5.-</t>
    </r>
    <r>
      <rPr>
        <sz val="10"/>
        <color theme="1"/>
        <rFont val="Arial Narrow"/>
        <family val="2"/>
      </rPr>
      <t xml:space="preserve"> Administrar el Sistema Institucional de Quejas y Denuncias.</t>
    </r>
  </si>
  <si>
    <r>
      <rPr>
        <b/>
        <sz val="9"/>
        <color theme="1"/>
        <rFont val="Century Schoolbook"/>
        <family val="1"/>
      </rPr>
      <t>6.-</t>
    </r>
    <r>
      <rPr>
        <sz val="10"/>
        <color theme="1"/>
        <rFont val="Arial Narrow"/>
        <family val="2"/>
      </rPr>
      <t xml:space="preserve"> Emitir Información del literal b </t>
    </r>
    <r>
      <rPr>
        <sz val="10"/>
        <color theme="1"/>
        <rFont val="Century Schoolbook"/>
        <family val="1"/>
      </rPr>
      <t>2</t>
    </r>
    <r>
      <rPr>
        <sz val="10"/>
        <color theme="1"/>
        <rFont val="Arial Narrow"/>
        <family val="2"/>
      </rPr>
      <t xml:space="preserve">) del Art. </t>
    </r>
    <r>
      <rPr>
        <sz val="10"/>
        <color theme="1"/>
        <rFont val="Century Schoolbook"/>
        <family val="1"/>
      </rPr>
      <t>7</t>
    </r>
    <r>
      <rPr>
        <sz val="10"/>
        <color theme="1"/>
        <rFont val="Arial Narrow"/>
        <family val="2"/>
      </rPr>
      <t xml:space="preserve"> de la Ley Orgánica de Transparencia y Acceso de Información Pública.</t>
    </r>
  </si>
  <si>
    <r>
      <rPr>
        <b/>
        <sz val="9"/>
        <color theme="1"/>
        <rFont val="Century Schoolbook"/>
        <family val="1"/>
      </rPr>
      <t>7.-</t>
    </r>
    <r>
      <rPr>
        <sz val="10"/>
        <color theme="1"/>
        <rFont val="Arial Narrow"/>
        <family val="2"/>
      </rPr>
      <t xml:space="preserve"> Emitir Información relacionada con el Talento Humano, solicitados por organismos externo que rigen a la institución.</t>
    </r>
  </si>
  <si>
    <r>
      <rPr>
        <b/>
        <sz val="9"/>
        <color theme="1"/>
        <rFont val="Century Schoolbook"/>
        <family val="1"/>
      </rPr>
      <t>8.-</t>
    </r>
    <r>
      <rPr>
        <sz val="10"/>
        <color theme="1"/>
        <rFont val="Arial Narrow"/>
        <family val="2"/>
      </rPr>
      <t xml:space="preserve"> Presentar la Planificación Operativa Anual y Evaluación de la Planificación Operativa Anual.</t>
    </r>
  </si>
  <si>
    <r>
      <rPr>
        <b/>
        <sz val="9"/>
        <color theme="1"/>
        <rFont val="Century Schoolbook"/>
        <family val="1"/>
      </rPr>
      <t>9.-</t>
    </r>
    <r>
      <rPr>
        <sz val="10"/>
        <color theme="1"/>
        <rFont val="Arial Narrow"/>
        <family val="2"/>
      </rPr>
      <t xml:space="preserve"> Organizar el Archivo de Gestión.</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</si>
  <si>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Coordinar, Ejecutar y Evaluar los Riesgos en materia de Seguridad, Salud y Riesgos del Trabajo.</t>
    </r>
  </si>
  <si>
    <r>
      <rPr>
        <b/>
        <sz val="9"/>
        <color theme="1"/>
        <rFont val="Century Schoolbook"/>
        <family val="1"/>
      </rPr>
      <t>2.-</t>
    </r>
    <r>
      <rPr>
        <sz val="10"/>
        <color theme="1"/>
        <rFont val="Arial Narrow"/>
        <family val="2"/>
      </rPr>
      <t xml:space="preserve"> Implementar la Vigilancia de la Salud a los Servidores de la UTMACH.</t>
    </r>
  </si>
  <si>
    <r>
      <rPr>
        <b/>
        <sz val="9"/>
        <color theme="1"/>
        <rFont val="Century Schoolbook"/>
        <family val="1"/>
      </rPr>
      <t>3.-</t>
    </r>
    <r>
      <rPr>
        <b/>
        <sz val="10"/>
        <color theme="1"/>
        <rFont val="Arial Narrow"/>
        <family val="2"/>
      </rPr>
      <t xml:space="preserve"> </t>
    </r>
    <r>
      <rPr>
        <sz val="10"/>
        <color theme="1"/>
        <rFont val="Arial Narrow"/>
        <family val="2"/>
      </rPr>
      <t>Desarrollar Procesos de promoción y capacitación a los servidores de la UTMACH, en materia de salud y riesgos laborales.</t>
    </r>
  </si>
  <si>
    <r>
      <rPr>
        <b/>
        <sz val="9"/>
        <color theme="1"/>
        <rFont val="Century Schoolbook"/>
        <family val="1"/>
      </rPr>
      <t>4.-</t>
    </r>
    <r>
      <rPr>
        <b/>
        <sz val="10"/>
        <color theme="1"/>
        <rFont val="Arial Narrow"/>
        <family val="2"/>
      </rPr>
      <t xml:space="preserve"> </t>
    </r>
    <r>
      <rPr>
        <sz val="10"/>
        <color theme="1"/>
        <rFont val="Arial Narrow"/>
        <family val="2"/>
      </rPr>
      <t>Emitir Informes técnicos relacionados con enfermedades profesionales, accidentes laborales e inspección y comprobación de buen funcionamiento de equipos.</t>
    </r>
  </si>
  <si>
    <r>
      <rPr>
        <b/>
        <sz val="9"/>
        <color theme="1"/>
        <rFont val="Century Schoolbook"/>
        <family val="1"/>
      </rPr>
      <t>5.-</t>
    </r>
    <r>
      <rPr>
        <b/>
        <sz val="10"/>
        <color theme="1"/>
        <rFont val="Arial Narrow"/>
        <family val="2"/>
      </rPr>
      <t xml:space="preserve"> </t>
    </r>
    <r>
      <rPr>
        <sz val="10"/>
        <color theme="1"/>
        <rFont val="Arial Narrow"/>
        <family val="2"/>
      </rPr>
      <t>Actualizar los Registros de accidentalidad, ausentismo y evaluación estadística de los resultados.</t>
    </r>
  </si>
  <si>
    <r>
      <rPr>
        <b/>
        <sz val="9"/>
        <color theme="1"/>
        <rFont val="Century Schoolbook"/>
        <family val="1"/>
      </rPr>
      <t>6.-</t>
    </r>
    <r>
      <rPr>
        <b/>
        <sz val="10"/>
        <color theme="1"/>
        <rFont val="Arial Narrow"/>
        <family val="2"/>
      </rPr>
      <t xml:space="preserve"> </t>
    </r>
    <r>
      <rPr>
        <sz val="10"/>
        <color theme="1"/>
        <rFont val="Arial Narrow"/>
        <family val="2"/>
      </rPr>
      <t>Ejecutar el Asesoramiento técnico en prevención de riesgos laborales.</t>
    </r>
  </si>
  <si>
    <r>
      <rPr>
        <b/>
        <sz val="9"/>
        <color theme="1"/>
        <rFont val="Century Schoolbook"/>
        <family val="1"/>
      </rPr>
      <t>7.-</t>
    </r>
    <r>
      <rPr>
        <sz val="10"/>
        <color theme="1"/>
        <rFont val="Arial Narrow"/>
        <family val="2"/>
      </rPr>
      <t xml:space="preserve"> Coordinar la estructuración y funcionamiento de los Comité y Subcomité Paritarios de la Universidad Técnica de Machala.</t>
    </r>
  </si>
  <si>
    <r>
      <rPr>
        <b/>
        <sz val="9"/>
        <color theme="1"/>
        <rFont val="Century Schoolbook"/>
        <family val="1"/>
      </rPr>
      <t>8.-</t>
    </r>
    <r>
      <rPr>
        <sz val="10"/>
        <color theme="1"/>
        <rFont val="Arial Narrow"/>
        <family val="2"/>
      </rPr>
      <t xml:space="preserve"> Coordinar el procesos de Auditoría en Seguridad, Salud y Riesgo del Trabajo.</t>
    </r>
  </si>
  <si>
    <r>
      <rPr>
        <b/>
        <sz val="9"/>
        <color theme="1"/>
        <rFont val="Century Schoolbook"/>
        <family val="1"/>
      </rPr>
      <t>9.-</t>
    </r>
    <r>
      <rPr>
        <sz val="10"/>
        <color theme="1"/>
        <rFont val="Arial Narrow"/>
        <family val="2"/>
      </rPr>
      <t xml:space="preserve"> Ejecución de los Programas de Seguridad y Salud Ocupacional.</t>
    </r>
  </si>
  <si>
    <r>
      <rPr>
        <b/>
        <sz val="9"/>
        <color theme="1"/>
        <rFont val="Century Schoolbook"/>
        <family val="1"/>
      </rPr>
      <t>10.-</t>
    </r>
    <r>
      <rPr>
        <sz val="10"/>
        <color theme="1"/>
        <rFont val="Arial Narrow"/>
        <family val="2"/>
      </rPr>
      <t xml:space="preserve"> Coordinar los procesos de diseño y/o actualización de la Normativa de Higiene y Seguridad.</t>
    </r>
  </si>
  <si>
    <r>
      <rPr>
        <b/>
        <sz val="9"/>
        <color theme="1"/>
        <rFont val="Century Schoolbook"/>
        <family val="1"/>
      </rPr>
      <t>11.-</t>
    </r>
    <r>
      <rPr>
        <sz val="10"/>
        <color theme="1"/>
        <rFont val="Arial Narrow"/>
        <family val="2"/>
      </rPr>
      <t xml:space="preserve"> Presentar la Planificación Operativo Anual y Evaluación de la Planificación Operativa Anual.</t>
    </r>
  </si>
  <si>
    <r>
      <t xml:space="preserve">Las partidas que se detallan a continuación no corresponden a procesos de contratación pública                                    </t>
    </r>
    <r>
      <rPr>
        <sz val="10"/>
        <color theme="1"/>
        <rFont val="Century Schoolbook"/>
        <family val="1"/>
      </rPr>
      <t>990101</t>
    </r>
    <r>
      <rPr>
        <sz val="10"/>
        <color theme="1"/>
        <rFont val="Arial Narrow"/>
      </rPr>
      <t xml:space="preserve"> y </t>
    </r>
    <r>
      <rPr>
        <sz val="10"/>
        <color theme="1"/>
        <rFont val="Century Schoolbook"/>
        <family val="1"/>
      </rPr>
      <t>580204.</t>
    </r>
  </si>
  <si>
    <t>Los materiales de impresión y reproducción, de oficina  y aseo, se encuentran direccionados a la Dirección Administrativa.</t>
  </si>
  <si>
    <r>
      <t xml:space="preserve">Este producto, no se lo ejecutará para el año </t>
    </r>
    <r>
      <rPr>
        <sz val="10"/>
        <color theme="1"/>
        <rFont val="Century Schoolbook"/>
        <family val="1"/>
      </rPr>
      <t>2023</t>
    </r>
    <r>
      <rPr>
        <sz val="10"/>
        <color theme="1"/>
        <rFont val="Arial Narrow"/>
        <family val="2"/>
      </rPr>
      <t>. Así lo establece la reforma a la Ley de Régimen Tributario Interno.</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</si>
  <si>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Emitir y/o actualizar directrices y/o normativas anuales para la coordinación de trabajo con las Unidades de Presupuesto, Contabilidad, Tesorería, Remuneraciones y Coactivas.</t>
    </r>
  </si>
  <si>
    <r>
      <rPr>
        <b/>
        <sz val="9"/>
        <color theme="1"/>
        <rFont val="Century Schoolbook"/>
        <family val="1"/>
      </rPr>
      <t>2.-</t>
    </r>
    <r>
      <rPr>
        <sz val="10"/>
        <color theme="1"/>
        <rFont val="Arial Narrow"/>
      </rPr>
      <t xml:space="preserve"> Coordinar el proceso de elaboración de la Proforma Presupuestaria Anual y/o de Reformas Presupuestarias en la plataforma dispuesta por el ente rector de la Finanzas Públicas.</t>
    </r>
  </si>
  <si>
    <r>
      <rPr>
        <b/>
        <sz val="9"/>
        <color theme="1"/>
        <rFont val="Century Schoolbook"/>
        <family val="1"/>
      </rPr>
      <t>3.-</t>
    </r>
    <r>
      <rPr>
        <sz val="10"/>
        <color theme="1"/>
        <rFont val="Arial Narrow"/>
      </rPr>
      <t xml:space="preserve"> Legalizar la información financiera y/o estados financieros.</t>
    </r>
  </si>
  <si>
    <r>
      <rPr>
        <b/>
        <sz val="9"/>
        <color theme="1"/>
        <rFont val="Century Schoolbook"/>
        <family val="1"/>
      </rPr>
      <t>4.-</t>
    </r>
    <r>
      <rPr>
        <sz val="10"/>
        <color theme="1"/>
        <rFont val="Arial Narrow"/>
      </rPr>
      <t xml:space="preserve"> Entregar la Planificación Operativa Anual y Evaluación de la Planificación Operativa Anual.</t>
    </r>
  </si>
  <si>
    <r>
      <rPr>
        <b/>
        <sz val="9"/>
        <color theme="1"/>
        <rFont val="Century Schoolbook"/>
        <family val="1"/>
      </rPr>
      <t>5.-</t>
    </r>
    <r>
      <rPr>
        <b/>
        <sz val="10"/>
        <color theme="1"/>
        <rFont val="Arial Narrow"/>
      </rPr>
      <t xml:space="preserve"> </t>
    </r>
    <r>
      <rPr>
        <sz val="10"/>
        <color theme="1"/>
        <rFont val="Arial Narrow"/>
      </rPr>
      <t>Organizar el Archivo de Gestión.</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</si>
  <si>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Registrar la Proforma Presupuestaria Anual de la institución en la plataforma dispuesta por el ente rector de las Finanzas Públicas.</t>
    </r>
  </si>
  <si>
    <r>
      <rPr>
        <b/>
        <sz val="9"/>
        <color theme="1"/>
        <rFont val="Century Schoolbook"/>
        <family val="1"/>
      </rPr>
      <t>2.-</t>
    </r>
    <r>
      <rPr>
        <sz val="10"/>
        <color theme="1"/>
        <rFont val="Arial Narrow"/>
      </rPr>
      <t xml:space="preserve"> Registrar y notificar Reformas Presupuestarias.</t>
    </r>
  </si>
  <si>
    <r>
      <rPr>
        <b/>
        <sz val="9"/>
        <color theme="1"/>
        <rFont val="Century Schoolbook"/>
        <family val="1"/>
      </rPr>
      <t>3.-</t>
    </r>
    <r>
      <rPr>
        <sz val="10"/>
        <color theme="1"/>
        <rFont val="Arial Narrow"/>
      </rPr>
      <t xml:space="preserve"> Emitir Certificaciones Presupuestarias previa aplicación de control interno.</t>
    </r>
  </si>
  <si>
    <r>
      <rPr>
        <b/>
        <sz val="9"/>
        <color theme="1"/>
        <rFont val="Century Schoolbook"/>
        <family val="1"/>
      </rPr>
      <t>4.-</t>
    </r>
    <r>
      <rPr>
        <sz val="10"/>
        <color theme="1"/>
        <rFont val="Arial Narrow"/>
      </rPr>
      <t xml:space="preserve"> Aplicar el control a la utilización de las Certificaciones Presupuestarias.</t>
    </r>
  </si>
  <si>
    <r>
      <rPr>
        <b/>
        <sz val="9"/>
        <color theme="1"/>
        <rFont val="Century Schoolbook"/>
        <family val="1"/>
      </rPr>
      <t>5.-</t>
    </r>
    <r>
      <rPr>
        <sz val="10"/>
        <color theme="1"/>
        <rFont val="Arial Narrow"/>
      </rPr>
      <t xml:space="preserve"> Elaborar Comprobantes Únicos de Registro, (CUR) de compromiso, previa aplicación de control interno.</t>
    </r>
  </si>
  <si>
    <r>
      <rPr>
        <b/>
        <sz val="9"/>
        <color theme="1"/>
        <rFont val="Century Schoolbook"/>
        <family val="1"/>
      </rPr>
      <t>6.-</t>
    </r>
    <r>
      <rPr>
        <sz val="10"/>
        <color theme="1"/>
        <rFont val="Arial Narrow"/>
      </rPr>
      <t xml:space="preserve"> Elaborar informes de ejecución y evaluación presupuestaria.</t>
    </r>
  </si>
  <si>
    <r>
      <rPr>
        <b/>
        <sz val="9"/>
        <color theme="1"/>
        <rFont val="Century Schoolbook"/>
        <family val="1"/>
      </rPr>
      <t>7.-</t>
    </r>
    <r>
      <rPr>
        <sz val="10"/>
        <color theme="1"/>
        <rFont val="Arial Narrow"/>
      </rPr>
      <t xml:space="preserve"> Elaborar Comprobantes de Reprogramación Financiera.</t>
    </r>
  </si>
  <si>
    <r>
      <rPr>
        <b/>
        <sz val="9"/>
        <color theme="1"/>
        <rFont val="Century Schoolbook"/>
        <family val="1"/>
      </rPr>
      <t>9.-</t>
    </r>
    <r>
      <rPr>
        <sz val="10"/>
        <color theme="1"/>
        <rFont val="Arial Narrow"/>
      </rPr>
      <t xml:space="preserve"> Entregar la Planificación Operativa Anual y Evaluar Planificación Operativa Anual.</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</si>
  <si>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Elaborar Comprobantes de Registro Único de ingreso y Comprobantes únicos de registro de gastos con sus respectivas retenciones electrónicas previa aplicación del control interno.</t>
    </r>
  </si>
  <si>
    <r>
      <rPr>
        <b/>
        <sz val="9"/>
        <color theme="1"/>
        <rFont val="Century Schoolbook"/>
        <family val="1"/>
      </rPr>
      <t>2.-</t>
    </r>
    <r>
      <rPr>
        <sz val="10"/>
        <color theme="1"/>
        <rFont val="Arial Narrow"/>
      </rPr>
      <t xml:space="preserve"> Consolidar Estados Financieros y sus respectivas notas explicativas.</t>
    </r>
  </si>
  <si>
    <r>
      <rPr>
        <b/>
        <sz val="9"/>
        <color theme="1"/>
        <rFont val="Century Schoolbook"/>
        <family val="1"/>
      </rPr>
      <t>3.-</t>
    </r>
    <r>
      <rPr>
        <sz val="10"/>
        <color theme="1"/>
        <rFont val="Arial Narrow"/>
      </rPr>
      <t xml:space="preserve"> Pagar oportunamente Obligaciones Tributarias en base a los anexos, ingresados a la plataforma del ente rector de Rentas Internas.</t>
    </r>
  </si>
  <si>
    <r>
      <rPr>
        <b/>
        <sz val="9"/>
        <color theme="1"/>
        <rFont val="Century Schoolbook"/>
        <family val="1"/>
      </rPr>
      <t>4.-</t>
    </r>
    <r>
      <rPr>
        <sz val="10"/>
        <color theme="1"/>
        <rFont val="Arial Narrow"/>
      </rPr>
      <t xml:space="preserve"> Elaborar comprobantes de anticipo, rendición, reposición y liquidación de fondos por viáticos y movilización; y de caja chica.</t>
    </r>
  </si>
  <si>
    <r>
      <rPr>
        <b/>
        <sz val="9"/>
        <color theme="1"/>
        <rFont val="Century Schoolbook"/>
        <family val="1"/>
      </rPr>
      <t>5.-</t>
    </r>
    <r>
      <rPr>
        <sz val="10"/>
        <color theme="1"/>
        <rFont val="Arial Narrow"/>
      </rPr>
      <t xml:space="preserve"> Realizar ajuste y actualizar saldos de inventarios de bienes muebles e inmuebles, semovientes, suministros y especies.</t>
    </r>
  </si>
  <si>
    <r>
      <rPr>
        <b/>
        <sz val="9"/>
        <color theme="1"/>
        <rFont val="Century Schoolbook"/>
        <family val="1"/>
      </rPr>
      <t>6.-</t>
    </r>
    <r>
      <rPr>
        <sz val="10"/>
        <color theme="1"/>
        <rFont val="Arial Narrow"/>
      </rPr>
      <t xml:space="preserve"> Elaborar ajustes por depreciación de bienes muebles e inmuebles, y de cierre del ejercicio fiscal.</t>
    </r>
  </si>
  <si>
    <r>
      <rPr>
        <b/>
        <sz val="9"/>
        <color theme="1"/>
        <rFont val="Century Schoolbook"/>
        <family val="1"/>
      </rPr>
      <t>7.-</t>
    </r>
    <r>
      <rPr>
        <sz val="10"/>
        <color theme="1"/>
        <rFont val="Arial Narrow"/>
      </rPr>
      <t xml:space="preserve"> Ejecutar procesos para el trámite de devolución del IVA, ante el ente rector de Rentas Internas.</t>
    </r>
  </si>
  <si>
    <r>
      <rPr>
        <b/>
        <sz val="9"/>
        <color theme="1"/>
        <rFont val="Century Schoolbook"/>
        <family val="1"/>
      </rPr>
      <t>8.-</t>
    </r>
    <r>
      <rPr>
        <sz val="10"/>
        <color theme="1"/>
        <rFont val="Arial Narrow"/>
      </rPr>
      <t xml:space="preserve"> Revisar y registrar Asientos Contables de Roles de Pago en el Sistema Interno.</t>
    </r>
  </si>
  <si>
    <r>
      <rPr>
        <b/>
        <sz val="9"/>
        <color theme="1"/>
        <rFont val="Century Schoolbook"/>
        <family val="1"/>
      </rPr>
      <t>9.-</t>
    </r>
    <r>
      <rPr>
        <sz val="10"/>
        <color theme="1"/>
        <rFont val="Arial Narrow"/>
      </rPr>
      <t xml:space="preserve"> Elaborar informes de ingresos y gastos de los Programas Generados con los fondos propios y/o provenientes de convenios interinstitucionales.</t>
    </r>
  </si>
  <si>
    <r>
      <rPr>
        <b/>
        <sz val="9"/>
        <color theme="1"/>
        <rFont val="Century Schoolbook"/>
        <family val="1"/>
      </rPr>
      <t>10.-</t>
    </r>
    <r>
      <rPr>
        <sz val="10"/>
        <color theme="1"/>
        <rFont val="Arial Narrow"/>
      </rPr>
      <t xml:space="preserve"> Entregar la Planificación Operativa Anual y Evaluación de la Planificación Operativa Anual.</t>
    </r>
  </si>
  <si>
    <r>
      <rPr>
        <b/>
        <sz val="9"/>
        <color theme="1"/>
        <rFont val="Century Schoolbook"/>
        <family val="1"/>
      </rPr>
      <t>11.-</t>
    </r>
    <r>
      <rPr>
        <sz val="10"/>
        <color theme="1"/>
        <rFont val="Arial Narrow"/>
      </rPr>
      <t xml:space="preserve"> Organizar el Archivo de Gestión.</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</si>
  <si>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Emitir Comprobantes Únicos de Ingreso por recaudación de valores.</t>
    </r>
  </si>
  <si>
    <r>
      <rPr>
        <b/>
        <sz val="9"/>
        <color theme="1"/>
        <rFont val="Century Schoolbook"/>
        <family val="1"/>
      </rPr>
      <t>2.-</t>
    </r>
    <r>
      <rPr>
        <sz val="10"/>
        <color theme="1"/>
        <rFont val="Arial Narrow"/>
      </rPr>
      <t xml:space="preserve"> Custodiar y entregar especies para su impresión.</t>
    </r>
  </si>
  <si>
    <r>
      <rPr>
        <b/>
        <sz val="9"/>
        <color theme="1"/>
        <rFont val="Century Schoolbook"/>
        <family val="1"/>
      </rPr>
      <t>3.-</t>
    </r>
    <r>
      <rPr>
        <sz val="10"/>
        <color theme="1"/>
        <rFont val="Arial Narrow"/>
      </rPr>
      <t xml:space="preserve"> Aprobar Comprobantes de Registro Único de Ingresos por reanudación de valores, amortizaciones en la plataforma del ente rector de las Finanzas Públicas.</t>
    </r>
  </si>
  <si>
    <r>
      <rPr>
        <b/>
        <sz val="9"/>
        <color theme="1"/>
        <rFont val="Century Schoolbook"/>
        <family val="1"/>
      </rPr>
      <t>4.-</t>
    </r>
    <r>
      <rPr>
        <sz val="10"/>
        <color theme="1"/>
        <rFont val="Arial Narrow"/>
      </rPr>
      <t xml:space="preserve"> Crear y aprobar: beneficiarios, cuentas monetarias y fondos globales en la plataforma del ente rector de las Finanzas Públicas.</t>
    </r>
  </si>
  <si>
    <r>
      <rPr>
        <b/>
        <sz val="9"/>
        <color theme="1"/>
        <rFont val="Century Schoolbook"/>
        <family val="1"/>
      </rPr>
      <t>5.-</t>
    </r>
    <r>
      <rPr>
        <sz val="10"/>
        <color theme="1"/>
        <rFont val="Arial Narrow"/>
      </rPr>
      <t xml:space="preserve"> Controlar el vencimiento de las pólizas de garantía y letras de cambio.</t>
    </r>
  </si>
  <si>
    <r>
      <rPr>
        <b/>
        <sz val="9"/>
        <color theme="1"/>
        <rFont val="Century Schoolbook"/>
        <family val="1"/>
      </rPr>
      <t>7.-</t>
    </r>
    <r>
      <rPr>
        <sz val="10"/>
        <color theme="1"/>
        <rFont val="Arial Narrow"/>
      </rPr>
      <t xml:space="preserve"> Realizar la transferencia, seguimiento y confirmación de fondos a proveedores previa aplicación del control interno.</t>
    </r>
  </si>
  <si>
    <r>
      <rPr>
        <b/>
        <sz val="9"/>
        <color theme="1"/>
        <rFont val="Century Schoolbook"/>
        <family val="1"/>
      </rPr>
      <t>8.-</t>
    </r>
    <r>
      <rPr>
        <sz val="10"/>
        <color theme="1"/>
        <rFont val="Arial Narrow"/>
      </rPr>
      <t xml:space="preserve"> Emitir y validar certificaciones de remuneraciones percibidas y roles de pagos respectivamente.</t>
    </r>
  </si>
  <si>
    <r>
      <rPr>
        <b/>
        <sz val="9"/>
        <color theme="1"/>
        <rFont val="Century Schoolbook"/>
        <family val="1"/>
      </rPr>
      <t>9.-</t>
    </r>
    <r>
      <rPr>
        <sz val="10"/>
        <color theme="1"/>
        <rFont val="Arial Narrow"/>
      </rPr>
      <t xml:space="preserve"> Realizar la conciliación de depósitos y transferencias entre el banco corresponsal y el Banco Central del Ecuador.</t>
    </r>
  </si>
  <si>
    <r>
      <rPr>
        <b/>
        <sz val="9"/>
        <color theme="1"/>
        <rFont val="Century Schoolbook"/>
        <family val="1"/>
      </rPr>
      <t xml:space="preserve">10.- </t>
    </r>
    <r>
      <rPr>
        <sz val="10"/>
        <color theme="1"/>
        <rFont val="Arial Narrow"/>
      </rPr>
      <t>Recaudar procesos coactivos.</t>
    </r>
  </si>
  <si>
    <r>
      <rPr>
        <b/>
        <sz val="10"/>
        <color rgb="FFFF0000"/>
        <rFont val="Arial Narrow"/>
      </rPr>
      <t>METAS OPERATIVAS</t>
    </r>
    <r>
      <rPr>
        <b/>
        <sz val="10"/>
        <color theme="1"/>
        <rFont val="Arial Narrow"/>
      </rPr>
      <t xml:space="preserve">
</t>
    </r>
    <r>
      <rPr>
        <b/>
        <sz val="9"/>
        <color theme="1"/>
        <rFont val="Century Schoolbook"/>
        <family val="1"/>
      </rPr>
      <t>1.-</t>
    </r>
    <r>
      <rPr>
        <sz val="10"/>
        <color theme="1"/>
        <rFont val="Arial Narrow"/>
      </rPr>
      <t xml:space="preserve"> Elaborar roles de pago, previa aplicación de control interno.</t>
    </r>
  </si>
  <si>
    <r>
      <rPr>
        <b/>
        <sz val="9"/>
        <color theme="1"/>
        <rFont val="Century Schoolbook"/>
        <family val="1"/>
      </rPr>
      <t>2.-</t>
    </r>
    <r>
      <rPr>
        <sz val="10"/>
        <color theme="1"/>
        <rFont val="Arial Narrow"/>
      </rPr>
      <t xml:space="preserve"> Elaborar Roles de Liquidación de haberes del personal que cesa en sus funciones, previa aplicación de control interno.</t>
    </r>
  </si>
  <si>
    <r>
      <rPr>
        <b/>
        <sz val="9"/>
        <color theme="1"/>
        <rFont val="Century Schoolbook"/>
        <family val="1"/>
      </rPr>
      <t>3.-</t>
    </r>
    <r>
      <rPr>
        <sz val="10"/>
        <color theme="1"/>
        <rFont val="Arial Narrow"/>
      </rPr>
      <t xml:space="preserve"> Elaborar Reformas Web centralizadas y/o descentralizadas.</t>
    </r>
  </si>
  <si>
    <r>
      <rPr>
        <b/>
        <sz val="9"/>
        <color theme="1"/>
        <rFont val="Century Schoolbook"/>
        <family val="1"/>
      </rPr>
      <t>4.-</t>
    </r>
    <r>
      <rPr>
        <sz val="10"/>
        <color theme="1"/>
        <rFont val="Arial Narrow"/>
      </rPr>
      <t xml:space="preserve"> Elaborar cuadre de sueldos y aportaciones de los servidores universitarios entre el subsistema de nóminas del ente rector de las Finanzas Públicas y el IESS.</t>
    </r>
  </si>
  <si>
    <r>
      <rPr>
        <b/>
        <sz val="10"/>
        <color theme="1"/>
        <rFont val="Century Schoolbook"/>
        <family val="1"/>
      </rPr>
      <t>6.-</t>
    </r>
    <r>
      <rPr>
        <sz val="10"/>
        <color theme="1"/>
        <rFont val="Arial Narrow"/>
      </rPr>
      <t xml:space="preserve"> Entregar la Planificación Operativa Anual y Evaluación de la Planificación Operativa Anual.</t>
    </r>
  </si>
  <si>
    <r>
      <rPr>
        <b/>
        <sz val="9"/>
        <color theme="1"/>
        <rFont val="Century Schoolbook"/>
        <family val="1"/>
      </rPr>
      <t>2.-</t>
    </r>
    <r>
      <rPr>
        <sz val="10"/>
        <color theme="1"/>
        <rFont val="Arial Narrow"/>
        <family val="2"/>
      </rPr>
      <t xml:space="preserve"> Seguimiento de  la elaboración del Convenio de Pago.</t>
    </r>
  </si>
  <si>
    <r>
      <rPr>
        <b/>
        <sz val="9"/>
        <color theme="1"/>
        <rFont val="Century Schoolbook"/>
        <family val="1"/>
      </rPr>
      <t>6.-</t>
    </r>
    <r>
      <rPr>
        <sz val="10"/>
        <color theme="1"/>
        <rFont val="Arial Narrow"/>
      </rPr>
      <t xml:space="preserve"> Coordinar las ventas por embargos realizados. </t>
    </r>
  </si>
  <si>
    <r>
      <rPr>
        <b/>
        <sz val="9"/>
        <color theme="1"/>
        <rFont val="Century Schoolbook"/>
        <family val="1"/>
      </rPr>
      <t>7.-</t>
    </r>
    <r>
      <rPr>
        <sz val="10"/>
        <color theme="1"/>
        <rFont val="Arial Narrow"/>
      </rPr>
      <t xml:space="preserve"> Realización de la Planificación Operativa Anual. </t>
    </r>
  </si>
  <si>
    <t>* Ing. Mariela Espinoza Torres,
   Directora Financiera
* Ing. Vilma Vega,
  Jefe de la Unidad de Presupuesto
* Ing. Norma Solano,
  Jefe de la Unidad de Contabilidad
* Ing. Luis Feijoo,
  Jefe de la Unidad de Remuneraciones
* Ing. Blanca Carvajal,
  Jefe de la Unidad de Tesorería
* Abg. Fernanda Rojas,
  Jefe de la Unidad de Coactiva</t>
  </si>
  <si>
    <t>* Ing. Mariela Espinoza Torres,
  Directora Financiera
* Ing. Vilma Vega,
  Jefe de la Unidad de Presupuesto</t>
  </si>
  <si>
    <t>* Ing. Mariela Espinoza Torres,
  Directora Financiera</t>
  </si>
  <si>
    <t>* Ing. Mariela Espinoza Torres,
  Directora Financiera
* Ing. Patricia Niebla,
  Analista Financiera</t>
  </si>
  <si>
    <t>* Lcda. Elly Villavicencio,
  Asistente Administrativo</t>
  </si>
  <si>
    <t>* Ing. Vilma Vega,
  Jefe de Presupuesto
* Ing. Xavier Jumbo,
  Supervisor de Presupuesto</t>
  </si>
  <si>
    <t>* Ing. Xavier Jumbo,
  Supervisor de Presupuesto
* Ing. Eduardo Villavicencio,
  Analista de Presupuesto
* Ing. Alfonso Silva,
  Analista de Presupuesto</t>
  </si>
  <si>
    <t>* Ing. Eduardo  Villavicencio,
  Analista de Presupuesto</t>
  </si>
  <si>
    <t>* Ing. Xavier Jumbo,
  Supervisor de Presupuesto
* Ing. Alfonso Silva,
  Analista de Presupuesto</t>
  </si>
  <si>
    <t>* Ing. Dyana Aguilar Rojas,
  Supervisora de Nómina y Remuneraciones
* Ing. Marieliza Cabrera Morocho,
  Analista de Nómina y Remuneraciones
* Ing. David Correa Correa,
  Analista de Nómina y Remuneraciones
* Ing. Patricio Tapia Pesántez,
  Analista de Nómina y Remuneraciones</t>
  </si>
  <si>
    <t>* Ing. Luis Feijoo Pogo,
  Jefe de Nómina y Remuneraciones
* Ing. Dyana Aguilar Rojas,
  Supervisora de Nómina y Remuneraciones
* Ing. Marieliza Cabrera Morocho,
  Analista de Nómina y Remuneraciones
* Ing. David Correa Carreño,
  Analista de Nómina y Remuneraciones
* Lcda. María Espinoza Bajaña,
  Analista de Nómina y Remuneraciones
* Ing. Patricio Tapia Pesántez,
  Analista de Nómina y Remuneraciones</t>
  </si>
  <si>
    <t xml:space="preserve">* Ing. Luis Feijoo Pogo,
  Jefe de Nómina y Remuneraciones
</t>
  </si>
  <si>
    <t xml:space="preserve">* Ing. Luis Feijoo Pogo,
  Jefe de Nómina y Remuneraciones
* Ing. Marieliza Cabrera Morocho,
  Analista de Nómina y Remuneraciones
</t>
  </si>
  <si>
    <t>* Ing. Luis Feijoo Pogo,
  Jefe de Nómina y Remuneraciones
* Ing. Patricio Tapia Pesántez,
  Analista de Nómina y Remuneraciones</t>
  </si>
  <si>
    <t>* Ing. Luis Feijoo Pogo,
  Jefe de Nómina y Remuneraciones
* Ing. Marieliza Cabrera Morocho,
  Analista de Nómina y Remuneraciones
* Lcda. María Espinoza Bajaña,
  Analista de Nómina y Remuneraciones</t>
  </si>
  <si>
    <t>* Ab. Fernanda Rojas Ramírez,
  Jefe de Coactivas</t>
  </si>
  <si>
    <t>* Ab. Fernanda Rojas Ramírez,
  Jefe de Coactivas
* Abg. Aníbal Campoverde,
  Procurador General</t>
  </si>
  <si>
    <t>* Ab. Fernanda Rojas Ramírez,
  Jefe de Coactivas
* Ing. Mariela Espinoza Torres,
  Directora Financiera</t>
  </si>
  <si>
    <r>
      <rPr>
        <b/>
        <sz val="9"/>
        <color theme="1"/>
        <rFont val="Century Schoolbook"/>
        <family val="1"/>
      </rPr>
      <t>1.-</t>
    </r>
    <r>
      <rPr>
        <sz val="10"/>
        <color theme="1"/>
        <rFont val="Arial Narrow"/>
      </rPr>
      <t xml:space="preserve"> Receptar y sumillar directrices recibidas por los entes rectores que nos regulan.
</t>
    </r>
    <r>
      <rPr>
        <b/>
        <sz val="9"/>
        <color theme="1"/>
        <rFont val="Century Schoolbook"/>
        <family val="1"/>
      </rPr>
      <t>2.-</t>
    </r>
    <r>
      <rPr>
        <sz val="10"/>
        <color theme="1"/>
        <rFont val="Arial Narrow"/>
      </rPr>
      <t xml:space="preserve"> Difundir las directrices a las unidades correspondientes, para su aplicación.
</t>
    </r>
    <r>
      <rPr>
        <b/>
        <sz val="9"/>
        <color theme="1"/>
        <rFont val="Century Schoolbook"/>
        <family val="1"/>
      </rPr>
      <t>3.-</t>
    </r>
    <r>
      <rPr>
        <sz val="10"/>
        <color theme="1"/>
        <rFont val="Arial Narrow"/>
      </rPr>
      <t xml:space="preserve"> Trasladar para conocimiento y aplicación reformas a la normativa de entes externos de acuerdo al ámbito de competencias de las diferentes Unidades Administrativas.</t>
    </r>
  </si>
  <si>
    <r>
      <rPr>
        <b/>
        <sz val="9"/>
        <color theme="1"/>
        <rFont val="Century Schoolbook"/>
        <family val="1"/>
      </rPr>
      <t>1.-</t>
    </r>
    <r>
      <rPr>
        <sz val="10"/>
        <color theme="1"/>
        <rFont val="Arial Narrow"/>
      </rPr>
      <t xml:space="preserve"> Recopilar información para elaboración proforma presupuestaria.
</t>
    </r>
    <r>
      <rPr>
        <b/>
        <sz val="9"/>
        <color theme="1"/>
        <rFont val="Century Schoolbook"/>
        <family val="1"/>
      </rPr>
      <t>2.-</t>
    </r>
    <r>
      <rPr>
        <sz val="10"/>
        <color theme="1"/>
        <rFont val="Arial Narrow"/>
      </rPr>
      <t xml:space="preserve"> Participar en la revisión de techos presupuestario conjuntamente con la Dirección de Planificación y Unidad de Presupuesto.
</t>
    </r>
    <r>
      <rPr>
        <b/>
        <sz val="9"/>
        <color theme="1"/>
        <rFont val="Century Schoolbook"/>
        <family val="1"/>
      </rPr>
      <t>3.-</t>
    </r>
    <r>
      <rPr>
        <sz val="10"/>
        <color theme="1"/>
        <rFont val="Arial Narrow"/>
      </rPr>
      <t xml:space="preserve"> Coordinar la elaboración, aprobación y registro de la Proforma Presupuestaria, con la Dirección de Planificación y Unidad de Presupuesto.
</t>
    </r>
    <r>
      <rPr>
        <b/>
        <sz val="9"/>
        <color theme="1"/>
        <rFont val="Century Schoolbook"/>
        <family val="1"/>
      </rPr>
      <t>4.-</t>
    </r>
    <r>
      <rPr>
        <sz val="10"/>
        <color theme="1"/>
        <rFont val="Arial Narrow"/>
      </rPr>
      <t xml:space="preserve"> Analizar oficios de requerimientos para reformas presupuestarias conjuntamente con la Dirección de Planificación y la Unidad de Presupuesto.
</t>
    </r>
    <r>
      <rPr>
        <b/>
        <sz val="9"/>
        <color theme="1"/>
        <rFont val="Century Schoolbook"/>
        <family val="1"/>
      </rPr>
      <t>5.-</t>
    </r>
    <r>
      <rPr>
        <sz val="10"/>
        <color theme="1"/>
        <rFont val="Arial Narrow"/>
      </rPr>
      <t xml:space="preserve"> Coordinar la elaboración, aprobación y registro de las reformas presupuestarias, con la Dirección de Planificación y Unidad de Presupuesto.</t>
    </r>
  </si>
  <si>
    <r>
      <rPr>
        <b/>
        <sz val="9"/>
        <color theme="1"/>
        <rFont val="Century Schoolbook"/>
        <family val="1"/>
      </rPr>
      <t>1.-</t>
    </r>
    <r>
      <rPr>
        <sz val="10"/>
        <color theme="1"/>
        <rFont val="Arial Narrow"/>
      </rPr>
      <t xml:space="preserve"> Revisar y legalizar los CUR de pago de las  obligaciones de la Institución.
</t>
    </r>
    <r>
      <rPr>
        <b/>
        <sz val="9"/>
        <color theme="1"/>
        <rFont val="Century Schoolbook"/>
        <family val="1"/>
      </rPr>
      <t>2.-</t>
    </r>
    <r>
      <rPr>
        <sz val="10"/>
        <color theme="1"/>
        <rFont val="Arial Narrow"/>
      </rPr>
      <t xml:space="preserve"> Revisar y legalizar los  Estados Financieros.</t>
    </r>
  </si>
  <si>
    <r>
      <rPr>
        <b/>
        <sz val="9"/>
        <color theme="1"/>
        <rFont val="Century Schoolbook"/>
        <family val="1"/>
      </rPr>
      <t>1.-</t>
    </r>
    <r>
      <rPr>
        <sz val="10"/>
        <color theme="1"/>
        <rFont val="Arial Narrow"/>
        <family val="2"/>
      </rPr>
      <t xml:space="preserve"> Recopilar información para elaborar el POA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Elaborar y entregar el POA </t>
    </r>
    <r>
      <rPr>
        <sz val="10"/>
        <color theme="1"/>
        <rFont val="Century Schoolbook"/>
        <family val="1"/>
      </rPr>
      <t>2024.</t>
    </r>
    <r>
      <rPr>
        <sz val="10"/>
        <color theme="1"/>
        <rFont val="Arial Narrow"/>
      </rPr>
      <t xml:space="preserve">
</t>
    </r>
    <r>
      <rPr>
        <b/>
        <sz val="9"/>
        <color theme="1"/>
        <rFont val="Century Schoolbook"/>
        <family val="1"/>
      </rPr>
      <t>3.-</t>
    </r>
    <r>
      <rPr>
        <sz val="10"/>
        <color theme="1"/>
        <rFont val="Arial Narrow"/>
      </rPr>
      <t xml:space="preserve"> Recopilar evidencia para la evaluación del Plan Operativo Anual </t>
    </r>
    <r>
      <rPr>
        <sz val="10"/>
        <color theme="1"/>
        <rFont val="Century Schoolbook"/>
        <family val="1"/>
      </rPr>
      <t>2023.</t>
    </r>
    <r>
      <rPr>
        <sz val="10"/>
        <color theme="1"/>
        <rFont val="Arial Narrow"/>
      </rPr>
      <t xml:space="preserve">
</t>
    </r>
    <r>
      <rPr>
        <b/>
        <sz val="9"/>
        <color theme="1"/>
        <rFont val="Century Schoolbook"/>
        <family val="1"/>
      </rPr>
      <t>4.-</t>
    </r>
    <r>
      <rPr>
        <sz val="10"/>
        <color theme="1"/>
        <rFont val="Arial Narrow"/>
      </rPr>
      <t xml:space="preserve"> Subir y entregar evidencias para evaluación del POA </t>
    </r>
    <r>
      <rPr>
        <sz val="10"/>
        <color theme="1"/>
        <rFont val="Century Schoolbook"/>
        <family val="1"/>
      </rPr>
      <t>2023.</t>
    </r>
  </si>
  <si>
    <r>
      <rPr>
        <b/>
        <sz val="9"/>
        <color theme="1"/>
        <rFont val="Century Schoolbook"/>
        <family val="1"/>
      </rPr>
      <t>1.-</t>
    </r>
    <r>
      <rPr>
        <sz val="10"/>
        <color theme="1"/>
        <rFont val="Arial Narrow"/>
      </rPr>
      <t xml:space="preserve"> Clasificar, etiquetar y archivar la documentación enviada y recibida  de la Dirección Financiera, en las cajas de archivo.
</t>
    </r>
    <r>
      <rPr>
        <b/>
        <sz val="9"/>
        <color theme="1"/>
        <rFont val="Century Schoolbook"/>
        <family val="1"/>
      </rPr>
      <t>2.-</t>
    </r>
    <r>
      <rPr>
        <sz val="10"/>
        <color theme="1"/>
        <rFont val="Arial Narrow"/>
      </rPr>
      <t xml:space="preserve"> Registrar en el inventario documental la documentación enviada y recibida.</t>
    </r>
  </si>
  <si>
    <r>
      <rPr>
        <b/>
        <sz val="9"/>
        <color theme="1"/>
        <rFont val="Century Schoolbook"/>
        <family val="1"/>
      </rPr>
      <t>1.-</t>
    </r>
    <r>
      <rPr>
        <sz val="10"/>
        <color theme="1"/>
        <rFont val="Arial Narrow"/>
      </rPr>
      <t xml:space="preserve"> Efectuar cálculos estimados de la masa salarial.
</t>
    </r>
    <r>
      <rPr>
        <b/>
        <sz val="9"/>
        <color theme="1"/>
        <rFont val="Century Schoolbook"/>
        <family val="1"/>
      </rPr>
      <t>2.-</t>
    </r>
    <r>
      <rPr>
        <sz val="10"/>
        <color theme="1"/>
        <rFont val="Arial Narrow"/>
      </rPr>
      <t xml:space="preserve"> Revisar el POA/PAC aprobado, los mismos que servirán de insumos para elaborar la proforma presupuestaria.
</t>
    </r>
    <r>
      <rPr>
        <b/>
        <sz val="9"/>
        <color theme="1"/>
        <rFont val="Century Schoolbook"/>
        <family val="1"/>
      </rPr>
      <t>3.-</t>
    </r>
    <r>
      <rPr>
        <sz val="10"/>
        <color theme="1"/>
        <rFont val="Arial Narrow"/>
      </rPr>
      <t xml:space="preserve"> Emitir el informe del proyecto de Proforma para aprobación del HCU.
</t>
    </r>
    <r>
      <rPr>
        <b/>
        <sz val="9"/>
        <color theme="1"/>
        <rFont val="Century Schoolbook"/>
        <family val="1"/>
      </rPr>
      <t>4.-</t>
    </r>
    <r>
      <rPr>
        <sz val="10"/>
        <color theme="1"/>
        <rFont val="Arial Narrow"/>
      </rPr>
      <t xml:space="preserve"> Registro de la proforma en el sistema informático del Ministerio de Finanzas.</t>
    </r>
  </si>
  <si>
    <r>
      <rPr>
        <b/>
        <sz val="9"/>
        <color theme="1"/>
        <rFont val="Century Schoolbook"/>
        <family val="1"/>
      </rPr>
      <t>1.-</t>
    </r>
    <r>
      <rPr>
        <sz val="10"/>
        <color theme="1"/>
        <rFont val="Arial Narrow"/>
      </rPr>
      <t xml:space="preserve"> Receptar y analizar los oficios de requerimientos de reformas en conjunto con el departamento de Planificación y Financiero.
</t>
    </r>
    <r>
      <rPr>
        <b/>
        <sz val="9"/>
        <color theme="1"/>
        <rFont val="Century Schoolbook"/>
        <family val="1"/>
      </rPr>
      <t>2.-</t>
    </r>
    <r>
      <rPr>
        <sz val="10"/>
        <color theme="1"/>
        <rFont val="Arial Narrow"/>
      </rPr>
      <t xml:space="preserve"> Efectuar informe del proyecto de reforma y registrar en el sistema informático del Ministerio de Finanzas.</t>
    </r>
  </si>
  <si>
    <r>
      <rPr>
        <b/>
        <sz val="9"/>
        <color theme="1"/>
        <rFont val="Century Schoolbook"/>
        <family val="1"/>
      </rPr>
      <t>1.-</t>
    </r>
    <r>
      <rPr>
        <sz val="10"/>
        <color theme="1"/>
        <rFont val="Arial Narrow"/>
      </rPr>
      <t xml:space="preserve"> Revisar la documentación y elaborar la Certificación Presupuestaria en el sistema informático del Ministerio de Finanzas de acuerdo a la solicitud presentada.</t>
    </r>
  </si>
  <si>
    <r>
      <rPr>
        <b/>
        <sz val="9"/>
        <color theme="1"/>
        <rFont val="Century Schoolbook"/>
        <family val="1"/>
      </rPr>
      <t>1.-</t>
    </r>
    <r>
      <rPr>
        <sz val="10"/>
        <color theme="1"/>
        <rFont val="Arial Narrow"/>
      </rPr>
      <t xml:space="preserve"> Ingresar todas las certificaciones emitidas a la matriz para su control y revisión.</t>
    </r>
  </si>
  <si>
    <r>
      <rPr>
        <b/>
        <sz val="9"/>
        <color theme="1"/>
        <rFont val="Century Schoolbook"/>
        <family val="1"/>
      </rPr>
      <t>1.-</t>
    </r>
    <r>
      <rPr>
        <sz val="10"/>
        <color theme="1"/>
        <rFont val="Arial Narrow"/>
      </rPr>
      <t xml:space="preserve"> Elaborar el CUR de compromiso en el sistema informático del Ministerio de Finanzas, según la certificación presupuestaria emitida.</t>
    </r>
  </si>
  <si>
    <r>
      <rPr>
        <b/>
        <sz val="9"/>
        <color theme="1"/>
        <rFont val="Century Schoolbook"/>
        <family val="1"/>
      </rPr>
      <t>1.-</t>
    </r>
    <r>
      <rPr>
        <sz val="10"/>
        <color theme="1"/>
        <rFont val="Arial Narrow"/>
      </rPr>
      <t xml:space="preserve"> Elaborar los Informes de evaluación y ejecución presupuestaria  semestral y cuatrimestral.</t>
    </r>
  </si>
  <si>
    <r>
      <rPr>
        <b/>
        <sz val="9"/>
        <color theme="1"/>
        <rFont val="Century Schoolbook"/>
        <family val="1"/>
      </rPr>
      <t>1.-</t>
    </r>
    <r>
      <rPr>
        <sz val="10"/>
        <color theme="1"/>
        <rFont val="Arial Narrow"/>
      </rPr>
      <t xml:space="preserve"> Revisar en el sistema e-sigef los saldos disponibles de la cuota del compromiso y devengado de la programación financiera del cuatrimestre, a fin de efectuar la reprogramación según las modificaciones  presupuestarias efectuadas.</t>
    </r>
  </si>
  <si>
    <r>
      <rPr>
        <b/>
        <sz val="9"/>
        <color theme="1"/>
        <rFont val="Century Schoolbook"/>
        <family val="1"/>
      </rPr>
      <t>1.-</t>
    </r>
    <r>
      <rPr>
        <sz val="10"/>
        <color theme="1"/>
        <rFont val="Arial Narrow"/>
      </rPr>
      <t xml:space="preserve"> Elaborar las plantillas según la matriz establecida para cada literal.</t>
    </r>
  </si>
  <si>
    <r>
      <rPr>
        <b/>
        <sz val="9"/>
        <color theme="1"/>
        <rFont val="Century Schoolbook"/>
        <family val="1"/>
      </rPr>
      <t>1.-</t>
    </r>
    <r>
      <rPr>
        <sz val="10"/>
        <color theme="1"/>
        <rFont val="Arial Narrow"/>
      </rPr>
      <t xml:space="preserve"> Elaborar el POA/PAC para su revisión y aprobación, en coordinación con los departamentos de Planificación y recopilar evidencia para la evaluación del Plan Operativo Anual.</t>
    </r>
  </si>
  <si>
    <r>
      <rPr>
        <b/>
        <sz val="9"/>
        <color theme="1"/>
        <rFont val="Century Schoolbook"/>
        <family val="1"/>
      </rPr>
      <t>1.-</t>
    </r>
    <r>
      <rPr>
        <sz val="10"/>
        <color theme="1"/>
        <rFont val="Arial Narrow"/>
      </rPr>
      <t xml:space="preserve"> Ordenar, etiquetar y registrar la documentación en las cajas del inventario documental.</t>
    </r>
  </si>
  <si>
    <r>
      <rPr>
        <b/>
        <sz val="9"/>
        <color theme="1"/>
        <rFont val="Century Schoolbook"/>
        <family val="1"/>
      </rPr>
      <t>1.-</t>
    </r>
    <r>
      <rPr>
        <sz val="10"/>
        <color theme="1"/>
        <rFont val="Arial Narrow"/>
      </rPr>
      <t xml:space="preserve"> Verificar y contabilizar los ingresos por recaudaciones y transferencias realizadas en la cuenta del Banco de Machala y transferidas al Banco Central en el Sistema E-sigef  y Sistema Contable Interno.
</t>
    </r>
    <r>
      <rPr>
        <b/>
        <sz val="9"/>
        <color theme="1"/>
        <rFont val="Century Schoolbook"/>
        <family val="1"/>
      </rPr>
      <t>2.-</t>
    </r>
    <r>
      <rPr>
        <sz val="10"/>
        <color theme="1"/>
        <rFont val="Arial Narrow"/>
      </rPr>
      <t xml:space="preserve"> Recibir y distribuir: Cur(s) de compromisos de Pagos, Oficios, Actas y Resoluciones.
</t>
    </r>
    <r>
      <rPr>
        <b/>
        <sz val="9"/>
        <color theme="1"/>
        <rFont val="Century Schoolbook"/>
        <family val="1"/>
      </rPr>
      <t>3.-</t>
    </r>
    <r>
      <rPr>
        <sz val="10"/>
        <color theme="1"/>
        <rFont val="Arial Narrow"/>
      </rPr>
      <t xml:space="preserve"> Revisar, registrar y control de contratos.
</t>
    </r>
    <r>
      <rPr>
        <b/>
        <sz val="9"/>
        <color theme="1"/>
        <rFont val="Century Schoolbook"/>
        <family val="1"/>
      </rPr>
      <t>4.-</t>
    </r>
    <r>
      <rPr>
        <sz val="10"/>
        <color theme="1"/>
        <rFont val="Arial Narrow"/>
      </rPr>
      <t xml:space="preserve"> Ejecutar los CUR(s) de pago por las compras de bienes, servicios. en sistema   e-SIGEF, eByE y Sistema Interno.
</t>
    </r>
    <r>
      <rPr>
        <b/>
        <sz val="9"/>
        <color theme="1"/>
        <rFont val="Century Schoolbook"/>
        <family val="1"/>
      </rPr>
      <t>5.-</t>
    </r>
    <r>
      <rPr>
        <sz val="10"/>
        <color theme="1"/>
        <rFont val="Arial Narrow"/>
      </rPr>
      <t xml:space="preserve"> Elaborar, solicitar a S.R.I. autorización de Comprobante de Retención Electrónico.</t>
    </r>
  </si>
  <si>
    <r>
      <rPr>
        <b/>
        <sz val="9"/>
        <color theme="1"/>
        <rFont val="Century Schoolbook"/>
        <family val="1"/>
      </rPr>
      <t>1.-</t>
    </r>
    <r>
      <rPr>
        <sz val="10"/>
        <color theme="1"/>
        <rFont val="Arial Narrow"/>
      </rPr>
      <t xml:space="preserve"> Revisar, ingresar ATS, controlar y elaborar las Declaraciones y otras obligaciones tributarias de la entidad.</t>
    </r>
  </si>
  <si>
    <r>
      <rPr>
        <b/>
        <sz val="9"/>
        <color theme="1"/>
        <rFont val="Century Schoolbook"/>
        <family val="1"/>
      </rPr>
      <t>1.-</t>
    </r>
    <r>
      <rPr>
        <sz val="10"/>
        <color theme="1"/>
        <rFont val="Arial Narrow"/>
      </rPr>
      <t xml:space="preserve"> Registrar, crear, Aprobar CUR de: Anticipos, Rendición, Reposición  y Liquidación con la documentación sustentatoria de gastos de fondos de viáticos entregados por la entidad.</t>
    </r>
  </si>
  <si>
    <r>
      <rPr>
        <b/>
        <sz val="9"/>
        <color theme="1"/>
        <rFont val="Century Schoolbook"/>
        <family val="1"/>
      </rPr>
      <t>1.-</t>
    </r>
    <r>
      <rPr>
        <sz val="10"/>
        <color theme="1"/>
        <rFont val="Arial Narrow"/>
      </rPr>
      <t xml:space="preserve"> Revisar, registrar actualizaciones contables en e-SIGEF y Sistema Interno.</t>
    </r>
  </si>
  <si>
    <r>
      <rPr>
        <b/>
        <sz val="9"/>
        <color theme="1"/>
        <rFont val="Century Schoolbook"/>
        <family val="1"/>
      </rPr>
      <t>1.-</t>
    </r>
    <r>
      <rPr>
        <sz val="10"/>
        <color theme="1"/>
        <rFont val="Arial Narrow"/>
      </rPr>
      <t xml:space="preserve"> Registrar, contabilizar valores por depreciación de los activos fijos y otros de consumo y existencia en el Sistema E-sigef.</t>
    </r>
  </si>
  <si>
    <r>
      <rPr>
        <b/>
        <sz val="9"/>
        <color theme="1"/>
        <rFont val="Century Schoolbook"/>
        <family val="1"/>
      </rPr>
      <t>1.-</t>
    </r>
    <r>
      <rPr>
        <sz val="10"/>
        <color theme="1"/>
        <rFont val="Arial Narrow"/>
        <family val="2"/>
      </rPr>
      <t xml:space="preserve"> Receptar y registrar  en Sistema Contable Interno roles de pago de los servidores.</t>
    </r>
  </si>
  <si>
    <r>
      <rPr>
        <b/>
        <sz val="9"/>
        <color theme="1"/>
        <rFont val="Century Schoolbook"/>
        <family val="1"/>
      </rPr>
      <t>1.-</t>
    </r>
    <r>
      <rPr>
        <sz val="10"/>
        <color theme="1"/>
        <rFont val="Arial Narrow"/>
        <family val="2"/>
      </rPr>
      <t xml:space="preserve"> Revisar, Verificar y Elaborar informes de ingresos y gastos.</t>
    </r>
  </si>
  <si>
    <r>
      <rPr>
        <b/>
        <sz val="9"/>
        <color theme="1"/>
        <rFont val="Century Schoolbook"/>
        <family val="1"/>
      </rPr>
      <t>1.</t>
    </r>
    <r>
      <rPr>
        <sz val="10"/>
        <color theme="1"/>
        <rFont val="Arial Narrow"/>
      </rPr>
      <t xml:space="preserve">- Realizar el POA -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Evaluación del POA </t>
    </r>
    <r>
      <rPr>
        <sz val="10"/>
        <color theme="1"/>
        <rFont val="Century Schoolbook"/>
        <family val="1"/>
      </rPr>
      <t>2023.</t>
    </r>
  </si>
  <si>
    <r>
      <rPr>
        <b/>
        <sz val="9"/>
        <color theme="1"/>
        <rFont val="Century Schoolbook"/>
        <family val="1"/>
      </rPr>
      <t>1.-</t>
    </r>
    <r>
      <rPr>
        <sz val="10"/>
        <color theme="1"/>
        <rFont val="Arial Narrow"/>
      </rPr>
      <t xml:space="preserve"> Revisar, Ordenar los procesos contables de conformidad a las Normas de Control Interno establecidas por la Contraloría General del Estado.</t>
    </r>
  </si>
  <si>
    <r>
      <rPr>
        <b/>
        <sz val="9"/>
        <color theme="1"/>
        <rFont val="Century Schoolbook"/>
        <family val="1"/>
      </rPr>
      <t>1.-</t>
    </r>
    <r>
      <rPr>
        <sz val="10"/>
        <color theme="1"/>
        <rFont val="Arial Narrow"/>
      </rPr>
      <t xml:space="preserve"> RECEPTAR EL EFECTIVO O PAPELETA DE DEPOSITO Y PREVIA SU REVISIÓN PROCEDER AL INGRESO EN EL SISTEMA GESCONT.
</t>
    </r>
    <r>
      <rPr>
        <b/>
        <sz val="9"/>
        <color theme="1"/>
        <rFont val="Century Schoolbook"/>
        <family val="1"/>
      </rPr>
      <t>2.-</t>
    </r>
    <r>
      <rPr>
        <sz val="10"/>
        <color theme="1"/>
        <rFont val="Arial Narrow"/>
      </rPr>
      <t xml:space="preserve"> REVISAR LA LEGALIDAD DE LA DOCUMENTACIÓN Y SE GENERA LA FACTURA ELECTRÓNICA.
</t>
    </r>
    <r>
      <rPr>
        <b/>
        <sz val="9"/>
        <color theme="1"/>
        <rFont val="Century Schoolbook"/>
        <family val="1"/>
      </rPr>
      <t>3.-</t>
    </r>
    <r>
      <rPr>
        <sz val="10"/>
        <color theme="1"/>
        <rFont val="Arial Narrow"/>
      </rPr>
      <t xml:space="preserve"> EJECUTAR LA REVISIÓN Y CONTABILIZACIÓN DE LOS INGRESOS, PREVIO AL ENVÍO A LA UNIDAD DE CONTABILIDAD.
</t>
    </r>
    <r>
      <rPr>
        <b/>
        <sz val="9"/>
        <color theme="1"/>
        <rFont val="Century Schoolbook"/>
        <family val="1"/>
      </rPr>
      <t>4.-</t>
    </r>
    <r>
      <rPr>
        <sz val="10"/>
        <color theme="1"/>
        <rFont val="Arial Narrow"/>
      </rPr>
      <t xml:space="preserve"> REVISAR LA RECAUDACIÓN, PARA PRESENTAR UN REPORTE DEL ESTADO ECONÓMICO DE LOS ARRENDATARIOS DE ESPACIOS FÍSICOS DE LA UNIVERSIDAD TÉCNICA DE MACHALA.
</t>
    </r>
    <r>
      <rPr>
        <b/>
        <sz val="9"/>
        <color theme="1"/>
        <rFont val="Century Schoolbook"/>
        <family val="1"/>
      </rPr>
      <t>5.-</t>
    </r>
    <r>
      <rPr>
        <sz val="10"/>
        <color theme="1"/>
        <rFont val="Arial Narrow"/>
      </rPr>
      <t xml:space="preserve"> REVISAR SI EN EL REPORTE DE CONTROL DEL ESTADO ECONÓMICO DE LOS ARRENDATARIOS SE ENCUENTRAN INCUMPLIDOS MÁS DE DOS MESES SE LES COMUNICA MEDIANTE OFICIO PARA QUE HAGAN EL PAGO INMEDIATO CASO CONTRARIO SE NOTIFICA A PROCURADURÍA PARA LA TERMINACIÓN UNILATERAL DEL CONTRATO.                                                         </t>
    </r>
    <r>
      <rPr>
        <b/>
        <sz val="9"/>
        <color theme="1"/>
        <rFont val="Century Schoolbook"/>
        <family val="1"/>
      </rPr>
      <t>6.-</t>
    </r>
    <r>
      <rPr>
        <sz val="10"/>
        <color theme="1"/>
        <rFont val="Arial Narrow"/>
      </rPr>
      <t xml:space="preserve"> REPORTE Y NOTIFICACIÓN MEDIANTE CORREO ELECTRÓNICO A ESTUDIANTES QUE MANTIENEN DEUDAS POR CONCEPTO DE MATRÍCULAS.                                                      </t>
    </r>
    <r>
      <rPr>
        <b/>
        <sz val="9"/>
        <color theme="1"/>
        <rFont val="Century Schoolbook"/>
        <family val="1"/>
      </rPr>
      <t>7.-</t>
    </r>
    <r>
      <rPr>
        <sz val="10"/>
        <color theme="1"/>
        <rFont val="Arial Narrow"/>
      </rPr>
      <t xml:space="preserve"> NOTIFICANDO MEDIANTE CORREO ELECTRÓNICO DE PAGOS RECHAZADOS DE ESTUDIANTES POR CONCEPTO DE MATRÍCULA </t>
    </r>
  </si>
  <si>
    <r>
      <rPr>
        <b/>
        <sz val="9"/>
        <color theme="1"/>
        <rFont val="Century Schoolbook"/>
        <family val="1"/>
      </rPr>
      <t>1.-</t>
    </r>
    <r>
      <rPr>
        <sz val="10"/>
        <color theme="1"/>
        <rFont val="Arial Narrow"/>
      </rPr>
      <t xml:space="preserve"> REVISAR Y PROCEDER CON LA PREPARACIÓN DEL ACTA DE ENTREGA-RECEPCIÓN DE LAS ESPECIES A LA SECRETARIA GENERAL PARA LA EMISION DE TITULOS.
</t>
    </r>
    <r>
      <rPr>
        <b/>
        <sz val="9"/>
        <color theme="1"/>
        <rFont val="Century Schoolbook"/>
        <family val="1"/>
      </rPr>
      <t>2.-</t>
    </r>
    <r>
      <rPr>
        <sz val="10"/>
        <color theme="1"/>
        <rFont val="Arial Narrow"/>
      </rPr>
      <t xml:space="preserve"> REALIZAR REPORTE PARA LA UNIDAD DE CONTABILIDAD DE LA ENTREGA DE ESPECIES PARA LA EMISIÓN DE TÍTULOS Y CERTIFICADOS DE INGLÉS.</t>
    </r>
  </si>
  <si>
    <r>
      <rPr>
        <b/>
        <sz val="9"/>
        <color theme="1"/>
        <rFont val="Century Schoolbook"/>
        <family val="1"/>
      </rPr>
      <t>1.-</t>
    </r>
    <r>
      <rPr>
        <sz val="10"/>
        <color theme="1"/>
        <rFont val="Arial Narrow"/>
      </rPr>
      <t xml:space="preserve"> RECIBIR DE LA UNIDAD DE CONTABILIDAD LOS COMPROBANTES DE INGRESOS Y PREVIA SU REVISIÓN PROCEDER A APROBARLOS EN LA PLATAFORMA DEL ENTE RECTOR DE LAS FINANZAS PÚBLICAS.
</t>
    </r>
    <r>
      <rPr>
        <b/>
        <sz val="9"/>
        <color theme="1"/>
        <rFont val="Century Schoolbook"/>
        <family val="1"/>
      </rPr>
      <t>2.-</t>
    </r>
    <r>
      <rPr>
        <sz val="10"/>
        <color theme="1"/>
        <rFont val="Arial Narrow"/>
      </rPr>
      <t xml:space="preserve"> RECIBIR LA DOCUMENTACIÓN RESPECTIVA DE LA UNIDAD DE CONTABILIDAD PARA PROCEDER CON LAS AMORTIZACIONES EN LA PLATAFORMA DEL ENTE RECTOR DE LAS FINANZAS PÚBLICAS.</t>
    </r>
  </si>
  <si>
    <r>
      <rPr>
        <b/>
        <sz val="9"/>
        <color theme="1"/>
        <rFont val="Century Schoolbook"/>
        <family val="1"/>
      </rPr>
      <t>1.-</t>
    </r>
    <r>
      <rPr>
        <sz val="10"/>
        <color theme="1"/>
        <rFont val="Arial Narrow"/>
      </rPr>
      <t xml:space="preserve"> RECIBIR LA DOCUMENTACIÓN PERTINENTE PARA PROCEDER CON LA CREACIÓN Y APROBACIÓN DE BENEFICIARIOS, CUENTAS MONETARIAS Y FONDOS GLOBALES EN LA PLATAFORMA DEL ENTE RECTOR DE LAS FINANZAS PÚBLICAS.</t>
    </r>
  </si>
  <si>
    <r>
      <rPr>
        <b/>
        <sz val="9"/>
        <color theme="1"/>
        <rFont val="Century Schoolbook"/>
        <family val="1"/>
      </rPr>
      <t>1.-</t>
    </r>
    <r>
      <rPr>
        <sz val="10"/>
        <color theme="1"/>
        <rFont val="Arial Narrow"/>
      </rPr>
      <t xml:space="preserve"> RECIBIR LAS GARANTÍAS CONTRACTUALES, PÓLIZAS DE CAUCIONES Y FIDELIDAD, LETRAS DE CAMBIO CON TODA LA DOCUMENTACIÓN INHERENTES.
</t>
    </r>
    <r>
      <rPr>
        <b/>
        <sz val="9"/>
        <color theme="1"/>
        <rFont val="Century Schoolbook"/>
        <family val="1"/>
      </rPr>
      <t>2.-</t>
    </r>
    <r>
      <rPr>
        <sz val="10"/>
        <color theme="1"/>
        <rFont val="Arial Narrow"/>
      </rPr>
      <t xml:space="preserve"> REALIZAR EL ARCHIVO ADMINISTRATIVO, CUMPLIENDO CON LA RECOMENDACIÓN DE LA CONTRALORÍA GENERAL DEL ESTADO.
</t>
    </r>
    <r>
      <rPr>
        <b/>
        <sz val="9"/>
        <color theme="1"/>
        <rFont val="Century Schoolbook"/>
        <family val="1"/>
      </rPr>
      <t>3.-</t>
    </r>
    <r>
      <rPr>
        <sz val="10"/>
        <color theme="1"/>
        <rFont val="Arial Narrow"/>
      </rPr>
      <t xml:space="preserve"> MANTENER UN CONTROL CONSTANTE SOBRE LA VIGENCIA Y VENCIMIENTO DE LAS GARANTÍAS CONTRACTUALES, PÓLIZAS DE CAUCIONES Y FIDELIDAD, LETRAS DE CAMBIO Y SOLICITAR LA RENOVACIÓN DE LAS MISMAS CUANDO LO AMERITE.
</t>
    </r>
    <r>
      <rPr>
        <b/>
        <sz val="9"/>
        <color theme="1"/>
        <rFont val="Century Schoolbook"/>
        <family val="1"/>
      </rPr>
      <t>4.-</t>
    </r>
    <r>
      <rPr>
        <sz val="10"/>
        <color theme="1"/>
        <rFont val="Arial Narrow"/>
      </rPr>
      <t xml:space="preserve"> PRESENTAR UN INFORME MENSUAL A LA MÁXIMA AUTORIDAD SOBRE LA VIGENCIA VENCIMIENTO Y RENOVACIONES SOLICITADAS DE LAS GARANTÍAS CONTRACTUALES, PÓLIZAS DE CAUCIONES Y FIDELIDAD, LETRAS DE CAMBIO.</t>
    </r>
  </si>
  <si>
    <r>
      <rPr>
        <b/>
        <sz val="9"/>
        <color theme="1"/>
        <rFont val="Century Schoolbook"/>
        <family val="1"/>
      </rPr>
      <t>1.-</t>
    </r>
    <r>
      <rPr>
        <sz val="10"/>
        <color theme="1"/>
        <rFont val="Arial Narrow"/>
      </rPr>
      <t xml:space="preserve"> LLENAR LA MATRIZ PROPORCIONADA POR TRANSPARENCIA DE LOS VALORES PAGADOS POR CONCEPTO DE ANTICIPO DE VIÁTICOS, NACIONALES E INTERNACIONALES,  </t>
    </r>
  </si>
  <si>
    <r>
      <rPr>
        <b/>
        <sz val="9"/>
        <color theme="1"/>
        <rFont val="Century Schoolbook"/>
        <family val="1"/>
      </rPr>
      <t>1.-</t>
    </r>
    <r>
      <rPr>
        <sz val="10"/>
        <color theme="1"/>
        <rFont val="Arial Narrow"/>
      </rPr>
      <t xml:space="preserve"> RECEPTAR Y REVISAR  LOS CUR CON SU DOCUMENTACIÓN HABILITANTE. CUMPLIDO EL CONTROL PREVIO SE PROCEDE A LA AUTORIZACIÓN DEL PAGO.</t>
    </r>
  </si>
  <si>
    <r>
      <rPr>
        <b/>
        <sz val="9"/>
        <color theme="1"/>
        <rFont val="Century Schoolbook"/>
        <family val="1"/>
      </rPr>
      <t>1.-</t>
    </r>
    <r>
      <rPr>
        <sz val="10"/>
        <color theme="1"/>
        <rFont val="Arial Narrow"/>
      </rPr>
      <t xml:space="preserve"> RECIBIR DESDE LA UNIDAD DE REMUNERACIONES LAS SOLICITUDES CON CERTIFICACIONES DE REMUNERACIONES Y ROLES DE PAGO.
</t>
    </r>
    <r>
      <rPr>
        <b/>
        <sz val="9"/>
        <color theme="1"/>
        <rFont val="Century Schoolbook"/>
        <family val="1"/>
      </rPr>
      <t>2.-</t>
    </r>
    <r>
      <rPr>
        <sz val="10"/>
        <color theme="1"/>
        <rFont val="Arial Narrow"/>
      </rPr>
      <t xml:space="preserve"> ELABORAR LAS CERTIFICACIONES DE REMUNERACIONES.
</t>
    </r>
    <r>
      <rPr>
        <b/>
        <sz val="9"/>
        <color theme="1"/>
        <rFont val="Century Schoolbook"/>
        <family val="1"/>
      </rPr>
      <t>3.-</t>
    </r>
    <r>
      <rPr>
        <sz val="10"/>
        <color theme="1"/>
        <rFont val="Arial Narrow"/>
      </rPr>
      <t xml:space="preserve"> VALIDAR LAS CERTIFICACIONES DE REMUNERACIONES Y ROLES DE PAGO.
</t>
    </r>
    <r>
      <rPr>
        <b/>
        <sz val="9"/>
        <color theme="1"/>
        <rFont val="Century Schoolbook"/>
        <family val="1"/>
      </rPr>
      <t>4.-</t>
    </r>
    <r>
      <rPr>
        <sz val="10"/>
        <color theme="1"/>
        <rFont val="Arial Narrow"/>
      </rPr>
      <t xml:space="preserve"> ENTREGAR A LOS SOLICITANTES LAS CERTIFICACIONES DE REMUNERACIONES Y ROLES DE PAGO SOLICITADAS.</t>
    </r>
  </si>
  <si>
    <r>
      <rPr>
        <b/>
        <sz val="9"/>
        <color theme="1"/>
        <rFont val="Century Schoolbook"/>
        <family val="1"/>
      </rPr>
      <t>1.-</t>
    </r>
    <r>
      <rPr>
        <sz val="10"/>
        <color theme="1"/>
        <rFont val="Arial Narrow"/>
      </rPr>
      <t xml:space="preserve"> RECIBIR EL ESTADO BANCARIO MENSUAL DEL BANCO CORRESPONSAL, BANCO CENTRAL Y DOCUMENTOS HABILITANTES DE LA RECAUDACIÓN SE PROCEDE A CONCILIAR: DEPÓSITOS REALIZADOS EN EL BANCO CORRESPONSAL TRANSFERIDOS AL BANCO CENTRAL.
</t>
    </r>
    <r>
      <rPr>
        <b/>
        <sz val="9"/>
        <color theme="1"/>
        <rFont val="Century Schoolbook"/>
        <family val="1"/>
      </rPr>
      <t>2.-</t>
    </r>
    <r>
      <rPr>
        <sz val="10"/>
        <color theme="1"/>
        <rFont val="Arial Narrow"/>
      </rPr>
      <t xml:space="preserve"> PROCEDER A CONCILIAR LOS DEPÓSITOS REALIZADOS EN EL BANCO CORRESPONSAL Y ARCHIVOS FÍSICOS DE LOS VALORES REGISTRADOS POR RECAUDACIÓN DIARIA EN LAS DIFERENTES UNIDADES DE LA UNIVERSIDAD TÉCNICA DE MACHALA.</t>
    </r>
  </si>
  <si>
    <r>
      <rPr>
        <b/>
        <sz val="9"/>
        <color theme="1"/>
        <rFont val="Century Schoolbook"/>
        <family val="1"/>
      </rPr>
      <t>1.-</t>
    </r>
    <r>
      <rPr>
        <sz val="10"/>
        <color theme="1"/>
        <rFont val="Arial Narrow"/>
      </rPr>
      <t xml:space="preserve"> RECIBIR LAS DIRECTRICES Y VALORES ASIGNADOS A LA UNIDAD PARA PROCEDER A LA ELABORACIÓN DEL POA
</t>
    </r>
    <r>
      <rPr>
        <b/>
        <sz val="9"/>
        <color theme="1"/>
        <rFont val="Century Schoolbook"/>
        <family val="1"/>
      </rPr>
      <t>2.-</t>
    </r>
    <r>
      <rPr>
        <sz val="10"/>
        <color theme="1"/>
        <rFont val="Arial Narrow"/>
      </rPr>
      <t xml:space="preserve"> ELABORAR EL POA Y SOCIALIZARLO CON LOS INTEGRANTES DE LA UNIDAD.
</t>
    </r>
    <r>
      <rPr>
        <b/>
        <sz val="9"/>
        <color theme="1"/>
        <rFont val="Century Schoolbook"/>
        <family val="1"/>
      </rPr>
      <t>3.-</t>
    </r>
    <r>
      <rPr>
        <sz val="10"/>
        <color theme="1"/>
        <rFont val="Arial Narrow"/>
      </rPr>
      <t xml:space="preserve"> PREPARAR LOS MEDIOS DE VERIFICACIÓN Y LAS EVIDENCIAS QUE SUSTENTARAN LA EVALUACIÓN DEL POA
</t>
    </r>
    <r>
      <rPr>
        <b/>
        <sz val="9"/>
        <color theme="1"/>
        <rFont val="Century Schoolbook"/>
        <family val="1"/>
      </rPr>
      <t>4.-</t>
    </r>
    <r>
      <rPr>
        <sz val="10"/>
        <color theme="1"/>
        <rFont val="Arial Narrow"/>
      </rPr>
      <t xml:space="preserve"> REMITIR EL POA DE LA UNIDAD, VIA CORREO ELECTRONICO A LA DIRECCION DE PLANIFICACION PARA LA REVISION Y VALIDACION DEL MISMO, PREVIO A LA REALIZACIÓN DEL OFICIO PARA FORMALIZAR LA ENTREGA DEL POA Y DE LA EVALUACIÓN.</t>
    </r>
  </si>
  <si>
    <r>
      <rPr>
        <b/>
        <sz val="9"/>
        <color theme="1"/>
        <rFont val="Century Schoolbook"/>
        <family val="1"/>
      </rPr>
      <t>1.-</t>
    </r>
    <r>
      <rPr>
        <sz val="10"/>
        <color theme="1"/>
        <rFont val="Arial Narrow"/>
      </rPr>
      <t xml:space="preserve"> RECEPTAR, REGISTRAR EN EL SIUTMACH Y ARCHIVAR LAS COMUNICACIONES RECIBIDAS.</t>
    </r>
  </si>
  <si>
    <r>
      <rPr>
        <b/>
        <sz val="9"/>
        <color theme="1"/>
        <rFont val="Century Schoolbook"/>
        <family val="1"/>
      </rPr>
      <t>1.-</t>
    </r>
    <r>
      <rPr>
        <sz val="10"/>
        <color theme="1"/>
        <rFont val="Arial Narrow"/>
      </rPr>
      <t xml:space="preserve"> Receptar los documentos para aplicarse en roles de pago del personal docente y administrativo titular, trabajadores titulares, personal docente, administrativo y trabajadores contratados y jubilados, sumillados por el Jefe de Nómina y Remuneraciones.
</t>
    </r>
    <r>
      <rPr>
        <b/>
        <sz val="9"/>
        <color theme="1"/>
        <rFont val="Century Schoolbook"/>
        <family val="1"/>
      </rPr>
      <t>2.-</t>
    </r>
    <r>
      <rPr>
        <sz val="10"/>
        <color theme="1"/>
        <rFont val="Arial Narrow"/>
      </rPr>
      <t xml:space="preserve"> Revisar las bases legales para el pago.
</t>
    </r>
    <r>
      <rPr>
        <b/>
        <sz val="9"/>
        <color theme="1"/>
        <rFont val="Century Schoolbook"/>
        <family val="1"/>
      </rPr>
      <t>3.-</t>
    </r>
    <r>
      <rPr>
        <sz val="10"/>
        <color theme="1"/>
        <rFont val="Arial Narrow"/>
      </rPr>
      <t xml:space="preserve"> Recopilar la información.
</t>
    </r>
    <r>
      <rPr>
        <b/>
        <sz val="9"/>
        <color theme="1"/>
        <rFont val="Century Schoolbook"/>
        <family val="1"/>
      </rPr>
      <t>4.-</t>
    </r>
    <r>
      <rPr>
        <sz val="10"/>
        <color theme="1"/>
        <rFont val="Arial Narrow"/>
      </rPr>
      <t xml:space="preserve"> Elaborar la orden de pago en el SUPA, para determinar los valores que deben descontarse en los roles de pago.
</t>
    </r>
    <r>
      <rPr>
        <b/>
        <sz val="9"/>
        <color theme="1"/>
        <rFont val="Century Schoolbook"/>
        <family val="1"/>
      </rPr>
      <t>5.-</t>
    </r>
    <r>
      <rPr>
        <sz val="10"/>
        <color theme="1"/>
        <rFont val="Arial Narrow"/>
      </rPr>
      <t xml:space="preserve"> Parametrizar en el sistema SPRYN los cambios que sean necesarios para la ejecución de las nóminas.
</t>
    </r>
    <r>
      <rPr>
        <b/>
        <sz val="9"/>
        <color theme="1"/>
        <rFont val="Century Schoolbook"/>
        <family val="1"/>
      </rPr>
      <t>6.-</t>
    </r>
    <r>
      <rPr>
        <sz val="10"/>
        <color theme="1"/>
        <rFont val="Arial Narrow"/>
      </rPr>
      <t xml:space="preserve"> Consultar vía telefónica al Centro de Servicio del Ministerio de Finanzas sobre varios aspectos relacionados a la aplicación de cambios en las parametrizaciones en el sistema SPRYN.
</t>
    </r>
    <r>
      <rPr>
        <b/>
        <sz val="9"/>
        <color theme="1"/>
        <rFont val="Century Schoolbook"/>
        <family val="1"/>
      </rPr>
      <t>7.-</t>
    </r>
    <r>
      <rPr>
        <sz val="10"/>
        <color theme="1"/>
        <rFont val="Arial Narrow"/>
      </rPr>
      <t xml:space="preserve"> Calcular valores para la elaboración de los roles de pago, tanto en el programa interno como en Excel, de acuerdo a las necesidades.
</t>
    </r>
    <r>
      <rPr>
        <b/>
        <sz val="9"/>
        <color theme="1"/>
        <rFont val="Century Schoolbook"/>
        <family val="1"/>
      </rPr>
      <t>8.-</t>
    </r>
    <r>
      <rPr>
        <sz val="10"/>
        <color theme="1"/>
        <rFont val="Arial Narrow"/>
      </rPr>
      <t xml:space="preserve"> Modificar en el programa interno de roles de pago para adaptarlo a las necesidades de la nómina vigente, así como correcciones a roles efectuados en Excel.
</t>
    </r>
    <r>
      <rPr>
        <b/>
        <sz val="9"/>
        <color theme="1"/>
        <rFont val="Century Schoolbook"/>
        <family val="1"/>
      </rPr>
      <t>9.-</t>
    </r>
    <r>
      <rPr>
        <sz val="10"/>
        <color theme="1"/>
        <rFont val="Arial Narrow"/>
      </rPr>
      <t xml:space="preserve"> Ingresar datos en el sistema interno de roles de pago, así como en Excel cuando se trata de nóminas adicionales.
</t>
    </r>
    <r>
      <rPr>
        <b/>
        <sz val="9"/>
        <color theme="1"/>
        <rFont val="Century Schoolbook"/>
        <family val="1"/>
      </rPr>
      <t>10.-</t>
    </r>
    <r>
      <rPr>
        <sz val="10"/>
        <color theme="1"/>
        <rFont val="Arial Narrow"/>
      </rPr>
      <t xml:space="preserve"> Procesar la nómina para la obtención de resultados.
</t>
    </r>
    <r>
      <rPr>
        <b/>
        <sz val="9"/>
        <color theme="1"/>
        <rFont val="Century Schoolbook"/>
        <family val="1"/>
      </rPr>
      <t>11.-</t>
    </r>
    <r>
      <rPr>
        <sz val="10"/>
        <color theme="1"/>
        <rFont val="Arial Narrow"/>
      </rPr>
      <t xml:space="preserve"> Imprimir borradores de balances, roles de pagos, reportes, para la revisión y cuadre.
</t>
    </r>
    <r>
      <rPr>
        <b/>
        <sz val="9"/>
        <color theme="1"/>
        <rFont val="Century Schoolbook"/>
        <family val="1"/>
      </rPr>
      <t>12.-</t>
    </r>
    <r>
      <rPr>
        <sz val="10"/>
        <color theme="1"/>
        <rFont val="Arial Narrow"/>
      </rPr>
      <t xml:space="preserve"> Corregir errores encontrados.
</t>
    </r>
    <r>
      <rPr>
        <b/>
        <sz val="9"/>
        <color theme="1"/>
        <rFont val="Century Schoolbook"/>
        <family val="1"/>
      </rPr>
      <t>13.-</t>
    </r>
    <r>
      <rPr>
        <sz val="10"/>
        <color theme="1"/>
        <rFont val="Arial Narrow"/>
      </rPr>
      <t xml:space="preserve"> Transportar datos de las nóminas en el sistema SPRYN y validarlas.
</t>
    </r>
    <r>
      <rPr>
        <b/>
        <sz val="9"/>
        <color theme="1"/>
        <rFont val="Century Schoolbook"/>
        <family val="1"/>
      </rPr>
      <t>14.-</t>
    </r>
    <r>
      <rPr>
        <sz val="10"/>
        <color theme="1"/>
        <rFont val="Arial Narrow"/>
      </rPr>
      <t xml:space="preserve"> Aprobar y generar el cur de pagos de las nóminas por parte del Jefe de la Sección.
</t>
    </r>
    <r>
      <rPr>
        <b/>
        <sz val="9"/>
        <color theme="1"/>
        <rFont val="Century Schoolbook"/>
        <family val="1"/>
      </rPr>
      <t>15.-</t>
    </r>
    <r>
      <rPr>
        <sz val="10"/>
        <color theme="1"/>
        <rFont val="Arial Narrow"/>
      </rPr>
      <t xml:space="preserve"> Reproducir  roles, reportes y más documentos que sirven como base legal para la ejecución de la nómina.</t>
    </r>
  </si>
  <si>
    <r>
      <rPr>
        <b/>
        <sz val="9"/>
        <color theme="1"/>
        <rFont val="Century Schoolbook"/>
        <family val="1"/>
      </rPr>
      <t>1.-</t>
    </r>
    <r>
      <rPr>
        <sz val="10"/>
        <color theme="1"/>
        <rFont val="Arial Narrow"/>
      </rPr>
      <t xml:space="preserve"> Controlar previamente la documentación, sumillados por el Jefe de la Sección, para la aplicación en las liquidaciones de haberes.
</t>
    </r>
    <r>
      <rPr>
        <b/>
        <sz val="9"/>
        <color theme="1"/>
        <rFont val="Century Schoolbook"/>
        <family val="1"/>
      </rPr>
      <t>2.-</t>
    </r>
    <r>
      <rPr>
        <sz val="10"/>
        <color theme="1"/>
        <rFont val="Arial Narrow"/>
      </rPr>
      <t xml:space="preserve"> Parametrizar en el Subsistema SPRYN los cambios que sean necesarios para la ejecución de las nóminas.
</t>
    </r>
    <r>
      <rPr>
        <b/>
        <sz val="9"/>
        <color theme="1"/>
        <rFont val="Century Schoolbook"/>
        <family val="1"/>
      </rPr>
      <t>3.-</t>
    </r>
    <r>
      <rPr>
        <sz val="10"/>
        <color theme="1"/>
        <rFont val="Arial Narrow"/>
      </rPr>
      <t xml:space="preserve"> Calcular valores para la elaboración de las liquidaciones en Excel, de acuerdo a las necesidades.
</t>
    </r>
    <r>
      <rPr>
        <b/>
        <sz val="9"/>
        <color theme="1"/>
        <rFont val="Century Schoolbook"/>
        <family val="1"/>
      </rPr>
      <t>4.-</t>
    </r>
    <r>
      <rPr>
        <sz val="10"/>
        <color theme="1"/>
        <rFont val="Arial Narrow"/>
      </rPr>
      <t xml:space="preserve"> Transportar datos de las nóminas en el Subsistema SPRYN y validarlas.
</t>
    </r>
    <r>
      <rPr>
        <b/>
        <sz val="9"/>
        <color theme="1"/>
        <rFont val="Century Schoolbook"/>
        <family val="1"/>
      </rPr>
      <t>5.-</t>
    </r>
    <r>
      <rPr>
        <sz val="10"/>
        <color theme="1"/>
        <rFont val="Arial Narrow"/>
      </rPr>
      <t xml:space="preserve"> Aprobar y generar los cur de pagos de las nóminas por parte del Jefe de la Sección.
</t>
    </r>
    <r>
      <rPr>
        <b/>
        <sz val="9"/>
        <color theme="1"/>
        <rFont val="Century Schoolbook"/>
        <family val="1"/>
      </rPr>
      <t>6.-</t>
    </r>
    <r>
      <rPr>
        <sz val="10"/>
        <color theme="1"/>
        <rFont val="Arial Narrow"/>
      </rPr>
      <t xml:space="preserve"> Reproducir  roles, reportes y más documentos que sirven como base legal para la ejecución de la nómina.</t>
    </r>
  </si>
  <si>
    <r>
      <rPr>
        <b/>
        <sz val="9"/>
        <color theme="1"/>
        <rFont val="Century Schoolbook"/>
        <family val="1"/>
      </rPr>
      <t>1.-</t>
    </r>
    <r>
      <rPr>
        <sz val="10"/>
        <color theme="1"/>
        <rFont val="Arial Narrow"/>
      </rPr>
      <t xml:space="preserve"> Revisar previamente los documentos enviados por la Dirección Financiera y las acciones de personal remitidas por la Dirección de Talento Humano, que constituyen la base legal para la aplicación en las reformas web, tanto centralizadas como desconcentradas para la modificación del distributivo institucional registrado en el Subsistema SPRYN del Ministerio
de Finanzas. Gestionar la aprobación de las mismas.
</t>
    </r>
    <r>
      <rPr>
        <b/>
        <sz val="9"/>
        <color theme="1"/>
        <rFont val="Century Schoolbook"/>
        <family val="1"/>
      </rPr>
      <t>2.-</t>
    </r>
    <r>
      <rPr>
        <sz val="10"/>
        <color theme="1"/>
        <rFont val="Arial Narrow"/>
      </rPr>
      <t xml:space="preserve"> Elaborar cuadros en el formato emitido por el Ministerio de Finanzas para justificar la disponibilidad presupuestaria y efectuar los movimientos del personal en el distributivo institucional..
</t>
    </r>
    <r>
      <rPr>
        <b/>
        <sz val="9"/>
        <color theme="1"/>
        <rFont val="Century Schoolbook"/>
        <family val="1"/>
      </rPr>
      <t>3.-</t>
    </r>
    <r>
      <rPr>
        <sz val="10"/>
        <color theme="1"/>
        <rFont val="Arial Narrow"/>
      </rPr>
      <t xml:space="preserve"> Elaborar informes en el Subsistema SPRYN para la emisión de la resolución que respaldará la aprobación de las reformas desconcentradas.
</t>
    </r>
    <r>
      <rPr>
        <b/>
        <sz val="9"/>
        <color theme="1"/>
        <rFont val="Century Schoolbook"/>
        <family val="1"/>
      </rPr>
      <t>4.-</t>
    </r>
    <r>
      <rPr>
        <sz val="10"/>
        <color theme="1"/>
        <rFont val="Arial Narrow"/>
      </rPr>
      <t xml:space="preserve"> Consultar vía telefónica al Centro de Servicio del Ministerio de Finanzas sobre varios aspectos relacionados a la aplicación de cambios en las parametrizaciones en el sistema SPRYN.</t>
    </r>
  </si>
  <si>
    <r>
      <rPr>
        <b/>
        <sz val="9"/>
        <color theme="1"/>
        <rFont val="Century Schoolbook"/>
        <family val="1"/>
      </rPr>
      <t>1.-</t>
    </r>
    <r>
      <rPr>
        <sz val="10"/>
        <color theme="1"/>
        <rFont val="Arial Narrow"/>
      </rPr>
      <t xml:space="preserve"> Recopilar información del pago de nóminas en el Subsistema SPRYN, para revisar montos de aportes enviados al IESS.
</t>
    </r>
    <r>
      <rPr>
        <b/>
        <sz val="9"/>
        <color theme="1"/>
        <rFont val="Century Schoolbook"/>
        <family val="1"/>
      </rPr>
      <t>2.-</t>
    </r>
    <r>
      <rPr>
        <sz val="10"/>
        <color theme="1"/>
        <rFont val="Arial Narrow"/>
      </rPr>
      <t xml:space="preserve"> Controlar previamente los monos de sueldos registrados en el IESS frente a los cancelados por la institución a través del Subsistema SPRYN.
</t>
    </r>
    <r>
      <rPr>
        <b/>
        <sz val="9"/>
        <color theme="1"/>
        <rFont val="Century Schoolbook"/>
        <family val="1"/>
      </rPr>
      <t>3.-</t>
    </r>
    <r>
      <rPr>
        <sz val="10"/>
        <color theme="1"/>
        <rFont val="Arial Narrow"/>
      </rPr>
      <t xml:space="preserve"> Imprimir planillas generadas en el IESS para elaborar el reporte de cuadre de aportaciones por régimen laboral.
</t>
    </r>
    <r>
      <rPr>
        <b/>
        <sz val="9"/>
        <color theme="1"/>
        <rFont val="Century Schoolbook"/>
        <family val="1"/>
      </rPr>
      <t>4.-</t>
    </r>
    <r>
      <rPr>
        <sz val="10"/>
        <color theme="1"/>
        <rFont val="Arial Narrow"/>
      </rPr>
      <t xml:space="preserve"> Elaborar el reporte mensual del cuadre de aportes al IESS.</t>
    </r>
  </si>
  <si>
    <r>
      <rPr>
        <b/>
        <sz val="9"/>
        <color theme="1"/>
        <rFont val="Century Schoolbook"/>
        <family val="1"/>
      </rPr>
      <t>1.-</t>
    </r>
    <r>
      <rPr>
        <sz val="10"/>
        <color theme="1"/>
        <rFont val="Arial Narrow"/>
      </rPr>
      <t xml:space="preserve"> Bajar el distributivo registrado en el Subsistema SPRYN con corte al último movimiento del mes que se va a reportar.
</t>
    </r>
    <r>
      <rPr>
        <b/>
        <sz val="9"/>
        <color theme="1"/>
        <rFont val="Century Schoolbook"/>
        <family val="1"/>
      </rPr>
      <t>2.-</t>
    </r>
    <r>
      <rPr>
        <sz val="10"/>
        <color theme="1"/>
        <rFont val="Arial Narrow"/>
      </rPr>
      <t xml:space="preserve"> Migrar la información de nombres y sueldos constantes en el distributivo a las plantillas descargadas de la página web de la Defensoría del Pueblo.
</t>
    </r>
    <r>
      <rPr>
        <b/>
        <sz val="9"/>
        <color theme="1"/>
        <rFont val="Century Schoolbook"/>
        <family val="1"/>
      </rPr>
      <t>3.-</t>
    </r>
    <r>
      <rPr>
        <sz val="10"/>
        <color theme="1"/>
        <rFont val="Arial Narrow"/>
      </rPr>
      <t xml:space="preserve"> Ejecutar el control previo de los montos totales en remuneraciones canceladas por la institución a través del Subsistema SPRYN frente a lo descargado en el distributivo institucional.
</t>
    </r>
    <r>
      <rPr>
        <b/>
        <sz val="9"/>
        <color theme="1"/>
        <rFont val="Century Schoolbook"/>
        <family val="1"/>
      </rPr>
      <t>4.-</t>
    </r>
    <r>
      <rPr>
        <sz val="10"/>
        <color theme="1"/>
        <rFont val="Arial Narrow"/>
      </rPr>
      <t xml:space="preserve"> Emitir la plantilla mensual para la entrega respectiva.</t>
    </r>
  </si>
  <si>
    <r>
      <rPr>
        <b/>
        <sz val="9"/>
        <color theme="1"/>
        <rFont val="Century Schoolbook"/>
        <family val="1"/>
      </rPr>
      <t>1.-</t>
    </r>
    <r>
      <rPr>
        <sz val="10"/>
        <color theme="1"/>
        <rFont val="Arial Narrow"/>
      </rPr>
      <t xml:space="preserve"> Revisar la normativa y metodología emitida por la Dirección de Planificación para la elaboración del POA.
</t>
    </r>
    <r>
      <rPr>
        <b/>
        <sz val="9"/>
        <color theme="1"/>
        <rFont val="Century Schoolbook"/>
        <family val="1"/>
      </rPr>
      <t>2.-</t>
    </r>
    <r>
      <rPr>
        <sz val="10"/>
        <color theme="1"/>
        <rFont val="Arial Narrow"/>
      </rPr>
      <t xml:space="preserve"> Cuantificar las metas que se programan alcanzar en el primer y segundo semestre.
</t>
    </r>
    <r>
      <rPr>
        <b/>
        <sz val="9"/>
        <color theme="1"/>
        <rFont val="Century Schoolbook"/>
        <family val="1"/>
      </rPr>
      <t>3.-</t>
    </r>
    <r>
      <rPr>
        <sz val="10"/>
        <color theme="1"/>
        <rFont val="Arial Narrow"/>
      </rPr>
      <t xml:space="preserve"> Describir las actividades a realizarse en cada meta.
</t>
    </r>
    <r>
      <rPr>
        <b/>
        <sz val="9"/>
        <color theme="1"/>
        <rFont val="Century Schoolbook"/>
        <family val="1"/>
      </rPr>
      <t>4.-</t>
    </r>
    <r>
      <rPr>
        <sz val="10"/>
        <color theme="1"/>
        <rFont val="Arial Narrow"/>
      </rPr>
      <t xml:space="preserve"> Establecer el material o insumos que serán necesarios para el desarrollo de cada meta.
</t>
    </r>
    <r>
      <rPr>
        <b/>
        <sz val="9"/>
        <color theme="1"/>
        <rFont val="Century Schoolbook"/>
        <family val="1"/>
      </rPr>
      <t>5.-</t>
    </r>
    <r>
      <rPr>
        <sz val="10"/>
        <color theme="1"/>
        <rFont val="Arial Narrow"/>
      </rPr>
      <t xml:space="preserve"> Obtener precios actuales de los materiales para establecer el monto presupuestado o estimado del gasto en el que se incurrirá por cada meta.
</t>
    </r>
    <r>
      <rPr>
        <b/>
        <sz val="9"/>
        <color theme="1"/>
        <rFont val="Century Schoolbook"/>
        <family val="1"/>
      </rPr>
      <t>6.-</t>
    </r>
    <r>
      <rPr>
        <sz val="10"/>
        <color theme="1"/>
        <rFont val="Arial Narrow"/>
      </rPr>
      <t xml:space="preserve"> Aplicar montos de gasto en compra de materiales a cada partida presupuestaria por meta.</t>
    </r>
  </si>
  <si>
    <r>
      <rPr>
        <b/>
        <sz val="9"/>
        <color theme="1"/>
        <rFont val="Century Schoolbook"/>
        <family val="1"/>
      </rPr>
      <t>1.-</t>
    </r>
    <r>
      <rPr>
        <sz val="10"/>
        <color theme="1"/>
        <rFont val="Arial Narrow"/>
      </rPr>
      <t xml:space="preserve"> Revisar la normativa vigente para la organización del archivo de la Sección.
</t>
    </r>
    <r>
      <rPr>
        <b/>
        <sz val="9"/>
        <color theme="1"/>
        <rFont val="Century Schoolbook"/>
        <family val="1"/>
      </rPr>
      <t>2.-</t>
    </r>
    <r>
      <rPr>
        <sz val="10"/>
        <color theme="1"/>
        <rFont val="Arial Narrow"/>
      </rPr>
      <t xml:space="preserve"> Recopilar los documentos que contendrán las carpetas destinadas a cada cajas.
</t>
    </r>
    <r>
      <rPr>
        <b/>
        <sz val="9"/>
        <color theme="1"/>
        <rFont val="Century Schoolbook"/>
        <family val="1"/>
      </rPr>
      <t>3.-</t>
    </r>
    <r>
      <rPr>
        <sz val="10"/>
        <color theme="1"/>
        <rFont val="Arial Narrow"/>
      </rPr>
      <t xml:space="preserve"> Entregar el inventario documental de la Sección.</t>
    </r>
  </si>
  <si>
    <r>
      <rPr>
        <b/>
        <sz val="9"/>
        <color theme="1"/>
        <rFont val="Century Schoolbook"/>
        <family val="1"/>
      </rPr>
      <t>1.-</t>
    </r>
    <r>
      <rPr>
        <sz val="10"/>
        <color theme="1"/>
        <rFont val="Arial Narrow"/>
      </rPr>
      <t xml:space="preserve"> Verificar resoluciones de Consejo Universitario para emitir títulos de crédito.
</t>
    </r>
    <r>
      <rPr>
        <b/>
        <sz val="9"/>
        <color theme="1"/>
        <rFont val="Century Schoolbook"/>
        <family val="1"/>
      </rPr>
      <t>2.-</t>
    </r>
    <r>
      <rPr>
        <sz val="10"/>
        <color theme="1"/>
        <rFont val="Arial Narrow"/>
      </rPr>
      <t xml:space="preserve"> Emitir Títulos de Crédito.
</t>
    </r>
    <r>
      <rPr>
        <b/>
        <sz val="9"/>
        <color theme="1"/>
        <rFont val="Century Schoolbook"/>
        <family val="1"/>
      </rPr>
      <t>3.-</t>
    </r>
    <r>
      <rPr>
        <sz val="10"/>
        <color theme="1"/>
        <rFont val="Arial Narrow"/>
      </rPr>
      <t xml:space="preserve"> Emitir órdenes de pago.
</t>
    </r>
    <r>
      <rPr>
        <b/>
        <sz val="9"/>
        <color theme="1"/>
        <rFont val="Century Schoolbook"/>
        <family val="1"/>
      </rPr>
      <t>4.-</t>
    </r>
    <r>
      <rPr>
        <sz val="10"/>
        <color theme="1"/>
        <rFont val="Arial Narrow"/>
      </rPr>
      <t xml:space="preserve"> Emitir Medidas cautelares.</t>
    </r>
  </si>
  <si>
    <r>
      <rPr>
        <b/>
        <sz val="9"/>
        <color theme="1"/>
        <rFont val="Century Schoolbook"/>
        <family val="1"/>
      </rPr>
      <t>1.-</t>
    </r>
    <r>
      <rPr>
        <sz val="10"/>
        <color theme="1"/>
        <rFont val="Arial Narrow"/>
      </rPr>
      <t xml:space="preserve"> Realizar notificaciones previas a deudores.
</t>
    </r>
    <r>
      <rPr>
        <b/>
        <sz val="9"/>
        <color theme="1"/>
        <rFont val="Century Schoolbook"/>
        <family val="1"/>
      </rPr>
      <t>2.-</t>
    </r>
    <r>
      <rPr>
        <sz val="10"/>
        <color theme="1"/>
        <rFont val="Arial Narrow"/>
      </rPr>
      <t xml:space="preserve"> Coordinar la elaboración de Convenio de Pagos por parte de Procuraduría General.</t>
    </r>
  </si>
  <si>
    <r>
      <rPr>
        <b/>
        <sz val="9"/>
        <color theme="1"/>
        <rFont val="Century Schoolbook"/>
        <family val="1"/>
      </rPr>
      <t>1.-</t>
    </r>
    <r>
      <rPr>
        <sz val="10"/>
        <color theme="1"/>
        <rFont val="Arial Narrow"/>
      </rPr>
      <t xml:space="preserve"> Realizar oficios a entidades como Superintendencia de Economía Popular y Solidaria; Superintendencia de Bancos; Registro de la Propiedad.</t>
    </r>
  </si>
  <si>
    <r>
      <rPr>
        <b/>
        <sz val="9"/>
        <color theme="1"/>
        <rFont val="Century Schoolbook"/>
        <family val="1"/>
      </rPr>
      <t>1.-</t>
    </r>
    <r>
      <rPr>
        <sz val="10"/>
        <color theme="1"/>
        <rFont val="Arial Narrow"/>
      </rPr>
      <t xml:space="preserve"> Receptar las comunicaciones de organismos externos sobre embargos a cuentas bancarias o bienes muebles o inmuebles del deudor.</t>
    </r>
  </si>
  <si>
    <r>
      <rPr>
        <b/>
        <sz val="9"/>
        <color theme="1"/>
        <rFont val="Century Schoolbook"/>
        <family val="1"/>
      </rPr>
      <t>1.-</t>
    </r>
    <r>
      <rPr>
        <sz val="10"/>
        <color theme="1"/>
        <rFont val="Arial Narrow"/>
      </rPr>
      <t xml:space="preserve"> Ordenar el remate de bienes embargados. </t>
    </r>
  </si>
  <si>
    <r>
      <rPr>
        <b/>
        <sz val="9"/>
        <color theme="1"/>
        <rFont val="Century Schoolbook"/>
        <family val="1"/>
      </rPr>
      <t>1.-</t>
    </r>
    <r>
      <rPr>
        <sz val="10"/>
        <color theme="1"/>
        <rFont val="Arial Narrow"/>
      </rPr>
      <t xml:space="preserve"> Coordinar la ejecución de ventas directas.
</t>
    </r>
    <r>
      <rPr>
        <b/>
        <sz val="9"/>
        <color theme="1"/>
        <rFont val="Century Schoolbook"/>
        <family val="1"/>
      </rPr>
      <t>2.-</t>
    </r>
    <r>
      <rPr>
        <sz val="10"/>
        <color theme="1"/>
        <rFont val="Arial Narrow"/>
      </rPr>
      <t xml:space="preserve"> Oficiar si fuere el caso a Organismos externos para la ejecución de la venta.</t>
    </r>
  </si>
  <si>
    <r>
      <rPr>
        <b/>
        <sz val="9"/>
        <color theme="1"/>
        <rFont val="Century Schoolbook"/>
        <family val="1"/>
      </rPr>
      <t>1.-</t>
    </r>
    <r>
      <rPr>
        <sz val="10"/>
        <color theme="1"/>
        <rFont val="Arial Narrow"/>
      </rPr>
      <t xml:space="preserve"> Elaborar la Planificación Operativa Anual de acuerdo a las directrices emitidas.
</t>
    </r>
    <r>
      <rPr>
        <b/>
        <sz val="9"/>
        <color theme="1"/>
        <rFont val="Century Schoolbook"/>
        <family val="1"/>
      </rPr>
      <t>2.-</t>
    </r>
    <r>
      <rPr>
        <sz val="10"/>
        <color theme="1"/>
        <rFont val="Arial Narrow"/>
      </rPr>
      <t xml:space="preserve"> Efectuar la evaluación de la Planificación Operativa Anual.
</t>
    </r>
    <r>
      <rPr>
        <b/>
        <sz val="9"/>
        <color theme="1"/>
        <rFont val="Century Schoolbook"/>
        <family val="1"/>
      </rPr>
      <t>3.-</t>
    </r>
    <r>
      <rPr>
        <sz val="10"/>
        <color theme="1"/>
        <rFont val="Arial Narrow"/>
      </rPr>
      <t xml:space="preserve"> Preparación y cargar evidencias del POA en la carpeta asignada a la Unidad.</t>
    </r>
  </si>
  <si>
    <r>
      <rPr>
        <b/>
        <sz val="9"/>
        <color theme="1"/>
        <rFont val="Century Schoolbook"/>
        <family val="1"/>
      </rPr>
      <t>1.-</t>
    </r>
    <r>
      <rPr>
        <sz val="10"/>
        <color theme="1"/>
        <rFont val="Arial Narrow"/>
      </rPr>
      <t xml:space="preserve"> Seleccionar la documentación para su archivo correspondiente.
</t>
    </r>
    <r>
      <rPr>
        <b/>
        <sz val="9"/>
        <color theme="1"/>
        <rFont val="Century Schoolbook"/>
        <family val="1"/>
      </rPr>
      <t>2.-</t>
    </r>
    <r>
      <rPr>
        <sz val="10"/>
        <color theme="1"/>
        <rFont val="Arial Narrow"/>
      </rPr>
      <t xml:space="preserve"> Organizar los expedientes.
</t>
    </r>
    <r>
      <rPr>
        <b/>
        <sz val="9"/>
        <color theme="1"/>
        <rFont val="Century Schoolbook"/>
        <family val="1"/>
      </rPr>
      <t>3.-</t>
    </r>
    <r>
      <rPr>
        <sz val="10"/>
        <color theme="1"/>
        <rFont val="Arial Narrow"/>
      </rPr>
      <t xml:space="preserve"> Preservar la documentación en las unidades de almacenamiento.</t>
    </r>
  </si>
  <si>
    <r>
      <rPr>
        <b/>
        <sz val="9"/>
        <color theme="1"/>
        <rFont val="Century Schoolbook"/>
        <family val="1"/>
      </rPr>
      <t>1.-</t>
    </r>
    <r>
      <rPr>
        <sz val="10"/>
        <color theme="1"/>
        <rFont val="Arial Narrow"/>
      </rPr>
      <t xml:space="preserve"> Reporte de directrices entregadas a las Unidades que corresponden a la Dirección.</t>
    </r>
  </si>
  <si>
    <r>
      <rPr>
        <b/>
        <sz val="9"/>
        <color theme="1"/>
        <rFont val="Century Schoolbook"/>
        <family val="1"/>
      </rPr>
      <t>1.-</t>
    </r>
    <r>
      <rPr>
        <sz val="10"/>
        <color theme="1"/>
        <rFont val="Arial Narrow"/>
      </rPr>
      <t xml:space="preserve"> Proforma presupuestaria </t>
    </r>
    <r>
      <rPr>
        <sz val="10"/>
        <color theme="1"/>
        <rFont val="Century Schoolbook"/>
        <family val="1"/>
      </rPr>
      <t>2024</t>
    </r>
    <r>
      <rPr>
        <sz val="10"/>
        <color theme="1"/>
        <rFont val="Arial Narrow"/>
      </rPr>
      <t xml:space="preserve"> aprobada por el Consejo Universitario.
</t>
    </r>
    <r>
      <rPr>
        <b/>
        <sz val="9"/>
        <color theme="1"/>
        <rFont val="Century Schoolbook"/>
        <family val="1"/>
      </rPr>
      <t>2.-</t>
    </r>
    <r>
      <rPr>
        <sz val="10"/>
        <color theme="1"/>
        <rFont val="Arial Narrow"/>
      </rPr>
      <t xml:space="preserve"> Registro de reformas presupuestaria aprobadas por el Consejo Universitario.</t>
    </r>
  </si>
  <si>
    <r>
      <rPr>
        <b/>
        <sz val="9"/>
        <color theme="1"/>
        <rFont val="Century Schoolbook"/>
        <family val="1"/>
      </rPr>
      <t>1.-</t>
    </r>
    <r>
      <rPr>
        <sz val="10"/>
        <color theme="1"/>
        <rFont val="Arial Narrow"/>
      </rPr>
      <t xml:space="preserve"> Reporte de los CUR de pago legalizados de las obligaciones de la Institución.
</t>
    </r>
    <r>
      <rPr>
        <b/>
        <sz val="9"/>
        <color theme="1"/>
        <rFont val="Century Schoolbook"/>
        <family val="1"/>
      </rPr>
      <t>2.-</t>
    </r>
    <r>
      <rPr>
        <sz val="10"/>
        <color theme="1"/>
        <rFont val="Arial Narrow"/>
      </rPr>
      <t xml:space="preserve"> Reporte de los Estados Financieros legalizados de la Institución.</t>
    </r>
  </si>
  <si>
    <r>
      <rPr>
        <b/>
        <sz val="9"/>
        <color theme="1"/>
        <rFont val="Century Schoolbook"/>
        <family val="1"/>
      </rPr>
      <t>1.-</t>
    </r>
    <r>
      <rPr>
        <sz val="10"/>
        <color theme="1"/>
        <rFont val="Arial Narrow"/>
      </rPr>
      <t xml:space="preserve"> Plan Operativo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Evaluación del POA </t>
    </r>
    <r>
      <rPr>
        <sz val="10"/>
        <color theme="1"/>
        <rFont val="Century Schoolbook"/>
        <family val="1"/>
      </rPr>
      <t>2023.</t>
    </r>
  </si>
  <si>
    <r>
      <rPr>
        <b/>
        <sz val="9"/>
        <color theme="1"/>
        <rFont val="Century Schoolbook"/>
        <family val="1"/>
      </rPr>
      <t>1.-</t>
    </r>
    <r>
      <rPr>
        <sz val="10"/>
        <color theme="1"/>
        <rFont val="Arial Narrow"/>
      </rPr>
      <t xml:space="preserve"> Inventario documental ingresado.</t>
    </r>
  </si>
  <si>
    <r>
      <rPr>
        <b/>
        <sz val="9"/>
        <color theme="1"/>
        <rFont val="Century Schoolbook"/>
        <family val="1"/>
      </rPr>
      <t>1.-</t>
    </r>
    <r>
      <rPr>
        <sz val="10"/>
        <color theme="1"/>
        <rFont val="Arial Narrow"/>
      </rPr>
      <t xml:space="preserve"> Memoria gráfica del estado solicitado de la Proforma Presupuestaria.</t>
    </r>
  </si>
  <si>
    <r>
      <rPr>
        <b/>
        <sz val="9"/>
        <color theme="1"/>
        <rFont val="Century Schoolbook"/>
        <family val="1"/>
      </rPr>
      <t>1.-</t>
    </r>
    <r>
      <rPr>
        <sz val="10"/>
        <color theme="1"/>
        <rFont val="Arial Narrow"/>
      </rPr>
      <t xml:space="preserve"> Reporte de comprobantes de reformas presupuestarias.</t>
    </r>
  </si>
  <si>
    <r>
      <rPr>
        <b/>
        <sz val="9"/>
        <color theme="1"/>
        <rFont val="Century Schoolbook"/>
        <family val="1"/>
      </rPr>
      <t>1.-</t>
    </r>
    <r>
      <rPr>
        <sz val="10"/>
        <color theme="1"/>
        <rFont val="Arial Narrow"/>
      </rPr>
      <t xml:space="preserve"> Matriz de certificaciones presupuestarias previa aplicación del control interno.</t>
    </r>
  </si>
  <si>
    <r>
      <rPr>
        <b/>
        <sz val="9"/>
        <color theme="1"/>
        <rFont val="Century Schoolbook"/>
        <family val="1"/>
      </rPr>
      <t>1.-</t>
    </r>
    <r>
      <rPr>
        <sz val="10"/>
        <color theme="1"/>
        <rFont val="Arial Narrow"/>
      </rPr>
      <t xml:space="preserve"> Matriz del estado de las certificaciones presupuestarias emitidas.</t>
    </r>
  </si>
  <si>
    <r>
      <rPr>
        <b/>
        <sz val="9"/>
        <color theme="1"/>
        <rFont val="Century Schoolbook"/>
        <family val="1"/>
      </rPr>
      <t>1.-</t>
    </r>
    <r>
      <rPr>
        <sz val="10"/>
        <color theme="1"/>
        <rFont val="Arial Narrow"/>
      </rPr>
      <t xml:space="preserve"> Matriz de Comprobantes Únicos de Registro, CUR de compromiso, previa aplicación del control interno.</t>
    </r>
  </si>
  <si>
    <r>
      <rPr>
        <b/>
        <sz val="9"/>
        <color theme="1"/>
        <rFont val="Century Schoolbook"/>
        <family val="1"/>
      </rPr>
      <t>1.-</t>
    </r>
    <r>
      <rPr>
        <sz val="10"/>
        <color theme="1"/>
        <rFont val="Arial Narrow"/>
      </rPr>
      <t xml:space="preserve"> Reporte de informes presentados.</t>
    </r>
  </si>
  <si>
    <r>
      <rPr>
        <b/>
        <sz val="9"/>
        <color theme="1"/>
        <rFont val="Century Schoolbook"/>
        <family val="1"/>
      </rPr>
      <t>1.-</t>
    </r>
    <r>
      <rPr>
        <sz val="10"/>
        <color theme="1"/>
        <rFont val="Arial Narrow"/>
      </rPr>
      <t xml:space="preserve"> Reporte de comprobantes de reprogramación financiera.</t>
    </r>
  </si>
  <si>
    <r>
      <rPr>
        <b/>
        <sz val="9"/>
        <color theme="1"/>
        <rFont val="Century Schoolbook"/>
        <family val="1"/>
      </rPr>
      <t>1.-</t>
    </r>
    <r>
      <rPr>
        <sz val="10"/>
        <color theme="1"/>
        <rFont val="Arial Narrow"/>
      </rPr>
      <t xml:space="preserve"> Matriz de entrega de plantillas de los literales g) y l).</t>
    </r>
  </si>
  <si>
    <r>
      <rPr>
        <b/>
        <sz val="9"/>
        <color theme="1"/>
        <rFont val="Century Schoolbook"/>
        <family val="1"/>
      </rPr>
      <t>1.-</t>
    </r>
    <r>
      <rPr>
        <sz val="10"/>
        <color theme="1"/>
        <rFont val="Arial Narrow"/>
      </rPr>
      <t xml:space="preserve"> Reporte de comprobante de Registro Único de ingreso previa aplicación del control interno.
</t>
    </r>
    <r>
      <rPr>
        <b/>
        <sz val="9"/>
        <color theme="1"/>
        <rFont val="Century Schoolbook"/>
        <family val="1"/>
      </rPr>
      <t>2.-</t>
    </r>
    <r>
      <rPr>
        <sz val="10"/>
        <color theme="1"/>
        <rFont val="Arial Narrow"/>
      </rPr>
      <t xml:space="preserve"> Reporte de comprobantes únicos de registro de gastos devengados, con sus respectivas retenciones electrónicas.</t>
    </r>
  </si>
  <si>
    <r>
      <rPr>
        <b/>
        <sz val="9"/>
        <color theme="1"/>
        <rFont val="Century Schoolbook"/>
        <family val="1"/>
      </rPr>
      <t>1.-</t>
    </r>
    <r>
      <rPr>
        <sz val="10"/>
        <color theme="1"/>
        <rFont val="Arial Narrow"/>
      </rPr>
      <t xml:space="preserve"> Balance de Comprobación de sumas y saldos presentados.</t>
    </r>
  </si>
  <si>
    <r>
      <rPr>
        <b/>
        <sz val="9"/>
        <color theme="1"/>
        <rFont val="Century Schoolbook"/>
        <family val="1"/>
      </rPr>
      <t>1.-</t>
    </r>
    <r>
      <rPr>
        <sz val="10"/>
        <color theme="1"/>
        <rFont val="Arial Narrow"/>
      </rPr>
      <t xml:space="preserve"> Reporte de obligaciones tributarias cumplidas.</t>
    </r>
  </si>
  <si>
    <r>
      <rPr>
        <b/>
        <sz val="9"/>
        <color theme="1"/>
        <rFont val="Century Schoolbook"/>
        <family val="1"/>
      </rPr>
      <t>1.-</t>
    </r>
    <r>
      <rPr>
        <sz val="10"/>
        <color theme="1"/>
        <rFont val="Arial Narrow"/>
      </rPr>
      <t xml:space="preserve"> Matriz consolidada de comprobantes de anticipo, rendición, reposición y liquidación de fondos por viáticos y movilización.</t>
    </r>
  </si>
  <si>
    <r>
      <rPr>
        <b/>
        <sz val="9"/>
        <color theme="1"/>
        <rFont val="Century Schoolbook"/>
        <family val="1"/>
      </rPr>
      <t>1.-</t>
    </r>
    <r>
      <rPr>
        <sz val="10"/>
        <color theme="1"/>
        <rFont val="Arial Narrow"/>
      </rPr>
      <t xml:space="preserve"> Reporte de  saldos de inventarios de bienes muebles e inmuebles, semovientes, suministros y especies.</t>
    </r>
  </si>
  <si>
    <r>
      <rPr>
        <b/>
        <sz val="9"/>
        <color theme="1"/>
        <rFont val="Century Schoolbook"/>
        <family val="1"/>
      </rPr>
      <t>1.-</t>
    </r>
    <r>
      <rPr>
        <sz val="10"/>
        <color theme="1"/>
        <rFont val="Arial Narrow"/>
      </rPr>
      <t xml:space="preserve"> Reporte de ajustes por depreciación de bienes muebles e inmuebles, y de cierre  del ejercicio fiscal.</t>
    </r>
  </si>
  <si>
    <r>
      <rPr>
        <b/>
        <sz val="9"/>
        <color theme="1"/>
        <rFont val="Century Schoolbook"/>
        <family val="1"/>
      </rPr>
      <t>1.-</t>
    </r>
    <r>
      <rPr>
        <sz val="10"/>
        <color theme="1"/>
        <rFont val="Arial Narrow"/>
      </rPr>
      <t xml:space="preserve"> Reporte de Registros Contables de Roles de Pagados.</t>
    </r>
  </si>
  <si>
    <r>
      <rPr>
        <b/>
        <sz val="9"/>
        <color theme="1"/>
        <rFont val="Century Schoolbook"/>
        <family val="1"/>
      </rPr>
      <t>1.-</t>
    </r>
    <r>
      <rPr>
        <sz val="10"/>
        <color theme="1"/>
        <rFont val="Arial Narrow"/>
      </rPr>
      <t xml:space="preserve"> Informes de Programas Generados con los fondos Propios y de convenios interinstitucionales elaborados.</t>
    </r>
  </si>
  <si>
    <r>
      <rPr>
        <b/>
        <sz val="9"/>
        <color theme="1"/>
        <rFont val="Century Schoolbook"/>
        <family val="1"/>
      </rPr>
      <t>1.-</t>
    </r>
    <r>
      <rPr>
        <sz val="10"/>
        <color theme="1"/>
        <rFont val="Arial Narrow"/>
      </rPr>
      <t xml:space="preserve"> Plan Operativo Anual.
</t>
    </r>
    <r>
      <rPr>
        <b/>
        <sz val="9"/>
        <color theme="1"/>
        <rFont val="Century Schoolbook"/>
        <family val="1"/>
      </rPr>
      <t>2.-</t>
    </r>
    <r>
      <rPr>
        <sz val="10"/>
        <color theme="1"/>
        <rFont val="Arial Narrow"/>
      </rPr>
      <t xml:space="preserve"> Evaluación del POA del año </t>
    </r>
    <r>
      <rPr>
        <sz val="10"/>
        <color theme="1"/>
        <rFont val="Century Schoolbook"/>
        <family val="1"/>
      </rPr>
      <t>2023.</t>
    </r>
  </si>
  <si>
    <r>
      <rPr>
        <b/>
        <sz val="9"/>
        <color theme="1"/>
        <rFont val="Century Schoolbook"/>
        <family val="1"/>
      </rPr>
      <t>1.-</t>
    </r>
    <r>
      <rPr>
        <sz val="10"/>
        <color theme="1"/>
        <rFont val="Arial Narrow"/>
      </rPr>
      <t xml:space="preserve"> Inventario Documental desde </t>
    </r>
    <r>
      <rPr>
        <sz val="10"/>
        <color theme="1"/>
        <rFont val="Century Schoolbook"/>
        <family val="1"/>
      </rPr>
      <t>2022.</t>
    </r>
  </si>
  <si>
    <r>
      <rPr>
        <b/>
        <sz val="9"/>
        <color theme="1"/>
        <rFont val="Century Schoolbook"/>
        <family val="1"/>
      </rPr>
      <t>1.-</t>
    </r>
    <r>
      <rPr>
        <sz val="10"/>
        <color theme="1"/>
        <rFont val="Arial Narrow"/>
      </rPr>
      <t xml:space="preserve"> REPORTE DE COMPROBANTES DE INGRESO A CAJA.
</t>
    </r>
    <r>
      <rPr>
        <b/>
        <sz val="9"/>
        <color theme="1"/>
        <rFont val="Century Schoolbook"/>
        <family val="1"/>
      </rPr>
      <t>2.-</t>
    </r>
    <r>
      <rPr>
        <sz val="10"/>
        <color theme="1"/>
        <rFont val="Arial Narrow"/>
      </rPr>
      <t xml:space="preserve"> CUADRO DE RESUMEN DE: INGRESOS A CAJA;  FACTURAS; REPORTES DE INGRESOS A CAJA/REPORTES DE ESPECIES Y OTROS;COMPROBANTES DE INGRESOS A CAJA (CONTABILIZACIONES).
</t>
    </r>
    <r>
      <rPr>
        <b/>
        <sz val="9"/>
        <color theme="1"/>
        <rFont val="Century Schoolbook"/>
        <family val="1"/>
      </rPr>
      <t>3.-</t>
    </r>
    <r>
      <rPr>
        <sz val="10"/>
        <color theme="1"/>
        <rFont val="Arial Narrow"/>
      </rPr>
      <t xml:space="preserve"> RESUMEN DE REPORTES DE CONTROL DE CONTRATOS DE ARRENDAMIENTOS.                                                                                                                                                                                                                                                </t>
    </r>
    <r>
      <rPr>
        <b/>
        <sz val="9"/>
        <color theme="1"/>
        <rFont val="Century Schoolbook"/>
        <family val="1"/>
      </rPr>
      <t>4.-</t>
    </r>
    <r>
      <rPr>
        <sz val="10"/>
        <color theme="1"/>
        <rFont val="Arial Narrow"/>
      </rPr>
      <t xml:space="preserve"> REPORTE ENVIADO  DE  INCUMPLIMIENTO DE PAGOS DE CONVENIOS.                                                                                                                                                                                                                                                                                                                                 </t>
    </r>
    <r>
      <rPr>
        <b/>
        <sz val="9"/>
        <color theme="1"/>
        <rFont val="Century Schoolbook"/>
        <family val="1"/>
      </rPr>
      <t>5.-</t>
    </r>
    <r>
      <rPr>
        <sz val="10"/>
        <color theme="1"/>
        <rFont val="Arial Narrow"/>
      </rPr>
      <t xml:space="preserve"> REPORTE ENVIADO DE LOS RECHAZOS POR CONCEPTO DE PAGO DE MATRÍCULAS QUE NO HAN SIDO ATENDIDOS POR LOS ESTUDIANTES.                        </t>
    </r>
    <r>
      <rPr>
        <b/>
        <sz val="9"/>
        <color theme="1"/>
        <rFont val="Century Schoolbook"/>
        <family val="1"/>
      </rPr>
      <t>6.-</t>
    </r>
    <r>
      <rPr>
        <sz val="10"/>
        <color theme="1"/>
        <rFont val="Arial Narrow"/>
      </rPr>
      <t xml:space="preserve"> CORREOS ELECTRÓNICOS ENVIADOS A ESTUDIANTES DE DEUDAS PENDIENTES Y RECHAZOS DE PAGOS NO ATENDIDOS POR LOS ESTUDIANTES.</t>
    </r>
  </si>
  <si>
    <r>
      <rPr>
        <b/>
        <sz val="9"/>
        <color theme="1"/>
        <rFont val="Century Schoolbook"/>
        <family val="1"/>
      </rPr>
      <t>1.-</t>
    </r>
    <r>
      <rPr>
        <sz val="10"/>
        <color theme="1"/>
        <rFont val="Arial Narrow"/>
      </rPr>
      <t xml:space="preserve"> Reporte de Especies Custodiadas y entregadas a Secretaria.
</t>
    </r>
    <r>
      <rPr>
        <b/>
        <sz val="9"/>
        <color theme="1"/>
        <rFont val="Century Schoolbook"/>
        <family val="1"/>
      </rPr>
      <t>2.-</t>
    </r>
    <r>
      <rPr>
        <sz val="10"/>
        <color theme="1"/>
        <rFont val="Arial Narrow"/>
      </rPr>
      <t xml:space="preserve"> Reporte de especies entregadas a la Unidad de Contabilidad.</t>
    </r>
  </si>
  <si>
    <r>
      <rPr>
        <b/>
        <sz val="9"/>
        <color theme="1"/>
        <rFont val="Century Schoolbook"/>
        <family val="1"/>
      </rPr>
      <t>1.-</t>
    </r>
    <r>
      <rPr>
        <sz val="10"/>
        <color theme="1"/>
        <rFont val="Arial Narrow"/>
      </rPr>
      <t xml:space="preserve"> Reporte de CUR de Ingresos por recaudación de valores y amortizaciones.</t>
    </r>
  </si>
  <si>
    <r>
      <rPr>
        <b/>
        <sz val="9"/>
        <color theme="1"/>
        <rFont val="Century Schoolbook"/>
        <family val="1"/>
      </rPr>
      <t>1.-</t>
    </r>
    <r>
      <rPr>
        <sz val="10"/>
        <color theme="1"/>
        <rFont val="Arial Narrow"/>
      </rPr>
      <t xml:space="preserve"> Reporte de Beneficiarios y cuentas monetarias y fondos globales.</t>
    </r>
  </si>
  <si>
    <r>
      <rPr>
        <b/>
        <sz val="9"/>
        <color theme="1"/>
        <rFont val="Century Schoolbook"/>
        <family val="1"/>
      </rPr>
      <t>1.-</t>
    </r>
    <r>
      <rPr>
        <sz val="10"/>
        <color theme="1"/>
        <rFont val="Arial Narrow"/>
      </rPr>
      <t xml:space="preserve"> Reporte de control de vencimiento de garantías y de letras de cambio.</t>
    </r>
  </si>
  <si>
    <r>
      <rPr>
        <b/>
        <sz val="9"/>
        <color theme="1"/>
        <rFont val="Century Schoolbook"/>
        <family val="1"/>
      </rPr>
      <t>1.-</t>
    </r>
    <r>
      <rPr>
        <sz val="10"/>
        <color theme="1"/>
        <rFont val="Arial Narrow"/>
      </rPr>
      <t xml:space="preserve"> Reporte de entrega de plantillas del literal n) el Art. </t>
    </r>
    <r>
      <rPr>
        <sz val="10"/>
        <color theme="1"/>
        <rFont val="Century Schoolbook"/>
        <family val="1"/>
      </rPr>
      <t>7</t>
    </r>
    <r>
      <rPr>
        <sz val="10"/>
        <color theme="1"/>
        <rFont val="Arial Narrow"/>
      </rPr>
      <t xml:space="preserve"> de la Ley Orgánica de Transparencia y Acceso de Información Pública.</t>
    </r>
  </si>
  <si>
    <r>
      <rPr>
        <b/>
        <sz val="9"/>
        <color theme="1"/>
        <rFont val="Century Schoolbook"/>
        <family val="1"/>
      </rPr>
      <t>1.-</t>
    </r>
    <r>
      <rPr>
        <sz val="10"/>
        <color theme="1"/>
        <rFont val="Arial Narrow"/>
      </rPr>
      <t xml:space="preserve"> Reporte de CUR pagados.
</t>
    </r>
    <r>
      <rPr>
        <b/>
        <sz val="9"/>
        <color theme="1"/>
        <rFont val="Century Schoolbook"/>
        <family val="1"/>
      </rPr>
      <t>2.-</t>
    </r>
    <r>
      <rPr>
        <sz val="10"/>
        <color theme="1"/>
        <rFont val="Arial Narrow"/>
      </rPr>
      <t xml:space="preserve"> RESUMEN DE LISTADOS DE CUR CONFIRMADOS IMPRESOS ENTREGADOS A LA UNIDAD DE CONTABILIDAD.
</t>
    </r>
    <r>
      <rPr>
        <b/>
        <sz val="9"/>
        <color theme="1"/>
        <rFont val="Century Schoolbook"/>
        <family val="1"/>
      </rPr>
      <t>3.-</t>
    </r>
    <r>
      <rPr>
        <sz val="10"/>
        <color theme="1"/>
        <rFont val="Arial Narrow"/>
      </rPr>
      <t xml:space="preserve"> RESUMEN DE OFICIOS ENTREGADOS A LA UNIDAD DE COMPRAS PÚBLICAS ADJUNTANDO LOS IMPRESOS  DE LOS CUR CONFIRMADOS POR COMPRAS Y SERVICIOS.</t>
    </r>
  </si>
  <si>
    <r>
      <rPr>
        <b/>
        <sz val="9"/>
        <color theme="1"/>
        <rFont val="Century Schoolbook"/>
        <family val="1"/>
      </rPr>
      <t>1.-</t>
    </r>
    <r>
      <rPr>
        <sz val="10"/>
        <color theme="1"/>
        <rFont val="Arial Narrow"/>
      </rPr>
      <t xml:space="preserve"> Registro de entrega de certificaciones de remuneraciones percibidas y roles de pago.</t>
    </r>
  </si>
  <si>
    <r>
      <rPr>
        <b/>
        <sz val="9"/>
        <color theme="1"/>
        <rFont val="Century Schoolbook"/>
        <family val="1"/>
      </rPr>
      <t>1.-</t>
    </r>
    <r>
      <rPr>
        <sz val="10"/>
        <color theme="1"/>
        <rFont val="Arial Narrow"/>
      </rPr>
      <t xml:space="preserve"> Reporte de Conciliación Bancaria.</t>
    </r>
  </si>
  <si>
    <r>
      <rPr>
        <b/>
        <sz val="9"/>
        <color theme="1"/>
        <rFont val="Century Schoolbook"/>
        <family val="1"/>
      </rPr>
      <t>1.-</t>
    </r>
    <r>
      <rPr>
        <sz val="10"/>
        <color theme="1"/>
        <rFont val="Arial Narrow"/>
      </rPr>
      <t xml:space="preserve"> Plan Operativo Anual.
</t>
    </r>
    <r>
      <rPr>
        <b/>
        <sz val="9"/>
        <color theme="1"/>
        <rFont val="Century Schoolbook"/>
        <family val="1"/>
      </rPr>
      <t>2.-</t>
    </r>
    <r>
      <rPr>
        <sz val="10"/>
        <color theme="1"/>
        <rFont val="Arial Narrow"/>
      </rPr>
      <t xml:space="preserve"> Evaluación del POA.</t>
    </r>
  </si>
  <si>
    <r>
      <rPr>
        <b/>
        <sz val="9"/>
        <color theme="1"/>
        <rFont val="Century Schoolbook"/>
        <family val="1"/>
      </rPr>
      <t>1.-</t>
    </r>
    <r>
      <rPr>
        <sz val="10"/>
        <color theme="1"/>
        <rFont val="Arial Narrow"/>
      </rPr>
      <t xml:space="preserve"> Inventario Documental.
</t>
    </r>
    <r>
      <rPr>
        <b/>
        <sz val="9"/>
        <color theme="1"/>
        <rFont val="Century Schoolbook"/>
        <family val="1"/>
      </rPr>
      <t>2.-</t>
    </r>
    <r>
      <rPr>
        <sz val="10"/>
        <color theme="1"/>
        <rFont val="Arial Narrow"/>
      </rPr>
      <t xml:space="preserve"> RESUMEN DE LA RECEPCION, REVISION Y DESPACHO A LA UNIDAD DE NÓMINA DE FORMULARIOS DE PROYECCIÓN DE GASTOS PERSONALES DE SERVIDORES.
</t>
    </r>
    <r>
      <rPr>
        <b/>
        <sz val="9"/>
        <color theme="1"/>
        <rFont val="Century Schoolbook"/>
        <family val="1"/>
      </rPr>
      <t>3.-</t>
    </r>
    <r>
      <rPr>
        <sz val="10"/>
        <color theme="1"/>
        <rFont val="Arial Narrow"/>
      </rPr>
      <t xml:space="preserve"> REGISTRO DE FORMULARIO 107 ENTREGADOS A SERVIDORES.
</t>
    </r>
    <r>
      <rPr>
        <b/>
        <sz val="9"/>
        <color theme="1"/>
        <rFont val="Century Schoolbook"/>
        <family val="1"/>
      </rPr>
      <t>4.-</t>
    </r>
    <r>
      <rPr>
        <sz val="10"/>
        <color theme="1"/>
        <rFont val="Arial Narrow"/>
      </rPr>
      <t xml:space="preserve"> RESUMEN DE OFICIOS RECIBIDOS Y ENVIADOS.</t>
    </r>
  </si>
  <si>
    <r>
      <rPr>
        <b/>
        <sz val="9"/>
        <color theme="1"/>
        <rFont val="Century Schoolbook"/>
        <family val="1"/>
      </rPr>
      <t>1.-</t>
    </r>
    <r>
      <rPr>
        <sz val="10"/>
        <color theme="1"/>
        <rFont val="Arial Narrow"/>
      </rPr>
      <t xml:space="preserve"> Reportes de roles de pago por tipo de nómina.</t>
    </r>
  </si>
  <si>
    <r>
      <rPr>
        <b/>
        <sz val="9"/>
        <color theme="1"/>
        <rFont val="Century Schoolbook"/>
        <family val="1"/>
      </rPr>
      <t>1.-</t>
    </r>
    <r>
      <rPr>
        <sz val="10"/>
        <color theme="1"/>
        <rFont val="Arial Narrow"/>
      </rPr>
      <t xml:space="preserve"> Reporte de roles de pago por liquidación de haberes.</t>
    </r>
  </si>
  <si>
    <r>
      <rPr>
        <b/>
        <sz val="9"/>
        <color theme="1"/>
        <rFont val="Century Schoolbook"/>
        <family val="1"/>
      </rPr>
      <t>1.-</t>
    </r>
    <r>
      <rPr>
        <sz val="10"/>
        <color theme="1"/>
        <rFont val="Arial Narrow"/>
      </rPr>
      <t xml:space="preserve"> Reportes de reformas web centralizadas y/o desconcentradas.</t>
    </r>
  </si>
  <si>
    <r>
      <rPr>
        <b/>
        <sz val="9"/>
        <color theme="1"/>
        <rFont val="Century Schoolbook"/>
        <family val="1"/>
      </rPr>
      <t>1.-</t>
    </r>
    <r>
      <rPr>
        <sz val="10"/>
        <color theme="1"/>
        <rFont val="Arial Narrow"/>
      </rPr>
      <t xml:space="preserve"> Reporte</t>
    </r>
    <r>
      <rPr>
        <sz val="10"/>
        <color rgb="FFFF0000"/>
        <rFont val="Arial Narrow"/>
      </rPr>
      <t xml:space="preserve"> </t>
    </r>
    <r>
      <rPr>
        <sz val="10"/>
        <color theme="1"/>
        <rFont val="Arial Narrow"/>
      </rPr>
      <t>de cuadre de sueldos y aportes de los servidores universitarios entre el subsistema SPRYN del Ministerio de Finanzas  y el IESS.</t>
    </r>
  </si>
  <si>
    <r>
      <rPr>
        <b/>
        <sz val="9"/>
        <color theme="1"/>
        <rFont val="Century Schoolbook"/>
        <family val="1"/>
      </rPr>
      <t>1.-</t>
    </r>
    <r>
      <rPr>
        <sz val="10"/>
        <color theme="1"/>
        <rFont val="Arial Narrow"/>
      </rPr>
      <t xml:space="preserve"> Reportes de entrega de plantillas del literal c).</t>
    </r>
  </si>
  <si>
    <r>
      <rPr>
        <b/>
        <sz val="9"/>
        <color theme="1"/>
        <rFont val="Century Schoolbook"/>
        <family val="1"/>
      </rPr>
      <t>1.-</t>
    </r>
    <r>
      <rPr>
        <sz val="10"/>
        <color theme="1"/>
        <rFont val="Arial Narrow"/>
      </rPr>
      <t xml:space="preserve"> Notificaciones realizadas.</t>
    </r>
  </si>
  <si>
    <r>
      <rPr>
        <b/>
        <sz val="9"/>
        <color theme="1"/>
        <rFont val="Century Schoolbook"/>
        <family val="1"/>
      </rPr>
      <t>2.-</t>
    </r>
    <r>
      <rPr>
        <sz val="10"/>
        <color theme="1"/>
        <rFont val="Arial Narrow"/>
      </rPr>
      <t xml:space="preserve"> Resolución Administrativa para la elaboración del Convenio de Pago.</t>
    </r>
  </si>
  <si>
    <r>
      <rPr>
        <b/>
        <sz val="9"/>
        <color theme="1"/>
        <rFont val="Century Schoolbook"/>
        <family val="1"/>
      </rPr>
      <t>1.-</t>
    </r>
    <r>
      <rPr>
        <sz val="10"/>
        <color theme="1"/>
        <rFont val="Arial Narrow"/>
      </rPr>
      <t xml:space="preserve"> Oficios para cumplimiento de Medidas cautelares emitidas.</t>
    </r>
  </si>
  <si>
    <r>
      <rPr>
        <b/>
        <sz val="9"/>
        <color theme="1"/>
        <rFont val="Century Schoolbook"/>
        <family val="1"/>
      </rPr>
      <t>1.-</t>
    </r>
    <r>
      <rPr>
        <sz val="10"/>
        <color theme="1"/>
        <rFont val="Arial Narrow"/>
      </rPr>
      <t xml:space="preserve"> Comunicaciones de organismos externos por  embargos realizados.</t>
    </r>
  </si>
  <si>
    <r>
      <rPr>
        <b/>
        <sz val="9"/>
        <color theme="1"/>
        <rFont val="Century Schoolbook"/>
        <family val="1"/>
      </rPr>
      <t>1.-</t>
    </r>
    <r>
      <rPr>
        <sz val="10"/>
        <color theme="1"/>
        <rFont val="Arial Narrow"/>
        <family val="2"/>
      </rPr>
      <t xml:space="preserve"> Oficios para cumplimiento de remates ordenados.</t>
    </r>
  </si>
  <si>
    <r>
      <rPr>
        <b/>
        <sz val="9"/>
        <color theme="1"/>
        <rFont val="Century Schoolbook"/>
        <family val="1"/>
      </rPr>
      <t>1.-</t>
    </r>
    <r>
      <rPr>
        <sz val="10"/>
        <color theme="1"/>
        <rFont val="Arial Narrow"/>
      </rPr>
      <t xml:space="preserve"> Actas de ventas directas realizadas.</t>
    </r>
  </si>
  <si>
    <r>
      <rPr>
        <b/>
        <sz val="9"/>
        <color theme="1"/>
        <rFont val="Century Schoolbook"/>
        <family val="1"/>
      </rPr>
      <t>1.-</t>
    </r>
    <r>
      <rPr>
        <sz val="10"/>
        <color theme="1"/>
        <rFont val="Arial Narrow"/>
      </rPr>
      <t xml:space="preserve"> Planificación Operativa Anual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Evaluación del Plan Operativo Anual </t>
    </r>
    <r>
      <rPr>
        <sz val="10"/>
        <color theme="1"/>
        <rFont val="Century Schoolbook"/>
        <family val="1"/>
      </rPr>
      <t>2023.</t>
    </r>
  </si>
  <si>
    <r>
      <t xml:space="preserve">N° de cajas del archivo año </t>
    </r>
    <r>
      <rPr>
        <sz val="10"/>
        <color theme="1"/>
        <rFont val="Century Schoolbook"/>
        <family val="1"/>
      </rPr>
      <t>2021.</t>
    </r>
  </si>
  <si>
    <r>
      <t xml:space="preserve">N° de Cajas de Procesos a partir del año </t>
    </r>
    <r>
      <rPr>
        <sz val="10"/>
        <color theme="1"/>
        <rFont val="Century Schoolbook"/>
        <family val="1"/>
      </rPr>
      <t>2022</t>
    </r>
    <r>
      <rPr>
        <sz val="10"/>
        <color theme="1"/>
        <rFont val="Arial Narrow"/>
      </rPr>
      <t xml:space="preserve"> registrada en el inventario documental.</t>
    </r>
  </si>
  <si>
    <r>
      <t>N° de plantillas mensuales con la información del literal c) del Art.</t>
    </r>
    <r>
      <rPr>
        <sz val="10"/>
        <color theme="1"/>
        <rFont val="Century Schoolbook"/>
        <family val="1"/>
      </rPr>
      <t>7</t>
    </r>
    <r>
      <rPr>
        <sz val="10"/>
        <color theme="1"/>
        <rFont val="Arial Narrow"/>
      </rPr>
      <t xml:space="preserve"> de la LOTAIP, entregadas oportunamente.</t>
    </r>
  </si>
  <si>
    <r>
      <rPr>
        <b/>
        <sz val="9"/>
        <color theme="1"/>
        <rFont val="Century Schoolbook"/>
        <family val="1"/>
      </rPr>
      <t>8.-</t>
    </r>
    <r>
      <rPr>
        <sz val="10"/>
        <color theme="1"/>
        <rFont val="Arial Narrow"/>
      </rPr>
      <t xml:space="preserve"> Realizar el Archivo de la Unidad de Coactivas.</t>
    </r>
  </si>
  <si>
    <r>
      <rPr>
        <b/>
        <sz val="9"/>
        <color theme="1"/>
        <rFont val="Century Schoolbook"/>
        <family val="1"/>
      </rPr>
      <t>5.-</t>
    </r>
    <r>
      <rPr>
        <sz val="10"/>
        <color theme="1"/>
        <rFont val="Arial Narrow"/>
      </rPr>
      <t xml:space="preserve"> Coordinar la realización de remates.</t>
    </r>
  </si>
  <si>
    <r>
      <rPr>
        <b/>
        <sz val="9"/>
        <color theme="1"/>
        <rFont val="Century Schoolbook"/>
        <family val="1"/>
      </rPr>
      <t xml:space="preserve">4.- </t>
    </r>
    <r>
      <rPr>
        <sz val="10"/>
        <color theme="1"/>
        <rFont val="Arial Narrow"/>
        <family val="2"/>
      </rPr>
      <t>Coordinar embargos.</t>
    </r>
  </si>
  <si>
    <r>
      <rPr>
        <b/>
        <sz val="9"/>
        <color theme="1"/>
        <rFont val="Century Schoolbook"/>
        <family val="1"/>
      </rPr>
      <t>3.-</t>
    </r>
    <r>
      <rPr>
        <sz val="10"/>
        <color theme="1"/>
        <rFont val="Arial Narrow"/>
      </rPr>
      <t xml:space="preserve"> Realizar comunicaciones para emitir medidas cautelares. </t>
    </r>
  </si>
  <si>
    <r>
      <rPr>
        <b/>
        <sz val="9"/>
        <color theme="1"/>
        <rFont val="Century Schoolbook"/>
        <family val="1"/>
      </rPr>
      <t>1.-</t>
    </r>
    <r>
      <rPr>
        <sz val="10"/>
        <color theme="1"/>
        <rFont val="Arial Narrow"/>
        <family val="2"/>
      </rPr>
      <t xml:space="preserve"> Coordinar la emisión de Títulos de Crédito.</t>
    </r>
  </si>
  <si>
    <r>
      <rPr>
        <b/>
        <sz val="9"/>
        <color theme="1"/>
        <rFont val="Century Schoolbook"/>
        <family val="1"/>
      </rPr>
      <t>5.-</t>
    </r>
    <r>
      <rPr>
        <sz val="10"/>
        <color theme="1"/>
        <rFont val="Arial Narrow"/>
      </rPr>
      <t xml:space="preserve"> Emitir información del literal c) del Art.</t>
    </r>
    <r>
      <rPr>
        <sz val="10"/>
        <color theme="1"/>
        <rFont val="Century Schoolbook"/>
        <family val="1"/>
      </rPr>
      <t>7</t>
    </r>
    <r>
      <rPr>
        <sz val="10"/>
        <color theme="1"/>
        <rFont val="Arial Narrow"/>
      </rPr>
      <t xml:space="preserve"> de la Ley Orgánica de Transparencia y Acceso de Información Pública.</t>
    </r>
  </si>
  <si>
    <r>
      <rPr>
        <b/>
        <sz val="9"/>
        <color theme="1"/>
        <rFont val="Century Schoolbook"/>
        <family val="1"/>
      </rPr>
      <t>6.-</t>
    </r>
    <r>
      <rPr>
        <sz val="10"/>
        <color theme="1"/>
        <rFont val="Arial Narrow"/>
      </rPr>
      <t xml:space="preserve"> Emitir información del literal n) Viáticos, informes de trabajo y justificativos de movilización nacional o internacional del Art. </t>
    </r>
    <r>
      <rPr>
        <sz val="10"/>
        <color theme="1"/>
        <rFont val="Century Schoolbook"/>
        <family val="1"/>
      </rPr>
      <t>7</t>
    </r>
    <r>
      <rPr>
        <sz val="10"/>
        <color theme="1"/>
        <rFont val="Arial Narrow"/>
      </rPr>
      <t xml:space="preserve"> de la Ley Orgánica y Acceso de la Información Pública.</t>
    </r>
  </si>
  <si>
    <r>
      <rPr>
        <b/>
        <sz val="9"/>
        <color theme="1"/>
        <rFont val="Century Schoolbook"/>
        <family val="1"/>
      </rPr>
      <t>8.-</t>
    </r>
    <r>
      <rPr>
        <sz val="10"/>
        <color theme="1"/>
        <rFont val="Arial Narrow"/>
      </rPr>
      <t xml:space="preserve"> Emitir información de los literales g) y l) del Art. </t>
    </r>
    <r>
      <rPr>
        <sz val="10"/>
        <color theme="1"/>
        <rFont val="Century Schoolbook"/>
        <family val="1"/>
      </rPr>
      <t>7</t>
    </r>
    <r>
      <rPr>
        <sz val="10"/>
        <color theme="1"/>
        <rFont val="Arial Narrow"/>
      </rPr>
      <t xml:space="preserve"> de la ley Orgánica de Transparencia y Acceso de Información Pública.</t>
    </r>
  </si>
  <si>
    <r>
      <t>CONFORME DIRECTRICES DADAS POR LA DIRECCIÓN DE PLANIFICACIÓN CIRCULAR DPLAN 016-2022</t>
    </r>
    <r>
      <rPr>
        <b/>
        <u/>
        <sz val="10"/>
        <color theme="1"/>
        <rFont val="Arial Narrow"/>
        <family val="2"/>
      </rPr>
      <t xml:space="preserve">
</t>
    </r>
  </si>
  <si>
    <r>
      <t xml:space="preserve">VARIOS MATERIALES DE OFICINA PARA ADMINISTRACIÓN CENTRAL - </t>
    </r>
    <r>
      <rPr>
        <sz val="10"/>
        <color rgb="FF000000"/>
        <rFont val="Century Schoolbook"/>
        <family val="1"/>
      </rPr>
      <t>01</t>
    </r>
    <r>
      <rPr>
        <sz val="10"/>
        <color rgb="FF000000"/>
        <rFont val="Arial Narrow"/>
        <family val="2"/>
      </rPr>
      <t xml:space="preserve"> Y FACULTADES - </t>
    </r>
    <r>
      <rPr>
        <sz val="10"/>
        <color rgb="FF000000"/>
        <rFont val="Century Schoolbook"/>
        <family val="1"/>
      </rPr>
      <t>82</t>
    </r>
  </si>
  <si>
    <r>
      <t xml:space="preserve">VARIOS MATERIALES DE ASEO PARA ADMINISTRACION CENTRAL - </t>
    </r>
    <r>
      <rPr>
        <sz val="10"/>
        <color rgb="FF000000"/>
        <rFont val="Century Schoolbook"/>
        <family val="1"/>
      </rPr>
      <t>01</t>
    </r>
    <r>
      <rPr>
        <sz val="10"/>
        <color rgb="FF000000"/>
        <rFont val="Arial Narrow"/>
        <family val="2"/>
      </rPr>
      <t xml:space="preserve"> Y FACULTADES - </t>
    </r>
    <r>
      <rPr>
        <sz val="10"/>
        <color rgb="FF000000"/>
        <rFont val="Century Schoolbook"/>
        <family val="1"/>
      </rPr>
      <t>82</t>
    </r>
  </si>
  <si>
    <r>
      <t xml:space="preserve">VARIOS MATERIALES DE IMPRESIÓN PARA ADMINISTRACION CENTRAL - </t>
    </r>
    <r>
      <rPr>
        <sz val="10"/>
        <color rgb="FF000000"/>
        <rFont val="Century Schoolbook"/>
        <family val="1"/>
      </rPr>
      <t>01</t>
    </r>
    <r>
      <rPr>
        <sz val="10"/>
        <color rgb="FF000000"/>
        <rFont val="Arial Narrow"/>
        <family val="2"/>
      </rPr>
      <t xml:space="preserve"> Y FACULTADES - </t>
    </r>
    <r>
      <rPr>
        <sz val="10"/>
        <color rgb="FF000000"/>
        <rFont val="Century Schoolbook"/>
        <family val="1"/>
      </rPr>
      <t>82</t>
    </r>
  </si>
  <si>
    <r>
      <t xml:space="preserve">CARTUCHO CALIBRE </t>
    </r>
    <r>
      <rPr>
        <sz val="10"/>
        <color theme="1"/>
        <rFont val="Century Schoolbook"/>
        <family val="1"/>
      </rPr>
      <t>12</t>
    </r>
    <r>
      <rPr>
        <sz val="10"/>
        <color theme="1"/>
        <rFont val="Arial Narrow"/>
        <family val="2"/>
      </rPr>
      <t xml:space="preserve"> MM</t>
    </r>
  </si>
  <si>
    <r>
      <t xml:space="preserve">CARTUCHO CALIBRE </t>
    </r>
    <r>
      <rPr>
        <sz val="10"/>
        <color theme="1"/>
        <rFont val="Century Schoolbook"/>
        <family val="1"/>
      </rPr>
      <t>38</t>
    </r>
    <r>
      <rPr>
        <sz val="10"/>
        <color theme="1"/>
        <rFont val="Arial Narrow"/>
        <family val="2"/>
      </rPr>
      <t xml:space="preserve"> ESPECIAL</t>
    </r>
  </si>
  <si>
    <r>
      <t xml:space="preserve">ROLLO PLASTICO STRETCH DE 38 CENTÍMETROS DE </t>
    </r>
    <r>
      <rPr>
        <sz val="10"/>
        <color theme="1"/>
        <rFont val="Century Schoolbook"/>
        <family val="1"/>
      </rPr>
      <t>3</t>
    </r>
    <r>
      <rPr>
        <sz val="10"/>
        <color theme="1"/>
        <rFont val="Arial Narrow"/>
        <family val="2"/>
      </rPr>
      <t xml:space="preserve"> KILOGRAMOS</t>
    </r>
  </si>
  <si>
    <r>
      <t>Gastos para caja chica, distribuidas en las siguientes partidas presupuestarias: (</t>
    </r>
    <r>
      <rPr>
        <sz val="10"/>
        <color theme="1"/>
        <rFont val="Century Schoolbook"/>
        <family val="1"/>
      </rPr>
      <t>530402; 530403; 530404; 530406; 530805; 530811; 530813; 530819; 570102; 570199; 570206</t>
    </r>
    <r>
      <rPr>
        <sz val="10"/>
        <color theme="1"/>
        <rFont val="Arial Narrow"/>
        <family val="2"/>
      </rPr>
      <t>)</t>
    </r>
  </si>
  <si>
    <t>* ROBERTO CÓRDOVA ROMERO,
  DIRECTOR ADMINISTRATIVO
* JUAN CARLOS MERINO GAONA,
  ANALISTA DIRECCIÓN ADMINISTRATIVA
* DIEGO PESANTEZ OCHOA,
  ANALISTA DIRECCIÓN ADMINISTRATIVA</t>
  </si>
  <si>
    <t>* ROBERTO CÓRDOVA ROMERO,
  DIRECTOR ADMINISTRATIVO
* JUAN CARLOS MERINO GAONA,
  ANALISTA DIRECCIÓN ADMINISTRATIVA
* DIEGO PESANTEZ OCHOA,
  ANALISTA DIRECCIÓN ADMINISTRATIVA
* LEONARDO BOWEN BRIONES,
  ANALISTA DIRECCIÓN ADMINISTRATIVA</t>
  </si>
  <si>
    <t>* ROBERTO CÓRDOVA ROMERO,
  DIRECTOR ADMINISTRATIVO
* DIEGO PESANTEZ OCHOA,
  ANALISTA DIRECCIÓN ADMINISTRATIVA
* LIC. PATRICIA SILVA BRAVO,
  ADMINISTRADOR CAMPUS
* GENESIS SÁNCHEZ FONG,
  AUXILIAR ADMINISTRATIVA</t>
  </si>
  <si>
    <t>* ROBERTO CÓRDOVA ROMERO,
  DIRECTOR ADMINISTRATIVO
* DIEGO PESANTEZ OCHOA,
  ANALISTA DIRECCIÓN ADMINISTRATIVA
* ING. LEONARDO BOWEN BRIONES,
  ANALISTA GESTIÓN DIRECCIÓN ADMINISTRATIVA</t>
  </si>
  <si>
    <t>* ROBERTO CÓRDOVA ROMERO,
  DIRECTOR ADMINISTRATIVO
* JUAN CARLOS MERINO GAONA,
  ANALISTA DIRECCIÓN ADMINISTRATIVA</t>
  </si>
  <si>
    <t>* ROBERTO CÓRDOVA ROMERO,
  DIRECTOR ADMINISTRATIVO
* ING. LEONARDO BOWEN BRIONES,
  ANALISTA GESTIÓN DIRECCIÓN ADMINISTRATIVA</t>
  </si>
  <si>
    <t>* ROBERTO CÓRDOVA ROMERO,
  DIRECTOR ADMINISTRATIVO
* ABG. RAÚL CARPIO SILVA,
  SUPERVISOR DE VIGILANCIA Y SEGURIDAD</t>
  </si>
  <si>
    <t>* ROBERTO CÓRDOVA ROMERO,
  DIRECTOR ADMINISTRATIVO
* ING. LEONARDO BOWEN BRIONES,
  ANALISTA GESTIÓN DIRECCIÓN ADMINISTRATIVA
* ING. MARCO CARRIÓN LIMONES,
  JEFE DE OBRAS DE IFM</t>
  </si>
  <si>
    <t>* ROBERTO CÓRDOVA ROMERO,
  DIRECTOR ADMINISTRATIVO
* ING. MARCO CARRIÓN LIMONES,
  JEFE DE OBRAS DE IFM</t>
  </si>
  <si>
    <t>* ROBERTO CÓRDOVA ROMERO,
  DIRECTOR ADMINISTRATIVO
* ING. LEONARDO BOWEN BRIONES,
  ANALISTA GESTIÓN DIRECCIÓN ADMINISTRATIVA
* ING. DIEGO PESANTEZ OCHOA,
  ANALISTA DIRECCIÓN ADMINISTRATIVA</t>
  </si>
  <si>
    <t>* JUAN CARLOS MERINO GAONA,
  ANALISTA DIRECCIÓN ADMINISTRATIVA
* DIEGO PESANTEZ OCHOA,
  ANALISTA DIRECCIÓN ADMINISTRATIVA
* LEONARDO BOWEN BRIONES,
  ANALISTA DIRECCIÓN ADMINISTRATIVA</t>
  </si>
  <si>
    <t>* Ing. Fausto Figueroa,
  Jefe de Compras Públicas
* Janeth Granda Eras,
  Analista Administrativo
* Ing. Tatiana Vanegas Jimenez,
  Analista de Compras Públicas
* Ing. Mabel Armijos León,
  Analista de Compras Públicas
* Ing.Thayana Juárez Núñez,
  Analista de Compras Públicas</t>
  </si>
  <si>
    <t>* Ing. Fausto Figueroa,
  Jefe de Compras Públicas
* Ing. Mabel Armijos,
  Analista de Compras Públicas
* Ing. Tatiana Vanegas,
  Analista de Compras Públicas
* Ing.Thayana Juárez Núñez,
  Analista de Compras Públicas
* Srta. Janeth Granda Eras,
  Analista Administrativa</t>
  </si>
  <si>
    <t>* Ing. Fausto Figueroa,
  Jefe de Compras Públicas
* Ing. Mabel Armijos,
  Analista de Compras Públicas
* Ing. Tatiana Vanegas,
  Analista de Compras Públicas
* Ing.Thayana Juarez Núñez,
  Analista de Compras Públicas</t>
  </si>
  <si>
    <t>* Ing. Fausto Figueroa Samaniego,
  Jefe de Compras Públicas
* Ing. Tatiana Vanegas Jiménez,
Analista de Compra Públicas</t>
  </si>
  <si>
    <t>* Srta. Janeth Granda Eras,
  Analista administrativa</t>
  </si>
  <si>
    <t>* ING. JANNINA CHALA SALDARRIAGA,
  Jefa de Unidad de Bienes
* ING. FERNANDO SÁNCHEZ ALVARADO,
  Analista de Bienes
* ING. JOHNNY AGUILERA, Analista de Bienes
* ING. JONATHAN ARMIJOS ARROBO,
  Auxiliar Administrativo
* ING. MARTHA ZHIMINAYCELA PACHECO,
  Auxiliar de Servicios
* SR. JORGE LANDÍN ZAPATA,
  Auxiliar de Bodega</t>
  </si>
  <si>
    <t>* ING. JANNINA CHALA SALDARRIAGA,
  Jefa de Unidad de Bienes
* ING. FERNANDO SÁNCHEZ ALVARADO,
  Analista de Bienes
* ING. JOHNNY AGUILERA,
  Analista de Bienes
* ING. JONATHAN ARMIJOS ARROBO,
  Auxiliar Administrativo
* ING. MARTHA ZHIMINAYCELA PACHECO,
  Auxiliar de Servicios
* SR. JORGE LANDÍN ZAPATA,
  Auxiliar de Bodega</t>
  </si>
  <si>
    <t>* ING. JANNINA CHALA SALDARRIAGA,
  Jefa de Unidad de Bienes
* ING. FERNANDO SÁNCHEZ ALVARADO,
  Analista de Bienes</t>
  </si>
  <si>
    <t>* ING. JANNINA CHALA SALDARRIAGA,
  Jefa de Unidad de Bienes
* ING. JONATHAN ARMIJOS ARROBO,
  Auxiliar Administrativo</t>
  </si>
  <si>
    <t>* Samuel Leonidas Valdiviezo Toledo,
  Jefe de Control de Bienes
* Diego Fernando Cruz Alvarado,
  Analista de Control de Bienes
* Mario Lenon Beltrán Apolo,
  Analista de Control de Bienes
* Cristian Javier Salinas Chica,
  Auxiliar de Bodega</t>
  </si>
  <si>
    <t>* Samuel Leonidas Valdiviezo Toledo,
  Jefe de Control de Bienes
* Diego Fernando Cruz Alvarado,
  Analista de Control de Bienes
* Mario Lenon Beltrán Apolo,
  Analista de Control de Bienes</t>
  </si>
  <si>
    <t>* Samuel Leonidas Valdiviezo Toledo,
Jefe de Control de Bienes
* Diego Fernando Cruz Alvarado,
  Analista de Control de Bienes
* Mario Lenon Beltrán Apolo,
  Analista de Control de Bienes</t>
  </si>
  <si>
    <t>* Samuel Leonidas Valdiviezo Toledo,
  Jefe de Control de Bienes</t>
  </si>
  <si>
    <t>* Diego Fernando Cruz Alvarado,
  Analista de Control de Bienes
* Cristian Javier Salinas Chica,
  Auxiliar de Bodega</t>
  </si>
  <si>
    <t>* Ing. Marco Carrión Limones,
  Jefe de Infraestructura Física y Fiscalización
* Ing. Martín Sarmiento Sánchez,
  Supervisor de Mantenimiento General
*Ing. Amado del Pezo González,
  Ingeniero Civil</t>
  </si>
  <si>
    <t>* Ing. Marco Carrión Limones,
  Jefe de Infraestructura Física y Fiscalización</t>
  </si>
  <si>
    <t>* Ing. Marco Carrión Limones,
  Jefe de Infraestructura Física y Fiscalización
* Ing. Amado Del Pezo González,
  Ingeniero Civil</t>
  </si>
  <si>
    <t>* Ing. Marco Carrión Limones,
  Jefe de Infraestructura Física y Fiscalización
* Ing. Marlo Villamar Piedra,
  Supervisor de Áreas Verdes</t>
  </si>
  <si>
    <t>* Ing. Marco Carrión Limones,
 Jefe de Infraestructura Física y Fiscalización
* Ing. Martín Sarmiento Sánchez,
  Supervisor de Mantenimiento Genera</t>
  </si>
  <si>
    <t>* Ing. Marco Carrión Limones,
  Jefe de Infraestructura Física y Fiscalización
*Ing. Marlo Villamar Piedra</t>
  </si>
  <si>
    <t>* Ing. Marco Carrión Limones,
  Jefe de Infraestructura Física y Fiscalización
* Lenin Mogrovejo Morocho,
  Analista de Infraestructura y Fiscalización</t>
  </si>
  <si>
    <r>
      <rPr>
        <b/>
        <sz val="9"/>
        <color theme="1"/>
        <rFont val="Century Schoolbook"/>
        <family val="1"/>
      </rPr>
      <t>1.-</t>
    </r>
    <r>
      <rPr>
        <sz val="10"/>
        <color theme="1"/>
        <rFont val="Arial Narrow"/>
        <family val="2"/>
      </rPr>
      <t xml:space="preserve"> SOLICITAR A DIRECCIÓN DE PLANIFICACIÓN LA ASIGNACIÓN DE TECHOS PRESUPUESTARIOS POR DEPENDENCIAS (GRUPO DE GASTO, FUENTE, PROGRAMA).
</t>
    </r>
    <r>
      <rPr>
        <b/>
        <sz val="9"/>
        <color theme="1"/>
        <rFont val="Century Schoolbook"/>
        <family val="1"/>
      </rPr>
      <t>2.-</t>
    </r>
    <r>
      <rPr>
        <sz val="10"/>
        <color theme="1"/>
        <rFont val="Arial Narrow"/>
        <family val="2"/>
      </rPr>
      <t xml:space="preserve"> EFECTUAR NOTIFICACIÓN A DEPENDENCIAS Y SOLICITUD DE DETALLE DE COMPRAS A EFECTUARSE CON EL RECURSO PREVIAMENTE ASIGNADO.
</t>
    </r>
    <r>
      <rPr>
        <b/>
        <sz val="9"/>
        <color theme="1"/>
        <rFont val="Century Schoolbook"/>
        <family val="1"/>
      </rPr>
      <t>3.-</t>
    </r>
    <r>
      <rPr>
        <sz val="10"/>
        <color theme="1"/>
        <rFont val="Arial Narrow"/>
        <family val="2"/>
      </rPr>
      <t xml:space="preserve"> RECEPTAR Y CONSOLIDAR PROPUESTAS DE PAC DE DEPENDENCIAS A SER REVISADAS Y ANALIZADAS POR PARTE DE LA UNIDAD DE COMPRAS PÚBLICAS.
</t>
    </r>
    <r>
      <rPr>
        <b/>
        <sz val="9"/>
        <color theme="1"/>
        <rFont val="Century Schoolbook"/>
        <family val="1"/>
      </rPr>
      <t>4.-</t>
    </r>
    <r>
      <rPr>
        <sz val="10"/>
        <color theme="1"/>
        <rFont val="Arial Narrow"/>
        <family val="2"/>
      </rPr>
      <t xml:space="preserve"> REMITIR A UNIDAD DE COMPRAS PÚBLICAS DICHO INSUMO A FIN DE ELABORAR EL PAC INSTITUCIONAL DE ACUERDO A LA NORMATIVA EXPUESTA EN LA LONSCP.
</t>
    </r>
    <r>
      <rPr>
        <b/>
        <sz val="9"/>
        <color theme="1"/>
        <rFont val="Century Schoolbook"/>
        <family val="1"/>
      </rPr>
      <t>5.-</t>
    </r>
    <r>
      <rPr>
        <sz val="10"/>
        <color theme="1"/>
        <rFont val="Arial Narrow"/>
        <family val="2"/>
      </rPr>
      <t xml:space="preserve"> SOLICITAR PAC DEPURADO A UNIDAD DE COMPRAS PÚBLICAS A FIN DE SER REMITIDO AL MÁXIMO ÓRGANO COLEGIADO DE LA IES (CONSEJO UNIVERSITARIO).</t>
    </r>
  </si>
  <si>
    <r>
      <rPr>
        <b/>
        <sz val="9"/>
        <color theme="1"/>
        <rFont val="Century Schoolbook"/>
        <family val="1"/>
      </rPr>
      <t>1.-</t>
    </r>
    <r>
      <rPr>
        <sz val="10"/>
        <color theme="1"/>
        <rFont val="Arial Narrow"/>
        <family val="2"/>
      </rPr>
      <t xml:space="preserve"> REMITIR CIRCULAR HACIENDO CONOCER LAS DIRECTRICES GENERALES Y FORMATOS PARA EL INICIO DE PROCESOS DE CONTRATACIÓN PÚBLICA.
</t>
    </r>
    <r>
      <rPr>
        <b/>
        <sz val="9"/>
        <color theme="1"/>
        <rFont val="Century Schoolbook"/>
        <family val="1"/>
      </rPr>
      <t>2.-</t>
    </r>
    <r>
      <rPr>
        <sz val="10"/>
        <color theme="1"/>
        <rFont val="Arial Narrow"/>
        <family val="2"/>
      </rPr>
      <t xml:space="preserve"> RECEPTAR PROCESOS DE CONTRATACIÓN DERIVADOS DESDE EL VICERRECTORADO ADMINISTRATIVO A FIN DE SER REVISADOS POR EL PERSONAL DE DIRECCIÓN EN LO QUE CORRESPONDE A FORMATOS ACORDE A LO DIFUNDIDO, HABILITANTES EN GENERAL.
</t>
    </r>
    <r>
      <rPr>
        <b/>
        <sz val="9"/>
        <color theme="1"/>
        <rFont val="Century Schoolbook"/>
        <family val="1"/>
      </rPr>
      <t>3.-</t>
    </r>
    <r>
      <rPr>
        <sz val="10"/>
        <color theme="1"/>
        <rFont val="Arial Narrow"/>
        <family val="2"/>
      </rPr>
      <t xml:space="preserve"> EMITIR CERTIFICACIÓN PAC, A FIN DE QUE UNIDAD DE COMPRAS PÚBLICAS CONTINÚE CON EL PROCESO DE COMPRA.</t>
    </r>
  </si>
  <si>
    <r>
      <rPr>
        <b/>
        <sz val="9"/>
        <color theme="1"/>
        <rFont val="Century Schoolbook"/>
        <family val="1"/>
      </rPr>
      <t>1.-</t>
    </r>
    <r>
      <rPr>
        <sz val="10"/>
        <color theme="1"/>
        <rFont val="Arial Narrow"/>
        <family val="2"/>
      </rPr>
      <t xml:space="preserve"> REALIZAR CONVOCATORIA A SESIÓN DE TRABAJO MENSUAL CON UNIDAD DE COMPRAS PÚBLICAS PARA ANÁLISIS DE PROBLEMAS Y SOLUCIONES.
</t>
    </r>
    <r>
      <rPr>
        <b/>
        <sz val="9"/>
        <color theme="1"/>
        <rFont val="Century Schoolbook"/>
        <family val="1"/>
      </rPr>
      <t>2.-</t>
    </r>
    <r>
      <rPr>
        <sz val="10"/>
        <color theme="1"/>
        <rFont val="Arial Narrow"/>
        <family val="2"/>
      </rPr>
      <t xml:space="preserve"> ELABORAR DIAGRAMAS QUE MEJOREN LOS TIEMPOS Y CONTROLES A PARTIR DE LAS MESAS DE TRABAJO CON LA UCP.
</t>
    </r>
    <r>
      <rPr>
        <b/>
        <sz val="9"/>
        <color theme="1"/>
        <rFont val="Century Schoolbook"/>
        <family val="1"/>
      </rPr>
      <t>3.-</t>
    </r>
    <r>
      <rPr>
        <sz val="10"/>
        <color theme="1"/>
        <rFont val="Arial Narrow"/>
        <family val="2"/>
      </rPr>
      <t xml:space="preserve"> ELABORAR Y DIFUNDIR ESTADÍSTICAS RESPECTO DE CUMPLIMIENTO Y EFICIENCIA DE LOS PROCESOS DE COMPRAS PÚBLICAS.</t>
    </r>
  </si>
  <si>
    <r>
      <rPr>
        <b/>
        <sz val="9"/>
        <color theme="1"/>
        <rFont val="Century Schoolbook"/>
        <family val="1"/>
      </rPr>
      <t>1.-</t>
    </r>
    <r>
      <rPr>
        <sz val="10"/>
        <color theme="1"/>
        <rFont val="Arial Narrow"/>
        <family val="2"/>
      </rPr>
      <t xml:space="preserve"> REALIZAR LOS PROCESOS DE CONTRATACIÓN PÚBLICA CENTRALIZADOS EN LA DIRECCIÓN ADMINISTRATIVA DE LOS PROGRAMAS </t>
    </r>
    <r>
      <rPr>
        <sz val="10"/>
        <color theme="1"/>
        <rFont val="Century Schoolbook"/>
        <family val="1"/>
      </rPr>
      <t>01</t>
    </r>
    <r>
      <rPr>
        <sz val="10"/>
        <color theme="1"/>
        <rFont val="Arial Narrow"/>
        <family val="2"/>
      </rPr>
      <t xml:space="preserve"> DE ADMINISTRACIÓN CENTRAL Y </t>
    </r>
    <r>
      <rPr>
        <sz val="10"/>
        <color theme="1"/>
        <rFont val="Century Schoolbook"/>
        <family val="1"/>
      </rPr>
      <t>82</t>
    </r>
    <r>
      <rPr>
        <sz val="10"/>
        <color theme="1"/>
        <rFont val="Arial Narrow"/>
        <family val="2"/>
      </rPr>
      <t xml:space="preserve"> DE GESTIÓN Y FORMACIÓN ACADÉMICA.
</t>
    </r>
    <r>
      <rPr>
        <b/>
        <sz val="9"/>
        <color theme="1"/>
        <rFont val="Century Schoolbook"/>
        <family val="1"/>
      </rPr>
      <t>2.-</t>
    </r>
    <r>
      <rPr>
        <sz val="10"/>
        <color theme="1"/>
        <rFont val="Arial Narrow"/>
        <family val="2"/>
      </rPr>
      <t xml:space="preserve"> EMITIR CERTIFICACIÓN PAC.</t>
    </r>
  </si>
  <si>
    <r>
      <rPr>
        <b/>
        <sz val="9"/>
        <color theme="1"/>
        <rFont val="Century Schoolbook"/>
        <family val="1"/>
      </rPr>
      <t>1.-</t>
    </r>
    <r>
      <rPr>
        <sz val="10"/>
        <color theme="1"/>
        <rFont val="Arial Narrow"/>
        <family val="2"/>
      </rPr>
      <t xml:space="preserve"> TRAMITAR LA AUTORIZACIÓN DE LAS AUTORIDADES DE LA IES QUE EXISTA DISPONIBILIDAD DE ESPACIO FÍSICO.
</t>
    </r>
    <r>
      <rPr>
        <b/>
        <sz val="9"/>
        <color theme="1"/>
        <rFont val="Century Schoolbook"/>
        <family val="1"/>
      </rPr>
      <t>2.-</t>
    </r>
    <r>
      <rPr>
        <sz val="10"/>
        <color theme="1"/>
        <rFont val="Arial Narrow"/>
        <family val="2"/>
      </rPr>
      <t xml:space="preserve"> CONTROLAR EL INGRESO DE LAS PETICIONES PARA EL PRÉSTAMO Y/O USO DE LOS SALONES: AUDITÓRIUM NUEVO, AUDITÓRIUM ANTIGUO, SALÓN DE EVENTOS </t>
    </r>
    <r>
      <rPr>
        <sz val="10"/>
        <color theme="1"/>
        <rFont val="Century Schoolbook"/>
        <family val="1"/>
      </rPr>
      <t>1</t>
    </r>
    <r>
      <rPr>
        <sz val="10"/>
        <color theme="1"/>
        <rFont val="Arial Narrow"/>
        <family val="2"/>
      </rPr>
      <t xml:space="preserve">, SALÓN DE EVENTOS </t>
    </r>
    <r>
      <rPr>
        <sz val="10"/>
        <color theme="1"/>
        <rFont val="Century Schoolbook"/>
        <family val="1"/>
      </rPr>
      <t>2</t>
    </r>
    <r>
      <rPr>
        <sz val="10"/>
        <color theme="1"/>
        <rFont val="Arial Narrow"/>
        <family val="2"/>
      </rPr>
      <t>, PLAZOLETA, ESPACIOS Y MOBILIARIO DE LA UTMACH.</t>
    </r>
  </si>
  <si>
    <r>
      <t xml:space="preserve">CON BASE AL REGLAMENTO SUSTITUTIVOS DE BIENES Y LAS NORMAS DE CONTROL INTERNO: 
</t>
    </r>
    <r>
      <rPr>
        <b/>
        <sz val="9"/>
        <color theme="1"/>
        <rFont val="Century Schoolbook"/>
        <family val="1"/>
      </rPr>
      <t>1.-</t>
    </r>
    <r>
      <rPr>
        <sz val="10"/>
        <color theme="1"/>
        <rFont val="Arial Narrow"/>
        <family val="2"/>
      </rPr>
      <t xml:space="preserve"> LEVANTAR AL MENOS UN PROCEDIMIENTO PARA LA REASIGNACIONES,  BAJAS, INGRESO, SALIDA DE LOS BIENES INSTITUCIONALES EN COORDINACIÓN CON LAS  UNIDADES DE BIENES Y CONTROL DE BIENES.
</t>
    </r>
    <r>
      <rPr>
        <b/>
        <sz val="9"/>
        <color theme="1"/>
        <rFont val="Century Schoolbook"/>
        <family val="1"/>
      </rPr>
      <t>2.-</t>
    </r>
    <r>
      <rPr>
        <sz val="10"/>
        <color theme="1"/>
        <rFont val="Arial Narrow"/>
        <family val="2"/>
      </rPr>
      <t xml:space="preserve"> SOLICITAR DE MANERA MENSUAL; CON FINES DE CONCILIACIÓN REPORTE DE EXISTENCIAS A LA UNIDAD DE BIENES Y TRANSPORTE.
</t>
    </r>
    <r>
      <rPr>
        <b/>
        <sz val="9"/>
        <color theme="1"/>
        <rFont val="Century Schoolbook"/>
        <family val="1"/>
      </rPr>
      <t>3.-</t>
    </r>
    <r>
      <rPr>
        <sz val="10"/>
        <color theme="1"/>
        <rFont val="Arial Narrow"/>
        <family val="2"/>
      </rPr>
      <t xml:space="preserve"> SOLICITAR AL MENOS UNA VEZ AL AÑO; CON FINES DE CONCILIACIÓN EL ACTA DE CONSTATACIÓN FÍSICA DE BIENES DE LA UTMACH A LA UNIDAD DE CONTROL DE BIENES.</t>
    </r>
  </si>
  <si>
    <r>
      <rPr>
        <b/>
        <sz val="9"/>
        <color theme="1"/>
        <rFont val="Century Schoolbook"/>
        <family val="1"/>
      </rPr>
      <t>1.-</t>
    </r>
    <r>
      <rPr>
        <sz val="10"/>
        <color theme="1"/>
        <rFont val="Arial Narrow"/>
        <family val="2"/>
      </rPr>
      <t xml:space="preserve"> SOLICITAR A LA UNIDAD DE CONTROL DE BIENES REPORTE DE LOS BIENES MUEBLES E INMUEBLES QUE SE DESEAN ASEGURAR.
</t>
    </r>
    <r>
      <rPr>
        <b/>
        <sz val="9"/>
        <color theme="1"/>
        <rFont val="Century Schoolbook"/>
        <family val="1"/>
      </rPr>
      <t>2.-</t>
    </r>
    <r>
      <rPr>
        <sz val="10"/>
        <color theme="1"/>
        <rFont val="Arial Narrow"/>
        <family val="2"/>
      </rPr>
      <t xml:space="preserve"> SOCIALIZAR CON EL VICERRECTORADO ADMINISTRATIVO, LOS INSUMOS (REPORTE Y COTIZACIÓN) PARA VERIFICAR LOS BIENES A ASEGURAR SEGÚN LA DISPONIBILIDAD PLANIFICADA EN EL PAC.
</t>
    </r>
    <r>
      <rPr>
        <b/>
        <sz val="9"/>
        <color theme="1"/>
        <rFont val="Century Schoolbook"/>
        <family val="1"/>
      </rPr>
      <t>3.-</t>
    </r>
    <r>
      <rPr>
        <sz val="10"/>
        <color theme="1"/>
        <rFont val="Arial Narrow"/>
        <family val="2"/>
      </rPr>
      <t xml:space="preserve"> PROCEDER A ELABORAR LOS FORMULARIOS (INFORME DE NECESIDAD, CÁLCULO Y OTROS) PARA INICIAR EL PROCESO DE CONTRATACIÓN DE LA PÓLIZA DE SEGURO DE BIENES.
</t>
    </r>
    <r>
      <rPr>
        <b/>
        <sz val="9"/>
        <color theme="1"/>
        <rFont val="Century Schoolbook"/>
        <family val="1"/>
      </rPr>
      <t>4.-</t>
    </r>
    <r>
      <rPr>
        <sz val="10"/>
        <color theme="1"/>
        <rFont val="Arial Narrow"/>
        <family val="2"/>
      </rPr>
      <t xml:space="preserve"> VERIFICAR EL PROCESO DE PÓLIZA DE SEGUROS, HASTA VERIFICAR QUE SERVIDOR ESTA COMO RESPONSABLE DE LA PÓLIZA – ADMINISTRADOR DE CONTRATO.</t>
    </r>
  </si>
  <si>
    <r>
      <rPr>
        <b/>
        <sz val="9"/>
        <color theme="1"/>
        <rFont val="Century Schoolbook"/>
        <family val="1"/>
      </rPr>
      <t>1.-</t>
    </r>
    <r>
      <rPr>
        <sz val="10"/>
        <color theme="1"/>
        <rFont val="Arial Narrow"/>
        <family val="2"/>
      </rPr>
      <t xml:space="preserve"> ELABORAR EL INVENTARIO INICIAL DE VEHÍCULOS Y OBTENER CARACTERÍSTICAS DE LOS MISMOS.
</t>
    </r>
    <r>
      <rPr>
        <b/>
        <sz val="9"/>
        <color theme="1"/>
        <rFont val="Century Schoolbook"/>
        <family val="1"/>
      </rPr>
      <t>2.-</t>
    </r>
    <r>
      <rPr>
        <sz val="10"/>
        <color theme="1"/>
        <rFont val="Arial Narrow"/>
        <family val="2"/>
      </rPr>
      <t xml:space="preserve"> ELABORAR DE FICHA TÉCNICA DE CADA VEHÍCULO.
</t>
    </r>
    <r>
      <rPr>
        <b/>
        <sz val="9"/>
        <color theme="1"/>
        <rFont val="Century Schoolbook"/>
        <family val="1"/>
      </rPr>
      <t>3.-</t>
    </r>
    <r>
      <rPr>
        <sz val="10"/>
        <color theme="1"/>
        <rFont val="Arial Narrow"/>
        <family val="2"/>
      </rPr>
      <t xml:space="preserve"> ELABORAR UN PLAN ANUAL DE MANTENIMIENTO MECÁNICO DEL PARQUE AUTOMOTOR.
</t>
    </r>
    <r>
      <rPr>
        <b/>
        <sz val="9"/>
        <color theme="1"/>
        <rFont val="Century Schoolbook"/>
        <family val="1"/>
      </rPr>
      <t>4.-</t>
    </r>
    <r>
      <rPr>
        <sz val="10"/>
        <color theme="1"/>
        <rFont val="Arial Narrow"/>
        <family val="2"/>
      </rPr>
      <t xml:space="preserve"> EMITIR ÓRDENES DE COMBUSTIBLE Y SUMINISTRAR EL MISMO A TODO EL PARQUE AUTOMOTOR.
</t>
    </r>
    <r>
      <rPr>
        <b/>
        <sz val="9"/>
        <color theme="1"/>
        <rFont val="Century Schoolbook"/>
        <family val="1"/>
      </rPr>
      <t>5.-</t>
    </r>
    <r>
      <rPr>
        <sz val="10"/>
        <color theme="1"/>
        <rFont val="Arial Narrow"/>
        <family val="2"/>
      </rPr>
      <t xml:space="preserve"> ELABORAR EL INVENTARIO INICIAL DE LUBRICANTES, FILTROS Y NEUMÁTICOS DEL PARQUE AUTOMOTOR.
</t>
    </r>
    <r>
      <rPr>
        <b/>
        <sz val="9"/>
        <color theme="1"/>
        <rFont val="Century Schoolbook"/>
        <family val="1"/>
      </rPr>
      <t>6.-</t>
    </r>
    <r>
      <rPr>
        <sz val="10"/>
        <color theme="1"/>
        <rFont val="Arial Narrow"/>
        <family val="2"/>
      </rPr>
      <t xml:space="preserve"> REGISTRAR EL INVENTARIO INICIAL EN KARDEX DEL ÁREA DE TRANSPORTE.
</t>
    </r>
    <r>
      <rPr>
        <b/>
        <sz val="9"/>
        <color theme="1"/>
        <rFont val="Century Schoolbook"/>
        <family val="1"/>
      </rPr>
      <t>7.-</t>
    </r>
    <r>
      <rPr>
        <sz val="10"/>
        <color theme="1"/>
        <rFont val="Arial Narrow"/>
        <family val="2"/>
      </rPr>
      <t xml:space="preserve"> REGISTRAR MENSUALMENTE LOS MOVIMIENTOS DEL INVENTARIO DE LUBRICANTES, FILTROS Y NEUMÁTICOS.
</t>
    </r>
    <r>
      <rPr>
        <b/>
        <sz val="9"/>
        <color theme="1"/>
        <rFont val="Century Schoolbook"/>
        <family val="1"/>
      </rPr>
      <t>8.-</t>
    </r>
    <r>
      <rPr>
        <sz val="10"/>
        <color theme="1"/>
        <rFont val="Arial Narrow"/>
        <family val="2"/>
      </rPr>
      <t xml:space="preserve"> ORGANIZAR Y DIRIGIR LAS ACTIVIDADES DE CONDUCTORES Y SUS ÓRDENES DE MOVILIZACIÓN.
</t>
    </r>
    <r>
      <rPr>
        <b/>
        <sz val="9"/>
        <color theme="1"/>
        <rFont val="Century Schoolbook"/>
        <family val="1"/>
      </rPr>
      <t>9.-</t>
    </r>
    <r>
      <rPr>
        <sz val="10"/>
        <color theme="1"/>
        <rFont val="Arial Narrow"/>
        <family val="2"/>
      </rPr>
      <t xml:space="preserve"> ELABORAR ÓRDENES DE MOVILIZACIÓN CON FORMATO INTERNO Y FORMATO DE LA CONTRALORÍA GENERAL DEL ESTADO.
</t>
    </r>
    <r>
      <rPr>
        <b/>
        <sz val="9"/>
        <color theme="1"/>
        <rFont val="Century Schoolbook"/>
        <family val="1"/>
      </rPr>
      <t>10.-</t>
    </r>
    <r>
      <rPr>
        <sz val="10"/>
        <color theme="1"/>
        <rFont val="Arial Narrow"/>
        <family val="2"/>
      </rPr>
      <t xml:space="preserve"> INFORMAR A TALENTO HUMANO Y A VICERRECTORADO LA EMISIÓN DE LAS ÓRDENES DE MOVILIZACIÓN REALIZADAS SEMANALMENTE.</t>
    </r>
  </si>
  <si>
    <r>
      <rPr>
        <b/>
        <sz val="9"/>
        <color theme="1"/>
        <rFont val="Century Schoolbook"/>
        <family val="1"/>
      </rPr>
      <t>1.-</t>
    </r>
    <r>
      <rPr>
        <sz val="10"/>
        <color theme="1"/>
        <rFont val="Arial Narrow"/>
        <family val="2"/>
      </rPr>
      <t xml:space="preserve"> ELABORAR DISTRIBUTIVOS.
</t>
    </r>
    <r>
      <rPr>
        <b/>
        <sz val="9"/>
        <color theme="1"/>
        <rFont val="Century Schoolbook"/>
        <family val="1"/>
      </rPr>
      <t>2.-</t>
    </r>
    <r>
      <rPr>
        <sz val="10"/>
        <color theme="1"/>
        <rFont val="Arial Narrow"/>
        <family val="2"/>
      </rPr>
      <t xml:space="preserve"> REALIZAR RECORRIDOS DENTRO DE LOS PREDIOS.
</t>
    </r>
    <r>
      <rPr>
        <b/>
        <sz val="9"/>
        <color theme="1"/>
        <rFont val="Century Schoolbook"/>
        <family val="1"/>
      </rPr>
      <t>3.-</t>
    </r>
    <r>
      <rPr>
        <sz val="10"/>
        <color theme="1"/>
        <rFont val="Arial Narrow"/>
        <family val="2"/>
      </rPr>
      <t xml:space="preserve"> CUSTODIAR LOS BIENES MUEBLES E INMUEBLES DE LA INSTITUCIÓN.
</t>
    </r>
    <r>
      <rPr>
        <b/>
        <sz val="9"/>
        <color theme="1"/>
        <rFont val="Century Schoolbook"/>
        <family val="1"/>
      </rPr>
      <t>4.-</t>
    </r>
    <r>
      <rPr>
        <sz val="10"/>
        <color theme="1"/>
        <rFont val="Arial Narrow"/>
        <family val="2"/>
      </rPr>
      <t xml:space="preserve"> MONITOREAR EL SISTEMA DE VIDEO VIGILANCIA.
</t>
    </r>
    <r>
      <rPr>
        <b/>
        <sz val="9"/>
        <color theme="1"/>
        <rFont val="Century Schoolbook"/>
        <family val="1"/>
      </rPr>
      <t>5.-</t>
    </r>
    <r>
      <rPr>
        <sz val="10"/>
        <color theme="1"/>
        <rFont val="Arial Narrow"/>
        <family val="2"/>
      </rPr>
      <t xml:space="preserve"> REVISAR Y LIMPIA DEL SISTEMA DE VIDEO VIGILANCIA CUANDO HAY NOVEDADES.</t>
    </r>
  </si>
  <si>
    <r>
      <rPr>
        <b/>
        <sz val="9"/>
        <color theme="1"/>
        <rFont val="Century Schoolbook"/>
        <family val="1"/>
      </rPr>
      <t>1.-</t>
    </r>
    <r>
      <rPr>
        <sz val="10"/>
        <color theme="1"/>
        <rFont val="Arial Narrow"/>
        <family val="2"/>
      </rPr>
      <t xml:space="preserve"> SOLICITAR A LA UNIDAD DE OBRAS E INFRAESTRUCTURA UNIVERSITARIA LOS PLANES DE MANTENIMIENTO DE OBRAS UNIVERSITARIAS (INCLUIDO EL DE MANTENIMIENTO GENERAL).
</t>
    </r>
    <r>
      <rPr>
        <b/>
        <sz val="9"/>
        <color theme="1"/>
        <rFont val="Century Schoolbook"/>
        <family val="1"/>
      </rPr>
      <t>2.-</t>
    </r>
    <r>
      <rPr>
        <sz val="10"/>
        <color theme="1"/>
        <rFont val="Arial Narrow"/>
        <family val="2"/>
      </rPr>
      <t xml:space="preserve"> GESTIONAR ANTE VICERRECTORADO ADMINISTRATIVO SE PRESENTE DICHOS PLANES DE MANTENIMIENTO ANTE CONSEJO UNIVERSITARIO, PARA SU APROBACIÓN Y FINANCIAMIENTO.
</t>
    </r>
    <r>
      <rPr>
        <b/>
        <sz val="9"/>
        <color theme="1"/>
        <rFont val="Century Schoolbook"/>
        <family val="1"/>
      </rPr>
      <t>3.-</t>
    </r>
    <r>
      <rPr>
        <sz val="10"/>
        <color theme="1"/>
        <rFont val="Arial Narrow"/>
        <family val="2"/>
      </rPr>
      <t xml:space="preserve"> SOLICITAR EN EL ÚLTIMO MES DEL AÑO A LA UNIDAD DE OBRAS E INFRAESTRUCTURA UNIVERSITARIA INFORME DE LA EJECUCIÓN DE LOS PLANES DE MANTENIMIENTO DE OBRAS UNIVERSITARIAS (INCLUIDO EL DE MANTENIMIENTO GENERAL).
</t>
    </r>
    <r>
      <rPr>
        <b/>
        <sz val="9"/>
        <color theme="1"/>
        <rFont val="Century Schoolbook"/>
        <family val="1"/>
      </rPr>
      <t>4.-</t>
    </r>
    <r>
      <rPr>
        <sz val="10"/>
        <color theme="1"/>
        <rFont val="Arial Narrow"/>
        <family val="2"/>
      </rPr>
      <t xml:space="preserve"> REALIZAR ESTUDIO DE MERCADO DE MANO DE OBRA MECÁNICA PARA SOLICITAR LA CONTRATACIÓN DEL MANTENIMIENTO PREVENTIVO Y CORRECTIVO ANUAL DEL ÁREA DE TRANSPORTE.
</t>
    </r>
    <r>
      <rPr>
        <b/>
        <sz val="9"/>
        <color theme="1"/>
        <rFont val="Century Schoolbook"/>
        <family val="1"/>
      </rPr>
      <t>5.-</t>
    </r>
    <r>
      <rPr>
        <sz val="10"/>
        <color theme="1"/>
        <rFont val="Arial Narrow"/>
        <family val="2"/>
      </rPr>
      <t xml:space="preserve"> ELABORAR LA DOCUMENTACIÓN HABILITANTE PARA EJECUTAR LA SOLICITUD DE CONTRATACIÓN DE MANTENIMIENTO PREVENTIVO Y CORRECTIVO DEL PARQUE AUTOMOTOR DE LA INSTITUCIÓN.
</t>
    </r>
    <r>
      <rPr>
        <b/>
        <sz val="9"/>
        <color theme="1"/>
        <rFont val="Century Schoolbook"/>
        <family val="1"/>
      </rPr>
      <t>6.-</t>
    </r>
    <r>
      <rPr>
        <sz val="10"/>
        <color theme="1"/>
        <rFont val="Arial Narrow"/>
        <family val="2"/>
      </rPr>
      <t xml:space="preserve"> EJECUTAR EL PLAN DE MANTENIMIENTO PREVENTIVO Y CORRECTIVO CON EL PLAN ANUAL DE MANTENIMIENTO MECÁNICO PREVENTIVO Y CORRECTIVO DE LA INSTITUCIÓN.
</t>
    </r>
    <r>
      <rPr>
        <b/>
        <sz val="9"/>
        <color theme="1"/>
        <rFont val="Century Schoolbook"/>
        <family val="1"/>
      </rPr>
      <t>7.-</t>
    </r>
    <r>
      <rPr>
        <sz val="10"/>
        <color theme="1"/>
        <rFont val="Arial Narrow"/>
        <family val="2"/>
      </rPr>
      <t xml:space="preserve"> CONTROLAR A TRAVÉS DE VISITA IN SITU AL TALLER MECÁNICO PARA CONSTATAR QUE SE LE HAGAN LOS MANTENIMIENTOS RESPECTIVOS A CADA VEHÍCULO.
</t>
    </r>
    <r>
      <rPr>
        <b/>
        <sz val="9"/>
        <color theme="1"/>
        <rFont val="Century Schoolbook"/>
        <family val="1"/>
      </rPr>
      <t>8.-</t>
    </r>
    <r>
      <rPr>
        <sz val="10"/>
        <color theme="1"/>
        <rFont val="Arial Narrow"/>
        <family val="2"/>
      </rPr>
      <t xml:space="preserve"> ELABORAR INFORMES Y DOCUMENTACIÓN HABILITANTE PARA SOLICITAR EL PAGO MENSUAL DE LOS MANTENIMIENTOS EFECTUADOS A LOS VEHÍCULOS.</t>
    </r>
  </si>
  <si>
    <r>
      <rPr>
        <b/>
        <sz val="9"/>
        <color theme="1"/>
        <rFont val="Century Schoolbook"/>
        <family val="1"/>
      </rPr>
      <t>1.-</t>
    </r>
    <r>
      <rPr>
        <sz val="10"/>
        <color theme="1"/>
        <rFont val="Arial Narrow"/>
        <family val="2"/>
      </rPr>
      <t xml:space="preserve"> SOLICITAR A LA UNIDAD DE OBRAS E INFRAESTRUCTURA UNIVERSITARIA LOS PLANES DE MANTENIMIENTO (OBRAS UNIVERSITARIAS DE LAS ÁREAS VERDES Y ESCENARIOS DEPORTIVOS.
</t>
    </r>
    <r>
      <rPr>
        <b/>
        <sz val="9"/>
        <color theme="1"/>
        <rFont val="Century Schoolbook"/>
        <family val="1"/>
      </rPr>
      <t>2.-</t>
    </r>
    <r>
      <rPr>
        <sz val="10"/>
        <color theme="1"/>
        <rFont val="Arial Narrow"/>
        <family val="2"/>
      </rPr>
      <t xml:space="preserve"> SOLICITAR EN EL ÚLTIMO MES DEL AÑO A LA UNIDAD DE OBRAS E INFRAESTRUCTURA UNIVERSITARIA INFORME DE LA EJECUCIÓN DE LOS PLANES DE MANTENIMIENTO DE LAS ÁREAS VERDES Y ESCENARIOS DEPORTIVOS.</t>
    </r>
  </si>
  <si>
    <r>
      <rPr>
        <b/>
        <sz val="9"/>
        <color theme="1"/>
        <rFont val="Century Schoolbook"/>
        <family val="1"/>
      </rPr>
      <t>1.-</t>
    </r>
    <r>
      <rPr>
        <sz val="10"/>
        <color theme="1"/>
        <rFont val="Arial Narrow"/>
        <family val="2"/>
      </rPr>
      <t xml:space="preserve"> REALIZAR UN ESTUDIO DE MERCADO, SOLICITANDO PROFORMAS DE PROVEEDORES DE SEGUROS.
</t>
    </r>
    <r>
      <rPr>
        <b/>
        <sz val="9"/>
        <color theme="1"/>
        <rFont val="Century Schoolbook"/>
        <family val="1"/>
      </rPr>
      <t>2.-</t>
    </r>
    <r>
      <rPr>
        <sz val="10"/>
        <color theme="1"/>
        <rFont val="Arial Narrow"/>
        <family val="2"/>
      </rPr>
      <t xml:space="preserve"> SOLICITAR AL PROVEEDOR LA INSPECCIÓN TÉCNICA VEHICULAR.
</t>
    </r>
    <r>
      <rPr>
        <b/>
        <sz val="9"/>
        <color theme="1"/>
        <rFont val="Century Schoolbook"/>
        <family val="1"/>
      </rPr>
      <t>3.-</t>
    </r>
    <r>
      <rPr>
        <sz val="10"/>
        <color theme="1"/>
        <rFont val="Arial Narrow"/>
        <family val="2"/>
      </rPr>
      <t xml:space="preserve"> EJECUTAR LA PÓLIZA DE SEGURO VEHICULAR EN CASO DE HABER UN ACCIDENTE DE TRÁNSITO.
</t>
    </r>
    <r>
      <rPr>
        <b/>
        <sz val="9"/>
        <color theme="1"/>
        <rFont val="Century Schoolbook"/>
        <family val="1"/>
      </rPr>
      <t>4.-</t>
    </r>
    <r>
      <rPr>
        <sz val="10"/>
        <color theme="1"/>
        <rFont val="Arial Narrow"/>
        <family val="2"/>
      </rPr>
      <t xml:space="preserve"> EJECUTAR LA MATRICULACIÓN VEHICULAR EN LA EMPRESA MOVILIDAD MACHALA, TRASLADANDO LOS VEHÍCULOS PARA SER REVISADOS TÉCNICAMENTE.</t>
    </r>
  </si>
  <si>
    <r>
      <rPr>
        <b/>
        <sz val="9"/>
        <color theme="1"/>
        <rFont val="Century Schoolbook"/>
        <family val="1"/>
      </rPr>
      <t>1.-</t>
    </r>
    <r>
      <rPr>
        <sz val="10"/>
        <color theme="1"/>
        <rFont val="Arial Narrow"/>
        <family val="2"/>
      </rPr>
      <t xml:space="preserve"> ELABORAR EL POA-PAC CONJUNTAMENTE CON LOS SUPERVISORES ADSCRITOS A LA DIRECCIÓN ADMINISTRATIVA.
</t>
    </r>
    <r>
      <rPr>
        <b/>
        <sz val="9"/>
        <color theme="1"/>
        <rFont val="Century Schoolbook"/>
        <family val="1"/>
      </rPr>
      <t>2.-</t>
    </r>
    <r>
      <rPr>
        <sz val="10"/>
        <color theme="1"/>
        <rFont val="Arial Narrow"/>
        <family val="2"/>
      </rPr>
      <t xml:space="preserve"> EVALUAR EL POA-PAC CONJUNTAMENTE CON LOS SUPERVISORES ADSCRITOS A LA DIRECCIÓN ADMINISTRATIVA PRIMER AL TERCER CUATRIMESTRE.</t>
    </r>
  </si>
  <si>
    <r>
      <rPr>
        <b/>
        <sz val="9"/>
        <color theme="1"/>
        <rFont val="Century Schoolbook"/>
        <family val="1"/>
      </rPr>
      <t>1.-</t>
    </r>
    <r>
      <rPr>
        <sz val="10"/>
        <color theme="1"/>
        <rFont val="Arial Narrow"/>
        <family val="2"/>
      </rPr>
      <t xml:space="preserve"> ARCHIVAR EXPEDIENTE DE PROCESOS EN FORMATO DIGITAL.</t>
    </r>
  </si>
  <si>
    <r>
      <rPr>
        <b/>
        <sz val="9"/>
        <color theme="1"/>
        <rFont val="Century Schoolbook"/>
        <family val="1"/>
      </rPr>
      <t>1.-</t>
    </r>
    <r>
      <rPr>
        <sz val="10"/>
        <color theme="1"/>
        <rFont val="Arial Narrow"/>
        <family val="2"/>
      </rPr>
      <t xml:space="preserve"> Receptar el plan anual de contratación autorizado por Dirección Administrativa.
</t>
    </r>
    <r>
      <rPr>
        <b/>
        <sz val="9"/>
        <color theme="1"/>
        <rFont val="Century Schoolbook"/>
        <family val="1"/>
      </rPr>
      <t>2.-</t>
    </r>
    <r>
      <rPr>
        <sz val="10"/>
        <color theme="1"/>
        <rFont val="Arial Narrow"/>
        <family val="2"/>
      </rPr>
      <t xml:space="preserve"> Unificar el Plan anual de contratación por grupo, fuente, partida, Ítem.</t>
    </r>
  </si>
  <si>
    <r>
      <rPr>
        <b/>
        <sz val="9"/>
        <color theme="1"/>
        <rFont val="Century Schoolbook"/>
        <family val="1"/>
      </rPr>
      <t>1.-</t>
    </r>
    <r>
      <rPr>
        <sz val="10"/>
        <color theme="1"/>
        <rFont val="Arial Narrow"/>
        <family val="2"/>
      </rPr>
      <t xml:space="preserve"> Receptar requerimientos de adquisiciones bienes/servicios.
</t>
    </r>
    <r>
      <rPr>
        <b/>
        <sz val="9"/>
        <color theme="1"/>
        <rFont val="Century Schoolbook"/>
        <family val="1"/>
      </rPr>
      <t>2.-</t>
    </r>
    <r>
      <rPr>
        <sz val="10"/>
        <color theme="1"/>
        <rFont val="Arial Narrow"/>
        <family val="2"/>
      </rPr>
      <t xml:space="preserve"> Verificar la documentación y constatar si es procedente.
</t>
    </r>
    <r>
      <rPr>
        <b/>
        <sz val="9"/>
        <color theme="1"/>
        <rFont val="Century Schoolbook"/>
        <family val="1"/>
      </rPr>
      <t>3.-</t>
    </r>
    <r>
      <rPr>
        <sz val="10"/>
        <color theme="1"/>
        <rFont val="Arial Narrow"/>
        <family val="2"/>
      </rPr>
      <t xml:space="preserve"> Realizar la verificación del tipo de proceso  según el caso.
</t>
    </r>
    <r>
      <rPr>
        <b/>
        <sz val="9"/>
        <color theme="1"/>
        <rFont val="Century Schoolbook"/>
        <family val="1"/>
      </rPr>
      <t>4.-</t>
    </r>
    <r>
      <rPr>
        <sz val="10"/>
        <color theme="1"/>
        <rFont val="Arial Narrow"/>
        <family val="2"/>
      </rPr>
      <t xml:space="preserve"> Solicitar disponibilidad Presupuestaria al área Financiera.
</t>
    </r>
    <r>
      <rPr>
        <b/>
        <sz val="9"/>
        <color theme="1"/>
        <rFont val="Century Schoolbook"/>
        <family val="1"/>
      </rPr>
      <t>5.-</t>
    </r>
    <r>
      <rPr>
        <sz val="10"/>
        <color theme="1"/>
        <rFont val="Arial Narrow"/>
        <family val="2"/>
      </rPr>
      <t xml:space="preserve"> Ejecutar la compra de Bienes/servicios.</t>
    </r>
  </si>
  <si>
    <r>
      <rPr>
        <b/>
        <sz val="9"/>
        <color theme="1"/>
        <rFont val="Century Schoolbook"/>
        <family val="1"/>
      </rPr>
      <t>1.-</t>
    </r>
    <r>
      <rPr>
        <sz val="10"/>
        <color theme="1"/>
        <rFont val="Arial Narrow"/>
        <family val="2"/>
      </rPr>
      <t xml:space="preserve"> Elaborar reporte de todos los procesos de contratación pública.</t>
    </r>
  </si>
  <si>
    <r>
      <rPr>
        <b/>
        <sz val="9"/>
        <color theme="1"/>
        <rFont val="Century Schoolbook"/>
        <family val="1"/>
      </rPr>
      <t>1.-</t>
    </r>
    <r>
      <rPr>
        <sz val="10"/>
        <color theme="1"/>
        <rFont val="Arial Narrow"/>
        <family val="2"/>
      </rPr>
      <t xml:space="preserve"> Elaborar formularios para las adquisiciones de compras.</t>
    </r>
  </si>
  <si>
    <r>
      <rPr>
        <b/>
        <sz val="9"/>
        <color theme="1"/>
        <rFont val="Century Schoolbook"/>
        <family val="1"/>
      </rPr>
      <t>1.-</t>
    </r>
    <r>
      <rPr>
        <sz val="10"/>
        <color theme="1"/>
        <rFont val="Arial Narrow"/>
        <family val="2"/>
      </rPr>
      <t xml:space="preserve"> Mejorar y detallar cada una de las actividades para elaborar los POAS </t>
    </r>
    <r>
      <rPr>
        <sz val="10"/>
        <color theme="1"/>
        <rFont val="Century Schoolbook"/>
        <family val="1"/>
      </rPr>
      <t>2023</t>
    </r>
    <r>
      <rPr>
        <sz val="10"/>
        <color theme="1"/>
        <rFont val="Arial Narrow"/>
      </rPr>
      <t xml:space="preserve"> y POA </t>
    </r>
    <r>
      <rPr>
        <sz val="10"/>
        <color theme="1"/>
        <rFont val="Century Schoolbook"/>
        <family val="1"/>
      </rPr>
      <t>2024</t>
    </r>
    <r>
      <rPr>
        <sz val="10"/>
        <color theme="1"/>
        <rFont val="Arial Narrow"/>
      </rPr>
      <t xml:space="preserve"> y las Evaluaciones del POA </t>
    </r>
    <r>
      <rPr>
        <sz val="10"/>
        <color theme="1"/>
        <rFont val="Century Schoolbook"/>
        <family val="1"/>
      </rPr>
      <t>2023</t>
    </r>
    <r>
      <rPr>
        <sz val="10"/>
        <color theme="1"/>
        <rFont val="Arial Narrow"/>
      </rPr>
      <t xml:space="preserve"> (</t>
    </r>
    <r>
      <rPr>
        <sz val="10"/>
        <color theme="1"/>
        <rFont val="Century Schoolbook"/>
        <family val="1"/>
      </rPr>
      <t>3</t>
    </r>
    <r>
      <rPr>
        <sz val="10"/>
        <color theme="1"/>
        <rFont val="Arial Narrow"/>
      </rPr>
      <t>er cuatrimestre).</t>
    </r>
  </si>
  <si>
    <r>
      <rPr>
        <b/>
        <sz val="9"/>
        <color theme="1"/>
        <rFont val="Century Schoolbook"/>
        <family val="1"/>
      </rPr>
      <t>1.-</t>
    </r>
    <r>
      <rPr>
        <sz val="10"/>
        <color theme="1"/>
        <rFont val="Arial Narrow"/>
        <family val="2"/>
      </rPr>
      <t xml:space="preserve"> Archivar y ordenar los procesos de contratación pública por código en forma digital.</t>
    </r>
  </si>
  <si>
    <r>
      <rPr>
        <b/>
        <sz val="9"/>
        <color theme="1"/>
        <rFont val="Century Schoolbook"/>
        <family val="1"/>
      </rPr>
      <t>1.-</t>
    </r>
    <r>
      <rPr>
        <sz val="10"/>
        <color theme="1"/>
        <rFont val="Arial Narrow"/>
        <family val="2"/>
      </rPr>
      <t xml:space="preserve"> Realizar la recepción y verificación de especificaciones de bienes de larga duración o de bienes sujetos a control administrativo.
</t>
    </r>
    <r>
      <rPr>
        <b/>
        <sz val="9"/>
        <color theme="1"/>
        <rFont val="Century Schoolbook"/>
        <family val="1"/>
      </rPr>
      <t>2.-</t>
    </r>
    <r>
      <rPr>
        <sz val="10"/>
        <color theme="1"/>
        <rFont val="Arial Narrow"/>
        <family val="2"/>
      </rPr>
      <t xml:space="preserve"> Realizar la recepción y verificación de especificaciones de inventarios.
</t>
    </r>
    <r>
      <rPr>
        <b/>
        <sz val="9"/>
        <color theme="1"/>
        <rFont val="Century Schoolbook"/>
        <family val="1"/>
      </rPr>
      <t>3.-</t>
    </r>
    <r>
      <rPr>
        <sz val="10"/>
        <color theme="1"/>
        <rFont val="Arial Narrow"/>
        <family val="2"/>
      </rPr>
      <t xml:space="preserve"> Realizar el ingreso de los bienes en el sistema de bienes.
</t>
    </r>
    <r>
      <rPr>
        <b/>
        <sz val="9"/>
        <color theme="1"/>
        <rFont val="Century Schoolbook"/>
        <family val="1"/>
      </rPr>
      <t>4.-</t>
    </r>
    <r>
      <rPr>
        <sz val="10"/>
        <color theme="1"/>
        <rFont val="Arial Narrow"/>
        <family val="2"/>
      </rPr>
      <t xml:space="preserve"> Realizar la codificación de los bienes con el código generado en el sistema de bienes.
</t>
    </r>
    <r>
      <rPr>
        <b/>
        <sz val="9"/>
        <color theme="1"/>
        <rFont val="Century Schoolbook"/>
        <family val="1"/>
      </rPr>
      <t>5.-</t>
    </r>
    <r>
      <rPr>
        <sz val="10"/>
        <color theme="1"/>
        <rFont val="Arial Narrow"/>
        <family val="2"/>
      </rPr>
      <t xml:space="preserve"> Elaborar órdenes de ingreso para registrar la adquisición de inventarios.</t>
    </r>
  </si>
  <si>
    <r>
      <rPr>
        <b/>
        <sz val="9"/>
        <color theme="1"/>
        <rFont val="Century Schoolbook"/>
        <family val="1"/>
      </rPr>
      <t>1.-</t>
    </r>
    <r>
      <rPr>
        <sz val="10"/>
        <color theme="1"/>
        <rFont val="Arial Narrow"/>
        <family val="2"/>
      </rPr>
      <t xml:space="preserve"> Realizar la asignación y entrega de los de bienes a los custodios según el expediente de compra.
</t>
    </r>
    <r>
      <rPr>
        <b/>
        <sz val="9"/>
        <color theme="1"/>
        <rFont val="Century Schoolbook"/>
        <family val="1"/>
      </rPr>
      <t>2.-</t>
    </r>
    <r>
      <rPr>
        <sz val="10"/>
        <color theme="1"/>
        <rFont val="Arial Narrow"/>
        <family val="2"/>
      </rPr>
      <t xml:space="preserve"> Realizar la reasignación de bienes a los custodios según solicitudes recibidas y autorizadas.
</t>
    </r>
    <r>
      <rPr>
        <b/>
        <sz val="9"/>
        <color theme="1"/>
        <rFont val="Century Schoolbook"/>
        <family val="1"/>
      </rPr>
      <t>3.-</t>
    </r>
    <r>
      <rPr>
        <sz val="10"/>
        <color theme="1"/>
        <rFont val="Arial Narrow"/>
        <family val="2"/>
      </rPr>
      <t xml:space="preserve"> Realizar la asignación y entrega de inventarios (existencias) a los custodios según el expediente de compra.</t>
    </r>
  </si>
  <si>
    <r>
      <rPr>
        <b/>
        <sz val="9"/>
        <color theme="1"/>
        <rFont val="Century Schoolbook"/>
        <family val="1"/>
      </rPr>
      <t>1.-</t>
    </r>
    <r>
      <rPr>
        <sz val="10"/>
        <color theme="1"/>
        <rFont val="Arial Narrow"/>
        <family val="2"/>
      </rPr>
      <t xml:space="preserve"> Efectuar la entrega de los documentos de propiedad solicitados.</t>
    </r>
  </si>
  <si>
    <r>
      <rPr>
        <b/>
        <sz val="9"/>
        <color theme="1"/>
        <rFont val="Century Schoolbook"/>
        <family val="1"/>
      </rPr>
      <t>1.-</t>
    </r>
    <r>
      <rPr>
        <sz val="10"/>
        <color theme="1"/>
        <rFont val="Arial Narrow"/>
        <family val="2"/>
      </rPr>
      <t xml:space="preserve"> Realizar la recepción del bien e informes requeridos para aplicar garantía.
</t>
    </r>
    <r>
      <rPr>
        <b/>
        <sz val="9"/>
        <color theme="1"/>
        <rFont val="Century Schoolbook"/>
        <family val="1"/>
      </rPr>
      <t>2.-</t>
    </r>
    <r>
      <rPr>
        <sz val="10"/>
        <color theme="1"/>
        <rFont val="Arial Narrow"/>
        <family val="2"/>
      </rPr>
      <t xml:space="preserve"> Coordinar con el proveedor la aplicación de la garantía.
</t>
    </r>
    <r>
      <rPr>
        <b/>
        <sz val="9"/>
        <color theme="1"/>
        <rFont val="Century Schoolbook"/>
        <family val="1"/>
      </rPr>
      <t>3.-</t>
    </r>
    <r>
      <rPr>
        <sz val="10"/>
        <color theme="1"/>
        <rFont val="Arial Narrow"/>
        <family val="2"/>
      </rPr>
      <t xml:space="preserve"> Comunicar al custodio o usuario final el resultado de la aplicación de la garantía y entregar el bien.</t>
    </r>
  </si>
  <si>
    <r>
      <rPr>
        <b/>
        <sz val="9"/>
        <color theme="1"/>
        <rFont val="Century Schoolbook"/>
        <family val="1"/>
      </rPr>
      <t>1.-</t>
    </r>
    <r>
      <rPr>
        <sz val="10"/>
        <color theme="1"/>
        <rFont val="Arial Narrow"/>
        <family val="2"/>
      </rPr>
      <t xml:space="preserve"> Realizar la emisión de reportes del sistema de bienes.
</t>
    </r>
    <r>
      <rPr>
        <b/>
        <sz val="9"/>
        <color theme="1"/>
        <rFont val="Century Schoolbook"/>
        <family val="1"/>
      </rPr>
      <t>2.-</t>
    </r>
    <r>
      <rPr>
        <sz val="10"/>
        <color theme="1"/>
        <rFont val="Arial Narrow"/>
        <family val="2"/>
      </rPr>
      <t xml:space="preserve"> Realizar la verificación de documentos de entrega de bienes e inventarios.
</t>
    </r>
    <r>
      <rPr>
        <b/>
        <sz val="9"/>
        <color theme="1"/>
        <rFont val="Century Schoolbook"/>
        <family val="1"/>
      </rPr>
      <t>3.-</t>
    </r>
    <r>
      <rPr>
        <sz val="10"/>
        <color theme="1"/>
        <rFont val="Arial Narrow"/>
        <family val="2"/>
      </rPr>
      <t xml:space="preserve"> Elaborar reporte de bienes e inventarios entregados.</t>
    </r>
  </si>
  <si>
    <r>
      <rPr>
        <b/>
        <sz val="9"/>
        <color theme="1"/>
        <rFont val="Century Schoolbook"/>
        <family val="1"/>
      </rPr>
      <t>1.-</t>
    </r>
    <r>
      <rPr>
        <sz val="10"/>
        <color theme="1"/>
        <rFont val="Arial Narrow"/>
        <family val="2"/>
      </rPr>
      <t xml:space="preserve"> Solicitar reporte de entregas de bienes de inventario a administradores de bienes y custodios administrativos.
</t>
    </r>
    <r>
      <rPr>
        <b/>
        <sz val="9"/>
        <color theme="1"/>
        <rFont val="Century Schoolbook"/>
        <family val="1"/>
      </rPr>
      <t>2.-</t>
    </r>
    <r>
      <rPr>
        <sz val="10"/>
        <color theme="1"/>
        <rFont val="Arial Narrow"/>
        <family val="2"/>
      </rPr>
      <t xml:space="preserve"> Realizar reporte de inventarios entregados.
</t>
    </r>
    <r>
      <rPr>
        <b/>
        <sz val="9"/>
        <color theme="1"/>
        <rFont val="Century Schoolbook"/>
        <family val="1"/>
      </rPr>
      <t>3.-</t>
    </r>
    <r>
      <rPr>
        <sz val="10"/>
        <color theme="1"/>
        <rFont val="Arial Narrow"/>
        <family val="2"/>
      </rPr>
      <t xml:space="preserve"> Efectuar la emisión del informe de entregas de inventarios para registro de gasto.</t>
    </r>
  </si>
  <si>
    <r>
      <rPr>
        <b/>
        <sz val="9"/>
        <color theme="1"/>
        <rFont val="Century Schoolbook"/>
        <family val="1"/>
      </rPr>
      <t>1.-</t>
    </r>
    <r>
      <rPr>
        <sz val="10"/>
        <color theme="1"/>
        <rFont val="Arial Narrow"/>
        <family val="2"/>
      </rPr>
      <t xml:space="preserve"> Realizar las planificaciones de las actividades operativas anuales para la unidad de bienes.
</t>
    </r>
    <r>
      <rPr>
        <b/>
        <sz val="9"/>
        <color theme="1"/>
        <rFont val="Century Schoolbook"/>
        <family val="1"/>
      </rPr>
      <t>2.-</t>
    </r>
    <r>
      <rPr>
        <sz val="10"/>
        <color theme="1"/>
        <rFont val="Arial Narrow"/>
        <family val="2"/>
      </rPr>
      <t xml:space="preserve"> Evaluar el cumplimiento de las planificaciones operativas anuales.</t>
    </r>
  </si>
  <si>
    <r>
      <rPr>
        <b/>
        <sz val="9"/>
        <color theme="1"/>
        <rFont val="Century Schoolbook"/>
        <family val="1"/>
      </rPr>
      <t>1.-</t>
    </r>
    <r>
      <rPr>
        <sz val="10"/>
        <color theme="1"/>
        <rFont val="Arial Narrow"/>
        <family val="2"/>
      </rPr>
      <t xml:space="preserve"> Efectuar la organización del archivo de la unidad de bienes según las directrices de la unidad de archivo.
</t>
    </r>
    <r>
      <rPr>
        <b/>
        <sz val="9"/>
        <color theme="1"/>
        <rFont val="Century Schoolbook"/>
        <family val="1"/>
      </rPr>
      <t>2.-</t>
    </r>
    <r>
      <rPr>
        <sz val="10"/>
        <color theme="1"/>
        <rFont val="Arial Narrow"/>
        <family val="2"/>
      </rPr>
      <t xml:space="preserve"> Efectuar la elaboración del informe del archivo de gestión organizado de la unidad de bienes.</t>
    </r>
  </si>
  <si>
    <r>
      <t xml:space="preserve">Constatación física de bienes por petición de usuarios finales o custodios administrativos:
</t>
    </r>
    <r>
      <rPr>
        <b/>
        <sz val="9"/>
        <color theme="1"/>
        <rFont val="Century Schoolbook"/>
        <family val="1"/>
      </rPr>
      <t>1.-</t>
    </r>
    <r>
      <rPr>
        <sz val="10"/>
        <color theme="1"/>
        <rFont val="Arial Narrow"/>
        <family val="2"/>
      </rPr>
      <t xml:space="preserve"> Recibir la solicitud de constatación física de bienes.
</t>
    </r>
    <r>
      <rPr>
        <b/>
        <sz val="9"/>
        <color theme="1"/>
        <rFont val="Century Schoolbook"/>
        <family val="1"/>
      </rPr>
      <t>2.-</t>
    </r>
    <r>
      <rPr>
        <sz val="10"/>
        <color theme="1"/>
        <rFont val="Arial Narrow"/>
        <family val="2"/>
      </rPr>
      <t xml:space="preserve"> Solicitar a la Unidad de Bienes los listados de bienes.
</t>
    </r>
    <r>
      <rPr>
        <b/>
        <sz val="9"/>
        <color theme="1"/>
        <rFont val="Century Schoolbook"/>
        <family val="1"/>
      </rPr>
      <t>3.-</t>
    </r>
    <r>
      <rPr>
        <sz val="10"/>
        <color theme="1"/>
        <rFont val="Arial Narrow"/>
        <family val="2"/>
      </rPr>
      <t xml:space="preserve"> Coordinar la constatación física de los bienes.
</t>
    </r>
    <r>
      <rPr>
        <b/>
        <sz val="9"/>
        <color theme="1"/>
        <rFont val="Century Schoolbook"/>
        <family val="1"/>
      </rPr>
      <t>4.-</t>
    </r>
    <r>
      <rPr>
        <sz val="10"/>
        <color theme="1"/>
        <rFont val="Arial Narrow"/>
        <family val="2"/>
      </rPr>
      <t xml:space="preserve"> Realizar la constatación física de los bienes.
</t>
    </r>
    <r>
      <rPr>
        <b/>
        <sz val="9"/>
        <color theme="1"/>
        <rFont val="Century Schoolbook"/>
        <family val="1"/>
      </rPr>
      <t>5.-</t>
    </r>
    <r>
      <rPr>
        <sz val="10"/>
        <color theme="1"/>
        <rFont val="Arial Narrow"/>
        <family val="2"/>
      </rPr>
      <t xml:space="preserve"> Elaborar Acta de Constatación física.
</t>
    </r>
    <r>
      <rPr>
        <b/>
        <sz val="9"/>
        <color theme="1"/>
        <rFont val="Century Schoolbook"/>
        <family val="1"/>
      </rPr>
      <t>6.-</t>
    </r>
    <r>
      <rPr>
        <sz val="10"/>
        <color theme="1"/>
        <rFont val="Arial Narrow"/>
        <family val="2"/>
      </rPr>
      <t xml:space="preserve"> Realizar la entrega del acta de Constatación Física al usuario final o custodio administrativo con todas las firmas requeridas.
Informe de Constatación física de bienes anual:
</t>
    </r>
    <r>
      <rPr>
        <b/>
        <sz val="9"/>
        <color theme="1"/>
        <rFont val="Century Schoolbook"/>
        <family val="1"/>
      </rPr>
      <t>1.-</t>
    </r>
    <r>
      <rPr>
        <sz val="10"/>
        <color theme="1"/>
        <rFont val="Arial Narrow"/>
        <family val="2"/>
      </rPr>
      <t xml:space="preserve"> Solicitar a la unidad de bienes el reporte de todos los bienes muebles e inmuebles institucionales y el reporte de bienes de inventario que han sido entregados.
</t>
    </r>
    <r>
      <rPr>
        <b/>
        <sz val="9"/>
        <color theme="1"/>
        <rFont val="Century Schoolbook"/>
        <family val="1"/>
      </rPr>
      <t>2.-</t>
    </r>
    <r>
      <rPr>
        <sz val="10"/>
        <color theme="1"/>
        <rFont val="Arial Narrow"/>
        <family val="2"/>
      </rPr>
      <t xml:space="preserve"> Coordinar las constataciones físicas de bienes e inventarios.
</t>
    </r>
    <r>
      <rPr>
        <b/>
        <sz val="9"/>
        <color theme="1"/>
        <rFont val="Century Schoolbook"/>
        <family val="1"/>
      </rPr>
      <t>3.-</t>
    </r>
    <r>
      <rPr>
        <sz val="10"/>
        <color theme="1"/>
        <rFont val="Arial Narrow"/>
        <family val="2"/>
      </rPr>
      <t xml:space="preserve"> Consolidar la información de las constataciones realizadas.
</t>
    </r>
    <r>
      <rPr>
        <b/>
        <sz val="9"/>
        <color theme="1"/>
        <rFont val="Century Schoolbook"/>
        <family val="1"/>
      </rPr>
      <t>4.-</t>
    </r>
    <r>
      <rPr>
        <sz val="10"/>
        <color theme="1"/>
        <rFont val="Arial Narrow"/>
        <family val="2"/>
      </rPr>
      <t xml:space="preserve"> Revisar y verificar las entregas hechas por los administradores de bienes con el reporte de inventarios de la unidad de bienes.
</t>
    </r>
    <r>
      <rPr>
        <b/>
        <sz val="9"/>
        <color theme="1"/>
        <rFont val="Century Schoolbook"/>
        <family val="1"/>
      </rPr>
      <t>5.-</t>
    </r>
    <r>
      <rPr>
        <sz val="10"/>
        <color theme="1"/>
        <rFont val="Arial Narrow"/>
        <family val="2"/>
      </rPr>
      <t xml:space="preserve"> Depurar la información de lo constatado y lo devuelto a la unidad.
</t>
    </r>
    <r>
      <rPr>
        <b/>
        <sz val="9"/>
        <color theme="1"/>
        <rFont val="Century Schoolbook"/>
        <family val="1"/>
      </rPr>
      <t>6.-</t>
    </r>
    <r>
      <rPr>
        <sz val="10"/>
        <color theme="1"/>
        <rFont val="Arial Narrow"/>
        <family val="2"/>
      </rPr>
      <t xml:space="preserve"> Elaborar informe de constatación física de bienes.</t>
    </r>
  </si>
  <si>
    <r>
      <rPr>
        <b/>
        <sz val="9"/>
        <color theme="1"/>
        <rFont val="Century Schoolbook"/>
        <family val="1"/>
      </rPr>
      <t>1.-</t>
    </r>
    <r>
      <rPr>
        <sz val="10"/>
        <color theme="1"/>
        <rFont val="Arial Narrow"/>
        <family val="2"/>
      </rPr>
      <t xml:space="preserve"> Recibir oficio solicitando se autorice la salida de un bien ya sea para ser reparado en talleres particulares.
</t>
    </r>
    <r>
      <rPr>
        <b/>
        <sz val="9"/>
        <color theme="1"/>
        <rFont val="Century Schoolbook"/>
        <family val="1"/>
      </rPr>
      <t>2.-</t>
    </r>
    <r>
      <rPr>
        <sz val="10"/>
        <color theme="1"/>
        <rFont val="Arial Narrow"/>
        <family val="2"/>
      </rPr>
      <t xml:space="preserve"> Constatar la información del bien.
</t>
    </r>
    <r>
      <rPr>
        <b/>
        <sz val="9"/>
        <color theme="1"/>
        <rFont val="Century Schoolbook"/>
        <family val="1"/>
      </rPr>
      <t>3.-</t>
    </r>
    <r>
      <rPr>
        <sz val="10"/>
        <color theme="1"/>
        <rFont val="Arial Narrow"/>
        <family val="2"/>
      </rPr>
      <t xml:space="preserve"> Elaborar el formulario de autorización de salida del bien.
</t>
    </r>
    <r>
      <rPr>
        <b/>
        <sz val="9"/>
        <color theme="1"/>
        <rFont val="Century Schoolbook"/>
        <family val="1"/>
      </rPr>
      <t>4.-</t>
    </r>
    <r>
      <rPr>
        <sz val="10"/>
        <color theme="1"/>
        <rFont val="Arial Narrow"/>
        <family val="2"/>
      </rPr>
      <t xml:space="preserve"> Recibir la notificación del retorno del bien.
</t>
    </r>
    <r>
      <rPr>
        <b/>
        <sz val="9"/>
        <color theme="1"/>
        <rFont val="Century Schoolbook"/>
        <family val="1"/>
      </rPr>
      <t>5.-</t>
    </r>
    <r>
      <rPr>
        <sz val="10"/>
        <color theme="1"/>
        <rFont val="Arial Narrow"/>
        <family val="2"/>
      </rPr>
      <t xml:space="preserve"> Constatar físicamente los bienes.</t>
    </r>
  </si>
  <si>
    <r>
      <rPr>
        <b/>
        <sz val="9"/>
        <color theme="1"/>
        <rFont val="Century Schoolbook"/>
        <family val="1"/>
      </rPr>
      <t>1.-</t>
    </r>
    <r>
      <rPr>
        <sz val="10"/>
        <color theme="1"/>
        <rFont val="Arial Narrow"/>
      </rPr>
      <t xml:space="preserve"> Recibir petición de devolución de bienes.
</t>
    </r>
    <r>
      <rPr>
        <b/>
        <sz val="9"/>
        <color theme="1"/>
        <rFont val="Century Schoolbook"/>
        <family val="1"/>
      </rPr>
      <t>2.-</t>
    </r>
    <r>
      <rPr>
        <sz val="10"/>
        <color theme="1"/>
        <rFont val="Arial Narrow"/>
      </rPr>
      <t xml:space="preserve"> Elaborar Acta de Devolución de Bienes.
</t>
    </r>
    <r>
      <rPr>
        <b/>
        <sz val="9"/>
        <color theme="1"/>
        <rFont val="Century Schoolbook"/>
        <family val="1"/>
      </rPr>
      <t>3.-</t>
    </r>
    <r>
      <rPr>
        <sz val="10"/>
        <color theme="1"/>
        <rFont val="Arial Narrow"/>
      </rPr>
      <t xml:space="preserve"> Realizar la entrega del acta de devolución de bienes.</t>
    </r>
  </si>
  <si>
    <r>
      <rPr>
        <b/>
        <sz val="9"/>
        <color theme="1"/>
        <rFont val="Century Schoolbook"/>
        <family val="1"/>
      </rPr>
      <t>1.-</t>
    </r>
    <r>
      <rPr>
        <sz val="10"/>
        <color theme="1"/>
        <rFont val="Arial Narrow"/>
      </rPr>
      <t xml:space="preserve"> Consolidar información de las actas de devolución de bienes.
</t>
    </r>
    <r>
      <rPr>
        <b/>
        <sz val="9"/>
        <color theme="1"/>
        <rFont val="Century Schoolbook"/>
        <family val="1"/>
      </rPr>
      <t>2.-</t>
    </r>
    <r>
      <rPr>
        <sz val="10"/>
        <color theme="1"/>
        <rFont val="Arial Narrow"/>
      </rPr>
      <t xml:space="preserve"> Elaborar reporte de bienes a ser enajenados.
</t>
    </r>
    <r>
      <rPr>
        <b/>
        <sz val="9"/>
        <color theme="1"/>
        <rFont val="Century Schoolbook"/>
        <family val="1"/>
      </rPr>
      <t>3.-</t>
    </r>
    <r>
      <rPr>
        <sz val="10"/>
        <color theme="1"/>
        <rFont val="Arial Narrow"/>
      </rPr>
      <t xml:space="preserve"> Remitir a la Dirección Administrativa el Reporte de bienes inservibles, obsoletos o que han dejado de tener utilidad a ser enajenados.</t>
    </r>
  </si>
  <si>
    <r>
      <rPr>
        <b/>
        <sz val="9"/>
        <color theme="1"/>
        <rFont val="Century Schoolbook"/>
        <family val="1"/>
      </rPr>
      <t>1.-</t>
    </r>
    <r>
      <rPr>
        <sz val="10"/>
        <color theme="1"/>
        <rFont val="Arial Narrow"/>
      </rPr>
      <t xml:space="preserve"> Solicitar reporte de bienes muebles e inmuebles a la Unidad de Bienes.
</t>
    </r>
    <r>
      <rPr>
        <b/>
        <sz val="9"/>
        <color theme="1"/>
        <rFont val="Century Schoolbook"/>
        <family val="1"/>
      </rPr>
      <t>2.-</t>
    </r>
    <r>
      <rPr>
        <sz val="10"/>
        <color theme="1"/>
        <rFont val="Arial Narrow"/>
      </rPr>
      <t xml:space="preserve"> Depurar la información de acuerdo a la directrices emitidas por la Dirección Administrativa.
</t>
    </r>
    <r>
      <rPr>
        <b/>
        <sz val="9"/>
        <color theme="1"/>
        <rFont val="Century Schoolbook"/>
        <family val="1"/>
      </rPr>
      <t>3.-</t>
    </r>
    <r>
      <rPr>
        <sz val="10"/>
        <color theme="1"/>
        <rFont val="Arial Narrow"/>
      </rPr>
      <t xml:space="preserve"> Elaborar el reporte de Bienes muebles e inmuebles.
</t>
    </r>
    <r>
      <rPr>
        <b/>
        <sz val="9"/>
        <color theme="1"/>
        <rFont val="Century Schoolbook"/>
        <family val="1"/>
      </rPr>
      <t>4.-</t>
    </r>
    <r>
      <rPr>
        <sz val="10"/>
        <color theme="1"/>
        <rFont val="Arial Narrow"/>
      </rPr>
      <t xml:space="preserve"> Remitir a la Dirección Administrativa el Reporte de Bienes Muebles e Inmuebles a ser Asegurados.</t>
    </r>
  </si>
  <si>
    <r>
      <rPr>
        <b/>
        <sz val="9"/>
        <color theme="1"/>
        <rFont val="Century Schoolbook"/>
        <family val="1"/>
      </rPr>
      <t>1.-</t>
    </r>
    <r>
      <rPr>
        <sz val="10"/>
        <color theme="1"/>
        <rFont val="Arial Narrow"/>
      </rPr>
      <t xml:space="preserve"> Elaborar Informe Técnico de acuerdo a las Actas de Constatación Física de Bienes.
</t>
    </r>
    <r>
      <rPr>
        <b/>
        <sz val="9"/>
        <color theme="1"/>
        <rFont val="Century Schoolbook"/>
        <family val="1"/>
      </rPr>
      <t>2.-</t>
    </r>
    <r>
      <rPr>
        <sz val="10"/>
        <color theme="1"/>
        <rFont val="Arial Narrow"/>
      </rPr>
      <t xml:space="preserve"> Enviar Informe Técnico a la Dirección Administrativa.</t>
    </r>
  </si>
  <si>
    <r>
      <rPr>
        <b/>
        <sz val="9"/>
        <color theme="1"/>
        <rFont val="Century Schoolbook"/>
        <family val="1"/>
      </rPr>
      <t>1.-</t>
    </r>
    <r>
      <rPr>
        <sz val="10"/>
        <color theme="1"/>
        <rFont val="Arial Narrow"/>
      </rPr>
      <t xml:space="preserve"> Remitir a la Dirección Administrativa el Acta de Constatación Física Anual de Inventarios.
</t>
    </r>
    <r>
      <rPr>
        <b/>
        <sz val="9"/>
        <color theme="1"/>
        <rFont val="Century Schoolbook"/>
        <family val="1"/>
      </rPr>
      <t>2.-</t>
    </r>
    <r>
      <rPr>
        <sz val="10"/>
        <color theme="1"/>
        <rFont val="Arial Narrow"/>
      </rPr>
      <t xml:space="preserve"> Remitir a la Dirección Administrativa el Reporte de bienes inservibles, obsoletos o que han dejado de tener utilidad a ser enajenados.</t>
    </r>
  </si>
  <si>
    <r>
      <rPr>
        <b/>
        <sz val="9"/>
        <color theme="1"/>
        <rFont val="Century Schoolbook"/>
        <family val="1"/>
      </rPr>
      <t>1.-</t>
    </r>
    <r>
      <rPr>
        <sz val="10"/>
        <color theme="1"/>
        <rFont val="Arial Narrow"/>
      </rPr>
      <t xml:space="preserve"> Revisar las actividades que se realizarán.
</t>
    </r>
    <r>
      <rPr>
        <b/>
        <sz val="9"/>
        <color theme="1"/>
        <rFont val="Century Schoolbook"/>
        <family val="1"/>
      </rPr>
      <t>2.-</t>
    </r>
    <r>
      <rPr>
        <sz val="10"/>
        <color theme="1"/>
        <rFont val="Arial Narrow"/>
      </rPr>
      <t xml:space="preserve"> Elaborar las Planificaciones Operativas Anuales y las Evaluaciones de la Planificaciones Operativas Anuales.</t>
    </r>
  </si>
  <si>
    <r>
      <rPr>
        <b/>
        <sz val="9"/>
        <color theme="1"/>
        <rFont val="Century Schoolbook"/>
        <family val="1"/>
      </rPr>
      <t>1.-</t>
    </r>
    <r>
      <rPr>
        <sz val="10"/>
        <color theme="1"/>
        <rFont val="Arial Narrow"/>
      </rPr>
      <t xml:space="preserve"> Clasificar documentos.
</t>
    </r>
    <r>
      <rPr>
        <b/>
        <sz val="9"/>
        <color theme="1"/>
        <rFont val="Century Schoolbook"/>
        <family val="1"/>
      </rPr>
      <t>2.-</t>
    </r>
    <r>
      <rPr>
        <sz val="10"/>
        <color theme="1"/>
        <rFont val="Arial Narrow"/>
      </rPr>
      <t xml:space="preserve"> Organizar el archivo según las directrices de la Unidad de Archivo General.</t>
    </r>
  </si>
  <si>
    <r>
      <rPr>
        <b/>
        <sz val="9"/>
        <color theme="1"/>
        <rFont val="Century Schoolbook"/>
        <family val="1"/>
      </rPr>
      <t>1.-</t>
    </r>
    <r>
      <rPr>
        <sz val="10"/>
        <color theme="1"/>
        <rFont val="Arial Narrow"/>
      </rPr>
      <t xml:space="preserve"> Verificar necesidades presentadas en la Unidad.
</t>
    </r>
    <r>
      <rPr>
        <b/>
        <sz val="9"/>
        <color theme="1"/>
        <rFont val="Century Schoolbook"/>
        <family val="1"/>
      </rPr>
      <t>2.-</t>
    </r>
    <r>
      <rPr>
        <sz val="10"/>
        <color theme="1"/>
        <rFont val="Arial Narrow"/>
      </rPr>
      <t xml:space="preserve"> Inspeccionar los espacios físicos de la institución.
</t>
    </r>
    <r>
      <rPr>
        <b/>
        <sz val="9"/>
        <color theme="1"/>
        <rFont val="Century Schoolbook"/>
        <family val="1"/>
      </rPr>
      <t>3.-</t>
    </r>
    <r>
      <rPr>
        <sz val="10"/>
        <color theme="1"/>
        <rFont val="Arial Narrow"/>
      </rPr>
      <t xml:space="preserve"> Inspeccionar el lugar de la obra.
</t>
    </r>
    <r>
      <rPr>
        <b/>
        <sz val="9"/>
        <color theme="1"/>
        <rFont val="Century Schoolbook"/>
        <family val="1"/>
      </rPr>
      <t>4.-</t>
    </r>
    <r>
      <rPr>
        <sz val="10"/>
        <color theme="1"/>
        <rFont val="Arial Narrow"/>
      </rPr>
      <t xml:space="preserve"> Verificar la ejecución de la obra.
</t>
    </r>
    <r>
      <rPr>
        <b/>
        <sz val="9"/>
        <color theme="1"/>
        <rFont val="Century Schoolbook"/>
        <family val="1"/>
      </rPr>
      <t>5.-</t>
    </r>
    <r>
      <rPr>
        <sz val="10"/>
        <color theme="1"/>
        <rFont val="Arial Narrow"/>
      </rPr>
      <t xml:space="preserve"> Medir la obra ejecutada.
</t>
    </r>
    <r>
      <rPr>
        <b/>
        <sz val="9"/>
        <color theme="1"/>
        <rFont val="Century Schoolbook"/>
        <family val="1"/>
      </rPr>
      <t>6.-</t>
    </r>
    <r>
      <rPr>
        <sz val="10"/>
        <color theme="1"/>
        <rFont val="Arial Narrow"/>
      </rPr>
      <t xml:space="preserve"> Controlar el cumplimiento de avance del cronograma de obra.
</t>
    </r>
    <r>
      <rPr>
        <b/>
        <sz val="9"/>
        <color theme="1"/>
        <rFont val="Century Schoolbook"/>
        <family val="1"/>
      </rPr>
      <t>7.-</t>
    </r>
    <r>
      <rPr>
        <sz val="10"/>
        <color theme="1"/>
        <rFont val="Arial Narrow"/>
      </rPr>
      <t xml:space="preserve"> Controlar el cumplimiento de especificaciones técnicas.
</t>
    </r>
    <r>
      <rPr>
        <b/>
        <sz val="9"/>
        <color theme="1"/>
        <rFont val="Century Schoolbook"/>
        <family val="1"/>
      </rPr>
      <t>8.-</t>
    </r>
    <r>
      <rPr>
        <sz val="10"/>
        <color theme="1"/>
        <rFont val="Arial Narrow"/>
      </rPr>
      <t xml:space="preserve"> Revisar las planillas de obra.
</t>
    </r>
    <r>
      <rPr>
        <b/>
        <sz val="9"/>
        <color theme="1"/>
        <rFont val="Century Schoolbook"/>
        <family val="1"/>
      </rPr>
      <t>9.-</t>
    </r>
    <r>
      <rPr>
        <sz val="10"/>
        <color theme="1"/>
        <rFont val="Arial Narrow"/>
      </rPr>
      <t xml:space="preserve"> Elaborar informe de fiscalización de obra.
</t>
    </r>
    <r>
      <rPr>
        <b/>
        <sz val="9"/>
        <color theme="1"/>
        <rFont val="Century Schoolbook"/>
        <family val="1"/>
      </rPr>
      <t>10.-</t>
    </r>
    <r>
      <rPr>
        <sz val="10"/>
        <color theme="1"/>
        <rFont val="Arial Narrow"/>
      </rPr>
      <t xml:space="preserve"> Elaborar  reportes de trabajos de mantenimiento.
</t>
    </r>
    <r>
      <rPr>
        <b/>
        <sz val="9"/>
        <color theme="1"/>
        <rFont val="Century Schoolbook"/>
        <family val="1"/>
      </rPr>
      <t>11.-</t>
    </r>
    <r>
      <rPr>
        <sz val="10"/>
        <color theme="1"/>
        <rFont val="Arial Narrow"/>
      </rPr>
      <t xml:space="preserve"> Administrar contratos de ejecución de obras.</t>
    </r>
  </si>
  <si>
    <r>
      <rPr>
        <b/>
        <sz val="9"/>
        <color theme="1"/>
        <rFont val="Century Schoolbook"/>
        <family val="1"/>
      </rPr>
      <t>1.-</t>
    </r>
    <r>
      <rPr>
        <sz val="10"/>
        <color theme="1"/>
        <rFont val="Arial Narrow"/>
      </rPr>
      <t xml:space="preserve"> Elaboración de Planos de adecuación y/o construcción de obras.
</t>
    </r>
    <r>
      <rPr>
        <b/>
        <sz val="9"/>
        <color theme="1"/>
        <rFont val="Century Schoolbook"/>
        <family val="1"/>
      </rPr>
      <t>2.-</t>
    </r>
    <r>
      <rPr>
        <sz val="10"/>
        <color theme="1"/>
        <rFont val="Arial Narrow"/>
      </rPr>
      <t xml:space="preserve"> Presupuesto referencial y Especificaciones técnicas de adecuación y/o construcción de obras.</t>
    </r>
  </si>
  <si>
    <r>
      <rPr>
        <b/>
        <sz val="9"/>
        <color theme="1"/>
        <rFont val="Century Schoolbook"/>
        <family val="1"/>
      </rPr>
      <t>1.-</t>
    </r>
    <r>
      <rPr>
        <sz val="10"/>
        <color theme="1"/>
        <rFont val="Arial Narrow"/>
      </rPr>
      <t xml:space="preserve"> Inspeccionar los espacios físicos existentes.
</t>
    </r>
    <r>
      <rPr>
        <b/>
        <sz val="9"/>
        <color theme="1"/>
        <rFont val="Century Schoolbook"/>
        <family val="1"/>
      </rPr>
      <t>2.-</t>
    </r>
    <r>
      <rPr>
        <sz val="10"/>
        <color theme="1"/>
        <rFont val="Arial Narrow"/>
      </rPr>
      <t xml:space="preserve"> Verificar las necesidades de infraestructura institucional.
</t>
    </r>
    <r>
      <rPr>
        <b/>
        <sz val="9"/>
        <color theme="1"/>
        <rFont val="Century Schoolbook"/>
        <family val="1"/>
      </rPr>
      <t>3.-</t>
    </r>
    <r>
      <rPr>
        <sz val="10"/>
        <color theme="1"/>
        <rFont val="Arial Narrow"/>
      </rPr>
      <t xml:space="preserve"> Elaborar los planos de nuevas construcciones.
</t>
    </r>
    <r>
      <rPr>
        <b/>
        <sz val="9"/>
        <color theme="1"/>
        <rFont val="Century Schoolbook"/>
        <family val="1"/>
      </rPr>
      <t>4.-</t>
    </r>
    <r>
      <rPr>
        <sz val="10"/>
        <color theme="1"/>
        <rFont val="Arial Narrow"/>
      </rPr>
      <t xml:space="preserve"> Elaborar el presupuesto referencial de obras.
</t>
    </r>
    <r>
      <rPr>
        <b/>
        <sz val="9"/>
        <color theme="1"/>
        <rFont val="Century Schoolbook"/>
        <family val="1"/>
      </rPr>
      <t>5.-</t>
    </r>
    <r>
      <rPr>
        <sz val="10"/>
        <color theme="1"/>
        <rFont val="Arial Narrow"/>
      </rPr>
      <t xml:space="preserve"> Solicitar presupuesto para la ejecución de adecuaciones.</t>
    </r>
  </si>
  <si>
    <r>
      <rPr>
        <b/>
        <sz val="9"/>
        <color theme="1"/>
        <rFont val="Century Schoolbook"/>
        <family val="1"/>
      </rPr>
      <t>1.-</t>
    </r>
    <r>
      <rPr>
        <sz val="10"/>
        <color theme="1"/>
        <rFont val="Arial Narrow"/>
        <family val="2"/>
      </rPr>
      <t xml:space="preserve"> Inspeccionar los espacios de la institución.
</t>
    </r>
    <r>
      <rPr>
        <b/>
        <sz val="9"/>
        <color theme="1"/>
        <rFont val="Century Schoolbook"/>
        <family val="1"/>
      </rPr>
      <t>2.-</t>
    </r>
    <r>
      <rPr>
        <sz val="10"/>
        <color theme="1"/>
        <rFont val="Arial Narrow"/>
        <family val="2"/>
      </rPr>
      <t xml:space="preserve"> Elaborar  reportes de trabajos de mantenimiento correctivo y adecuaciones menores.</t>
    </r>
  </si>
  <si>
    <r>
      <rPr>
        <b/>
        <sz val="9"/>
        <color theme="1"/>
        <rFont val="Century Schoolbook"/>
        <family val="1"/>
      </rPr>
      <t>1.-</t>
    </r>
    <r>
      <rPr>
        <sz val="10"/>
        <color theme="1"/>
        <rFont val="Arial Narrow"/>
      </rPr>
      <t xml:space="preserve"> Inspección periódica de la Infraestructura.
</t>
    </r>
    <r>
      <rPr>
        <b/>
        <sz val="9"/>
        <color theme="1"/>
        <rFont val="Century Schoolbook"/>
        <family val="1"/>
      </rPr>
      <t>2.-</t>
    </r>
    <r>
      <rPr>
        <sz val="10"/>
        <color theme="1"/>
        <rFont val="Arial Narrow"/>
      </rPr>
      <t xml:space="preserve"> Elaboración de informes de funcionamiento de la infraestructura.</t>
    </r>
  </si>
  <si>
    <r>
      <rPr>
        <b/>
        <sz val="9"/>
        <color theme="1"/>
        <rFont val="Century Schoolbook"/>
        <family val="1"/>
      </rPr>
      <t>1.-</t>
    </r>
    <r>
      <rPr>
        <sz val="10"/>
        <color theme="1"/>
        <rFont val="Arial Narrow"/>
      </rPr>
      <t xml:space="preserve"> Inspección periódica de los bienes.
</t>
    </r>
    <r>
      <rPr>
        <b/>
        <sz val="9"/>
        <color theme="1"/>
        <rFont val="Century Schoolbook"/>
        <family val="1"/>
      </rPr>
      <t>2.-</t>
    </r>
    <r>
      <rPr>
        <sz val="10"/>
        <color theme="1"/>
        <rFont val="Arial Narrow"/>
      </rPr>
      <t xml:space="preserve"> Elaboración de informes de funcionamiento de los bienes.
</t>
    </r>
    <r>
      <rPr>
        <b/>
        <sz val="9"/>
        <color theme="1"/>
        <rFont val="Century Schoolbook"/>
        <family val="1"/>
      </rPr>
      <t>3.-</t>
    </r>
    <r>
      <rPr>
        <sz val="10"/>
        <color theme="1"/>
        <rFont val="Arial Narrow"/>
      </rPr>
      <t xml:space="preserve"> Elaboración de informes del mantenimiento de los bienes.</t>
    </r>
  </si>
  <si>
    <r>
      <rPr>
        <b/>
        <sz val="9"/>
        <color theme="1"/>
        <rFont val="Century Schoolbook"/>
        <family val="1"/>
      </rPr>
      <t>1.-</t>
    </r>
    <r>
      <rPr>
        <sz val="10"/>
        <color theme="1"/>
        <rFont val="Arial Narrow"/>
        <family val="2"/>
      </rPr>
      <t xml:space="preserve"> Inspeccionar los espacios físicos existentes.
</t>
    </r>
    <r>
      <rPr>
        <b/>
        <sz val="9"/>
        <color theme="1"/>
        <rFont val="Century Schoolbook"/>
        <family val="1"/>
      </rPr>
      <t>2.-</t>
    </r>
    <r>
      <rPr>
        <sz val="10"/>
        <color theme="1"/>
        <rFont val="Arial Narrow"/>
        <family val="2"/>
      </rPr>
      <t xml:space="preserve"> Verificar las necesidades de personal de mantenimiento y limpieza de la infraestructura institucional..
</t>
    </r>
    <r>
      <rPr>
        <b/>
        <sz val="9"/>
        <color theme="1"/>
        <rFont val="Century Schoolbook"/>
        <family val="1"/>
      </rPr>
      <t>3.-</t>
    </r>
    <r>
      <rPr>
        <sz val="10"/>
        <color theme="1"/>
        <rFont val="Arial Narrow"/>
        <family val="2"/>
      </rPr>
      <t xml:space="preserve"> Elaborar propuestas de distributivo.</t>
    </r>
  </si>
  <si>
    <r>
      <rPr>
        <b/>
        <sz val="9"/>
        <color theme="1"/>
        <rFont val="Century Schoolbook"/>
        <family val="1"/>
      </rPr>
      <t>1.-</t>
    </r>
    <r>
      <rPr>
        <sz val="10"/>
        <color theme="1"/>
        <rFont val="Arial Narrow"/>
      </rPr>
      <t xml:space="preserve"> Petición de recursos para el mantenimiento de las áreas verdes y escenarios deportivos.</t>
    </r>
  </si>
  <si>
    <r>
      <rPr>
        <b/>
        <sz val="9"/>
        <color theme="1"/>
        <rFont val="Century Schoolbook"/>
        <family val="1"/>
      </rPr>
      <t>1.-</t>
    </r>
    <r>
      <rPr>
        <sz val="10"/>
        <color theme="1"/>
        <rFont val="Arial Narrow"/>
      </rPr>
      <t xml:space="preserve"> Petición de recursos para el mantenimiento de los equipos de la institución.</t>
    </r>
  </si>
  <si>
    <r>
      <rPr>
        <b/>
        <sz val="9"/>
        <color theme="1"/>
        <rFont val="Century Schoolbook"/>
        <family val="1"/>
      </rPr>
      <t>1.-</t>
    </r>
    <r>
      <rPr>
        <sz val="10"/>
        <color theme="1"/>
        <rFont val="Arial Narrow"/>
      </rPr>
      <t xml:space="preserve"> Petición de recursos para el mantenimiento de la planta de tratamiento de aguas residuales.</t>
    </r>
  </si>
  <si>
    <r>
      <rPr>
        <b/>
        <sz val="9"/>
        <color theme="1"/>
        <rFont val="Century Schoolbook"/>
        <family val="1"/>
      </rPr>
      <t>1.-</t>
    </r>
    <r>
      <rPr>
        <sz val="10"/>
        <color theme="1"/>
        <rFont val="Arial Narrow"/>
        <family val="2"/>
      </rPr>
      <t xml:space="preserve"> Elaborar el POA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Evaluar el POA </t>
    </r>
    <r>
      <rPr>
        <sz val="10"/>
        <color theme="1"/>
        <rFont val="Century Schoolbook"/>
        <family val="1"/>
      </rPr>
      <t>2023.</t>
    </r>
  </si>
  <si>
    <r>
      <rPr>
        <b/>
        <sz val="9"/>
        <color theme="1"/>
        <rFont val="Century Schoolbook"/>
        <family val="1"/>
      </rPr>
      <t>1.-</t>
    </r>
    <r>
      <rPr>
        <sz val="10"/>
        <color theme="1"/>
        <rFont val="Arial Narrow"/>
        <family val="2"/>
      </rPr>
      <t xml:space="preserve"> Organizar los documentos en carpetas.
</t>
    </r>
    <r>
      <rPr>
        <b/>
        <sz val="9"/>
        <color theme="1"/>
        <rFont val="Century Schoolbook"/>
        <family val="1"/>
      </rPr>
      <t>2.-</t>
    </r>
    <r>
      <rPr>
        <sz val="10"/>
        <color theme="1"/>
        <rFont val="Arial Narrow"/>
        <family val="2"/>
      </rPr>
      <t xml:space="preserve"> Ingresar información en la matriz correspondiente.</t>
    </r>
  </si>
  <si>
    <r>
      <rPr>
        <b/>
        <sz val="9"/>
        <color theme="1"/>
        <rFont val="Century Schoolbook"/>
        <family val="1"/>
      </rPr>
      <t>1.-</t>
    </r>
    <r>
      <rPr>
        <sz val="10"/>
        <color theme="1"/>
        <rFont val="Arial Narrow"/>
        <family val="2"/>
      </rPr>
      <t xml:space="preserve"> RESOLUCIONES DEL PAC INICIAL Y SUS REFORMAS.</t>
    </r>
  </si>
  <si>
    <r>
      <rPr>
        <b/>
        <sz val="9"/>
        <color theme="1"/>
        <rFont val="Century Schoolbook"/>
        <family val="1"/>
      </rPr>
      <t>1.-</t>
    </r>
    <r>
      <rPr>
        <sz val="10"/>
        <color theme="1"/>
        <rFont val="Arial Narrow"/>
        <family val="2"/>
      </rPr>
      <t xml:space="preserve"> MATRIZ DE ADQUISICIÓN DE BIENES Y/O SERVICIOS EN RELACIÓN A CERTIFICACIONES PAC.</t>
    </r>
  </si>
  <si>
    <r>
      <rPr>
        <b/>
        <sz val="9"/>
        <color theme="1"/>
        <rFont val="Century Schoolbook"/>
        <family val="1"/>
      </rPr>
      <t>1.-</t>
    </r>
    <r>
      <rPr>
        <sz val="10"/>
        <color theme="1"/>
        <rFont val="Arial Narrow"/>
        <family val="2"/>
      </rPr>
      <t xml:space="preserve"> ACTA DE REUNIÓN.
</t>
    </r>
    <r>
      <rPr>
        <b/>
        <sz val="9"/>
        <color theme="1"/>
        <rFont val="Century Schoolbook"/>
        <family val="1"/>
      </rPr>
      <t>2.-</t>
    </r>
    <r>
      <rPr>
        <sz val="10"/>
        <color theme="1"/>
        <rFont val="Arial Narrow"/>
        <family val="2"/>
      </rPr>
      <t xml:space="preserve"> DIAGRAMAS DE PROCESOS PROPUESTOS E IMPLEMENTADOS.
</t>
    </r>
    <r>
      <rPr>
        <b/>
        <sz val="9"/>
        <color theme="1"/>
        <rFont val="Century Schoolbook"/>
        <family val="1"/>
      </rPr>
      <t>3.-</t>
    </r>
    <r>
      <rPr>
        <sz val="10"/>
        <color theme="1"/>
        <rFont val="Arial Narrow"/>
        <family val="2"/>
      </rPr>
      <t xml:space="preserve"> CUADROS ESTADÍSTICOS.
</t>
    </r>
    <r>
      <rPr>
        <b/>
        <sz val="9"/>
        <color theme="1"/>
        <rFont val="Century Schoolbook"/>
        <family val="1"/>
      </rPr>
      <t>4.-</t>
    </r>
    <r>
      <rPr>
        <sz val="10"/>
        <color theme="1"/>
        <rFont val="Arial Narrow"/>
        <family val="2"/>
      </rPr>
      <t xml:space="preserve"> CORREO ELECTRÓNICO DE DIFUSIÓN.</t>
    </r>
  </si>
  <si>
    <r>
      <rPr>
        <b/>
        <sz val="9"/>
        <color theme="1"/>
        <rFont val="Century Schoolbook"/>
        <family val="1"/>
      </rPr>
      <t>1.-</t>
    </r>
    <r>
      <rPr>
        <sz val="10"/>
        <color theme="1"/>
        <rFont val="Arial Narrow"/>
        <family val="2"/>
      </rPr>
      <t xml:space="preserve"> MATRIZ DE ADQUISICIÓN DE BIENES Y/O SERVICIOS CENTRALIZADOS EN LA DIRECCIÓN ADMINISTRATIVA.</t>
    </r>
  </si>
  <si>
    <r>
      <rPr>
        <b/>
        <sz val="9"/>
        <color theme="1"/>
        <rFont val="Century Schoolbook"/>
        <family val="1"/>
      </rPr>
      <t>1.-</t>
    </r>
    <r>
      <rPr>
        <sz val="10"/>
        <color theme="1"/>
        <rFont val="Arial Narrow"/>
        <family val="2"/>
      </rPr>
      <t xml:space="preserve"> ACTAS DE PRÉSTAMOS DE ESPACIOS FÍSICOS.</t>
    </r>
  </si>
  <si>
    <r>
      <rPr>
        <b/>
        <sz val="9"/>
        <color theme="1"/>
        <rFont val="Century Schoolbook"/>
        <family val="1"/>
      </rPr>
      <t>1.-</t>
    </r>
    <r>
      <rPr>
        <sz val="10"/>
        <color theme="1"/>
        <rFont val="Arial Narrow"/>
        <family val="2"/>
      </rPr>
      <t xml:space="preserve"> CUADRO RESUMEN DE LAS  CONSTATACIONES FÍSICA DE BIENES.
</t>
    </r>
    <r>
      <rPr>
        <b/>
        <sz val="9"/>
        <color theme="1"/>
        <rFont val="Century Schoolbook"/>
        <family val="1"/>
      </rPr>
      <t>2.-</t>
    </r>
    <r>
      <rPr>
        <sz val="10"/>
        <color theme="1"/>
        <rFont val="Arial Narrow"/>
        <family val="2"/>
      </rPr>
      <t xml:space="preserve"> CUADRO RESUMEN DE EXISTENCIAS Y CONSUMIBLES.</t>
    </r>
  </si>
  <si>
    <r>
      <t xml:space="preserve">
</t>
    </r>
    <r>
      <rPr>
        <b/>
        <sz val="9"/>
        <color theme="1"/>
        <rFont val="Century Schoolbook"/>
        <family val="1"/>
      </rPr>
      <t>1.-</t>
    </r>
    <r>
      <rPr>
        <sz val="10"/>
        <color theme="1"/>
        <rFont val="Arial Narrow"/>
        <family val="2"/>
      </rPr>
      <t xml:space="preserve"> FORMULARIOS Y HABILITANTES PARA EL PROCESO DE ADQUISICIÓN DEL SERVICIO DE LOS BIENES DE LA UTMACH A ASEGURAR.</t>
    </r>
  </si>
  <si>
    <r>
      <rPr>
        <b/>
        <sz val="9"/>
        <color theme="1"/>
        <rFont val="Century Schoolbook"/>
        <family val="1"/>
      </rPr>
      <t>1.-</t>
    </r>
    <r>
      <rPr>
        <sz val="10"/>
        <color theme="1"/>
        <rFont val="Arial Narrow"/>
        <family val="2"/>
      </rPr>
      <t xml:space="preserve"> INFORME CON ACTIVIDADES EJECUTADAS DESDE EL PARQUE AUTOMOTOR DE LA IES.</t>
    </r>
  </si>
  <si>
    <r>
      <rPr>
        <b/>
        <sz val="9"/>
        <color theme="1"/>
        <rFont val="Century Schoolbook"/>
        <family val="1"/>
      </rPr>
      <t>1.-</t>
    </r>
    <r>
      <rPr>
        <sz val="10"/>
        <color theme="1"/>
        <rFont val="Arial Narrow"/>
        <family val="2"/>
      </rPr>
      <t xml:space="preserve"> INFORMES DE ACTIVIDADES DEL ÁREA DE VIGILANCIA Y SEGURIDAD.
</t>
    </r>
    <r>
      <rPr>
        <b/>
        <sz val="9"/>
        <color theme="1"/>
        <rFont val="Century Schoolbook"/>
        <family val="1"/>
      </rPr>
      <t>2.-</t>
    </r>
    <r>
      <rPr>
        <sz val="10"/>
        <color theme="1"/>
        <rFont val="Arial Narrow"/>
        <family val="2"/>
      </rPr>
      <t xml:space="preserve"> RESOLUCIÓN DE APROBACIÓN DEL PLAN DE VIGILANCIA Y SEGURIDAD.</t>
    </r>
  </si>
  <si>
    <r>
      <rPr>
        <b/>
        <sz val="9"/>
        <color theme="1"/>
        <rFont val="Century Schoolbook"/>
        <family val="1"/>
      </rPr>
      <t>1.-</t>
    </r>
    <r>
      <rPr>
        <sz val="10"/>
        <color theme="1"/>
        <rFont val="Arial Narrow"/>
        <family val="2"/>
      </rPr>
      <t xml:space="preserve"> INFORMES DE ACTIVIDADES DE LOS PROCESO DEL ÁREA DE TRANSPORTE.
</t>
    </r>
    <r>
      <rPr>
        <b/>
        <sz val="9"/>
        <color theme="1"/>
        <rFont val="Century Schoolbook"/>
        <family val="1"/>
      </rPr>
      <t>2.-</t>
    </r>
    <r>
      <rPr>
        <sz val="10"/>
        <color theme="1"/>
        <rFont val="Arial Narrow"/>
        <family val="2"/>
      </rPr>
      <t xml:space="preserve"> PLANES DE MANTENIMIENTO DE LA UNIDAD DE OBRAS.
</t>
    </r>
    <r>
      <rPr>
        <b/>
        <sz val="9"/>
        <color theme="1"/>
        <rFont val="Century Schoolbook"/>
        <family val="1"/>
      </rPr>
      <t>3.-</t>
    </r>
    <r>
      <rPr>
        <sz val="10"/>
        <color theme="1"/>
        <rFont val="Arial Narrow"/>
        <family val="2"/>
      </rPr>
      <t xml:space="preserve"> CUADRO RESUMEN DE LA EJECUCIÓN DE LOS PLANES DE MANTENIMIENTO DE LA UNIDAD DE OBRAS.
</t>
    </r>
    <r>
      <rPr>
        <b/>
        <sz val="9"/>
        <color theme="1"/>
        <rFont val="Century Schoolbook"/>
        <family val="1"/>
      </rPr>
      <t>4.-</t>
    </r>
    <r>
      <rPr>
        <sz val="10"/>
        <color theme="1"/>
        <rFont val="Arial Narrow"/>
        <family val="2"/>
      </rPr>
      <t xml:space="preserve"> RESOLUCIÓN DE APROBACIÓN DE LOS PLANES DE MANTENIMIENTO.</t>
    </r>
  </si>
  <si>
    <r>
      <rPr>
        <b/>
        <sz val="9"/>
        <color theme="1"/>
        <rFont val="Century Schoolbook"/>
        <family val="1"/>
      </rPr>
      <t>1.-</t>
    </r>
    <r>
      <rPr>
        <sz val="10"/>
        <color theme="1"/>
        <rFont val="Arial Narrow"/>
        <family val="2"/>
      </rPr>
      <t xml:space="preserve"> PLANES DE MANTENIMIENTO DE LA UNIDAD DE OBRAS.
</t>
    </r>
    <r>
      <rPr>
        <b/>
        <sz val="9"/>
        <color theme="1"/>
        <rFont val="Century Schoolbook"/>
        <family val="1"/>
      </rPr>
      <t>2.-</t>
    </r>
    <r>
      <rPr>
        <sz val="10"/>
        <color theme="1"/>
        <rFont val="Arial Narrow"/>
        <family val="2"/>
      </rPr>
      <t xml:space="preserve"> RESOLUCIÓN DE APROBACIÓN DE LOS PLANES DE MANTENIMIENTO (ÁREAS VERDES Y ESCENARIOS DEPORTIVOS).</t>
    </r>
  </si>
  <si>
    <r>
      <rPr>
        <b/>
        <sz val="9"/>
        <color theme="1"/>
        <rFont val="Century Schoolbook"/>
        <family val="1"/>
      </rPr>
      <t>1.-</t>
    </r>
    <r>
      <rPr>
        <sz val="10"/>
        <color theme="1"/>
        <rFont val="Arial Narrow"/>
        <family val="2"/>
      </rPr>
      <t xml:space="preserve"> FORMULARIOS Y HABILITANTES DEL PROCESO DE ADQUISICIÓN DE RENOVACIÓN DE LAS PÓLIZAS DE SEGURO DE LOS VEHÍCULOS OFICIALES.
</t>
    </r>
    <r>
      <rPr>
        <b/>
        <sz val="9"/>
        <color theme="1"/>
        <rFont val="Century Schoolbook"/>
        <family val="1"/>
      </rPr>
      <t>2.-</t>
    </r>
    <r>
      <rPr>
        <sz val="10"/>
        <color theme="1"/>
        <rFont val="Arial Narrow"/>
        <family val="2"/>
      </rPr>
      <t xml:space="preserve"> PÓLIZA RAMO VEHÍCULOS CON PLAZO DE </t>
    </r>
    <r>
      <rPr>
        <sz val="10"/>
        <color theme="1"/>
        <rFont val="Century Schoolbook"/>
        <family val="1"/>
      </rPr>
      <t>365</t>
    </r>
    <r>
      <rPr>
        <sz val="10"/>
        <color theme="1"/>
        <rFont val="Arial Narrow"/>
      </rPr>
      <t xml:space="preserve"> DÍAS.</t>
    </r>
  </si>
  <si>
    <r>
      <rPr>
        <b/>
        <sz val="9"/>
        <color theme="1"/>
        <rFont val="Century Schoolbook"/>
        <family val="1"/>
      </rPr>
      <t>1.-</t>
    </r>
    <r>
      <rPr>
        <sz val="10"/>
        <color theme="1"/>
        <rFont val="Arial Narrow"/>
        <family val="2"/>
      </rPr>
      <t xml:space="preserve"> POA ENTREGADO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EVALUACIÓN DEL POA-PAC PRIMER, SEGUNDO Y TERCER CUATRIMESTRE </t>
    </r>
    <r>
      <rPr>
        <sz val="10"/>
        <color theme="1"/>
        <rFont val="Century Schoolbook"/>
        <family val="1"/>
      </rPr>
      <t>2023.</t>
    </r>
  </si>
  <si>
    <r>
      <rPr>
        <b/>
        <sz val="9"/>
        <color theme="1"/>
        <rFont val="Century Schoolbook"/>
        <family val="1"/>
      </rPr>
      <t>1.-</t>
    </r>
    <r>
      <rPr>
        <sz val="10"/>
        <color theme="1"/>
        <rFont val="Arial Narrow"/>
        <family val="2"/>
      </rPr>
      <t xml:space="preserve"> MATRIZ DE OFICIOS DESPACHADOS DE LA DIRECCIÓN ADMINISTRATIVA DIGITALMENTE.</t>
    </r>
  </si>
  <si>
    <r>
      <rPr>
        <b/>
        <sz val="9"/>
        <color theme="1"/>
        <rFont val="Century Schoolbook"/>
        <family val="1"/>
      </rPr>
      <t>1.-</t>
    </r>
    <r>
      <rPr>
        <sz val="10"/>
        <color theme="1"/>
        <rFont val="Arial Narrow"/>
        <family val="2"/>
      </rPr>
      <t xml:space="preserve"> Plan Anual de contratación publicado en el Portal del SERCOP.</t>
    </r>
  </si>
  <si>
    <r>
      <rPr>
        <b/>
        <sz val="9"/>
        <color theme="1"/>
        <rFont val="Century Schoolbook"/>
        <family val="1"/>
      </rPr>
      <t>1.-</t>
    </r>
    <r>
      <rPr>
        <sz val="10"/>
        <color theme="1"/>
        <rFont val="Arial Narrow"/>
        <family val="2"/>
      </rPr>
      <t xml:space="preserve"> Oficios autorizados por la Máxima Autoridad.
</t>
    </r>
    <r>
      <rPr>
        <b/>
        <sz val="9"/>
        <color theme="1"/>
        <rFont val="Century Schoolbook"/>
        <family val="1"/>
      </rPr>
      <t>2.-</t>
    </r>
    <r>
      <rPr>
        <sz val="10"/>
        <color theme="1"/>
        <rFont val="Arial Narrow"/>
        <family val="2"/>
      </rPr>
      <t xml:space="preserve"> Certificación Presupuestaria.
</t>
    </r>
    <r>
      <rPr>
        <b/>
        <sz val="9"/>
        <color theme="1"/>
        <rFont val="Century Schoolbook"/>
        <family val="1"/>
      </rPr>
      <t>3.-</t>
    </r>
    <r>
      <rPr>
        <sz val="10"/>
        <color theme="1"/>
        <rFont val="Arial Narrow"/>
        <family val="2"/>
      </rPr>
      <t xml:space="preserve"> Órdenes de compras, ordenes de trabajo.</t>
    </r>
  </si>
  <si>
    <r>
      <rPr>
        <b/>
        <sz val="9"/>
        <color theme="1"/>
        <rFont val="Century Schoolbook"/>
        <family val="1"/>
      </rPr>
      <t>1.-</t>
    </r>
    <r>
      <rPr>
        <sz val="10"/>
        <color theme="1"/>
        <rFont val="Arial Narrow"/>
        <family val="2"/>
      </rPr>
      <t xml:space="preserve"> Procesos adjudicados y que hayan sido pagados.</t>
    </r>
  </si>
  <si>
    <r>
      <rPr>
        <b/>
        <sz val="9"/>
        <color theme="1"/>
        <rFont val="Century Schoolbook"/>
        <family val="1"/>
      </rPr>
      <t>1.-</t>
    </r>
    <r>
      <rPr>
        <sz val="10"/>
        <color theme="1"/>
        <rFont val="Arial Narrow"/>
        <family val="2"/>
      </rPr>
      <t xml:space="preserve"> Requerimientos solicitados por las diferentes Unidades Administrativas y Facultades de la Utmach.</t>
    </r>
  </si>
  <si>
    <r>
      <rPr>
        <b/>
        <sz val="9"/>
        <color theme="1"/>
        <rFont val="Century Schoolbook"/>
        <family val="1"/>
      </rPr>
      <t>1.-</t>
    </r>
    <r>
      <rPr>
        <sz val="10"/>
        <color theme="1"/>
        <rFont val="Arial Narrow"/>
        <family val="2"/>
      </rPr>
      <t xml:space="preserve"> POA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Evaluación anual  del </t>
    </r>
    <r>
      <rPr>
        <sz val="10"/>
        <color theme="1"/>
        <rFont val="Century Schoolbook"/>
        <family val="1"/>
      </rPr>
      <t>3</t>
    </r>
    <r>
      <rPr>
        <sz val="10"/>
        <color theme="1"/>
        <rFont val="Arial Narrow"/>
      </rPr>
      <t xml:space="preserve">er cuatrimestre del POA </t>
    </r>
    <r>
      <rPr>
        <sz val="10"/>
        <color theme="1"/>
        <rFont val="Century Schoolbook"/>
        <family val="1"/>
      </rPr>
      <t>2023.</t>
    </r>
  </si>
  <si>
    <r>
      <rPr>
        <b/>
        <sz val="9"/>
        <color theme="1"/>
        <rFont val="Century Schoolbook"/>
        <family val="1"/>
      </rPr>
      <t>1.-</t>
    </r>
    <r>
      <rPr>
        <sz val="10"/>
        <color theme="1"/>
        <rFont val="Arial Narrow"/>
        <family val="2"/>
      </rPr>
      <t xml:space="preserve"> Procesos archivados y almacenados digitalmente.</t>
    </r>
  </si>
  <si>
    <r>
      <rPr>
        <b/>
        <sz val="9"/>
        <color theme="1"/>
        <rFont val="Century Schoolbook"/>
        <family val="1"/>
      </rPr>
      <t>1.-</t>
    </r>
    <r>
      <rPr>
        <sz val="10"/>
        <color theme="1"/>
        <rFont val="Arial Narrow"/>
        <family val="2"/>
      </rPr>
      <t xml:space="preserve"> Actas de Recepción de Bienes en Bodega.
</t>
    </r>
    <r>
      <rPr>
        <b/>
        <sz val="9"/>
        <color theme="1"/>
        <rFont val="Century Schoolbook"/>
        <family val="1"/>
      </rPr>
      <t>2.-</t>
    </r>
    <r>
      <rPr>
        <sz val="10"/>
        <color theme="1"/>
        <rFont val="Arial Narrow"/>
        <family val="2"/>
      </rPr>
      <t xml:space="preserve"> Órdenes de Ingreso de Bienes de Inventario (Consumo Corriente).
</t>
    </r>
    <r>
      <rPr>
        <b/>
        <sz val="9"/>
        <color theme="1"/>
        <rFont val="Century Schoolbook"/>
        <family val="1"/>
      </rPr>
      <t>3.-</t>
    </r>
    <r>
      <rPr>
        <sz val="10"/>
        <color theme="1"/>
        <rFont val="Arial Narrow"/>
        <family val="2"/>
      </rPr>
      <t xml:space="preserve"> Actas de Ingreso de bienes de larga duración y control administrativo-Sistema ESBYE.
</t>
    </r>
    <r>
      <rPr>
        <b/>
        <sz val="9"/>
        <color theme="1"/>
        <rFont val="Century Schoolbook"/>
        <family val="1"/>
      </rPr>
      <t>4.-</t>
    </r>
    <r>
      <rPr>
        <sz val="10"/>
        <color theme="1"/>
        <rFont val="Arial Narrow"/>
        <family val="2"/>
      </rPr>
      <t xml:space="preserve"> Bienes adquiridos etiquetados con el codigo generado en el Sistema de Bienes.</t>
    </r>
  </si>
  <si>
    <r>
      <rPr>
        <b/>
        <sz val="9"/>
        <color theme="1"/>
        <rFont val="Century Schoolbook"/>
        <family val="1"/>
      </rPr>
      <t>1.-</t>
    </r>
    <r>
      <rPr>
        <sz val="10"/>
        <color theme="1"/>
        <rFont val="Arial Narrow"/>
        <family val="2"/>
      </rPr>
      <t xml:space="preserve"> Actas de asignación-reasignación y por traspaso masivo firmadas por los usuarios finales o custodios administrativos.
</t>
    </r>
    <r>
      <rPr>
        <b/>
        <sz val="9"/>
        <color theme="1"/>
        <rFont val="Century Schoolbook"/>
        <family val="1"/>
      </rPr>
      <t>2.-</t>
    </r>
    <r>
      <rPr>
        <sz val="10"/>
        <color theme="1"/>
        <rFont val="Arial Narrow"/>
        <family val="2"/>
      </rPr>
      <t xml:space="preserve"> Reporte de bienes muebles ingresados y asignados en el año </t>
    </r>
    <r>
      <rPr>
        <sz val="10"/>
        <color theme="1"/>
        <rFont val="Century Schoolbook"/>
        <family val="1"/>
      </rPr>
      <t>2022</t>
    </r>
    <r>
      <rPr>
        <sz val="10"/>
        <color theme="1"/>
        <rFont val="Arial Narrow"/>
      </rPr>
      <t xml:space="preserve">.
</t>
    </r>
    <r>
      <rPr>
        <b/>
        <sz val="9"/>
        <color theme="1"/>
        <rFont val="Century Schoolbook"/>
        <family val="1"/>
      </rPr>
      <t>3.-</t>
    </r>
    <r>
      <rPr>
        <sz val="10"/>
        <color theme="1"/>
        <rFont val="Arial Narrow"/>
      </rPr>
      <t xml:space="preserve"> Documentos de entrega de inventarios firmados por los usuarios finales o custodios administrativos.</t>
    </r>
  </si>
  <si>
    <r>
      <rPr>
        <b/>
        <sz val="9"/>
        <color theme="1"/>
        <rFont val="Century Schoolbook"/>
        <family val="1"/>
      </rPr>
      <t>1.-</t>
    </r>
    <r>
      <rPr>
        <sz val="10"/>
        <color theme="1"/>
        <rFont val="Arial Narrow"/>
        <family val="2"/>
      </rPr>
      <t xml:space="preserve"> Oficio con anexos.</t>
    </r>
  </si>
  <si>
    <r>
      <rPr>
        <b/>
        <sz val="9"/>
        <color theme="1"/>
        <rFont val="Century Schoolbook"/>
        <family val="1"/>
      </rPr>
      <t>1.-</t>
    </r>
    <r>
      <rPr>
        <sz val="10"/>
        <color theme="1"/>
        <rFont val="Arial Narrow"/>
        <family val="2"/>
      </rPr>
      <t xml:space="preserve"> Constancia de entrega del bien al proveedor o servicio técnico autorizado para aplicación de garantía.
</t>
    </r>
    <r>
      <rPr>
        <b/>
        <sz val="9"/>
        <color theme="1"/>
        <rFont val="Century Schoolbook"/>
        <family val="1"/>
      </rPr>
      <t>2.-</t>
    </r>
    <r>
      <rPr>
        <sz val="10"/>
        <color theme="1"/>
        <rFont val="Arial Narrow"/>
        <family val="2"/>
      </rPr>
      <t xml:space="preserve"> Oficio de comunicación de resultados al usario final o custodio del bien.</t>
    </r>
  </si>
  <si>
    <r>
      <rPr>
        <b/>
        <sz val="9"/>
        <color theme="1"/>
        <rFont val="Century Schoolbook"/>
        <family val="1"/>
      </rPr>
      <t>1.-</t>
    </r>
    <r>
      <rPr>
        <sz val="10"/>
        <color theme="1"/>
        <rFont val="Arial Narrow"/>
        <family val="2"/>
      </rPr>
      <t xml:space="preserve"> Reportes de bienes entregados a los usuarios finales.</t>
    </r>
  </si>
  <si>
    <r>
      <rPr>
        <b/>
        <sz val="9"/>
        <color theme="1"/>
        <rFont val="Century Schoolbook"/>
        <family val="1"/>
      </rPr>
      <t>1.-</t>
    </r>
    <r>
      <rPr>
        <sz val="10"/>
        <color theme="1"/>
        <rFont val="Arial Narrow"/>
        <family val="2"/>
      </rPr>
      <t xml:space="preserve"> Reportes de inventarios de existencias de suministros y materiales emitidos.</t>
    </r>
  </si>
  <si>
    <r>
      <rPr>
        <b/>
        <sz val="9"/>
        <color theme="1"/>
        <rFont val="Century Schoolbook"/>
        <family val="1"/>
      </rPr>
      <t>1.-</t>
    </r>
    <r>
      <rPr>
        <sz val="10"/>
        <color theme="1"/>
        <rFont val="Arial Narrow"/>
        <family val="2"/>
      </rPr>
      <t xml:space="preserve"> Informes para registro de consumo de existencias.</t>
    </r>
  </si>
  <si>
    <r>
      <rPr>
        <b/>
        <sz val="9"/>
        <color theme="1"/>
        <rFont val="Century Schoolbook"/>
        <family val="1"/>
      </rPr>
      <t>1.-</t>
    </r>
    <r>
      <rPr>
        <sz val="10"/>
        <color theme="1"/>
        <rFont val="Arial Narrow"/>
        <family val="2"/>
      </rPr>
      <t xml:space="preserve"> POA ENTREGADO </t>
    </r>
    <r>
      <rPr>
        <sz val="10"/>
        <color theme="1"/>
        <rFont val="Century Schoolbook"/>
        <family val="1"/>
      </rPr>
      <t>2024</t>
    </r>
    <r>
      <rPr>
        <sz val="10"/>
        <color theme="1"/>
        <rFont val="Arial Narrow"/>
      </rPr>
      <t xml:space="preserve">.
</t>
    </r>
    <r>
      <rPr>
        <b/>
        <sz val="9"/>
        <color theme="1"/>
        <rFont val="Century Schoolbook"/>
        <family val="1"/>
      </rPr>
      <t>2.-</t>
    </r>
    <r>
      <rPr>
        <sz val="10"/>
        <color theme="1"/>
        <rFont val="Arial Narrow"/>
      </rPr>
      <t xml:space="preserve"> EVALUACIÓN DEL POA-PAC PRIMER, SEGUNDO Y TERCER CUATRIMESTRE </t>
    </r>
    <r>
      <rPr>
        <sz val="10"/>
        <color theme="1"/>
        <rFont val="Century Schoolbook"/>
        <family val="1"/>
      </rPr>
      <t>2023.</t>
    </r>
  </si>
  <si>
    <r>
      <rPr>
        <b/>
        <sz val="9"/>
        <color theme="1"/>
        <rFont val="Century Schoolbook"/>
        <family val="1"/>
      </rPr>
      <t>1.-</t>
    </r>
    <r>
      <rPr>
        <sz val="10"/>
        <color theme="1"/>
        <rFont val="Arial Narrow"/>
        <family val="2"/>
      </rPr>
      <t xml:space="preserve"> Formulario de Inventario Documental - UNIDAD DE BIENES.</t>
    </r>
  </si>
  <si>
    <r>
      <rPr>
        <b/>
        <sz val="9"/>
        <color theme="1"/>
        <rFont val="Century Schoolbook"/>
        <family val="1"/>
      </rPr>
      <t>1.-</t>
    </r>
    <r>
      <rPr>
        <sz val="10"/>
        <color theme="1"/>
        <rFont val="Arial Narrow"/>
        <family val="2"/>
      </rPr>
      <t xml:space="preserve"> Actas de Constatación Física de Bienes.</t>
    </r>
  </si>
  <si>
    <r>
      <rPr>
        <b/>
        <sz val="9"/>
        <color theme="1"/>
        <rFont val="Century Schoolbook"/>
        <family val="1"/>
      </rPr>
      <t>1.-</t>
    </r>
    <r>
      <rPr>
        <sz val="10"/>
        <color theme="1"/>
        <rFont val="Arial Narrow"/>
        <family val="2"/>
      </rPr>
      <t xml:space="preserve"> Formulario de Autorización de Salida de Bienes.</t>
    </r>
  </si>
  <si>
    <r>
      <rPr>
        <b/>
        <sz val="9"/>
        <color theme="1"/>
        <rFont val="Century Schoolbook"/>
        <family val="1"/>
      </rPr>
      <t>1.-</t>
    </r>
    <r>
      <rPr>
        <sz val="10"/>
        <color theme="1"/>
        <rFont val="Arial Narrow"/>
        <family val="2"/>
      </rPr>
      <t xml:space="preserve"> Actas de Devolución de Bienes.</t>
    </r>
  </si>
  <si>
    <r>
      <rPr>
        <b/>
        <sz val="9"/>
        <color theme="1"/>
        <rFont val="Century Schoolbook"/>
        <family val="1"/>
      </rPr>
      <t>1.-</t>
    </r>
    <r>
      <rPr>
        <sz val="10"/>
        <color theme="1"/>
        <rFont val="Arial Narrow"/>
        <family val="2"/>
      </rPr>
      <t xml:space="preserve"> Reporte de bienes inservibles, obsoletos o que han dejado de tener utilidad a ser enajenados.</t>
    </r>
  </si>
  <si>
    <r>
      <rPr>
        <b/>
        <sz val="9"/>
        <color theme="1"/>
        <rFont val="Century Schoolbook"/>
        <family val="1"/>
      </rPr>
      <t>1.-</t>
    </r>
    <r>
      <rPr>
        <sz val="10"/>
        <color theme="1"/>
        <rFont val="Arial Narrow"/>
        <family val="2"/>
      </rPr>
      <t xml:space="preserve"> Reporte de Bienes muebles e Inmuebles a ser asegurados.</t>
    </r>
  </si>
  <si>
    <r>
      <rPr>
        <b/>
        <sz val="9"/>
        <color theme="1"/>
        <rFont val="Century Schoolbook"/>
        <family val="1"/>
      </rPr>
      <t>1.-</t>
    </r>
    <r>
      <rPr>
        <sz val="10"/>
        <color theme="1"/>
        <rFont val="Arial Narrow"/>
        <family val="2"/>
      </rPr>
      <t xml:space="preserve"> Informes Técnicos De Constataciones Físicas de Bienes Institucionales.</t>
    </r>
  </si>
  <si>
    <r>
      <rPr>
        <b/>
        <sz val="9"/>
        <color theme="1"/>
        <rFont val="Century Schoolbook"/>
        <family val="1"/>
      </rPr>
      <t>1.-</t>
    </r>
    <r>
      <rPr>
        <sz val="10"/>
        <color theme="1"/>
        <rFont val="Arial Narrow"/>
        <family val="2"/>
      </rPr>
      <t xml:space="preserve"> Actas de Constatación Física de Bienes Inventarios.
</t>
    </r>
    <r>
      <rPr>
        <b/>
        <sz val="9"/>
        <color theme="1"/>
        <rFont val="Century Schoolbook"/>
        <family val="1"/>
      </rPr>
      <t>2.-</t>
    </r>
    <r>
      <rPr>
        <sz val="10"/>
        <color theme="1"/>
        <rFont val="Arial Narrow"/>
        <family val="2"/>
      </rPr>
      <t xml:space="preserve"> Reporte de bienes inservibles, obsoletos o que han dejado de tener utilidad a ser enajenados.</t>
    </r>
  </si>
  <si>
    <r>
      <rPr>
        <b/>
        <sz val="9"/>
        <color theme="1"/>
        <rFont val="Century Schoolbook"/>
        <family val="1"/>
      </rPr>
      <t>1.-</t>
    </r>
    <r>
      <rPr>
        <sz val="10"/>
        <color theme="1"/>
        <rFont val="Arial Narrow"/>
        <family val="2"/>
      </rPr>
      <t xml:space="preserve"> Inventario Documental del Archivo de Gestión.</t>
    </r>
  </si>
  <si>
    <r>
      <rPr>
        <b/>
        <sz val="9"/>
        <color theme="1"/>
        <rFont val="Century Schoolbook"/>
        <family val="1"/>
      </rPr>
      <t>1.-</t>
    </r>
    <r>
      <rPr>
        <sz val="10"/>
        <color theme="1"/>
        <rFont val="Arial Narrow"/>
        <family val="2"/>
      </rPr>
      <t xml:space="preserve"> Oficios de solicitud de intervención por necesidades.
</t>
    </r>
    <r>
      <rPr>
        <b/>
        <sz val="9"/>
        <color theme="1"/>
        <rFont val="Century Schoolbook"/>
        <family val="1"/>
      </rPr>
      <t>2.-</t>
    </r>
    <r>
      <rPr>
        <sz val="10"/>
        <color theme="1"/>
        <rFont val="Arial Narrow"/>
        <family val="2"/>
      </rPr>
      <t xml:space="preserve"> Resolución Administrativas.
</t>
    </r>
    <r>
      <rPr>
        <b/>
        <sz val="9"/>
        <color theme="1"/>
        <rFont val="Century Schoolbook"/>
        <family val="1"/>
      </rPr>
      <t>3.-</t>
    </r>
    <r>
      <rPr>
        <sz val="10"/>
        <color theme="1"/>
        <rFont val="Arial Narrow"/>
        <family val="2"/>
      </rPr>
      <t xml:space="preserve"> Informes mensuales de ejecución de obras.
</t>
    </r>
    <r>
      <rPr>
        <b/>
        <sz val="9"/>
        <color theme="1"/>
        <rFont val="Century Schoolbook"/>
        <family val="1"/>
      </rPr>
      <t>4.-</t>
    </r>
    <r>
      <rPr>
        <sz val="10"/>
        <color theme="1"/>
        <rFont val="Arial Narrow"/>
        <family val="2"/>
      </rPr>
      <t xml:space="preserve"> Informes de fiscalización.
</t>
    </r>
    <r>
      <rPr>
        <b/>
        <sz val="9"/>
        <color theme="1"/>
        <rFont val="Century Schoolbook"/>
        <family val="1"/>
      </rPr>
      <t>5.-</t>
    </r>
    <r>
      <rPr>
        <sz val="10"/>
        <color theme="1"/>
        <rFont val="Arial Narrow"/>
        <family val="2"/>
      </rPr>
      <t xml:space="preserve"> Informes de administrador de contrato.</t>
    </r>
  </si>
  <si>
    <r>
      <rPr>
        <b/>
        <sz val="9"/>
        <color theme="1"/>
        <rFont val="Century Schoolbook"/>
        <family val="1"/>
      </rPr>
      <t>1.-</t>
    </r>
    <r>
      <rPr>
        <sz val="10"/>
        <color theme="1"/>
        <rFont val="Arial Narrow"/>
        <family val="2"/>
      </rPr>
      <t xml:space="preserve"> Resolución de aprobación del Plan.
</t>
    </r>
    <r>
      <rPr>
        <b/>
        <sz val="9"/>
        <color theme="1"/>
        <rFont val="Century Schoolbook"/>
        <family val="1"/>
      </rPr>
      <t>2.-</t>
    </r>
    <r>
      <rPr>
        <sz val="10"/>
        <color theme="1"/>
        <rFont val="Arial Narrow"/>
        <family val="2"/>
      </rPr>
      <t xml:space="preserve"> Informes de implementación del plan.
</t>
    </r>
    <r>
      <rPr>
        <b/>
        <sz val="9"/>
        <color theme="1"/>
        <rFont val="Century Schoolbook"/>
        <family val="1"/>
      </rPr>
      <t>3.-</t>
    </r>
    <r>
      <rPr>
        <sz val="10"/>
        <color theme="1"/>
        <rFont val="Arial Narrow"/>
        <family val="2"/>
      </rPr>
      <t xml:space="preserve"> Informes técnicos.</t>
    </r>
  </si>
  <si>
    <r>
      <rPr>
        <b/>
        <sz val="9"/>
        <color theme="1"/>
        <rFont val="Century Schoolbook"/>
        <family val="1"/>
      </rPr>
      <t>1.-</t>
    </r>
    <r>
      <rPr>
        <sz val="10"/>
        <color theme="1"/>
        <rFont val="Arial Narrow"/>
        <family val="2"/>
      </rPr>
      <t xml:space="preserve"> Planos de adecuación y/o construcción de obras.
</t>
    </r>
    <r>
      <rPr>
        <b/>
        <sz val="9"/>
        <color theme="1"/>
        <rFont val="Century Schoolbook"/>
        <family val="1"/>
      </rPr>
      <t>2.-</t>
    </r>
    <r>
      <rPr>
        <sz val="10"/>
        <color theme="1"/>
        <rFont val="Arial Narrow"/>
        <family val="2"/>
      </rPr>
      <t xml:space="preserve"> Presupuesto referencial y Especificaciones técnicas de adecuación y/o construcción de obras.
</t>
    </r>
  </si>
  <si>
    <r>
      <rPr>
        <b/>
        <sz val="9"/>
        <color theme="1"/>
        <rFont val="Century Schoolbook"/>
        <family val="1"/>
      </rPr>
      <t>1.-</t>
    </r>
    <r>
      <rPr>
        <sz val="10"/>
        <color theme="1"/>
        <rFont val="Arial Narrow"/>
        <family val="2"/>
      </rPr>
      <t xml:space="preserve"> Resolución de aprobación del Plan de mantenimiento.
</t>
    </r>
    <r>
      <rPr>
        <b/>
        <sz val="9"/>
        <color theme="1"/>
        <rFont val="Century Schoolbook"/>
        <family val="1"/>
      </rPr>
      <t>2.-</t>
    </r>
    <r>
      <rPr>
        <sz val="10"/>
        <color theme="1"/>
        <rFont val="Arial Narrow"/>
        <family val="2"/>
      </rPr>
      <t xml:space="preserve"> Informes de implementación del plan de mantenimiento.</t>
    </r>
  </si>
  <si>
    <r>
      <rPr>
        <b/>
        <sz val="9"/>
        <color theme="1"/>
        <rFont val="Century Schoolbook"/>
        <family val="1"/>
      </rPr>
      <t>1.-</t>
    </r>
    <r>
      <rPr>
        <sz val="10"/>
        <color theme="1"/>
        <rFont val="Arial Narrow"/>
        <family val="2"/>
      </rPr>
      <t xml:space="preserve"> Informe de funcionamiento de la infraestructura.
</t>
    </r>
    <r>
      <rPr>
        <b/>
        <sz val="9"/>
        <color theme="1"/>
        <rFont val="Century Schoolbook"/>
        <family val="1"/>
      </rPr>
      <t>2.-</t>
    </r>
    <r>
      <rPr>
        <sz val="10"/>
        <color theme="1"/>
        <rFont val="Arial Narrow"/>
        <family val="2"/>
      </rPr>
      <t xml:space="preserve"> Número de adecuaciones correctivas, supervisadas.</t>
    </r>
  </si>
  <si>
    <r>
      <rPr>
        <b/>
        <sz val="9"/>
        <color theme="1"/>
        <rFont val="Century Schoolbook"/>
        <family val="1"/>
      </rPr>
      <t>1.-</t>
    </r>
    <r>
      <rPr>
        <sz val="10"/>
        <color theme="1"/>
        <rFont val="Arial Narrow"/>
        <family val="2"/>
      </rPr>
      <t xml:space="preserve"> Informes de mantenimiento de los bienes.</t>
    </r>
  </si>
  <si>
    <r>
      <rPr>
        <b/>
        <sz val="9"/>
        <color theme="1"/>
        <rFont val="Century Schoolbook"/>
        <family val="1"/>
      </rPr>
      <t>1.-</t>
    </r>
    <r>
      <rPr>
        <sz val="10"/>
        <color theme="1"/>
        <rFont val="Arial Narrow"/>
        <family val="2"/>
      </rPr>
      <t xml:space="preserve"> Resolución de aprobación del Distributivo del personal.</t>
    </r>
  </si>
  <si>
    <r>
      <rPr>
        <b/>
        <sz val="9"/>
        <color theme="1"/>
        <rFont val="Century Schoolbook"/>
        <family val="1"/>
      </rPr>
      <t>1.-</t>
    </r>
    <r>
      <rPr>
        <sz val="10"/>
        <color theme="1"/>
        <rFont val="Arial Narrow"/>
        <family val="2"/>
      </rPr>
      <t xml:space="preserve"> Inspeccionar los espacios verdes de la institución.
</t>
    </r>
    <r>
      <rPr>
        <b/>
        <sz val="9"/>
        <color theme="1"/>
        <rFont val="Century Schoolbook"/>
        <family val="1"/>
      </rPr>
      <t>2.-</t>
    </r>
    <r>
      <rPr>
        <sz val="10"/>
        <color theme="1"/>
        <rFont val="Arial Narrow"/>
        <family val="2"/>
      </rPr>
      <t xml:space="preserve"> Elaborar  reportes de trabajos de mantenimiento de áreas verdes y escenarios deportivos.</t>
    </r>
  </si>
  <si>
    <r>
      <rPr>
        <b/>
        <sz val="9"/>
        <color theme="1"/>
        <rFont val="Century Schoolbook"/>
        <family val="1"/>
      </rPr>
      <t>1.-</t>
    </r>
    <r>
      <rPr>
        <sz val="10"/>
        <color theme="1"/>
        <rFont val="Arial Narrow"/>
        <family val="2"/>
      </rPr>
      <t xml:space="preserve"> Supervisar el mantenimiento de los  equipos de la institución.</t>
    </r>
  </si>
  <si>
    <r>
      <rPr>
        <b/>
        <sz val="9"/>
        <color theme="1"/>
        <rFont val="Century Schoolbook"/>
        <family val="1"/>
      </rPr>
      <t>1.-</t>
    </r>
    <r>
      <rPr>
        <sz val="10"/>
        <color theme="1"/>
        <rFont val="Arial Narrow"/>
        <family val="2"/>
      </rPr>
      <t xml:space="preserve"> Supervisar el mantenimiento de la planta de tratamiento de aguas residuales.</t>
    </r>
  </si>
  <si>
    <r>
      <rPr>
        <b/>
        <sz val="9"/>
        <color theme="1"/>
        <rFont val="Century Schoolbook"/>
        <family val="1"/>
      </rPr>
      <t>1.-</t>
    </r>
    <r>
      <rPr>
        <sz val="10"/>
        <color theme="1"/>
        <rFont val="Arial Narrow"/>
        <family val="2"/>
      </rPr>
      <t xml:space="preserve"> Plan Operativo Anual </t>
    </r>
    <r>
      <rPr>
        <sz val="10"/>
        <color theme="1"/>
        <rFont val="Century Schoolbook"/>
        <family val="1"/>
      </rPr>
      <t>2022.</t>
    </r>
    <r>
      <rPr>
        <sz val="10"/>
        <color theme="1"/>
        <rFont val="Arial Narrow"/>
      </rPr>
      <t xml:space="preserve">
</t>
    </r>
    <r>
      <rPr>
        <b/>
        <sz val="9"/>
        <color theme="1"/>
        <rFont val="Century Schoolbook"/>
        <family val="1"/>
      </rPr>
      <t>2.-</t>
    </r>
    <r>
      <rPr>
        <sz val="10"/>
        <color theme="1"/>
        <rFont val="Arial Narrow"/>
      </rPr>
      <t xml:space="preserve"> Evaluación del Plan Operativo Anual tercer cuatrimestre.
</t>
    </r>
    <r>
      <rPr>
        <b/>
        <sz val="9"/>
        <color theme="1"/>
        <rFont val="Century Schoolbook"/>
        <family val="1"/>
      </rPr>
      <t>3.-</t>
    </r>
    <r>
      <rPr>
        <sz val="10"/>
        <color theme="1"/>
        <rFont val="Arial Narrow"/>
      </rPr>
      <t xml:space="preserve"> Plan Operativo Anual  segundo cuatrimestre.
</t>
    </r>
    <r>
      <rPr>
        <b/>
        <sz val="9"/>
        <color theme="1"/>
        <rFont val="Century Schoolbook"/>
        <family val="1"/>
      </rPr>
      <t>4.-</t>
    </r>
    <r>
      <rPr>
        <sz val="10"/>
        <color theme="1"/>
        <rFont val="Arial Narrow"/>
      </rPr>
      <t xml:space="preserve"> Plan Operativo Anual </t>
    </r>
    <r>
      <rPr>
        <sz val="10"/>
        <color theme="1"/>
        <rFont val="Century Schoolbook"/>
        <family val="1"/>
      </rPr>
      <t>2023.</t>
    </r>
  </si>
  <si>
    <t>N° DE PLANIFICACIONES ANUALES DE CONTRATACIONES Y SUS REFORMAS.</t>
  </si>
  <si>
    <t>N° DE PROCESOS DE CONTRATACIONES PÚBLICAS DESPACHADOS.</t>
  </si>
  <si>
    <t>N° DE EJECUCIONES REALIZADAS A LOS PROCESO DE ADQUISICIÓN DE BIENES Y SERVICIOS.</t>
  </si>
  <si>
    <t>N° DE PROCESO DE CONTRATACIÓN PÚBLICA CENTRALIZADOS.</t>
  </si>
  <si>
    <t>N° DE PETICIONES DE ESPACIOS ATENDIDOS.</t>
  </si>
  <si>
    <t>N° DE PROCESOS EJECUTADOS DE LAS CONSTATACIONES FÍSICAS Y EXISTENCIAS.</t>
  </si>
  <si>
    <t>N° DE PROCESOS EJECUTADOS PARA ASEGURAMIENTO DE LOS BIENES.</t>
  </si>
  <si>
    <t>N° DE PROCESOS EJECUTADOS DEL FUNCIONAMIENTO DEL PARQUE AUTOMOTOR.</t>
  </si>
  <si>
    <t>N° DE PROCESOS DE VIGILANCIA EJECUTADOS.</t>
  </si>
  <si>
    <t>N° DE PROCESOS EJECUTADOS EN EL ÁREA DE TRANSPORTE Y DE LA UNIDAD DE OBRAS UNIVERSITARIAS.</t>
  </si>
  <si>
    <t>N° DE PROCESOS EJECUTADOS DEL MANTENIMIENTO DE ÁREAS VERDES, ESCENARIOS DEPORTIVOS.</t>
  </si>
  <si>
    <t>N° DE PROCESOS EJECUTADOS DE LA RENOVACIÓN DE LAS PÓLIZAS DE SEGUROS.</t>
  </si>
  <si>
    <t>N° DE PLANIFICACIONES OPERATIVAS ANUALES Y EVALUACIONES DEL POA ENTREGAS.</t>
  </si>
  <si>
    <t>N° DE PROCESOS ARCHIVADOS EN DIGITAL.</t>
  </si>
  <si>
    <t>N° del Plan Anual de Contratación en el portal del SERCOP de acuerdo a lo recibido.</t>
  </si>
  <si>
    <t>N° de requerimiento ejecutados de acuerdo al pac.</t>
  </si>
  <si>
    <t>N° de procesos adjudicados.</t>
  </si>
  <si>
    <t>N° de formularios actualizados de acuerdo a la normativa vigente del sercop para un mejor desarrollo del Plan Anual de Contratación.</t>
  </si>
  <si>
    <t>N° de procesos archivados en digital</t>
  </si>
  <si>
    <t>N° de ingresos de bienes.</t>
  </si>
  <si>
    <t>N° de bienes asignados y entregados a los usuarios finales.</t>
  </si>
  <si>
    <t>Nº de peticiones de entrega de información de bienes atendidas.</t>
  </si>
  <si>
    <t>N° de garantías de bienes de larga duración o sujetos a control administrativo gestionadas.</t>
  </si>
  <si>
    <t>Nº de reportes de bienes entregados a los usuarios finales.</t>
  </si>
  <si>
    <t>Nº de inventarios de existencias de suministros y materiales actualizado.</t>
  </si>
  <si>
    <r>
      <t xml:space="preserve">N° de Archivos de gestión organizados del año </t>
    </r>
    <r>
      <rPr>
        <sz val="10"/>
        <color theme="1"/>
        <rFont val="Century Schoolbook"/>
        <family val="1"/>
      </rPr>
      <t>2022</t>
    </r>
    <r>
      <rPr>
        <sz val="10"/>
        <color theme="1"/>
        <rFont val="Arial Narrow"/>
        <family val="2"/>
      </rPr>
      <t xml:space="preserve"> en el inventario documental.</t>
    </r>
  </si>
  <si>
    <t>N° de Actas de Constataciones Físicas de Bienes elaboradas y aprobadas.</t>
  </si>
  <si>
    <t>N° de Autorizaciones de Bienes Institucionales Elaborados.</t>
  </si>
  <si>
    <t>N° de Actas de Devolución de Bienes Receptadas.</t>
  </si>
  <si>
    <t>N° de Reportes de Bienes Inservibles, Obsoletos o que han dejado de tener utilidad enviados.</t>
  </si>
  <si>
    <t>N° de Reportes de Bienes Muebles e Inmuebles a ser asegurados enviados.</t>
  </si>
  <si>
    <t>N° de Informes Técnicos enviados.</t>
  </si>
  <si>
    <t>N° de Acta de constatación Física de Inventarios enviada y Reporte de bienes inservibles, obsoletos o que han dejado de tener utilidad a ser enajenados enviado.</t>
  </si>
  <si>
    <t>N° de Planificaciones Operativas Anuales y Evaluaciones de la Planificación Operativa Anual enviados Oportunamente.</t>
  </si>
  <si>
    <r>
      <t xml:space="preserve">N° de Inventario Documental del año </t>
    </r>
    <r>
      <rPr>
        <sz val="10"/>
        <color theme="1"/>
        <rFont val="Century Schoolbook"/>
        <family val="1"/>
      </rPr>
      <t>2021</t>
    </r>
    <r>
      <rPr>
        <sz val="10"/>
        <color theme="1"/>
        <rFont val="Arial Narrow"/>
        <family val="2"/>
      </rPr>
      <t xml:space="preserve"> elaborado.</t>
    </r>
  </si>
  <si>
    <t xml:space="preserve">N° de adecuaciones recreativas, supervisadas.
</t>
  </si>
  <si>
    <t xml:space="preserve">
N° de Informes de funcionamiento adecuado de los espacios físicos de la institución.
</t>
  </si>
  <si>
    <t>N° de procedimientos para el mantenimiento de los bienes.</t>
  </si>
  <si>
    <t>Distributivo del personal.</t>
  </si>
  <si>
    <t>N° de Informes del mantenimiento de las áreas verdes y escenarios deportivos.</t>
  </si>
  <si>
    <t>N° de Informes del mantenimiento de equipos de la institución.</t>
  </si>
  <si>
    <t xml:space="preserve">N° de mantenimientos de la planta de tratamiento de aguas residuales de la institución. </t>
  </si>
  <si>
    <t>N° de Planes Operativos Anuales y Evaluaciones de las planificaciones Operativas Anuales, entregadas.</t>
  </si>
  <si>
    <t>N° de cajas del archivo organizados y registrados en el Inventario Documental.</t>
  </si>
  <si>
    <t>Control y manejo de residuos sólidos generados por la institución, efectuado.</t>
  </si>
  <si>
    <t>Planificación de mantenimiento anual de los equipos de la institución, elaborado y ejecutado.</t>
  </si>
  <si>
    <t>Planificación de mantenimiento de las áreas verdes y escenarios deportivos, elaborada y ejecutada.</t>
  </si>
  <si>
    <t>Elaboración de instrumentos que contengan la distribución del personal para la ejecución de los trabajos relacionados con la planificación del mantenimiento y limpieza de los espacios físicos de la Institución, coordinada.</t>
  </si>
  <si>
    <t>Propuestas de procedimientos para el mantenimiento de los bienes de la institución, elaboradas.</t>
  </si>
  <si>
    <t>Funcionamiento adecuado de todas las áreas que conforman las instalaciones de la infraestructura institucional, supervisado.</t>
  </si>
  <si>
    <t>Ejecución de la planificación de mantenimiento correctivo y adecuaciones menores, coordinado.</t>
  </si>
  <si>
    <t>Estudios técnicos para la construcción de obras y/ o adecuación de infraestructura, efectuados.</t>
  </si>
  <si>
    <t>Proyectos arquitectónicos, estructurales, de instalaciones y demás relacionados con la infraestructura institucional, coordinado, diseñado y ejecutado.</t>
  </si>
  <si>
    <t>Control de la ejecución de las obras contratadas conjuntamente con supervisores, contratistas, administradores de contrato y representantes del espacio universitario beneficiado, efectuado.</t>
  </si>
  <si>
    <t>ARCHIVO DE GESTIÓN ORGANIZADO.</t>
  </si>
  <si>
    <t>PLANIFICACIÓN OPERATIVA ANUAL Y EVALUACIÓN DE LA PLANIFICACIÓN OPERATIVA ANUAL ENTREGADAS OPORTUNAMENTE.</t>
  </si>
  <si>
    <t>ESTUDIOS TÉCNICOS PARA LA CONSTRUCCIÓN DE OBRAS Y/O ADECUACIÓN DE INFRAESTRUCTURA, GESTIONADOS.</t>
  </si>
  <si>
    <t>PROCESOS   DE   FISCALIZACIÓN   DE   LAS   OBRAS   DE   INFRAESTRUCTURA INSTITUCIONALES, GESTIONADOS.</t>
  </si>
  <si>
    <t>PROYECTOS DE INVERSIÓN PARA LA CONSTRUCCIÓN DE OBRAS PARA LA MEJORA CONTINUA DE LA INFRAESTRUCTURA DE LA INSTITUCIÓN. GESTIONADOS.</t>
  </si>
  <si>
    <t>PROCESOS DE CONTRATACIÓN O RENOVACIÓN DE LAS PÓLIZAS DE SEGUROS Y DE MATRICULACIÓN DE LOS VEHÍCULOS OFICIALES GESTIONADOS.</t>
  </si>
  <si>
    <t>PLANIFICACIÓN DEL   MANTENIMIENTO   DE   ÁREAS VERDES, ESCENARIOS DEPORTIVOS; APROBADA E IMPLEMENTADA.</t>
  </si>
  <si>
    <t>PLANIFICACIÓN DE CONSTRUCCIONES, ADECUACIONES MENORES, MANTENIMIENTO CORRECTIVO Y LIMPIEZA DE LOS ESPACIOS FÍSICOS DE LA INSTITUCIÓN Y MANTENIMIENTO ANUAL PREVENTIVO Y CORRECTIVO DE LA FLOTA VEHICULAR, APROBADA E IMPLEMENTADA.</t>
  </si>
  <si>
    <t>SEGURIDAD Y VIGILANCIA INSTITUCIONAL, EJECUTADA.</t>
  </si>
  <si>
    <t>FUNCIONAMIENTO DEL PARQUE AUTOMOTOR INSTITUCIONAL, GESTIONADO.</t>
  </si>
  <si>
    <t>ASEGURAMIENTO DE LOS BIENES INSTITUCIONALES, GESTIONADO.</t>
  </si>
  <si>
    <t>PROCESO DE ADMINISTRACIÓN DE ACTIVOS, BIENES SUJETOS DE CONTROL Y EXISTENCIAS DE LA INSTITUCIÓN, DIRIGIDO.</t>
  </si>
  <si>
    <t>ORGANIZACIÓN Y USO DE LOS ESPACIOS FÍSICOS DE LA INSTITUCIÓN, PLANIFICADA.</t>
  </si>
  <si>
    <t>PROCESOS DE CONTRATACIÓN PÚBLICA DE ACUERDO A LOS LINEAMIENTOS INSTITUCIONALES Y DISPOSICIONES LEGALES, COORDINADO.</t>
  </si>
  <si>
    <t>DEFINICIÓN DEL PLAN ANUAL DE CONTRATACIONES, COORDINADO.</t>
  </si>
  <si>
    <t>EJECUCIÓN PRESUPUESTARIA DE LOS PROCESOS DE ADQUISICIÓN DE BIENES Y SERVICIOS, MONITOREADA.</t>
  </si>
  <si>
    <t>PROCESOS DE ADQUISICIÓN DE BIENES Y SERVICIOS INSTITUCIONALES, GESTIONADOS.</t>
  </si>
  <si>
    <t>PLANIFICACIÓN ANUAL DE CONTRATACIONES, APROBADA.</t>
  </si>
  <si>
    <r>
      <rPr>
        <b/>
        <sz val="9"/>
        <color theme="1"/>
        <rFont val="Century Schoolbook"/>
        <family val="1"/>
      </rPr>
      <t>1.-</t>
    </r>
    <r>
      <rPr>
        <sz val="10"/>
        <color theme="1"/>
        <rFont val="Arial Narrow"/>
        <family val="2"/>
      </rPr>
      <t xml:space="preserve"> APROBAR LA PLANIFICACIÓN ANUAL DE CONTRATACIÓN Y SUS REFORMAS.</t>
    </r>
  </si>
  <si>
    <r>
      <rPr>
        <b/>
        <sz val="9"/>
        <color theme="1"/>
        <rFont val="Century Schoolbook"/>
        <family val="1"/>
      </rPr>
      <t>2.-</t>
    </r>
    <r>
      <rPr>
        <sz val="10"/>
        <color theme="1"/>
        <rFont val="Arial Narrow"/>
        <family val="2"/>
      </rPr>
      <t xml:space="preserve"> GESTIONAR PROCESO DE ADQUISICIÓN DE BIENES Y SERVICIOS INSTITUCIONALES.</t>
    </r>
  </si>
  <si>
    <r>
      <rPr>
        <b/>
        <sz val="9"/>
        <color theme="1"/>
        <rFont val="Century Schoolbook"/>
        <family val="1"/>
      </rPr>
      <t>3.-</t>
    </r>
    <r>
      <rPr>
        <sz val="10"/>
        <color theme="1"/>
        <rFont val="Arial Narrow"/>
        <family val="2"/>
      </rPr>
      <t xml:space="preserve"> MONITOREAR LA EJECUCIÓN PRESUPUESTARIA DE LOS PROCESOS DE ADQUISICIÓN DE BIENES Y SERVICIOS.</t>
    </r>
  </si>
  <si>
    <r>
      <rPr>
        <b/>
        <sz val="9"/>
        <color theme="1"/>
        <rFont val="Century Schoolbook"/>
        <family val="1"/>
      </rPr>
      <t>4.-</t>
    </r>
    <r>
      <rPr>
        <sz val="10"/>
        <color theme="1"/>
        <rFont val="Arial Narrow"/>
        <family val="2"/>
      </rPr>
      <t xml:space="preserve"> COORDINAR LA DEFINICIÓN DEL PLAN OPERATIVO ANUAL DE CONTRATACIONES.</t>
    </r>
  </si>
  <si>
    <r>
      <rPr>
        <b/>
        <sz val="9"/>
        <color theme="1"/>
        <rFont val="Century Schoolbook"/>
        <family val="1"/>
      </rPr>
      <t>5.-</t>
    </r>
    <r>
      <rPr>
        <sz val="10"/>
        <color theme="1"/>
        <rFont val="Arial Narrow"/>
        <family val="2"/>
      </rPr>
      <t xml:space="preserve"> COORDINAR LOS PROCESOS DE CONTRATACIÓN PÚBLICA DE ACUERDO A LOS LINEAMIENTOS INSTITUCIONALES Y DISPOSICIONES LEGALES.</t>
    </r>
  </si>
  <si>
    <r>
      <rPr>
        <b/>
        <sz val="9"/>
        <color theme="1"/>
        <rFont val="Century Schoolbook"/>
        <family val="1"/>
      </rPr>
      <t>6.-</t>
    </r>
    <r>
      <rPr>
        <sz val="10"/>
        <color theme="1"/>
        <rFont val="Arial Narrow"/>
        <family val="2"/>
      </rPr>
      <t xml:space="preserve"> PLANIFICACIÓN, ORGANIZACIÓN Y USO DE LOS ESPACIO FÍSICOS DE LA INSTITUCIÓN.</t>
    </r>
  </si>
  <si>
    <r>
      <rPr>
        <b/>
        <sz val="9"/>
        <color theme="1"/>
        <rFont val="Century Schoolbook"/>
        <family val="1"/>
      </rPr>
      <t>7.-</t>
    </r>
    <r>
      <rPr>
        <sz val="10"/>
        <color theme="1"/>
        <rFont val="Arial Narrow"/>
        <family val="2"/>
      </rPr>
      <t xml:space="preserve"> DIRIGIR EL PROCESO DE ADMINISTRACIÓN DE ACTIVOS, BIENES SUJETOS A CONTROL Y EXISTENCIAS DE LA INSTITUCIÓN.</t>
    </r>
  </si>
  <si>
    <r>
      <rPr>
        <b/>
        <sz val="9"/>
        <color theme="1"/>
        <rFont val="Century Schoolbook"/>
        <family val="1"/>
      </rPr>
      <t>8.-</t>
    </r>
    <r>
      <rPr>
        <sz val="10"/>
        <color theme="1"/>
        <rFont val="Arial Narrow"/>
        <family val="2"/>
      </rPr>
      <t xml:space="preserve"> GESTIONAR EL PROCESO DE ASEGURAMIENTO DE LOS BIENES INSTITUCIONALES.</t>
    </r>
  </si>
  <si>
    <r>
      <rPr>
        <b/>
        <sz val="9"/>
        <color theme="1"/>
        <rFont val="Century Schoolbook"/>
        <family val="1"/>
      </rPr>
      <t>9.-</t>
    </r>
    <r>
      <rPr>
        <sz val="10"/>
        <color theme="1"/>
        <rFont val="Arial Narrow"/>
        <family val="2"/>
      </rPr>
      <t xml:space="preserve"> GESTIONAR EL FUNCIONAMIENTO DEL PARQUE INSTITUCIONAL.</t>
    </r>
  </si>
  <si>
    <r>
      <rPr>
        <b/>
        <sz val="9"/>
        <color theme="1"/>
        <rFont val="Century Schoolbook"/>
        <family val="1"/>
      </rPr>
      <t>10.-</t>
    </r>
    <r>
      <rPr>
        <sz val="10"/>
        <color theme="1"/>
        <rFont val="Arial Narrow"/>
        <family val="2"/>
      </rPr>
      <t xml:space="preserve"> EJECUTAR LA SEGURIDAD Y VIGILANCIA INSTITUCIONAL.</t>
    </r>
  </si>
  <si>
    <r>
      <rPr>
        <b/>
        <sz val="9"/>
        <color theme="1"/>
        <rFont val="Century Schoolbook"/>
        <family val="1"/>
      </rPr>
      <t>11.-</t>
    </r>
    <r>
      <rPr>
        <sz val="10"/>
        <color theme="1"/>
        <rFont val="Arial Narrow"/>
        <family val="2"/>
      </rPr>
      <t xml:space="preserve"> APROBACIÓN E IMPLEMENTACIÓN DE LA PLANIFICACIÓN DE CONSTRUCCIONES, ADECUACIONES MENORES, MANTENIMIENTO CORRECTIVO Y LIMPIEZA DE LOS ESPACIOS FÍSICOS DE LA INSTITUCIÓN Y MANTENIMIENTO ANUAL PREVENTIVO Y CORRECTIVO DE LA FLOTA VEHICULAR.</t>
    </r>
  </si>
  <si>
    <r>
      <rPr>
        <b/>
        <sz val="9"/>
        <color theme="1"/>
        <rFont val="Century Schoolbook"/>
        <family val="1"/>
      </rPr>
      <t>12.-</t>
    </r>
    <r>
      <rPr>
        <sz val="10"/>
        <color theme="1"/>
        <rFont val="Arial Narrow"/>
        <family val="2"/>
      </rPr>
      <t xml:space="preserve"> APROBACIÓN E IMPLEMENTACIÓN DE LA PLANIFICACIÓN DEL MANTENIMIENTO DE ÁREAS VERDES, ESCENARIOS DEPORTIVOS; APROBADA E IMPLEMENTADA.</t>
    </r>
  </si>
  <si>
    <r>
      <rPr>
        <b/>
        <sz val="9"/>
        <color theme="1"/>
        <rFont val="Century Schoolbook"/>
        <family val="1"/>
      </rPr>
      <t>13.-</t>
    </r>
    <r>
      <rPr>
        <sz val="10"/>
        <color theme="1"/>
        <rFont val="Arial Narrow"/>
        <family val="2"/>
      </rPr>
      <t xml:space="preserve"> GESTIONAR EL PROCESO DE CONTRATACIÓN O RENOVACIÓN DE LAS PÓLIZAS DE SEGUROS Y DE MATRICULACIÓN DE LOS VEHÍCULOS OFICIALES GESTIONADOS.</t>
    </r>
  </si>
  <si>
    <r>
      <rPr>
        <b/>
        <sz val="9"/>
        <color theme="1"/>
        <rFont val="Century Schoolbook"/>
        <family val="1"/>
      </rPr>
      <t>14.-</t>
    </r>
    <r>
      <rPr>
        <sz val="10"/>
        <color theme="1"/>
        <rFont val="Arial Narrow"/>
        <family val="2"/>
      </rPr>
      <t xml:space="preserve"> GESTIONAR PROYECTOS DE INVERSIÓN PARA LA CONSTRUCCIÓN DE OBRAS PARA LA MEJORA CONTINUA DE LA INFRAESTRUCTURA DE LA INSTITUCIÓN.</t>
    </r>
  </si>
  <si>
    <r>
      <rPr>
        <b/>
        <sz val="9"/>
        <color theme="1"/>
        <rFont val="Century Schoolbook"/>
        <family val="1"/>
      </rPr>
      <t>15.-</t>
    </r>
    <r>
      <rPr>
        <sz val="10"/>
        <color theme="1"/>
        <rFont val="Arial Narrow"/>
        <family val="2"/>
      </rPr>
      <t xml:space="preserve"> GESTIONAR PROCESOS DE FISCALIZACIÓN DE LAS OBRAS DE INFRAESTRUCTURA INSTITUCIONALES.</t>
    </r>
  </si>
  <si>
    <r>
      <rPr>
        <b/>
        <sz val="9"/>
        <color theme="1"/>
        <rFont val="Century Schoolbook"/>
        <family val="1"/>
      </rPr>
      <t>16.-</t>
    </r>
    <r>
      <rPr>
        <sz val="10"/>
        <color theme="1"/>
        <rFont val="Arial Narrow"/>
        <family val="2"/>
      </rPr>
      <t xml:space="preserve"> GESTIONAR ESTUDIOS TÉCNICOS PARA LA CONSTRUCCIÓN DE OBRAS Y/O ADECUACIÓN DE INFRAESTRUCTURA.</t>
    </r>
  </si>
  <si>
    <r>
      <rPr>
        <b/>
        <sz val="9"/>
        <color theme="1"/>
        <rFont val="Century Schoolbook"/>
        <family val="1"/>
      </rPr>
      <t>17.-</t>
    </r>
    <r>
      <rPr>
        <sz val="10"/>
        <color theme="1"/>
        <rFont val="Arial Narrow"/>
        <family val="2"/>
      </rPr>
      <t xml:space="preserve"> ENTREGA OPORTUNA DE LA PLANIFICACIÓN OPERATIVA ANUAL Y EVALUACIÓN DE LA PLANIFICACIÓN OPERATIVA ANUAL.</t>
    </r>
  </si>
  <si>
    <r>
      <rPr>
        <b/>
        <sz val="9"/>
        <color theme="1"/>
        <rFont val="Century Schoolbook"/>
        <family val="1"/>
      </rPr>
      <t>18.-</t>
    </r>
    <r>
      <rPr>
        <sz val="10"/>
        <color theme="1"/>
        <rFont val="Arial Narrow"/>
        <family val="2"/>
      </rPr>
      <t xml:space="preserve"> ORGANIZAR EL ARCHIVO DE GESTIÓN.</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</si>
  <si>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Registrar del Plan Anual de Contrataciones en el Portal del Órgano Rector de la Contratación Pública.</t>
    </r>
  </si>
  <si>
    <r>
      <rPr>
        <b/>
        <sz val="9"/>
        <color theme="1"/>
        <rFont val="Century Schoolbook"/>
        <family val="1"/>
      </rPr>
      <t>2.-</t>
    </r>
    <r>
      <rPr>
        <sz val="10"/>
        <color theme="1"/>
        <rFont val="Arial Narrow"/>
        <family val="2"/>
      </rPr>
      <t xml:space="preserve"> Revisar y publicar los Procesos de Contratación Pública en el Portal del Órgano Rector de la Contratación Públicas.</t>
    </r>
  </si>
  <si>
    <r>
      <rPr>
        <b/>
        <sz val="9"/>
        <color theme="1"/>
        <rFont val="Century Schoolbook"/>
        <family val="1"/>
      </rPr>
      <t>3.-</t>
    </r>
    <r>
      <rPr>
        <sz val="10"/>
        <color theme="1"/>
        <rFont val="Arial Narrow"/>
        <family val="2"/>
      </rPr>
      <t xml:space="preserve"> Supervisar la ejecución del Plan Anual de Compras.</t>
    </r>
  </si>
  <si>
    <r>
      <rPr>
        <b/>
        <sz val="9"/>
        <color theme="1"/>
        <rFont val="Century Schoolbook"/>
        <family val="1"/>
      </rPr>
      <t>4.-</t>
    </r>
    <r>
      <rPr>
        <sz val="10"/>
        <color theme="1"/>
        <rFont val="Arial Narrow"/>
        <family val="2"/>
      </rPr>
      <t xml:space="preserve"> Emitir las directrices para el cumplimiento del Plan Anual de Contratación.</t>
    </r>
  </si>
  <si>
    <r>
      <rPr>
        <b/>
        <sz val="9"/>
        <color theme="1"/>
        <rFont val="Century Schoolbook"/>
        <family val="1"/>
      </rPr>
      <t>5.-</t>
    </r>
    <r>
      <rPr>
        <sz val="10"/>
        <color theme="1"/>
        <rFont val="Arial Narrow"/>
        <family val="2"/>
      </rPr>
      <t xml:space="preserve"> Entregar la Planificación  Operativa Anual y Evaluación de la Planificación Operativa Anual.</t>
    </r>
  </si>
  <si>
    <r>
      <rPr>
        <b/>
        <sz val="9"/>
        <color theme="1"/>
        <rFont val="Century Schoolbook"/>
        <family val="1"/>
      </rPr>
      <t>6</t>
    </r>
    <r>
      <rPr>
        <sz val="9"/>
        <color theme="1"/>
        <rFont val="Century Schoolbook"/>
        <family val="1"/>
      </rPr>
      <t>.-</t>
    </r>
    <r>
      <rPr>
        <sz val="10"/>
        <color theme="1"/>
        <rFont val="Arial Narrow"/>
        <family val="2"/>
      </rPr>
      <t xml:space="preserve"> Organizar el Archivo de Gestión.</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</si>
  <si>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Realizar el Ingreso de Bienes.</t>
    </r>
  </si>
  <si>
    <r>
      <rPr>
        <b/>
        <sz val="9"/>
        <color theme="1"/>
        <rFont val="Century Schoolbook"/>
        <family val="1"/>
      </rPr>
      <t>2.-</t>
    </r>
    <r>
      <rPr>
        <sz val="10"/>
        <color theme="1"/>
        <rFont val="Arial Narrow"/>
        <family val="2"/>
      </rPr>
      <t xml:space="preserve"> Realizar la Asignación de bienes.</t>
    </r>
  </si>
  <si>
    <r>
      <rPr>
        <b/>
        <sz val="9"/>
        <color theme="1"/>
        <rFont val="Century Schoolbook"/>
        <family val="1"/>
      </rPr>
      <t>3.-</t>
    </r>
    <r>
      <rPr>
        <b/>
        <sz val="10"/>
        <color theme="1"/>
        <rFont val="Arial Narrow"/>
        <family val="2"/>
      </rPr>
      <t xml:space="preserve"> </t>
    </r>
    <r>
      <rPr>
        <sz val="10"/>
        <color theme="1"/>
        <rFont val="Arial Narrow"/>
        <family val="2"/>
      </rPr>
      <t>Proporcionar documentos de propiedad de los bienes.</t>
    </r>
  </si>
  <si>
    <r>
      <rPr>
        <b/>
        <sz val="9"/>
        <color theme="1"/>
        <rFont val="Century Schoolbook"/>
        <family val="1"/>
      </rPr>
      <t>4.-</t>
    </r>
    <r>
      <rPr>
        <sz val="10"/>
        <color theme="1"/>
        <rFont val="Arial Narrow"/>
        <family val="2"/>
      </rPr>
      <t xml:space="preserve"> Gestionar la aplicación de garantías de bienes de larga duración o bienes sujetos a control administrativo.</t>
    </r>
  </si>
  <si>
    <r>
      <rPr>
        <b/>
        <sz val="9"/>
        <color theme="1"/>
        <rFont val="Century Schoolbook"/>
        <family val="1"/>
      </rPr>
      <t>5.-</t>
    </r>
    <r>
      <rPr>
        <sz val="10"/>
        <color theme="1"/>
        <rFont val="Arial Narrow"/>
        <family val="2"/>
      </rPr>
      <t xml:space="preserve"> Realizar la emisión de reportes de bienes.</t>
    </r>
  </si>
  <si>
    <r>
      <rPr>
        <b/>
        <sz val="9"/>
        <color theme="1"/>
        <rFont val="Century Schoolbook"/>
        <family val="1"/>
      </rPr>
      <t>6.-</t>
    </r>
    <r>
      <rPr>
        <sz val="10"/>
        <color theme="1"/>
        <rFont val="Arial Narrow"/>
        <family val="2"/>
      </rPr>
      <t xml:space="preserve"> Emitir</t>
    </r>
    <r>
      <rPr>
        <sz val="10"/>
        <color rgb="FFFF0000"/>
        <rFont val="Arial Narrow"/>
        <family val="2"/>
      </rPr>
      <t xml:space="preserve"> </t>
    </r>
    <r>
      <rPr>
        <sz val="10"/>
        <color theme="1"/>
        <rFont val="Arial Narrow"/>
        <family val="2"/>
      </rPr>
      <t>inventarios de existencias de suministros y materiales (o equivalentes).</t>
    </r>
  </si>
  <si>
    <r>
      <rPr>
        <b/>
        <sz val="9"/>
        <color theme="1"/>
        <rFont val="Century Schoolbook"/>
        <family val="1"/>
      </rPr>
      <t>7.-</t>
    </r>
    <r>
      <rPr>
        <sz val="10"/>
        <color theme="1"/>
        <rFont val="Arial Narrow"/>
        <family val="2"/>
      </rPr>
      <t xml:space="preserve"> Entregar</t>
    </r>
    <r>
      <rPr>
        <sz val="10"/>
        <color rgb="FFFF0000"/>
        <rFont val="Arial Narrow"/>
        <family val="2"/>
      </rPr>
      <t xml:space="preserve"> </t>
    </r>
    <r>
      <rPr>
        <sz val="10"/>
        <color theme="1"/>
        <rFont val="Arial Narrow"/>
        <family val="2"/>
      </rPr>
      <t>existencias de suministros y materiales (o equivalentes).</t>
    </r>
  </si>
  <si>
    <r>
      <rPr>
        <b/>
        <sz val="10"/>
        <color rgb="FFFF0000"/>
        <rFont val="Arial Narrow"/>
        <family val="2"/>
      </rPr>
      <t>METAS OPERATIVAS</t>
    </r>
    <r>
      <rPr>
        <sz val="10"/>
        <color theme="1"/>
        <rFont val="Arial Narrow"/>
        <family val="2"/>
      </rPr>
      <t xml:space="preserve">
</t>
    </r>
    <r>
      <rPr>
        <b/>
        <sz val="9"/>
        <color theme="1"/>
        <rFont val="Century Schoolbook"/>
        <family val="1"/>
      </rPr>
      <t>1.-</t>
    </r>
    <r>
      <rPr>
        <sz val="10"/>
        <color theme="1"/>
        <rFont val="Arial Narrow"/>
        <family val="2"/>
      </rPr>
      <t xml:space="preserve"> Realizar la constatación de los Bienes Institucionales.</t>
    </r>
  </si>
  <si>
    <r>
      <rPr>
        <b/>
        <sz val="9"/>
        <color theme="1"/>
        <rFont val="Century Schoolbook"/>
        <family val="1"/>
      </rPr>
      <t>2.-</t>
    </r>
    <r>
      <rPr>
        <sz val="10"/>
        <color theme="1"/>
        <rFont val="Arial Narrow"/>
        <family val="2"/>
      </rPr>
      <t xml:space="preserve"> Autorizar la salida de Bienes Institucionales.</t>
    </r>
  </si>
  <si>
    <r>
      <rPr>
        <b/>
        <sz val="9"/>
        <color theme="1"/>
        <rFont val="Century Schoolbook"/>
        <family val="1"/>
      </rPr>
      <t>3.-</t>
    </r>
    <r>
      <rPr>
        <sz val="10"/>
        <color theme="1"/>
        <rFont val="Arial Narrow"/>
        <family val="2"/>
      </rPr>
      <t xml:space="preserve"> Realizar la recepción de los Bienes devueltos por los usuarios.</t>
    </r>
  </si>
  <si>
    <r>
      <rPr>
        <b/>
        <sz val="9"/>
        <color theme="1"/>
        <rFont val="Century Schoolbook"/>
        <family val="1"/>
      </rPr>
      <t>4.-</t>
    </r>
    <r>
      <rPr>
        <sz val="10"/>
        <color theme="1"/>
        <rFont val="Arial Narrow"/>
        <family val="2"/>
      </rPr>
      <t xml:space="preserve"> Realizar la enajenación de bienes inservibles, obsoletos o que han dejado de tener utilidad.</t>
    </r>
  </si>
  <si>
    <r>
      <rPr>
        <b/>
        <sz val="9"/>
        <color theme="1"/>
        <rFont val="Century Schoolbook"/>
        <family val="1"/>
      </rPr>
      <t>5.-</t>
    </r>
    <r>
      <rPr>
        <sz val="10"/>
        <color theme="1"/>
        <rFont val="Arial Narrow"/>
        <family val="2"/>
      </rPr>
      <t xml:space="preserve"> Elaborar el reporte de los bienes a ser asegurados en base a las directrices emitidas por la Dirección Administrativa.</t>
    </r>
  </si>
  <si>
    <r>
      <rPr>
        <b/>
        <sz val="9"/>
        <color theme="1"/>
        <rFont val="Century Schoolbook"/>
        <family val="1"/>
      </rPr>
      <t>6.-</t>
    </r>
    <r>
      <rPr>
        <sz val="10"/>
        <color theme="1"/>
        <rFont val="Arial Narrow"/>
        <family val="2"/>
      </rPr>
      <t xml:space="preserve"> Elaborar informes técnicos de las constataciones físicas realizadas.</t>
    </r>
  </si>
  <si>
    <r>
      <rPr>
        <b/>
        <sz val="9"/>
        <color theme="1"/>
        <rFont val="Century Schoolbook"/>
        <family val="1"/>
      </rPr>
      <t>7.-</t>
    </r>
    <r>
      <rPr>
        <sz val="10"/>
        <color theme="1"/>
        <rFont val="Arial Narrow"/>
        <family val="2"/>
      </rPr>
      <t xml:space="preserve"> Remitir a la Dirección Administrativa las actas de constatación física de bienes inventarios y actas de enajenación de bienes.</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</si>
  <si>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Efectuar el control de ejecución de obras contratadas.</t>
    </r>
  </si>
  <si>
    <r>
      <rPr>
        <b/>
        <sz val="9"/>
        <color theme="1"/>
        <rFont val="Century Schoolbook"/>
        <family val="1"/>
      </rPr>
      <t>2.-</t>
    </r>
    <r>
      <rPr>
        <sz val="10"/>
        <color theme="1"/>
        <rFont val="Arial Narrow"/>
        <family val="2"/>
      </rPr>
      <t xml:space="preserve"> Coordinar, diseñar y ejecutar proyectos arquitectónicos, estructurales, de instalaciones y demás relacionados con la infraestructura institucional.</t>
    </r>
  </si>
  <si>
    <r>
      <rPr>
        <b/>
        <sz val="9"/>
        <color theme="1"/>
        <rFont val="Century Schoolbook"/>
        <family val="1"/>
      </rPr>
      <t>3.-</t>
    </r>
    <r>
      <rPr>
        <sz val="10"/>
        <color theme="1"/>
        <rFont val="Arial Narrow"/>
        <family val="2"/>
      </rPr>
      <t xml:space="preserve"> Efectuar estudios técnicos para la construcción de obras y/o adecuacion de infraestructura.</t>
    </r>
  </si>
  <si>
    <r>
      <rPr>
        <b/>
        <sz val="9"/>
        <color theme="1"/>
        <rFont val="Century Schoolbook"/>
        <family val="1"/>
      </rPr>
      <t>4.-</t>
    </r>
    <r>
      <rPr>
        <sz val="10"/>
        <color theme="1"/>
        <rFont val="Arial Narrow"/>
        <family val="2"/>
      </rPr>
      <t xml:space="preserve"> Coordinar la ejecución del Plan de mantenimiento correctivo y adecuaciones menores.</t>
    </r>
  </si>
  <si>
    <r>
      <rPr>
        <b/>
        <sz val="9"/>
        <color theme="1"/>
        <rFont val="Century Schoolbook"/>
        <family val="1"/>
      </rPr>
      <t>5.-</t>
    </r>
    <r>
      <rPr>
        <sz val="10"/>
        <color theme="1"/>
        <rFont val="Arial Narrow"/>
        <family val="2"/>
      </rPr>
      <t xml:space="preserve"> Supervisar el funcionamiento adecuado de todas las áreas que conforman las instalaciones de la infraestructura institucional.</t>
    </r>
  </si>
  <si>
    <r>
      <rPr>
        <b/>
        <sz val="9"/>
        <color theme="1"/>
        <rFont val="Century Schoolbook"/>
        <family val="1"/>
      </rPr>
      <t>6.-</t>
    </r>
    <r>
      <rPr>
        <sz val="10"/>
        <color theme="1"/>
        <rFont val="Arial Narrow"/>
        <family val="2"/>
      </rPr>
      <t xml:space="preserve"> Elaborar propuestas de procedimiento para el mantenimiento de los bienes.</t>
    </r>
  </si>
  <si>
    <r>
      <rPr>
        <b/>
        <sz val="9"/>
        <color theme="1"/>
        <rFont val="Century Schoolbook"/>
        <family val="1"/>
      </rPr>
      <t>7.-</t>
    </r>
    <r>
      <rPr>
        <sz val="10"/>
        <color theme="1"/>
        <rFont val="Arial Narrow"/>
        <family val="2"/>
      </rPr>
      <t xml:space="preserve"> Coordinar la elaboración de instrumentos de distribucion del personal para la ejecucion de los trabajos relacionados con la planificación del mantenimiento y limpieza de los espacios físicos de la institución.</t>
    </r>
  </si>
  <si>
    <r>
      <rPr>
        <b/>
        <sz val="9"/>
        <color theme="1"/>
        <rFont val="Century Schoolbook"/>
        <family val="1"/>
      </rPr>
      <t>8.-</t>
    </r>
    <r>
      <rPr>
        <sz val="10"/>
        <color theme="1"/>
        <rFont val="Arial Narrow"/>
        <family val="2"/>
      </rPr>
      <t xml:space="preserve"> Elaborar y ejecutar el plan de mantenimiento de las áreas verdes y escenarios deportivos de la institución.</t>
    </r>
  </si>
  <si>
    <r>
      <rPr>
        <b/>
        <sz val="9"/>
        <color theme="1"/>
        <rFont val="Century Schoolbook"/>
        <family val="1"/>
      </rPr>
      <t>9.-</t>
    </r>
    <r>
      <rPr>
        <sz val="10"/>
        <color theme="1"/>
        <rFont val="Arial Narrow"/>
        <family val="2"/>
      </rPr>
      <t xml:space="preserve"> Elaborar y ejecutar el plan de mantenimiento anual de los equipos de la institución.</t>
    </r>
  </si>
  <si>
    <r>
      <rPr>
        <b/>
        <sz val="9"/>
        <color theme="1"/>
        <rFont val="Century Schoolbook"/>
        <family val="1"/>
      </rPr>
      <t>10.-</t>
    </r>
    <r>
      <rPr>
        <b/>
        <sz val="10"/>
        <color theme="1"/>
        <rFont val="Arial Narrow"/>
        <family val="2"/>
      </rPr>
      <t xml:space="preserve"> </t>
    </r>
    <r>
      <rPr>
        <sz val="10"/>
        <color theme="1"/>
        <rFont val="Arial Narrow"/>
        <family val="2"/>
      </rPr>
      <t>Efectuar el control y manejo de los residuos sólidos generados por la institución.</t>
    </r>
  </si>
  <si>
    <r>
      <rPr>
        <b/>
        <sz val="9"/>
        <color theme="1"/>
        <rFont val="Century Schoolbook"/>
        <family val="1"/>
      </rPr>
      <t>11.-</t>
    </r>
    <r>
      <rPr>
        <b/>
        <sz val="10"/>
        <color theme="1"/>
        <rFont val="Arial Narrow"/>
        <family val="2"/>
      </rPr>
      <t xml:space="preserve"> </t>
    </r>
    <r>
      <rPr>
        <sz val="10"/>
        <color theme="1"/>
        <rFont val="Arial Narrow"/>
        <family val="2"/>
      </rPr>
      <t>Entregar oportunamente  la Planificación Operativa Anual y Evaluación de la Planificación Operativa Anual.</t>
    </r>
  </si>
  <si>
    <t>RESUMEN DE PRESUPUESTO ESTIMADO POR GRUPO DE GASTO:</t>
  </si>
  <si>
    <r>
      <rPr>
        <b/>
        <sz val="10"/>
        <color rgb="FFFF0000"/>
        <rFont val="Arial Narrow"/>
        <family val="2"/>
      </rPr>
      <t>METAS OPERATIVAS</t>
    </r>
    <r>
      <rPr>
        <sz val="10"/>
        <color theme="1"/>
        <rFont val="Arial Narrow"/>
        <family val="2"/>
      </rPr>
      <t xml:space="preserve">
1.- Emitir directrices para garantizar la ejecución de los procesos administrativos y académicos.</t>
    </r>
  </si>
  <si>
    <r>
      <rPr>
        <b/>
        <sz val="10"/>
        <color rgb="FFFF0000"/>
        <rFont val="Arial Narrow"/>
        <family val="2"/>
      </rPr>
      <t>METAS OPERATIVAS</t>
    </r>
    <r>
      <rPr>
        <sz val="10"/>
        <color theme="1"/>
        <rFont val="Arial Narrow"/>
        <family val="2"/>
      </rPr>
      <t xml:space="preserve">
1.- Emitir o actualizar los Procedimientos Académicos internos estandarizados.</t>
    </r>
  </si>
  <si>
    <r>
      <rPr>
        <b/>
        <sz val="10"/>
        <color rgb="FFFF0000"/>
        <rFont val="Arial Narrow"/>
        <family val="2"/>
      </rPr>
      <t>METAS OPERATIVAS</t>
    </r>
    <r>
      <rPr>
        <sz val="10"/>
        <color theme="1"/>
        <rFont val="Arial Narrow"/>
        <family val="2"/>
      </rPr>
      <t xml:space="preserve">
1.- Coordinar y ejecutar los Procesos de Matriculación.</t>
    </r>
  </si>
  <si>
    <r>
      <rPr>
        <b/>
        <sz val="10"/>
        <color rgb="FFFF0000"/>
        <rFont val="Arial Narrow"/>
        <family val="2"/>
      </rPr>
      <t>METAS OPERATIVAS</t>
    </r>
    <r>
      <rPr>
        <sz val="10"/>
        <color theme="1"/>
        <rFont val="Arial Narrow"/>
        <family val="2"/>
      </rPr>
      <t xml:space="preserve">
1.- Emitir y notificar las convocatorias, actas y resoluciones de Consejo Directivo.</t>
    </r>
  </si>
  <si>
    <r>
      <rPr>
        <b/>
        <sz val="10"/>
        <color rgb="FFFF0000"/>
        <rFont val="Arial Narrow"/>
        <family val="2"/>
      </rPr>
      <t>METAS OPERATIVAS</t>
    </r>
    <r>
      <rPr>
        <sz val="10"/>
        <color rgb="FFFF0000"/>
        <rFont val="Arial Narrow"/>
        <family val="2"/>
      </rPr>
      <t xml:space="preserve">
</t>
    </r>
    <r>
      <rPr>
        <sz val="10"/>
        <color theme="1"/>
        <rFont val="Arial Narrow"/>
        <family val="2"/>
      </rPr>
      <t>1.- Participar la Comisión académica.</t>
    </r>
  </si>
  <si>
    <t>3.- Elaborar la  terna del personal académico y estudiantil que integrará el Comité de Evaluación Interna de Carrera</t>
  </si>
  <si>
    <r>
      <rPr>
        <b/>
        <sz val="10"/>
        <color rgb="FFFF0000"/>
        <rFont val="Arial Narrow"/>
        <family val="2"/>
      </rPr>
      <t xml:space="preserve">METAS OPERATIVAS
</t>
    </r>
    <r>
      <rPr>
        <sz val="10"/>
        <color theme="1"/>
        <rFont val="Arial Narrow"/>
        <family val="2"/>
      </rPr>
      <t>1.- Participar la Comisión académica.</t>
    </r>
  </si>
  <si>
    <r>
      <t xml:space="preserve">DPLAN: La necesidad y egreso de la partida </t>
    </r>
    <r>
      <rPr>
        <sz val="10"/>
        <color theme="1"/>
        <rFont val="Century Schoolbook"/>
        <family val="1"/>
      </rPr>
      <t>530204</t>
    </r>
    <r>
      <rPr>
        <sz val="10"/>
        <color theme="1"/>
        <rFont val="Arial Narrow"/>
        <family val="2"/>
      </rPr>
      <t xml:space="preserve"> que forma parte de este producto, con u. valor de </t>
    </r>
    <r>
      <rPr>
        <sz val="10"/>
        <color theme="1"/>
        <rFont val="Century Schoolbook"/>
        <family val="1"/>
      </rPr>
      <t>$11.000,00</t>
    </r>
    <r>
      <rPr>
        <sz val="10"/>
        <color theme="1"/>
        <rFont val="Arial Narrow"/>
        <family val="2"/>
      </rPr>
      <t xml:space="preserve"> (sin IVA), pasa a formar parte del POA </t>
    </r>
    <r>
      <rPr>
        <sz val="10"/>
        <color theme="1"/>
        <rFont val="Century Schoolbook"/>
        <family val="1"/>
      </rPr>
      <t>2023</t>
    </r>
    <r>
      <rPr>
        <sz val="10"/>
        <color theme="1"/>
        <rFont val="Arial Narrow"/>
        <family val="2"/>
      </rPr>
      <t xml:space="preserve"> DIDI, en virtud de la gestión de Biblioteca General.</t>
    </r>
  </si>
  <si>
    <r>
      <t xml:space="preserve">El Inventario Documental se elabora los </t>
    </r>
    <r>
      <rPr>
        <sz val="10"/>
        <color theme="1"/>
        <rFont val="Century Schoolbook"/>
        <family val="1"/>
      </rPr>
      <t>3</t>
    </r>
    <r>
      <rPr>
        <sz val="10"/>
        <color theme="1"/>
        <rFont val="Arial Narrow"/>
        <family val="2"/>
      </rPr>
      <t xml:space="preserve"> primeros meses del siguiente año, se encuentra elaborado del año </t>
    </r>
    <r>
      <rPr>
        <sz val="10"/>
        <color theme="1"/>
        <rFont val="Century Schoolbook"/>
        <family val="1"/>
      </rPr>
      <t>2022.</t>
    </r>
  </si>
  <si>
    <r>
      <t xml:space="preserve">REGADERA DE PLÁSTICO DE </t>
    </r>
    <r>
      <rPr>
        <sz val="10"/>
        <color theme="1"/>
        <rFont val="Century Schoolbook"/>
        <family val="1"/>
      </rPr>
      <t>8</t>
    </r>
    <r>
      <rPr>
        <sz val="10"/>
        <color theme="1"/>
        <rFont val="Arial Narrow"/>
        <family val="2"/>
      </rPr>
      <t>L.</t>
    </r>
  </si>
  <si>
    <r>
      <t xml:space="preserve">BOMBA MANUAL DE MOCHILA PARA FUMIGAR  DE </t>
    </r>
    <r>
      <rPr>
        <sz val="10"/>
        <color theme="1"/>
        <rFont val="Century Schoolbook"/>
        <family val="1"/>
      </rPr>
      <t>20</t>
    </r>
    <r>
      <rPr>
        <sz val="10"/>
        <color theme="1"/>
        <rFont val="Arial Narrow"/>
        <family val="2"/>
      </rPr>
      <t xml:space="preserve">L. </t>
    </r>
  </si>
  <si>
    <r>
      <t xml:space="preserve">DISCO  EXTERNO DE </t>
    </r>
    <r>
      <rPr>
        <sz val="10"/>
        <color theme="1"/>
        <rFont val="Century Schoolbook"/>
        <family val="1"/>
      </rPr>
      <t>1</t>
    </r>
    <r>
      <rPr>
        <sz val="10"/>
        <color theme="1"/>
        <rFont val="Arial Narrow"/>
        <family val="2"/>
      </rPr>
      <t xml:space="preserve"> TERA PARA USO ADMINISTRATIVO</t>
    </r>
  </si>
  <si>
    <r>
      <t>ROSETONES CON SENSOR DE MOVIMIENTO CON BOQUILALA E</t>
    </r>
    <r>
      <rPr>
        <sz val="10"/>
        <color theme="1"/>
        <rFont val="Century Schoolbook"/>
        <family val="1"/>
      </rPr>
      <t>27</t>
    </r>
  </si>
  <si>
    <r>
      <t xml:space="preserve">FOCO LED DE </t>
    </r>
    <r>
      <rPr>
        <sz val="10"/>
        <color theme="1"/>
        <rFont val="Century Schoolbook"/>
        <family val="1"/>
      </rPr>
      <t>40</t>
    </r>
    <r>
      <rPr>
        <sz val="10"/>
        <color theme="1"/>
        <rFont val="Arial Narrow"/>
        <family val="2"/>
      </rPr>
      <t>W PARA BOQUILLA E</t>
    </r>
    <r>
      <rPr>
        <sz val="10"/>
        <color theme="1"/>
        <rFont val="Century Schoolbook"/>
        <family val="1"/>
      </rPr>
      <t>27</t>
    </r>
  </si>
  <si>
    <r>
      <t xml:space="preserve">PANELES DE LUZ LED DIA DE </t>
    </r>
    <r>
      <rPr>
        <sz val="10"/>
        <color theme="1"/>
        <rFont val="Century Schoolbook"/>
        <family val="1"/>
      </rPr>
      <t>60</t>
    </r>
    <r>
      <rPr>
        <sz val="10"/>
        <color theme="1"/>
        <rFont val="Arial Narrow"/>
        <family val="2"/>
      </rPr>
      <t xml:space="preserve"> X </t>
    </r>
    <r>
      <rPr>
        <sz val="10"/>
        <color theme="1"/>
        <rFont val="Century Schoolbook"/>
        <family val="1"/>
      </rPr>
      <t>60</t>
    </r>
  </si>
  <si>
    <r>
      <t>PINTURA BASE AGUA MARFIL CLARO TIPO</t>
    </r>
    <r>
      <rPr>
        <sz val="10"/>
        <color theme="1"/>
        <rFont val="Century Schoolbook"/>
        <family val="1"/>
      </rPr>
      <t>2</t>
    </r>
    <r>
      <rPr>
        <sz val="10"/>
        <color theme="1"/>
        <rFont val="Arial Narrow"/>
        <family val="2"/>
      </rPr>
      <t xml:space="preserve"> USO EXTERIOR RESINA VINIL ACRÍLICO</t>
    </r>
  </si>
  <si>
    <r>
      <t>PINTURA BASE AGUA BLANCO TIPO</t>
    </r>
    <r>
      <rPr>
        <sz val="10"/>
        <color theme="1"/>
        <rFont val="Century Schoolbook"/>
        <family val="1"/>
      </rPr>
      <t>2</t>
    </r>
    <r>
      <rPr>
        <sz val="10"/>
        <color theme="1"/>
        <rFont val="Arial Narrow"/>
        <family val="2"/>
      </rPr>
      <t xml:space="preserve"> USO EXTERIOR RESINA VINIL ACRÍLICO</t>
    </r>
  </si>
  <si>
    <t>PINTURA ANTICORROSIVA MATE GALON NEGRO</t>
  </si>
  <si>
    <r>
      <t xml:space="preserve">Empaste Exterior Blanco de </t>
    </r>
    <r>
      <rPr>
        <sz val="10"/>
        <color theme="1"/>
        <rFont val="Century Schoolbook"/>
        <family val="1"/>
      </rPr>
      <t>20</t>
    </r>
    <r>
      <rPr>
        <sz val="10"/>
        <color theme="1"/>
        <rFont val="Arial Narrow"/>
        <family val="2"/>
      </rPr>
      <t xml:space="preserve"> Kilogramos</t>
    </r>
  </si>
  <si>
    <r>
      <t xml:space="preserve">PLIEGO DE LIJA </t>
    </r>
    <r>
      <rPr>
        <sz val="10"/>
        <color theme="1"/>
        <rFont val="Century Schoolbook"/>
        <family val="1"/>
      </rPr>
      <t>150</t>
    </r>
  </si>
  <si>
    <r>
      <t xml:space="preserve">ESPÁTULAS DE </t>
    </r>
    <r>
      <rPr>
        <sz val="10"/>
        <color theme="1"/>
        <rFont val="Century Schoolbook"/>
        <family val="1"/>
      </rPr>
      <t>4"</t>
    </r>
  </si>
  <si>
    <r>
      <t xml:space="preserve">BROCHAS </t>
    </r>
    <r>
      <rPr>
        <sz val="10"/>
        <color theme="1"/>
        <rFont val="Century Schoolbook"/>
        <family val="1"/>
      </rPr>
      <t>4"</t>
    </r>
  </si>
  <si>
    <r>
      <t>Cable flexible #</t>
    </r>
    <r>
      <rPr>
        <sz val="10"/>
        <color theme="1"/>
        <rFont val="Century Schoolbook"/>
        <family val="1"/>
      </rPr>
      <t>12</t>
    </r>
    <r>
      <rPr>
        <sz val="10"/>
        <color theme="1"/>
        <rFont val="Arial Narrow"/>
        <family val="2"/>
      </rPr>
      <t xml:space="preserve"> rollo de </t>
    </r>
    <r>
      <rPr>
        <sz val="10"/>
        <color theme="1"/>
        <rFont val="Century Schoolbook"/>
        <family val="1"/>
      </rPr>
      <t>100</t>
    </r>
    <r>
      <rPr>
        <sz val="10"/>
        <color theme="1"/>
        <rFont val="Arial Narrow"/>
        <family val="2"/>
      </rPr>
      <t xml:space="preserve"> metros</t>
    </r>
  </si>
  <si>
    <r>
      <t>Cable flexible #</t>
    </r>
    <r>
      <rPr>
        <sz val="10"/>
        <color theme="1"/>
        <rFont val="Century Schoolbook"/>
        <family val="1"/>
      </rPr>
      <t>14</t>
    </r>
    <r>
      <rPr>
        <sz val="10"/>
        <color theme="1"/>
        <rFont val="Arial Narrow"/>
        <family val="2"/>
      </rPr>
      <t xml:space="preserve"> rollo de </t>
    </r>
    <r>
      <rPr>
        <sz val="10"/>
        <color theme="1"/>
        <rFont val="Century Schoolbook"/>
        <family val="1"/>
      </rPr>
      <t>100</t>
    </r>
    <r>
      <rPr>
        <sz val="10"/>
        <color theme="1"/>
        <rFont val="Arial Narrow"/>
        <family val="2"/>
      </rPr>
      <t xml:space="preserve"> metros</t>
    </r>
  </si>
  <si>
    <r>
      <t xml:space="preserve">CONSTRUCCIÓN DE UNA CAMARA DE REFRIGERACION Y CONGELACION, PARA LA CONSERVACIÓN DE SEMILLAS, CON SISTEMA DE CONTROL DE HUMEDAD DEL </t>
    </r>
    <r>
      <rPr>
        <sz val="10"/>
        <color theme="1"/>
        <rFont val="Century Schoolbook"/>
        <family val="1"/>
      </rPr>
      <t>60</t>
    </r>
    <r>
      <rPr>
        <sz val="10"/>
        <color theme="1"/>
        <rFont val="Arial Narrow"/>
        <family val="2"/>
      </rPr>
      <t xml:space="preserve"> A </t>
    </r>
    <r>
      <rPr>
        <sz val="10"/>
        <color theme="1"/>
        <rFont val="Century Schoolbook"/>
        <family val="1"/>
      </rPr>
      <t>90%</t>
    </r>
  </si>
  <si>
    <r>
      <t xml:space="preserve">DISCO  EXTERNO DE </t>
    </r>
    <r>
      <rPr>
        <sz val="10"/>
        <color theme="1"/>
        <rFont val="Century Schoolbook"/>
        <family val="1"/>
      </rPr>
      <t>1</t>
    </r>
    <r>
      <rPr>
        <sz val="10"/>
        <color theme="1"/>
        <rFont val="Arial Narrow"/>
        <family val="2"/>
      </rPr>
      <t xml:space="preserve"> TERA</t>
    </r>
  </si>
  <si>
    <r>
      <t xml:space="preserve">Ups Apc de </t>
    </r>
    <r>
      <rPr>
        <sz val="10"/>
        <color theme="1"/>
        <rFont val="Century Schoolbook"/>
        <family val="1"/>
      </rPr>
      <t>750</t>
    </r>
    <r>
      <rPr>
        <sz val="10"/>
        <color theme="1"/>
        <rFont val="Arial Narrow"/>
        <family val="2"/>
      </rPr>
      <t xml:space="preserve">va </t>
    </r>
    <r>
      <rPr>
        <sz val="10"/>
        <color theme="1"/>
        <rFont val="Century Schoolbook"/>
        <family val="1"/>
      </rPr>
      <t>450</t>
    </r>
    <r>
      <rPr>
        <sz val="10"/>
        <color theme="1"/>
        <rFont val="Arial Narrow"/>
        <family val="2"/>
      </rPr>
      <t xml:space="preserve">w </t>
    </r>
    <r>
      <rPr>
        <sz val="10"/>
        <color theme="1"/>
        <rFont val="Century Schoolbook"/>
        <family val="1"/>
      </rPr>
      <t>8</t>
    </r>
    <r>
      <rPr>
        <sz val="10"/>
        <color theme="1"/>
        <rFont val="Arial Narrow"/>
        <family val="2"/>
      </rPr>
      <t xml:space="preserve"> Tomas Regulador Protección Efectiva</t>
    </r>
  </si>
  <si>
    <r>
      <t>CONECTORES RJ</t>
    </r>
    <r>
      <rPr>
        <sz val="10"/>
        <color theme="1"/>
        <rFont val="Century Schoolbook"/>
        <family val="1"/>
      </rPr>
      <t>45</t>
    </r>
    <r>
      <rPr>
        <sz val="10"/>
        <color theme="1"/>
        <rFont val="Arial Narrow"/>
        <family val="2"/>
      </rPr>
      <t xml:space="preserve"> CATEGORIA </t>
    </r>
    <r>
      <rPr>
        <sz val="10"/>
        <color theme="1"/>
        <rFont val="Century Schoolbook"/>
        <family val="1"/>
      </rPr>
      <t>5</t>
    </r>
    <r>
      <rPr>
        <sz val="10"/>
        <color theme="1"/>
        <rFont val="Arial Narrow"/>
        <family val="2"/>
      </rPr>
      <t xml:space="preserve">E FUNDA DE </t>
    </r>
    <r>
      <rPr>
        <sz val="10"/>
        <color theme="1"/>
        <rFont val="Century Schoolbook"/>
        <family val="1"/>
      </rPr>
      <t>100</t>
    </r>
    <r>
      <rPr>
        <sz val="10"/>
        <color theme="1"/>
        <rFont val="Arial Narrow"/>
        <family val="2"/>
      </rPr>
      <t xml:space="preserve">
UNIDADES</t>
    </r>
  </si>
  <si>
    <t>Soporte de Techo para Proyector</t>
  </si>
  <si>
    <r>
      <t>PILAS PARA MAIMBOARD DE PC CR</t>
    </r>
    <r>
      <rPr>
        <sz val="10"/>
        <color theme="1"/>
        <rFont val="Century Schoolbook"/>
        <family val="1"/>
      </rPr>
      <t>2032</t>
    </r>
  </si>
  <si>
    <r>
      <t xml:space="preserve">Batería de Ups </t>
    </r>
    <r>
      <rPr>
        <sz val="10"/>
        <color theme="1"/>
        <rFont val="Century Schoolbook"/>
        <family val="1"/>
      </rPr>
      <t>12</t>
    </r>
    <r>
      <rPr>
        <sz val="10"/>
        <color theme="1"/>
        <rFont val="Arial Narrow"/>
        <family val="2"/>
      </rPr>
      <t>V</t>
    </r>
  </si>
  <si>
    <r>
      <t xml:space="preserve">Cargador Monitor LG </t>
    </r>
    <r>
      <rPr>
        <sz val="10"/>
        <color theme="1"/>
        <rFont val="Century Schoolbook"/>
        <family val="1"/>
      </rPr>
      <t>19</t>
    </r>
    <r>
      <rPr>
        <sz val="10"/>
        <color theme="1"/>
        <rFont val="Arial Narrow"/>
        <family val="2"/>
      </rPr>
      <t>v/</t>
    </r>
    <r>
      <rPr>
        <sz val="10"/>
        <color theme="1"/>
        <rFont val="Century Schoolbook"/>
        <family val="1"/>
      </rPr>
      <t>1.3</t>
    </r>
    <r>
      <rPr>
        <sz val="10"/>
        <color theme="1"/>
        <rFont val="Arial Narrow"/>
        <family val="2"/>
      </rPr>
      <t>A.</t>
    </r>
  </si>
  <si>
    <r>
      <t xml:space="preserve">Webcam Videoconferencia Hd </t>
    </r>
    <r>
      <rPr>
        <sz val="10"/>
        <color theme="1"/>
        <rFont val="Century Schoolbook"/>
        <family val="1"/>
      </rPr>
      <t>1080</t>
    </r>
    <r>
      <rPr>
        <sz val="10"/>
        <color theme="1"/>
        <rFont val="Arial Narrow"/>
        <family val="2"/>
      </rPr>
      <t>p</t>
    </r>
  </si>
  <si>
    <r>
      <t xml:space="preserve">DISCO DURO INTERNO USB </t>
    </r>
    <r>
      <rPr>
        <sz val="10"/>
        <color theme="1"/>
        <rFont val="Century Schoolbook"/>
        <family val="1"/>
      </rPr>
      <t>3.0</t>
    </r>
    <r>
      <rPr>
        <sz val="10"/>
        <color theme="1"/>
        <rFont val="Arial Narrow"/>
        <family val="2"/>
      </rPr>
      <t xml:space="preserve"> DE </t>
    </r>
    <r>
      <rPr>
        <sz val="10"/>
        <color theme="1"/>
        <rFont val="Century Schoolbook"/>
        <family val="1"/>
      </rPr>
      <t>1</t>
    </r>
    <r>
      <rPr>
        <sz val="10"/>
        <color theme="1"/>
        <rFont val="Arial Narrow"/>
        <family val="2"/>
      </rPr>
      <t xml:space="preserve"> TERA</t>
    </r>
  </si>
  <si>
    <r>
      <t xml:space="preserve">DISCO DURO EXTERNO USB </t>
    </r>
    <r>
      <rPr>
        <sz val="10"/>
        <color theme="1"/>
        <rFont val="Century Schoolbook"/>
        <family val="1"/>
      </rPr>
      <t>3.0</t>
    </r>
    <r>
      <rPr>
        <sz val="10"/>
        <color theme="1"/>
        <rFont val="Arial Narrow"/>
        <family val="2"/>
      </rPr>
      <t xml:space="preserve"> DE </t>
    </r>
    <r>
      <rPr>
        <sz val="10"/>
        <color theme="1"/>
        <rFont val="Century Schoolbook"/>
        <family val="1"/>
      </rPr>
      <t>1</t>
    </r>
    <r>
      <rPr>
        <sz val="10"/>
        <color theme="1"/>
        <rFont val="Arial Narrow"/>
        <family val="2"/>
      </rPr>
      <t xml:space="preserve"> TERA</t>
    </r>
  </si>
  <si>
    <r>
      <t xml:space="preserve">Disco duro solido de </t>
    </r>
    <r>
      <rPr>
        <sz val="10"/>
        <color theme="1"/>
        <rFont val="Century Schoolbook"/>
        <family val="1"/>
      </rPr>
      <t>2,5</t>
    </r>
    <r>
      <rPr>
        <sz val="10"/>
        <color theme="1"/>
        <rFont val="Arial Narrow"/>
        <family val="2"/>
      </rPr>
      <t xml:space="preserve"> para portatil de </t>
    </r>
    <r>
      <rPr>
        <sz val="10"/>
        <color theme="1"/>
        <rFont val="Century Schoolbook"/>
        <family val="1"/>
      </rPr>
      <t>500</t>
    </r>
    <r>
      <rPr>
        <sz val="10"/>
        <color theme="1"/>
        <rFont val="Arial Narrow"/>
        <family val="2"/>
      </rPr>
      <t>gb</t>
    </r>
  </si>
  <si>
    <r>
      <t xml:space="preserve">ELECTROBISTURI </t>
    </r>
    <r>
      <rPr>
        <sz val="10"/>
        <color theme="1"/>
        <rFont val="Century Schoolbook"/>
        <family val="1"/>
      </rPr>
      <t>200</t>
    </r>
    <r>
      <rPr>
        <sz val="10"/>
        <color theme="1"/>
        <rFont val="Arial Narrow"/>
        <family val="2"/>
      </rPr>
      <t xml:space="preserve"> WATS</t>
    </r>
  </si>
  <si>
    <r>
      <t xml:space="preserve">Ups Acp de </t>
    </r>
    <r>
      <rPr>
        <sz val="10"/>
        <color theme="1"/>
        <rFont val="Century Schoolbook"/>
        <family val="1"/>
      </rPr>
      <t>750</t>
    </r>
    <r>
      <rPr>
        <sz val="10"/>
        <color theme="1"/>
        <rFont val="Arial Narrow"/>
        <family val="2"/>
      </rPr>
      <t xml:space="preserve"> va </t>
    </r>
    <r>
      <rPr>
        <sz val="10"/>
        <color theme="1"/>
        <rFont val="Century Schoolbook"/>
        <family val="1"/>
      </rPr>
      <t>450</t>
    </r>
    <r>
      <rPr>
        <sz val="10"/>
        <color theme="1"/>
        <rFont val="Arial Narrow"/>
        <family val="2"/>
      </rPr>
      <t xml:space="preserve"> w </t>
    </r>
    <r>
      <rPr>
        <sz val="10"/>
        <color theme="1"/>
        <rFont val="Century Schoolbook"/>
        <family val="1"/>
      </rPr>
      <t>8</t>
    </r>
    <r>
      <rPr>
        <sz val="10"/>
        <color theme="1"/>
        <rFont val="Arial Narrow"/>
        <family val="2"/>
      </rPr>
      <t xml:space="preserve"> tomas regulador protección</t>
    </r>
  </si>
  <si>
    <r>
      <t xml:space="preserve">Balanza digital portátil sensibilidad </t>
    </r>
    <r>
      <rPr>
        <sz val="10"/>
        <color theme="1"/>
        <rFont val="Century Schoolbook"/>
        <family val="1"/>
      </rPr>
      <t>0.01</t>
    </r>
    <r>
      <rPr>
        <sz val="10"/>
        <color theme="1"/>
        <rFont val="Arial Narrow"/>
        <family val="2"/>
      </rPr>
      <t xml:space="preserve"> g hasta </t>
    </r>
    <r>
      <rPr>
        <sz val="10"/>
        <color theme="1"/>
        <rFont val="Century Schoolbook"/>
        <family val="1"/>
      </rPr>
      <t>500</t>
    </r>
    <r>
      <rPr>
        <sz val="10"/>
        <color theme="1"/>
        <rFont val="Arial Narrow"/>
        <family val="2"/>
      </rPr>
      <t xml:space="preserve"> g</t>
    </r>
  </si>
  <si>
    <r>
      <t xml:space="preserve">BALANZA ANALÍTICA DE </t>
    </r>
    <r>
      <rPr>
        <sz val="10"/>
        <color theme="1"/>
        <rFont val="Century Schoolbook"/>
        <family val="1"/>
      </rPr>
      <t>3</t>
    </r>
    <r>
      <rPr>
        <sz val="10"/>
        <color theme="1"/>
        <rFont val="Arial Narrow"/>
        <family val="2"/>
      </rPr>
      <t xml:space="preserve"> DECIMALES</t>
    </r>
  </si>
  <si>
    <r>
      <t>MEDIDOR DE PH MESA ±</t>
    </r>
    <r>
      <rPr>
        <sz val="10"/>
        <color theme="1"/>
        <rFont val="Century Schoolbook"/>
        <family val="1"/>
      </rPr>
      <t>0.002</t>
    </r>
    <r>
      <rPr>
        <sz val="10"/>
        <color theme="1"/>
        <rFont val="Arial Narrow"/>
        <family val="2"/>
      </rPr>
      <t xml:space="preserve"> pH</t>
    </r>
  </si>
  <si>
    <r>
      <t xml:space="preserve">COCINETA </t>
    </r>
    <r>
      <rPr>
        <sz val="10"/>
        <color theme="1"/>
        <rFont val="Century Schoolbook"/>
        <family val="1"/>
      </rPr>
      <t>2</t>
    </r>
    <r>
      <rPr>
        <sz val="10"/>
        <color theme="1"/>
        <rFont val="Arial Narrow"/>
        <family val="2"/>
      </rPr>
      <t xml:space="preserve"> HORNILLAS </t>
    </r>
  </si>
  <si>
    <r>
      <t xml:space="preserve">BURETAS DE VIDRIOS </t>
    </r>
    <r>
      <rPr>
        <sz val="10"/>
        <color theme="1"/>
        <rFont val="Century Schoolbook"/>
        <family val="1"/>
      </rPr>
      <t>25</t>
    </r>
    <r>
      <rPr>
        <sz val="10"/>
        <color theme="1"/>
        <rFont val="Arial Narrow"/>
        <family val="2"/>
      </rPr>
      <t>ML</t>
    </r>
  </si>
  <si>
    <r>
      <t xml:space="preserve">MATRAZ AFORADO TAPAS PLASTICA </t>
    </r>
    <r>
      <rPr>
        <sz val="10"/>
        <color theme="1"/>
        <rFont val="Century Schoolbook"/>
        <family val="1"/>
      </rPr>
      <t>10</t>
    </r>
    <r>
      <rPr>
        <sz val="10"/>
        <color theme="1"/>
        <rFont val="Arial Narrow"/>
        <family val="2"/>
      </rPr>
      <t>ML</t>
    </r>
  </si>
  <si>
    <r>
      <t xml:space="preserve">MATRAZ AFORADO TAPAS PLASTICA </t>
    </r>
    <r>
      <rPr>
        <sz val="10"/>
        <color theme="1"/>
        <rFont val="Century Schoolbook"/>
        <family val="1"/>
      </rPr>
      <t>25</t>
    </r>
    <r>
      <rPr>
        <sz val="10"/>
        <color theme="1"/>
        <rFont val="Arial Narrow"/>
        <family val="2"/>
      </rPr>
      <t>ML</t>
    </r>
  </si>
  <si>
    <r>
      <t xml:space="preserve">MATRAZ AFORADO TAPAS PLASTICA </t>
    </r>
    <r>
      <rPr>
        <sz val="10"/>
        <color theme="1"/>
        <rFont val="Century Schoolbook"/>
        <family val="1"/>
      </rPr>
      <t>50</t>
    </r>
    <r>
      <rPr>
        <sz val="10"/>
        <color theme="1"/>
        <rFont val="Arial Narrow"/>
        <family val="2"/>
      </rPr>
      <t>ML</t>
    </r>
  </si>
  <si>
    <t>* Dr. Iván Ramírez Morales,  PhD.
  Decano FCA</t>
  </si>
  <si>
    <t>* Dr. Iván Ramírez Morales, PhD.
  Decano FCA
* Ing. Jessica Farias Jaén,
  Analista Administrativo de Decanato</t>
  </si>
  <si>
    <t>* Dr. Iván Ramírez Morales, Ph.D.
  Decano FCA
* Ab. Yomar Torres Machuca,
  Secretaria Abogada FCA
* Ing. Jessica Farias Jaén,
  Analista Administrativo de Decanato</t>
  </si>
  <si>
    <t>* Dr.Iván Ramírez Morales, PhD.
  Decano FCA
* Ing. Abrahan Cervantes Álava,
  Subdecano
* Miembros HCD
* Ab. Yomar Torres Machuca,
  Secretaria Abogada FCA
* Ing. Jessica Farias Jaén,
  Analista Administrativo de Decanato</t>
  </si>
  <si>
    <t>* Dr. Iván Ramírez Morales, PhD.
  Decano FCA
* Ing. Jessica Farias Jaén,
  Analista Administrativo de Decanato
* Lcdo. Javier Aguilar Vargas,
  Administrador de Bienes FCA</t>
  </si>
  <si>
    <t>* Dr. Iván Ramírez Morales, PhD.
  Decano FCA
* Ing. Jessica Farias Jaén,
  Analista Administrativo de Decanato
* Abg. Michelle Espinoza Sarmiento,
  Analista Administrativo Decanato</t>
  </si>
  <si>
    <t>* Dr. Iván Ramírez Morales,
  Decano FCA
* Ing. Jessica Farias Jaén,
  Analista Administrativo de Decanato
* Ab. Michelle Espinoza Sarmiento,
  Analista Administrativo de Decanato</t>
  </si>
  <si>
    <t>* Dr. Iván Ramírez Morales,  PhD.
* Decano FCA
* Ing. Jessica Farias Jaén,
  Analista Administrativo de Decanato
* Ab. Michelle Espinoza Sarmiento,
  Analista Administrativo de Decanato</t>
  </si>
  <si>
    <t>* Dr. Iván Ramírez Morales, PhD.
  Decano FCA
* Ing. Abrahan Cervantes Álava,
  Subdecano
* Miembros HCD
* Ab. Yomar Torres Machuca, Secretaria Abogada FCA
Ing. Jessica Farias Jaén, Analista Administrativo de Decanato</t>
  </si>
  <si>
    <t>* Dr.Iván Ramírez Morales, PhD.
  Decano FCA
* Ab. Yomar Torres Machuca,
  Secretaria Abogada FCA
* Ing. Jessica Farias Jaén,
  Analista Administrativo de Decanato</t>
  </si>
  <si>
    <t>* Dr. Iván Ramírez Morales, PhD.
* Decano FCA
* Ing. Abrahan Cervantes Álava,
  Subdecano
* Directores Académicos
* Personal Administrativo
* Ing. Jessica Farias Jaén,
  Analista Administrativo de Decanato</t>
  </si>
  <si>
    <t>* Dr. Iván Ramírez Morales,
  Decano FCA
* Ing. Jessica Farías Jaén,
  Analista Administrativo de Decanato FCA
* Lcdo. Javier Aguilar Vargas,
  Administrador de Bienes FCA
* Ab. Michelle Espinoza Sarmiento,
  Analista Administrativo de Decanato</t>
  </si>
  <si>
    <t>* Ing. Jessica Farias Jaén,
  Analista Administrativo de Decanato
* Ab. Michelle Espinoza Sarmiento,
  Analista Administrativo de Decanato</t>
  </si>
  <si>
    <t>* Ing. Abrahan Cervantes,
  Subdecano FCA
* Directores de Carrera
* Rosa Hernández,
  Analista Administrativo
* Romel López,
  Analista Académico</t>
  </si>
  <si>
    <t>* Ing. Abrahan Cervantes,
  Subdecano FCA
* Rosa Hernández,
  Analista Administrativo</t>
  </si>
  <si>
    <t>* Ing. Abrahan Cervantes,
  Subdecano FCA
* Rosa Hernandez,
  Analista Administrativo
* Integrantes Comisión</t>
  </si>
  <si>
    <t>* Ing. Abrahan Cervantes Alava,
  Subdecano
* Directores de Carreras
* Rosa Hernández,
  Analista Administrativo
* Romel López,
  Analista Académico</t>
  </si>
  <si>
    <t>* Ing. Abrahan Cervantes Alava,
  Subdecano
* Directores de Carreras
* Romel López,
  Analista Académico</t>
  </si>
  <si>
    <t>* Ing. Abrahan Cervantes Alava,
  Subdecano FCA</t>
  </si>
  <si>
    <t>* Ing. Abrahan Cervantes,
  Subdecano
* Directores de Carreras
* Romel López,
  Analista Academico
* Rosa Hernández,
  Analista Administrativo</t>
  </si>
  <si>
    <t>* Ing. Abrahan Cervantes Alava,
  Subdecano
* Directores de Carreras
* Rosa Hernández,
  Analista Administrativo</t>
  </si>
  <si>
    <t>* Dr. Mario Loaiza Armijos,
  ADMINISTRADOR DE LABORATORIO</t>
  </si>
  <si>
    <t>* Ing. Acuac. Wilmer Moreira Blacio,
  ADMINISTRADOR DE LABORATORIO</t>
  </si>
  <si>
    <t>* Ing. Acuac. Wilmer Moreira Blacio.
  ADMINISTRADOR DE LABORATORIO</t>
  </si>
  <si>
    <t>* Ing. Sist. Henry Aguilar Aguilar,
  ADMINISTRADOR SALAS TICS</t>
  </si>
  <si>
    <t>* Dr. Iván Ludeña Jimenez,
  ADMINISTRADOR LABORATORIO
* MVZ. Estrella Buele Duarte,
  TECNICO DOCENTE</t>
  </si>
  <si>
    <t>* Ing. Ana Luisa Castillo Ontaneda,
  ADMINISTRADOR DE LABORATORIO</t>
  </si>
  <si>
    <t>* Ing. Agr. Ivanna Gabriela Tuz Guncay,
  TÉCNICO DE LABORATORIO</t>
  </si>
  <si>
    <t>* Ing. Quim. Carlos Leonidas Pezo Jácome,
  TÉCNICO DOCENTE</t>
  </si>
  <si>
    <t>* Ing. Agr. Karen Geanella Miranda Ordóñez,
  TÉCNICO DE LABORATORIO</t>
  </si>
  <si>
    <t>* Blga. Mirka Maytee Quezada Morocho,
  ADMINISTRADORA DE LABORATORIO</t>
  </si>
  <si>
    <t>* Ing. Abrahan Cervantes Alava,
  Subdecano
* Directores de Carreras
* Romel López,
  Analista Académico
* Rosa Hernández,
  Analista Subdecanato</t>
  </si>
  <si>
    <t>* Ing. Abrahan Cervantes Alava,
  Subdecano FCA
* Rosa Hernández,
  Analista Administrativo</t>
  </si>
  <si>
    <t>* Rosa Hernández,
  Analista Administrativo
* Romel López,
  Analista Académico</t>
  </si>
  <si>
    <t>* Segundo Quinche,
  JEFE DE UMMOG
* Mayra Soto,
  Analista UMMOG</t>
  </si>
  <si>
    <t>* Segundo Quinche,
  JEFE DE UMMOG
* Mayra Soto,
  Analista Matrícula
* Glenda Velasco,
 Analista Administrativa
* Nadia Gallardo,
  Analista Estadística</t>
  </si>
  <si>
    <t>* Segundo Quinche,
  JEFE UMMOG
* Mayra Soto,
  Analista Matrícula
* Nadia Gallardo,
  Analista Estadística,
* Glenda Velasco,
  Analista Administrativa</t>
  </si>
  <si>
    <t>* Segundo Quinche,
  JEFE UMMOG
* Nadia Gallardo,
  Analista de Estadistica</t>
  </si>
  <si>
    <t>* Segundo Quinche,
  JEFE UMMOG
* Glenda Velasco,
  Analista Administrativa
* Nadia Gallardo,
  Analista de Estadistica</t>
  </si>
  <si>
    <t>* Segundo Quinche,
  JEFE UMMOG
* Glenda Velasco,
  Analista Administrativa</t>
  </si>
  <si>
    <t>* Segundo Quinche,
 JEFE UMMOG
* Glenda Velasco,
  Analista Administrativa
* Nadia Gallardo,
  Analista Estadística</t>
  </si>
  <si>
    <t>* Segundo Quinche,
  JEFE UMMOG
* Glenda Velasco,
  Analista Administrativa
* Mayra Soto,
  Analista de Matrícula
* Nadia Gallardo,
  Analista de Estadistica</t>
  </si>
  <si>
    <t>* Segundo Quinche,
  JEFE UMMOG,
* Mayra Soto,
  Analista Matrícula
* Nadia Gallardo,
  Analista Estadística</t>
  </si>
  <si>
    <t>* Segundo Quinche,
  Jefe de UMMOG
* Glenda Velasco,
  Analista Administrativa</t>
  </si>
  <si>
    <t>* Glenda Velasco
  Analista Administrativa</t>
  </si>
  <si>
    <t>* Dr. Ivan Ramirez Morales PhD.
  Decano FCA
* Abg. Yomar Torres Machuca,
  Secretaria Abogada FCA</t>
  </si>
  <si>
    <t>* Ab. Yomar Torres Machuca,
  Secretaria Abogada FCA</t>
  </si>
  <si>
    <t>* Ab. Yomar Torres Machuca,
  Secretaria Abogada FCA
* Ab. Luis Ernesto Barzallo Castañeda,
  Técnico de Archivo</t>
  </si>
  <si>
    <t>* Subdecano, Ing. Abrahan Cervantes
* Director Académico de Carrera, Ing. Patricio Quizhpe
* Analista Acadèmico, Ing. Romel Lopez
* Analista Administrativa, Lcda. Rosa Hernández</t>
  </si>
  <si>
    <t>* Director Académico de Carrera, Ing. Patricio Quizhpe
* Miembros del Comité de Evaluación de Carrera
* Analista Acadèmico, Ing. Romel López</t>
  </si>
  <si>
    <t>* Director Académico de Carrera, Ing. Patricio Quizhpe
* Analista Acadèmico, Ing. Romel López</t>
  </si>
  <si>
    <t>* Director Académico de Carrera, Ing. Patricio Quizhpe
* Responsable de los Colectivos
* Analista Acadèmico, Ing. Romel López</t>
  </si>
  <si>
    <t>* Subdecano, Ing. Abrahan Cervantes
* Director Académico de Carrera, Ing. Patricio Quizhpe
* Analista Acadèmico, Ing. Romel López
* Analista Administrativa, Lcda. Rosa Hernández</t>
  </si>
  <si>
    <t>* Director Académico de Carrera, Ing. Patricio Quizhpe
* Analista Académico, Ing. Romel López</t>
  </si>
  <si>
    <t>* Subdecano, Ing. Abrahan Cervantes
* Director Académico de Carrera, Ing. Edison Jaramillo
* Analista Acadèmico, Ing. Romel López
* Analista Administrativa, Lcda. Rosa Hernández</t>
  </si>
  <si>
    <t>* Director Académico de Carrera, Ing. Edison Jaramillo
* Miembros del Comité de Evaluación de Carrera
* Analista Acadèmico, Ing. Romel López</t>
  </si>
  <si>
    <t>* Director Académico de Carrera, Ing. Edison Jaramaillo
* Analista Acadèmico, Ing. Romel López</t>
  </si>
  <si>
    <t>* Director Académico de Carrera, Ing. Edison Jaramillo
* Analista Acadèmico, Ing. Romel López</t>
  </si>
  <si>
    <t>* Director Académico de Carrera, Ing. Edison Jaramillo
* Responsable de los Colectivos
* Analista Acadèmico, Ing. Romel López</t>
  </si>
  <si>
    <t>* Director Académico de Carrera, Ing. Edison Jaramillo
* Responsable de los Colectivos
* Analista Académico, Ing. Romel López</t>
  </si>
  <si>
    <t>* Director Académico de Carrera, Ing. Edison Jaramillo
* Analista Académico, Ing. Romel López</t>
  </si>
  <si>
    <t>* Director Académico de Carrera, Ing. Edison Jaramillo
 Analista Acadèmico, Ing. Romel López</t>
  </si>
  <si>
    <t>* Subdecano, Ing. Abrahan Cervantes
* Director Académico de Carrera, Ing. Paola Gálvez
* Analista Acadèmico, Ing. Romel López
* Analista Administrativa, Lcda. Rosa Hernández</t>
  </si>
  <si>
    <t>* Director Académico de Carrera, Ing. Paola Galvez
* Miembros del Comité de Evaluación de Carrera
* Analista Acadèmico, Ing. Romel López</t>
  </si>
  <si>
    <t>* Director Académico de Carrera, Ing. Paola Gálvez
* Analista Acadèmico, Ing. Romel López</t>
  </si>
  <si>
    <t>* Director Académico de Carrera, Ing. Paola Gálvez
* Responsable de los Colectivos
* Analista Acadèmico, Ing. Romel López</t>
  </si>
  <si>
    <t>* Director Académico de Carrera, Ing. Paola Gálvez
* Analista Académico, Ing. Romel López</t>
  </si>
  <si>
    <t>* Subdecano, Ing. Abrahan Cervantes
* Director Académico de Carrera, Dra. Lorena Zapata
* Analista Académico, Ing. Romel López
* Analista Administrativa, Lcda. Rosa Hernández</t>
  </si>
  <si>
    <t>* Director Académico de Carrera, Dra. Lorena Zapata
* Miembros del Comité de Evaluación de Carrera
* Analista Acadèmico, Ing. Romel López</t>
  </si>
  <si>
    <t>* Director Académico de Carrera, Dra. Lorena Zapata
* Analista Académico, Ing. Romel López</t>
  </si>
  <si>
    <t>* Director Académico de Carrera, Dra. Lorena Zapata
* Responsable de los Colectivos
* Analista Académico, Ing. Romel López</t>
  </si>
  <si>
    <t>* Subdecano, Ing. Abrahan Cervantes
* Director Académico de Carrera, Dra. Lorena Zapata
* Analista Acadèmico, Ing. Romel López
* Analista Administrativa, Lcda. Rosa Hernández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</si>
</sst>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 &quot;$&quot;* #,##0.00_ ;_ &quot;$&quot;* \-#,##0.00_ ;_ &quot;$&quot;* &quot;-&quot;??_ ;_ @_ "/>
    <numFmt numFmtId="43" formatCode="_ * #,##0.00_ ;_ * \-#,##0.00_ ;_ * &quot;-&quot;??_ ;_ @_ "/>
    <numFmt numFmtId="164" formatCode="#,##0.00&quot; &quot;;&quot;-&quot;#,##0.00&quot; &quot;"/>
    <numFmt numFmtId="165" formatCode="#,##0.00_ ;\-#,##0.00\ "/>
    <numFmt numFmtId="166" formatCode="#,##0.000000000"/>
    <numFmt numFmtId="167" formatCode="[$USD $]#,##0.00"/>
    <numFmt numFmtId="168" formatCode="&quot;$&quot;#,##0.00"/>
    <numFmt numFmtId="169" formatCode="&quot;$&quot;\ #,##0.00"/>
    <numFmt numFmtId="170" formatCode="_(&quot;$&quot;\ * #,##0.00_);_(&quot;$&quot;\ * \(#,##0.00\);_(&quot;$&quot;\ * &quot;-&quot;??_);_(@_)"/>
    <numFmt numFmtId="171" formatCode="0.00_ ;\-0.00\ "/>
    <numFmt numFmtId="172" formatCode="#,##0_ ;\-#,##0\ "/>
    <numFmt numFmtId="173" formatCode="#,##0.000"/>
    <numFmt numFmtId="174" formatCode="dd/mm/yyyy"/>
    <numFmt numFmtId="175" formatCode="#,##0.000000_ ;\-#,##0.000000\ "/>
    <numFmt numFmtId="176" formatCode="#,##0.0_ ;\-#,##0.0\ "/>
    <numFmt numFmtId="177" formatCode="0;[Red]0"/>
    <numFmt numFmtId="178" formatCode="yyyy\.mm\.dd"/>
  </numFmts>
  <fonts count="194">
    <font>
      <sz val="10"/>
      <color rgb="FF000000"/>
      <name val="Arial"/>
      <scheme val="minor"/>
    </font>
    <font>
      <sz val="11"/>
      <color theme="1"/>
      <name val="Arial"/>
      <family val="2"/>
      <scheme val="minor"/>
    </font>
    <font>
      <sz val="11"/>
      <color theme="1"/>
      <name val="Calibri"/>
    </font>
    <font>
      <sz val="10"/>
      <color theme="1"/>
      <name val="Calibri"/>
    </font>
    <font>
      <b/>
      <sz val="36"/>
      <color rgb="FF002060"/>
      <name val="Book Antiqua"/>
    </font>
    <font>
      <b/>
      <sz val="24"/>
      <color rgb="FF002060"/>
      <name val="Book Antiqua"/>
    </font>
    <font>
      <b/>
      <sz val="22"/>
      <color rgb="FF002060"/>
      <name val="Courgette"/>
    </font>
    <font>
      <sz val="12"/>
      <color theme="1"/>
      <name val="Calibri"/>
    </font>
    <font>
      <b/>
      <sz val="14"/>
      <color theme="1"/>
      <name val="Cambria"/>
    </font>
    <font>
      <b/>
      <sz val="24"/>
      <color rgb="FF0070C0"/>
      <name val="Book Antiqua"/>
    </font>
    <font>
      <b/>
      <sz val="18"/>
      <color rgb="FF0070C0"/>
      <name val="Book Antiqua"/>
    </font>
    <font>
      <b/>
      <sz val="11"/>
      <color theme="1"/>
      <name val="Arial Narrow"/>
    </font>
    <font>
      <b/>
      <sz val="12"/>
      <color theme="1"/>
      <name val="Arial Narrow"/>
    </font>
    <font>
      <sz val="12"/>
      <color theme="1"/>
      <name val="Arial Narrow"/>
    </font>
    <font>
      <sz val="11"/>
      <color theme="1"/>
      <name val="Arial Narrow"/>
    </font>
    <font>
      <sz val="10"/>
      <name val="Arial"/>
    </font>
    <font>
      <i/>
      <sz val="12"/>
      <color theme="1"/>
      <name val="Arial Narrow"/>
    </font>
    <font>
      <sz val="12"/>
      <color theme="1"/>
      <name val="Arial"/>
      <scheme val="minor"/>
    </font>
    <font>
      <b/>
      <sz val="12"/>
      <color rgb="FF002060"/>
      <name val="Arial Narrow"/>
    </font>
    <font>
      <b/>
      <sz val="11"/>
      <color theme="1"/>
      <name val="Calibri"/>
    </font>
    <font>
      <sz val="12"/>
      <color rgb="FF000000"/>
      <name val="Arial Narrow"/>
    </font>
    <font>
      <b/>
      <sz val="12"/>
      <color rgb="FF000000"/>
      <name val="Arial Narrow"/>
    </font>
    <font>
      <b/>
      <sz val="20"/>
      <color theme="1"/>
      <name val="Book Antiqua"/>
    </font>
    <font>
      <sz val="11"/>
      <color rgb="FF000000"/>
      <name val="Calibri"/>
    </font>
    <font>
      <b/>
      <sz val="10"/>
      <color rgb="FF000000"/>
      <name val="Arial Narrow"/>
    </font>
    <font>
      <sz val="10"/>
      <color rgb="FF000000"/>
      <name val="Arial Narrow"/>
    </font>
    <font>
      <sz val="10"/>
      <color theme="1"/>
      <name val="Arial Narrow"/>
    </font>
    <font>
      <sz val="10"/>
      <color theme="0"/>
      <name val="Arial Narrow"/>
    </font>
    <font>
      <b/>
      <sz val="10"/>
      <color theme="0"/>
      <name val="Arial Narrow"/>
    </font>
    <font>
      <b/>
      <sz val="11"/>
      <color rgb="FF000000"/>
      <name val="Arial Narrow"/>
    </font>
    <font>
      <sz val="11"/>
      <color rgb="FF000000"/>
      <name val="Arial Narrow"/>
    </font>
    <font>
      <b/>
      <sz val="11"/>
      <color theme="1"/>
      <name val="&quot;Arial Narrow&quot;"/>
    </font>
    <font>
      <sz val="11"/>
      <color theme="1"/>
      <name val="Arial"/>
    </font>
    <font>
      <sz val="10"/>
      <color theme="1"/>
      <name val="Arial"/>
      <scheme val="minor"/>
    </font>
    <font>
      <sz val="11"/>
      <color theme="1"/>
      <name val="Century Schoolbook"/>
    </font>
    <font>
      <b/>
      <sz val="11"/>
      <color theme="1"/>
      <name val="Century Schoolbook"/>
    </font>
    <font>
      <sz val="11"/>
      <color theme="1"/>
      <name val="&quot;Arial Narrow&quot;"/>
    </font>
    <font>
      <sz val="11"/>
      <color rgb="FF000000"/>
      <name val="&quot;Arial Narrow&quot;"/>
    </font>
    <font>
      <b/>
      <sz val="10"/>
      <color theme="1"/>
      <name val="Arial Narrow"/>
    </font>
    <font>
      <sz val="10"/>
      <color theme="1"/>
      <name val="Century Schoolbook"/>
    </font>
    <font>
      <sz val="10"/>
      <color theme="1"/>
      <name val="Arial Narrow"/>
    </font>
    <font>
      <sz val="8"/>
      <color theme="1"/>
      <name val="Arial Narrow"/>
    </font>
    <font>
      <sz val="8"/>
      <color theme="1"/>
      <name val="Calibri"/>
    </font>
    <font>
      <b/>
      <sz val="11"/>
      <color rgb="FF000000"/>
      <name val="Kali"/>
    </font>
    <font>
      <b/>
      <sz val="14"/>
      <color theme="1"/>
      <name val="Century Schoolbook"/>
    </font>
    <font>
      <b/>
      <sz val="12"/>
      <color theme="1"/>
      <name val="Calibri"/>
    </font>
    <font>
      <sz val="10"/>
      <color theme="1"/>
      <name val="Arial"/>
    </font>
    <font>
      <b/>
      <sz val="11"/>
      <color theme="1"/>
      <name val="Arial"/>
    </font>
    <font>
      <b/>
      <sz val="8"/>
      <color rgb="FF002060"/>
      <name val="Book Antiqua"/>
    </font>
    <font>
      <b/>
      <sz val="8"/>
      <color rgb="FF002060"/>
      <name val="Courgette"/>
    </font>
    <font>
      <b/>
      <sz val="8"/>
      <color rgb="FF0070C0"/>
      <name val="Book Antiqua"/>
    </font>
    <font>
      <b/>
      <sz val="8"/>
      <color theme="1"/>
      <name val="Book Antiqua"/>
    </font>
    <font>
      <sz val="11"/>
      <color theme="0"/>
      <name val="Arial Narrow"/>
    </font>
    <font>
      <b/>
      <sz val="11"/>
      <color theme="0"/>
      <name val="Arial Narrow"/>
    </font>
    <font>
      <b/>
      <sz val="12"/>
      <color theme="1"/>
      <name val="Century Schoolbook"/>
    </font>
    <font>
      <b/>
      <sz val="13"/>
      <color theme="1"/>
      <name val="Century Schoolbook"/>
    </font>
    <font>
      <sz val="12"/>
      <color theme="1"/>
      <name val="Century Schoolbook"/>
    </font>
    <font>
      <sz val="10"/>
      <color theme="1"/>
      <name val="Century Schoolbook"/>
    </font>
    <font>
      <sz val="24"/>
      <color theme="1"/>
      <name val="Calibri"/>
    </font>
    <font>
      <sz val="12"/>
      <color theme="1"/>
      <name val="Century"/>
    </font>
    <font>
      <sz val="8"/>
      <color theme="1"/>
      <name val="Century"/>
    </font>
    <font>
      <sz val="11"/>
      <color theme="1"/>
      <name val="Century"/>
    </font>
    <font>
      <sz val="10"/>
      <color theme="1"/>
      <name val="Century"/>
    </font>
    <font>
      <b/>
      <sz val="8"/>
      <color rgb="FF000000"/>
      <name val="Arial Narrow"/>
    </font>
    <font>
      <b/>
      <sz val="10"/>
      <color rgb="FFFF0000"/>
      <name val="Arial Narrow"/>
    </font>
    <font>
      <b/>
      <sz val="14"/>
      <color theme="1"/>
      <name val="Bodoni"/>
    </font>
    <font>
      <b/>
      <sz val="36"/>
      <color theme="0"/>
      <name val="Book Antiqua"/>
    </font>
    <font>
      <b/>
      <sz val="22"/>
      <color theme="0"/>
      <name val="Courgette"/>
    </font>
    <font>
      <b/>
      <sz val="20"/>
      <color rgb="FF0070C0"/>
      <name val="Book Antiqua"/>
    </font>
    <font>
      <b/>
      <sz val="20"/>
      <color theme="0"/>
      <name val="Book Antiqua"/>
    </font>
    <font>
      <sz val="12"/>
      <color theme="0"/>
      <name val="Calibri"/>
    </font>
    <font>
      <b/>
      <sz val="12"/>
      <color theme="0"/>
      <name val="Arial Narrow"/>
    </font>
    <font>
      <b/>
      <sz val="10"/>
      <color theme="1"/>
      <name val="Century Schoolbook"/>
    </font>
    <font>
      <sz val="10"/>
      <color theme="1"/>
      <name val="&quot;Arial Narrow&quot;"/>
    </font>
    <font>
      <sz val="10"/>
      <color rgb="FFFF0000"/>
      <name val="Arial Narrow"/>
    </font>
    <font>
      <b/>
      <sz val="14"/>
      <color rgb="FF002060"/>
      <name val="Cambria"/>
    </font>
    <font>
      <b/>
      <sz val="14"/>
      <color theme="1"/>
      <name val="Arial Narrow"/>
    </font>
    <font>
      <sz val="11"/>
      <color theme="1"/>
      <name val="&quot;Century Schoolbook&quot;"/>
    </font>
    <font>
      <sz val="11"/>
      <color rgb="FF002060"/>
      <name val="Calibri"/>
    </font>
    <font>
      <sz val="9"/>
      <color theme="1"/>
      <name val="Arial Narrow"/>
    </font>
    <font>
      <sz val="10"/>
      <color theme="1"/>
      <name val="&quot;Century Schoolbook&quot;"/>
    </font>
    <font>
      <sz val="12"/>
      <color theme="0"/>
      <name val="Arial Narrow"/>
    </font>
    <font>
      <sz val="10"/>
      <color theme="0"/>
      <name val="Calibri"/>
    </font>
    <font>
      <sz val="10"/>
      <color theme="0"/>
      <name val="Arial"/>
      <scheme val="minor"/>
    </font>
    <font>
      <sz val="11"/>
      <color theme="0"/>
      <name val="Calibri"/>
    </font>
    <font>
      <sz val="12"/>
      <color theme="1"/>
      <name val="Cambria"/>
    </font>
    <font>
      <sz val="11"/>
      <color theme="1"/>
      <name val="Cambria"/>
    </font>
    <font>
      <b/>
      <sz val="10"/>
      <color theme="1"/>
      <name val="Arial"/>
    </font>
    <font>
      <sz val="10"/>
      <color theme="1"/>
      <name val="Arial"/>
    </font>
    <font>
      <sz val="9"/>
      <color theme="1"/>
      <name val="Century Schoolbook"/>
    </font>
    <font>
      <b/>
      <sz val="9"/>
      <color theme="1"/>
      <name val="Century Schoolbook"/>
    </font>
    <font>
      <sz val="9"/>
      <color theme="1"/>
      <name val="Arial"/>
    </font>
    <font>
      <sz val="10"/>
      <color rgb="FF000000"/>
      <name val="Calibri"/>
    </font>
    <font>
      <b/>
      <sz val="14"/>
      <color theme="0"/>
      <name val="Cambria"/>
    </font>
    <font>
      <sz val="10"/>
      <color rgb="FF00468C"/>
      <name val="Arial Narrow"/>
    </font>
    <font>
      <b/>
      <sz val="10"/>
      <color rgb="FF00468C"/>
      <name val="Arial Narrow"/>
    </font>
    <font>
      <sz val="10"/>
      <color rgb="FF434343"/>
      <name val="Arial Narrow"/>
    </font>
    <font>
      <b/>
      <sz val="8"/>
      <color theme="1"/>
      <name val="Century Schoolbook"/>
    </font>
    <font>
      <sz val="10"/>
      <color rgb="FF00468C"/>
      <name val="Century Schoolbook"/>
    </font>
    <font>
      <sz val="12"/>
      <color rgb="FFFF0000"/>
      <name val="Century Schoolbook"/>
    </font>
    <font>
      <b/>
      <sz val="10"/>
      <color theme="1"/>
      <name val="Calibri"/>
    </font>
    <font>
      <sz val="11"/>
      <color rgb="FFFF0000"/>
      <name val="Arial Narrow"/>
    </font>
    <font>
      <b/>
      <i/>
      <sz val="12"/>
      <color theme="1"/>
      <name val="Arial Narrow"/>
    </font>
    <font>
      <b/>
      <sz val="11"/>
      <color rgb="FFFF0000"/>
      <name val="Arial Narrow"/>
    </font>
    <font>
      <sz val="11"/>
      <color rgb="FF000000"/>
      <name val="Century Schoolbook"/>
    </font>
    <font>
      <sz val="11"/>
      <color theme="1"/>
      <name val="&quot;Arial Narrow&quot;, Arial"/>
    </font>
    <font>
      <sz val="11"/>
      <color rgb="FF000000"/>
      <name val="&quot;Arial Narrow&quot;, Arial"/>
    </font>
    <font>
      <i/>
      <sz val="10"/>
      <color theme="1"/>
      <name val="Arial Narrow"/>
    </font>
    <font>
      <sz val="10"/>
      <color rgb="FF000000"/>
      <name val="Cambria"/>
    </font>
    <font>
      <b/>
      <sz val="9"/>
      <color theme="1"/>
      <name val="Arial"/>
    </font>
    <font>
      <sz val="10"/>
      <color rgb="FF000000"/>
      <name val="Brush Script MT"/>
      <family val="4"/>
    </font>
    <font>
      <b/>
      <sz val="20"/>
      <color rgb="FF002060"/>
      <name val="Brush Script MT"/>
      <family val="4"/>
    </font>
    <font>
      <b/>
      <sz val="22"/>
      <color rgb="FF002060"/>
      <name val="Brush Script MT"/>
      <family val="4"/>
    </font>
    <font>
      <sz val="10"/>
      <color rgb="FF000000"/>
      <name val="Century Schoolbook"/>
      <family val="1"/>
    </font>
    <font>
      <sz val="10"/>
      <color rgb="FF000000"/>
      <name val="Arial Narrow"/>
      <family val="2"/>
    </font>
    <font>
      <sz val="11"/>
      <color theme="1"/>
      <name val="Arial Narrow"/>
      <family val="2"/>
    </font>
    <font>
      <sz val="11"/>
      <color rgb="FF000000"/>
      <name val="Arial Narrow"/>
      <family val="2"/>
    </font>
    <font>
      <sz val="12"/>
      <color theme="1"/>
      <name val="Century Schoolbook"/>
      <family val="1"/>
    </font>
    <font>
      <sz val="12"/>
      <name val="Century Schoolbook"/>
      <family val="1"/>
    </font>
    <font>
      <sz val="12"/>
      <color rgb="FF000000"/>
      <name val="Century Schoolbook"/>
      <family val="1"/>
    </font>
    <font>
      <b/>
      <sz val="10"/>
      <color rgb="FF000000"/>
      <name val="Century Schoolbook"/>
      <family val="1"/>
    </font>
    <font>
      <sz val="10"/>
      <color theme="0"/>
      <name val="Century Schoolbook"/>
      <family val="1"/>
    </font>
    <font>
      <b/>
      <sz val="12"/>
      <color rgb="FF000000"/>
      <name val="Century Schoolbook"/>
      <family val="1"/>
    </font>
    <font>
      <sz val="12"/>
      <color theme="0"/>
      <name val="Century Schoolbook"/>
      <family val="1"/>
    </font>
    <font>
      <b/>
      <sz val="12"/>
      <color theme="0"/>
      <name val="Century Schoolbook"/>
      <family val="1"/>
    </font>
    <font>
      <sz val="10"/>
      <name val="Arial Narrow"/>
      <family val="2"/>
    </font>
    <font>
      <sz val="10"/>
      <color theme="1"/>
      <name val="Arial Narrow"/>
      <family val="2"/>
    </font>
    <font>
      <sz val="11"/>
      <color theme="1"/>
      <name val="Century Schoolbook"/>
      <family val="1"/>
    </font>
    <font>
      <sz val="18"/>
      <name val="Arial"/>
      <family val="2"/>
    </font>
    <font>
      <b/>
      <sz val="9"/>
      <color theme="1"/>
      <name val="Century Schoolbook"/>
      <family val="1"/>
    </font>
    <font>
      <sz val="9"/>
      <color theme="1"/>
      <name val="Century Schoolbook"/>
      <family val="1"/>
    </font>
    <font>
      <sz val="10"/>
      <color theme="1"/>
      <name val="Century Schoolbook"/>
      <family val="1"/>
    </font>
    <font>
      <b/>
      <sz val="11"/>
      <color theme="1"/>
      <name val="Century Schoolbook"/>
      <family val="1"/>
    </font>
    <font>
      <sz val="11"/>
      <color rgb="FF000000"/>
      <name val="Century Schoolbook"/>
      <family val="1"/>
    </font>
    <font>
      <b/>
      <sz val="10"/>
      <color theme="1"/>
      <name val="Arial Narrow"/>
      <family val="2"/>
    </font>
    <font>
      <b/>
      <sz val="10"/>
      <color theme="1"/>
      <name val="Century Schoolbook"/>
      <family val="1"/>
    </font>
    <font>
      <b/>
      <sz val="12"/>
      <color theme="1"/>
      <name val="Century Schoolbook"/>
      <family val="1"/>
    </font>
    <font>
      <b/>
      <sz val="11"/>
      <color theme="1"/>
      <name val="Arial Narrow"/>
      <family val="2"/>
    </font>
    <font>
      <b/>
      <sz val="9"/>
      <color rgb="FF000000"/>
      <name val="Century Schoolbook"/>
      <family val="1"/>
    </font>
    <font>
      <b/>
      <sz val="10"/>
      <color rgb="FF000000"/>
      <name val="Arial Narrow"/>
      <family val="2"/>
    </font>
    <font>
      <sz val="10"/>
      <name val="Arial"/>
      <family val="2"/>
    </font>
    <font>
      <sz val="11"/>
      <color indexed="8"/>
      <name val="Calibri"/>
      <family val="2"/>
    </font>
    <font>
      <b/>
      <sz val="14"/>
      <color theme="1"/>
      <name val="Cambria"/>
      <family val="1"/>
    </font>
    <font>
      <b/>
      <sz val="14"/>
      <color rgb="FF002060"/>
      <name val="Cambria"/>
      <family val="1"/>
    </font>
    <font>
      <b/>
      <sz val="14"/>
      <name val="Cambria"/>
      <family val="1"/>
    </font>
    <font>
      <sz val="12"/>
      <color theme="1"/>
      <name val="Cambria"/>
      <family val="1"/>
    </font>
    <font>
      <sz val="10"/>
      <color indexed="8"/>
      <name val="Cambria"/>
      <family val="1"/>
    </font>
    <font>
      <sz val="11"/>
      <color theme="1"/>
      <name val="Cambria"/>
      <family val="1"/>
    </font>
    <font>
      <sz val="9"/>
      <color indexed="81"/>
      <name val="Tahoma"/>
      <family val="2"/>
    </font>
    <font>
      <b/>
      <sz val="14"/>
      <color rgb="FF000000"/>
      <name val="Bodoni MT"/>
      <family val="1"/>
    </font>
    <font>
      <sz val="14"/>
      <name val="Bodoni MT"/>
      <family val="1"/>
    </font>
    <font>
      <b/>
      <sz val="14"/>
      <name val="Bodoni MT"/>
      <family val="1"/>
    </font>
    <font>
      <b/>
      <sz val="14"/>
      <color theme="1"/>
      <name val="Bodoni MT"/>
      <family val="1"/>
    </font>
    <font>
      <sz val="14"/>
      <color rgb="FF000000"/>
      <name val="Bodoni MT"/>
      <family val="1"/>
    </font>
    <font>
      <b/>
      <sz val="11"/>
      <color rgb="FFFF0000"/>
      <name val="Arial Narrow"/>
      <family val="2"/>
    </font>
    <font>
      <sz val="11"/>
      <color rgb="FF000000"/>
      <name val="Arial"/>
      <family val="2"/>
      <scheme val="minor"/>
    </font>
    <font>
      <sz val="11"/>
      <name val="Arial"/>
      <family val="2"/>
    </font>
    <font>
      <sz val="10"/>
      <name val="Century Schoolbook"/>
      <family val="1"/>
    </font>
    <font>
      <sz val="10"/>
      <name val="Calibri"/>
      <family val="2"/>
    </font>
    <font>
      <sz val="11"/>
      <name val="Century Schoolbook"/>
      <family val="1"/>
    </font>
    <font>
      <sz val="12"/>
      <name val="Arial"/>
      <family val="2"/>
    </font>
    <font>
      <b/>
      <sz val="12"/>
      <name val="Arial Narrow"/>
      <family val="2"/>
    </font>
    <font>
      <b/>
      <sz val="12"/>
      <name val="Century Schoolbook"/>
      <family val="1"/>
    </font>
    <font>
      <b/>
      <sz val="11"/>
      <name val="Arial Narrow"/>
      <family val="2"/>
    </font>
    <font>
      <b/>
      <sz val="11"/>
      <name val="Arial"/>
      <family val="2"/>
    </font>
    <font>
      <sz val="10"/>
      <name val="Arial"/>
      <family val="2"/>
      <scheme val="minor"/>
    </font>
    <font>
      <sz val="11"/>
      <name val="Arial Narrow"/>
      <family val="2"/>
    </font>
    <font>
      <sz val="11"/>
      <name val="Calibri"/>
      <family val="2"/>
    </font>
    <font>
      <b/>
      <sz val="10"/>
      <name val="Calibri"/>
      <family val="2"/>
    </font>
    <font>
      <b/>
      <sz val="11"/>
      <name val="Century Schoolbook"/>
      <family val="1"/>
    </font>
    <font>
      <sz val="11"/>
      <name val="&quot;Arial Narrow&quot;"/>
    </font>
    <font>
      <b/>
      <sz val="11"/>
      <name val="&quot;Arial Narrow&quot;"/>
    </font>
    <font>
      <sz val="14"/>
      <name val="Century Schoolbook"/>
      <family val="1"/>
    </font>
    <font>
      <b/>
      <sz val="11"/>
      <color rgb="FF000000"/>
      <name val="Century Schoolbook"/>
      <family val="1"/>
    </font>
    <font>
      <b/>
      <sz val="11"/>
      <color theme="1"/>
      <name val="Cambria"/>
      <family val="1"/>
    </font>
    <font>
      <sz val="10"/>
      <color rgb="FF000000"/>
      <name val="Cambria"/>
      <family val="1"/>
    </font>
    <font>
      <sz val="10"/>
      <name val="Cambria"/>
      <family val="1"/>
    </font>
    <font>
      <sz val="14"/>
      <color rgb="FF000000"/>
      <name val="Cambria"/>
      <family val="1"/>
    </font>
    <font>
      <b/>
      <sz val="11"/>
      <name val="Cambria"/>
      <family val="1"/>
    </font>
    <font>
      <b/>
      <sz val="11"/>
      <color rgb="FF002060"/>
      <name val="Cambria"/>
      <family val="1"/>
    </font>
    <font>
      <sz val="14"/>
      <name val="Cambria"/>
      <family val="1"/>
    </font>
    <font>
      <sz val="10"/>
      <color rgb="FF002060"/>
      <name val="Cambria"/>
      <family val="1"/>
    </font>
    <font>
      <b/>
      <sz val="24"/>
      <color rgb="FF0070C0"/>
      <name val="Book Antiqua"/>
      <family val="1"/>
    </font>
    <font>
      <b/>
      <sz val="10"/>
      <color rgb="FFFF0000"/>
      <name val="Arial Narrow"/>
      <family val="2"/>
    </font>
    <font>
      <sz val="10"/>
      <color rgb="FFFF0000"/>
      <name val="Arial Narrow"/>
      <family val="2"/>
    </font>
    <font>
      <b/>
      <sz val="9"/>
      <color indexed="81"/>
      <name val="Tahoma"/>
      <family val="2"/>
    </font>
    <font>
      <b/>
      <sz val="10"/>
      <name val="Arial Narrow"/>
      <family val="2"/>
    </font>
    <font>
      <b/>
      <sz val="9"/>
      <name val="Century Schoolbook"/>
      <family val="1"/>
    </font>
    <font>
      <sz val="12"/>
      <color theme="1"/>
      <name val="Arial Narrow"/>
      <family val="2"/>
    </font>
    <font>
      <sz val="11"/>
      <color theme="0"/>
      <name val="Arial Narrow"/>
      <family val="2"/>
    </font>
    <font>
      <b/>
      <u/>
      <sz val="10"/>
      <color theme="1"/>
      <name val="Arial Narrow"/>
      <family val="2"/>
    </font>
    <font>
      <b/>
      <sz val="12"/>
      <color theme="1"/>
      <name val="Arial Narrow"/>
      <family val="2"/>
    </font>
    <font>
      <b/>
      <sz val="12"/>
      <color rgb="FF002060"/>
      <name val="Arial Narrow"/>
      <family val="2"/>
    </font>
    <font>
      <sz val="10"/>
      <color rgb="FFFF0000"/>
      <name val="Century Schoolbook"/>
      <family val="1"/>
    </font>
  </fonts>
  <fills count="33">
    <fill>
      <patternFill patternType="none"/>
    </fill>
    <fill>
      <patternFill patternType="gray125"/>
    </fill>
    <fill>
      <patternFill patternType="solid">
        <fgColor rgb="FFFABF8F"/>
        <bgColor rgb="FFFABF8F"/>
      </patternFill>
    </fill>
    <fill>
      <patternFill patternType="solid">
        <fgColor rgb="FFFFFFFF"/>
        <bgColor rgb="FFFFFFFF"/>
      </patternFill>
    </fill>
    <fill>
      <patternFill patternType="solid">
        <fgColor theme="0"/>
        <bgColor theme="0"/>
      </patternFill>
    </fill>
    <fill>
      <patternFill patternType="solid">
        <fgColor rgb="FF9BBB59"/>
        <bgColor rgb="FF9BBB59"/>
      </patternFill>
    </fill>
    <fill>
      <patternFill patternType="solid">
        <fgColor rgb="FFD99594"/>
        <bgColor rgb="FFD99594"/>
      </patternFill>
    </fill>
    <fill>
      <patternFill patternType="solid">
        <fgColor rgb="FFB8CCE4"/>
        <bgColor rgb="FFB8CCE4"/>
      </patternFill>
    </fill>
    <fill>
      <patternFill patternType="solid">
        <fgColor rgb="FFFBD4B4"/>
        <bgColor rgb="FFFBD4B4"/>
      </patternFill>
    </fill>
    <fill>
      <patternFill patternType="solid">
        <fgColor rgb="FFC2D69B"/>
        <bgColor rgb="FFC2D69B"/>
      </patternFill>
    </fill>
    <fill>
      <patternFill patternType="solid">
        <fgColor rgb="FFE5B8B7"/>
        <bgColor rgb="FFE5B8B7"/>
      </patternFill>
    </fill>
    <fill>
      <patternFill patternType="solid">
        <fgColor rgb="FFDBE5F1"/>
        <bgColor rgb="FFDBE5F1"/>
      </patternFill>
    </fill>
    <fill>
      <patternFill patternType="solid">
        <fgColor rgb="FFFDE9D9"/>
        <bgColor rgb="FFFDE9D9"/>
      </patternFill>
    </fill>
    <fill>
      <patternFill patternType="solid">
        <fgColor rgb="FFF3F3F3"/>
        <bgColor rgb="FFF3F3F3"/>
      </patternFill>
    </fill>
    <fill>
      <patternFill patternType="solid">
        <fgColor rgb="FFFFFF00"/>
        <bgColor rgb="FFFFFF00"/>
      </patternFill>
    </fill>
    <fill>
      <patternFill patternType="solid">
        <fgColor rgb="FFEEECE1"/>
        <bgColor rgb="FFEEECE1"/>
      </patternFill>
    </fill>
    <fill>
      <patternFill patternType="solid">
        <fgColor theme="9"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79998168889431442"/>
        <bgColor rgb="FFFFF2CC"/>
      </patternFill>
    </fill>
    <fill>
      <patternFill patternType="solid">
        <fgColor theme="9" tint="0.39997558519241921"/>
        <bgColor rgb="FFFABF8F"/>
      </patternFill>
    </fill>
    <fill>
      <patternFill patternType="solid">
        <fgColor theme="9" tint="0.39997558519241921"/>
        <bgColor theme="0"/>
      </patternFill>
    </fill>
    <fill>
      <patternFill patternType="solid">
        <fgColor rgb="FFFFFFCC"/>
        <bgColor rgb="FFF3F3F3"/>
      </patternFill>
    </fill>
    <fill>
      <patternFill patternType="solid">
        <fgColor rgb="FFFFFFCC"/>
        <bgColor indexed="64"/>
      </patternFill>
    </fill>
    <fill>
      <patternFill patternType="solid">
        <fgColor rgb="FFFFFFCC"/>
        <bgColor theme="0"/>
      </patternFill>
    </fill>
    <fill>
      <patternFill patternType="solid">
        <fgColor theme="9" tint="0.59999389629810485"/>
        <bgColor rgb="FFFBD4B4"/>
      </patternFill>
    </fill>
    <fill>
      <patternFill patternType="solid">
        <fgColor theme="9" tint="0.79998168889431442"/>
        <bgColor rgb="FFFDE9D9"/>
      </patternFill>
    </fill>
  </fills>
  <borders count="949">
    <border>
      <left/>
      <right/>
      <top/>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bottom style="hair">
        <color rgb="FF000000"/>
      </bottom>
      <diagonal/>
    </border>
    <border>
      <left/>
      <right/>
      <top/>
      <bottom/>
      <diagonal/>
    </border>
    <border>
      <left style="double">
        <color rgb="FF000000"/>
      </left>
      <right/>
      <top style="double">
        <color rgb="FF000000"/>
      </top>
      <bottom/>
      <diagonal/>
    </border>
    <border>
      <left style="thin">
        <color rgb="FF4D5D2C"/>
      </left>
      <right/>
      <top style="double">
        <color rgb="FF000000"/>
      </top>
      <bottom style="thin">
        <color rgb="FF4D5D2C"/>
      </bottom>
      <diagonal/>
    </border>
    <border>
      <left/>
      <right style="thin">
        <color rgb="FF602826"/>
      </right>
      <top style="double">
        <color rgb="FF000000"/>
      </top>
      <bottom style="thin">
        <color rgb="FF4D5D2C"/>
      </bottom>
      <diagonal/>
    </border>
    <border>
      <left style="double">
        <color rgb="FF000000"/>
      </left>
      <right/>
      <top/>
      <bottom/>
      <diagonal/>
    </border>
    <border>
      <left style="double">
        <color rgb="FF000000"/>
      </left>
      <right/>
      <top style="medium">
        <color rgb="FF000000"/>
      </top>
      <bottom/>
      <diagonal/>
    </border>
    <border>
      <left style="medium">
        <color rgb="FF000000"/>
      </left>
      <right style="thin">
        <color rgb="FFBFBFBF"/>
      </right>
      <top style="medium">
        <color rgb="FF000000"/>
      </top>
      <bottom/>
      <diagonal/>
    </border>
    <border>
      <left style="thin">
        <color rgb="FFBFBFBF"/>
      </left>
      <right style="thin">
        <color rgb="FFBFBFBF"/>
      </right>
      <top style="medium">
        <color rgb="FF000000"/>
      </top>
      <bottom/>
      <diagonal/>
    </border>
    <border>
      <left style="thin">
        <color rgb="FFBFBFBF"/>
      </left>
      <right style="medium">
        <color rgb="FF000000"/>
      </right>
      <top style="medium">
        <color rgb="FF000000"/>
      </top>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bottom/>
      <diagonal/>
    </border>
    <border>
      <left style="thin">
        <color rgb="FFBFBFBF"/>
      </left>
      <right style="thin">
        <color rgb="FFBFBFBF"/>
      </right>
      <top/>
      <bottom/>
      <diagonal/>
    </border>
    <border>
      <left style="thin">
        <color rgb="FFBFBFBF"/>
      </left>
      <right style="medium">
        <color rgb="FF000000"/>
      </right>
      <top/>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medium">
        <color rgb="FF000000"/>
      </right>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000000"/>
      </top>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000000"/>
      </top>
      <bottom/>
      <diagonal/>
    </border>
    <border>
      <left style="medium">
        <color rgb="FF000000"/>
      </left>
      <right style="thin">
        <color rgb="FFBFBFBF"/>
      </right>
      <top style="thin">
        <color rgb="FF000000"/>
      </top>
      <bottom style="thin">
        <color rgb="FFBFBFBF"/>
      </bottom>
      <diagonal/>
    </border>
    <border>
      <left style="thin">
        <color rgb="FFBFBFBF"/>
      </left>
      <right style="thin">
        <color rgb="FFBFBFBF"/>
      </right>
      <top style="thin">
        <color rgb="FF000000"/>
      </top>
      <bottom style="thin">
        <color rgb="FFBFBFBF"/>
      </bottom>
      <diagonal/>
    </border>
    <border>
      <left style="medium">
        <color rgb="FF000000"/>
      </left>
      <right style="thin">
        <color rgb="FFBFBFBF"/>
      </right>
      <top/>
      <bottom style="thin">
        <color rgb="FFBFBFBF"/>
      </bottom>
      <diagonal/>
    </border>
    <border>
      <left style="thin">
        <color rgb="FFBFBFBF"/>
      </left>
      <right style="thin">
        <color rgb="FFBFBFBF"/>
      </right>
      <top/>
      <bottom/>
      <diagonal/>
    </border>
    <border>
      <left style="thin">
        <color rgb="FFBFBFBF"/>
      </left>
      <right style="thin">
        <color rgb="FFBFBFBF"/>
      </right>
      <top style="thin">
        <color rgb="FFBFBFBF"/>
      </top>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style="thin">
        <color rgb="FFCCCCCC"/>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right style="thin">
        <color rgb="FFBFBFBF"/>
      </right>
      <top/>
      <bottom style="thin">
        <color rgb="FFBFBFBF"/>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double">
        <color rgb="FF000000"/>
      </left>
      <right/>
      <top/>
      <bottom style="double">
        <color rgb="FF000000"/>
      </bottom>
      <diagonal/>
    </border>
    <border>
      <left/>
      <right/>
      <top/>
      <bottom style="double">
        <color rgb="FF000000"/>
      </bottom>
      <diagonal/>
    </border>
    <border>
      <left/>
      <right style="thin">
        <color rgb="FFB97034"/>
      </right>
      <top/>
      <bottom style="double">
        <color rgb="FF000000"/>
      </bottom>
      <diagonal/>
    </border>
    <border>
      <left style="thin">
        <color rgb="FFB97034"/>
      </left>
      <right style="thin">
        <color rgb="FFB97034"/>
      </right>
      <top/>
      <bottom style="double">
        <color rgb="FF000000"/>
      </bottom>
      <diagonal/>
    </border>
    <border>
      <left style="thin">
        <color rgb="FFB97034"/>
      </left>
      <right/>
      <top/>
      <bottom style="double">
        <color rgb="FF000000"/>
      </bottom>
      <diagonal/>
    </border>
    <border>
      <left/>
      <right style="double">
        <color rgb="FF000000"/>
      </right>
      <top/>
      <bottom style="double">
        <color rgb="FF000000"/>
      </bottom>
      <diagonal/>
    </border>
    <border>
      <left/>
      <right/>
      <top/>
      <bottom/>
      <diagonal/>
    </border>
    <border>
      <left/>
      <right/>
      <top/>
      <bottom/>
      <diagonal/>
    </border>
    <border>
      <left/>
      <right/>
      <top/>
      <bottom/>
      <diagonal/>
    </border>
    <border>
      <left style="double">
        <color rgb="FF000000"/>
      </left>
      <right/>
      <top style="thin">
        <color rgb="FF000000"/>
      </top>
      <bottom style="double">
        <color rgb="FF000000"/>
      </bottom>
      <diagonal/>
    </border>
    <border>
      <left/>
      <right/>
      <top style="double">
        <color rgb="FF000000"/>
      </top>
      <bottom/>
      <diagonal/>
    </border>
    <border>
      <left/>
      <right style="double">
        <color rgb="FF000000"/>
      </right>
      <top style="double">
        <color rgb="FF000000"/>
      </top>
      <bottom/>
      <diagonal/>
    </border>
    <border>
      <left/>
      <right/>
      <top/>
      <bottom/>
      <diagonal/>
    </border>
    <border>
      <left style="double">
        <color rgb="FF000000"/>
      </left>
      <right/>
      <top/>
      <bottom style="dotted">
        <color rgb="FFB7B7B7"/>
      </bottom>
      <diagonal/>
    </border>
    <border>
      <left/>
      <right/>
      <top/>
      <bottom style="dotted">
        <color rgb="FFB7B7B7"/>
      </bottom>
      <diagonal/>
    </border>
    <border>
      <left/>
      <right style="double">
        <color rgb="FF000000"/>
      </right>
      <top/>
      <bottom style="dotted">
        <color rgb="FFB7B7B7"/>
      </bottom>
      <diagonal/>
    </border>
    <border>
      <left style="double">
        <color rgb="FF000000"/>
      </left>
      <right/>
      <top style="dotted">
        <color rgb="FFB7B7B7"/>
      </top>
      <bottom style="dotted">
        <color rgb="FFB7B7B7"/>
      </bottom>
      <diagonal/>
    </border>
    <border>
      <left/>
      <right/>
      <top style="dotted">
        <color rgb="FFB7B7B7"/>
      </top>
      <bottom style="dotted">
        <color rgb="FFB7B7B7"/>
      </bottom>
      <diagonal/>
    </border>
    <border>
      <left/>
      <right style="double">
        <color rgb="FF000000"/>
      </right>
      <top style="dotted">
        <color rgb="FFB7B7B7"/>
      </top>
      <bottom style="dotted">
        <color rgb="FFB7B7B7"/>
      </bottom>
      <diagonal/>
    </border>
    <border>
      <left/>
      <right style="double">
        <color rgb="FF000000"/>
      </right>
      <top style="dotted">
        <color rgb="FFB7B7B7"/>
      </top>
      <bottom style="thin">
        <color rgb="FF000000"/>
      </bottom>
      <diagonal/>
    </border>
    <border>
      <left/>
      <right style="double">
        <color rgb="FF000000"/>
      </right>
      <top/>
      <bottom/>
      <diagonal/>
    </border>
    <border>
      <left style="thin">
        <color rgb="FFAAAAAA"/>
      </left>
      <right/>
      <top/>
      <bottom/>
      <diagonal/>
    </border>
    <border>
      <left/>
      <right/>
      <top style="double">
        <color rgb="FF000000"/>
      </top>
      <bottom style="thin">
        <color rgb="FF632423"/>
      </bottom>
      <diagonal/>
    </border>
    <border>
      <left/>
      <right style="thin">
        <color rgb="FF632423"/>
      </right>
      <top style="double">
        <color rgb="FF000000"/>
      </top>
      <bottom style="thin">
        <color rgb="FF632423"/>
      </bottom>
      <diagonal/>
    </border>
    <border>
      <left style="thin">
        <color rgb="FF632423"/>
      </left>
      <right/>
      <top style="double">
        <color rgb="FF000000"/>
      </top>
      <bottom style="thin">
        <color theme="8"/>
      </bottom>
      <diagonal/>
    </border>
    <border>
      <left/>
      <right/>
      <top style="double">
        <color rgb="FF000000"/>
      </top>
      <bottom style="thin">
        <color theme="8"/>
      </bottom>
      <diagonal/>
    </border>
    <border>
      <left/>
      <right style="medium">
        <color rgb="FF000000"/>
      </right>
      <top style="double">
        <color rgb="FF000000"/>
      </top>
      <bottom style="thin">
        <color theme="8"/>
      </bottom>
      <diagonal/>
    </border>
    <border>
      <left style="medium">
        <color rgb="FF000000"/>
      </left>
      <right/>
      <top style="double">
        <color rgb="FF000000"/>
      </top>
      <bottom style="thin">
        <color rgb="FFE36C09"/>
      </bottom>
      <diagonal/>
    </border>
    <border>
      <left/>
      <right/>
      <top style="double">
        <color rgb="FF000000"/>
      </top>
      <bottom style="thin">
        <color rgb="FFE36C09"/>
      </bottom>
      <diagonal/>
    </border>
    <border>
      <left/>
      <right style="double">
        <color rgb="FF000000"/>
      </right>
      <top style="double">
        <color rgb="FF000000"/>
      </top>
      <bottom style="thin">
        <color rgb="FFE36C09"/>
      </bottom>
      <diagonal/>
    </border>
    <border>
      <left style="thin">
        <color rgb="FF632423"/>
      </left>
      <right style="thin">
        <color rgb="FF632423"/>
      </right>
      <top style="thin">
        <color rgb="FF632423"/>
      </top>
      <bottom/>
      <diagonal/>
    </border>
    <border>
      <left style="thin">
        <color rgb="FF632423"/>
      </left>
      <right style="thin">
        <color theme="8"/>
      </right>
      <top style="thin">
        <color theme="8"/>
      </top>
      <bottom/>
      <diagonal/>
    </border>
    <border>
      <left style="thin">
        <color theme="8"/>
      </left>
      <right style="thin">
        <color theme="8"/>
      </right>
      <top style="thin">
        <color theme="8"/>
      </top>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theme="8"/>
      </left>
      <right style="medium">
        <color rgb="FF000000"/>
      </right>
      <top style="thin">
        <color theme="8"/>
      </top>
      <bottom/>
      <diagonal/>
    </border>
    <border>
      <left style="medium">
        <color rgb="FF000000"/>
      </left>
      <right/>
      <top style="thin">
        <color rgb="FFE36C09"/>
      </top>
      <bottom style="thin">
        <color rgb="FFE36C09"/>
      </bottom>
      <diagonal/>
    </border>
    <border>
      <left/>
      <right/>
      <top style="thin">
        <color rgb="FFE36C09"/>
      </top>
      <bottom style="thin">
        <color rgb="FFE36C09"/>
      </bottom>
      <diagonal/>
    </border>
    <border>
      <left/>
      <right style="thin">
        <color rgb="FFE36C09"/>
      </right>
      <top style="thin">
        <color rgb="FFE36C09"/>
      </top>
      <bottom style="thin">
        <color rgb="FFE36C09"/>
      </bottom>
      <diagonal/>
    </border>
    <border>
      <left style="thin">
        <color rgb="FFE36C09"/>
      </left>
      <right/>
      <top style="thin">
        <color rgb="FFE36C09"/>
      </top>
      <bottom style="thin">
        <color rgb="FFE36C09"/>
      </bottom>
      <diagonal/>
    </border>
    <border>
      <left style="thin">
        <color rgb="FFE36C09"/>
      </left>
      <right style="double">
        <color rgb="FF000000"/>
      </right>
      <top style="thin">
        <color rgb="FFE36C09"/>
      </top>
      <bottom/>
      <diagonal/>
    </border>
    <border>
      <left style="thin">
        <color rgb="FF4F6128"/>
      </left>
      <right style="thin">
        <color rgb="FF4F6128"/>
      </right>
      <top/>
      <bottom style="medium">
        <color rgb="FF000000"/>
      </bottom>
      <diagonal/>
    </border>
    <border>
      <left style="thin">
        <color rgb="FF4F6128"/>
      </left>
      <right style="thin">
        <color rgb="FF632423"/>
      </right>
      <top/>
      <bottom style="medium">
        <color rgb="FF000000"/>
      </bottom>
      <diagonal/>
    </border>
    <border>
      <left style="thin">
        <color rgb="FF632423"/>
      </left>
      <right style="thin">
        <color rgb="FF632423"/>
      </right>
      <top/>
      <bottom style="medium">
        <color rgb="FF000000"/>
      </bottom>
      <diagonal/>
    </border>
    <border>
      <left style="thin">
        <color rgb="FF632423"/>
      </left>
      <right style="thin">
        <color theme="8"/>
      </right>
      <top/>
      <bottom style="medium">
        <color rgb="FF000000"/>
      </bottom>
      <diagonal/>
    </border>
    <border>
      <left style="thin">
        <color theme="8"/>
      </left>
      <right style="thin">
        <color theme="8"/>
      </right>
      <top/>
      <bottom style="medium">
        <color rgb="FF000000"/>
      </bottom>
      <diagonal/>
    </border>
    <border>
      <left style="thin">
        <color theme="8"/>
      </left>
      <right style="thin">
        <color theme="8"/>
      </right>
      <top style="thin">
        <color theme="8"/>
      </top>
      <bottom style="medium">
        <color rgb="FF000000"/>
      </bottom>
      <diagonal/>
    </border>
    <border>
      <left style="thin">
        <color theme="8"/>
      </left>
      <right style="medium">
        <color rgb="FF000000"/>
      </right>
      <top/>
      <bottom style="medium">
        <color rgb="FF000000"/>
      </bottom>
      <diagonal/>
    </border>
    <border>
      <left style="medium">
        <color rgb="FF000000"/>
      </left>
      <right/>
      <top style="thin">
        <color rgb="FFE36C09"/>
      </top>
      <bottom style="medium">
        <color rgb="FF000000"/>
      </bottom>
      <diagonal/>
    </border>
    <border>
      <left style="thin">
        <color rgb="FFE36C09"/>
      </left>
      <right style="thin">
        <color rgb="FFE36C09"/>
      </right>
      <top style="thin">
        <color rgb="FFE36C09"/>
      </top>
      <bottom style="medium">
        <color rgb="FF000000"/>
      </bottom>
      <diagonal/>
    </border>
    <border>
      <left/>
      <right style="thin">
        <color rgb="FFE36C09"/>
      </right>
      <top style="thin">
        <color rgb="FFE36C09"/>
      </top>
      <bottom style="medium">
        <color rgb="FF000000"/>
      </bottom>
      <diagonal/>
    </border>
    <border>
      <left style="thin">
        <color rgb="FFE36C09"/>
      </left>
      <right style="double">
        <color rgb="FF000000"/>
      </right>
      <top/>
      <bottom style="medium">
        <color rgb="FF000000"/>
      </bottom>
      <diagonal/>
    </border>
    <border>
      <left/>
      <right style="thin">
        <color rgb="FFBFBFBF"/>
      </right>
      <top/>
      <bottom/>
      <diagonal/>
    </border>
    <border>
      <left/>
      <right style="thin">
        <color rgb="FFBFBFBF"/>
      </right>
      <top style="medium">
        <color rgb="FF000000"/>
      </top>
      <bottom style="thin">
        <color rgb="FFBFBFBF"/>
      </bottom>
      <diagonal/>
    </border>
    <border>
      <left style="thin">
        <color rgb="FFBFBFBF"/>
      </left>
      <right style="double">
        <color rgb="FF000000"/>
      </right>
      <top style="medium">
        <color rgb="FF000000"/>
      </top>
      <bottom/>
      <diagonal/>
    </border>
    <border>
      <left/>
      <right style="thin">
        <color rgb="FFBFBFBF"/>
      </right>
      <top style="thin">
        <color rgb="FFBFBFBF"/>
      </top>
      <bottom style="thin">
        <color rgb="FFBFBFBF"/>
      </bottom>
      <diagonal/>
    </border>
    <border>
      <left style="thin">
        <color rgb="FFBFBFBF"/>
      </left>
      <right style="double">
        <color rgb="FF000000"/>
      </right>
      <top/>
      <bottom/>
      <diagonal/>
    </border>
    <border>
      <left style="thin">
        <color rgb="FFB7B7B7"/>
      </left>
      <right style="thin">
        <color rgb="FFB7B7B7"/>
      </right>
      <top style="thin">
        <color rgb="FFB7B7B7"/>
      </top>
      <bottom style="thin">
        <color rgb="FFB7B7B7"/>
      </bottom>
      <diagonal/>
    </border>
    <border>
      <left/>
      <right style="thin">
        <color rgb="FFBFBFBF"/>
      </right>
      <top style="thin">
        <color rgb="FFBFBFBF"/>
      </top>
      <bottom/>
      <diagonal/>
    </border>
    <border>
      <left/>
      <right style="thin">
        <color rgb="FFBFBFBF"/>
      </right>
      <top/>
      <bottom style="thin">
        <color rgb="FF000000"/>
      </bottom>
      <diagonal/>
    </border>
    <border>
      <left/>
      <right/>
      <top/>
      <bottom style="thin">
        <color rgb="FF000000"/>
      </bottom>
      <diagonal/>
    </border>
    <border>
      <left style="thin">
        <color rgb="FFB7B7B7"/>
      </left>
      <right style="thin">
        <color rgb="FFB7B7B7"/>
      </right>
      <top style="thin">
        <color rgb="FFB7B7B7"/>
      </top>
      <bottom style="thin">
        <color rgb="FF000000"/>
      </bottom>
      <diagonal/>
    </border>
    <border>
      <left/>
      <right style="thin">
        <color rgb="FFBFBFBF"/>
      </right>
      <top style="thin">
        <color rgb="FFBFBFBF"/>
      </top>
      <bottom style="thin">
        <color rgb="FF000000"/>
      </bottom>
      <diagonal/>
    </border>
    <border>
      <left style="thin">
        <color rgb="FFBFBFBF"/>
      </left>
      <right style="double">
        <color rgb="FF000000"/>
      </right>
      <top/>
      <bottom style="thin">
        <color rgb="FF000000"/>
      </bottom>
      <diagonal/>
    </border>
    <border>
      <left/>
      <right style="thin">
        <color rgb="FFBFBFBF"/>
      </right>
      <top style="thin">
        <color rgb="FF000000"/>
      </top>
      <bottom/>
      <diagonal/>
    </border>
    <border>
      <left/>
      <right style="thin">
        <color rgb="FFBFBFBF"/>
      </right>
      <top style="thin">
        <color rgb="FF000000"/>
      </top>
      <bottom style="thin">
        <color rgb="FFBFBFBF"/>
      </bottom>
      <diagonal/>
    </border>
    <border>
      <left style="thin">
        <color rgb="FFBFBFBF"/>
      </left>
      <right style="double">
        <color rgb="FF000000"/>
      </right>
      <top style="thin">
        <color rgb="FF000000"/>
      </top>
      <bottom/>
      <diagonal/>
    </border>
    <border>
      <left style="thin">
        <color rgb="FFBFBFBF"/>
      </left>
      <right style="double">
        <color rgb="FF000000"/>
      </right>
      <top/>
      <bottom style="medium">
        <color rgb="FF000000"/>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style="thin">
        <color rgb="FFE36C09"/>
      </left>
      <right style="thin">
        <color rgb="FFE36C09"/>
      </right>
      <top/>
      <bottom style="double">
        <color rgb="FF000000"/>
      </bottom>
      <diagonal/>
    </border>
    <border>
      <left style="thin">
        <color rgb="FFE36C09"/>
      </left>
      <right/>
      <top/>
      <bottom style="double">
        <color rgb="FF000000"/>
      </bottom>
      <diagonal/>
    </border>
    <border>
      <left/>
      <right style="double">
        <color rgb="FF000000"/>
      </right>
      <top/>
      <bottom style="double">
        <color rgb="FF000000"/>
      </bottom>
      <diagonal/>
    </border>
    <border>
      <left style="double">
        <color rgb="FF000000"/>
      </left>
      <right/>
      <top style="dotted">
        <color rgb="FFB7B7B7"/>
      </top>
      <bottom style="double">
        <color rgb="FF000000"/>
      </bottom>
      <diagonal/>
    </border>
    <border>
      <left/>
      <right/>
      <top style="dotted">
        <color rgb="FFB7B7B7"/>
      </top>
      <bottom style="double">
        <color rgb="FF000000"/>
      </bottom>
      <diagonal/>
    </border>
    <border>
      <left style="thin">
        <color rgb="FF632423"/>
      </left>
      <right/>
      <top style="double">
        <color rgb="FF000000"/>
      </top>
      <bottom style="thin">
        <color rgb="FF632423"/>
      </bottom>
      <diagonal/>
    </border>
    <border>
      <left style="thin">
        <color rgb="FF4F6128"/>
      </left>
      <right style="thin">
        <color rgb="FF4F6128"/>
      </right>
      <top style="thin">
        <color rgb="FF4F6128"/>
      </top>
      <bottom/>
      <diagonal/>
    </border>
    <border>
      <left style="thin">
        <color rgb="FF4F6128"/>
      </left>
      <right style="thin">
        <color rgb="FF632423"/>
      </right>
      <top style="thin">
        <color rgb="FF4F6128"/>
      </top>
      <bottom/>
      <diagonal/>
    </border>
    <border>
      <left style="double">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A5A5A5"/>
      </left>
      <right style="thin">
        <color rgb="FFA5A5A5"/>
      </right>
      <top style="medium">
        <color rgb="FF000000"/>
      </top>
      <bottom style="thin">
        <color rgb="FFA5A5A5"/>
      </bottom>
      <diagonal/>
    </border>
    <border>
      <left style="double">
        <color rgb="FF000000"/>
      </left>
      <right style="medium">
        <color rgb="FF000000"/>
      </right>
      <top/>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000000"/>
      </right>
      <top style="thin">
        <color rgb="FFA5A5A5"/>
      </top>
      <bottom/>
      <diagonal/>
    </border>
    <border>
      <left style="thin">
        <color rgb="FFA5A5A5"/>
      </left>
      <right style="thin">
        <color rgb="FFA5A5A5"/>
      </right>
      <top style="thin">
        <color rgb="FF000000"/>
      </top>
      <bottom style="thin">
        <color rgb="FFA5A5A5"/>
      </bottom>
      <diagonal/>
    </border>
    <border>
      <left style="thin">
        <color rgb="FFA5A5A5"/>
      </left>
      <right style="thin">
        <color rgb="FF000000"/>
      </right>
      <top style="thin">
        <color rgb="FF000000"/>
      </top>
      <bottom style="thin">
        <color rgb="FFA5A5A5"/>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style="thin">
        <color rgb="FF000000"/>
      </right>
      <top style="thin">
        <color rgb="FFA5A5A5"/>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A5A5A5"/>
      </left>
      <right style="thin">
        <color rgb="FFA5A5A5"/>
      </right>
      <top style="thin">
        <color rgb="FFA5A5A5"/>
      </top>
      <bottom style="medium">
        <color rgb="FF000000"/>
      </bottom>
      <diagonal/>
    </border>
    <border>
      <left style="thin">
        <color rgb="FF000000"/>
      </left>
      <right style="thin">
        <color rgb="FFBFBFBF"/>
      </right>
      <top/>
      <bottom/>
      <diagonal/>
    </border>
    <border>
      <left style="thin">
        <color rgb="FFBFBFBF"/>
      </left>
      <right/>
      <top style="thin">
        <color rgb="FF000000"/>
      </top>
      <bottom/>
      <diagonal/>
    </border>
    <border>
      <left style="thin">
        <color rgb="FFBFBFBF"/>
      </left>
      <right/>
      <top/>
      <bottom/>
      <diagonal/>
    </border>
    <border>
      <left style="thin">
        <color rgb="FF000000"/>
      </left>
      <right style="double">
        <color rgb="FF000000"/>
      </right>
      <top/>
      <bottom/>
      <diagonal/>
    </border>
    <border>
      <left style="thin">
        <color rgb="FF000000"/>
      </left>
      <right style="thin">
        <color rgb="FFBFBFBF"/>
      </right>
      <top/>
      <bottom style="thin">
        <color rgb="FF000000"/>
      </bottom>
      <diagonal/>
    </border>
    <border>
      <left style="thin">
        <color rgb="FFBFBFBF"/>
      </left>
      <right/>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rgb="FF000000"/>
      </right>
      <top style="thin">
        <color rgb="FF000000"/>
      </top>
      <bottom/>
      <diagonal/>
    </border>
    <border>
      <left style="thin">
        <color rgb="FF000000"/>
      </left>
      <right style="thin">
        <color rgb="FFBFBFBF"/>
      </right>
      <top style="thin">
        <color rgb="FF000000"/>
      </top>
      <bottom/>
      <diagonal/>
    </border>
    <border>
      <left/>
      <right style="thin">
        <color rgb="FFBFBFBF"/>
      </right>
      <top style="thin">
        <color rgb="FF000000"/>
      </top>
      <bottom/>
      <diagonal/>
    </border>
    <border>
      <left/>
      <right/>
      <top/>
      <bottom style="medium">
        <color rgb="FF000000"/>
      </bottom>
      <diagonal/>
    </border>
    <border>
      <left/>
      <right/>
      <top/>
      <bottom style="medium">
        <color rgb="FF000000"/>
      </bottom>
      <diagonal/>
    </border>
    <border>
      <left/>
      <right style="thin">
        <color rgb="FFA5A5A5"/>
      </right>
      <top/>
      <bottom/>
      <diagonal/>
    </border>
    <border>
      <left style="double">
        <color rgb="FF000000"/>
      </left>
      <right style="thin">
        <color rgb="FF000000"/>
      </right>
      <top/>
      <bottom style="thin">
        <color rgb="FF000000"/>
      </bottom>
      <diagonal/>
    </border>
    <border>
      <left/>
      <right style="thin">
        <color rgb="FF000000"/>
      </right>
      <top/>
      <bottom style="thin">
        <color rgb="FF000000"/>
      </bottom>
      <diagonal/>
    </border>
    <border>
      <left/>
      <right style="double">
        <color rgb="FF000000"/>
      </right>
      <top/>
      <bottom style="thin">
        <color rgb="FF000000"/>
      </bottom>
      <diagonal/>
    </border>
    <border>
      <left style="thin">
        <color theme="1"/>
      </left>
      <right style="thin">
        <color rgb="FFBFBFBF"/>
      </right>
      <top/>
      <bottom/>
      <diagonal/>
    </border>
    <border>
      <left style="medium">
        <color rgb="FF000000"/>
      </left>
      <right style="thin">
        <color rgb="FFBFBFBF"/>
      </right>
      <top/>
      <bottom style="thin">
        <color rgb="FFA5A5A5"/>
      </bottom>
      <diagonal/>
    </border>
    <border>
      <left/>
      <right style="thin">
        <color rgb="FFBFBFBF"/>
      </right>
      <top style="thin">
        <color rgb="FFBFBFBF"/>
      </top>
      <bottom style="thin">
        <color rgb="FFA5A5A5"/>
      </bottom>
      <diagonal/>
    </border>
    <border>
      <left style="thin">
        <color rgb="FFBFBFBF"/>
      </left>
      <right style="thin">
        <color rgb="FFBFBFBF"/>
      </right>
      <top style="thin">
        <color rgb="FFBFBFBF"/>
      </top>
      <bottom style="thin">
        <color rgb="FFA5A5A5"/>
      </bottom>
      <diagonal/>
    </border>
    <border>
      <left style="thin">
        <color theme="1"/>
      </left>
      <right style="thin">
        <color rgb="FFBFBFBF"/>
      </right>
      <top/>
      <bottom style="thin">
        <color rgb="FF000000"/>
      </bottom>
      <diagonal/>
    </border>
    <border>
      <left style="thin">
        <color rgb="FFBFBFBF"/>
      </left>
      <right style="thin">
        <color rgb="FFBFBFBF"/>
      </right>
      <top/>
      <bottom/>
      <diagonal/>
    </border>
    <border>
      <left style="thin">
        <color rgb="FFBFBFBF"/>
      </left>
      <right style="medium">
        <color rgb="FF000000"/>
      </right>
      <top/>
      <bottom/>
      <diagonal/>
    </border>
    <border>
      <left style="thin">
        <color rgb="FFBFBFBF"/>
      </left>
      <right style="thin">
        <color rgb="FFBFBFBF"/>
      </right>
      <top/>
      <bottom style="thin">
        <color rgb="FF000000"/>
      </bottom>
      <diagonal/>
    </border>
    <border>
      <left style="thin">
        <color theme="1"/>
      </left>
      <right style="thin">
        <color rgb="FFBFBFBF"/>
      </right>
      <top style="thin">
        <color rgb="FF000000"/>
      </top>
      <bottom/>
      <diagonal/>
    </border>
    <border>
      <left style="thin">
        <color rgb="FFBFBFBF"/>
      </left>
      <right style="thin">
        <color rgb="FFBFBFBF"/>
      </right>
      <top style="thin">
        <color rgb="FF000000"/>
      </top>
      <bottom/>
      <diagonal/>
    </border>
    <border>
      <left/>
      <right style="thin">
        <color rgb="FFBFBFBF"/>
      </right>
      <top/>
      <bottom style="thin">
        <color theme="1"/>
      </bottom>
      <diagonal/>
    </border>
    <border>
      <left style="thin">
        <color rgb="FFBFBFBF"/>
      </left>
      <right style="thin">
        <color rgb="FFBFBFBF"/>
      </right>
      <top/>
      <bottom style="thin">
        <color theme="1"/>
      </bottom>
      <diagonal/>
    </border>
    <border>
      <left/>
      <right style="thin">
        <color rgb="FFBFBFBF"/>
      </right>
      <top style="thin">
        <color theme="1"/>
      </top>
      <bottom/>
      <diagonal/>
    </border>
    <border>
      <left style="thin">
        <color rgb="FFBFBFBF"/>
      </left>
      <right style="thin">
        <color rgb="FFBFBFBF"/>
      </right>
      <top style="thin">
        <color theme="1"/>
      </top>
      <bottom/>
      <diagonal/>
    </border>
    <border>
      <left/>
      <right/>
      <top/>
      <bottom style="medium">
        <color rgb="FF000000"/>
      </bottom>
      <diagonal/>
    </border>
    <border>
      <left/>
      <right/>
      <top/>
      <bottom style="medium">
        <color rgb="FF000000"/>
      </bottom>
      <diagonal/>
    </border>
    <border>
      <left style="thin">
        <color rgb="FFE36C09"/>
      </left>
      <right style="thin">
        <color rgb="FFE36C09"/>
      </right>
      <top/>
      <bottom style="medium">
        <color rgb="FF000000"/>
      </bottom>
      <diagonal/>
    </border>
    <border>
      <left style="thin">
        <color rgb="FFE36C09"/>
      </left>
      <right/>
      <top/>
      <bottom style="medium">
        <color rgb="FF000000"/>
      </bottom>
      <diagonal/>
    </border>
    <border>
      <left/>
      <right style="double">
        <color rgb="FF000000"/>
      </right>
      <top/>
      <bottom style="medium">
        <color rgb="FF000000"/>
      </bottom>
      <diagonal/>
    </border>
    <border>
      <left/>
      <right/>
      <top style="medium">
        <color rgb="FF000000"/>
      </top>
      <bottom style="double">
        <color rgb="FF000000"/>
      </bottom>
      <diagonal/>
    </border>
    <border>
      <left/>
      <right style="double">
        <color rgb="FF000000"/>
      </right>
      <top style="medium">
        <color rgb="FF000000"/>
      </top>
      <bottom style="double">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double">
        <color rgb="FF000000"/>
      </right>
      <top style="medium">
        <color rgb="FF000000"/>
      </top>
      <bottom/>
      <diagonal/>
    </border>
    <border>
      <left style="thin">
        <color rgb="FF000000"/>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double">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double">
        <color rgb="FF000000"/>
      </right>
      <top style="medium">
        <color rgb="FF000000"/>
      </top>
      <bottom style="medium">
        <color rgb="FF000000"/>
      </bottom>
      <diagonal/>
    </border>
    <border>
      <left style="double">
        <color rgb="FF000000"/>
      </left>
      <right/>
      <top style="dotted">
        <color rgb="FFB7B7B7"/>
      </top>
      <bottom/>
      <diagonal/>
    </border>
    <border>
      <left/>
      <right/>
      <top style="dotted">
        <color rgb="FFB7B7B7"/>
      </top>
      <bottom/>
      <diagonal/>
    </border>
    <border>
      <left style="thin">
        <color rgb="FF000000"/>
      </left>
      <right style="thin">
        <color rgb="FFBFBFBF"/>
      </right>
      <top style="medium">
        <color rgb="FF000000"/>
      </top>
      <bottom/>
      <diagonal/>
    </border>
    <border>
      <left style="medium">
        <color rgb="FF000000"/>
      </left>
      <right style="thin">
        <color rgb="FFB7B7B7"/>
      </right>
      <top style="medium">
        <color rgb="FF000000"/>
      </top>
      <bottom style="thin">
        <color rgb="FFB7B7B7"/>
      </bottom>
      <diagonal/>
    </border>
    <border>
      <left style="thin">
        <color rgb="FFB7B7B7"/>
      </left>
      <right style="thin">
        <color rgb="FFB7B7B7"/>
      </right>
      <top style="medium">
        <color rgb="FF000000"/>
      </top>
      <bottom style="thin">
        <color rgb="FFB7B7B7"/>
      </bottom>
      <diagonal/>
    </border>
    <border>
      <left style="medium">
        <color rgb="FF000000"/>
      </left>
      <right style="thin">
        <color rgb="FFB7B7B7"/>
      </right>
      <top style="thin">
        <color rgb="FFB7B7B7"/>
      </top>
      <bottom style="thin">
        <color rgb="FFB7B7B7"/>
      </bottom>
      <diagonal/>
    </border>
    <border>
      <left style="medium">
        <color rgb="FF000000"/>
      </left>
      <right style="thin">
        <color rgb="FFB7B7B7"/>
      </right>
      <top style="thin">
        <color rgb="FFB7B7B7"/>
      </top>
      <bottom/>
      <diagonal/>
    </border>
    <border>
      <left style="thin">
        <color rgb="FFB7B7B7"/>
      </left>
      <right style="thin">
        <color rgb="FFB7B7B7"/>
      </right>
      <top style="thin">
        <color rgb="FFB7B7B7"/>
      </top>
      <bottom/>
      <diagonal/>
    </border>
    <border>
      <left style="thin">
        <color rgb="FFB7B7B7"/>
      </left>
      <right style="thin">
        <color rgb="FFB7B7B7"/>
      </right>
      <top style="thin">
        <color rgb="FF000000"/>
      </top>
      <bottom style="thin">
        <color rgb="FFB7B7B7"/>
      </bottom>
      <diagonal/>
    </border>
    <border>
      <left style="thin">
        <color rgb="FF7F7F7F"/>
      </left>
      <right/>
      <top/>
      <bottom/>
      <diagonal/>
    </border>
    <border>
      <left style="medium">
        <color rgb="FF000000"/>
      </left>
      <right style="thin">
        <color rgb="FFB7B7B7"/>
      </right>
      <top style="thin">
        <color rgb="FFB7B7B7"/>
      </top>
      <bottom style="thin">
        <color rgb="FF000000"/>
      </bottom>
      <diagonal/>
    </border>
    <border>
      <left style="thin">
        <color rgb="FFB7B7B7"/>
      </left>
      <right style="thin">
        <color rgb="FFB7B7B7"/>
      </right>
      <top/>
      <bottom style="thin">
        <color rgb="FF000000"/>
      </bottom>
      <diagonal/>
    </border>
    <border>
      <left style="thin">
        <color rgb="FFB7B7B7"/>
      </left>
      <right/>
      <top style="thin">
        <color rgb="FFB7B7B7"/>
      </top>
      <bottom style="thin">
        <color rgb="FFB7B7B7"/>
      </bottom>
      <diagonal/>
    </border>
    <border>
      <left/>
      <right style="thin">
        <color rgb="FFB7B7B7"/>
      </right>
      <top style="thin">
        <color rgb="FFB7B7B7"/>
      </top>
      <bottom style="thin">
        <color rgb="FFB7B7B7"/>
      </bottom>
      <diagonal/>
    </border>
    <border>
      <left/>
      <right style="thin">
        <color rgb="FFB7B7B7"/>
      </right>
      <top style="thin">
        <color rgb="FFB7B7B7"/>
      </top>
      <bottom/>
      <diagonal/>
    </border>
    <border>
      <left style="medium">
        <color rgb="FF000000"/>
      </left>
      <right style="thin">
        <color rgb="FFB7B7B7"/>
      </right>
      <top/>
      <bottom style="thin">
        <color rgb="FFB7B7B7"/>
      </bottom>
      <diagonal/>
    </border>
    <border>
      <left style="thin">
        <color rgb="FFB7B7B7"/>
      </left>
      <right style="thin">
        <color rgb="FFB7B7B7"/>
      </right>
      <top/>
      <bottom/>
      <diagonal/>
    </border>
    <border>
      <left style="thin">
        <color rgb="FF000000"/>
      </left>
      <right style="thin">
        <color rgb="FFBFBFBF"/>
      </right>
      <top/>
      <bottom style="medium">
        <color rgb="FF000000"/>
      </bottom>
      <diagonal/>
    </border>
    <border>
      <left style="medium">
        <color rgb="FF000000"/>
      </left>
      <right style="thin">
        <color rgb="FFB7B7B7"/>
      </right>
      <top style="thin">
        <color rgb="FFB7B7B7"/>
      </top>
      <bottom style="medium">
        <color rgb="FF000000"/>
      </bottom>
      <diagonal/>
    </border>
    <border>
      <left style="thin">
        <color rgb="FFB7B7B7"/>
      </left>
      <right style="thin">
        <color rgb="FFB7B7B7"/>
      </right>
      <top style="thin">
        <color rgb="FFB7B7B7"/>
      </top>
      <bottom style="medium">
        <color rgb="FF000000"/>
      </bottom>
      <diagonal/>
    </border>
    <border>
      <left style="medium">
        <color rgb="FF000000"/>
      </left>
      <right/>
      <top style="medium">
        <color rgb="FF000000"/>
      </top>
      <bottom/>
      <diagonal/>
    </border>
    <border>
      <left style="medium">
        <color rgb="FF000000"/>
      </left>
      <right/>
      <top/>
      <bottom/>
      <diagonal/>
    </border>
    <border>
      <left style="thin">
        <color rgb="FFA5A5A5"/>
      </left>
      <right style="thin">
        <color rgb="FFBFBFBF"/>
      </right>
      <top/>
      <bottom/>
      <diagonal/>
    </border>
    <border>
      <left style="thin">
        <color rgb="FFA5A5A5"/>
      </left>
      <right style="thin">
        <color rgb="FFBFBFBF"/>
      </right>
      <top style="thin">
        <color rgb="FF000000"/>
      </top>
      <bottom/>
      <diagonal/>
    </border>
    <border>
      <left style="thin">
        <color rgb="FFA5A5A5"/>
      </left>
      <right style="thin">
        <color rgb="FFBFBFBF"/>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A5A5A5"/>
      </right>
      <top style="thin">
        <color rgb="FF000000"/>
      </top>
      <bottom style="thin">
        <color rgb="FFA5A5A5"/>
      </bottom>
      <diagonal/>
    </border>
    <border>
      <left/>
      <right style="thin">
        <color rgb="FFA5A5A5"/>
      </right>
      <top style="thin">
        <color rgb="FFA5A5A5"/>
      </top>
      <bottom style="thin">
        <color rgb="FFA5A5A5"/>
      </bottom>
      <diagonal/>
    </border>
    <border>
      <left style="thin">
        <color rgb="FFBFBFBF"/>
      </left>
      <right/>
      <top style="thin">
        <color rgb="FFBFBFBF"/>
      </top>
      <bottom style="thin">
        <color rgb="FFBFBFBF"/>
      </bottom>
      <diagonal/>
    </border>
    <border>
      <left style="thin">
        <color rgb="FFA5A5A5"/>
      </left>
      <right/>
      <top style="thin">
        <color rgb="FF000000"/>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thin">
        <color rgb="FF000000"/>
      </bottom>
      <diagonal/>
    </border>
    <border>
      <left style="thin">
        <color rgb="FFBFBFBF"/>
      </left>
      <right/>
      <top style="thin">
        <color rgb="FFBFBFBF"/>
      </top>
      <bottom style="thin">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thin">
        <color rgb="FFE36C09"/>
      </left>
      <right/>
      <top style="thin">
        <color rgb="FF000000"/>
      </top>
      <bottom style="medium">
        <color rgb="FF000000"/>
      </bottom>
      <diagonal/>
    </border>
    <border>
      <left/>
      <right style="double">
        <color rgb="FF000000"/>
      </right>
      <top style="thin">
        <color rgb="FF000000"/>
      </top>
      <bottom style="medium">
        <color rgb="FF000000"/>
      </bottom>
      <diagonal/>
    </border>
    <border>
      <left/>
      <right/>
      <top style="thin">
        <color rgb="FF000000"/>
      </top>
      <bottom style="double">
        <color rgb="FF000000"/>
      </bottom>
      <diagonal/>
    </border>
    <border>
      <left style="thin">
        <color rgb="FFE36C09"/>
      </left>
      <right style="thin">
        <color rgb="FFE36C09"/>
      </right>
      <top style="thin">
        <color rgb="FF000000"/>
      </top>
      <bottom style="double">
        <color rgb="FF000000"/>
      </bottom>
      <diagonal/>
    </border>
    <border>
      <left style="thin">
        <color rgb="FFE36C09"/>
      </left>
      <right/>
      <top style="medium">
        <color rgb="FF000000"/>
      </top>
      <bottom style="double">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bottom style="thin">
        <color rgb="FFA5A5A5"/>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000000"/>
      </bottom>
      <diagonal/>
    </border>
    <border>
      <left style="medium">
        <color rgb="FF000000"/>
      </left>
      <right style="thin">
        <color rgb="FFA5A5A5"/>
      </right>
      <top style="thin">
        <color rgb="FF000000"/>
      </top>
      <bottom style="thin">
        <color rgb="FFA5A5A5"/>
      </bottom>
      <diagonal/>
    </border>
    <border>
      <left style="thin">
        <color rgb="FFBFBFBF"/>
      </left>
      <right style="thin">
        <color rgb="FFBFBFBF"/>
      </right>
      <top/>
      <bottom/>
      <diagonal/>
    </border>
    <border>
      <left/>
      <right style="double">
        <color rgb="FF000000"/>
      </right>
      <top/>
      <bottom/>
      <diagonal/>
    </border>
    <border>
      <left/>
      <right style="double">
        <color rgb="FF000000"/>
      </right>
      <top/>
      <bottom style="thin">
        <color rgb="FF000000"/>
      </bottom>
      <diagonal/>
    </border>
    <border>
      <left style="medium">
        <color rgb="FF000000"/>
      </left>
      <right style="thin">
        <color rgb="FFCCCCCC"/>
      </right>
      <top style="thin">
        <color rgb="FF000000"/>
      </top>
      <bottom style="thin">
        <color rgb="FFCCCCCC"/>
      </bottom>
      <diagonal/>
    </border>
    <border>
      <left style="thin">
        <color rgb="FFCCCCCC"/>
      </left>
      <right style="thin">
        <color rgb="FFCCCCCC"/>
      </right>
      <top style="thin">
        <color rgb="FF000000"/>
      </top>
      <bottom style="thin">
        <color rgb="FFCCCCCC"/>
      </bottom>
      <diagonal/>
    </border>
    <border>
      <left style="medium">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medium">
        <color rgb="FF000000"/>
      </left>
      <right style="thin">
        <color rgb="FFCCCCCC"/>
      </right>
      <top style="thin">
        <color rgb="FFCCCCCC"/>
      </top>
      <bottom style="thin">
        <color rgb="FF000000"/>
      </bottom>
      <diagonal/>
    </border>
    <border>
      <left style="thin">
        <color rgb="FFCCCCCC"/>
      </left>
      <right style="thin">
        <color rgb="FFCCCCCC"/>
      </right>
      <top style="thin">
        <color rgb="FFCCCCCC"/>
      </top>
      <bottom style="thin">
        <color rgb="FF000000"/>
      </bottom>
      <diagonal/>
    </border>
    <border>
      <left style="thin">
        <color rgb="FFCCCCCC"/>
      </left>
      <right style="thin">
        <color rgb="FFCCCCCC"/>
      </right>
      <top style="thin">
        <color rgb="FFCCCCCC"/>
      </top>
      <bottom/>
      <diagonal/>
    </border>
    <border>
      <left style="thin">
        <color rgb="FFB7B7B7"/>
      </left>
      <right/>
      <top style="thin">
        <color rgb="FF000000"/>
      </top>
      <bottom/>
      <diagonal/>
    </border>
    <border>
      <left style="thin">
        <color rgb="FFB7B7B7"/>
      </left>
      <right/>
      <top/>
      <bottom style="thin">
        <color rgb="FF000000"/>
      </bottom>
      <diagonal/>
    </border>
    <border>
      <left style="thin">
        <color rgb="FFA5A5A5"/>
      </left>
      <right style="thin">
        <color rgb="FFA5A5A5"/>
      </right>
      <top style="thin">
        <color rgb="FFA5A5A5"/>
      </top>
      <bottom/>
      <diagonal/>
    </border>
    <border>
      <left/>
      <right style="double">
        <color rgb="FF000000"/>
      </right>
      <top/>
      <bottom/>
      <diagonal/>
    </border>
    <border>
      <left style="medium">
        <color rgb="FF000000"/>
      </left>
      <right style="thin">
        <color rgb="FFB7B7B7"/>
      </right>
      <top style="thin">
        <color rgb="FF000000"/>
      </top>
      <bottom style="thin">
        <color rgb="FFB7B7B7"/>
      </bottom>
      <diagonal/>
    </border>
    <border>
      <left style="thin">
        <color rgb="FFB7B7B7"/>
      </left>
      <right style="thin">
        <color rgb="FFBFBFBF"/>
      </right>
      <top style="thin">
        <color rgb="FF000000"/>
      </top>
      <bottom/>
      <diagonal/>
    </border>
    <border>
      <left style="thin">
        <color rgb="FFB7B7B7"/>
      </left>
      <right style="thin">
        <color rgb="FF000000"/>
      </right>
      <top style="thin">
        <color rgb="FF000000"/>
      </top>
      <bottom/>
      <diagonal/>
    </border>
    <border>
      <left style="thin">
        <color rgb="FFB7B7B7"/>
      </left>
      <right style="thin">
        <color rgb="FFBFBFBF"/>
      </right>
      <top/>
      <bottom/>
      <diagonal/>
    </border>
    <border>
      <left style="thin">
        <color rgb="FFB7B7B7"/>
      </left>
      <right style="thin">
        <color rgb="FF000000"/>
      </right>
      <top/>
      <bottom/>
      <diagonal/>
    </border>
    <border>
      <left style="thin">
        <color rgb="FFB7B7B7"/>
      </left>
      <right style="thin">
        <color rgb="FFBFBFBF"/>
      </right>
      <top/>
      <bottom style="thin">
        <color rgb="FF000000"/>
      </bottom>
      <diagonal/>
    </border>
    <border>
      <left style="thin">
        <color rgb="FFB7B7B7"/>
      </left>
      <right style="thin">
        <color rgb="FF000000"/>
      </right>
      <top/>
      <bottom style="thin">
        <color rgb="FF000000"/>
      </bottom>
      <diagonal/>
    </border>
    <border>
      <left style="thin">
        <color rgb="FFBFBFBF"/>
      </left>
      <right/>
      <top/>
      <bottom/>
      <diagonal/>
    </border>
    <border>
      <left style="thin">
        <color rgb="FFBFBFBF"/>
      </left>
      <right/>
      <top/>
      <bottom style="thin">
        <color rgb="FF000000"/>
      </bottom>
      <diagonal/>
    </border>
    <border>
      <left style="medium">
        <color rgb="FF000000"/>
      </left>
      <right style="thin">
        <color rgb="FFA5A5A5"/>
      </right>
      <top style="thin">
        <color rgb="FFA5A5A5"/>
      </top>
      <bottom/>
      <diagonal/>
    </border>
    <border>
      <left style="medium">
        <color rgb="FF000000"/>
      </left>
      <right/>
      <top style="thin">
        <color rgb="FF000000"/>
      </top>
      <bottom style="medium">
        <color rgb="FF000000"/>
      </bottom>
      <diagonal/>
    </border>
    <border>
      <left style="thin">
        <color rgb="FFE36C09"/>
      </left>
      <right style="thin">
        <color rgb="FFE36C09"/>
      </right>
      <top style="thin">
        <color rgb="FF000000"/>
      </top>
      <bottom style="medium">
        <color rgb="FF000000"/>
      </bottom>
      <diagonal/>
    </border>
    <border>
      <left style="thin">
        <color rgb="FFA5A5A5"/>
      </left>
      <right style="thin">
        <color rgb="FFA5A5A5"/>
      </right>
      <top/>
      <bottom/>
      <diagonal/>
    </border>
    <border>
      <left style="medium">
        <color rgb="FF000000"/>
      </left>
      <right style="thin">
        <color rgb="FFA5A5A5"/>
      </right>
      <top/>
      <bottom style="thin">
        <color rgb="FFA5A5A5"/>
      </bottom>
      <diagonal/>
    </border>
    <border>
      <left style="thin">
        <color rgb="FFB7B7B7"/>
      </left>
      <right style="medium">
        <color rgb="FF000000"/>
      </right>
      <top style="thin">
        <color rgb="FF000000"/>
      </top>
      <bottom/>
      <diagonal/>
    </border>
    <border>
      <left style="thin">
        <color rgb="FFB7B7B7"/>
      </left>
      <right style="medium">
        <color rgb="FF000000"/>
      </right>
      <top/>
      <bottom/>
      <diagonal/>
    </border>
    <border>
      <left style="thin">
        <color rgb="FFB7B7B7"/>
      </left>
      <right style="medium">
        <color rgb="FF000000"/>
      </right>
      <top/>
      <bottom style="thin">
        <color rgb="FF000000"/>
      </bottom>
      <diagonal/>
    </border>
    <border>
      <left style="thin">
        <color rgb="FFB7B7B7"/>
      </left>
      <right/>
      <top/>
      <bottom/>
      <diagonal/>
    </border>
    <border>
      <left style="medium">
        <color rgb="FF000000"/>
      </left>
      <right/>
      <top/>
      <bottom style="medium">
        <color rgb="FF000000"/>
      </bottom>
      <diagonal/>
    </border>
    <border>
      <left style="thin">
        <color rgb="FFE36C09"/>
      </left>
      <right style="thin">
        <color rgb="FFE36C09"/>
      </right>
      <top/>
      <bottom style="double">
        <color rgb="FF000000"/>
      </bottom>
      <diagonal/>
    </border>
    <border>
      <left style="double">
        <color rgb="FF000000"/>
      </left>
      <right/>
      <top style="double">
        <color rgb="FF000000"/>
      </top>
      <bottom/>
      <diagonal/>
    </border>
    <border>
      <left style="double">
        <color rgb="FF000000"/>
      </left>
      <right/>
      <top/>
      <bottom/>
      <diagonal/>
    </border>
    <border>
      <left style="double">
        <color rgb="FF000000"/>
      </left>
      <right/>
      <top/>
      <bottom style="medium">
        <color rgb="FF000000"/>
      </bottom>
      <diagonal/>
    </border>
    <border>
      <left/>
      <right style="thin">
        <color rgb="FFBFBFBF"/>
      </right>
      <top/>
      <bottom style="medium">
        <color rgb="FF000000"/>
      </bottom>
      <diagonal/>
    </border>
    <border>
      <left style="double">
        <color rgb="FF000000"/>
      </left>
      <right/>
      <top/>
      <bottom style="dotted">
        <color rgb="FFCCCCCC"/>
      </bottom>
      <diagonal/>
    </border>
    <border>
      <left/>
      <right/>
      <top/>
      <bottom style="dotted">
        <color rgb="FFCCCCCC"/>
      </bottom>
      <diagonal/>
    </border>
    <border>
      <left/>
      <right style="double">
        <color rgb="FF000000"/>
      </right>
      <top/>
      <bottom style="dotted">
        <color rgb="FFCCCCCC"/>
      </bottom>
      <diagonal/>
    </border>
    <border>
      <left style="double">
        <color rgb="FF000000"/>
      </left>
      <right/>
      <top style="dotted">
        <color rgb="FFCCCCCC"/>
      </top>
      <bottom style="dotted">
        <color rgb="FFCCCCCC"/>
      </bottom>
      <diagonal/>
    </border>
    <border>
      <left/>
      <right/>
      <top style="dotted">
        <color rgb="FFCCCCCC"/>
      </top>
      <bottom style="dotted">
        <color rgb="FFCCCCCC"/>
      </bottom>
      <diagonal/>
    </border>
    <border>
      <left/>
      <right style="double">
        <color rgb="FF000000"/>
      </right>
      <top style="dotted">
        <color rgb="FFCCCCCC"/>
      </top>
      <bottom style="dotted">
        <color rgb="FFCCCCCC"/>
      </bottom>
      <diagonal/>
    </border>
    <border>
      <left/>
      <right style="double">
        <color rgb="FF000000"/>
      </right>
      <top style="dotted">
        <color rgb="FFCCCCCC"/>
      </top>
      <bottom style="thin">
        <color rgb="FF000000"/>
      </bottom>
      <diagonal/>
    </border>
    <border>
      <left style="double">
        <color rgb="FF000000"/>
      </left>
      <right/>
      <top style="dotted">
        <color rgb="FFCCCCCC"/>
      </top>
      <bottom/>
      <diagonal/>
    </border>
    <border>
      <left/>
      <right/>
      <top style="dotted">
        <color rgb="FFCCCCCC"/>
      </top>
      <bottom/>
      <diagonal/>
    </border>
    <border>
      <left style="double">
        <color rgb="FF000000"/>
      </left>
      <right/>
      <top style="dotted">
        <color rgb="FFCCCCCC"/>
      </top>
      <bottom style="double">
        <color rgb="FF000000"/>
      </bottom>
      <diagonal/>
    </border>
    <border>
      <left/>
      <right/>
      <top style="dotted">
        <color rgb="FFCCCCCC"/>
      </top>
      <bottom style="double">
        <color rgb="FF000000"/>
      </bottom>
      <diagonal/>
    </border>
    <border>
      <left style="double">
        <color rgb="FF000000"/>
      </left>
      <right/>
      <top style="medium">
        <color rgb="FF000000"/>
      </top>
      <bottom/>
      <diagonal/>
    </border>
    <border>
      <left style="thin">
        <color rgb="FF000000"/>
      </left>
      <right style="thin">
        <color theme="1"/>
      </right>
      <top style="medium">
        <color rgb="FF000000"/>
      </top>
      <bottom/>
      <diagonal/>
    </border>
    <border>
      <left style="thin">
        <color theme="1"/>
      </left>
      <right style="thin">
        <color rgb="FFBFBFBF"/>
      </right>
      <top style="medium">
        <color rgb="FF000000"/>
      </top>
      <bottom/>
      <diagonal/>
    </border>
    <border>
      <left style="thin">
        <color rgb="FFBFBFBF"/>
      </left>
      <right/>
      <top style="medium">
        <color rgb="FF000000"/>
      </top>
      <bottom style="thin">
        <color rgb="FFBFBFBF"/>
      </bottom>
      <diagonal/>
    </border>
    <border>
      <left style="thin">
        <color rgb="FF000000"/>
      </left>
      <right style="thin">
        <color theme="1"/>
      </right>
      <top/>
      <bottom/>
      <diagonal/>
    </border>
    <border>
      <left style="thin">
        <color rgb="FFBFBFBF"/>
      </left>
      <right/>
      <top/>
      <bottom style="thin">
        <color rgb="FFBFBFBF"/>
      </bottom>
      <diagonal/>
    </border>
    <border>
      <left style="thin">
        <color rgb="FFBFBFBF"/>
      </left>
      <right/>
      <top style="thin">
        <color rgb="FF000000"/>
      </top>
      <bottom/>
      <diagonal/>
    </border>
    <border>
      <left style="thin">
        <color rgb="FFBFBFBF"/>
      </left>
      <right/>
      <top style="thin">
        <color rgb="FF000000"/>
      </top>
      <bottom style="thin">
        <color rgb="FFBFBFBF"/>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7B7B7"/>
      </bottom>
      <diagonal/>
    </border>
    <border>
      <left style="thin">
        <color rgb="FFBFBFBF"/>
      </left>
      <right/>
      <top style="thin">
        <color rgb="FFBFBFBF"/>
      </top>
      <bottom style="thin">
        <color rgb="FFA5A5A5"/>
      </bottom>
      <diagonal/>
    </border>
    <border>
      <left/>
      <right style="thin">
        <color rgb="FFBFBFBF"/>
      </right>
      <top/>
      <bottom style="thin">
        <color rgb="FFBFBFBF"/>
      </bottom>
      <diagonal/>
    </border>
    <border>
      <left style="thin">
        <color rgb="FF000000"/>
      </left>
      <right/>
      <top/>
      <bottom style="medium">
        <color rgb="FF000000"/>
      </bottom>
      <diagonal/>
    </border>
    <border>
      <left/>
      <right/>
      <top style="medium">
        <color rgb="FF000000"/>
      </top>
      <bottom/>
      <diagonal/>
    </border>
    <border>
      <left/>
      <right/>
      <top style="thin">
        <color rgb="FFBFBFBF"/>
      </top>
      <bottom style="thin">
        <color rgb="FFBFBFBF"/>
      </bottom>
      <diagonal/>
    </border>
    <border>
      <left/>
      <right/>
      <top style="thin">
        <color rgb="FFBFBFBF"/>
      </top>
      <bottom style="thin">
        <color rgb="FF000000"/>
      </bottom>
      <diagonal/>
    </border>
    <border>
      <left style="medium">
        <color rgb="FF000000"/>
      </left>
      <right/>
      <top/>
      <bottom style="thin">
        <color rgb="FFBFBFBF"/>
      </bottom>
      <diagonal/>
    </border>
    <border>
      <left style="medium">
        <color rgb="FF000000"/>
      </left>
      <right style="thin">
        <color rgb="FFA5A5A5"/>
      </right>
      <top/>
      <bottom/>
      <diagonal/>
    </border>
    <border>
      <left/>
      <right style="thin">
        <color rgb="FFA5A5A5"/>
      </right>
      <top/>
      <bottom style="thin">
        <color rgb="FFA5A5A5"/>
      </bottom>
      <diagonal/>
    </border>
    <border>
      <left style="thin">
        <color rgb="FFA5A5A5"/>
      </left>
      <right/>
      <top/>
      <bottom style="thin">
        <color rgb="FFA5A5A5"/>
      </bottom>
      <diagonal/>
    </border>
    <border>
      <left/>
      <right style="thin">
        <color rgb="FFA5A5A5"/>
      </right>
      <top style="thin">
        <color rgb="FF000000"/>
      </top>
      <bottom/>
      <diagonal/>
    </border>
    <border>
      <left style="thin">
        <color rgb="FFA5A5A5"/>
      </left>
      <right style="thin">
        <color rgb="FFA5A5A5"/>
      </right>
      <top style="thin">
        <color rgb="FF000000"/>
      </top>
      <bottom/>
      <diagonal/>
    </border>
    <border>
      <left/>
      <right style="thin">
        <color rgb="FFA5A5A5"/>
      </right>
      <top/>
      <bottom style="thin">
        <color rgb="FF000000"/>
      </bottom>
      <diagonal/>
    </border>
    <border>
      <left style="thin">
        <color rgb="FFA5A5A5"/>
      </left>
      <right style="thin">
        <color rgb="FFA5A5A5"/>
      </right>
      <top/>
      <bottom style="thin">
        <color rgb="FF000000"/>
      </bottom>
      <diagonal/>
    </border>
    <border>
      <left style="double">
        <color rgb="FF000000"/>
      </left>
      <right/>
      <top style="thin">
        <color rgb="FF000000"/>
      </top>
      <bottom/>
      <diagonal/>
    </border>
    <border>
      <left style="thin">
        <color rgb="FFCCCCCC"/>
      </left>
      <right style="thin">
        <color rgb="FFCCCCCC"/>
      </right>
      <top/>
      <bottom/>
      <diagonal/>
    </border>
    <border>
      <left/>
      <right style="thin">
        <color rgb="FFCCCCCC"/>
      </right>
      <top/>
      <bottom style="thin">
        <color rgb="FFCCCCCC"/>
      </bottom>
      <diagonal/>
    </border>
    <border>
      <left style="thin">
        <color rgb="FFCCCCCC"/>
      </left>
      <right style="thin">
        <color rgb="FFCCCCCC"/>
      </right>
      <top/>
      <bottom style="thin">
        <color rgb="FFCCCCCC"/>
      </bottom>
      <diagonal/>
    </border>
    <border>
      <left/>
      <right style="thin">
        <color rgb="FFCCCCCC"/>
      </right>
      <top style="thin">
        <color rgb="FFCCCCCC"/>
      </top>
      <bottom style="thin">
        <color rgb="FFCCCCCC"/>
      </bottom>
      <diagonal/>
    </border>
    <border>
      <left style="thin">
        <color rgb="FFCCCCCC"/>
      </left>
      <right style="thin">
        <color rgb="FFCCCCCC"/>
      </right>
      <top/>
      <bottom style="thin">
        <color rgb="FF000000"/>
      </bottom>
      <diagonal/>
    </border>
    <border>
      <left/>
      <right style="thin">
        <color rgb="FFCCCCCC"/>
      </right>
      <top/>
      <bottom/>
      <diagonal/>
    </border>
    <border>
      <left style="thin">
        <color rgb="FFA5A5A5"/>
      </left>
      <right/>
      <top/>
      <bottom/>
      <diagonal/>
    </border>
    <border>
      <left style="thin">
        <color rgb="FFA5A5A5"/>
      </left>
      <right/>
      <top/>
      <bottom style="thin">
        <color rgb="FF000000"/>
      </bottom>
      <diagonal/>
    </border>
    <border>
      <left style="thin">
        <color rgb="FFCCCCCC"/>
      </left>
      <right/>
      <top/>
      <bottom/>
      <diagonal/>
    </border>
    <border>
      <left/>
      <right style="thin">
        <color rgb="FFBFBFBF"/>
      </right>
      <top style="thin">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thin">
        <color rgb="FF000000"/>
      </bottom>
      <diagonal/>
    </border>
    <border>
      <left/>
      <right style="double">
        <color rgb="FF000000"/>
      </right>
      <top/>
      <bottom style="medium">
        <color rgb="FF000000"/>
      </bottom>
      <diagonal/>
    </border>
    <border>
      <left/>
      <right style="double">
        <color rgb="FF000000"/>
      </right>
      <top style="medium">
        <color rgb="FF000000"/>
      </top>
      <bottom/>
      <diagonal/>
    </border>
    <border>
      <left style="medium">
        <color rgb="FF000000"/>
      </left>
      <right style="thin">
        <color rgb="FFCCCCCC"/>
      </right>
      <top/>
      <bottom style="thin">
        <color rgb="FFCCCCCC"/>
      </bottom>
      <diagonal/>
    </border>
    <border>
      <left style="thin">
        <color rgb="FFCCCCCC"/>
      </left>
      <right/>
      <top style="thin">
        <color rgb="FFCCCCCC"/>
      </top>
      <bottom style="thin">
        <color rgb="FFCCCCCC"/>
      </bottom>
      <diagonal/>
    </border>
    <border>
      <left style="medium">
        <color rgb="FF000000"/>
      </left>
      <right style="thin">
        <color rgb="FFCCCCCC"/>
      </right>
      <top/>
      <bottom style="thin">
        <color rgb="FF000000"/>
      </bottom>
      <diagonal/>
    </border>
    <border>
      <left style="thin">
        <color rgb="FFCCCCCC"/>
      </left>
      <right/>
      <top/>
      <bottom style="thin">
        <color rgb="FFCCCCCC"/>
      </bottom>
      <diagonal/>
    </border>
    <border>
      <left/>
      <right style="double">
        <color rgb="FF000000"/>
      </right>
      <top/>
      <bottom/>
      <diagonal/>
    </border>
    <border>
      <left/>
      <right style="double">
        <color rgb="FF000000"/>
      </right>
      <top/>
      <bottom style="double">
        <color rgb="FF000000"/>
      </bottom>
      <diagonal/>
    </border>
    <border>
      <left/>
      <right style="thin">
        <color rgb="FFBFBFBF"/>
      </right>
      <top/>
      <bottom style="thin">
        <color rgb="FFBFBFBF"/>
      </bottom>
      <diagonal/>
    </border>
    <border>
      <left style="thin">
        <color rgb="FFB7B7B7"/>
      </left>
      <right style="thin">
        <color rgb="FFBFBFBF"/>
      </right>
      <top/>
      <bottom style="thin">
        <color rgb="FFBFBFBF"/>
      </bottom>
      <diagonal/>
    </border>
    <border>
      <left style="thin">
        <color rgb="FFBFBFBF"/>
      </left>
      <right style="thin">
        <color rgb="FFB7B7B7"/>
      </right>
      <top style="thin">
        <color rgb="FF000000"/>
      </top>
      <bottom/>
      <diagonal/>
    </border>
    <border>
      <left style="thin">
        <color rgb="FFBFBFBF"/>
      </left>
      <right style="thin">
        <color rgb="FFB7B7B7"/>
      </right>
      <top/>
      <bottom/>
      <diagonal/>
    </border>
    <border>
      <left style="thin">
        <color rgb="FFBFBFBF"/>
      </left>
      <right style="thin">
        <color rgb="FFB7B7B7"/>
      </right>
      <top/>
      <bottom style="thin">
        <color rgb="FF000000"/>
      </bottom>
      <diagonal/>
    </border>
    <border>
      <left style="thin">
        <color rgb="FF000000"/>
      </left>
      <right/>
      <top style="medium">
        <color rgb="FF000000"/>
      </top>
      <bottom/>
      <diagonal/>
    </border>
    <border>
      <left/>
      <right style="thin">
        <color rgb="FFB7B7B7"/>
      </right>
      <top style="medium">
        <color rgb="FF000000"/>
      </top>
      <bottom/>
      <diagonal/>
    </border>
    <border>
      <left style="thin">
        <color rgb="FFB7B7B7"/>
      </left>
      <right style="thin">
        <color rgb="FFBFBFBF"/>
      </right>
      <top style="medium">
        <color rgb="FF000000"/>
      </top>
      <bottom/>
      <diagonal/>
    </border>
    <border>
      <left/>
      <right style="thin">
        <color rgb="FFB7B7B7"/>
      </right>
      <top style="thin">
        <color rgb="FF000000"/>
      </top>
      <bottom/>
      <diagonal/>
    </border>
    <border>
      <left/>
      <right style="thin">
        <color rgb="FFB7B7B7"/>
      </right>
      <top/>
      <bottom/>
      <diagonal/>
    </border>
    <border>
      <left/>
      <right style="thin">
        <color rgb="FFB7B7B7"/>
      </right>
      <top/>
      <bottom style="thin">
        <color rgb="FF000000"/>
      </bottom>
      <diagonal/>
    </border>
    <border>
      <left style="thin">
        <color rgb="FF000000"/>
      </left>
      <right style="thin">
        <color rgb="FFB7B7B7"/>
      </right>
      <top style="thin">
        <color rgb="FF000000"/>
      </top>
      <bottom style="thin">
        <color rgb="FF000000"/>
      </bottom>
      <diagonal/>
    </border>
    <border>
      <left style="thin">
        <color rgb="FFB7B7B7"/>
      </left>
      <right style="thin">
        <color rgb="FFB7B7B7"/>
      </right>
      <top style="thin">
        <color rgb="FF000000"/>
      </top>
      <bottom style="thin">
        <color rgb="FF000000"/>
      </bottom>
      <diagonal/>
    </border>
    <border>
      <left/>
      <right/>
      <top/>
      <bottom style="double">
        <color rgb="FF000000"/>
      </bottom>
      <diagonal/>
    </border>
    <border>
      <left/>
      <right style="double">
        <color rgb="FF000000"/>
      </right>
      <top style="thin">
        <color rgb="FF000000"/>
      </top>
      <bottom style="thin">
        <color rgb="FF000000"/>
      </bottom>
      <diagonal/>
    </border>
    <border>
      <left/>
      <right style="thin">
        <color theme="1"/>
      </right>
      <top style="medium">
        <color rgb="FF000000"/>
      </top>
      <bottom/>
      <diagonal/>
    </border>
    <border>
      <left style="thin">
        <color rgb="FFB7B7B7"/>
      </left>
      <right style="thin">
        <color rgb="FFB7B7B7"/>
      </right>
      <top/>
      <bottom style="thin">
        <color rgb="FFB7B7B7"/>
      </bottom>
      <diagonal/>
    </border>
    <border>
      <left style="thin">
        <color rgb="FFB7B7B7"/>
      </left>
      <right style="thin">
        <color rgb="FFBFBFBF"/>
      </right>
      <top/>
      <bottom style="thin">
        <color rgb="FFB7B7B7"/>
      </bottom>
      <diagonal/>
    </border>
    <border>
      <left style="thin">
        <color rgb="FFB7B7B7"/>
      </left>
      <right style="thin">
        <color rgb="FFBFBFBF"/>
      </right>
      <top style="thin">
        <color rgb="FFB7B7B7"/>
      </top>
      <bottom style="thin">
        <color rgb="FFB7B7B7"/>
      </bottom>
      <diagonal/>
    </border>
    <border>
      <left style="thin">
        <color rgb="FFB7B7B7"/>
      </left>
      <right style="thin">
        <color rgb="FFBFBFBF"/>
      </right>
      <top style="thin">
        <color rgb="FFB7B7B7"/>
      </top>
      <bottom style="thin">
        <color rgb="FF000000"/>
      </bottom>
      <diagonal/>
    </border>
    <border>
      <left/>
      <right style="thin">
        <color rgb="FFB7B7B7"/>
      </right>
      <top/>
      <bottom style="thin">
        <color rgb="FFB7B7B7"/>
      </bottom>
      <diagonal/>
    </border>
    <border>
      <left/>
      <right style="thin">
        <color rgb="FFB7B7B7"/>
      </right>
      <top style="thin">
        <color rgb="FFB7B7B7"/>
      </top>
      <bottom style="thin">
        <color rgb="FFBFBFBF"/>
      </bottom>
      <diagonal/>
    </border>
    <border>
      <left style="thin">
        <color rgb="FFB7B7B7"/>
      </left>
      <right style="thin">
        <color rgb="FFB7B7B7"/>
      </right>
      <top style="thin">
        <color rgb="FFB7B7B7"/>
      </top>
      <bottom style="thin">
        <color rgb="FFBFBFBF"/>
      </bottom>
      <diagonal/>
    </border>
    <border>
      <left style="thin">
        <color rgb="FFB7B7B7"/>
      </left>
      <right style="thin">
        <color rgb="FFBFBFBF"/>
      </right>
      <top style="thin">
        <color rgb="FFB7B7B7"/>
      </top>
      <bottom style="thin">
        <color rgb="FFBFBFBF"/>
      </bottom>
      <diagonal/>
    </border>
    <border>
      <left style="double">
        <color rgb="FF000000"/>
      </left>
      <right/>
      <top/>
      <bottom style="thin">
        <color rgb="FF000000"/>
      </bottom>
      <diagonal/>
    </border>
    <border>
      <left/>
      <right style="thin">
        <color theme="1"/>
      </right>
      <top/>
      <bottom style="thin">
        <color rgb="FF000000"/>
      </bottom>
      <diagonal/>
    </border>
    <border>
      <left/>
      <right style="thin">
        <color theme="1"/>
      </right>
      <top style="thin">
        <color rgb="FF000000"/>
      </top>
      <bottom/>
      <diagonal/>
    </border>
    <border>
      <left style="thin">
        <color rgb="FFB7B7B7"/>
      </left>
      <right style="thin">
        <color rgb="FFB7B7B7"/>
      </right>
      <top style="thin">
        <color rgb="FFBFBFBF"/>
      </top>
      <bottom style="thin">
        <color rgb="FFB7B7B7"/>
      </bottom>
      <diagonal/>
    </border>
    <border>
      <left style="double">
        <color rgb="FF000000"/>
      </left>
      <right/>
      <top/>
      <bottom/>
      <diagonal/>
    </border>
    <border>
      <left/>
      <right style="thin">
        <color theme="1"/>
      </right>
      <top/>
      <bottom/>
      <diagonal/>
    </border>
    <border>
      <left style="double">
        <color rgb="FF000000"/>
      </left>
      <right/>
      <top/>
      <bottom style="double">
        <color rgb="FF000000"/>
      </bottom>
      <diagonal/>
    </border>
    <border>
      <left style="thin">
        <color rgb="FFBFBFBF"/>
      </left>
      <right/>
      <top style="medium">
        <color rgb="FF000000"/>
      </top>
      <bottom/>
      <diagonal/>
    </border>
    <border>
      <left style="thin">
        <color rgb="FFBFBFBF"/>
      </left>
      <right/>
      <top/>
      <bottom style="medium">
        <color rgb="FF000000"/>
      </bottom>
      <diagonal/>
    </border>
    <border>
      <left/>
      <right/>
      <top/>
      <bottom/>
      <diagonal/>
    </border>
    <border>
      <left/>
      <right/>
      <top/>
      <bottom style="thin">
        <color rgb="FF000000"/>
      </bottom>
      <diagonal/>
    </border>
    <border>
      <left style="thin">
        <color rgb="FFE36C09"/>
      </left>
      <right style="thin">
        <color rgb="FFE36C09"/>
      </right>
      <top/>
      <bottom/>
      <diagonal/>
    </border>
    <border>
      <left style="thin">
        <color rgb="FFE36C09"/>
      </left>
      <right/>
      <top/>
      <bottom/>
      <diagonal/>
    </border>
    <border>
      <left style="thin">
        <color rgb="FFE36C09"/>
      </left>
      <right style="thin">
        <color rgb="FFE36C09"/>
      </right>
      <top style="medium">
        <color rgb="FF000000"/>
      </top>
      <bottom style="medium">
        <color rgb="FF000000"/>
      </bottom>
      <diagonal/>
    </border>
    <border>
      <left/>
      <right style="thin">
        <color rgb="FFB7B7B7"/>
      </right>
      <top style="medium">
        <color rgb="FF000000"/>
      </top>
      <bottom style="thin">
        <color rgb="FFB7B7B7"/>
      </bottom>
      <diagonal/>
    </border>
    <border>
      <left style="thin">
        <color rgb="FF000000"/>
      </left>
      <right style="medium">
        <color rgb="FF000000"/>
      </right>
      <top style="thin">
        <color rgb="FF000000"/>
      </top>
      <bottom/>
      <diagonal/>
    </border>
    <border>
      <left/>
      <right/>
      <top/>
      <bottom style="medium">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thin">
        <color rgb="FF000000"/>
      </left>
      <right style="double">
        <color rgb="FF000000"/>
      </right>
      <top/>
      <bottom style="double">
        <color rgb="FF000000"/>
      </bottom>
      <diagonal/>
    </border>
    <border>
      <left style="thin">
        <color rgb="FF000000"/>
      </left>
      <right style="medium">
        <color rgb="FF000000"/>
      </right>
      <top/>
      <bottom style="thin">
        <color rgb="FF000000"/>
      </bottom>
      <diagonal/>
    </border>
    <border>
      <left style="double">
        <color rgb="FF000000"/>
      </left>
      <right/>
      <top style="medium">
        <color rgb="FF000000"/>
      </top>
      <bottom style="thin">
        <color rgb="FF000000"/>
      </bottom>
      <diagonal/>
    </border>
    <border>
      <left style="thin">
        <color rgb="FF000000"/>
      </left>
      <right style="double">
        <color rgb="FF000000"/>
      </right>
      <top style="medium">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top style="thin">
        <color rgb="FF000000"/>
      </top>
      <bottom style="medium">
        <color rgb="FF000000"/>
      </bottom>
      <diagonal/>
    </border>
    <border>
      <left style="thin">
        <color rgb="FF000000"/>
      </left>
      <right style="double">
        <color rgb="FF000000"/>
      </right>
      <top style="thin">
        <color rgb="FF000000"/>
      </top>
      <bottom style="medium">
        <color rgb="FF000000"/>
      </bottom>
      <diagonal/>
    </border>
    <border>
      <left style="double">
        <color rgb="FF000000"/>
      </left>
      <right/>
      <top style="medium">
        <color rgb="FF000000"/>
      </top>
      <bottom style="double">
        <color rgb="FF000000"/>
      </bottom>
      <diagonal/>
    </border>
    <border>
      <left style="thin">
        <color rgb="FF000000"/>
      </left>
      <right style="double">
        <color rgb="FF000000"/>
      </right>
      <top style="medium">
        <color rgb="FF000000"/>
      </top>
      <bottom style="double">
        <color rgb="FF000000"/>
      </bottom>
      <diagonal/>
    </border>
    <border>
      <left/>
      <right/>
      <top style="double">
        <color rgb="FF000000"/>
      </top>
      <bottom/>
      <diagonal/>
    </border>
    <border>
      <left style="medium">
        <color rgb="FFB7B7B7"/>
      </left>
      <right/>
      <top/>
      <bottom/>
      <diagonal/>
    </border>
    <border>
      <left style="thin">
        <color rgb="FF000000"/>
      </left>
      <right style="thin">
        <color rgb="FF999999"/>
      </right>
      <top/>
      <bottom/>
      <diagonal/>
    </border>
    <border>
      <left style="thin">
        <color rgb="FF999999"/>
      </left>
      <right style="thin">
        <color rgb="FF999999"/>
      </right>
      <top/>
      <bottom/>
      <diagonal/>
    </border>
    <border>
      <left style="thin">
        <color rgb="FF999999"/>
      </left>
      <right style="thin">
        <color rgb="FF000000"/>
      </right>
      <top/>
      <bottom/>
      <diagonal/>
    </border>
    <border>
      <left style="thin">
        <color rgb="FF000000"/>
      </left>
      <right style="thin">
        <color rgb="FF999999"/>
      </right>
      <top/>
      <bottom style="thin">
        <color rgb="FF000000"/>
      </bottom>
      <diagonal/>
    </border>
    <border>
      <left style="thin">
        <color rgb="FF999999"/>
      </left>
      <right style="thin">
        <color rgb="FF999999"/>
      </right>
      <top/>
      <bottom style="thin">
        <color rgb="FF000000"/>
      </bottom>
      <diagonal/>
    </border>
    <border>
      <left style="thin">
        <color rgb="FF999999"/>
      </left>
      <right style="thin">
        <color rgb="FF000000"/>
      </right>
      <top/>
      <bottom style="thin">
        <color rgb="FF000000"/>
      </bottom>
      <diagonal/>
    </border>
    <border>
      <left style="thin">
        <color rgb="FF000000"/>
      </left>
      <right style="thin">
        <color rgb="FF999999"/>
      </right>
      <top style="thin">
        <color rgb="FF000000"/>
      </top>
      <bottom/>
      <diagonal/>
    </border>
    <border>
      <left style="thin">
        <color rgb="FF999999"/>
      </left>
      <right style="thin">
        <color rgb="FF999999"/>
      </right>
      <top style="thin">
        <color rgb="FF000000"/>
      </top>
      <bottom/>
      <diagonal/>
    </border>
    <border>
      <left style="thin">
        <color rgb="FF999999"/>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double">
        <color rgb="FF000000"/>
      </left>
      <right/>
      <top/>
      <bottom/>
      <diagonal/>
    </border>
    <border>
      <left style="double">
        <color rgb="FF000000"/>
      </left>
      <right/>
      <top/>
      <bottom style="medium">
        <color rgb="FF000000"/>
      </bottom>
      <diagonal/>
    </border>
    <border>
      <left style="thin">
        <color rgb="FF999999"/>
      </left>
      <right style="thin">
        <color rgb="FF999999"/>
      </right>
      <top style="medium">
        <color rgb="FF000000"/>
      </top>
      <bottom/>
      <diagonal/>
    </border>
    <border>
      <left style="thin">
        <color rgb="FF999999"/>
      </left>
      <right style="thin">
        <color rgb="FF999999"/>
      </right>
      <top/>
      <bottom/>
      <diagonal/>
    </border>
    <border>
      <left style="thin">
        <color rgb="FF000000"/>
      </left>
      <right style="thin">
        <color rgb="FFBFBFBF"/>
      </right>
      <top/>
      <bottom/>
      <diagonal/>
    </border>
    <border>
      <left/>
      <right/>
      <top/>
      <bottom style="thin">
        <color rgb="FFBFBFBF"/>
      </bottom>
      <diagonal/>
    </border>
    <border>
      <left style="medium">
        <color rgb="FF000000"/>
      </left>
      <right style="thin">
        <color rgb="FFBFBFBF"/>
      </right>
      <top/>
      <bottom style="thin">
        <color rgb="FFCCCCCC"/>
      </bottom>
      <diagonal/>
    </border>
    <border>
      <left/>
      <right style="thin">
        <color rgb="FFBFBFBF"/>
      </right>
      <top/>
      <bottom/>
      <diagonal/>
    </border>
    <border>
      <left style="medium">
        <color rgb="FF000000"/>
      </left>
      <right/>
      <top style="thin">
        <color rgb="FFBFBFBF"/>
      </top>
      <bottom style="thin">
        <color rgb="FF000000"/>
      </bottom>
      <diagonal/>
    </border>
    <border>
      <left style="double">
        <color rgb="FF000000"/>
      </left>
      <right/>
      <top/>
      <bottom/>
      <diagonal/>
    </border>
    <border>
      <left/>
      <right/>
      <top style="thin">
        <color rgb="FF000000"/>
      </top>
      <bottom style="medium">
        <color rgb="FF000000"/>
      </bottom>
      <diagonal/>
    </border>
    <border>
      <left style="thin">
        <color rgb="FFBFBFBF"/>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double">
        <color rgb="FF000000"/>
      </right>
      <top style="thin">
        <color rgb="FF000000"/>
      </top>
      <bottom/>
      <diagonal/>
    </border>
    <border>
      <left style="thin">
        <color rgb="FF999999"/>
      </left>
      <right style="thin">
        <color rgb="FFBFBFBF"/>
      </right>
      <top/>
      <bottom/>
      <diagonal/>
    </border>
    <border>
      <left style="thin">
        <color rgb="FF999999"/>
      </left>
      <right style="thin">
        <color rgb="FFBFBFBF"/>
      </right>
      <top/>
      <bottom/>
      <diagonal/>
    </border>
    <border>
      <left style="thin">
        <color rgb="FF999999"/>
      </left>
      <right style="thin">
        <color rgb="FFBFBFBF"/>
      </right>
      <top/>
      <bottom style="thin">
        <color rgb="FF000000"/>
      </bottom>
      <diagonal/>
    </border>
    <border>
      <left style="thin">
        <color rgb="FFBFBFBF"/>
      </left>
      <right style="thin">
        <color rgb="FF999999"/>
      </right>
      <top/>
      <bottom/>
      <diagonal/>
    </border>
    <border>
      <left style="thin">
        <color rgb="FFBFBFBF"/>
      </left>
      <right style="thin">
        <color rgb="FF999999"/>
      </right>
      <top/>
      <bottom style="thin">
        <color rgb="FF000000"/>
      </bottom>
      <diagonal/>
    </border>
    <border>
      <left style="double">
        <color rgb="FF000000"/>
      </left>
      <right style="thin">
        <color rgb="FF4F6128"/>
      </right>
      <top style="double">
        <color rgb="FF000000"/>
      </top>
      <bottom/>
      <diagonal/>
    </border>
    <border>
      <left style="double">
        <color rgb="FF000000"/>
      </left>
      <right style="thin">
        <color rgb="FF4F6128"/>
      </right>
      <top/>
      <bottom/>
      <diagonal/>
    </border>
    <border>
      <left style="double">
        <color rgb="FF000000"/>
      </left>
      <right style="thin">
        <color rgb="FF4F6128"/>
      </right>
      <top/>
      <bottom style="medium">
        <color rgb="FF000000"/>
      </bottom>
      <diagonal/>
    </border>
    <border>
      <left style="double">
        <color rgb="FF000000"/>
      </left>
      <right style="thin">
        <color theme="1"/>
      </right>
      <top style="medium">
        <color rgb="FF000000"/>
      </top>
      <bottom/>
      <diagonal/>
    </border>
    <border>
      <left style="thin">
        <color theme="1"/>
      </left>
      <right style="thin">
        <color rgb="FF000000"/>
      </right>
      <top style="medium">
        <color rgb="FF000000"/>
      </top>
      <bottom/>
      <diagonal/>
    </border>
    <border>
      <left style="double">
        <color rgb="FF000000"/>
      </left>
      <right style="thin">
        <color theme="1"/>
      </right>
      <top/>
      <bottom/>
      <diagonal/>
    </border>
    <border>
      <left style="thin">
        <color theme="1"/>
      </left>
      <right style="thin">
        <color rgb="FF000000"/>
      </right>
      <top/>
      <bottom/>
      <diagonal/>
    </border>
    <border>
      <left style="thin">
        <color theme="1"/>
      </left>
      <right style="thin">
        <color rgb="FF000000"/>
      </right>
      <top/>
      <bottom style="thin">
        <color rgb="FF000000"/>
      </bottom>
      <diagonal/>
    </border>
    <border>
      <left style="thin">
        <color theme="1"/>
      </left>
      <right style="thin">
        <color rgb="FF000000"/>
      </right>
      <top style="thin">
        <color rgb="FF000000"/>
      </top>
      <bottom/>
      <diagonal/>
    </border>
    <border>
      <left style="double">
        <color rgb="FF000000"/>
      </left>
      <right style="thin">
        <color theme="1"/>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BFBFBF"/>
      </left>
      <right style="thin">
        <color rgb="FF000000"/>
      </right>
      <top style="thin">
        <color rgb="FF000000"/>
      </top>
      <bottom/>
      <diagonal/>
    </border>
    <border>
      <left style="thin">
        <color rgb="FFBFBFBF"/>
      </left>
      <right style="thin">
        <color rgb="FF000000"/>
      </right>
      <top/>
      <bottom/>
      <diagonal/>
    </border>
    <border>
      <left style="thin">
        <color rgb="FFBFBFBF"/>
      </left>
      <right style="thin">
        <color rgb="FF000000"/>
      </right>
      <top/>
      <bottom style="thin">
        <color rgb="FF000000"/>
      </bottom>
      <diagonal/>
    </border>
    <border>
      <left style="thin">
        <color rgb="FFBFBFBF"/>
      </left>
      <right style="medium">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BFBFBF"/>
      </left>
      <right/>
      <top style="thin">
        <color rgb="FF000000"/>
      </top>
      <bottom/>
      <diagonal/>
    </border>
    <border>
      <left style="thin">
        <color rgb="FFBFBFBF"/>
      </left>
      <right/>
      <top/>
      <bottom/>
      <diagonal/>
    </border>
    <border>
      <left/>
      <right style="thin">
        <color rgb="FF000000"/>
      </right>
      <top style="medium">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BFBFBF"/>
      </left>
      <right style="thin">
        <color rgb="FF000000"/>
      </right>
      <top style="medium">
        <color rgb="FF000000"/>
      </top>
      <bottom/>
      <diagonal/>
    </border>
    <border>
      <left style="thin">
        <color rgb="FFBFBFBF"/>
      </left>
      <right style="thin">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double">
        <color rgb="FF000000"/>
      </right>
      <top style="thin">
        <color rgb="FF000000"/>
      </top>
      <bottom/>
      <diagonal/>
    </border>
    <border>
      <left style="medium">
        <color rgb="FF000000"/>
      </left>
      <right style="double">
        <color rgb="FF000000"/>
      </right>
      <top/>
      <bottom/>
      <diagonal/>
    </border>
    <border>
      <left style="thin">
        <color rgb="FFBFBFBF"/>
      </left>
      <right style="medium">
        <color rgb="FF000000"/>
      </right>
      <top/>
      <bottom style="thin">
        <color rgb="FF000000"/>
      </bottom>
      <diagonal/>
    </border>
    <border>
      <left style="medium">
        <color rgb="FF000000"/>
      </left>
      <right style="double">
        <color rgb="FF000000"/>
      </right>
      <top/>
      <bottom style="thin">
        <color rgb="FF000000"/>
      </bottom>
      <diagonal/>
    </border>
    <border>
      <left style="double">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E36C09"/>
      </right>
      <top style="medium">
        <color rgb="FF000000"/>
      </top>
      <bottom style="medium">
        <color rgb="FF000000"/>
      </bottom>
      <diagonal/>
    </border>
    <border>
      <left style="thin">
        <color rgb="FFE36C09"/>
      </left>
      <right/>
      <top style="medium">
        <color rgb="FF000000"/>
      </top>
      <bottom style="medium">
        <color rgb="FF000000"/>
      </bottom>
      <diagonal/>
    </border>
    <border>
      <left style="double">
        <color rgb="FF000000"/>
      </left>
      <right style="thin">
        <color theme="1"/>
      </right>
      <top style="medium">
        <color rgb="FF000000"/>
      </top>
      <bottom/>
      <diagonal/>
    </border>
    <border>
      <left style="double">
        <color rgb="FF000000"/>
      </left>
      <right style="thin">
        <color theme="1"/>
      </right>
      <top/>
      <bottom style="thin">
        <color rgb="FF000000"/>
      </bottom>
      <diagonal/>
    </border>
    <border>
      <left/>
      <right style="double">
        <color rgb="FF000000"/>
      </right>
      <top/>
      <bottom style="thin">
        <color rgb="FFBFBFBF"/>
      </bottom>
      <diagonal/>
    </border>
    <border>
      <left style="thin">
        <color rgb="FFBFBFBF"/>
      </left>
      <right style="double">
        <color rgb="FF000000"/>
      </right>
      <top style="thin">
        <color rgb="FFBFBFBF"/>
      </top>
      <bottom style="thin">
        <color rgb="FFBFBFBF"/>
      </bottom>
      <diagonal/>
    </border>
    <border>
      <left style="thin">
        <color rgb="FFBFBFBF"/>
      </left>
      <right style="thin">
        <color rgb="FFBFBFBF"/>
      </right>
      <top style="medium">
        <color rgb="FF000000"/>
      </top>
      <bottom/>
      <diagonal/>
    </border>
    <border>
      <left style="thin">
        <color rgb="FF000000"/>
      </left>
      <right/>
      <top style="medium">
        <color rgb="FF000000"/>
      </top>
      <bottom style="thin">
        <color rgb="FF000000"/>
      </bottom>
      <diagonal/>
    </border>
    <border>
      <left style="thin">
        <color theme="1"/>
      </left>
      <right style="thin">
        <color rgb="FFBFBFBF"/>
      </right>
      <top/>
      <bottom style="medium">
        <color rgb="FF000000"/>
      </bottom>
      <diagonal/>
    </border>
    <border>
      <left style="double">
        <color rgb="FF000000"/>
      </left>
      <right style="thin">
        <color theme="1"/>
      </right>
      <top style="thin">
        <color rgb="FF000000"/>
      </top>
      <bottom/>
      <diagonal/>
    </border>
    <border>
      <left style="thin">
        <color rgb="FF000000"/>
      </left>
      <right style="double">
        <color rgb="FF000000"/>
      </right>
      <top style="medium">
        <color rgb="FF000000"/>
      </top>
      <bottom style="thin">
        <color rgb="FFBFBFBF"/>
      </bottom>
      <diagonal/>
    </border>
    <border>
      <left style="thin">
        <color rgb="FF000000"/>
      </left>
      <right style="double">
        <color rgb="FF000000"/>
      </right>
      <top style="thin">
        <color rgb="FFBFBFBF"/>
      </top>
      <bottom style="thin">
        <color rgb="FFBFBFBF"/>
      </bottom>
      <diagonal/>
    </border>
    <border>
      <left style="thin">
        <color rgb="FF000000"/>
      </left>
      <right style="double">
        <color rgb="FF000000"/>
      </right>
      <top/>
      <bottom style="thin">
        <color rgb="FFBFBFBF"/>
      </bottom>
      <diagonal/>
    </border>
    <border>
      <left style="thin">
        <color rgb="FF000000"/>
      </left>
      <right style="double">
        <color rgb="FF000000"/>
      </right>
      <top style="thin">
        <color rgb="FFBFBFBF"/>
      </top>
      <bottom style="thin">
        <color rgb="FF000000"/>
      </bottom>
      <diagonal/>
    </border>
    <border>
      <left style="double">
        <color rgb="FF000000"/>
      </left>
      <right style="thin">
        <color theme="1"/>
      </right>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diagonal/>
    </border>
    <border>
      <left/>
      <right style="thin">
        <color rgb="FFBFBFBF"/>
      </right>
      <top style="medium">
        <color rgb="FF000000"/>
      </top>
      <bottom/>
      <diagonal/>
    </border>
    <border>
      <left style="thin">
        <color rgb="FFBFBFBF"/>
      </left>
      <right style="medium">
        <color rgb="FF000000"/>
      </right>
      <top/>
      <bottom style="thin">
        <color rgb="FFBFBFBF"/>
      </bottom>
      <diagonal/>
    </border>
    <border>
      <left/>
      <right style="thin">
        <color rgb="FFBFBFBF"/>
      </right>
      <top style="thin">
        <color rgb="FFBFBFBF"/>
      </top>
      <bottom/>
      <diagonal/>
    </border>
    <border>
      <left style="thin">
        <color rgb="FFBFBFBF"/>
      </left>
      <right style="medium">
        <color rgb="FF000000"/>
      </right>
      <top style="thin">
        <color rgb="FFBFBFBF"/>
      </top>
      <bottom/>
      <diagonal/>
    </border>
    <border>
      <left/>
      <right style="thin">
        <color rgb="FFBFBFBF"/>
      </right>
      <top style="thin">
        <color rgb="FFBFBFBF"/>
      </top>
      <bottom style="medium">
        <color rgb="FF000000"/>
      </bottom>
      <diagonal/>
    </border>
    <border>
      <left style="double">
        <color rgb="FF000000"/>
      </left>
      <right/>
      <top/>
      <bottom/>
      <diagonal/>
    </border>
    <border>
      <left/>
      <right/>
      <top/>
      <bottom style="thin">
        <color rgb="FFBFBFBF"/>
      </bottom>
      <diagonal/>
    </border>
    <border>
      <left/>
      <right/>
      <top style="thin">
        <color rgb="FF000000"/>
      </top>
      <bottom style="thin">
        <color rgb="FFBFBFBF"/>
      </bottom>
      <diagonal/>
    </border>
    <border>
      <left style="thin">
        <color rgb="FFBFBFBF"/>
      </left>
      <right/>
      <top/>
      <bottom style="thin">
        <color rgb="FFBFBFBF"/>
      </bottom>
      <diagonal/>
    </border>
    <border>
      <left style="thin">
        <color rgb="FFBFBFBF"/>
      </left>
      <right/>
      <top style="thin">
        <color rgb="FF000000"/>
      </top>
      <bottom style="thin">
        <color rgb="FFBFBFBF"/>
      </bottom>
      <diagonal/>
    </border>
    <border>
      <left style="thin">
        <color theme="1"/>
      </left>
      <right style="thin">
        <color rgb="FFBFBFBF"/>
      </right>
      <top style="thin">
        <color theme="1"/>
      </top>
      <bottom/>
      <diagonal/>
    </border>
    <border>
      <left/>
      <right style="thin">
        <color rgb="FFBFBFBF"/>
      </right>
      <top/>
      <bottom style="thin">
        <color rgb="FF000000"/>
      </bottom>
      <diagonal/>
    </border>
    <border>
      <left style="medium">
        <color rgb="FFB7B7B7"/>
      </left>
      <right style="thin">
        <color rgb="FFCCCCCC"/>
      </right>
      <top style="medium">
        <color rgb="FF000000"/>
      </top>
      <bottom style="thin">
        <color rgb="FFCCCCCC"/>
      </bottom>
      <diagonal/>
    </border>
    <border>
      <left style="thin">
        <color rgb="FFCCCCCC"/>
      </left>
      <right style="thin">
        <color rgb="FFCCCCCC"/>
      </right>
      <top style="medium">
        <color rgb="FF000000"/>
      </top>
      <bottom style="thin">
        <color rgb="FFCCCCCC"/>
      </bottom>
      <diagonal/>
    </border>
    <border>
      <left style="medium">
        <color rgb="FFB7B7B7"/>
      </left>
      <right style="thin">
        <color rgb="FFCCCCCC"/>
      </right>
      <top style="thin">
        <color rgb="FFCCCCCC"/>
      </top>
      <bottom style="thin">
        <color rgb="FFCCCCCC"/>
      </bottom>
      <diagonal/>
    </border>
    <border>
      <left style="medium">
        <color rgb="FFB7B7B7"/>
      </left>
      <right style="thin">
        <color rgb="FFCCCCCC"/>
      </right>
      <top style="thin">
        <color rgb="FFCCCCCC"/>
      </top>
      <bottom style="thin">
        <color rgb="FF000000"/>
      </bottom>
      <diagonal/>
    </border>
    <border>
      <left style="medium">
        <color rgb="FFB7B7B7"/>
      </left>
      <right style="thin">
        <color rgb="FFCCCCCC"/>
      </right>
      <top/>
      <bottom style="thin">
        <color rgb="FFCCCCCC"/>
      </bottom>
      <diagonal/>
    </border>
    <border>
      <left style="thin">
        <color rgb="FFB7B7B7"/>
      </left>
      <right style="thin">
        <color rgb="FFB7B7B7"/>
      </right>
      <top/>
      <bottom style="medium">
        <color rgb="FF000000"/>
      </bottom>
      <diagonal/>
    </border>
    <border>
      <left style="thin">
        <color rgb="FFB7B7B7"/>
      </left>
      <right/>
      <top/>
      <bottom style="medium">
        <color rgb="FF000000"/>
      </bottom>
      <diagonal/>
    </border>
    <border>
      <left style="medium">
        <color rgb="FFB7B7B7"/>
      </left>
      <right style="thin">
        <color rgb="FFCCCCCC"/>
      </right>
      <top style="thin">
        <color rgb="FFCCCCCC"/>
      </top>
      <bottom style="medium">
        <color rgb="FF000000"/>
      </bottom>
      <diagonal/>
    </border>
    <border>
      <left style="thin">
        <color rgb="FFCCCCCC"/>
      </left>
      <right style="thin">
        <color rgb="FFCCCCCC"/>
      </right>
      <top style="thin">
        <color rgb="FFCCCCCC"/>
      </top>
      <bottom style="medium">
        <color rgb="FF000000"/>
      </bottom>
      <diagonal/>
    </border>
    <border>
      <left style="medium">
        <color rgb="FFB7B7B7"/>
      </left>
      <right style="thin">
        <color rgb="FFCCCCCC"/>
      </right>
      <top style="thin">
        <color rgb="FF000000"/>
      </top>
      <bottom style="thin">
        <color rgb="FFCCCCCC"/>
      </bottom>
      <diagonal/>
    </border>
    <border>
      <left style="thin">
        <color rgb="FFB7B7B7"/>
      </left>
      <right style="thin">
        <color rgb="FFB7B7B7"/>
      </right>
      <top style="thin">
        <color rgb="FF000000"/>
      </top>
      <bottom/>
      <diagonal/>
    </border>
    <border>
      <left style="thin">
        <color rgb="FFB7B7B7"/>
      </left>
      <right/>
      <top style="thin">
        <color rgb="FF000000"/>
      </top>
      <bottom style="thin">
        <color rgb="FF000000"/>
      </bottom>
      <diagonal/>
    </border>
    <border>
      <left/>
      <right/>
      <top style="thin">
        <color rgb="FFCCCCCC"/>
      </top>
      <bottom style="thin">
        <color rgb="FFCCCCCC"/>
      </bottom>
      <diagonal/>
    </border>
    <border>
      <left/>
      <right/>
      <top/>
      <bottom style="thin">
        <color rgb="FFCCCCCC"/>
      </bottom>
      <diagonal/>
    </border>
    <border>
      <left style="medium">
        <color rgb="FFB7B7B7"/>
      </left>
      <right style="thin">
        <color rgb="FFCCCCCC"/>
      </right>
      <top style="thin">
        <color rgb="FFCCCCCC"/>
      </top>
      <bottom/>
      <diagonal/>
    </border>
    <border>
      <left style="thin">
        <color rgb="FFB7B7B7"/>
      </left>
      <right style="thin">
        <color rgb="FFB7B7B7"/>
      </right>
      <top style="medium">
        <color rgb="FF000000"/>
      </top>
      <bottom/>
      <diagonal/>
    </border>
    <border>
      <left style="thin">
        <color rgb="FFB7B7B7"/>
      </left>
      <right/>
      <top style="medium">
        <color rgb="FF000000"/>
      </top>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A5A5A5"/>
      </left>
      <right/>
      <top style="medium">
        <color rgb="FF000000"/>
      </top>
      <bottom style="thin">
        <color rgb="FFA5A5A5"/>
      </bottom>
      <diagonal/>
    </border>
    <border>
      <left style="thin">
        <color rgb="FFA5A5A5"/>
      </left>
      <right/>
      <top style="thin">
        <color rgb="FFA5A5A5"/>
      </top>
      <bottom style="medium">
        <color rgb="FF000000"/>
      </bottom>
      <diagonal/>
    </border>
    <border>
      <left style="thin">
        <color rgb="FFA5A5A5"/>
      </left>
      <right style="thin">
        <color theme="0" tint="-0.24994659260841701"/>
      </right>
      <top style="thin">
        <color rgb="FFA5A5A5"/>
      </top>
      <bottom style="thin">
        <color rgb="FFA5A5A5"/>
      </bottom>
      <diagonal/>
    </border>
    <border>
      <left style="thin">
        <color rgb="FFA5A5A5"/>
      </left>
      <right style="thin">
        <color theme="0" tint="-0.24994659260841701"/>
      </right>
      <top style="thin">
        <color rgb="FF000000"/>
      </top>
      <bottom style="thin">
        <color rgb="FFA5A5A5"/>
      </bottom>
      <diagonal/>
    </border>
    <border>
      <left style="thin">
        <color rgb="FFA5A5A5"/>
      </left>
      <right style="thin">
        <color theme="0" tint="-0.24994659260841701"/>
      </right>
      <top/>
      <bottom style="thin">
        <color rgb="FFA5A5A5"/>
      </bottom>
      <diagonal/>
    </border>
    <border>
      <left style="thin">
        <color rgb="FFA5A5A5"/>
      </left>
      <right style="thin">
        <color rgb="FFA5A5A5"/>
      </right>
      <top style="thin">
        <color rgb="FFA5A5A5"/>
      </top>
      <bottom style="thin">
        <color indexed="64"/>
      </bottom>
      <diagonal/>
    </border>
    <border>
      <left style="thin">
        <color rgb="FFA5A5A5"/>
      </left>
      <right style="thin">
        <color theme="0" tint="-0.24994659260841701"/>
      </right>
      <top style="thin">
        <color rgb="FFA5A5A5"/>
      </top>
      <bottom style="thin">
        <color indexed="64"/>
      </bottom>
      <diagonal/>
    </border>
    <border>
      <left style="medium">
        <color rgb="FF000000"/>
      </left>
      <right style="thin">
        <color rgb="FFA5A5A5"/>
      </right>
      <top style="thin">
        <color rgb="FFA5A5A5"/>
      </top>
      <bottom style="thin">
        <color indexed="64"/>
      </bottom>
      <diagonal/>
    </border>
    <border>
      <left style="medium">
        <color rgb="FF000000"/>
      </left>
      <right style="thin">
        <color rgb="FFA5A5A5"/>
      </right>
      <top style="thin">
        <color rgb="FFA5A5A5"/>
      </top>
      <bottom style="medium">
        <color rgb="FF000000"/>
      </bottom>
      <diagonal/>
    </border>
    <border>
      <left style="thin">
        <color rgb="FFA5A5A5"/>
      </left>
      <right style="thin">
        <color rgb="FF000000"/>
      </right>
      <top/>
      <bottom style="thin">
        <color rgb="FFA5A5A5"/>
      </bottom>
      <diagonal/>
    </border>
    <border>
      <left style="double">
        <color indexed="64"/>
      </left>
      <right/>
      <top style="double">
        <color indexed="64"/>
      </top>
      <bottom/>
      <diagonal/>
    </border>
    <border>
      <left/>
      <right style="thin">
        <color theme="6" tint="-0.499984740745262"/>
      </right>
      <top style="double">
        <color indexed="64"/>
      </top>
      <bottom/>
      <diagonal/>
    </border>
    <border>
      <left style="thin">
        <color theme="6" tint="-0.499984740745262"/>
      </left>
      <right/>
      <top style="double">
        <color auto="1"/>
      </top>
      <bottom style="thin">
        <color theme="6" tint="-0.499984740745262"/>
      </bottom>
      <diagonal/>
    </border>
    <border>
      <left/>
      <right style="thin">
        <color theme="5" tint="-0.499984740745262"/>
      </right>
      <top style="double">
        <color indexed="64"/>
      </top>
      <bottom style="thin">
        <color theme="6" tint="-0.499984740745262"/>
      </bottom>
      <diagonal/>
    </border>
    <border>
      <left style="thin">
        <color theme="5" tint="-0.499984740745262"/>
      </left>
      <right/>
      <top style="double">
        <color auto="1"/>
      </top>
      <bottom style="thin">
        <color theme="5" tint="-0.499984740745262"/>
      </bottom>
      <diagonal/>
    </border>
    <border>
      <left/>
      <right/>
      <top style="double">
        <color auto="1"/>
      </top>
      <bottom style="thin">
        <color theme="5" tint="-0.499984740745262"/>
      </bottom>
      <diagonal/>
    </border>
    <border>
      <left/>
      <right style="thin">
        <color theme="5" tint="-0.499984740745262"/>
      </right>
      <top style="double">
        <color auto="1"/>
      </top>
      <bottom style="thin">
        <color theme="5" tint="-0.499984740745262"/>
      </bottom>
      <diagonal/>
    </border>
    <border>
      <left style="thin">
        <color theme="5" tint="-0.499984740745262"/>
      </left>
      <right/>
      <top style="double">
        <color indexed="64"/>
      </top>
      <bottom style="thin">
        <color theme="8"/>
      </bottom>
      <diagonal/>
    </border>
    <border>
      <left/>
      <right/>
      <top style="double">
        <color indexed="64"/>
      </top>
      <bottom style="thin">
        <color theme="8"/>
      </bottom>
      <diagonal/>
    </border>
    <border>
      <left/>
      <right style="medium">
        <color indexed="64"/>
      </right>
      <top style="double">
        <color indexed="64"/>
      </top>
      <bottom style="thin">
        <color theme="8"/>
      </bottom>
      <diagonal/>
    </border>
    <border>
      <left style="medium">
        <color indexed="64"/>
      </left>
      <right/>
      <top style="double">
        <color indexed="64"/>
      </top>
      <bottom style="thin">
        <color theme="9" tint="-0.24994659260841701"/>
      </bottom>
      <diagonal/>
    </border>
    <border>
      <left/>
      <right/>
      <top style="double">
        <color indexed="64"/>
      </top>
      <bottom style="thin">
        <color theme="9" tint="-0.24994659260841701"/>
      </bottom>
      <diagonal/>
    </border>
    <border>
      <left/>
      <right style="double">
        <color indexed="64"/>
      </right>
      <top style="double">
        <color indexed="64"/>
      </top>
      <bottom style="thin">
        <color theme="9" tint="-0.24994659260841701"/>
      </bottom>
      <diagonal/>
    </border>
    <border>
      <left style="double">
        <color indexed="64"/>
      </left>
      <right/>
      <top/>
      <bottom/>
      <diagonal/>
    </border>
    <border>
      <left/>
      <right style="thin">
        <color theme="6" tint="-0.499984740745262"/>
      </right>
      <top/>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5" tint="-0.499984740745262"/>
      </right>
      <top style="thin">
        <color theme="6" tint="-0.499984740745262"/>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8"/>
      </right>
      <top style="thin">
        <color theme="8"/>
      </top>
      <bottom/>
      <diagonal/>
    </border>
    <border>
      <left style="thin">
        <color theme="8"/>
      </left>
      <right style="medium">
        <color indexed="64"/>
      </right>
      <top style="thin">
        <color theme="8"/>
      </top>
      <bottom/>
      <diagonal/>
    </border>
    <border>
      <left style="medium">
        <color indexed="64"/>
      </left>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style="thin">
        <color theme="9" tint="-0.24994659260841701"/>
      </left>
      <right style="double">
        <color indexed="64"/>
      </right>
      <top style="thin">
        <color theme="9" tint="-0.24994659260841701"/>
      </top>
      <bottom/>
      <diagonal/>
    </border>
    <border>
      <left style="double">
        <color indexed="64"/>
      </left>
      <right/>
      <top/>
      <bottom style="medium">
        <color indexed="64"/>
      </bottom>
      <diagonal/>
    </border>
    <border>
      <left/>
      <right style="thin">
        <color theme="6" tint="-0.499984740745262"/>
      </right>
      <top/>
      <bottom style="medium">
        <color indexed="64"/>
      </bottom>
      <diagonal/>
    </border>
    <border>
      <left style="thin">
        <color theme="6" tint="-0.499984740745262"/>
      </left>
      <right style="thin">
        <color theme="6" tint="-0.499984740745262"/>
      </right>
      <top/>
      <bottom style="medium">
        <color indexed="64"/>
      </bottom>
      <diagonal/>
    </border>
    <border>
      <left style="thin">
        <color theme="6" tint="-0.499984740745262"/>
      </left>
      <right style="thin">
        <color theme="5" tint="-0.499984740745262"/>
      </right>
      <top/>
      <bottom style="medium">
        <color indexed="64"/>
      </bottom>
      <diagonal/>
    </border>
    <border>
      <left style="thin">
        <color theme="5" tint="-0.499984740745262"/>
      </left>
      <right style="thin">
        <color theme="5" tint="-0.499984740745262"/>
      </right>
      <top/>
      <bottom style="medium">
        <color indexed="64"/>
      </bottom>
      <diagonal/>
    </border>
    <border>
      <left style="thin">
        <color theme="5" tint="-0.499984740745262"/>
      </left>
      <right style="thin">
        <color theme="8"/>
      </right>
      <top/>
      <bottom style="medium">
        <color indexed="64"/>
      </bottom>
      <diagonal/>
    </border>
    <border>
      <left style="thin">
        <color theme="8"/>
      </left>
      <right style="thin">
        <color theme="8"/>
      </right>
      <top/>
      <bottom style="medium">
        <color indexed="64"/>
      </bottom>
      <diagonal/>
    </border>
    <border>
      <left style="thin">
        <color theme="8"/>
      </left>
      <right style="thin">
        <color theme="8"/>
      </right>
      <top style="thin">
        <color theme="8"/>
      </top>
      <bottom style="medium">
        <color indexed="64"/>
      </bottom>
      <diagonal/>
    </border>
    <border>
      <left style="thin">
        <color theme="8"/>
      </left>
      <right style="medium">
        <color indexed="64"/>
      </right>
      <top/>
      <bottom style="medium">
        <color indexed="64"/>
      </bottom>
      <diagonal/>
    </border>
    <border>
      <left style="medium">
        <color indexed="64"/>
      </left>
      <right/>
      <top style="thin">
        <color theme="9" tint="-0.24994659260841701"/>
      </top>
      <bottom style="medium">
        <color indexed="64"/>
      </bottom>
      <diagonal/>
    </border>
    <border>
      <left style="thin">
        <color theme="9" tint="-0.24994659260841701"/>
      </left>
      <right style="thin">
        <color theme="9" tint="-0.24994659260841701"/>
      </right>
      <top style="thin">
        <color theme="9" tint="-0.24994659260841701"/>
      </top>
      <bottom style="medium">
        <color indexed="64"/>
      </bottom>
      <diagonal/>
    </border>
    <border>
      <left/>
      <right style="thin">
        <color theme="9" tint="-0.24994659260841701"/>
      </right>
      <top style="thin">
        <color theme="9" tint="-0.24994659260841701"/>
      </top>
      <bottom style="medium">
        <color indexed="64"/>
      </bottom>
      <diagonal/>
    </border>
    <border>
      <left style="thin">
        <color theme="9" tint="-0.24994659260841701"/>
      </left>
      <right style="double">
        <color indexed="64"/>
      </right>
      <top/>
      <bottom style="medium">
        <color indexed="64"/>
      </bottom>
      <diagonal/>
    </border>
    <border>
      <left style="double">
        <color indexed="64"/>
      </left>
      <right/>
      <top/>
      <bottom style="medium">
        <color rgb="FF000000"/>
      </bottom>
      <diagonal/>
    </border>
    <border>
      <left style="thin">
        <color rgb="FFBFBFBF"/>
      </left>
      <right style="thin">
        <color rgb="FFBFBFBF"/>
      </right>
      <top style="medium">
        <color indexed="64"/>
      </top>
      <bottom/>
      <diagonal/>
    </border>
    <border>
      <left/>
      <right/>
      <top style="medium">
        <color indexed="64"/>
      </top>
      <bottom/>
      <diagonal/>
    </border>
    <border>
      <left style="thin">
        <color rgb="FFBFBFBF"/>
      </left>
      <right style="medium">
        <color rgb="FF000000"/>
      </right>
      <top style="medium">
        <color indexed="64"/>
      </top>
      <bottom/>
      <diagonal/>
    </border>
    <border>
      <left style="medium">
        <color rgb="FF000000"/>
      </left>
      <right style="thin">
        <color rgb="FFBFBFBF"/>
      </right>
      <top style="medium">
        <color indexed="64"/>
      </top>
      <bottom style="thin">
        <color rgb="FFBFBFBF"/>
      </bottom>
      <diagonal/>
    </border>
    <border>
      <left/>
      <right style="thin">
        <color rgb="FFBFBFBF"/>
      </right>
      <top style="medium">
        <color indexed="64"/>
      </top>
      <bottom style="thin">
        <color rgb="FFBFBFBF"/>
      </bottom>
      <diagonal/>
    </border>
    <border>
      <left style="thin">
        <color rgb="FFBFBFBF"/>
      </left>
      <right style="thin">
        <color rgb="FFBFBFBF"/>
      </right>
      <top style="medium">
        <color indexed="64"/>
      </top>
      <bottom style="thin">
        <color rgb="FFBFBFBF"/>
      </bottom>
      <diagonal/>
    </border>
    <border>
      <left style="thin">
        <color rgb="FFBFBFBF"/>
      </left>
      <right style="thin">
        <color rgb="FFBFBFBF"/>
      </right>
      <top/>
      <bottom style="thin">
        <color indexed="64"/>
      </bottom>
      <diagonal/>
    </border>
    <border>
      <left/>
      <right/>
      <top/>
      <bottom style="thin">
        <color indexed="64"/>
      </bottom>
      <diagonal/>
    </border>
    <border>
      <left style="thin">
        <color rgb="FFBFBFBF"/>
      </left>
      <right style="medium">
        <color rgb="FF000000"/>
      </right>
      <top/>
      <bottom style="thin">
        <color indexed="64"/>
      </bottom>
      <diagonal/>
    </border>
    <border>
      <left style="thin">
        <color rgb="FFB7B7B7"/>
      </left>
      <right style="thin">
        <color rgb="FFB7B7B7"/>
      </right>
      <top style="thin">
        <color rgb="FFB7B7B7"/>
      </top>
      <bottom style="thin">
        <color indexed="64"/>
      </bottom>
      <diagonal/>
    </border>
    <border>
      <left/>
      <right style="thin">
        <color rgb="FFBFBFBF"/>
      </right>
      <top style="thin">
        <color rgb="FFBFBFBF"/>
      </top>
      <bottom style="thin">
        <color indexed="64"/>
      </bottom>
      <diagonal/>
    </border>
    <border>
      <left style="thin">
        <color rgb="FFBFBFBF"/>
      </left>
      <right style="thin">
        <color rgb="FFBFBFBF"/>
      </right>
      <top style="thin">
        <color rgb="FFBFBFBF"/>
      </top>
      <bottom style="thin">
        <color indexed="64"/>
      </bottom>
      <diagonal/>
    </border>
    <border>
      <left style="medium">
        <color rgb="FF000000"/>
      </left>
      <right style="thin">
        <color theme="0" tint="-0.24994659260841701"/>
      </right>
      <top style="thin">
        <color rgb="FF000000"/>
      </top>
      <bottom style="thin">
        <color theme="0" tint="-0.24994659260841701"/>
      </bottom>
      <diagonal/>
    </border>
    <border>
      <left style="thin">
        <color theme="0" tint="-0.24994659260841701"/>
      </left>
      <right style="thin">
        <color theme="0" tint="-0.24994659260841701"/>
      </right>
      <top style="thin">
        <color rgb="FF000000"/>
      </top>
      <bottom style="thin">
        <color theme="0" tint="-0.24994659260841701"/>
      </bottom>
      <diagonal/>
    </border>
    <border>
      <left style="medium">
        <color rgb="FF000000"/>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rgb="FF000000"/>
      </left>
      <right style="thin">
        <color theme="0" tint="-0.24994659260841701"/>
      </right>
      <top style="thin">
        <color theme="0" tint="-0.24994659260841701"/>
      </top>
      <bottom style="thin">
        <color rgb="FF000000"/>
      </bottom>
      <diagonal/>
    </border>
    <border>
      <left style="thin">
        <color theme="0" tint="-0.24994659260841701"/>
      </left>
      <right style="thin">
        <color theme="0" tint="-0.24994659260841701"/>
      </right>
      <top style="thin">
        <color theme="0" tint="-0.24994659260841701"/>
      </top>
      <bottom style="thin">
        <color rgb="FF000000"/>
      </bottom>
      <diagonal/>
    </border>
    <border>
      <left style="thin">
        <color rgb="FFA5A5A5"/>
      </left>
      <right style="thin">
        <color rgb="FF000000"/>
      </right>
      <top style="thin">
        <color rgb="FFA5A5A5"/>
      </top>
      <bottom style="thin">
        <color theme="0" tint="-0.24994659260841701"/>
      </bottom>
      <diagonal/>
    </border>
    <border>
      <left style="thin">
        <color rgb="FFA5A5A5"/>
      </left>
      <right style="thin">
        <color rgb="FFA5A5A5"/>
      </right>
      <top style="thin">
        <color rgb="FFA5A5A5"/>
      </top>
      <bottom style="thin">
        <color theme="0" tint="-0.24994659260841701"/>
      </bottom>
      <diagonal/>
    </border>
    <border>
      <left style="thin">
        <color theme="0" tint="-0.24994659260841701"/>
      </left>
      <right style="thin">
        <color rgb="FF000000"/>
      </right>
      <top style="thin">
        <color rgb="FF000000"/>
      </top>
      <bottom style="thin">
        <color theme="0" tint="-0.24994659260841701"/>
      </bottom>
      <diagonal/>
    </border>
    <border>
      <left style="thin">
        <color theme="0" tint="-0.24994659260841701"/>
      </left>
      <right style="thin">
        <color rgb="FF000000"/>
      </right>
      <top style="thin">
        <color theme="0" tint="-0.24994659260841701"/>
      </top>
      <bottom style="thin">
        <color theme="0" tint="-0.24994659260841701"/>
      </bottom>
      <diagonal/>
    </border>
    <border>
      <left style="thin">
        <color theme="0" tint="-0.24994659260841701"/>
      </left>
      <right style="thin">
        <color rgb="FF000000"/>
      </right>
      <top style="thin">
        <color theme="0" tint="-0.24994659260841701"/>
      </top>
      <bottom style="thin">
        <color rgb="FF000000"/>
      </bottom>
      <diagonal/>
    </border>
    <border>
      <left style="thin">
        <color rgb="FF000000"/>
      </left>
      <right style="thin">
        <color rgb="FFBFBFBF"/>
      </right>
      <top/>
      <bottom style="thin">
        <color indexed="64"/>
      </bottom>
      <diagonal/>
    </border>
    <border>
      <left/>
      <right style="thin">
        <color rgb="FFBFBFBF"/>
      </right>
      <top/>
      <bottom style="thin">
        <color indexed="64"/>
      </bottom>
      <diagonal/>
    </border>
    <border>
      <left style="thin">
        <color rgb="FFBFBFBF"/>
      </left>
      <right/>
      <top/>
      <bottom style="thin">
        <color indexed="64"/>
      </bottom>
      <diagonal/>
    </border>
    <border>
      <left style="thin">
        <color rgb="FFA5A5A5"/>
      </left>
      <right style="thin">
        <color rgb="FF000000"/>
      </right>
      <top style="thin">
        <color rgb="FFA5A5A5"/>
      </top>
      <bottom style="thin">
        <color indexed="64"/>
      </bottom>
      <diagonal/>
    </border>
    <border>
      <left/>
      <right/>
      <top style="thin">
        <color indexed="64"/>
      </top>
      <bottom/>
      <diagonal/>
    </border>
    <border>
      <left style="thin">
        <color indexed="64"/>
      </left>
      <right style="thin">
        <color rgb="FFBFBFBF"/>
      </right>
      <top style="medium">
        <color indexed="64"/>
      </top>
      <bottom/>
      <diagonal/>
    </border>
    <border>
      <left style="thin">
        <color indexed="64"/>
      </left>
      <right style="thin">
        <color rgb="FFBFBFBF"/>
      </right>
      <top/>
      <bottom/>
      <diagonal/>
    </border>
    <border>
      <left style="thin">
        <color indexed="64"/>
      </left>
      <right style="thin">
        <color rgb="FFBFBFBF"/>
      </right>
      <top/>
      <bottom style="thin">
        <color rgb="FF000000"/>
      </bottom>
      <diagonal/>
    </border>
    <border>
      <left style="thin">
        <color indexed="64"/>
      </left>
      <right style="thin">
        <color rgb="FFBFBFBF"/>
      </right>
      <top style="thin">
        <color rgb="FF000000"/>
      </top>
      <bottom/>
      <diagonal/>
    </border>
    <border>
      <left style="thin">
        <color indexed="64"/>
      </left>
      <right style="thin">
        <color rgb="FFBFBFBF"/>
      </right>
      <top/>
      <bottom style="medium">
        <color rgb="FF000000"/>
      </bottom>
      <diagonal/>
    </border>
    <border>
      <left style="thin">
        <color indexed="64"/>
      </left>
      <right style="thin">
        <color rgb="FFBFBFBF"/>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rgb="FF000000"/>
      </bottom>
      <diagonal/>
    </border>
    <border>
      <left style="thin">
        <color indexed="64"/>
      </left>
      <right/>
      <top style="thin">
        <color rgb="FF000000"/>
      </top>
      <bottom/>
      <diagonal/>
    </border>
    <border>
      <left style="thin">
        <color indexed="64"/>
      </left>
      <right/>
      <top/>
      <bottom style="medium">
        <color rgb="FF000000"/>
      </bottom>
      <diagonal/>
    </border>
    <border>
      <left style="thin">
        <color indexed="64"/>
      </left>
      <right/>
      <top style="medium">
        <color rgb="FF000000"/>
      </top>
      <bottom/>
      <diagonal/>
    </border>
    <border>
      <left style="thin">
        <color indexed="64"/>
      </left>
      <right/>
      <top/>
      <bottom style="medium">
        <color indexed="64"/>
      </bottom>
      <diagonal/>
    </border>
    <border>
      <left style="medium">
        <color rgb="FF000000"/>
      </left>
      <right/>
      <top style="thin">
        <color rgb="FF000000"/>
      </top>
      <bottom style="medium">
        <color indexed="64"/>
      </bottom>
      <diagonal/>
    </border>
    <border>
      <left/>
      <right/>
      <top style="thin">
        <color rgb="FF000000"/>
      </top>
      <bottom style="medium">
        <color indexed="64"/>
      </bottom>
      <diagonal/>
    </border>
    <border>
      <left/>
      <right style="thin">
        <color rgb="FFA5A5A5"/>
      </right>
      <top style="thin">
        <color rgb="FF000000"/>
      </top>
      <bottom style="medium">
        <color indexed="64"/>
      </bottom>
      <diagonal/>
    </border>
    <border>
      <left style="thin">
        <color rgb="FFA5A5A5"/>
      </left>
      <right style="thin">
        <color rgb="FFA5A5A5"/>
      </right>
      <top style="thin">
        <color rgb="FF000000"/>
      </top>
      <bottom style="medium">
        <color indexed="64"/>
      </bottom>
      <diagonal/>
    </border>
    <border>
      <left style="thin">
        <color rgb="FFA5A5A5"/>
      </left>
      <right/>
      <top style="thin">
        <color rgb="FF000000"/>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rgb="FF000000"/>
      </right>
      <top style="medium">
        <color indexed="64"/>
      </top>
      <bottom style="thin">
        <color theme="0" tint="-0.24994659260841701"/>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style="medium">
        <color rgb="FF000000"/>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000000"/>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rgb="FF000000"/>
      </bottom>
      <diagonal/>
    </border>
    <border>
      <left style="thin">
        <color theme="0" tint="-0.24994659260841701"/>
      </left>
      <right style="thin">
        <color theme="0" tint="-0.24994659260841701"/>
      </right>
      <top style="thin">
        <color theme="0" tint="-0.24994659260841701"/>
      </top>
      <bottom style="medium">
        <color rgb="FF000000"/>
      </bottom>
      <diagonal/>
    </border>
    <border>
      <left style="thin">
        <color theme="0" tint="-0.24994659260841701"/>
      </left>
      <right style="medium">
        <color rgb="FF000000"/>
      </right>
      <top style="thin">
        <color theme="0" tint="-0.24994659260841701"/>
      </top>
      <bottom style="medium">
        <color rgb="FF000000"/>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rgb="FF000000"/>
      </right>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medium">
        <color rgb="FF000000"/>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rgb="FF000000"/>
      </right>
      <top style="thin">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medium">
        <color rgb="FF000000"/>
      </right>
      <top style="thin">
        <color indexed="64"/>
      </top>
      <bottom style="thin">
        <color theme="0" tint="-0.24994659260841701"/>
      </bottom>
      <diagonal/>
    </border>
    <border>
      <left style="thin">
        <color theme="9"/>
      </left>
      <right style="thin">
        <color theme="9"/>
      </right>
      <top style="medium">
        <color rgb="FF000000"/>
      </top>
      <bottom style="medium">
        <color rgb="FF000000"/>
      </bottom>
      <diagonal/>
    </border>
    <border>
      <left/>
      <right style="thin">
        <color indexed="64"/>
      </right>
      <top style="medium">
        <color indexed="64"/>
      </top>
      <bottom/>
      <diagonal/>
    </border>
    <border>
      <left/>
      <right style="thin">
        <color indexed="64"/>
      </right>
      <top/>
      <bottom/>
      <diagonal/>
    </border>
    <border>
      <left style="thin">
        <color indexed="64"/>
      </left>
      <right style="thin">
        <color rgb="FFBFBFBF"/>
      </right>
      <top style="medium">
        <color rgb="FF000000"/>
      </top>
      <bottom/>
      <diagonal/>
    </border>
    <border>
      <left style="double">
        <color indexed="64"/>
      </left>
      <right/>
      <top style="medium">
        <color indexed="64"/>
      </top>
      <bottom/>
      <diagonal/>
    </border>
    <border>
      <left style="thin">
        <color rgb="FFA5A5A5"/>
      </left>
      <right style="double">
        <color indexed="64"/>
      </right>
      <top/>
      <bottom/>
      <diagonal/>
    </border>
    <border>
      <left style="thin">
        <color rgb="FFA5A5A5"/>
      </left>
      <right style="double">
        <color indexed="64"/>
      </right>
      <top/>
      <bottom style="thin">
        <color rgb="FFA5A5A5"/>
      </bottom>
      <diagonal/>
    </border>
    <border>
      <left style="thin">
        <color rgb="FFA5A5A5"/>
      </left>
      <right style="double">
        <color indexed="64"/>
      </right>
      <top/>
      <bottom style="thin">
        <color rgb="FF000000"/>
      </bottom>
      <diagonal/>
    </border>
    <border>
      <left style="thin">
        <color rgb="FFA5A5A5"/>
      </left>
      <right style="double">
        <color indexed="64"/>
      </right>
      <top style="thin">
        <color rgb="FF000000"/>
      </top>
      <bottom/>
      <diagonal/>
    </border>
    <border>
      <left style="double">
        <color indexed="64"/>
      </left>
      <right style="thin">
        <color indexed="64"/>
      </right>
      <top style="medium">
        <color rgb="FF000000"/>
      </top>
      <bottom/>
      <diagonal/>
    </border>
    <border>
      <left style="thin">
        <color rgb="FFBFBFBF"/>
      </left>
      <right style="double">
        <color indexed="64"/>
      </right>
      <top/>
      <bottom/>
      <diagonal/>
    </border>
    <border>
      <left style="double">
        <color indexed="64"/>
      </left>
      <right style="thin">
        <color indexed="64"/>
      </right>
      <top/>
      <bottom/>
      <diagonal/>
    </border>
    <border>
      <left style="thin">
        <color rgb="FFBFBFBF"/>
      </left>
      <right style="double">
        <color indexed="64"/>
      </right>
      <top/>
      <bottom style="thin">
        <color rgb="FF000000"/>
      </bottom>
      <diagonal/>
    </border>
    <border>
      <left style="thin">
        <color rgb="FFBFBFBF"/>
      </left>
      <right style="double">
        <color indexed="64"/>
      </right>
      <top style="thin">
        <color rgb="FF000000"/>
      </top>
      <bottom/>
      <diagonal/>
    </border>
    <border>
      <left/>
      <right style="double">
        <color indexed="64"/>
      </right>
      <top style="thin">
        <color rgb="FF000000"/>
      </top>
      <bottom style="medium">
        <color rgb="FF000000"/>
      </bottom>
      <diagonal/>
    </border>
    <border>
      <left/>
      <right/>
      <top style="medium">
        <color rgb="FF000000"/>
      </top>
      <bottom style="double">
        <color indexed="64"/>
      </bottom>
      <diagonal/>
    </border>
    <border>
      <left/>
      <right/>
      <top style="thin">
        <color rgb="FF000000"/>
      </top>
      <bottom style="double">
        <color indexed="64"/>
      </bottom>
      <diagonal/>
    </border>
    <border>
      <left style="thin">
        <color rgb="FFE36C09"/>
      </left>
      <right style="thin">
        <color rgb="FFE36C09"/>
      </right>
      <top style="thin">
        <color rgb="FF000000"/>
      </top>
      <bottom style="double">
        <color indexed="64"/>
      </bottom>
      <diagonal/>
    </border>
    <border>
      <left style="thin">
        <color rgb="FFE36C09"/>
      </left>
      <right/>
      <top style="medium">
        <color rgb="FF000000"/>
      </top>
      <bottom style="double">
        <color indexed="64"/>
      </bottom>
      <diagonal/>
    </border>
    <border>
      <left/>
      <right style="double">
        <color indexed="64"/>
      </right>
      <top style="medium">
        <color rgb="FF000000"/>
      </top>
      <bottom style="double">
        <color indexed="64"/>
      </bottom>
      <diagonal/>
    </border>
    <border>
      <left style="thin">
        <color indexed="64"/>
      </left>
      <right style="thin">
        <color indexed="64"/>
      </right>
      <top style="medium">
        <color rgb="FF000000"/>
      </top>
      <bottom/>
      <diagonal/>
    </border>
    <border>
      <left style="thin">
        <color theme="9"/>
      </left>
      <right style="thin">
        <color theme="9"/>
      </right>
      <top/>
      <bottom style="double">
        <color rgb="FF000000"/>
      </bottom>
      <diagonal/>
    </border>
    <border>
      <left/>
      <right style="thin">
        <color theme="6" tint="-0.499984740745262"/>
      </right>
      <top style="double">
        <color rgb="FF000000"/>
      </top>
      <bottom/>
      <diagonal/>
    </border>
    <border>
      <left style="thin">
        <color theme="6" tint="-0.499984740745262"/>
      </left>
      <right/>
      <top style="double">
        <color rgb="FF000000"/>
      </top>
      <bottom style="thin">
        <color theme="6" tint="-0.499984740745262"/>
      </bottom>
      <diagonal/>
    </border>
    <border>
      <left/>
      <right style="thin">
        <color theme="5" tint="-0.499984740745262"/>
      </right>
      <top style="double">
        <color rgb="FF000000"/>
      </top>
      <bottom style="thin">
        <color theme="6" tint="-0.499984740745262"/>
      </bottom>
      <diagonal/>
    </border>
    <border>
      <left style="thin">
        <color theme="5" tint="-0.499984740745262"/>
      </left>
      <right/>
      <top style="double">
        <color rgb="FF000000"/>
      </top>
      <bottom style="thin">
        <color theme="5" tint="-0.499984740745262"/>
      </bottom>
      <diagonal/>
    </border>
    <border>
      <left/>
      <right/>
      <top style="double">
        <color rgb="FF000000"/>
      </top>
      <bottom style="thin">
        <color theme="5" tint="-0.499984740745262"/>
      </bottom>
      <diagonal/>
    </border>
    <border>
      <left/>
      <right style="thin">
        <color theme="5" tint="-0.499984740745262"/>
      </right>
      <top style="double">
        <color rgb="FF000000"/>
      </top>
      <bottom style="thin">
        <color theme="5" tint="-0.499984740745262"/>
      </bottom>
      <diagonal/>
    </border>
    <border>
      <left style="thin">
        <color theme="5" tint="-0.499984740745262"/>
      </left>
      <right/>
      <top style="double">
        <color rgb="FF000000"/>
      </top>
      <bottom style="thin">
        <color theme="8"/>
      </bottom>
      <diagonal/>
    </border>
    <border>
      <left/>
      <right style="medium">
        <color indexed="64"/>
      </right>
      <top style="double">
        <color rgb="FF000000"/>
      </top>
      <bottom style="thin">
        <color theme="8"/>
      </bottom>
      <diagonal/>
    </border>
    <border>
      <left style="medium">
        <color indexed="64"/>
      </left>
      <right/>
      <top style="double">
        <color rgb="FF000000"/>
      </top>
      <bottom style="thin">
        <color theme="9" tint="-0.24994659260841701"/>
      </bottom>
      <diagonal/>
    </border>
    <border>
      <left/>
      <right/>
      <top style="double">
        <color rgb="FF000000"/>
      </top>
      <bottom style="thin">
        <color theme="9" tint="-0.24994659260841701"/>
      </bottom>
      <diagonal/>
    </border>
    <border>
      <left/>
      <right style="double">
        <color rgb="FF000000"/>
      </right>
      <top style="double">
        <color rgb="FF000000"/>
      </top>
      <bottom style="thin">
        <color theme="9" tint="-0.24994659260841701"/>
      </bottom>
      <diagonal/>
    </border>
    <border>
      <left style="thin">
        <color theme="9" tint="-0.24994659260841701"/>
      </left>
      <right style="double">
        <color rgb="FF000000"/>
      </right>
      <top style="thin">
        <color theme="9" tint="-0.24994659260841701"/>
      </top>
      <bottom/>
      <diagonal/>
    </border>
    <border>
      <left style="double">
        <color rgb="FF000000"/>
      </left>
      <right/>
      <top/>
      <bottom style="medium">
        <color indexed="64"/>
      </bottom>
      <diagonal/>
    </border>
    <border>
      <left style="thin">
        <color theme="9" tint="-0.24994659260841701"/>
      </left>
      <right style="double">
        <color rgb="FF000000"/>
      </right>
      <top/>
      <bottom style="medium">
        <color indexed="64"/>
      </bottom>
      <diagonal/>
    </border>
    <border>
      <left style="double">
        <color indexed="64"/>
      </left>
      <right/>
      <top/>
      <bottom style="double">
        <color indexed="64"/>
      </bottom>
      <diagonal/>
    </border>
    <border>
      <left/>
      <right/>
      <top/>
      <bottom style="double">
        <color indexed="64"/>
      </bottom>
      <diagonal/>
    </border>
    <border>
      <left style="thin">
        <color rgb="FFE36C09"/>
      </left>
      <right style="thin">
        <color rgb="FFE36C09"/>
      </right>
      <top/>
      <bottom style="double">
        <color indexed="64"/>
      </bottom>
      <diagonal/>
    </border>
    <border>
      <left style="thin">
        <color rgb="FFE36C09"/>
      </left>
      <right/>
      <top/>
      <bottom style="double">
        <color indexed="64"/>
      </bottom>
      <diagonal/>
    </border>
    <border>
      <left/>
      <right style="double">
        <color indexed="64"/>
      </right>
      <top/>
      <bottom style="double">
        <color indexed="64"/>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rgb="FF000000"/>
      </left>
      <right style="double">
        <color indexed="64"/>
      </right>
      <top/>
      <bottom style="thin">
        <color rgb="FF000000"/>
      </bottom>
      <diagonal/>
    </border>
    <border>
      <left/>
      <right style="double">
        <color indexed="64"/>
      </right>
      <top/>
      <bottom/>
      <diagonal/>
    </border>
    <border>
      <left/>
      <right style="double">
        <color indexed="64"/>
      </right>
      <top/>
      <bottom style="thin">
        <color rgb="FF000000"/>
      </bottom>
      <diagonal/>
    </border>
    <border>
      <left style="double">
        <color indexed="64"/>
      </left>
      <right style="thin">
        <color indexed="64"/>
      </right>
      <top style="medium">
        <color indexed="64"/>
      </top>
      <bottom/>
      <diagonal/>
    </border>
    <border>
      <left/>
      <right style="double">
        <color indexed="64"/>
      </right>
      <top style="thin">
        <color rgb="FF000000"/>
      </top>
      <bottom/>
      <diagonal/>
    </border>
    <border>
      <left style="thin">
        <color rgb="FFCCCCCC"/>
      </left>
      <right style="double">
        <color indexed="64"/>
      </right>
      <top style="thin">
        <color rgb="FF000000"/>
      </top>
      <bottom/>
      <diagonal/>
    </border>
    <border>
      <left style="thin">
        <color rgb="FFCCCCCC"/>
      </left>
      <right style="double">
        <color indexed="64"/>
      </right>
      <top/>
      <bottom/>
      <diagonal/>
    </border>
    <border>
      <left style="thin">
        <color rgb="FFCCCCCC"/>
      </left>
      <right style="double">
        <color indexed="64"/>
      </right>
      <top/>
      <bottom style="thin">
        <color rgb="FF000000"/>
      </bottom>
      <diagonal/>
    </border>
    <border>
      <left style="thin">
        <color rgb="FFB7B7B7"/>
      </left>
      <right style="double">
        <color indexed="64"/>
      </right>
      <top style="thin">
        <color rgb="FF000000"/>
      </top>
      <bottom/>
      <diagonal/>
    </border>
    <border>
      <left style="thin">
        <color rgb="FFB7B7B7"/>
      </left>
      <right style="double">
        <color indexed="64"/>
      </right>
      <top/>
      <bottom/>
      <diagonal/>
    </border>
    <border>
      <left style="thin">
        <color rgb="FFB7B7B7"/>
      </left>
      <right style="double">
        <color indexed="64"/>
      </right>
      <top/>
      <bottom style="thin">
        <color rgb="FF000000"/>
      </bottom>
      <diagonal/>
    </border>
    <border>
      <left/>
      <right style="double">
        <color indexed="64"/>
      </right>
      <top/>
      <bottom style="medium">
        <color rgb="FF000000"/>
      </bottom>
      <diagonal/>
    </border>
    <border>
      <left style="double">
        <color indexed="64"/>
      </left>
      <right/>
      <top style="medium">
        <color rgb="FF000000"/>
      </top>
      <bottom/>
      <diagonal/>
    </border>
    <border>
      <left style="thin">
        <color rgb="FFB7B7B7"/>
      </left>
      <right style="double">
        <color indexed="64"/>
      </right>
      <top style="medium">
        <color rgb="FF000000"/>
      </top>
      <bottom/>
      <diagonal/>
    </border>
    <border>
      <left style="thin">
        <color rgb="FFB7B7B7"/>
      </left>
      <right style="double">
        <color indexed="64"/>
      </right>
      <top/>
      <bottom style="thin">
        <color rgb="FFB7B7B7"/>
      </bottom>
      <diagonal/>
    </border>
    <border>
      <left style="thin">
        <color rgb="FFB7B7B7"/>
      </left>
      <right style="double">
        <color indexed="64"/>
      </right>
      <top/>
      <bottom style="medium">
        <color rgb="FF000000"/>
      </bottom>
      <diagonal/>
    </border>
    <border>
      <left/>
      <right style="double">
        <color indexed="64"/>
      </right>
      <top style="medium">
        <color rgb="FF000000"/>
      </top>
      <bottom style="medium">
        <color rgb="FF000000"/>
      </bottom>
      <diagonal/>
    </border>
    <border>
      <left style="thin">
        <color theme="9"/>
      </left>
      <right style="thin">
        <color theme="9"/>
      </right>
      <top style="medium">
        <color rgb="FF000000"/>
      </top>
      <bottom style="double">
        <color indexed="64"/>
      </bottom>
      <diagonal/>
    </border>
    <border>
      <left style="thin">
        <color rgb="FFE36C09"/>
      </left>
      <right style="thin">
        <color rgb="FFE36C09"/>
      </right>
      <top style="medium">
        <color rgb="FF000000"/>
      </top>
      <bottom style="double">
        <color indexed="64"/>
      </bottom>
      <diagonal/>
    </border>
    <border>
      <left/>
      <right style="double">
        <color indexed="64"/>
      </right>
      <top style="thin">
        <color rgb="FF000000"/>
      </top>
      <bottom style="medium">
        <color indexed="64"/>
      </bottom>
      <diagonal/>
    </border>
    <border>
      <left style="thin">
        <color rgb="FF000000"/>
      </left>
      <right style="double">
        <color indexed="64"/>
      </right>
      <top/>
      <bottom style="thin">
        <color indexed="64"/>
      </bottom>
      <diagonal/>
    </border>
    <border>
      <left style="thin">
        <color theme="0" tint="-0.24994659260841701"/>
      </left>
      <right style="double">
        <color indexed="64"/>
      </right>
      <top style="medium">
        <color rgb="FF000000"/>
      </top>
      <bottom/>
      <diagonal/>
    </border>
    <border>
      <left style="thin">
        <color theme="0" tint="-0.24994659260841701"/>
      </left>
      <right style="double">
        <color indexed="64"/>
      </right>
      <top/>
      <bottom/>
      <diagonal/>
    </border>
    <border>
      <left style="thin">
        <color theme="0" tint="-0.24994659260841701"/>
      </left>
      <right style="double">
        <color indexed="64"/>
      </right>
      <top/>
      <bottom style="thin">
        <color rgb="FF000000"/>
      </bottom>
      <diagonal/>
    </border>
    <border>
      <left style="thin">
        <color theme="0" tint="-0.24994659260841701"/>
      </left>
      <right style="double">
        <color indexed="64"/>
      </right>
      <top style="thin">
        <color rgb="FF000000"/>
      </top>
      <bottom/>
      <diagonal/>
    </border>
    <border>
      <left style="thin">
        <color theme="0" tint="-0.24994659260841701"/>
      </left>
      <right style="double">
        <color indexed="64"/>
      </right>
      <top/>
      <bottom style="thin">
        <color indexed="64"/>
      </bottom>
      <diagonal/>
    </border>
    <border>
      <left style="thin">
        <color theme="0" tint="-0.24994659260841701"/>
      </left>
      <right style="double">
        <color indexed="64"/>
      </right>
      <top/>
      <bottom style="medium">
        <color rgb="FF000000"/>
      </bottom>
      <diagonal/>
    </border>
    <border>
      <left style="thin">
        <color rgb="FFBFBFBF"/>
      </left>
      <right style="double">
        <color indexed="64"/>
      </right>
      <top style="medium">
        <color indexed="64"/>
      </top>
      <bottom/>
      <diagonal/>
    </border>
    <border>
      <left style="thin">
        <color rgb="FFBFBFBF"/>
      </left>
      <right style="double">
        <color indexed="64"/>
      </right>
      <top/>
      <bottom style="thin">
        <color indexed="64"/>
      </bottom>
      <diagonal/>
    </border>
    <border>
      <left style="thin">
        <color rgb="FFBFBFBF"/>
      </left>
      <right style="double">
        <color indexed="64"/>
      </right>
      <top/>
      <bottom style="medium">
        <color rgb="FF000000"/>
      </bottom>
      <diagonal/>
    </border>
    <border>
      <left style="thin">
        <color rgb="FFBFBFBF"/>
      </left>
      <right style="double">
        <color indexed="64"/>
      </right>
      <top style="medium">
        <color rgb="FF000000"/>
      </top>
      <bottom/>
      <diagonal/>
    </border>
    <border>
      <left style="thin">
        <color rgb="FFB7B7B7"/>
      </left>
      <right style="double">
        <color indexed="64"/>
      </right>
      <top style="thin">
        <color rgb="FF000000"/>
      </top>
      <bottom style="thin">
        <color rgb="FF000000"/>
      </bottom>
      <diagonal/>
    </border>
    <border>
      <left style="double">
        <color indexed="64"/>
      </left>
      <right/>
      <top/>
      <bottom style="thin">
        <color rgb="FF000000"/>
      </bottom>
      <diagonal/>
    </border>
    <border>
      <left style="double">
        <color indexed="64"/>
      </left>
      <right/>
      <top style="thin">
        <color rgb="FF000000"/>
      </top>
      <bottom/>
      <diagonal/>
    </border>
    <border>
      <left/>
      <right style="double">
        <color indexed="64"/>
      </right>
      <top style="medium">
        <color rgb="FF000000"/>
      </top>
      <bottom/>
      <diagonal/>
    </border>
    <border>
      <left/>
      <right style="double">
        <color indexed="64"/>
      </right>
      <top style="thin">
        <color rgb="FF000000"/>
      </top>
      <bottom style="double">
        <color indexed="64"/>
      </bottom>
      <diagonal/>
    </border>
    <border>
      <left style="thin">
        <color rgb="FFCCCCCC"/>
      </left>
      <right style="double">
        <color indexed="64"/>
      </right>
      <top style="medium">
        <color rgb="FF000000"/>
      </top>
      <bottom/>
      <diagonal/>
    </border>
    <border>
      <left style="thin">
        <color rgb="FFCCCCCC"/>
      </left>
      <right style="double">
        <color indexed="64"/>
      </right>
      <top/>
      <bottom style="thin">
        <color rgb="FFCCCCCC"/>
      </bottom>
      <diagonal/>
    </border>
    <border>
      <left style="thin">
        <color rgb="FFCCCCCC"/>
      </left>
      <right style="double">
        <color indexed="64"/>
      </right>
      <top/>
      <bottom style="medium">
        <color rgb="FF000000"/>
      </bottom>
      <diagonal/>
    </border>
    <border>
      <left style="thin">
        <color rgb="FF000000"/>
      </left>
      <right style="thin">
        <color indexed="64"/>
      </right>
      <top style="medium">
        <color rgb="FF000000"/>
      </top>
      <bottom/>
      <diagonal/>
    </border>
    <border>
      <left style="thin">
        <color rgb="FF000000"/>
      </left>
      <right style="thin">
        <color indexed="64"/>
      </right>
      <top/>
      <bottom/>
      <diagonal/>
    </border>
    <border>
      <left style="thin">
        <color rgb="FF000000"/>
      </left>
      <right style="thin">
        <color indexed="64"/>
      </right>
      <top style="medium">
        <color indexed="64"/>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style="thin">
        <color indexed="64"/>
      </left>
      <right/>
      <top/>
      <bottom style="thin">
        <color indexed="64"/>
      </bottom>
      <diagonal/>
    </border>
    <border>
      <left/>
      <right style="thin">
        <color rgb="FFB7B7B7"/>
      </right>
      <top/>
      <bottom style="medium">
        <color rgb="FF000000"/>
      </bottom>
      <diagonal/>
    </border>
    <border>
      <left/>
      <right style="thin">
        <color indexed="64"/>
      </right>
      <top style="medium">
        <color rgb="FF000000"/>
      </top>
      <bottom/>
      <diagonal/>
    </border>
    <border>
      <left/>
      <right style="medium">
        <color rgb="FFB7B7B7"/>
      </right>
      <top style="medium">
        <color rgb="FF000000"/>
      </top>
      <bottom style="medium">
        <color rgb="FF000000"/>
      </bottom>
      <diagonal/>
    </border>
    <border>
      <left/>
      <right style="thin">
        <color rgb="FFCCCCCC"/>
      </right>
      <top style="medium">
        <color rgb="FF000000"/>
      </top>
      <bottom style="medium">
        <color rgb="FF000000"/>
      </bottom>
      <diagonal/>
    </border>
    <border>
      <left style="thin">
        <color indexed="64"/>
      </left>
      <right style="thin">
        <color rgb="FFBFBFBF"/>
      </right>
      <top/>
      <bottom style="medium">
        <color indexed="64"/>
      </bottom>
      <diagonal/>
    </border>
    <border>
      <left style="thin">
        <color rgb="FFBFBFBF"/>
      </left>
      <right style="thin">
        <color rgb="FFBFBFBF"/>
      </right>
      <top/>
      <bottom style="medium">
        <color indexed="64"/>
      </bottom>
      <diagonal/>
    </border>
    <border>
      <left/>
      <right style="thin">
        <color rgb="FFBFBFBF"/>
      </right>
      <top/>
      <bottom style="medium">
        <color indexed="64"/>
      </bottom>
      <diagonal/>
    </border>
    <border>
      <left style="thin">
        <color rgb="FFBFBFBF"/>
      </left>
      <right style="medium">
        <color rgb="FF000000"/>
      </right>
      <top/>
      <bottom style="medium">
        <color indexed="64"/>
      </bottom>
      <diagonal/>
    </border>
    <border>
      <left style="thin">
        <color rgb="FFA5A5A5"/>
      </left>
      <right style="thin">
        <color rgb="FFA5A5A5"/>
      </right>
      <top style="thin">
        <color rgb="FFA5A5A5"/>
      </top>
      <bottom style="medium">
        <color indexed="64"/>
      </bottom>
      <diagonal/>
    </border>
    <border>
      <left style="thin">
        <color theme="9"/>
      </left>
      <right style="thin">
        <color theme="9"/>
      </right>
      <top/>
      <bottom style="double">
        <color indexed="64"/>
      </bottom>
      <diagonal/>
    </border>
    <border>
      <left style="thin">
        <color theme="9"/>
      </left>
      <right style="thin">
        <color theme="9"/>
      </right>
      <top style="thin">
        <color rgb="FF000000"/>
      </top>
      <bottom style="double">
        <color indexed="64"/>
      </bottom>
      <diagonal/>
    </border>
    <border>
      <left/>
      <right/>
      <top style="thin">
        <color indexed="64"/>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double">
        <color indexed="64"/>
      </bottom>
      <diagonal/>
    </border>
    <border>
      <left/>
      <right/>
      <top style="medium">
        <color indexed="64"/>
      </top>
      <bottom style="double">
        <color rgb="FF000000"/>
      </bottom>
      <diagonal/>
    </border>
    <border>
      <left/>
      <right/>
      <top style="medium">
        <color indexed="64"/>
      </top>
      <bottom style="double">
        <color indexed="64"/>
      </bottom>
      <diagonal/>
    </border>
    <border>
      <left/>
      <right/>
      <top style="double">
        <color auto="1"/>
      </top>
      <bottom/>
      <diagonal/>
    </border>
    <border>
      <left/>
      <right style="double">
        <color auto="1"/>
      </right>
      <top style="double">
        <color auto="1"/>
      </top>
      <bottom/>
      <diagonal/>
    </border>
    <border>
      <left style="double">
        <color rgb="FF000000"/>
      </left>
      <right/>
      <top/>
      <bottom style="dotted">
        <color theme="0" tint="-0.24994659260841701"/>
      </bottom>
      <diagonal/>
    </border>
    <border>
      <left/>
      <right/>
      <top/>
      <bottom style="dotted">
        <color theme="0" tint="-0.24994659260841701"/>
      </bottom>
      <diagonal/>
    </border>
    <border>
      <left/>
      <right style="double">
        <color rgb="FF000000"/>
      </right>
      <top/>
      <bottom style="dotted">
        <color theme="0" tint="-0.24994659260841701"/>
      </bottom>
      <diagonal/>
    </border>
    <border>
      <left style="double">
        <color rgb="FF000000"/>
      </left>
      <right/>
      <top style="dotted">
        <color theme="0" tint="-0.24994659260841701"/>
      </top>
      <bottom style="dotted">
        <color theme="0" tint="-0.24994659260841701"/>
      </bottom>
      <diagonal/>
    </border>
    <border>
      <left/>
      <right/>
      <top style="dotted">
        <color theme="0" tint="-0.24994659260841701"/>
      </top>
      <bottom style="dotted">
        <color theme="0" tint="-0.24994659260841701"/>
      </bottom>
      <diagonal/>
    </border>
    <border>
      <left/>
      <right style="double">
        <color rgb="FF000000"/>
      </right>
      <top style="dotted">
        <color theme="0" tint="-0.24994659260841701"/>
      </top>
      <bottom style="dotted">
        <color theme="0" tint="-0.24994659260841701"/>
      </bottom>
      <diagonal/>
    </border>
    <border>
      <left/>
      <right style="double">
        <color rgb="FF000000"/>
      </right>
      <top style="dotted">
        <color theme="0" tint="-0.24994659260841701"/>
      </top>
      <bottom style="thin">
        <color indexed="64"/>
      </bottom>
      <diagonal/>
    </border>
    <border>
      <left style="double">
        <color indexed="64"/>
      </left>
      <right/>
      <top/>
      <bottom style="dotted">
        <color theme="0" tint="-0.24994659260841701"/>
      </bottom>
      <diagonal/>
    </border>
    <border>
      <left/>
      <right style="double">
        <color indexed="64"/>
      </right>
      <top/>
      <bottom style="dotted">
        <color theme="0" tint="-0.24994659260841701"/>
      </bottom>
      <diagonal/>
    </border>
    <border>
      <left style="double">
        <color indexed="64"/>
      </left>
      <right/>
      <top style="dotted">
        <color theme="0" tint="-0.24994659260841701"/>
      </top>
      <bottom style="dotted">
        <color theme="0" tint="-0.24994659260841701"/>
      </bottom>
      <diagonal/>
    </border>
    <border>
      <left/>
      <right style="double">
        <color indexed="64"/>
      </right>
      <top style="dotted">
        <color theme="0" tint="-0.24994659260841701"/>
      </top>
      <bottom style="dotted">
        <color theme="0" tint="-0.24994659260841701"/>
      </bottom>
      <diagonal/>
    </border>
    <border>
      <left/>
      <right style="double">
        <color indexed="64"/>
      </right>
      <top style="dotted">
        <color theme="0" tint="-0.24994659260841701"/>
      </top>
      <bottom style="thin">
        <color indexed="64"/>
      </bottom>
      <diagonal/>
    </border>
    <border>
      <left/>
      <right style="medium">
        <color rgb="FF000000"/>
      </right>
      <top/>
      <bottom style="medium">
        <color rgb="FF000000"/>
      </bottom>
      <diagonal/>
    </border>
    <border>
      <left style="thin">
        <color theme="0" tint="-0.24994659260841701"/>
      </left>
      <right style="double">
        <color indexed="64"/>
      </right>
      <top style="medium">
        <color indexed="64"/>
      </top>
      <bottom style="thin">
        <color theme="0" tint="-0.24994659260841701"/>
      </bottom>
      <diagonal/>
    </border>
    <border>
      <left style="thin">
        <color theme="0" tint="-0.24994659260841701"/>
      </left>
      <right style="double">
        <color indexed="64"/>
      </right>
      <top style="thin">
        <color theme="0" tint="-0.24994659260841701"/>
      </top>
      <bottom style="thin">
        <color theme="0" tint="-0.24994659260841701"/>
      </bottom>
      <diagonal/>
    </border>
    <border>
      <left style="thin">
        <color theme="0" tint="-0.24994659260841701"/>
      </left>
      <right style="double">
        <color indexed="64"/>
      </right>
      <top style="thin">
        <color theme="0" tint="-0.24994659260841701"/>
      </top>
      <bottom style="medium">
        <color rgb="FF000000"/>
      </bottom>
      <diagonal/>
    </border>
    <border>
      <left style="thin">
        <color theme="0" tint="-0.24994659260841701"/>
      </left>
      <right style="double">
        <color indexed="64"/>
      </right>
      <top style="thin">
        <color theme="0" tint="-0.24994659260841701"/>
      </top>
      <bottom/>
      <diagonal/>
    </border>
    <border>
      <left style="thin">
        <color theme="0" tint="-0.24994659260841701"/>
      </left>
      <right style="double">
        <color indexed="64"/>
      </right>
      <top style="thin">
        <color indexed="64"/>
      </top>
      <bottom style="thin">
        <color theme="0" tint="-0.24994659260841701"/>
      </bottom>
      <diagonal/>
    </border>
    <border>
      <left style="thin">
        <color theme="0" tint="-0.24994659260841701"/>
      </left>
      <right style="double">
        <color indexed="64"/>
      </right>
      <top/>
      <bottom style="thin">
        <color theme="0" tint="-0.24994659260841701"/>
      </bottom>
      <diagonal/>
    </border>
    <border>
      <left style="thin">
        <color theme="0" tint="-0.24994659260841701"/>
      </left>
      <right style="double">
        <color indexed="64"/>
      </right>
      <top style="thin">
        <color theme="0" tint="-0.24994659260841701"/>
      </top>
      <bottom style="thin">
        <color indexed="64"/>
      </bottom>
      <diagonal/>
    </border>
    <border>
      <left style="thin">
        <color indexed="64"/>
      </left>
      <right style="thin">
        <color theme="0" tint="-0.24994659260841701"/>
      </right>
      <top style="medium">
        <color rgb="FF000000"/>
      </top>
      <bottom style="thin">
        <color theme="0" tint="-0.24994659260841701"/>
      </bottom>
      <diagonal/>
    </border>
    <border>
      <left style="thin">
        <color theme="0" tint="-0.24994659260841701"/>
      </left>
      <right style="thin">
        <color theme="0" tint="-0.24994659260841701"/>
      </right>
      <top style="medium">
        <color rgb="FF000000"/>
      </top>
      <bottom style="thin">
        <color theme="0" tint="-0.24994659260841701"/>
      </bottom>
      <diagonal/>
    </border>
    <border>
      <left style="thin">
        <color theme="0" tint="-0.24994659260841701"/>
      </left>
      <right style="double">
        <color indexed="64"/>
      </right>
      <top style="medium">
        <color rgb="FF000000"/>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medium">
        <color rgb="FF000000"/>
      </bottom>
      <diagonal/>
    </border>
    <border>
      <left style="thin">
        <color theme="0" tint="-0.24994659260841701"/>
      </left>
      <right/>
      <top style="medium">
        <color rgb="FF000000"/>
      </top>
      <bottom style="thin">
        <color theme="0" tint="-0.24994659260841701"/>
      </bottom>
      <diagonal/>
    </border>
    <border>
      <left style="medium">
        <color auto="1"/>
      </left>
      <right style="thin">
        <color theme="0" tint="-0.24994659260841701"/>
      </right>
      <top style="medium">
        <color indexed="64"/>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diagonal/>
    </border>
    <border>
      <left style="medium">
        <color auto="1"/>
      </left>
      <right style="thin">
        <color theme="0" tint="-0.24994659260841701"/>
      </right>
      <top style="thin">
        <color indexed="64"/>
      </top>
      <bottom style="thin">
        <color theme="0" tint="-0.24994659260841701"/>
      </bottom>
      <diagonal/>
    </border>
    <border>
      <left style="medium">
        <color auto="1"/>
      </left>
      <right style="thin">
        <color theme="0" tint="-0.24994659260841701"/>
      </right>
      <top style="thin">
        <color theme="0" tint="-0.24994659260841701"/>
      </top>
      <bottom style="thin">
        <color indexed="64"/>
      </bottom>
      <diagonal/>
    </border>
    <border>
      <left style="medium">
        <color auto="1"/>
      </left>
      <right style="thin">
        <color theme="0" tint="-0.24994659260841701"/>
      </right>
      <top/>
      <bottom style="thin">
        <color theme="0" tint="-0.24994659260841701"/>
      </bottom>
      <diagonal/>
    </border>
    <border>
      <left style="medium">
        <color auto="1"/>
      </left>
      <right style="thin">
        <color theme="0" tint="-0.24994659260841701"/>
      </right>
      <top style="thin">
        <color theme="0" tint="-0.24994659260841701"/>
      </top>
      <bottom style="medium">
        <color rgb="FF000000"/>
      </bottom>
      <diagonal/>
    </border>
    <border>
      <left style="medium">
        <color auto="1"/>
      </left>
      <right/>
      <top style="medium">
        <color rgb="FF000000"/>
      </top>
      <bottom style="medium">
        <color rgb="FF000000"/>
      </bottom>
      <diagonal/>
    </border>
    <border>
      <left style="medium">
        <color auto="1"/>
      </left>
      <right style="thin">
        <color theme="0" tint="-0.24994659260841701"/>
      </right>
      <top style="medium">
        <color rgb="FF000000"/>
      </top>
      <bottom style="thin">
        <color theme="0" tint="-0.24994659260841701"/>
      </bottom>
      <diagonal/>
    </border>
    <border>
      <left style="medium">
        <color auto="1"/>
      </left>
      <right style="thin">
        <color theme="0" tint="-0.24994659260841701"/>
      </right>
      <top style="thin">
        <color theme="0" tint="-0.24994659260841701"/>
      </top>
      <bottom style="thin">
        <color rgb="FF000000"/>
      </bottom>
      <diagonal/>
    </border>
    <border>
      <left style="thin">
        <color indexed="64"/>
      </left>
      <right style="thin">
        <color theme="0" tint="-0.24994659260841701"/>
      </right>
      <top style="thin">
        <color indexed="64"/>
      </top>
      <bottom/>
      <diagonal/>
    </border>
    <border>
      <left style="thin">
        <color indexed="64"/>
      </left>
      <right style="thin">
        <color theme="0" tint="-0.24994659260841701"/>
      </right>
      <top/>
      <bottom/>
      <diagonal/>
    </border>
    <border>
      <left style="thin">
        <color indexed="64"/>
      </left>
      <right style="thin">
        <color theme="0" tint="-0.24994659260841701"/>
      </right>
      <top/>
      <bottom style="medium">
        <color rgb="FF000000"/>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medium">
        <color rgb="FF000000"/>
      </bottom>
      <diagonal/>
    </border>
    <border>
      <left style="thin">
        <color theme="0" tint="-0.24994659260841701"/>
      </left>
      <right style="medium">
        <color auto="1"/>
      </right>
      <top style="thin">
        <color indexed="64"/>
      </top>
      <bottom/>
      <diagonal/>
    </border>
    <border>
      <left style="thin">
        <color theme="0" tint="-0.24994659260841701"/>
      </left>
      <right style="medium">
        <color auto="1"/>
      </right>
      <top/>
      <bottom/>
      <diagonal/>
    </border>
    <border>
      <left style="thin">
        <color theme="0" tint="-0.24994659260841701"/>
      </left>
      <right style="medium">
        <color auto="1"/>
      </right>
      <top/>
      <bottom style="medium">
        <color rgb="FF000000"/>
      </bottom>
      <diagonal/>
    </border>
    <border>
      <left style="medium">
        <color rgb="FF000000"/>
      </left>
      <right style="thin">
        <color rgb="FFB7B7B7"/>
      </right>
      <top style="thin">
        <color rgb="FFB7B7B7"/>
      </top>
      <bottom style="thin">
        <color indexed="64"/>
      </bottom>
      <diagonal/>
    </border>
    <border>
      <left style="medium">
        <color rgb="FF000000"/>
      </left>
      <right style="thin">
        <color rgb="FFB7B7B7"/>
      </right>
      <top/>
      <bottom style="thin">
        <color indexed="64"/>
      </bottom>
      <diagonal/>
    </border>
    <border>
      <left style="thin">
        <color rgb="FFB7B7B7"/>
      </left>
      <right style="thin">
        <color rgb="FFB7B7B7"/>
      </right>
      <top/>
      <bottom style="thin">
        <color indexed="64"/>
      </bottom>
      <diagonal/>
    </border>
    <border>
      <left style="thin">
        <color rgb="FFB7B7B7"/>
      </left>
      <right style="double">
        <color indexed="64"/>
      </right>
      <top/>
      <bottom style="thin">
        <color indexed="64"/>
      </bottom>
      <diagonal/>
    </border>
    <border>
      <left style="thin">
        <color rgb="FFB7B7B7"/>
      </left>
      <right/>
      <top style="thin">
        <color rgb="FFB7B7B7"/>
      </top>
      <bottom style="thin">
        <color indexed="64"/>
      </bottom>
      <diagonal/>
    </border>
    <border>
      <left/>
      <right style="thin">
        <color rgb="FFB7B7B7"/>
      </right>
      <top style="thin">
        <color rgb="FFB7B7B7"/>
      </top>
      <bottom style="thin">
        <color indexed="64"/>
      </bottom>
      <diagonal/>
    </border>
    <border>
      <left style="thin">
        <color rgb="FF7F7F7F"/>
      </left>
      <right/>
      <top/>
      <bottom style="thin">
        <color indexed="64"/>
      </bottom>
      <diagonal/>
    </border>
    <border>
      <left style="thin">
        <color rgb="FF000000"/>
      </left>
      <right style="thin">
        <color rgb="FFBFBFBF"/>
      </right>
      <top style="medium">
        <color indexed="64"/>
      </top>
      <bottom/>
      <diagonal/>
    </border>
    <border>
      <left style="thin">
        <color rgb="FFBFBFBF"/>
      </left>
      <right/>
      <top style="medium">
        <color indexed="64"/>
      </top>
      <bottom/>
      <diagonal/>
    </border>
    <border>
      <left style="medium">
        <color rgb="FF000000"/>
      </left>
      <right style="thin">
        <color rgb="FFB7B7B7"/>
      </right>
      <top style="medium">
        <color indexed="64"/>
      </top>
      <bottom style="thin">
        <color rgb="FFB7B7B7"/>
      </bottom>
      <diagonal/>
    </border>
    <border>
      <left style="thin">
        <color rgb="FFA5A5A5"/>
      </left>
      <right style="thin">
        <color rgb="FFA5A5A5"/>
      </right>
      <top style="thin">
        <color theme="0" tint="-0.24994659260841701"/>
      </top>
      <bottom style="thin">
        <color rgb="FFA5A5A5"/>
      </bottom>
      <diagonal/>
    </border>
    <border>
      <left style="thin">
        <color rgb="FFA5A5A5"/>
      </left>
      <right/>
      <top style="thin">
        <color rgb="FFA5A5A5"/>
      </top>
      <bottom style="thin">
        <color indexed="64"/>
      </bottom>
      <diagonal/>
    </border>
    <border>
      <left style="thin">
        <color rgb="FFBFBFBF"/>
      </left>
      <right/>
      <top style="thin">
        <color rgb="FFBFBFBF"/>
      </top>
      <bottom style="thin">
        <color indexed="64"/>
      </bottom>
      <diagonal/>
    </border>
    <border>
      <left style="thin">
        <color rgb="FFA5A5A5"/>
      </left>
      <right style="double">
        <color indexed="64"/>
      </right>
      <top/>
      <bottom style="thin">
        <color indexed="64"/>
      </bottom>
      <diagonal/>
    </border>
    <border>
      <left style="thin">
        <color rgb="FFE36C09"/>
      </left>
      <right style="thin">
        <color rgb="FFE36C09"/>
      </right>
      <top style="thin">
        <color rgb="FF000000"/>
      </top>
      <bottom style="medium">
        <color indexed="64"/>
      </bottom>
      <diagonal/>
    </border>
    <border>
      <left style="thin">
        <color rgb="FFE36C09"/>
      </left>
      <right/>
      <top style="thin">
        <color rgb="FF000000"/>
      </top>
      <bottom style="medium">
        <color indexed="64"/>
      </bottom>
      <diagonal/>
    </border>
    <border>
      <left style="medium">
        <color rgb="FF000000"/>
      </left>
      <right style="thin">
        <color rgb="FFA5A5A5"/>
      </right>
      <top style="thin">
        <color indexed="64"/>
      </top>
      <bottom style="thin">
        <color rgb="FFA5A5A5"/>
      </bottom>
      <diagonal/>
    </border>
    <border>
      <left style="medium">
        <color rgb="FF000000"/>
      </left>
      <right style="thin">
        <color rgb="FFA5A5A5"/>
      </right>
      <top style="thin">
        <color rgb="FFA5A5A5"/>
      </top>
      <bottom style="thin">
        <color theme="0" tint="-0.24994659260841701"/>
      </bottom>
      <diagonal/>
    </border>
    <border>
      <left style="medium">
        <color rgb="FF000000"/>
      </left>
      <right style="thin">
        <color rgb="FFA5A5A5"/>
      </right>
      <top style="medium">
        <color indexed="64"/>
      </top>
      <bottom style="thin">
        <color rgb="FFA5A5A5"/>
      </bottom>
      <diagonal/>
    </border>
    <border>
      <left style="medium">
        <color rgb="FF000000"/>
      </left>
      <right style="thin">
        <color rgb="FFA5A5A5"/>
      </right>
      <top style="thin">
        <color theme="0" tint="-0.24994659260841701"/>
      </top>
      <bottom style="thin">
        <color rgb="FFA5A5A5"/>
      </bottom>
      <diagonal/>
    </border>
    <border>
      <left style="medium">
        <color rgb="FF000000"/>
      </left>
      <right style="thin">
        <color theme="0" tint="-0.24994659260841701"/>
      </right>
      <top style="medium">
        <color indexed="64"/>
      </top>
      <bottom style="thin">
        <color theme="0" tint="-0.24994659260841701"/>
      </bottom>
      <diagonal/>
    </border>
    <border>
      <left style="thin">
        <color theme="0" tint="-0.24994659260841701"/>
      </left>
      <right style="double">
        <color indexed="64"/>
      </right>
      <top style="thin">
        <color theme="0" tint="-0.24994659260841701"/>
      </top>
      <bottom style="thin">
        <color rgb="FF000000"/>
      </bottom>
      <diagonal/>
    </border>
    <border>
      <left style="medium">
        <color rgb="FF000000"/>
      </left>
      <right style="thin">
        <color theme="0" tint="-0.24994659260841701"/>
      </right>
      <top/>
      <bottom style="thin">
        <color theme="0" tint="-0.24994659260841701"/>
      </bottom>
      <diagonal/>
    </border>
    <border>
      <left style="thin">
        <color rgb="FFB7B7B7"/>
      </left>
      <right/>
      <top/>
      <bottom style="thin">
        <color indexed="64"/>
      </bottom>
      <diagonal/>
    </border>
    <border>
      <left style="medium">
        <color rgb="FF000000"/>
      </left>
      <right style="thin">
        <color theme="0" tint="-0.24994659260841701"/>
      </right>
      <top style="thin">
        <color theme="0" tint="-0.24994659260841701"/>
      </top>
      <bottom style="thin">
        <color indexed="64"/>
      </bottom>
      <diagonal/>
    </border>
    <border>
      <left style="medium">
        <color rgb="FF000000"/>
      </left>
      <right style="thin">
        <color theme="0" tint="-0.24994659260841701"/>
      </right>
      <top style="thin">
        <color theme="0" tint="-0.24994659260841701"/>
      </top>
      <bottom/>
      <diagonal/>
    </border>
    <border>
      <left style="thin">
        <color rgb="FFB7B7B7"/>
      </left>
      <right/>
      <top style="thin">
        <color indexed="64"/>
      </top>
      <bottom/>
      <diagonal/>
    </border>
    <border>
      <left style="medium">
        <color rgb="FF000000"/>
      </left>
      <right style="thin">
        <color theme="0" tint="-0.24994659260841701"/>
      </right>
      <top style="thin">
        <color indexed="64"/>
      </top>
      <bottom style="thin">
        <color theme="0" tint="-0.24994659260841701"/>
      </bottom>
      <diagonal/>
    </border>
    <border>
      <left style="thin">
        <color theme="0" tint="-0.24994659260841701"/>
      </left>
      <right style="double">
        <color indexed="64"/>
      </right>
      <top style="thin">
        <color indexed="64"/>
      </top>
      <bottom/>
      <diagonal/>
    </border>
    <border>
      <left style="thin">
        <color theme="0" tint="-0.24994659260841701"/>
      </left>
      <right style="thin">
        <color theme="0" tint="-0.24994659260841701"/>
      </right>
      <top style="thin">
        <color rgb="FFA5A5A5"/>
      </top>
      <bottom style="thin">
        <color theme="0" tint="-0.24994659260841701"/>
      </bottom>
      <diagonal/>
    </border>
    <border>
      <left style="thin">
        <color theme="0" tint="-0.24994659260841701"/>
      </left>
      <right style="thin">
        <color theme="0" tint="-0.24994659260841701"/>
      </right>
      <top style="thin">
        <color rgb="FFBFBFBF"/>
      </top>
      <bottom style="thin">
        <color theme="0" tint="-0.24994659260841701"/>
      </bottom>
      <diagonal/>
    </border>
    <border>
      <left style="thin">
        <color theme="0" tint="-0.24994659260841701"/>
      </left>
      <right style="thin">
        <color rgb="FFBFBFBF"/>
      </right>
      <top style="thin">
        <color rgb="FFBFBFBF"/>
      </top>
      <bottom style="thin">
        <color theme="0" tint="-0.24994659260841701"/>
      </bottom>
      <diagonal/>
    </border>
    <border>
      <left style="thin">
        <color theme="0" tint="-0.24994659260841701"/>
      </left>
      <right style="thin">
        <color rgb="FFBFBFBF"/>
      </right>
      <top style="thin">
        <color theme="0" tint="-0.24994659260841701"/>
      </top>
      <bottom style="thin">
        <color indexed="64"/>
      </bottom>
      <diagonal/>
    </border>
    <border>
      <left style="thin">
        <color rgb="FFBFBFBF"/>
      </left>
      <right style="thin">
        <color rgb="FF000000"/>
      </right>
      <top style="thin">
        <color rgb="FFBFBFBF"/>
      </top>
      <bottom style="thin">
        <color indexed="64"/>
      </bottom>
      <diagonal/>
    </border>
    <border>
      <left style="thin">
        <color rgb="FF000000"/>
      </left>
      <right style="double">
        <color rgb="FF000000"/>
      </right>
      <top/>
      <bottom style="thin">
        <color indexed="64"/>
      </bottom>
      <diagonal/>
    </border>
    <border>
      <left style="thin">
        <color theme="1"/>
      </left>
      <right style="thin">
        <color rgb="FFBFBFBF"/>
      </right>
      <top/>
      <bottom style="thin">
        <color indexed="64"/>
      </bottom>
      <diagonal/>
    </border>
    <border>
      <left style="medium">
        <color rgb="FF000000"/>
      </left>
      <right style="thin">
        <color rgb="FFBFBFBF"/>
      </right>
      <top/>
      <bottom style="thin">
        <color indexed="64"/>
      </bottom>
      <diagonal/>
    </border>
    <border>
      <left/>
      <right style="double">
        <color rgb="FF000000"/>
      </right>
      <top style="thin">
        <color rgb="FF000000"/>
      </top>
      <bottom style="medium">
        <color indexed="64"/>
      </bottom>
      <diagonal/>
    </border>
    <border>
      <left style="medium">
        <color auto="1"/>
      </left>
      <right style="thin">
        <color rgb="FFBFBFBF"/>
      </right>
      <top style="thin">
        <color rgb="FFBFBFBF"/>
      </top>
      <bottom style="thin">
        <color indexed="64"/>
      </bottom>
      <diagonal/>
    </border>
    <border>
      <left style="medium">
        <color auto="1"/>
      </left>
      <right/>
      <top/>
      <bottom style="medium">
        <color rgb="FF000000"/>
      </bottom>
      <diagonal/>
    </border>
    <border>
      <left style="medium">
        <color auto="1"/>
      </left>
      <right style="thin">
        <color rgb="FFBFBFBF"/>
      </right>
      <top style="thin">
        <color rgb="FF000000"/>
      </top>
      <bottom style="thin">
        <color rgb="FFBFBFBF"/>
      </bottom>
      <diagonal/>
    </border>
    <border>
      <left style="medium">
        <color auto="1"/>
      </left>
      <right style="thin">
        <color rgb="FFBFBFBF"/>
      </right>
      <top style="thin">
        <color rgb="FFBFBFBF"/>
      </top>
      <bottom style="thin">
        <color rgb="FFBFBFBF"/>
      </bottom>
      <diagonal/>
    </border>
    <border>
      <left style="medium">
        <color auto="1"/>
      </left>
      <right style="thin">
        <color rgb="FFBFBFBF"/>
      </right>
      <top/>
      <bottom style="thin">
        <color rgb="FFBFBFBF"/>
      </bottom>
      <diagonal/>
    </border>
    <border>
      <left style="medium">
        <color auto="1"/>
      </left>
      <right style="thin">
        <color theme="0" tint="-0.24994659260841701"/>
      </right>
      <top style="thin">
        <color rgb="FFBFBFBF"/>
      </top>
      <bottom style="thin">
        <color theme="0" tint="-0.24994659260841701"/>
      </bottom>
      <diagonal/>
    </border>
    <border>
      <left style="medium">
        <color auto="1"/>
      </left>
      <right style="thin">
        <color rgb="FFA5A5A5"/>
      </right>
      <top/>
      <bottom style="thin">
        <color rgb="FFA5A5A5"/>
      </bottom>
      <diagonal/>
    </border>
    <border>
      <left style="medium">
        <color auto="1"/>
      </left>
      <right style="thin">
        <color rgb="FFBFBFBF"/>
      </right>
      <top style="thin">
        <color rgb="FFBFBFBF"/>
      </top>
      <bottom style="thin">
        <color rgb="FF000000"/>
      </bottom>
      <diagonal/>
    </border>
    <border>
      <left style="medium">
        <color auto="1"/>
      </left>
      <right/>
      <top style="thin">
        <color rgb="FFBFBFBF"/>
      </top>
      <bottom style="thin">
        <color rgb="FFA5A5A5"/>
      </bottom>
      <diagonal/>
    </border>
    <border>
      <left style="medium">
        <color auto="1"/>
      </left>
      <right/>
      <top/>
      <bottom style="thin">
        <color rgb="FF000000"/>
      </bottom>
      <diagonal/>
    </border>
    <border>
      <left style="medium">
        <color auto="1"/>
      </left>
      <right/>
      <top/>
      <bottom style="thin">
        <color rgb="FFBFBFBF"/>
      </bottom>
      <diagonal/>
    </border>
    <border>
      <left style="medium">
        <color auto="1"/>
      </left>
      <right style="thin">
        <color rgb="FFBFBFBF"/>
      </right>
      <top style="thin">
        <color rgb="FFBFBFBF"/>
      </top>
      <bottom/>
      <diagonal/>
    </border>
    <border>
      <left style="medium">
        <color auto="1"/>
      </left>
      <right/>
      <top style="thin">
        <color rgb="FF000000"/>
      </top>
      <bottom style="medium">
        <color indexed="64"/>
      </bottom>
      <diagonal/>
    </border>
    <border>
      <left style="medium">
        <color auto="1"/>
      </left>
      <right style="thin">
        <color rgb="FFA5A5A5"/>
      </right>
      <top style="thin">
        <color rgb="FFA5A5A5"/>
      </top>
      <bottom style="thin">
        <color rgb="FFA5A5A5"/>
      </bottom>
      <diagonal/>
    </border>
    <border>
      <left style="medium">
        <color auto="1"/>
      </left>
      <right style="thin">
        <color rgb="FFA5A5A5"/>
      </right>
      <top style="thin">
        <color rgb="FFA5A5A5"/>
      </top>
      <bottom style="thin">
        <color rgb="FF000000"/>
      </bottom>
      <diagonal/>
    </border>
    <border>
      <left style="thin">
        <color theme="0" tint="-0.24994659260841701"/>
      </left>
      <right style="thin">
        <color theme="0" tint="-0.24994659260841701"/>
      </right>
      <top style="thin">
        <color rgb="FF000000"/>
      </top>
      <bottom/>
      <diagonal/>
    </border>
    <border>
      <left style="thin">
        <color theme="0" tint="-0.24994659260841701"/>
      </left>
      <right style="thin">
        <color theme="0" tint="-0.24994659260841701"/>
      </right>
      <top/>
      <bottom style="thin">
        <color rgb="FF000000"/>
      </bottom>
      <diagonal/>
    </border>
    <border>
      <left style="thin">
        <color rgb="FFA5A5A5"/>
      </left>
      <right/>
      <top/>
      <bottom style="thin">
        <color indexed="64"/>
      </bottom>
      <diagonal/>
    </border>
    <border>
      <left style="thin">
        <color rgb="FFA5A5A5"/>
      </left>
      <right/>
      <top style="thin">
        <color indexed="64"/>
      </top>
      <bottom/>
      <diagonal/>
    </border>
    <border>
      <left style="thin">
        <color rgb="FF000000"/>
      </left>
      <right style="thin">
        <color theme="0" tint="-0.24994659260841701"/>
      </right>
      <top/>
      <bottom style="thin">
        <color theme="0" tint="-0.24994659260841701"/>
      </bottom>
      <diagonal/>
    </border>
    <border>
      <left style="thin">
        <color theme="0" tint="-0.24994659260841701"/>
      </left>
      <right style="double">
        <color rgb="FF000000"/>
      </right>
      <top/>
      <bottom style="thin">
        <color theme="0" tint="-0.24994659260841701"/>
      </bottom>
      <diagonal/>
    </border>
    <border>
      <left style="thin">
        <color rgb="FF000000"/>
      </left>
      <right style="thin">
        <color theme="0" tint="-0.24994659260841701"/>
      </right>
      <top style="thin">
        <color theme="0" tint="-0.24994659260841701"/>
      </top>
      <bottom style="thin">
        <color theme="0" tint="-0.24994659260841701"/>
      </bottom>
      <diagonal/>
    </border>
    <border>
      <left style="thin">
        <color theme="0" tint="-0.24994659260841701"/>
      </left>
      <right style="double">
        <color rgb="FF000000"/>
      </right>
      <top style="thin">
        <color theme="0" tint="-0.24994659260841701"/>
      </top>
      <bottom style="thin">
        <color theme="0" tint="-0.24994659260841701"/>
      </bottom>
      <diagonal/>
    </border>
    <border>
      <left style="thin">
        <color rgb="FF000000"/>
      </left>
      <right style="thin">
        <color theme="0" tint="-0.24994659260841701"/>
      </right>
      <top style="thin">
        <color theme="0" tint="-0.24994659260841701"/>
      </top>
      <bottom style="thin">
        <color rgb="FF000000"/>
      </bottom>
      <diagonal/>
    </border>
    <border>
      <left style="thin">
        <color theme="0" tint="-0.24994659260841701"/>
      </left>
      <right style="double">
        <color rgb="FF000000"/>
      </right>
      <top style="thin">
        <color theme="0" tint="-0.24994659260841701"/>
      </top>
      <bottom style="thin">
        <color rgb="FF000000"/>
      </bottom>
      <diagonal/>
    </border>
    <border>
      <left style="thin">
        <color rgb="FF000000"/>
      </left>
      <right style="thin">
        <color theme="0" tint="-0.24994659260841701"/>
      </right>
      <top style="medium">
        <color rgb="FF000000"/>
      </top>
      <bottom style="thin">
        <color theme="0" tint="-0.24994659260841701"/>
      </bottom>
      <diagonal/>
    </border>
    <border>
      <left style="thin">
        <color theme="0" tint="-0.24994659260841701"/>
      </left>
      <right style="double">
        <color rgb="FF000000"/>
      </right>
      <top style="medium">
        <color rgb="FF000000"/>
      </top>
      <bottom style="thin">
        <color theme="0" tint="-0.24994659260841701"/>
      </bottom>
      <diagonal/>
    </border>
    <border>
      <left style="thin">
        <color rgb="FF000000"/>
      </left>
      <right/>
      <top/>
      <bottom style="medium">
        <color indexed="64"/>
      </bottom>
      <diagonal/>
    </border>
    <border>
      <left/>
      <right/>
      <top/>
      <bottom style="medium">
        <color indexed="64"/>
      </bottom>
      <diagonal/>
    </border>
    <border>
      <left style="thin">
        <color theme="9"/>
      </left>
      <right style="thin">
        <color theme="9"/>
      </right>
      <top style="thin">
        <color rgb="FF000000"/>
      </top>
      <bottom style="medium">
        <color indexed="64"/>
      </bottom>
      <diagonal/>
    </border>
    <border>
      <left/>
      <right style="double">
        <color rgb="FF000000"/>
      </right>
      <top/>
      <bottom style="medium">
        <color indexed="64"/>
      </bottom>
      <diagonal/>
    </border>
    <border>
      <left style="thin">
        <color rgb="FF000000"/>
      </left>
      <right style="thin">
        <color theme="0" tint="-0.24994659260841701"/>
      </right>
      <top style="thin">
        <color theme="0" tint="-0.24994659260841701"/>
      </top>
      <bottom style="thin">
        <color indexed="64"/>
      </bottom>
      <diagonal/>
    </border>
    <border>
      <left style="thin">
        <color theme="0" tint="-0.24994659260841701"/>
      </left>
      <right style="double">
        <color rgb="FF000000"/>
      </right>
      <top style="thin">
        <color theme="0" tint="-0.24994659260841701"/>
      </top>
      <bottom style="thin">
        <color indexed="64"/>
      </bottom>
      <diagonal/>
    </border>
    <border>
      <left style="thin">
        <color rgb="FF000000"/>
      </left>
      <right style="thin">
        <color theme="0" tint="-0.24994659260841701"/>
      </right>
      <top style="thin">
        <color theme="0" tint="-0.24994659260841701"/>
      </top>
      <bottom/>
      <diagonal/>
    </border>
    <border>
      <left style="thin">
        <color theme="0" tint="-0.24994659260841701"/>
      </left>
      <right style="double">
        <color rgb="FF000000"/>
      </right>
      <top style="thin">
        <color theme="0" tint="-0.24994659260841701"/>
      </top>
      <bottom/>
      <diagonal/>
    </border>
    <border>
      <left style="thin">
        <color rgb="FF000000"/>
      </left>
      <right style="thin">
        <color theme="0" tint="-0.24994659260841701"/>
      </right>
      <top style="thin">
        <color indexed="64"/>
      </top>
      <bottom style="thin">
        <color theme="0" tint="-0.24994659260841701"/>
      </bottom>
      <diagonal/>
    </border>
    <border>
      <left style="thin">
        <color theme="0" tint="-0.24994659260841701"/>
      </left>
      <right style="double">
        <color rgb="FF000000"/>
      </right>
      <top style="thin">
        <color indexed="64"/>
      </top>
      <bottom style="thin">
        <color theme="0" tint="-0.24994659260841701"/>
      </bottom>
      <diagonal/>
    </border>
    <border>
      <left style="thin">
        <color theme="0" tint="-0.24994659260841701"/>
      </left>
      <right style="double">
        <color rgb="FF000000"/>
      </right>
      <top style="thin">
        <color indexed="64"/>
      </top>
      <bottom/>
      <diagonal/>
    </border>
    <border>
      <left style="thin">
        <color theme="0" tint="-0.24994659260841701"/>
      </left>
      <right style="double">
        <color rgb="FF000000"/>
      </right>
      <top/>
      <bottom/>
      <diagonal/>
    </border>
    <border>
      <left style="thin">
        <color theme="0" tint="-0.24994659260841701"/>
      </left>
      <right style="double">
        <color rgb="FF000000"/>
      </right>
      <top/>
      <bottom style="thin">
        <color indexed="64"/>
      </bottom>
      <diagonal/>
    </border>
    <border>
      <left style="thin">
        <color theme="0" tint="-0.24994659260841701"/>
      </left>
      <right/>
      <top style="thin">
        <color theme="0" tint="-0.24994659260841701"/>
      </top>
      <bottom style="thin">
        <color rgb="FF000000"/>
      </bottom>
      <diagonal/>
    </border>
    <border>
      <left style="thin">
        <color theme="9"/>
      </left>
      <right style="thin">
        <color theme="9"/>
      </right>
      <top style="thin">
        <color rgb="FF000000"/>
      </top>
      <bottom style="medium">
        <color rgb="FF000000"/>
      </bottom>
      <diagonal/>
    </border>
    <border>
      <left style="thin">
        <color theme="0" tint="-0.24994659260841701"/>
      </left>
      <right style="thin">
        <color rgb="FFBFBFBF"/>
      </right>
      <top style="thin">
        <color rgb="FF000000"/>
      </top>
      <bottom style="thin">
        <color theme="0" tint="-0.24994659260841701"/>
      </bottom>
      <diagonal/>
    </border>
    <border>
      <left style="thin">
        <color theme="0" tint="-0.24994659260841701"/>
      </left>
      <right style="thin">
        <color rgb="FFBFBFBF"/>
      </right>
      <top style="thin">
        <color theme="0" tint="-0.24994659260841701"/>
      </top>
      <bottom style="thin">
        <color theme="0" tint="-0.24994659260841701"/>
      </bottom>
      <diagonal/>
    </border>
    <border>
      <left style="thin">
        <color theme="0" tint="-0.24994659260841701"/>
      </left>
      <right style="thin">
        <color rgb="FFBFBFBF"/>
      </right>
      <top style="thin">
        <color theme="0" tint="-0.24994659260841701"/>
      </top>
      <bottom style="thin">
        <color rgb="FFBFBFBF"/>
      </bottom>
      <diagonal/>
    </border>
    <border>
      <left style="thin">
        <color indexed="64"/>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rgb="FF000000"/>
      </right>
      <top style="medium">
        <color indexed="64"/>
      </top>
      <bottom/>
      <diagonal/>
    </border>
    <border>
      <left style="thin">
        <color theme="0" tint="-0.24994659260841701"/>
      </left>
      <right style="medium">
        <color rgb="FF000000"/>
      </right>
      <top/>
      <bottom/>
      <diagonal/>
    </border>
    <border>
      <left style="thin">
        <color indexed="64"/>
      </left>
      <right style="thin">
        <color theme="0" tint="-0.24994659260841701"/>
      </right>
      <top/>
      <bottom style="thin">
        <color indexed="64"/>
      </bottom>
      <diagonal/>
    </border>
    <border>
      <left style="thin">
        <color theme="0" tint="-0.24994659260841701"/>
      </left>
      <right style="medium">
        <color rgb="FF000000"/>
      </right>
      <top/>
      <bottom style="thin">
        <color rgb="FF000000"/>
      </bottom>
      <diagonal/>
    </border>
    <border>
      <left style="thin">
        <color rgb="FFBFBFBF"/>
      </left>
      <right/>
      <top/>
      <bottom style="medium">
        <color indexed="64"/>
      </bottom>
      <diagonal/>
    </border>
    <border>
      <left style="thin">
        <color theme="0" tint="-0.24994659260841701"/>
      </left>
      <right style="thin">
        <color theme="0" tint="-0.24994659260841701"/>
      </right>
      <top/>
      <bottom style="medium">
        <color indexed="64"/>
      </bottom>
      <diagonal/>
    </border>
    <border>
      <left/>
      <right style="thin">
        <color rgb="FF000000"/>
      </right>
      <top/>
      <bottom style="medium">
        <color indexed="64"/>
      </bottom>
      <diagonal/>
    </border>
    <border>
      <left style="medium">
        <color rgb="FF000000"/>
      </left>
      <right style="thin">
        <color rgb="FFBFBFBF"/>
      </right>
      <top style="thin">
        <color rgb="FFBFBFBF"/>
      </top>
      <bottom style="medium">
        <color indexed="64"/>
      </bottom>
      <diagonal/>
    </border>
    <border>
      <left/>
      <right style="thin">
        <color rgb="FFBFBFBF"/>
      </right>
      <top style="thin">
        <color rgb="FFBFBFBF"/>
      </top>
      <bottom style="medium">
        <color indexed="64"/>
      </bottom>
      <diagonal/>
    </border>
    <border>
      <left style="thin">
        <color rgb="FFBFBFBF"/>
      </left>
      <right style="thin">
        <color rgb="FFBFBFBF"/>
      </right>
      <top style="thin">
        <color rgb="FFBFBFBF"/>
      </top>
      <bottom style="medium">
        <color indexed="64"/>
      </bottom>
      <diagonal/>
    </border>
    <border>
      <left style="thin">
        <color rgb="FFBFBFBF"/>
      </left>
      <right style="double">
        <color indexed="64"/>
      </right>
      <top/>
      <bottom style="medium">
        <color indexed="64"/>
      </bottom>
      <diagonal/>
    </border>
    <border>
      <left style="thin">
        <color theme="0" tint="-0.24994659260841701"/>
      </left>
      <right style="thin">
        <color theme="0" tint="-0.24994659260841701"/>
      </right>
      <top/>
      <bottom style="thin">
        <color indexed="64"/>
      </bottom>
      <diagonal/>
    </border>
    <border>
      <left style="medium">
        <color rgb="FF000000"/>
      </left>
      <right style="thin">
        <color rgb="FFCCCCCC"/>
      </right>
      <top style="thin">
        <color rgb="FFCCCCCC"/>
      </top>
      <bottom style="thin">
        <color indexed="64"/>
      </bottom>
      <diagonal/>
    </border>
    <border>
      <left style="thin">
        <color rgb="FFCCCCCC"/>
      </left>
      <right style="thin">
        <color rgb="FFCCCCCC"/>
      </right>
      <top style="thin">
        <color rgb="FFCCCCCC"/>
      </top>
      <bottom style="thin">
        <color indexed="64"/>
      </bottom>
      <diagonal/>
    </border>
    <border>
      <left/>
      <right style="double">
        <color indexed="64"/>
      </right>
      <top/>
      <bottom style="thin">
        <color indexed="64"/>
      </bottom>
      <diagonal/>
    </border>
    <border>
      <left style="thin">
        <color theme="0" tint="-0.24994659260841701"/>
      </left>
      <right style="medium">
        <color rgb="FF000000"/>
      </right>
      <top/>
      <bottom style="medium">
        <color rgb="FF000000"/>
      </bottom>
      <diagonal/>
    </border>
    <border>
      <left style="thin">
        <color indexed="64"/>
      </left>
      <right style="thin">
        <color theme="0" tint="-0.24994659260841701"/>
      </right>
      <top style="medium">
        <color rgb="FF000000"/>
      </top>
      <bottom/>
      <diagonal/>
    </border>
    <border>
      <left style="thin">
        <color theme="0" tint="-0.24994659260841701"/>
      </left>
      <right style="thin">
        <color theme="0" tint="-0.24994659260841701"/>
      </right>
      <top style="medium">
        <color rgb="FF000000"/>
      </top>
      <bottom/>
      <diagonal/>
    </border>
    <border>
      <left style="thin">
        <color theme="0" tint="-0.24994659260841701"/>
      </left>
      <right style="medium">
        <color rgb="FF000000"/>
      </right>
      <top style="medium">
        <color rgb="FF000000"/>
      </top>
      <bottom/>
      <diagonal/>
    </border>
    <border>
      <left style="thin">
        <color theme="0" tint="-0.24994659260841701"/>
      </left>
      <right style="medium">
        <color rgb="FF000000"/>
      </right>
      <top/>
      <bottom style="thin">
        <color indexed="64"/>
      </bottom>
      <diagonal/>
    </border>
    <border>
      <left style="thin">
        <color theme="0" tint="-0.24994659260841701"/>
      </left>
      <right style="medium">
        <color rgb="FF000000"/>
      </right>
      <top style="thin">
        <color indexed="64"/>
      </top>
      <bottom/>
      <diagonal/>
    </border>
    <border>
      <left style="medium">
        <color rgb="FF000000"/>
      </left>
      <right style="thin">
        <color rgb="FFB7B7B7"/>
      </right>
      <top style="thin">
        <color indexed="64"/>
      </top>
      <bottom style="thin">
        <color rgb="FFB7B7B7"/>
      </bottom>
      <diagonal/>
    </border>
    <border>
      <left style="thin">
        <color rgb="FFB7B7B7"/>
      </left>
      <right style="thin">
        <color rgb="FFB7B7B7"/>
      </right>
      <top style="thin">
        <color indexed="64"/>
      </top>
      <bottom style="thin">
        <color rgb="FFB7B7B7"/>
      </bottom>
      <diagonal/>
    </border>
    <border>
      <left style="thin">
        <color rgb="FFB7B7B7"/>
      </left>
      <right style="double">
        <color indexed="64"/>
      </right>
      <top style="thin">
        <color indexed="64"/>
      </top>
      <bottom/>
      <diagonal/>
    </border>
    <border>
      <left style="thin">
        <color indexed="64"/>
      </left>
      <right style="thin">
        <color theme="0" tint="-0.24994659260841701"/>
      </right>
      <top style="medium">
        <color rgb="FF000000"/>
      </top>
      <bottom style="thin">
        <color auto="1"/>
      </bottom>
      <diagonal/>
    </border>
    <border>
      <left style="thin">
        <color theme="0" tint="-0.24994659260841701"/>
      </left>
      <right style="thin">
        <color theme="0" tint="-0.24994659260841701"/>
      </right>
      <top style="medium">
        <color rgb="FF000000"/>
      </top>
      <bottom style="thin">
        <color auto="1"/>
      </bottom>
      <diagonal/>
    </border>
    <border>
      <left style="thin">
        <color theme="0" tint="-0.24994659260841701"/>
      </left>
      <right style="thin">
        <color theme="0" tint="-0.24994659260841701"/>
      </right>
      <top style="thin">
        <color rgb="FF000000"/>
      </top>
      <bottom style="thin">
        <color auto="1"/>
      </bottom>
      <diagonal/>
    </border>
    <border>
      <left style="thin">
        <color theme="0" tint="-0.24994659260841701"/>
      </left>
      <right style="medium">
        <color rgb="FF000000"/>
      </right>
      <top style="medium">
        <color rgb="FF000000"/>
      </top>
      <bottom style="thin">
        <color auto="1"/>
      </bottom>
      <diagonal/>
    </border>
    <border>
      <left style="thin">
        <color indexed="64"/>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medium">
        <color rgb="FF000000"/>
      </right>
      <top style="thin">
        <color auto="1"/>
      </top>
      <bottom style="thin">
        <color auto="1"/>
      </bottom>
      <diagonal/>
    </border>
    <border>
      <left style="thin">
        <color indexed="64"/>
      </left>
      <right style="thin">
        <color theme="0" tint="-0.24994659260841701"/>
      </right>
      <top style="thin">
        <color auto="1"/>
      </top>
      <bottom style="medium">
        <color rgb="FF000000"/>
      </bottom>
      <diagonal/>
    </border>
    <border>
      <left style="thin">
        <color theme="0" tint="-0.24994659260841701"/>
      </left>
      <right style="thin">
        <color theme="0" tint="-0.24994659260841701"/>
      </right>
      <top style="thin">
        <color auto="1"/>
      </top>
      <bottom style="medium">
        <color rgb="FF000000"/>
      </bottom>
      <diagonal/>
    </border>
    <border>
      <left style="thin">
        <color theme="0" tint="-0.24994659260841701"/>
      </left>
      <right style="medium">
        <color rgb="FF000000"/>
      </right>
      <top style="thin">
        <color auto="1"/>
      </top>
      <bottom style="medium">
        <color rgb="FF000000"/>
      </bottom>
      <diagonal/>
    </border>
    <border>
      <left/>
      <right style="thin">
        <color rgb="FFB7B7B7"/>
      </right>
      <top style="thin">
        <color indexed="64"/>
      </top>
      <bottom style="thin">
        <color rgb="FFB7B7B7"/>
      </bottom>
      <diagonal/>
    </border>
    <border>
      <left/>
      <right/>
      <top style="medium">
        <color rgb="FF000000"/>
      </top>
      <bottom style="medium">
        <color indexed="64"/>
      </bottom>
      <diagonal/>
    </border>
    <border>
      <left style="thin">
        <color theme="0" tint="-0.24994659260841701"/>
      </left>
      <right style="double">
        <color indexed="64"/>
      </right>
      <top style="thin">
        <color indexed="64"/>
      </top>
      <bottom style="thin">
        <color indexed="64"/>
      </bottom>
      <diagonal/>
    </border>
    <border>
      <left style="thin">
        <color theme="0" tint="-0.24994659260841701"/>
      </left>
      <right/>
      <top style="thin">
        <color auto="1"/>
      </top>
      <bottom style="thin">
        <color auto="1"/>
      </bottom>
      <diagonal/>
    </border>
    <border>
      <left style="medium">
        <color indexed="64"/>
      </left>
      <right/>
      <top/>
      <bottom/>
      <diagonal/>
    </border>
    <border>
      <left style="medium">
        <color indexed="64"/>
      </left>
      <right style="thin">
        <color theme="0" tint="-0.24994659260841701"/>
      </right>
      <top style="thin">
        <color auto="1"/>
      </top>
      <bottom style="thin">
        <color auto="1"/>
      </bottom>
      <diagonal/>
    </border>
    <border>
      <left style="medium">
        <color rgb="FF000000"/>
      </left>
      <right style="thin">
        <color theme="0" tint="-0.24994659260841701"/>
      </right>
      <top style="medium">
        <color rgb="FF000000"/>
      </top>
      <bottom style="thin">
        <color theme="0" tint="-0.24994659260841701"/>
      </bottom>
      <diagonal/>
    </border>
    <border>
      <left style="medium">
        <color rgb="FF000000"/>
      </left>
      <right style="thin">
        <color theme="0" tint="-0.24994659260841701"/>
      </right>
      <top style="thin">
        <color theme="0" tint="-0.24994659260841701"/>
      </top>
      <bottom style="medium">
        <color rgb="FF000000"/>
      </bottom>
      <diagonal/>
    </border>
    <border>
      <left style="thin">
        <color theme="6" tint="-0.499984740745262"/>
      </left>
      <right style="thin">
        <color theme="6" tint="-0.499984740745262"/>
      </right>
      <top/>
      <bottom/>
      <diagonal/>
    </border>
    <border>
      <left style="thin">
        <color theme="6" tint="-0.499984740745262"/>
      </left>
      <right style="thin">
        <color theme="5" tint="-0.499984740745262"/>
      </right>
      <top/>
      <bottom/>
      <diagonal/>
    </border>
    <border>
      <left style="thin">
        <color theme="5" tint="-0.499984740745262"/>
      </left>
      <right style="thin">
        <color theme="5" tint="-0.499984740745262"/>
      </right>
      <top/>
      <bottom/>
      <diagonal/>
    </border>
    <border>
      <left style="thin">
        <color theme="5" tint="-0.499984740745262"/>
      </left>
      <right style="thin">
        <color theme="8"/>
      </right>
      <top/>
      <bottom/>
      <diagonal/>
    </border>
    <border>
      <left style="thin">
        <color theme="8"/>
      </left>
      <right style="thin">
        <color theme="8"/>
      </right>
      <top/>
      <bottom/>
      <diagonal/>
    </border>
    <border>
      <left style="thin">
        <color theme="8"/>
      </left>
      <right style="medium">
        <color indexed="64"/>
      </right>
      <top/>
      <bottom/>
      <diagonal/>
    </border>
    <border>
      <left style="medium">
        <color indexed="64"/>
      </left>
      <right/>
      <top style="thin">
        <color theme="9" tint="-0.24994659260841701"/>
      </top>
      <bottom/>
      <diagonal/>
    </border>
    <border>
      <left style="thin">
        <color theme="9" tint="-0.24994659260841701"/>
      </left>
      <right style="thin">
        <color theme="9" tint="-0.24994659260841701"/>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style="double">
        <color indexed="64"/>
      </right>
      <top/>
      <bottom/>
      <diagonal/>
    </border>
    <border>
      <left style="thin">
        <color theme="9"/>
      </left>
      <right style="thin">
        <color theme="9"/>
      </right>
      <top/>
      <bottom style="thin">
        <color rgb="FF000000"/>
      </bottom>
      <diagonal/>
    </border>
    <border>
      <left style="thin">
        <color auto="1"/>
      </left>
      <right style="thin">
        <color theme="0" tint="-0.24994659260841701"/>
      </right>
      <top style="thin">
        <color theme="0" tint="-0.24994659260841701"/>
      </top>
      <bottom style="medium">
        <color auto="1"/>
      </bottom>
      <diagonal/>
    </border>
    <border>
      <left style="thin">
        <color theme="0" tint="-0.24994659260841701"/>
      </left>
      <right style="double">
        <color indexed="64"/>
      </right>
      <top style="thin">
        <color theme="0" tint="-0.24994659260841701"/>
      </top>
      <bottom style="medium">
        <color auto="1"/>
      </bottom>
      <diagonal/>
    </border>
    <border>
      <left style="thin">
        <color theme="0" tint="-0.24994659260841701"/>
      </left>
      <right/>
      <top style="thin">
        <color theme="0" tint="-0.24994659260841701"/>
      </top>
      <bottom style="medium">
        <color indexed="64"/>
      </bottom>
      <diagonal/>
    </border>
    <border>
      <left style="medium">
        <color indexed="64"/>
      </left>
      <right style="thin">
        <color theme="0" tint="-0.24994659260841701"/>
      </right>
      <top style="thin">
        <color theme="0" tint="-0.24994659260841701"/>
      </top>
      <bottom style="medium">
        <color indexed="64"/>
      </bottom>
      <diagonal/>
    </border>
    <border>
      <left/>
      <right/>
      <top style="medium">
        <color indexed="64"/>
      </top>
      <bottom style="medium">
        <color indexed="64"/>
      </bottom>
      <diagonal/>
    </border>
    <border>
      <left style="thin">
        <color theme="9"/>
      </left>
      <right style="thin">
        <color theme="9"/>
      </right>
      <top style="medium">
        <color indexed="64"/>
      </top>
      <bottom style="medium">
        <color indexed="64"/>
      </bottom>
      <diagonal/>
    </border>
    <border>
      <left/>
      <right style="thin">
        <color theme="9"/>
      </right>
      <top style="medium">
        <color indexed="64"/>
      </top>
      <bottom style="medium">
        <color indexed="64"/>
      </bottom>
      <diagonal/>
    </border>
  </borders>
  <cellStyleXfs count="6">
    <xf numFmtId="0" fontId="0" fillId="0" borderId="0"/>
    <xf numFmtId="0" fontId="141" fillId="0" borderId="375"/>
    <xf numFmtId="0" fontId="1" fillId="0" borderId="375"/>
    <xf numFmtId="0" fontId="1" fillId="0" borderId="375"/>
    <xf numFmtId="0" fontId="140" fillId="0" borderId="375"/>
    <xf numFmtId="0" fontId="140" fillId="0" borderId="375"/>
  </cellStyleXfs>
  <cellXfs count="5729">
    <xf numFmtId="0" fontId="0" fillId="0" borderId="0" xfId="0" applyFont="1" applyAlignment="1"/>
    <xf numFmtId="0" fontId="2"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49" fontId="2" fillId="0" borderId="0" xfId="0" applyNumberFormat="1" applyFont="1" applyAlignment="1">
      <alignment vertical="center"/>
    </xf>
    <xf numFmtId="0" fontId="4"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wrapText="1"/>
    </xf>
    <xf numFmtId="49" fontId="7" fillId="0" borderId="0" xfId="0" applyNumberFormat="1" applyFont="1" applyAlignment="1">
      <alignment horizontal="center" vertical="center"/>
    </xf>
    <xf numFmtId="0" fontId="7" fillId="0" borderId="0" xfId="0" applyFont="1" applyAlignment="1">
      <alignment horizontal="center" vertical="center"/>
    </xf>
    <xf numFmtId="0" fontId="9" fillId="0" borderId="0" xfId="0" applyFont="1" applyAlignment="1">
      <alignment vertical="center"/>
    </xf>
    <xf numFmtId="0" fontId="11" fillId="0" borderId="0" xfId="0" applyFont="1" applyAlignment="1">
      <alignment vertical="center"/>
    </xf>
    <xf numFmtId="0" fontId="3" fillId="0" borderId="0" xfId="0" applyFont="1" applyAlignment="1">
      <alignment vertical="center" wrapText="1"/>
    </xf>
    <xf numFmtId="0" fontId="2" fillId="0" borderId="0" xfId="0" applyFont="1" applyAlignment="1">
      <alignment vertical="center" wrapText="1"/>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49" fontId="12" fillId="2" borderId="2"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0" fontId="2" fillId="0" borderId="0" xfId="0" applyFont="1" applyAlignment="1">
      <alignment vertical="center" wrapText="1"/>
    </xf>
    <xf numFmtId="49" fontId="13" fillId="3" borderId="5" xfId="0" applyNumberFormat="1" applyFont="1" applyFill="1" applyBorder="1" applyAlignment="1">
      <alignment horizontal="center" vertical="center"/>
    </xf>
    <xf numFmtId="49" fontId="13" fillId="0" borderId="5" xfId="0" applyNumberFormat="1" applyFont="1" applyBorder="1" applyAlignment="1">
      <alignment horizontal="center" vertical="center"/>
    </xf>
    <xf numFmtId="164" fontId="13" fillId="3" borderId="6" xfId="0" applyNumberFormat="1" applyFont="1" applyFill="1" applyBorder="1" applyAlignment="1">
      <alignment horizontal="right" vertical="center"/>
    </xf>
    <xf numFmtId="0" fontId="13" fillId="3" borderId="5" xfId="0" applyFont="1" applyFill="1" applyBorder="1" applyAlignment="1">
      <alignment horizontal="center" vertical="center"/>
    </xf>
    <xf numFmtId="49" fontId="13" fillId="3" borderId="5" xfId="0" applyNumberFormat="1" applyFont="1" applyFill="1" applyBorder="1" applyAlignment="1">
      <alignment horizontal="center" vertical="center"/>
    </xf>
    <xf numFmtId="0" fontId="2" fillId="0" borderId="0" xfId="0" applyFont="1"/>
    <xf numFmtId="49" fontId="13" fillId="3" borderId="5" xfId="0" applyNumberFormat="1" applyFont="1" applyFill="1" applyBorder="1" applyAlignment="1">
      <alignment horizontal="center"/>
    </xf>
    <xf numFmtId="49" fontId="13" fillId="3" borderId="5" xfId="0" applyNumberFormat="1" applyFont="1" applyFill="1" applyBorder="1" applyAlignment="1">
      <alignment horizontal="center"/>
    </xf>
    <xf numFmtId="164" fontId="13" fillId="3" borderId="6" xfId="0" applyNumberFormat="1" applyFont="1" applyFill="1" applyBorder="1" applyAlignment="1">
      <alignment horizontal="right"/>
    </xf>
    <xf numFmtId="0" fontId="13" fillId="3" borderId="5" xfId="0" applyFont="1" applyFill="1" applyBorder="1" applyAlignment="1">
      <alignment horizontal="center"/>
    </xf>
    <xf numFmtId="0" fontId="13" fillId="0" borderId="5" xfId="0" applyFont="1" applyBorder="1" applyAlignment="1">
      <alignment horizontal="center" vertical="center"/>
    </xf>
    <xf numFmtId="165" fontId="13" fillId="0" borderId="6" xfId="0" applyNumberFormat="1" applyFont="1" applyBorder="1" applyAlignment="1">
      <alignment horizontal="right" vertical="center"/>
    </xf>
    <xf numFmtId="0" fontId="13" fillId="0" borderId="5" xfId="0" applyFont="1" applyBorder="1" applyAlignment="1">
      <alignment horizontal="center" vertical="center"/>
    </xf>
    <xf numFmtId="0" fontId="13" fillId="0" borderId="5" xfId="0" applyFont="1" applyBorder="1" applyAlignment="1">
      <alignment horizontal="center" vertical="center"/>
    </xf>
    <xf numFmtId="1" fontId="13" fillId="3" borderId="5" xfId="0" applyNumberFormat="1" applyFont="1" applyFill="1" applyBorder="1" applyAlignment="1">
      <alignment horizontal="center" vertical="center"/>
    </xf>
    <xf numFmtId="1" fontId="13" fillId="3" borderId="5" xfId="0" applyNumberFormat="1" applyFont="1" applyFill="1" applyBorder="1" applyAlignment="1">
      <alignment horizontal="center" vertical="center" wrapText="1"/>
    </xf>
    <xf numFmtId="49" fontId="13" fillId="0" borderId="5" xfId="0" applyNumberFormat="1" applyFont="1" applyBorder="1" applyAlignment="1">
      <alignment horizontal="center" vertical="center"/>
    </xf>
    <xf numFmtId="49" fontId="11" fillId="0" borderId="0" xfId="0" applyNumberFormat="1" applyFont="1" applyAlignment="1">
      <alignment horizontal="center" vertical="center"/>
    </xf>
    <xf numFmtId="0" fontId="13" fillId="3" borderId="5" xfId="0" applyFont="1" applyFill="1" applyBorder="1" applyAlignment="1">
      <alignment horizontal="center" vertical="center"/>
    </xf>
    <xf numFmtId="0" fontId="13" fillId="0" borderId="5" xfId="0" applyFont="1" applyBorder="1" applyAlignment="1">
      <alignment horizontal="center" vertical="center" wrapText="1"/>
    </xf>
    <xf numFmtId="0" fontId="13" fillId="0" borderId="6" xfId="0" applyFont="1" applyBorder="1" applyAlignment="1">
      <alignment horizontal="right" vertical="center"/>
    </xf>
    <xf numFmtId="4" fontId="13" fillId="0" borderId="6" xfId="0" applyNumberFormat="1" applyFont="1" applyBorder="1" applyAlignment="1">
      <alignment horizontal="right" vertical="center"/>
    </xf>
    <xf numFmtId="49" fontId="13" fillId="0" borderId="6" xfId="0" applyNumberFormat="1" applyFont="1" applyBorder="1" applyAlignment="1">
      <alignment horizontal="right" vertical="center"/>
    </xf>
    <xf numFmtId="4" fontId="13" fillId="0" borderId="6" xfId="0" applyNumberFormat="1" applyFont="1" applyBorder="1" applyAlignment="1">
      <alignment horizontal="right" vertical="center"/>
    </xf>
    <xf numFmtId="49" fontId="14" fillId="0" borderId="0" xfId="0" applyNumberFormat="1" applyFont="1" applyAlignment="1">
      <alignment horizontal="center" vertical="center"/>
    </xf>
    <xf numFmtId="1" fontId="13" fillId="3" borderId="5" xfId="0" applyNumberFormat="1" applyFont="1" applyFill="1" applyBorder="1" applyAlignment="1">
      <alignment horizontal="center" vertical="center"/>
    </xf>
    <xf numFmtId="0" fontId="13" fillId="3" borderId="5" xfId="0" applyFont="1" applyFill="1" applyBorder="1" applyAlignment="1">
      <alignment horizontal="center" vertical="center"/>
    </xf>
    <xf numFmtId="2" fontId="13" fillId="0" borderId="6" xfId="0" applyNumberFormat="1" applyFont="1" applyBorder="1" applyAlignment="1">
      <alignment horizontal="right" vertical="center"/>
    </xf>
    <xf numFmtId="0" fontId="2" fillId="0" borderId="0" xfId="0" applyFont="1" applyAlignment="1">
      <alignment horizontal="right" vertical="center"/>
    </xf>
    <xf numFmtId="49" fontId="11" fillId="0" borderId="0" xfId="0" applyNumberFormat="1" applyFont="1" applyAlignment="1">
      <alignment horizontal="center"/>
    </xf>
    <xf numFmtId="1" fontId="13" fillId="3" borderId="5" xfId="0" applyNumberFormat="1" applyFont="1" applyFill="1" applyBorder="1" applyAlignment="1">
      <alignment horizontal="center" vertical="center" wrapText="1"/>
    </xf>
    <xf numFmtId="49" fontId="13" fillId="4" borderId="5"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0" borderId="5" xfId="0" applyFont="1" applyBorder="1" applyAlignment="1">
      <alignment horizontal="center"/>
    </xf>
    <xf numFmtId="49" fontId="13" fillId="0" borderId="5" xfId="0" applyNumberFormat="1" applyFont="1" applyBorder="1" applyAlignment="1">
      <alignment horizontal="center"/>
    </xf>
    <xf numFmtId="0" fontId="13" fillId="0" borderId="6" xfId="0" applyFont="1" applyBorder="1" applyAlignment="1">
      <alignment horizontal="right" vertical="center"/>
    </xf>
    <xf numFmtId="0" fontId="13" fillId="0" borderId="5" xfId="0" applyFont="1" applyBorder="1" applyAlignment="1">
      <alignment horizontal="center" vertical="center" wrapText="1"/>
    </xf>
    <xf numFmtId="0" fontId="12" fillId="2" borderId="7" xfId="0" applyFont="1" applyFill="1" applyBorder="1" applyAlignment="1">
      <alignment horizontal="center" vertical="center" wrapText="1"/>
    </xf>
    <xf numFmtId="49" fontId="12" fillId="2" borderId="11" xfId="0" applyNumberFormat="1" applyFont="1" applyFill="1" applyBorder="1" applyAlignment="1">
      <alignment horizontal="center" vertical="center"/>
    </xf>
    <xf numFmtId="164" fontId="12" fillId="2" borderId="12" xfId="0" applyNumberFormat="1" applyFont="1" applyFill="1" applyBorder="1" applyAlignment="1">
      <alignment horizontal="center" vertical="center"/>
    </xf>
    <xf numFmtId="166" fontId="2" fillId="0" borderId="0" xfId="0" applyNumberFormat="1" applyFont="1" applyAlignment="1">
      <alignment vertical="center"/>
    </xf>
    <xf numFmtId="0" fontId="16" fillId="0" borderId="0" xfId="0" applyFont="1" applyAlignment="1">
      <alignment horizontal="left" vertical="center"/>
    </xf>
    <xf numFmtId="0" fontId="7" fillId="0" borderId="0" xfId="0" applyFont="1" applyAlignment="1">
      <alignment horizontal="left" vertical="center"/>
    </xf>
    <xf numFmtId="49" fontId="7" fillId="0" borderId="0" xfId="0" applyNumberFormat="1" applyFont="1" applyAlignment="1">
      <alignment vertical="center"/>
    </xf>
    <xf numFmtId="0" fontId="16" fillId="0" borderId="0" xfId="0" applyFont="1" applyAlignment="1">
      <alignment horizontal="left" vertical="center"/>
    </xf>
    <xf numFmtId="0" fontId="7" fillId="4" borderId="0" xfId="0" applyFont="1" applyFill="1" applyAlignment="1">
      <alignment vertical="center"/>
    </xf>
    <xf numFmtId="49" fontId="7" fillId="4" borderId="0" xfId="0" applyNumberFormat="1" applyFont="1" applyFill="1" applyAlignment="1">
      <alignment vertical="center"/>
    </xf>
    <xf numFmtId="0" fontId="2" fillId="4" borderId="0" xfId="0" applyFont="1" applyFill="1" applyAlignment="1">
      <alignment vertical="center"/>
    </xf>
    <xf numFmtId="0" fontId="7" fillId="0" borderId="0" xfId="0" applyFont="1" applyAlignment="1">
      <alignment vertical="center" wrapText="1"/>
    </xf>
    <xf numFmtId="0" fontId="17" fillId="0" borderId="0" xfId="0" applyFont="1"/>
    <xf numFmtId="0" fontId="13" fillId="0" borderId="0" xfId="0" applyFont="1" applyAlignment="1">
      <alignment horizontal="left" vertical="center" wrapText="1"/>
    </xf>
    <xf numFmtId="0" fontId="13" fillId="0" borderId="0" xfId="0" applyFont="1" applyAlignment="1">
      <alignment vertical="center" wrapText="1"/>
    </xf>
    <xf numFmtId="0" fontId="13" fillId="4" borderId="0" xfId="0" applyFont="1" applyFill="1" applyAlignment="1">
      <alignment vertical="center" wrapText="1"/>
    </xf>
    <xf numFmtId="49" fontId="13" fillId="4" borderId="0" xfId="0" applyNumberFormat="1" applyFont="1" applyFill="1" applyAlignment="1">
      <alignment vertical="center" wrapText="1"/>
    </xf>
    <xf numFmtId="0" fontId="17" fillId="4" borderId="0" xfId="0" applyFont="1" applyFill="1"/>
    <xf numFmtId="0" fontId="18" fillId="4" borderId="0" xfId="0" applyFont="1" applyFill="1" applyAlignment="1">
      <alignment horizontal="center" vertical="center"/>
    </xf>
    <xf numFmtId="0" fontId="13" fillId="4" borderId="0" xfId="0" applyFont="1" applyFill="1"/>
    <xf numFmtId="0" fontId="19" fillId="4" borderId="0" xfId="0" applyFont="1" applyFill="1" applyAlignment="1">
      <alignment horizontal="center" vertical="center"/>
    </xf>
    <xf numFmtId="0" fontId="13" fillId="0" borderId="13" xfId="0" applyFont="1" applyBorder="1" applyAlignment="1">
      <alignment horizontal="left" vertical="center" wrapText="1"/>
    </xf>
    <xf numFmtId="167" fontId="13" fillId="0" borderId="13" xfId="0" applyNumberFormat="1" applyFont="1" applyBorder="1" applyAlignment="1">
      <alignment horizontal="right" vertical="center"/>
    </xf>
    <xf numFmtId="10" fontId="13" fillId="0" borderId="13" xfId="0" applyNumberFormat="1" applyFont="1" applyBorder="1" applyAlignment="1">
      <alignment horizontal="center" vertical="center" wrapText="1"/>
    </xf>
    <xf numFmtId="0" fontId="13" fillId="4" borderId="0" xfId="0" applyFont="1" applyFill="1" applyAlignment="1">
      <alignment horizontal="left" vertical="center" wrapText="1"/>
    </xf>
    <xf numFmtId="0" fontId="12" fillId="0" borderId="0" xfId="0" applyFont="1" applyAlignment="1">
      <alignment horizontal="right" vertical="center" wrapText="1"/>
    </xf>
    <xf numFmtId="167" fontId="12" fillId="0" borderId="0" xfId="0" applyNumberFormat="1" applyFont="1" applyAlignment="1">
      <alignment horizontal="right" vertical="center"/>
    </xf>
    <xf numFmtId="0" fontId="12" fillId="4" borderId="0" xfId="0" applyFont="1" applyFill="1" applyAlignment="1">
      <alignment horizontal="left" vertical="center" wrapText="1"/>
    </xf>
    <xf numFmtId="0" fontId="12" fillId="0" borderId="0" xfId="0" applyFont="1" applyAlignment="1">
      <alignment horizontal="left" vertical="center" wrapText="1"/>
    </xf>
    <xf numFmtId="49" fontId="12" fillId="0" borderId="0" xfId="0" applyNumberFormat="1" applyFont="1" applyAlignment="1">
      <alignment horizontal="left" vertical="center" wrapText="1"/>
    </xf>
    <xf numFmtId="49" fontId="12" fillId="4" borderId="0" xfId="0" applyNumberFormat="1" applyFont="1" applyFill="1" applyAlignment="1">
      <alignment horizontal="right" vertical="center"/>
    </xf>
    <xf numFmtId="0" fontId="20" fillId="0" borderId="13" xfId="0" applyFont="1" applyBorder="1" applyAlignment="1">
      <alignment horizontal="left" vertical="center"/>
    </xf>
    <xf numFmtId="167" fontId="13" fillId="0" borderId="13" xfId="0" applyNumberFormat="1" applyFont="1" applyBorder="1" applyAlignment="1">
      <alignment horizontal="right" vertical="center"/>
    </xf>
    <xf numFmtId="0" fontId="20" fillId="4" borderId="0" xfId="0" applyFont="1" applyFill="1" applyAlignment="1">
      <alignment horizontal="left" vertical="center"/>
    </xf>
    <xf numFmtId="0" fontId="20" fillId="0" borderId="13" xfId="0" applyFont="1" applyBorder="1" applyAlignment="1">
      <alignment horizontal="left" vertical="center"/>
    </xf>
    <xf numFmtId="167" fontId="20" fillId="0" borderId="13" xfId="0" applyNumberFormat="1" applyFont="1" applyBorder="1" applyAlignment="1">
      <alignment horizontal="right" vertical="center"/>
    </xf>
    <xf numFmtId="167" fontId="20" fillId="0" borderId="13" xfId="0" applyNumberFormat="1" applyFont="1" applyBorder="1" applyAlignment="1">
      <alignment horizontal="right" vertical="center"/>
    </xf>
    <xf numFmtId="167" fontId="21" fillId="0" borderId="0" xfId="0" applyNumberFormat="1" applyFont="1" applyAlignment="1">
      <alignment horizontal="right" vertical="center"/>
    </xf>
    <xf numFmtId="49" fontId="12" fillId="4" borderId="0" xfId="0" applyNumberFormat="1" applyFont="1" applyFill="1" applyAlignment="1">
      <alignment horizontal="right" vertical="center" wrapText="1"/>
    </xf>
    <xf numFmtId="0" fontId="13" fillId="0" borderId="13" xfId="0" applyFont="1" applyBorder="1" applyAlignment="1"/>
    <xf numFmtId="0" fontId="16" fillId="0" borderId="0" xfId="0" applyFont="1" applyAlignment="1">
      <alignment vertical="center"/>
    </xf>
    <xf numFmtId="0" fontId="13" fillId="4" borderId="0" xfId="0" applyFont="1" applyFill="1" applyAlignment="1">
      <alignment vertical="center"/>
    </xf>
    <xf numFmtId="49" fontId="13" fillId="4" borderId="0" xfId="0" applyNumberFormat="1" applyFont="1" applyFill="1" applyAlignment="1">
      <alignment vertical="center"/>
    </xf>
    <xf numFmtId="0" fontId="13" fillId="0" borderId="0" xfId="0" applyFont="1" applyAlignment="1">
      <alignment vertical="center"/>
    </xf>
    <xf numFmtId="0" fontId="20" fillId="0" borderId="0" xfId="0" applyFont="1" applyAlignment="1">
      <alignment vertical="center"/>
    </xf>
    <xf numFmtId="0" fontId="13" fillId="0" borderId="0" xfId="0" applyFont="1" applyAlignment="1">
      <alignment horizontal="left" vertical="center"/>
    </xf>
    <xf numFmtId="0" fontId="23" fillId="3" borderId="14" xfId="0" applyFont="1" applyFill="1" applyBorder="1" applyAlignment="1">
      <alignment vertical="center"/>
    </xf>
    <xf numFmtId="49" fontId="24" fillId="4" borderId="24" xfId="0" applyNumberFormat="1" applyFont="1" applyFill="1" applyBorder="1" applyAlignment="1">
      <alignment horizontal="center" vertical="center"/>
    </xf>
    <xf numFmtId="0" fontId="25" fillId="4" borderId="24" xfId="0" applyFont="1" applyFill="1" applyBorder="1" applyAlignment="1">
      <alignment horizontal="center" vertical="center" wrapText="1"/>
    </xf>
    <xf numFmtId="49" fontId="25" fillId="4" borderId="24" xfId="0" applyNumberFormat="1" applyFont="1" applyFill="1" applyBorder="1" applyAlignment="1">
      <alignment horizontal="center" vertical="center"/>
    </xf>
    <xf numFmtId="49" fontId="25" fillId="4" borderId="29" xfId="0" applyNumberFormat="1" applyFont="1" applyFill="1" applyBorder="1" applyAlignment="1">
      <alignment horizontal="center" vertical="center"/>
    </xf>
    <xf numFmtId="0" fontId="25" fillId="4" borderId="29" xfId="0" applyFont="1" applyFill="1" applyBorder="1" applyAlignment="1">
      <alignment horizontal="center" vertical="center" wrapText="1"/>
    </xf>
    <xf numFmtId="49" fontId="24" fillId="4" borderId="29" xfId="0" applyNumberFormat="1" applyFont="1" applyFill="1" applyBorder="1" applyAlignment="1">
      <alignment horizontal="center" vertical="center"/>
    </xf>
    <xf numFmtId="49" fontId="25" fillId="4" borderId="34" xfId="0" applyNumberFormat="1" applyFont="1" applyFill="1" applyBorder="1" applyAlignment="1">
      <alignment horizontal="center" vertical="center"/>
    </xf>
    <xf numFmtId="0" fontId="25" fillId="4" borderId="34" xfId="0" applyFont="1" applyFill="1" applyBorder="1" applyAlignment="1">
      <alignment horizontal="center" vertical="center" wrapText="1"/>
    </xf>
    <xf numFmtId="49" fontId="24" fillId="4" borderId="39" xfId="0" applyNumberFormat="1" applyFont="1" applyFill="1" applyBorder="1" applyAlignment="1">
      <alignment horizontal="center" vertical="center"/>
    </xf>
    <xf numFmtId="0" fontId="25" fillId="4" borderId="39" xfId="0" applyFont="1" applyFill="1" applyBorder="1" applyAlignment="1">
      <alignment horizontal="center" vertical="center" wrapText="1"/>
    </xf>
    <xf numFmtId="49" fontId="25" fillId="4" borderId="39" xfId="0" applyNumberFormat="1" applyFont="1" applyFill="1" applyBorder="1" applyAlignment="1">
      <alignment horizontal="center" vertical="center"/>
    </xf>
    <xf numFmtId="49" fontId="25" fillId="4" borderId="44" xfId="0" applyNumberFormat="1" applyFont="1" applyFill="1" applyBorder="1" applyAlignment="1">
      <alignment horizontal="center" vertical="center"/>
    </xf>
    <xf numFmtId="49" fontId="25" fillId="4" borderId="44" xfId="0" applyNumberFormat="1" applyFont="1" applyFill="1" applyBorder="1" applyAlignment="1">
      <alignment horizontal="center" vertical="center" wrapText="1"/>
    </xf>
    <xf numFmtId="49" fontId="25" fillId="4" borderId="29" xfId="0" applyNumberFormat="1" applyFont="1" applyFill="1" applyBorder="1" applyAlignment="1">
      <alignment horizontal="center" vertical="center" wrapText="1"/>
    </xf>
    <xf numFmtId="49" fontId="25" fillId="4" borderId="48" xfId="0" applyNumberFormat="1" applyFont="1" applyFill="1" applyBorder="1" applyAlignment="1">
      <alignment horizontal="center" vertical="center"/>
    </xf>
    <xf numFmtId="0" fontId="25" fillId="4" borderId="48" xfId="0" applyFont="1" applyFill="1" applyBorder="1" applyAlignment="1">
      <alignment horizontal="center" vertical="center" wrapText="1"/>
    </xf>
    <xf numFmtId="49" fontId="27" fillId="4" borderId="29" xfId="0" applyNumberFormat="1" applyFont="1" applyFill="1" applyBorder="1" applyAlignment="1">
      <alignment horizontal="center" vertical="center"/>
    </xf>
    <xf numFmtId="0" fontId="27" fillId="4" borderId="29" xfId="0" applyFont="1" applyFill="1" applyBorder="1" applyAlignment="1">
      <alignment horizontal="center" vertical="center" wrapText="1"/>
    </xf>
    <xf numFmtId="49" fontId="27" fillId="4" borderId="29" xfId="0" applyNumberFormat="1" applyFont="1" applyFill="1" applyBorder="1" applyAlignment="1">
      <alignment horizontal="center" vertical="center" wrapText="1"/>
    </xf>
    <xf numFmtId="49" fontId="27" fillId="4" borderId="34" xfId="0" applyNumberFormat="1" applyFont="1" applyFill="1" applyBorder="1" applyAlignment="1">
      <alignment horizontal="center" vertical="center"/>
    </xf>
    <xf numFmtId="0" fontId="27" fillId="4" borderId="34" xfId="0" applyFont="1" applyFill="1" applyBorder="1" applyAlignment="1">
      <alignment horizontal="center" vertical="center" wrapText="1"/>
    </xf>
    <xf numFmtId="49" fontId="25" fillId="4" borderId="55" xfId="0" applyNumberFormat="1" applyFont="1" applyFill="1" applyBorder="1" applyAlignment="1">
      <alignment horizontal="center" vertical="center"/>
    </xf>
    <xf numFmtId="0" fontId="25" fillId="4" borderId="55" xfId="0" applyFont="1" applyFill="1" applyBorder="1" applyAlignment="1">
      <alignment horizontal="center" vertical="center" wrapText="1"/>
    </xf>
    <xf numFmtId="0" fontId="23" fillId="3" borderId="62" xfId="0" applyFont="1" applyFill="1" applyBorder="1" applyAlignment="1">
      <alignment vertical="center"/>
    </xf>
    <xf numFmtId="0" fontId="31" fillId="0" borderId="0" xfId="0" applyFont="1" applyAlignment="1">
      <alignment horizontal="center" vertical="center" wrapText="1"/>
    </xf>
    <xf numFmtId="0" fontId="23" fillId="3" borderId="63" xfId="0" applyFont="1" applyFill="1" applyBorder="1" applyAlignment="1">
      <alignment vertical="center"/>
    </xf>
    <xf numFmtId="168" fontId="23" fillId="3" borderId="63" xfId="0" applyNumberFormat="1" applyFont="1" applyFill="1" applyBorder="1" applyAlignment="1">
      <alignment vertical="center"/>
    </xf>
    <xf numFmtId="0" fontId="32" fillId="0" borderId="0" xfId="0" applyFont="1" applyAlignment="1">
      <alignment vertical="center"/>
    </xf>
    <xf numFmtId="0" fontId="23" fillId="3" borderId="64" xfId="0" applyFont="1" applyFill="1" applyBorder="1" applyAlignment="1">
      <alignment vertical="center"/>
    </xf>
    <xf numFmtId="0" fontId="23" fillId="3" borderId="63" xfId="0" applyFont="1" applyFill="1" applyBorder="1" applyAlignment="1">
      <alignment vertical="center" wrapText="1"/>
    </xf>
    <xf numFmtId="164" fontId="23" fillId="3" borderId="64" xfId="0" applyNumberFormat="1" applyFont="1" applyFill="1" applyBorder="1" applyAlignment="1">
      <alignment vertical="center"/>
    </xf>
    <xf numFmtId="0" fontId="33" fillId="0" borderId="0" xfId="0" applyFont="1" applyAlignment="1">
      <alignment vertical="center"/>
    </xf>
    <xf numFmtId="49" fontId="34" fillId="3" borderId="5" xfId="0" applyNumberFormat="1" applyFont="1" applyFill="1" applyBorder="1" applyAlignment="1">
      <alignment horizontal="center" vertical="center"/>
    </xf>
    <xf numFmtId="49" fontId="34" fillId="0" borderId="5" xfId="0" applyNumberFormat="1" applyFont="1" applyBorder="1" applyAlignment="1">
      <alignment horizontal="center" vertical="center"/>
    </xf>
    <xf numFmtId="164" fontId="34" fillId="3" borderId="6" xfId="0" applyNumberFormat="1" applyFont="1" applyFill="1" applyBorder="1" applyAlignment="1">
      <alignment horizontal="right" vertical="center"/>
    </xf>
    <xf numFmtId="0" fontId="34" fillId="3" borderId="5" xfId="0" applyFont="1" applyFill="1" applyBorder="1" applyAlignment="1">
      <alignment horizontal="center" vertical="center"/>
    </xf>
    <xf numFmtId="165" fontId="35" fillId="2" borderId="12" xfId="0" applyNumberFormat="1" applyFont="1" applyFill="1" applyBorder="1" applyAlignment="1">
      <alignment horizontal="right" vertical="center"/>
    </xf>
    <xf numFmtId="169" fontId="23" fillId="3" borderId="63" xfId="0" applyNumberFormat="1" applyFont="1" applyFill="1" applyBorder="1" applyAlignment="1">
      <alignment vertical="center"/>
    </xf>
    <xf numFmtId="0" fontId="36" fillId="0" borderId="0" xfId="0" applyFont="1" applyAlignment="1">
      <alignment vertical="center"/>
    </xf>
    <xf numFmtId="165" fontId="32" fillId="0" borderId="0" xfId="0" applyNumberFormat="1" applyFont="1" applyAlignment="1">
      <alignment vertical="center"/>
    </xf>
    <xf numFmtId="0" fontId="31" fillId="0" borderId="0" xfId="0" applyFont="1" applyAlignment="1">
      <alignment horizontal="right" vertical="center"/>
    </xf>
    <xf numFmtId="0" fontId="36" fillId="0" borderId="0" xfId="0" applyFont="1" applyAlignment="1">
      <alignment horizontal="center" vertical="center"/>
    </xf>
    <xf numFmtId="0" fontId="23" fillId="3" borderId="68" xfId="0" applyFont="1" applyFill="1" applyBorder="1" applyAlignment="1">
      <alignment vertical="center"/>
    </xf>
    <xf numFmtId="170" fontId="32" fillId="0" borderId="0" xfId="0" applyNumberFormat="1" applyFont="1" applyAlignment="1">
      <alignment vertical="center"/>
    </xf>
    <xf numFmtId="0" fontId="23" fillId="3" borderId="77" xfId="0" applyFont="1" applyFill="1" applyBorder="1" applyAlignment="1">
      <alignment vertical="center"/>
    </xf>
    <xf numFmtId="0" fontId="23" fillId="3" borderId="0" xfId="0" applyFont="1" applyFill="1" applyAlignment="1">
      <alignment vertical="center"/>
    </xf>
    <xf numFmtId="39" fontId="32" fillId="0" borderId="0" xfId="0" applyNumberFormat="1" applyFont="1" applyAlignment="1">
      <alignment vertical="center"/>
    </xf>
    <xf numFmtId="171" fontId="32" fillId="0" borderId="0" xfId="0" applyNumberFormat="1" applyFont="1" applyAlignment="1">
      <alignment vertical="center"/>
    </xf>
    <xf numFmtId="44" fontId="32" fillId="0" borderId="0" xfId="0" applyNumberFormat="1" applyFont="1" applyAlignment="1">
      <alignment vertical="center"/>
    </xf>
    <xf numFmtId="0" fontId="7" fillId="0" borderId="0" xfId="0" applyFont="1" applyAlignment="1">
      <alignment horizontal="center" vertical="center" wrapText="1"/>
    </xf>
    <xf numFmtId="0" fontId="38" fillId="0" borderId="24" xfId="0" applyFont="1" applyBorder="1" applyAlignment="1">
      <alignment horizontal="left" vertical="center" wrapText="1"/>
    </xf>
    <xf numFmtId="0" fontId="26" fillId="0" borderId="24" xfId="0" applyFont="1" applyBorder="1" applyAlignment="1">
      <alignment horizontal="center" vertical="center" wrapText="1"/>
    </xf>
    <xf numFmtId="49" fontId="26" fillId="0" borderId="24" xfId="0" applyNumberFormat="1" applyFont="1" applyBorder="1" applyAlignment="1">
      <alignment horizontal="center" vertical="center"/>
    </xf>
    <xf numFmtId="0" fontId="26" fillId="0" borderId="28" xfId="0" applyFont="1" applyBorder="1" applyAlignment="1">
      <alignment horizontal="left" vertical="center"/>
    </xf>
    <xf numFmtId="165" fontId="26" fillId="0" borderId="29" xfId="0" applyNumberFormat="1" applyFont="1" applyBorder="1" applyAlignment="1">
      <alignment vertical="center"/>
    </xf>
    <xf numFmtId="165" fontId="38" fillId="0" borderId="29" xfId="0" applyNumberFormat="1" applyFont="1" applyBorder="1" applyAlignment="1">
      <alignment vertical="center"/>
    </xf>
    <xf numFmtId="0" fontId="26" fillId="0" borderId="42" xfId="0" applyFont="1" applyBorder="1" applyAlignment="1">
      <alignment horizontal="center" vertical="center" wrapText="1"/>
    </xf>
    <xf numFmtId="49" fontId="26" fillId="0" borderId="42" xfId="0" applyNumberFormat="1" applyFont="1" applyBorder="1" applyAlignment="1">
      <alignment horizontal="center" vertical="center"/>
    </xf>
    <xf numFmtId="0" fontId="26" fillId="0" borderId="118" xfId="0" applyFont="1" applyBorder="1" applyAlignment="1">
      <alignment horizontal="center" vertical="center"/>
    </xf>
    <xf numFmtId="0" fontId="26" fillId="0" borderId="118" xfId="0" applyFont="1" applyBorder="1" applyAlignment="1">
      <alignment horizontal="center" vertical="center" wrapText="1"/>
    </xf>
    <xf numFmtId="165" fontId="38" fillId="0" borderId="34" xfId="0" applyNumberFormat="1" applyFont="1" applyBorder="1" applyAlignment="1">
      <alignment vertical="center"/>
    </xf>
    <xf numFmtId="0" fontId="26" fillId="0" borderId="34" xfId="0" applyFont="1" applyBorder="1" applyAlignment="1">
      <alignment horizontal="center" vertical="center" wrapText="1"/>
    </xf>
    <xf numFmtId="49" fontId="26" fillId="0" borderId="34" xfId="0" applyNumberFormat="1" applyFont="1" applyBorder="1" applyAlignment="1">
      <alignment horizontal="center" vertical="center"/>
    </xf>
    <xf numFmtId="165" fontId="38" fillId="0" borderId="49" xfId="0" applyNumberFormat="1" applyFont="1" applyBorder="1" applyAlignment="1">
      <alignment vertical="center"/>
    </xf>
    <xf numFmtId="0" fontId="25" fillId="0" borderId="49" xfId="0" applyFont="1" applyBorder="1" applyAlignment="1">
      <alignment horizontal="center" vertical="center" wrapText="1"/>
    </xf>
    <xf numFmtId="0" fontId="26" fillId="0" borderId="29" xfId="0" applyFont="1" applyBorder="1" applyAlignment="1">
      <alignment horizontal="left" vertical="center" wrapText="1"/>
    </xf>
    <xf numFmtId="0" fontId="26" fillId="0" borderId="29" xfId="0" applyFont="1" applyBorder="1" applyAlignment="1">
      <alignment horizontal="center" vertical="center" wrapText="1"/>
    </xf>
    <xf numFmtId="0" fontId="25" fillId="0" borderId="29" xfId="0" applyFont="1" applyBorder="1" applyAlignment="1">
      <alignment horizontal="center" vertical="center" wrapText="1"/>
    </xf>
    <xf numFmtId="0" fontId="26" fillId="0" borderId="33" xfId="0" applyFont="1" applyBorder="1" applyAlignment="1">
      <alignment horizontal="left" vertical="center"/>
    </xf>
    <xf numFmtId="165" fontId="26" fillId="0" borderId="34" xfId="0" applyNumberFormat="1" applyFont="1" applyBorder="1" applyAlignment="1">
      <alignment vertical="center"/>
    </xf>
    <xf numFmtId="49" fontId="26" fillId="0" borderId="49" xfId="0" applyNumberFormat="1" applyFont="1" applyBorder="1" applyAlignment="1">
      <alignment horizontal="center" vertical="center"/>
    </xf>
    <xf numFmtId="0" fontId="26" fillId="0" borderId="34" xfId="0" applyFont="1" applyBorder="1" applyAlignment="1">
      <alignment horizontal="center" vertical="center"/>
    </xf>
    <xf numFmtId="0" fontId="38" fillId="0" borderId="49" xfId="0" applyFont="1" applyBorder="1" applyAlignment="1">
      <alignment horizontal="left" vertical="center" wrapText="1"/>
    </xf>
    <xf numFmtId="0" fontId="38" fillId="0" borderId="122" xfId="0" applyFont="1" applyBorder="1" applyAlignment="1">
      <alignment horizontal="left" vertical="center" wrapText="1"/>
    </xf>
    <xf numFmtId="0" fontId="26" fillId="0" borderId="39" xfId="0" applyFont="1" applyBorder="1" applyAlignment="1">
      <alignment horizontal="center" vertical="center" wrapText="1"/>
    </xf>
    <xf numFmtId="165" fontId="26" fillId="0" borderId="39" xfId="0" applyNumberFormat="1" applyFont="1" applyBorder="1" applyAlignment="1">
      <alignment vertical="center"/>
    </xf>
    <xf numFmtId="165" fontId="38" fillId="0" borderId="39" xfId="0" applyNumberFormat="1" applyFont="1" applyBorder="1" applyAlignment="1">
      <alignment vertical="center"/>
    </xf>
    <xf numFmtId="49" fontId="26" fillId="0" borderId="39" xfId="0" applyNumberFormat="1" applyFont="1" applyBorder="1" applyAlignment="1">
      <alignment horizontal="center" vertical="center"/>
    </xf>
    <xf numFmtId="0" fontId="26" fillId="0" borderId="55" xfId="0" applyFont="1" applyBorder="1" applyAlignment="1">
      <alignment horizontal="left" vertical="center" wrapText="1"/>
    </xf>
    <xf numFmtId="0" fontId="26" fillId="0" borderId="55" xfId="0" applyFont="1" applyBorder="1" applyAlignment="1">
      <alignment horizontal="center" vertical="center" wrapText="1"/>
    </xf>
    <xf numFmtId="49" fontId="26" fillId="0" borderId="55" xfId="0" applyNumberFormat="1" applyFont="1" applyBorder="1" applyAlignment="1">
      <alignment horizontal="center" vertical="center"/>
    </xf>
    <xf numFmtId="0" fontId="26" fillId="0" borderId="0" xfId="0" applyFont="1" applyAlignment="1">
      <alignment vertical="center"/>
    </xf>
    <xf numFmtId="0" fontId="38" fillId="0" borderId="0" xfId="0" applyFont="1" applyAlignment="1">
      <alignment vertical="center"/>
    </xf>
    <xf numFmtId="0" fontId="26" fillId="0" borderId="0" xfId="0" applyFont="1" applyAlignment="1">
      <alignment vertical="center"/>
    </xf>
    <xf numFmtId="0" fontId="26" fillId="0" borderId="0" xfId="0" applyFont="1" applyAlignment="1">
      <alignment horizontal="right" vertical="center"/>
    </xf>
    <xf numFmtId="0" fontId="38" fillId="0" borderId="0" xfId="0" applyFont="1" applyAlignment="1">
      <alignment vertical="center" wrapText="1"/>
    </xf>
    <xf numFmtId="0" fontId="32" fillId="0" borderId="0" xfId="0" applyFont="1" applyAlignment="1">
      <alignment horizontal="center" vertical="center"/>
    </xf>
    <xf numFmtId="0" fontId="38" fillId="4" borderId="0" xfId="0" applyFont="1" applyFill="1" applyAlignment="1">
      <alignment horizontal="center" vertical="center" wrapText="1"/>
    </xf>
    <xf numFmtId="0" fontId="26" fillId="0" borderId="0" xfId="0" applyFont="1" applyAlignment="1">
      <alignment vertical="center" wrapText="1"/>
    </xf>
    <xf numFmtId="165" fontId="26" fillId="4" borderId="0" xfId="0" applyNumberFormat="1" applyFont="1" applyFill="1" applyAlignment="1">
      <alignment vertical="center"/>
    </xf>
    <xf numFmtId="165" fontId="38" fillId="4" borderId="0" xfId="0" applyNumberFormat="1" applyFont="1" applyFill="1" applyAlignment="1">
      <alignment horizontal="center" vertical="center"/>
    </xf>
    <xf numFmtId="0" fontId="40" fillId="0" borderId="0" xfId="0" applyFont="1" applyAlignment="1">
      <alignment vertical="center" wrapText="1"/>
    </xf>
    <xf numFmtId="0" fontId="40" fillId="0" borderId="0" xfId="0" applyFont="1" applyAlignment="1">
      <alignment horizontal="center" vertical="center"/>
    </xf>
    <xf numFmtId="165" fontId="40" fillId="0" borderId="0" xfId="0" applyNumberFormat="1" applyFont="1" applyAlignment="1">
      <alignment horizontal="right" vertical="center"/>
    </xf>
    <xf numFmtId="0" fontId="34" fillId="0" borderId="5" xfId="0" applyFont="1" applyBorder="1" applyAlignment="1">
      <alignment horizontal="center" vertical="center"/>
    </xf>
    <xf numFmtId="165" fontId="26" fillId="4" borderId="0" xfId="0" applyNumberFormat="1" applyFont="1" applyFill="1" applyAlignment="1">
      <alignment horizontal="center" vertical="center"/>
    </xf>
    <xf numFmtId="0" fontId="41" fillId="0" borderId="0" xfId="0" applyFont="1" applyAlignment="1">
      <alignment horizontal="center" vertical="center" wrapText="1"/>
    </xf>
    <xf numFmtId="0" fontId="26" fillId="0" borderId="139" xfId="0" applyFont="1" applyBorder="1" applyAlignment="1">
      <alignment horizontal="center" vertical="center" wrapText="1"/>
    </xf>
    <xf numFmtId="49" fontId="26" fillId="0" borderId="139" xfId="0" applyNumberFormat="1" applyFont="1" applyBorder="1" applyAlignment="1">
      <alignment horizontal="center" vertical="center"/>
    </xf>
    <xf numFmtId="0" fontId="26" fillId="0" borderId="141" xfId="0" applyFont="1" applyBorder="1" applyAlignment="1">
      <alignment horizontal="center" vertical="center"/>
    </xf>
    <xf numFmtId="49" fontId="26" fillId="0" borderId="142" xfId="0" applyNumberFormat="1" applyFont="1" applyBorder="1" applyAlignment="1">
      <alignment horizontal="center" vertical="center"/>
    </xf>
    <xf numFmtId="49" fontId="26" fillId="0" borderId="141" xfId="0" applyNumberFormat="1" applyFont="1" applyBorder="1" applyAlignment="1">
      <alignment horizontal="center" vertical="center"/>
    </xf>
    <xf numFmtId="0" fontId="26" fillId="0" borderId="144" xfId="0" applyFont="1" applyBorder="1" applyAlignment="1">
      <alignment horizontal="center" vertical="center" wrapText="1"/>
    </xf>
    <xf numFmtId="49" fontId="26" fillId="0" borderId="144" xfId="0" applyNumberFormat="1" applyFont="1" applyBorder="1" applyAlignment="1">
      <alignment horizontal="center" vertical="center"/>
    </xf>
    <xf numFmtId="49" fontId="26" fillId="0" borderId="145" xfId="0" applyNumberFormat="1" applyFont="1" applyBorder="1" applyAlignment="1">
      <alignment horizontal="center" vertical="center"/>
    </xf>
    <xf numFmtId="0" fontId="26" fillId="0" borderId="141" xfId="0" applyFont="1" applyBorder="1" applyAlignment="1">
      <alignment horizontal="center" vertical="center" wrapText="1"/>
    </xf>
    <xf numFmtId="0" fontId="26" fillId="0" borderId="149" xfId="0" applyFont="1" applyBorder="1" applyAlignment="1">
      <alignment horizontal="center" vertical="center" wrapText="1"/>
    </xf>
    <xf numFmtId="49" fontId="26" fillId="0" borderId="150" xfId="0" applyNumberFormat="1" applyFont="1" applyBorder="1" applyAlignment="1">
      <alignment horizontal="center" vertical="center"/>
    </xf>
    <xf numFmtId="0" fontId="25" fillId="0" borderId="144" xfId="0" applyFont="1" applyBorder="1" applyAlignment="1">
      <alignment horizontal="center" vertical="center" wrapText="1"/>
    </xf>
    <xf numFmtId="0" fontId="25" fillId="0" borderId="145" xfId="0" applyFont="1" applyBorder="1" applyAlignment="1">
      <alignment horizontal="center" vertical="center" wrapText="1"/>
    </xf>
    <xf numFmtId="0" fontId="25" fillId="0" borderId="142" xfId="0" applyFont="1" applyBorder="1" applyAlignment="1">
      <alignment horizontal="center" vertical="center" wrapText="1"/>
    </xf>
    <xf numFmtId="49" fontId="26" fillId="0" borderId="149" xfId="0" applyNumberFormat="1" applyFont="1" applyBorder="1" applyAlignment="1">
      <alignment horizontal="center" vertical="center"/>
    </xf>
    <xf numFmtId="0" fontId="26" fillId="0" borderId="153" xfId="0" applyFont="1" applyBorder="1" applyAlignment="1">
      <alignment horizontal="center" vertical="center" wrapText="1"/>
    </xf>
    <xf numFmtId="49" fontId="26" fillId="0" borderId="153" xfId="0" applyNumberFormat="1" applyFont="1" applyBorder="1" applyAlignment="1">
      <alignment horizontal="center" vertical="center"/>
    </xf>
    <xf numFmtId="0" fontId="12" fillId="0" borderId="0" xfId="0" applyFont="1" applyAlignment="1">
      <alignment vertical="center"/>
    </xf>
    <xf numFmtId="0" fontId="12" fillId="0" borderId="0" xfId="0" applyFont="1" applyAlignment="1">
      <alignment vertical="center"/>
    </xf>
    <xf numFmtId="0" fontId="14" fillId="0" borderId="0" xfId="0" applyFont="1" applyAlignment="1">
      <alignment horizontal="left" vertical="center" wrapText="1"/>
    </xf>
    <xf numFmtId="0" fontId="14" fillId="0" borderId="0" xfId="0" applyFont="1" applyAlignment="1">
      <alignment vertical="center"/>
    </xf>
    <xf numFmtId="0" fontId="14" fillId="0" borderId="0" xfId="0" applyFont="1" applyAlignment="1">
      <alignment horizontal="center" vertical="center"/>
    </xf>
    <xf numFmtId="0" fontId="41" fillId="0" borderId="0" xfId="0" applyFont="1" applyAlignment="1">
      <alignment horizontal="center" vertical="center"/>
    </xf>
    <xf numFmtId="0" fontId="33" fillId="0" borderId="0" xfId="0" applyFont="1" applyAlignment="1">
      <alignment horizontal="center" vertical="center"/>
    </xf>
    <xf numFmtId="0" fontId="14" fillId="4" borderId="0" xfId="0" applyFont="1" applyFill="1" applyAlignment="1">
      <alignment vertical="center"/>
    </xf>
    <xf numFmtId="0" fontId="14" fillId="4" borderId="0" xfId="0" applyFont="1" applyFill="1" applyAlignment="1">
      <alignment vertical="center" wrapText="1"/>
    </xf>
    <xf numFmtId="0" fontId="11" fillId="4" borderId="0" xfId="0" applyFont="1" applyFill="1" applyAlignment="1">
      <alignment horizontal="center" vertical="center"/>
    </xf>
    <xf numFmtId="0" fontId="14" fillId="4" borderId="0" xfId="0" applyFont="1" applyFill="1" applyAlignment="1">
      <alignment horizontal="center" vertical="center"/>
    </xf>
    <xf numFmtId="165" fontId="14" fillId="4" borderId="0" xfId="0" applyNumberFormat="1" applyFont="1" applyFill="1" applyAlignment="1">
      <alignment horizontal="center" vertical="center"/>
    </xf>
    <xf numFmtId="172" fontId="14" fillId="4" borderId="0" xfId="0" applyNumberFormat="1" applyFont="1" applyFill="1" applyAlignment="1">
      <alignment horizontal="center" vertical="center"/>
    </xf>
    <xf numFmtId="165" fontId="11" fillId="4" borderId="0" xfId="0" applyNumberFormat="1" applyFont="1" applyFill="1" applyAlignment="1">
      <alignment horizontal="center" vertical="center"/>
    </xf>
    <xf numFmtId="0" fontId="14" fillId="4" borderId="0" xfId="0" applyFont="1" applyFill="1" applyAlignment="1">
      <alignment vertical="center"/>
    </xf>
    <xf numFmtId="165" fontId="14" fillId="0" borderId="0" xfId="0" applyNumberFormat="1" applyFont="1" applyAlignment="1">
      <alignment vertical="center"/>
    </xf>
    <xf numFmtId="0" fontId="14" fillId="0" borderId="0" xfId="0" applyFont="1" applyAlignment="1">
      <alignment horizontal="right" vertical="center"/>
    </xf>
    <xf numFmtId="0" fontId="33" fillId="4" borderId="0" xfId="0" applyFont="1" applyFill="1" applyAlignment="1">
      <alignment vertical="center"/>
    </xf>
    <xf numFmtId="0" fontId="11" fillId="0" borderId="0" xfId="0" applyFont="1" applyAlignment="1">
      <alignment horizontal="right" vertical="center"/>
    </xf>
    <xf numFmtId="170" fontId="14" fillId="0" borderId="0" xfId="0" applyNumberFormat="1" applyFont="1" applyAlignment="1">
      <alignment vertical="center"/>
    </xf>
    <xf numFmtId="39" fontId="14" fillId="0" borderId="0" xfId="0" applyNumberFormat="1" applyFont="1" applyAlignment="1">
      <alignment vertical="center"/>
    </xf>
    <xf numFmtId="165" fontId="14" fillId="4" borderId="0" xfId="0" applyNumberFormat="1" applyFont="1" applyFill="1" applyAlignment="1">
      <alignment vertical="center"/>
    </xf>
    <xf numFmtId="171" fontId="14" fillId="0" borderId="0" xfId="0" applyNumberFormat="1" applyFont="1" applyAlignment="1">
      <alignment vertical="center"/>
    </xf>
    <xf numFmtId="171" fontId="14" fillId="4" borderId="0" xfId="0" applyNumberFormat="1" applyFont="1" applyFill="1" applyAlignment="1">
      <alignment vertical="center"/>
    </xf>
    <xf numFmtId="0" fontId="11" fillId="4" borderId="0" xfId="0" applyFont="1" applyFill="1" applyAlignment="1">
      <alignment horizontal="center" vertical="center"/>
    </xf>
    <xf numFmtId="2" fontId="14" fillId="4" borderId="0" xfId="0" applyNumberFormat="1" applyFont="1" applyFill="1" applyAlignment="1">
      <alignment horizontal="right" vertical="center"/>
    </xf>
    <xf numFmtId="0" fontId="14" fillId="4" borderId="0" xfId="0" applyFont="1" applyFill="1" applyAlignment="1">
      <alignment horizontal="right" vertical="center"/>
    </xf>
    <xf numFmtId="44" fontId="14" fillId="0" borderId="0" xfId="0" applyNumberFormat="1" applyFont="1" applyAlignment="1">
      <alignment vertical="center"/>
    </xf>
    <xf numFmtId="0" fontId="14" fillId="0" borderId="0" xfId="0" applyFont="1" applyAlignment="1">
      <alignment vertical="center"/>
    </xf>
    <xf numFmtId="0" fontId="42" fillId="0" borderId="0" xfId="0" applyFont="1" applyAlignment="1">
      <alignment horizontal="center" vertical="center" wrapText="1"/>
    </xf>
    <xf numFmtId="0" fontId="26" fillId="4" borderId="26" xfId="0" applyFont="1" applyFill="1" applyBorder="1" applyAlignment="1">
      <alignment horizontal="left" vertical="center" wrapText="1"/>
    </xf>
    <xf numFmtId="49" fontId="26" fillId="4" borderId="144" xfId="0" applyNumberFormat="1" applyFont="1" applyFill="1" applyBorder="1" applyAlignment="1">
      <alignment horizontal="center" vertical="center"/>
    </xf>
    <xf numFmtId="49" fontId="26" fillId="4" borderId="145" xfId="0" applyNumberFormat="1" applyFont="1" applyFill="1" applyBorder="1" applyAlignment="1">
      <alignment horizontal="center" vertical="center"/>
    </xf>
    <xf numFmtId="49" fontId="26" fillId="4" borderId="142" xfId="0" applyNumberFormat="1" applyFont="1" applyFill="1" applyBorder="1" applyAlignment="1">
      <alignment horizontal="center" vertical="center"/>
    </xf>
    <xf numFmtId="49" fontId="26" fillId="4" borderId="149" xfId="0" applyNumberFormat="1" applyFont="1" applyFill="1" applyBorder="1" applyAlignment="1">
      <alignment horizontal="center" vertical="center"/>
    </xf>
    <xf numFmtId="49" fontId="26" fillId="4" borderId="150" xfId="0" applyNumberFormat="1" applyFont="1" applyFill="1" applyBorder="1" applyAlignment="1">
      <alignment horizontal="center" vertical="center"/>
    </xf>
    <xf numFmtId="0" fontId="25" fillId="4" borderId="144" xfId="0" applyFont="1" applyFill="1" applyBorder="1" applyAlignment="1">
      <alignment horizontal="center" vertical="center" wrapText="1"/>
    </xf>
    <xf numFmtId="0" fontId="25" fillId="4" borderId="145" xfId="0" applyFont="1" applyFill="1" applyBorder="1" applyAlignment="1">
      <alignment horizontal="center" vertical="center" wrapText="1"/>
    </xf>
    <xf numFmtId="0" fontId="25" fillId="4" borderId="142" xfId="0" applyFont="1" applyFill="1" applyBorder="1" applyAlignment="1">
      <alignment horizontal="center" vertical="center" wrapText="1"/>
    </xf>
    <xf numFmtId="49" fontId="26" fillId="4" borderId="143" xfId="0" applyNumberFormat="1" applyFont="1" applyFill="1" applyBorder="1" applyAlignment="1">
      <alignment horizontal="center" vertical="center"/>
    </xf>
    <xf numFmtId="0" fontId="14" fillId="0" borderId="62" xfId="0" applyFont="1" applyBorder="1" applyAlignment="1">
      <alignment vertical="center"/>
    </xf>
    <xf numFmtId="0" fontId="14" fillId="0" borderId="63" xfId="0" applyFont="1" applyBorder="1" applyAlignment="1">
      <alignment vertical="center"/>
    </xf>
    <xf numFmtId="0" fontId="14" fillId="3" borderId="0" xfId="0" applyFont="1" applyFill="1" applyAlignment="1">
      <alignment horizontal="left" vertical="center"/>
    </xf>
    <xf numFmtId="0" fontId="14" fillId="0" borderId="0" xfId="0" applyFont="1" applyAlignment="1">
      <alignment vertical="center" wrapText="1"/>
    </xf>
    <xf numFmtId="165" fontId="14" fillId="0" borderId="0" xfId="0" applyNumberFormat="1" applyFont="1" applyAlignment="1">
      <alignment horizontal="right" vertical="center"/>
    </xf>
    <xf numFmtId="0" fontId="34" fillId="0" borderId="168" xfId="0" applyFont="1" applyBorder="1" applyAlignment="1">
      <alignment horizontal="center" vertical="center"/>
    </xf>
    <xf numFmtId="165" fontId="34" fillId="0" borderId="169" xfId="0" applyNumberFormat="1" applyFont="1" applyBorder="1" applyAlignment="1">
      <alignment horizontal="right" vertical="center"/>
    </xf>
    <xf numFmtId="0" fontId="14" fillId="3" borderId="0" xfId="0" applyFont="1" applyFill="1" applyAlignment="1">
      <alignment horizontal="center" vertical="center"/>
    </xf>
    <xf numFmtId="0" fontId="34" fillId="3" borderId="168" xfId="0" applyFont="1" applyFill="1" applyBorder="1" applyAlignment="1">
      <alignment horizontal="center" vertical="center"/>
    </xf>
    <xf numFmtId="0" fontId="14" fillId="0" borderId="0" xfId="0" applyFont="1" applyAlignment="1">
      <alignment vertical="center" wrapText="1"/>
    </xf>
    <xf numFmtId="0" fontId="46" fillId="0" borderId="0" xfId="0" applyFont="1" applyAlignment="1">
      <alignment vertical="center"/>
    </xf>
    <xf numFmtId="0" fontId="32" fillId="4" borderId="0" xfId="0" applyFont="1" applyFill="1" applyAlignment="1">
      <alignment vertical="center"/>
    </xf>
    <xf numFmtId="0" fontId="46" fillId="4" borderId="0" xfId="0" applyFont="1" applyFill="1" applyAlignment="1">
      <alignment vertical="center"/>
    </xf>
    <xf numFmtId="0" fontId="47" fillId="4" borderId="0" xfId="0" applyFont="1" applyFill="1" applyAlignment="1">
      <alignment horizontal="center" vertical="center"/>
    </xf>
    <xf numFmtId="0" fontId="47" fillId="4" borderId="0" xfId="0" applyFont="1" applyFill="1" applyAlignment="1">
      <alignment horizontal="center" vertical="center"/>
    </xf>
    <xf numFmtId="2" fontId="34" fillId="4" borderId="0" xfId="0" applyNumberFormat="1" applyFont="1" applyFill="1" applyAlignment="1">
      <alignment horizontal="right" vertical="center"/>
    </xf>
    <xf numFmtId="0" fontId="32" fillId="4" borderId="0" xfId="0" applyFont="1" applyFill="1" applyAlignment="1">
      <alignment horizontal="center" vertical="center"/>
    </xf>
    <xf numFmtId="0" fontId="39" fillId="4" borderId="0" xfId="0" applyFont="1" applyFill="1" applyAlignment="1">
      <alignment horizontal="right" vertical="center"/>
    </xf>
    <xf numFmtId="49" fontId="26" fillId="0" borderId="173" xfId="0" applyNumberFormat="1" applyFont="1" applyBorder="1" applyAlignment="1">
      <alignment horizontal="center" vertical="center"/>
    </xf>
    <xf numFmtId="0" fontId="26" fillId="0" borderId="31" xfId="0" applyFont="1" applyBorder="1" applyAlignment="1">
      <alignment horizontal="left" vertical="center" wrapText="1"/>
    </xf>
    <xf numFmtId="49" fontId="26" fillId="0" borderId="31" xfId="0" applyNumberFormat="1" applyFont="1" applyBorder="1" applyAlignment="1">
      <alignment horizontal="center" vertical="center"/>
    </xf>
    <xf numFmtId="0" fontId="38" fillId="0" borderId="49" xfId="0" applyFont="1" applyBorder="1" applyAlignment="1">
      <alignment horizontal="center" vertical="center" wrapText="1"/>
    </xf>
    <xf numFmtId="165" fontId="26" fillId="0" borderId="49" xfId="0" applyNumberFormat="1" applyFont="1" applyBorder="1" applyAlignment="1">
      <alignment horizontal="center" vertical="center"/>
    </xf>
    <xf numFmtId="0" fontId="38" fillId="0" borderId="38" xfId="0" applyFont="1" applyBorder="1" applyAlignment="1">
      <alignment horizontal="left" vertical="center"/>
    </xf>
    <xf numFmtId="49" fontId="26" fillId="0" borderId="29" xfId="0" applyNumberFormat="1" applyFont="1" applyBorder="1" applyAlignment="1">
      <alignment horizontal="center" vertical="center"/>
    </xf>
    <xf numFmtId="0" fontId="38" fillId="0" borderId="39" xfId="0" applyFont="1" applyBorder="1" applyAlignment="1">
      <alignment horizontal="left" vertical="center" wrapText="1"/>
    </xf>
    <xf numFmtId="1" fontId="26" fillId="4" borderId="179" xfId="0" applyNumberFormat="1" applyFont="1" applyFill="1" applyBorder="1" applyAlignment="1">
      <alignment horizontal="center" vertical="center" wrapText="1"/>
    </xf>
    <xf numFmtId="165" fontId="14" fillId="4" borderId="0" xfId="0" applyNumberFormat="1" applyFont="1" applyFill="1" applyAlignment="1">
      <alignment horizontal="right" vertical="center"/>
    </xf>
    <xf numFmtId="0" fontId="34" fillId="0" borderId="5" xfId="0" applyFont="1" applyBorder="1" applyAlignment="1">
      <alignment horizontal="center" vertical="center"/>
    </xf>
    <xf numFmtId="165" fontId="34" fillId="0" borderId="6" xfId="0" applyNumberFormat="1" applyFont="1" applyBorder="1" applyAlignment="1">
      <alignment horizontal="right" vertical="center"/>
    </xf>
    <xf numFmtId="0" fontId="14" fillId="4" borderId="0" xfId="0" applyFont="1" applyFill="1" applyAlignment="1">
      <alignment horizontal="left" vertical="center"/>
    </xf>
    <xf numFmtId="165" fontId="14" fillId="4" borderId="0" xfId="0" applyNumberFormat="1" applyFont="1" applyFill="1" applyAlignment="1">
      <alignment vertical="center" wrapText="1"/>
    </xf>
    <xf numFmtId="49" fontId="14" fillId="4" borderId="0" xfId="0" applyNumberFormat="1" applyFont="1" applyFill="1" applyAlignment="1">
      <alignment horizontal="left" vertical="center"/>
    </xf>
    <xf numFmtId="0" fontId="48" fillId="0" borderId="0" xfId="0" applyFont="1"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vertical="center"/>
    </xf>
    <xf numFmtId="0" fontId="51" fillId="0" borderId="0" xfId="0" applyFont="1" applyAlignment="1">
      <alignment horizontal="center" vertical="center"/>
    </xf>
    <xf numFmtId="0" fontId="14" fillId="4" borderId="5" xfId="0" applyFont="1" applyFill="1" applyBorder="1" applyAlignment="1">
      <alignment horizontal="left" vertical="center" wrapText="1"/>
    </xf>
    <xf numFmtId="0" fontId="11" fillId="4" borderId="5" xfId="0" applyFont="1" applyFill="1" applyBorder="1" applyAlignment="1">
      <alignment horizontal="center" vertical="center"/>
    </xf>
    <xf numFmtId="0" fontId="14" fillId="0" borderId="0" xfId="0" applyFont="1" applyAlignment="1">
      <alignment horizontal="left" vertical="center"/>
    </xf>
    <xf numFmtId="0" fontId="14" fillId="0" borderId="0" xfId="0" applyFont="1"/>
    <xf numFmtId="165" fontId="34" fillId="3" borderId="6" xfId="0" applyNumberFormat="1" applyFont="1" applyFill="1" applyBorder="1" applyAlignment="1">
      <alignment horizontal="right" vertical="center"/>
    </xf>
    <xf numFmtId="1" fontId="34" fillId="3" borderId="5" xfId="0" applyNumberFormat="1" applyFont="1" applyFill="1" applyBorder="1" applyAlignment="1">
      <alignment horizontal="center" vertical="center"/>
    </xf>
    <xf numFmtId="1" fontId="34" fillId="3" borderId="5" xfId="0" applyNumberFormat="1" applyFont="1" applyFill="1" applyBorder="1" applyAlignment="1">
      <alignment horizontal="center" vertical="center" wrapText="1"/>
    </xf>
    <xf numFmtId="0" fontId="14" fillId="4" borderId="0" xfId="0" applyFont="1" applyFill="1"/>
    <xf numFmtId="0" fontId="40" fillId="3" borderId="0" xfId="0" applyFont="1" applyFill="1" applyAlignment="1">
      <alignment horizontal="right"/>
    </xf>
    <xf numFmtId="1" fontId="40" fillId="3" borderId="0" xfId="0" applyNumberFormat="1" applyFont="1" applyFill="1" applyAlignment="1">
      <alignment horizontal="center"/>
    </xf>
    <xf numFmtId="0" fontId="40" fillId="3" borderId="0" xfId="0" applyFont="1" applyFill="1" applyAlignment="1">
      <alignment horizontal="right" wrapText="1"/>
    </xf>
    <xf numFmtId="0" fontId="40" fillId="3" borderId="0" xfId="0" applyFont="1" applyFill="1" applyAlignment="1">
      <alignment horizontal="center"/>
    </xf>
    <xf numFmtId="0" fontId="14" fillId="0" borderId="0" xfId="0" applyFont="1" applyAlignment="1">
      <alignment horizontal="right"/>
    </xf>
    <xf numFmtId="1" fontId="40" fillId="3" borderId="0" xfId="0" applyNumberFormat="1" applyFont="1" applyFill="1" applyAlignment="1">
      <alignment horizontal="center" wrapText="1"/>
    </xf>
    <xf numFmtId="0" fontId="46" fillId="0" borderId="0" xfId="0" applyFont="1"/>
    <xf numFmtId="39" fontId="32" fillId="4" borderId="0" xfId="0" applyNumberFormat="1" applyFont="1" applyFill="1" applyAlignment="1">
      <alignment vertical="center"/>
    </xf>
    <xf numFmtId="0" fontId="46" fillId="4" borderId="0" xfId="0" applyFont="1" applyFill="1"/>
    <xf numFmtId="165" fontId="32" fillId="4" borderId="0" xfId="0" applyNumberFormat="1" applyFont="1" applyFill="1" applyAlignment="1">
      <alignment vertical="center"/>
    </xf>
    <xf numFmtId="0" fontId="14" fillId="4" borderId="0" xfId="0" applyFont="1" applyFill="1"/>
    <xf numFmtId="171" fontId="32" fillId="4" borderId="0" xfId="0" applyNumberFormat="1" applyFont="1" applyFill="1" applyAlignment="1">
      <alignment vertical="center"/>
    </xf>
    <xf numFmtId="0" fontId="39" fillId="4" borderId="0" xfId="0" applyFont="1" applyFill="1" applyAlignment="1">
      <alignment horizontal="right"/>
    </xf>
    <xf numFmtId="44" fontId="32" fillId="4" borderId="0" xfId="0" applyNumberFormat="1" applyFont="1" applyFill="1" applyAlignment="1">
      <alignment vertical="center"/>
    </xf>
    <xf numFmtId="0" fontId="33" fillId="4" borderId="0" xfId="0" applyFont="1" applyFill="1"/>
    <xf numFmtId="49" fontId="7" fillId="0" borderId="0" xfId="0" applyNumberFormat="1" applyFont="1" applyAlignment="1">
      <alignment horizontal="right" vertical="center" wrapText="1"/>
    </xf>
    <xf numFmtId="0" fontId="7" fillId="0" borderId="0" xfId="0" applyFont="1" applyAlignment="1">
      <alignment horizontal="left" vertical="center" wrapText="1"/>
    </xf>
    <xf numFmtId="49" fontId="26" fillId="0" borderId="206" xfId="0" applyNumberFormat="1" applyFont="1" applyBorder="1" applyAlignment="1">
      <alignment horizontal="center" vertical="center"/>
    </xf>
    <xf numFmtId="49" fontId="26" fillId="0" borderId="209" xfId="0" applyNumberFormat="1" applyFont="1" applyBorder="1" applyAlignment="1">
      <alignment horizontal="center" vertical="center"/>
    </xf>
    <xf numFmtId="0" fontId="26" fillId="0" borderId="209" xfId="0" applyFont="1" applyBorder="1" applyAlignment="1">
      <alignment horizontal="left" vertical="center" wrapText="1"/>
    </xf>
    <xf numFmtId="0" fontId="26" fillId="0" borderId="209" xfId="0" applyFont="1" applyBorder="1" applyAlignment="1">
      <alignment horizontal="center" vertical="center"/>
    </xf>
    <xf numFmtId="0" fontId="26" fillId="0" borderId="209" xfId="0" applyFont="1" applyBorder="1" applyAlignment="1">
      <alignment vertical="center"/>
    </xf>
    <xf numFmtId="0" fontId="26" fillId="4" borderId="209" xfId="0" applyFont="1" applyFill="1" applyBorder="1" applyAlignment="1">
      <alignment horizontal="center" vertical="center" wrapText="1"/>
    </xf>
    <xf numFmtId="49" fontId="26" fillId="4" borderId="209" xfId="0" applyNumberFormat="1" applyFont="1" applyFill="1" applyBorder="1" applyAlignment="1">
      <alignment horizontal="center" vertical="center"/>
    </xf>
    <xf numFmtId="0" fontId="38" fillId="0" borderId="210" xfId="0" applyFont="1" applyBorder="1" applyAlignment="1">
      <alignment horizontal="left" vertical="center" wrapText="1"/>
    </xf>
    <xf numFmtId="0" fontId="26" fillId="4" borderId="210" xfId="0" applyFont="1" applyFill="1" applyBorder="1" applyAlignment="1">
      <alignment horizontal="center" vertical="center" wrapText="1"/>
    </xf>
    <xf numFmtId="49" fontId="26" fillId="4" borderId="210" xfId="0" applyNumberFormat="1" applyFont="1" applyFill="1" applyBorder="1" applyAlignment="1">
      <alignment horizontal="center" vertical="center"/>
    </xf>
    <xf numFmtId="49" fontId="26" fillId="4" borderId="118" xfId="0" applyNumberFormat="1" applyFont="1" applyFill="1" applyBorder="1" applyAlignment="1">
      <alignment horizontal="center" vertical="center"/>
    </xf>
    <xf numFmtId="0" fontId="26" fillId="0" borderId="210" xfId="0" applyFont="1" applyBorder="1" applyAlignment="1">
      <alignment horizontal="center" vertical="center" wrapText="1"/>
    </xf>
    <xf numFmtId="0" fontId="26" fillId="0" borderId="210" xfId="0" applyFont="1" applyBorder="1" applyAlignment="1">
      <alignment horizontal="center" vertical="center"/>
    </xf>
    <xf numFmtId="0" fontId="25" fillId="4" borderId="210" xfId="0" applyFont="1" applyFill="1" applyBorder="1" applyAlignment="1">
      <alignment horizontal="center" vertical="center" wrapText="1"/>
    </xf>
    <xf numFmtId="0" fontId="25" fillId="4" borderId="114" xfId="0" applyFont="1" applyFill="1" applyBorder="1" applyAlignment="1">
      <alignment horizontal="center" vertical="center" wrapText="1"/>
    </xf>
    <xf numFmtId="49" fontId="26" fillId="4" borderId="215" xfId="0" applyNumberFormat="1" applyFont="1" applyFill="1" applyBorder="1" applyAlignment="1">
      <alignment horizontal="center" vertical="center"/>
    </xf>
    <xf numFmtId="49" fontId="26" fillId="4" borderId="141" xfId="0" applyNumberFormat="1" applyFont="1" applyFill="1" applyBorder="1" applyAlignment="1">
      <alignment horizontal="center" vertical="center"/>
    </xf>
    <xf numFmtId="49" fontId="26" fillId="4" borderId="216" xfId="0" applyNumberFormat="1" applyFont="1" applyFill="1" applyBorder="1" applyAlignment="1">
      <alignment horizontal="center" vertical="center"/>
    </xf>
    <xf numFmtId="49" fontId="26" fillId="0" borderId="118" xfId="0" applyNumberFormat="1" applyFont="1" applyBorder="1" applyAlignment="1">
      <alignment horizontal="center" vertical="center"/>
    </xf>
    <xf numFmtId="0" fontId="26" fillId="4" borderId="118" xfId="0" applyFont="1" applyFill="1" applyBorder="1" applyAlignment="1">
      <alignment horizontal="center" vertical="center" wrapText="1"/>
    </xf>
    <xf numFmtId="0" fontId="26" fillId="4" borderId="210" xfId="0" applyFont="1" applyFill="1" applyBorder="1" applyAlignment="1">
      <alignment vertical="center"/>
    </xf>
    <xf numFmtId="49" fontId="26" fillId="0" borderId="221" xfId="0" applyNumberFormat="1" applyFont="1" applyBorder="1" applyAlignment="1">
      <alignment horizontal="center" vertical="center"/>
    </xf>
    <xf numFmtId="0" fontId="11" fillId="0" borderId="0" xfId="0" applyFont="1" applyAlignment="1">
      <alignment vertical="center"/>
    </xf>
    <xf numFmtId="165" fontId="34" fillId="0" borderId="6" xfId="0" applyNumberFormat="1" applyFont="1" applyBorder="1" applyAlignment="1">
      <alignment vertical="center"/>
    </xf>
    <xf numFmtId="49" fontId="34" fillId="0" borderId="5" xfId="0" applyNumberFormat="1" applyFont="1" applyBorder="1" applyAlignment="1">
      <alignment horizontal="center" vertical="center"/>
    </xf>
    <xf numFmtId="4" fontId="34" fillId="4" borderId="0" xfId="0" applyNumberFormat="1" applyFont="1" applyFill="1" applyAlignment="1">
      <alignment horizontal="right" vertical="center"/>
    </xf>
    <xf numFmtId="4" fontId="39" fillId="4" borderId="0" xfId="0" applyNumberFormat="1" applyFont="1" applyFill="1" applyAlignment="1">
      <alignment horizontal="right"/>
    </xf>
    <xf numFmtId="2" fontId="7" fillId="0" borderId="0" xfId="0" applyNumberFormat="1" applyFont="1" applyAlignment="1">
      <alignment vertical="center" wrapText="1"/>
    </xf>
    <xf numFmtId="39" fontId="26" fillId="4" borderId="141" xfId="0" applyNumberFormat="1" applyFont="1" applyFill="1" applyBorder="1" applyAlignment="1">
      <alignment horizontal="center" vertical="center"/>
    </xf>
    <xf numFmtId="3" fontId="26" fillId="4" borderId="144" xfId="0" applyNumberFormat="1" applyFont="1" applyFill="1" applyBorder="1" applyAlignment="1">
      <alignment horizontal="center" vertical="center"/>
    </xf>
    <xf numFmtId="39" fontId="26" fillId="4" borderId="144" xfId="0" applyNumberFormat="1" applyFont="1" applyFill="1" applyBorder="1" applyAlignment="1">
      <alignment horizontal="center" vertical="center"/>
    </xf>
    <xf numFmtId="39" fontId="26" fillId="4" borderId="149" xfId="0" applyNumberFormat="1" applyFont="1" applyFill="1" applyBorder="1" applyAlignment="1">
      <alignment horizontal="center" vertical="center"/>
    </xf>
    <xf numFmtId="39" fontId="26" fillId="4" borderId="144" xfId="0" applyNumberFormat="1" applyFont="1" applyFill="1" applyBorder="1" applyAlignment="1">
      <alignment horizontal="right" vertical="center"/>
    </xf>
    <xf numFmtId="0" fontId="26" fillId="4" borderId="48" xfId="0" applyFont="1" applyFill="1" applyBorder="1" applyAlignment="1">
      <alignment horizontal="center" vertical="center" wrapText="1"/>
    </xf>
    <xf numFmtId="49" fontId="26" fillId="4" borderId="34" xfId="0" applyNumberFormat="1" applyFont="1" applyFill="1" applyBorder="1" applyAlignment="1">
      <alignment horizontal="center" vertical="center"/>
    </xf>
    <xf numFmtId="0" fontId="26" fillId="4" borderId="49" xfId="0" applyFont="1" applyFill="1" applyBorder="1" applyAlignment="1">
      <alignment horizontal="center" vertical="center" wrapText="1"/>
    </xf>
    <xf numFmtId="49" fontId="26" fillId="4" borderId="49" xfId="0" applyNumberFormat="1" applyFont="1" applyFill="1" applyBorder="1" applyAlignment="1">
      <alignment horizontal="center" vertical="center"/>
    </xf>
    <xf numFmtId="0" fontId="26" fillId="4" borderId="29" xfId="0" applyFont="1" applyFill="1" applyBorder="1" applyAlignment="1">
      <alignment horizontal="center" vertical="center" wrapText="1"/>
    </xf>
    <xf numFmtId="49" fontId="26" fillId="4" borderId="29" xfId="0" applyNumberFormat="1" applyFont="1" applyFill="1" applyBorder="1" applyAlignment="1">
      <alignment horizontal="center" vertical="center"/>
    </xf>
    <xf numFmtId="1" fontId="56" fillId="0" borderId="31" xfId="0" applyNumberFormat="1" applyFont="1" applyBorder="1" applyAlignment="1">
      <alignment horizontal="center" vertical="center" wrapText="1"/>
    </xf>
    <xf numFmtId="0" fontId="26" fillId="4" borderId="34" xfId="0" applyFont="1" applyFill="1" applyBorder="1" applyAlignment="1">
      <alignment horizontal="left" vertical="center" wrapText="1"/>
    </xf>
    <xf numFmtId="0" fontId="26" fillId="4" borderId="34" xfId="0" applyFont="1" applyFill="1" applyBorder="1" applyAlignment="1">
      <alignment horizontal="center" vertical="center" wrapText="1"/>
    </xf>
    <xf numFmtId="0" fontId="38" fillId="4" borderId="39" xfId="0" applyFont="1" applyFill="1" applyBorder="1" applyAlignment="1">
      <alignment horizontal="left" vertical="center" wrapText="1"/>
    </xf>
    <xf numFmtId="0" fontId="26" fillId="4" borderId="39" xfId="0" applyFont="1" applyFill="1" applyBorder="1" applyAlignment="1">
      <alignment horizontal="center" vertical="center" wrapText="1"/>
    </xf>
    <xf numFmtId="0" fontId="38" fillId="4" borderId="50" xfId="0" applyFont="1" applyFill="1" applyBorder="1" applyAlignment="1">
      <alignment horizontal="left" vertical="center" wrapText="1"/>
    </xf>
    <xf numFmtId="0" fontId="26" fillId="4" borderId="42" xfId="0" applyFont="1" applyFill="1" applyBorder="1" applyAlignment="1">
      <alignment horizontal="center" vertical="center" wrapText="1"/>
    </xf>
    <xf numFmtId="49" fontId="26" fillId="4" borderId="42" xfId="0" applyNumberFormat="1" applyFont="1" applyFill="1" applyBorder="1" applyAlignment="1">
      <alignment horizontal="center" vertical="center"/>
    </xf>
    <xf numFmtId="49" fontId="26" fillId="4" borderId="39" xfId="0" applyNumberFormat="1" applyFont="1" applyFill="1" applyBorder="1" applyAlignment="1">
      <alignment horizontal="center" vertical="center"/>
    </xf>
    <xf numFmtId="0" fontId="26" fillId="4" borderId="141" xfId="0" applyFont="1" applyFill="1" applyBorder="1" applyAlignment="1">
      <alignment vertical="center"/>
    </xf>
    <xf numFmtId="0" fontId="26" fillId="4" borderId="232" xfId="0" applyFont="1" applyFill="1" applyBorder="1" applyAlignment="1">
      <alignment horizontal="center" vertical="center" wrapText="1"/>
    </xf>
    <xf numFmtId="0" fontId="26" fillId="4" borderId="233" xfId="0" applyFont="1" applyFill="1" applyBorder="1" applyAlignment="1">
      <alignment horizontal="center" vertical="center" wrapText="1"/>
    </xf>
    <xf numFmtId="0" fontId="26" fillId="4" borderId="141" xfId="0" applyFont="1" applyFill="1" applyBorder="1" applyAlignment="1">
      <alignment horizontal="center" vertical="center"/>
    </xf>
    <xf numFmtId="49" fontId="25" fillId="4" borderId="144" xfId="0" applyNumberFormat="1" applyFont="1" applyFill="1" applyBorder="1" applyAlignment="1">
      <alignment horizontal="center" vertical="center"/>
    </xf>
    <xf numFmtId="0" fontId="13" fillId="0" borderId="0" xfId="0" applyFont="1"/>
    <xf numFmtId="0" fontId="11" fillId="0" borderId="0" xfId="0" applyFont="1"/>
    <xf numFmtId="2" fontId="14" fillId="0" borderId="0" xfId="0" applyNumberFormat="1" applyFont="1"/>
    <xf numFmtId="0" fontId="14" fillId="3" borderId="0" xfId="0" applyFont="1" applyFill="1"/>
    <xf numFmtId="0" fontId="14" fillId="3" borderId="0" xfId="0" applyFont="1" applyFill="1" applyAlignment="1">
      <alignment horizontal="center"/>
    </xf>
    <xf numFmtId="0" fontId="14" fillId="3" borderId="0" xfId="0" applyFont="1" applyFill="1" applyAlignment="1">
      <alignment wrapText="1"/>
    </xf>
    <xf numFmtId="165" fontId="14" fillId="3" borderId="0" xfId="0" applyNumberFormat="1" applyFont="1" applyFill="1" applyAlignment="1">
      <alignment horizontal="right"/>
    </xf>
    <xf numFmtId="4" fontId="39" fillId="4" borderId="0" xfId="0" applyNumberFormat="1" applyFont="1" applyFill="1" applyAlignment="1">
      <alignment horizontal="right" vertical="center"/>
    </xf>
    <xf numFmtId="0" fontId="25" fillId="4" borderId="244" xfId="0" applyFont="1" applyFill="1" applyBorder="1" applyAlignment="1">
      <alignment horizontal="center" vertical="center" wrapText="1"/>
    </xf>
    <xf numFmtId="49" fontId="25" fillId="4" borderId="244" xfId="0" applyNumberFormat="1" applyFont="1" applyFill="1" applyBorder="1" applyAlignment="1">
      <alignment horizontal="center" vertical="center"/>
    </xf>
    <xf numFmtId="165" fontId="24" fillId="4" borderId="141" xfId="0" applyNumberFormat="1" applyFont="1" applyFill="1" applyBorder="1" applyAlignment="1">
      <alignment vertical="center"/>
    </xf>
    <xf numFmtId="0" fontId="25" fillId="4" borderId="149" xfId="0" applyFont="1" applyFill="1" applyBorder="1" applyAlignment="1">
      <alignment horizontal="center" vertical="center" wrapText="1"/>
    </xf>
    <xf numFmtId="49" fontId="25" fillId="4" borderId="149" xfId="0" applyNumberFormat="1" applyFont="1" applyFill="1" applyBorder="1" applyAlignment="1">
      <alignment horizontal="center" vertical="center"/>
    </xf>
    <xf numFmtId="0" fontId="25" fillId="4" borderId="254" xfId="0" applyFont="1" applyFill="1" applyBorder="1" applyAlignment="1">
      <alignment horizontal="center" vertical="center" wrapText="1"/>
    </xf>
    <xf numFmtId="0" fontId="25" fillId="4" borderId="260" xfId="0" applyFont="1" applyFill="1" applyBorder="1" applyAlignment="1">
      <alignment horizontal="center" vertical="center" wrapText="1"/>
    </xf>
    <xf numFmtId="49" fontId="25" fillId="4" borderId="260" xfId="0" applyNumberFormat="1" applyFont="1" applyFill="1" applyBorder="1" applyAlignment="1">
      <alignment horizontal="center" vertical="center"/>
    </xf>
    <xf numFmtId="49" fontId="25" fillId="4" borderId="141" xfId="0" applyNumberFormat="1" applyFont="1" applyFill="1" applyBorder="1" applyAlignment="1">
      <alignment horizontal="center" vertical="center"/>
    </xf>
    <xf numFmtId="0" fontId="25" fillId="4" borderId="141" xfId="0" applyFont="1" applyFill="1" applyBorder="1" applyAlignment="1">
      <alignment horizontal="center" vertical="center" wrapText="1"/>
    </xf>
    <xf numFmtId="0" fontId="26" fillId="0" borderId="0" xfId="0" applyFont="1"/>
    <xf numFmtId="0" fontId="38" fillId="0" borderId="0" xfId="0" applyFont="1" applyAlignment="1">
      <alignment vertical="center"/>
    </xf>
    <xf numFmtId="0" fontId="34" fillId="3" borderId="5" xfId="0" applyFont="1" applyFill="1" applyBorder="1" applyAlignment="1">
      <alignment horizontal="center" vertical="center"/>
    </xf>
    <xf numFmtId="49" fontId="26" fillId="4" borderId="232" xfId="0" applyNumberFormat="1" applyFont="1" applyFill="1" applyBorder="1" applyAlignment="1">
      <alignment horizontal="center" vertical="center"/>
    </xf>
    <xf numFmtId="0" fontId="26" fillId="4" borderId="141" xfId="0" applyFont="1" applyFill="1" applyBorder="1" applyAlignment="1">
      <alignment horizontal="center" vertical="center" wrapText="1"/>
    </xf>
    <xf numFmtId="49" fontId="26" fillId="4" borderId="233" xfId="0" applyNumberFormat="1" applyFont="1" applyFill="1" applyBorder="1" applyAlignment="1">
      <alignment horizontal="center" vertical="center"/>
    </xf>
    <xf numFmtId="49" fontId="26" fillId="4" borderId="234" xfId="0" applyNumberFormat="1" applyFont="1" applyFill="1" applyBorder="1" applyAlignment="1">
      <alignment horizontal="center" vertical="center"/>
    </xf>
    <xf numFmtId="0" fontId="3" fillId="0" borderId="0" xfId="0" applyFont="1"/>
    <xf numFmtId="0" fontId="57" fillId="0" borderId="0" xfId="0" applyFont="1" applyAlignment="1">
      <alignment horizontal="right"/>
    </xf>
    <xf numFmtId="165" fontId="2" fillId="0" borderId="0" xfId="0" applyNumberFormat="1" applyFont="1"/>
    <xf numFmtId="0" fontId="2" fillId="4" borderId="0" xfId="0" applyFont="1" applyFill="1"/>
    <xf numFmtId="49" fontId="26" fillId="0" borderId="300" xfId="0" applyNumberFormat="1" applyFont="1" applyBorder="1" applyAlignment="1">
      <alignment horizontal="center" vertical="center"/>
    </xf>
    <xf numFmtId="49" fontId="26" fillId="0" borderId="231" xfId="0" applyNumberFormat="1" applyFont="1" applyBorder="1" applyAlignment="1">
      <alignment horizontal="center" vertical="center"/>
    </xf>
    <xf numFmtId="49" fontId="26" fillId="0" borderId="235" xfId="0" applyNumberFormat="1" applyFont="1" applyBorder="1" applyAlignment="1">
      <alignment horizontal="center" vertical="center"/>
    </xf>
    <xf numFmtId="0" fontId="26" fillId="0" borderId="302" xfId="0" applyFont="1" applyBorder="1" applyAlignment="1">
      <alignment horizontal="center" vertical="center" wrapText="1"/>
    </xf>
    <xf numFmtId="49" fontId="26" fillId="0" borderId="305" xfId="0" applyNumberFormat="1" applyFont="1" applyBorder="1" applyAlignment="1">
      <alignment horizontal="center" vertical="center"/>
    </xf>
    <xf numFmtId="0" fontId="26" fillId="0" borderId="42" xfId="0" applyFont="1" applyBorder="1" applyAlignment="1">
      <alignment horizontal="left" vertical="center" wrapText="1"/>
    </xf>
    <xf numFmtId="165" fontId="26" fillId="0" borderId="39" xfId="0" applyNumberFormat="1" applyFont="1" applyBorder="1" applyAlignment="1">
      <alignment horizontal="center" vertical="center"/>
    </xf>
    <xf numFmtId="49" fontId="26" fillId="0" borderId="307" xfId="0" applyNumberFormat="1" applyFont="1" applyBorder="1" applyAlignment="1">
      <alignment horizontal="center" vertical="center"/>
    </xf>
    <xf numFmtId="49" fontId="26" fillId="0" borderId="26" xfId="0" applyNumberFormat="1" applyFont="1" applyBorder="1" applyAlignment="1">
      <alignment horizontal="center" vertical="center"/>
    </xf>
    <xf numFmtId="0" fontId="26" fillId="0" borderId="34" xfId="0" applyFont="1" applyBorder="1" applyAlignment="1">
      <alignment horizontal="left" vertical="center" wrapText="1"/>
    </xf>
    <xf numFmtId="0" fontId="26" fillId="4" borderId="29" xfId="0" applyFont="1" applyFill="1" applyBorder="1" applyAlignment="1">
      <alignment horizontal="left" vertical="center" wrapText="1"/>
    </xf>
    <xf numFmtId="0" fontId="26" fillId="4" borderId="49" xfId="0" applyFont="1" applyFill="1" applyBorder="1" applyAlignment="1">
      <alignment horizontal="left" vertical="center" wrapText="1"/>
    </xf>
    <xf numFmtId="0" fontId="26" fillId="0" borderId="49" xfId="0" applyFont="1" applyBorder="1" applyAlignment="1">
      <alignment horizontal="center" vertical="center" wrapText="1"/>
    </xf>
    <xf numFmtId="0" fontId="26" fillId="0" borderId="173"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231" xfId="0" applyFont="1" applyBorder="1" applyAlignment="1">
      <alignment horizontal="center" vertical="center" wrapText="1"/>
    </xf>
    <xf numFmtId="49" fontId="26" fillId="0" borderId="311" xfId="0" applyNumberFormat="1" applyFont="1" applyBorder="1" applyAlignment="1">
      <alignment horizontal="center" vertical="center"/>
    </xf>
    <xf numFmtId="0" fontId="26" fillId="0" borderId="149" xfId="0" applyFont="1" applyBorder="1"/>
    <xf numFmtId="49" fontId="26" fillId="0" borderId="312" xfId="0" applyNumberFormat="1" applyFont="1" applyBorder="1" applyAlignment="1">
      <alignment horizontal="center" vertical="center"/>
    </xf>
    <xf numFmtId="0" fontId="26" fillId="0" borderId="141" xfId="0" applyFont="1" applyBorder="1"/>
    <xf numFmtId="165" fontId="26" fillId="0" borderId="29" xfId="0" applyNumberFormat="1" applyFont="1" applyBorder="1" applyAlignment="1">
      <alignment horizontal="center" vertical="center"/>
    </xf>
    <xf numFmtId="0" fontId="12" fillId="2" borderId="240" xfId="0" applyFont="1" applyFill="1" applyBorder="1" applyAlignment="1">
      <alignment vertical="center" wrapText="1"/>
    </xf>
    <xf numFmtId="39" fontId="12" fillId="2" borderId="240" xfId="0" applyNumberFormat="1" applyFont="1" applyFill="1" applyBorder="1" applyAlignment="1">
      <alignment horizontal="right" vertical="center"/>
    </xf>
    <xf numFmtId="0" fontId="11" fillId="0" borderId="0" xfId="0" applyFont="1" applyAlignment="1">
      <alignment vertical="center" wrapText="1"/>
    </xf>
    <xf numFmtId="0" fontId="62" fillId="0" borderId="0" xfId="0" applyFont="1"/>
    <xf numFmtId="0" fontId="61" fillId="0" borderId="0" xfId="0" applyFont="1"/>
    <xf numFmtId="0" fontId="60" fillId="0" borderId="0" xfId="0" applyFont="1" applyAlignment="1">
      <alignment horizontal="center"/>
    </xf>
    <xf numFmtId="1" fontId="32" fillId="0" borderId="0" xfId="0" applyNumberFormat="1" applyFont="1" applyAlignment="1">
      <alignment vertical="center"/>
    </xf>
    <xf numFmtId="0" fontId="42" fillId="0" borderId="0" xfId="0" applyFont="1" applyAlignment="1">
      <alignment horizontal="center"/>
    </xf>
    <xf numFmtId="0" fontId="34" fillId="0" borderId="5" xfId="0" applyFont="1" applyBorder="1" applyAlignment="1">
      <alignment horizontal="center" vertical="center" wrapText="1"/>
    </xf>
    <xf numFmtId="165" fontId="14" fillId="4" borderId="0" xfId="0" applyNumberFormat="1" applyFont="1" applyFill="1" applyAlignment="1">
      <alignment horizontal="center" vertical="center"/>
    </xf>
    <xf numFmtId="0" fontId="31" fillId="0" borderId="0" xfId="0" applyFont="1" applyAlignment="1">
      <alignment horizontal="center" vertical="center"/>
    </xf>
    <xf numFmtId="165" fontId="32" fillId="0" borderId="0" xfId="0" applyNumberFormat="1" applyFont="1" applyAlignment="1">
      <alignment horizontal="center" vertical="center"/>
    </xf>
    <xf numFmtId="170" fontId="32" fillId="0" borderId="0" xfId="0" applyNumberFormat="1" applyFont="1" applyAlignment="1">
      <alignment horizontal="center" vertical="center"/>
    </xf>
    <xf numFmtId="170" fontId="32" fillId="4" borderId="0" xfId="0" applyNumberFormat="1" applyFont="1" applyFill="1" applyAlignment="1">
      <alignment horizontal="center" vertical="center"/>
    </xf>
    <xf numFmtId="39" fontId="32" fillId="4" borderId="0" xfId="0" applyNumberFormat="1" applyFont="1" applyFill="1" applyAlignment="1">
      <alignment horizontal="center" vertical="center"/>
    </xf>
    <xf numFmtId="0" fontId="61" fillId="4" borderId="0" xfId="0" applyFont="1" applyFill="1"/>
    <xf numFmtId="165" fontId="32" fillId="4" borderId="0" xfId="0" applyNumberFormat="1" applyFont="1" applyFill="1" applyAlignment="1">
      <alignment horizontal="center" vertical="center"/>
    </xf>
    <xf numFmtId="171" fontId="32" fillId="4" borderId="0" xfId="0" applyNumberFormat="1" applyFont="1" applyFill="1" applyAlignment="1">
      <alignment horizontal="center" vertical="center"/>
    </xf>
    <xf numFmtId="44" fontId="32" fillId="4" borderId="0" xfId="0" applyNumberFormat="1" applyFont="1" applyFill="1" applyAlignment="1">
      <alignment horizontal="center" vertical="center"/>
    </xf>
    <xf numFmtId="0" fontId="26" fillId="4" borderId="144" xfId="0" applyFont="1" applyFill="1" applyBorder="1" applyAlignment="1">
      <alignment horizontal="center" vertical="center" wrapText="1"/>
    </xf>
    <xf numFmtId="0" fontId="26" fillId="4" borderId="149" xfId="0" applyFont="1" applyFill="1" applyBorder="1" applyAlignment="1">
      <alignment horizontal="center" vertical="center" wrapText="1"/>
    </xf>
    <xf numFmtId="0" fontId="14" fillId="0" borderId="0" xfId="0" applyFont="1" applyAlignment="1">
      <alignment horizontal="left"/>
    </xf>
    <xf numFmtId="0" fontId="14" fillId="0" borderId="0" xfId="0" applyFont="1" applyAlignment="1">
      <alignment horizontal="center"/>
    </xf>
    <xf numFmtId="0" fontId="14" fillId="3" borderId="0" xfId="0" applyFont="1" applyFill="1" applyAlignment="1">
      <alignment horizontal="left" vertical="center" wrapText="1"/>
    </xf>
    <xf numFmtId="0" fontId="26" fillId="4" borderId="324" xfId="0" applyFont="1" applyFill="1" applyBorder="1" applyAlignment="1">
      <alignment horizontal="center" vertical="center" wrapText="1"/>
    </xf>
    <xf numFmtId="0" fontId="26" fillId="0" borderId="256" xfId="0" applyFont="1" applyBorder="1" applyAlignment="1">
      <alignment horizontal="center" vertical="center" wrapText="1"/>
    </xf>
    <xf numFmtId="49" fontId="26" fillId="0" borderId="254" xfId="0" applyNumberFormat="1" applyFont="1" applyBorder="1" applyAlignment="1">
      <alignment horizontal="center" vertical="center"/>
    </xf>
    <xf numFmtId="0" fontId="26" fillId="0" borderId="256" xfId="0" applyFont="1" applyBorder="1" applyAlignment="1">
      <alignment horizontal="left" vertical="center" wrapText="1"/>
    </xf>
    <xf numFmtId="49" fontId="26" fillId="0" borderId="256" xfId="0" applyNumberFormat="1" applyFont="1" applyBorder="1" applyAlignment="1">
      <alignment horizontal="center" vertical="center"/>
    </xf>
    <xf numFmtId="0" fontId="38" fillId="0" borderId="252" xfId="0" applyFont="1" applyBorder="1" applyAlignment="1">
      <alignment horizontal="left" vertical="center" wrapText="1"/>
    </xf>
    <xf numFmtId="0" fontId="26" fillId="0" borderId="252" xfId="0" applyFont="1" applyBorder="1" applyAlignment="1">
      <alignment horizontal="center" vertical="center" wrapText="1"/>
    </xf>
    <xf numFmtId="49" fontId="26" fillId="0" borderId="252" xfId="0" applyNumberFormat="1" applyFont="1" applyBorder="1" applyAlignment="1">
      <alignment horizontal="center" vertical="center"/>
    </xf>
    <xf numFmtId="0" fontId="26" fillId="0" borderId="257" xfId="0" applyFont="1" applyBorder="1" applyAlignment="1">
      <alignment horizontal="left" vertical="center" wrapText="1"/>
    </xf>
    <xf numFmtId="0" fontId="26" fillId="0" borderId="257" xfId="0" applyFont="1" applyBorder="1" applyAlignment="1">
      <alignment horizontal="center" vertical="center" wrapText="1"/>
    </xf>
    <xf numFmtId="49" fontId="26" fillId="0" borderId="257" xfId="0" applyNumberFormat="1" applyFont="1" applyBorder="1" applyAlignment="1">
      <alignment horizontal="center" vertical="center"/>
    </xf>
    <xf numFmtId="0" fontId="26" fillId="0" borderId="252" xfId="0" applyFont="1" applyBorder="1" applyAlignment="1">
      <alignment vertical="center"/>
    </xf>
    <xf numFmtId="49" fontId="26" fillId="0" borderId="252" xfId="0" applyNumberFormat="1" applyFont="1" applyBorder="1" applyAlignment="1">
      <alignment vertical="center"/>
    </xf>
    <xf numFmtId="0" fontId="38" fillId="0" borderId="192" xfId="0" applyFont="1" applyBorder="1" applyAlignment="1">
      <alignment horizontal="center" vertical="center"/>
    </xf>
    <xf numFmtId="0" fontId="26" fillId="0" borderId="5" xfId="0" applyFont="1" applyBorder="1" applyAlignment="1">
      <alignment horizontal="center" vertical="center"/>
    </xf>
    <xf numFmtId="0" fontId="26" fillId="0" borderId="254" xfId="0" applyFont="1" applyBorder="1" applyAlignment="1">
      <alignment vertical="center"/>
    </xf>
    <xf numFmtId="165" fontId="26" fillId="0" borderId="254" xfId="0" applyNumberFormat="1" applyFont="1" applyBorder="1" applyAlignment="1">
      <alignment vertical="center"/>
    </xf>
    <xf numFmtId="49" fontId="26" fillId="0" borderId="254" xfId="0" applyNumberFormat="1" applyFont="1" applyBorder="1" applyAlignment="1">
      <alignment vertical="center"/>
    </xf>
    <xf numFmtId="0" fontId="63" fillId="2" borderId="341" xfId="0" applyFont="1" applyFill="1" applyBorder="1" applyAlignment="1">
      <alignment horizontal="center" vertical="center"/>
    </xf>
    <xf numFmtId="0" fontId="65" fillId="4" borderId="0" xfId="0" applyFont="1" applyFill="1" applyAlignment="1">
      <alignment horizontal="center" vertical="center" textRotation="90" wrapText="1"/>
    </xf>
    <xf numFmtId="0" fontId="3" fillId="4" borderId="0" xfId="0" applyFont="1" applyFill="1"/>
    <xf numFmtId="0" fontId="42" fillId="4" borderId="0" xfId="0" applyFont="1" applyFill="1" applyAlignment="1">
      <alignment horizontal="center"/>
    </xf>
    <xf numFmtId="0" fontId="14" fillId="4" borderId="0" xfId="0" applyFont="1" applyFill="1" applyAlignment="1">
      <alignment vertical="center"/>
    </xf>
    <xf numFmtId="0" fontId="8" fillId="4" borderId="0" xfId="0" applyFont="1" applyFill="1" applyAlignment="1">
      <alignment vertical="center" wrapText="1"/>
    </xf>
    <xf numFmtId="0" fontId="14" fillId="4" borderId="0" xfId="0" applyFont="1" applyFill="1" applyAlignment="1">
      <alignment horizontal="right" vertical="center" wrapText="1"/>
    </xf>
    <xf numFmtId="0" fontId="2" fillId="4" borderId="0" xfId="0" applyFont="1" applyFill="1" applyAlignment="1">
      <alignment vertical="center" wrapText="1"/>
    </xf>
    <xf numFmtId="39" fontId="32" fillId="0" borderId="0" xfId="0" applyNumberFormat="1" applyFont="1" applyAlignment="1">
      <alignment horizontal="center" vertical="center"/>
    </xf>
    <xf numFmtId="171" fontId="32" fillId="0" borderId="0" xfId="0" applyNumberFormat="1" applyFont="1" applyAlignment="1">
      <alignment horizontal="center" vertical="center"/>
    </xf>
    <xf numFmtId="44" fontId="32" fillId="0" borderId="0" xfId="0" applyNumberFormat="1" applyFont="1" applyAlignment="1">
      <alignment horizontal="center" vertical="center"/>
    </xf>
    <xf numFmtId="0" fontId="38" fillId="4" borderId="49" xfId="0" applyFont="1" applyFill="1" applyBorder="1" applyAlignment="1">
      <alignment horizontal="left" vertical="center" wrapText="1"/>
    </xf>
    <xf numFmtId="0" fontId="26" fillId="0" borderId="28" xfId="0" applyFont="1" applyBorder="1" applyAlignment="1">
      <alignment horizontal="center" vertical="center"/>
    </xf>
    <xf numFmtId="0" fontId="26" fillId="0" borderId="33" xfId="0" applyFont="1" applyBorder="1" applyAlignment="1">
      <alignment horizontal="center" vertical="center"/>
    </xf>
    <xf numFmtId="0" fontId="26" fillId="4" borderId="0" xfId="0" applyFont="1" applyFill="1" applyAlignment="1">
      <alignment vertical="center"/>
    </xf>
    <xf numFmtId="165" fontId="26" fillId="0" borderId="49" xfId="0" applyNumberFormat="1" applyFont="1" applyBorder="1" applyAlignment="1">
      <alignment vertical="center"/>
    </xf>
    <xf numFmtId="0" fontId="38" fillId="0" borderId="38" xfId="0" applyFont="1" applyBorder="1" applyAlignment="1">
      <alignment horizontal="center" vertical="center"/>
    </xf>
    <xf numFmtId="0" fontId="26" fillId="0" borderId="354" xfId="0" applyFont="1" applyBorder="1" applyAlignment="1">
      <alignment horizontal="left" vertical="center" wrapText="1"/>
    </xf>
    <xf numFmtId="0" fontId="26" fillId="0" borderId="354" xfId="0" applyFont="1" applyBorder="1" applyAlignment="1">
      <alignment horizontal="center" vertical="center" wrapText="1"/>
    </xf>
    <xf numFmtId="49" fontId="26" fillId="0" borderId="354" xfId="0" applyNumberFormat="1" applyFont="1" applyBorder="1" applyAlignment="1">
      <alignment horizontal="center" vertical="center"/>
    </xf>
    <xf numFmtId="0" fontId="11" fillId="0" borderId="62" xfId="0" applyFont="1" applyBorder="1" applyAlignment="1">
      <alignment vertical="center"/>
    </xf>
    <xf numFmtId="0" fontId="14" fillId="0" borderId="62" xfId="0" applyFont="1" applyBorder="1" applyAlignment="1">
      <alignment vertical="center"/>
    </xf>
    <xf numFmtId="0" fontId="42" fillId="0" borderId="0" xfId="0" applyFont="1" applyAlignment="1">
      <alignment horizontal="center" vertical="center"/>
    </xf>
    <xf numFmtId="0" fontId="8" fillId="0" borderId="0" xfId="0" applyFont="1" applyAlignment="1">
      <alignment vertical="center" wrapText="1"/>
    </xf>
    <xf numFmtId="0" fontId="14" fillId="3" borderId="0" xfId="0" applyFont="1" applyFill="1" applyAlignment="1">
      <alignment vertical="center" wrapText="1"/>
    </xf>
    <xf numFmtId="0" fontId="42" fillId="0" borderId="0" xfId="0" applyFont="1" applyAlignment="1">
      <alignment vertical="center" wrapText="1"/>
    </xf>
    <xf numFmtId="0" fontId="26" fillId="4" borderId="110" xfId="0" applyFont="1" applyFill="1" applyBorder="1" applyAlignment="1">
      <alignment horizontal="center" vertical="center" wrapText="1"/>
    </xf>
    <xf numFmtId="49" fontId="26" fillId="4" borderId="24" xfId="0" applyNumberFormat="1" applyFont="1" applyFill="1" applyBorder="1" applyAlignment="1">
      <alignment horizontal="center" vertical="center"/>
    </xf>
    <xf numFmtId="0" fontId="26" fillId="4" borderId="254" xfId="0" applyFont="1" applyFill="1" applyBorder="1" applyAlignment="1">
      <alignment horizontal="center"/>
    </xf>
    <xf numFmtId="49" fontId="26" fillId="4" borderId="254" xfId="0" applyNumberFormat="1" applyFont="1" applyFill="1" applyBorder="1" applyAlignment="1">
      <alignment horizontal="center" vertical="center"/>
    </xf>
    <xf numFmtId="0" fontId="26" fillId="4" borderId="256" xfId="0" applyFont="1" applyFill="1" applyBorder="1" applyAlignment="1">
      <alignment horizontal="center"/>
    </xf>
    <xf numFmtId="0" fontId="26" fillId="4" borderId="256" xfId="0" applyFont="1" applyFill="1" applyBorder="1" applyAlignment="1">
      <alignment horizontal="center" vertical="center" wrapText="1"/>
    </xf>
    <xf numFmtId="49" fontId="26" fillId="4" borderId="256" xfId="0" applyNumberFormat="1" applyFont="1" applyFill="1" applyBorder="1" applyAlignment="1">
      <alignment horizontal="center" vertical="center"/>
    </xf>
    <xf numFmtId="0" fontId="26" fillId="4" borderId="252" xfId="0" applyFont="1" applyFill="1" applyBorder="1" applyAlignment="1">
      <alignment horizontal="center" vertical="center" wrapText="1"/>
    </xf>
    <xf numFmtId="49" fontId="26" fillId="4" borderId="252" xfId="0" applyNumberFormat="1" applyFont="1" applyFill="1" applyBorder="1" applyAlignment="1">
      <alignment horizontal="center" vertical="center"/>
    </xf>
    <xf numFmtId="0" fontId="26" fillId="4" borderId="254" xfId="0" applyFont="1" applyFill="1" applyBorder="1" applyAlignment="1">
      <alignment horizontal="center" vertical="center" wrapText="1"/>
    </xf>
    <xf numFmtId="0" fontId="26" fillId="4" borderId="254" xfId="0" applyFont="1" applyFill="1" applyBorder="1" applyAlignment="1">
      <alignment horizontal="left" vertical="center" wrapText="1"/>
    </xf>
    <xf numFmtId="0" fontId="26" fillId="4" borderId="256" xfId="0" applyFont="1" applyFill="1" applyBorder="1" applyAlignment="1">
      <alignment horizontal="left" vertical="center" wrapText="1"/>
    </xf>
    <xf numFmtId="0" fontId="38" fillId="0" borderId="252" xfId="0" applyFont="1" applyBorder="1" applyAlignment="1">
      <alignment horizontal="center" vertical="center"/>
    </xf>
    <xf numFmtId="0" fontId="26" fillId="4" borderId="326" xfId="0" applyFont="1" applyFill="1" applyBorder="1" applyAlignment="1">
      <alignment horizontal="center" vertical="center" wrapText="1"/>
    </xf>
    <xf numFmtId="49" fontId="26" fillId="4" borderId="326" xfId="0" applyNumberFormat="1" applyFont="1" applyFill="1" applyBorder="1" applyAlignment="1">
      <alignment horizontal="center" vertical="center"/>
    </xf>
    <xf numFmtId="0" fontId="26" fillId="4" borderId="31" xfId="0" applyFont="1" applyFill="1" applyBorder="1" applyAlignment="1">
      <alignment horizontal="center" vertical="center" wrapText="1"/>
    </xf>
    <xf numFmtId="0" fontId="26" fillId="4" borderId="55" xfId="0" applyFont="1" applyFill="1" applyBorder="1" applyAlignment="1">
      <alignment horizontal="left" vertical="center" wrapText="1"/>
    </xf>
    <xf numFmtId="0" fontId="42" fillId="0" borderId="0" xfId="0" applyFont="1"/>
    <xf numFmtId="0" fontId="26" fillId="4" borderId="114" xfId="0" applyFont="1" applyFill="1" applyBorder="1" applyAlignment="1">
      <alignment horizontal="center" vertical="center"/>
    </xf>
    <xf numFmtId="0" fontId="34" fillId="3" borderId="228" xfId="0" applyFont="1" applyFill="1" applyBorder="1" applyAlignment="1">
      <alignment horizontal="center" vertical="center"/>
    </xf>
    <xf numFmtId="49" fontId="34" fillId="0" borderId="147" xfId="0" applyNumberFormat="1" applyFont="1" applyBorder="1" applyAlignment="1">
      <alignment horizontal="center" vertical="center"/>
    </xf>
    <xf numFmtId="165" fontId="34" fillId="3" borderId="356" xfId="0" applyNumberFormat="1" applyFont="1" applyFill="1" applyBorder="1" applyAlignment="1">
      <alignment horizontal="right" vertical="center"/>
    </xf>
    <xf numFmtId="1" fontId="34" fillId="3" borderId="168" xfId="0" applyNumberFormat="1" applyFont="1" applyFill="1" applyBorder="1" applyAlignment="1">
      <alignment horizontal="center" vertical="center"/>
    </xf>
    <xf numFmtId="165" fontId="34" fillId="3" borderId="169" xfId="0" applyNumberFormat="1" applyFont="1" applyFill="1" applyBorder="1" applyAlignment="1">
      <alignment horizontal="right" vertical="center"/>
    </xf>
    <xf numFmtId="165" fontId="34" fillId="0" borderId="74" xfId="0" applyNumberFormat="1" applyFont="1" applyBorder="1" applyAlignment="1">
      <alignment horizontal="right" vertical="center"/>
    </xf>
    <xf numFmtId="165" fontId="34" fillId="0" borderId="71" xfId="0" applyNumberFormat="1" applyFont="1" applyBorder="1" applyAlignment="1">
      <alignment horizontal="right" vertical="center"/>
    </xf>
    <xf numFmtId="165" fontId="34" fillId="0" borderId="75" xfId="0" applyNumberFormat="1" applyFont="1" applyBorder="1" applyAlignment="1">
      <alignment horizontal="right" vertical="center"/>
    </xf>
    <xf numFmtId="0" fontId="66" fillId="4" borderId="0" xfId="0" applyFont="1" applyFill="1" applyAlignment="1">
      <alignment horizontal="center" vertical="center"/>
    </xf>
    <xf numFmtId="0" fontId="67" fillId="4" borderId="0" xfId="0" applyFont="1" applyFill="1" applyAlignment="1">
      <alignment horizontal="center" vertical="center"/>
    </xf>
    <xf numFmtId="0" fontId="69" fillId="4" borderId="0" xfId="0" applyFont="1" applyFill="1" applyAlignment="1">
      <alignment horizontal="center" vertical="center"/>
    </xf>
    <xf numFmtId="0" fontId="70" fillId="4" borderId="0" xfId="0" applyFont="1" applyFill="1" applyAlignment="1">
      <alignment vertical="center" wrapText="1"/>
    </xf>
    <xf numFmtId="0" fontId="27" fillId="4" borderId="0" xfId="0" applyFont="1" applyFill="1" applyAlignment="1">
      <alignment horizontal="left" vertical="center" wrapText="1"/>
    </xf>
    <xf numFmtId="0" fontId="57" fillId="0" borderId="114" xfId="0" applyFont="1" applyBorder="1" applyAlignment="1">
      <alignment horizontal="center" vertical="center"/>
    </xf>
    <xf numFmtId="0" fontId="57" fillId="0" borderId="221" xfId="0" applyFont="1" applyBorder="1" applyAlignment="1">
      <alignment horizontal="center" vertical="center"/>
    </xf>
    <xf numFmtId="0" fontId="72" fillId="0" borderId="206" xfId="0" applyFont="1" applyBorder="1" applyAlignment="1">
      <alignment horizontal="center" vertical="center"/>
    </xf>
    <xf numFmtId="0" fontId="25" fillId="0" borderId="114" xfId="0" applyFont="1" applyBorder="1" applyAlignment="1">
      <alignment horizontal="center" vertical="center" wrapText="1"/>
    </xf>
    <xf numFmtId="0" fontId="57" fillId="0" borderId="5" xfId="0" applyFont="1" applyBorder="1" applyAlignment="1">
      <alignment horizontal="center" vertical="center"/>
    </xf>
    <xf numFmtId="49" fontId="26" fillId="0" borderId="5" xfId="0" applyNumberFormat="1" applyFont="1" applyBorder="1" applyAlignment="1">
      <alignment horizontal="center" vertical="center"/>
    </xf>
    <xf numFmtId="0" fontId="72" fillId="0" borderId="114" xfId="0" applyFont="1" applyBorder="1" applyAlignment="1">
      <alignment horizontal="center" vertical="center"/>
    </xf>
    <xf numFmtId="0" fontId="57" fillId="0" borderId="209" xfId="0" applyFont="1" applyBorder="1" applyAlignment="1">
      <alignment horizontal="center" vertical="center"/>
    </xf>
    <xf numFmtId="0" fontId="52" fillId="4" borderId="0" xfId="0" applyFont="1" applyFill="1" applyAlignment="1">
      <alignment horizontal="left" vertical="center" wrapText="1"/>
    </xf>
    <xf numFmtId="0" fontId="26" fillId="0" borderId="114" xfId="0" applyFont="1" applyBorder="1" applyAlignment="1">
      <alignment horizontal="center" vertical="center" wrapText="1"/>
    </xf>
    <xf numFmtId="49" fontId="26" fillId="0" borderId="114" xfId="0" applyNumberFormat="1" applyFont="1" applyBorder="1" applyAlignment="1">
      <alignment horizontal="center" vertical="center"/>
    </xf>
    <xf numFmtId="49" fontId="14" fillId="0" borderId="114" xfId="0" applyNumberFormat="1" applyFont="1" applyBorder="1" applyAlignment="1">
      <alignment horizontal="center" vertical="center"/>
    </xf>
    <xf numFmtId="0" fontId="14" fillId="0" borderId="114" xfId="0" applyFont="1" applyBorder="1" applyAlignment="1">
      <alignment horizontal="center" vertical="center" wrapText="1"/>
    </xf>
    <xf numFmtId="0" fontId="14" fillId="0" borderId="114" xfId="0" applyFont="1" applyBorder="1" applyAlignment="1">
      <alignment horizontal="center" vertical="center"/>
    </xf>
    <xf numFmtId="49" fontId="14" fillId="4" borderId="114" xfId="0" applyNumberFormat="1" applyFont="1" applyFill="1" applyBorder="1" applyAlignment="1">
      <alignment horizontal="center" vertical="center"/>
    </xf>
    <xf numFmtId="0" fontId="72" fillId="4" borderId="114" xfId="0" applyFont="1" applyFill="1" applyBorder="1" applyAlignment="1">
      <alignment horizontal="center" vertical="center"/>
    </xf>
    <xf numFmtId="0" fontId="26" fillId="4" borderId="114" xfId="0" applyFont="1" applyFill="1" applyBorder="1" applyAlignment="1">
      <alignment horizontal="center" vertical="center" wrapText="1"/>
    </xf>
    <xf numFmtId="0" fontId="57" fillId="4" borderId="114" xfId="0" applyFont="1" applyFill="1" applyBorder="1" applyAlignment="1">
      <alignment horizontal="center" vertical="center"/>
    </xf>
    <xf numFmtId="49" fontId="26" fillId="4" borderId="114" xfId="0" applyNumberFormat="1" applyFont="1" applyFill="1" applyBorder="1" applyAlignment="1">
      <alignment horizontal="center" vertical="center"/>
    </xf>
    <xf numFmtId="0" fontId="26" fillId="4" borderId="221" xfId="0" applyFont="1" applyFill="1" applyBorder="1" applyAlignment="1">
      <alignment horizontal="center" vertical="center" wrapText="1"/>
    </xf>
    <xf numFmtId="49" fontId="26" fillId="4" borderId="221" xfId="0" applyNumberFormat="1" applyFont="1" applyFill="1" applyBorder="1" applyAlignment="1">
      <alignment horizontal="center" vertical="center"/>
    </xf>
    <xf numFmtId="0" fontId="28" fillId="4" borderId="0" xfId="0" applyFont="1" applyFill="1" applyAlignment="1">
      <alignment horizontal="center" vertical="center"/>
    </xf>
    <xf numFmtId="0" fontId="26" fillId="0" borderId="114" xfId="0" applyFont="1" applyBorder="1" applyAlignment="1">
      <alignment horizontal="right" vertical="center"/>
    </xf>
    <xf numFmtId="0" fontId="26" fillId="0" borderId="221" xfId="0" applyFont="1" applyBorder="1" applyAlignment="1">
      <alignment horizontal="right" vertical="center"/>
    </xf>
    <xf numFmtId="0" fontId="26" fillId="4" borderId="114" xfId="0" applyFont="1" applyFill="1" applyBorder="1" applyAlignment="1">
      <alignment vertical="center"/>
    </xf>
    <xf numFmtId="0" fontId="72" fillId="0" borderId="209" xfId="0" applyFont="1" applyBorder="1" applyAlignment="1">
      <alignment horizontal="center" vertical="center"/>
    </xf>
    <xf numFmtId="4" fontId="71" fillId="4" borderId="0" xfId="0" applyNumberFormat="1" applyFont="1" applyFill="1" applyAlignment="1">
      <alignment horizontal="center" vertical="center" wrapText="1"/>
    </xf>
    <xf numFmtId="0" fontId="11" fillId="0" borderId="0" xfId="0" applyFont="1" applyAlignment="1">
      <alignment horizontal="left" vertical="center"/>
    </xf>
    <xf numFmtId="0" fontId="14" fillId="0" borderId="0" xfId="0" applyFont="1" applyAlignment="1">
      <alignment horizontal="left" vertical="center"/>
    </xf>
    <xf numFmtId="0" fontId="52" fillId="4" borderId="0" xfId="0" applyFont="1" applyFill="1" applyAlignment="1">
      <alignment horizontal="left" vertical="center" wrapText="1"/>
    </xf>
    <xf numFmtId="14" fontId="34" fillId="0" borderId="0" xfId="0" applyNumberFormat="1" applyFont="1" applyAlignment="1">
      <alignment horizontal="left" vertical="center"/>
    </xf>
    <xf numFmtId="0" fontId="52" fillId="4" borderId="0" xfId="0" applyFont="1" applyFill="1" applyAlignment="1">
      <alignment vertical="center"/>
    </xf>
    <xf numFmtId="49" fontId="40" fillId="4" borderId="0" xfId="0" applyNumberFormat="1" applyFont="1" applyFill="1" applyAlignment="1">
      <alignment horizontal="right" vertical="center" wrapText="1"/>
    </xf>
    <xf numFmtId="0" fontId="14" fillId="3" borderId="0" xfId="0" applyFont="1" applyFill="1" applyAlignment="1">
      <alignment horizontal="left" vertical="center" wrapText="1"/>
    </xf>
    <xf numFmtId="0" fontId="14" fillId="3" borderId="0" xfId="0" applyFont="1" applyFill="1" applyAlignment="1">
      <alignment horizontal="center" vertical="center"/>
    </xf>
    <xf numFmtId="0" fontId="14" fillId="3" borderId="0" xfId="0" applyFont="1" applyFill="1" applyAlignment="1">
      <alignment vertical="center" wrapText="1"/>
    </xf>
    <xf numFmtId="165" fontId="14" fillId="3" borderId="0" xfId="0" applyNumberFormat="1" applyFont="1" applyFill="1" applyAlignment="1">
      <alignment horizontal="right" vertical="center"/>
    </xf>
    <xf numFmtId="0" fontId="34" fillId="3" borderId="168" xfId="0" applyFont="1" applyFill="1" applyBorder="1" applyAlignment="1">
      <alignment horizontal="center" vertical="center"/>
    </xf>
    <xf numFmtId="49" fontId="14" fillId="0" borderId="0" xfId="0" applyNumberFormat="1" applyFont="1" applyAlignment="1">
      <alignment horizontal="left" vertical="center" wrapText="1"/>
    </xf>
    <xf numFmtId="0" fontId="14" fillId="0" borderId="0" xfId="0" applyFont="1" applyAlignment="1">
      <alignment horizontal="center" vertical="center"/>
    </xf>
    <xf numFmtId="0" fontId="34" fillId="0" borderId="168" xfId="0" applyFont="1" applyBorder="1" applyAlignment="1">
      <alignment horizontal="center" vertical="center"/>
    </xf>
    <xf numFmtId="0" fontId="14" fillId="3" borderId="0" xfId="0" applyFont="1" applyFill="1" applyAlignment="1">
      <alignment vertical="center"/>
    </xf>
    <xf numFmtId="2" fontId="14" fillId="0" borderId="0" xfId="0" applyNumberFormat="1" applyFont="1" applyAlignment="1">
      <alignment horizontal="right" vertical="center" wrapText="1"/>
    </xf>
    <xf numFmtId="0" fontId="40" fillId="4" borderId="0" xfId="0" applyFont="1" applyFill="1" applyAlignment="1">
      <alignment horizontal="right" vertical="center"/>
    </xf>
    <xf numFmtId="0" fontId="40" fillId="4" borderId="0" xfId="0" applyFont="1" applyFill="1" applyAlignment="1">
      <alignment vertical="center"/>
    </xf>
    <xf numFmtId="0" fontId="14" fillId="4" borderId="0" xfId="0" applyFont="1" applyFill="1" applyAlignment="1">
      <alignment horizontal="right" vertical="center"/>
    </xf>
    <xf numFmtId="0" fontId="40" fillId="4" borderId="0" xfId="0" applyFont="1" applyFill="1" applyAlignment="1">
      <alignment vertical="center" wrapText="1"/>
    </xf>
    <xf numFmtId="0" fontId="45" fillId="0" borderId="0" xfId="0" applyFont="1" applyAlignment="1">
      <alignment vertical="center" wrapText="1"/>
    </xf>
    <xf numFmtId="0" fontId="26" fillId="0" borderId="221" xfId="0" applyFont="1" applyBorder="1" applyAlignment="1">
      <alignment horizontal="center" vertical="center"/>
    </xf>
    <xf numFmtId="0" fontId="38" fillId="0" borderId="114" xfId="0" applyFont="1" applyBorder="1" applyAlignment="1">
      <alignment horizontal="right" vertical="center"/>
    </xf>
    <xf numFmtId="0" fontId="38" fillId="0" borderId="206" xfId="0" applyFont="1" applyBorder="1" applyAlignment="1">
      <alignment horizontal="right" vertical="center"/>
    </xf>
    <xf numFmtId="0" fontId="26" fillId="0" borderId="209" xfId="0" applyFont="1" applyBorder="1" applyAlignment="1">
      <alignment horizontal="right" vertical="center"/>
    </xf>
    <xf numFmtId="0" fontId="26" fillId="0" borderId="209" xfId="0" applyFont="1" applyBorder="1" applyAlignment="1">
      <alignment horizontal="center" vertical="center" wrapText="1"/>
    </xf>
    <xf numFmtId="0" fontId="26" fillId="0" borderId="206" xfId="0" applyFont="1" applyBorder="1" applyAlignment="1">
      <alignment horizontal="center" vertical="center"/>
    </xf>
    <xf numFmtId="0" fontId="26" fillId="0" borderId="206" xfId="0" applyFont="1" applyBorder="1" applyAlignment="1">
      <alignment horizontal="center" vertical="center" wrapText="1"/>
    </xf>
    <xf numFmtId="0" fontId="26" fillId="0" borderId="221" xfId="0" applyFont="1" applyBorder="1" applyAlignment="1">
      <alignment horizontal="center" vertical="center" wrapText="1"/>
    </xf>
    <xf numFmtId="0" fontId="26" fillId="0" borderId="114" xfId="0" applyFont="1" applyBorder="1" applyAlignment="1">
      <alignment horizontal="center" vertical="center"/>
    </xf>
    <xf numFmtId="0" fontId="12" fillId="12" borderId="375" xfId="0" applyFont="1" applyFill="1" applyBorder="1" applyAlignment="1">
      <alignment vertical="center"/>
    </xf>
    <xf numFmtId="0" fontId="26" fillId="0" borderId="192" xfId="0" applyFont="1" applyBorder="1" applyAlignment="1">
      <alignment vertical="center" wrapText="1"/>
    </xf>
    <xf numFmtId="0" fontId="26" fillId="0" borderId="5" xfId="0" applyFont="1" applyBorder="1" applyAlignment="1">
      <alignment horizontal="center" vertical="center" wrapText="1"/>
    </xf>
    <xf numFmtId="0" fontId="26" fillId="0" borderId="114" xfId="0" applyFont="1" applyBorder="1" applyAlignment="1">
      <alignment vertical="center"/>
    </xf>
    <xf numFmtId="0" fontId="14" fillId="4" borderId="62" xfId="0" applyFont="1" applyFill="1" applyBorder="1" applyAlignment="1">
      <alignment vertical="center"/>
    </xf>
    <xf numFmtId="174" fontId="14" fillId="4" borderId="63" xfId="0" applyNumberFormat="1" applyFont="1" applyFill="1" applyBorder="1" applyAlignment="1">
      <alignment horizontal="left"/>
    </xf>
    <xf numFmtId="0" fontId="11" fillId="0" borderId="0" xfId="0" applyFont="1" applyAlignment="1">
      <alignment horizontal="center" vertical="center" wrapText="1"/>
    </xf>
    <xf numFmtId="0" fontId="14" fillId="3" borderId="0" xfId="0" applyFont="1" applyFill="1" applyAlignment="1">
      <alignment vertical="center"/>
    </xf>
    <xf numFmtId="165" fontId="77" fillId="0" borderId="0" xfId="0" applyNumberFormat="1" applyFont="1" applyAlignment="1">
      <alignment horizontal="right"/>
    </xf>
    <xf numFmtId="49" fontId="26" fillId="0" borderId="0" xfId="0" applyNumberFormat="1" applyFont="1" applyAlignment="1">
      <alignment horizontal="right"/>
    </xf>
    <xf numFmtId="49" fontId="26" fillId="0" borderId="0" xfId="0" applyNumberFormat="1" applyFont="1" applyAlignment="1">
      <alignment horizontal="center"/>
    </xf>
    <xf numFmtId="49" fontId="26" fillId="0" borderId="0" xfId="0" applyNumberFormat="1" applyFont="1" applyAlignment="1">
      <alignment wrapText="1"/>
    </xf>
    <xf numFmtId="49" fontId="34" fillId="4" borderId="5" xfId="0" applyNumberFormat="1" applyFont="1" applyFill="1" applyBorder="1" applyAlignment="1">
      <alignment horizontal="center" vertical="center"/>
    </xf>
    <xf numFmtId="165" fontId="34" fillId="4" borderId="6" xfId="0" applyNumberFormat="1" applyFont="1" applyFill="1" applyBorder="1" applyAlignment="1">
      <alignment horizontal="right" vertical="center"/>
    </xf>
    <xf numFmtId="1" fontId="34" fillId="3" borderId="5" xfId="0" applyNumberFormat="1" applyFont="1" applyFill="1" applyBorder="1" applyAlignment="1">
      <alignment horizontal="center" vertical="center" wrapText="1"/>
    </xf>
    <xf numFmtId="49" fontId="34" fillId="3" borderId="5" xfId="0" applyNumberFormat="1" applyFont="1" applyFill="1" applyBorder="1" applyAlignment="1">
      <alignment horizontal="center" vertical="center"/>
    </xf>
    <xf numFmtId="175" fontId="14" fillId="0" borderId="0" xfId="0" applyNumberFormat="1" applyFont="1" applyAlignment="1">
      <alignment vertical="center"/>
    </xf>
    <xf numFmtId="49" fontId="26" fillId="0" borderId="0" xfId="0" applyNumberFormat="1" applyFont="1" applyAlignment="1">
      <alignment horizontal="right" wrapText="1"/>
    </xf>
    <xf numFmtId="0" fontId="26" fillId="0" borderId="0" xfId="0" applyFont="1" applyAlignment="1">
      <alignment horizontal="right"/>
    </xf>
    <xf numFmtId="49" fontId="26" fillId="0" borderId="0" xfId="0" applyNumberFormat="1" applyFont="1"/>
    <xf numFmtId="1" fontId="26" fillId="3" borderId="0" xfId="0" applyNumberFormat="1" applyFont="1" applyFill="1" applyAlignment="1">
      <alignment horizontal="center" wrapText="1"/>
    </xf>
    <xf numFmtId="4" fontId="33" fillId="0" borderId="0" xfId="0" applyNumberFormat="1" applyFont="1" applyAlignment="1">
      <alignment vertical="center"/>
    </xf>
    <xf numFmtId="0" fontId="14" fillId="0" borderId="0" xfId="0" applyFont="1" applyAlignment="1">
      <alignment vertical="center" wrapText="1"/>
    </xf>
    <xf numFmtId="49" fontId="26" fillId="3" borderId="0" xfId="0" applyNumberFormat="1" applyFont="1" applyFill="1" applyAlignment="1">
      <alignment horizontal="center"/>
    </xf>
    <xf numFmtId="0" fontId="26" fillId="0" borderId="0" xfId="0" applyFont="1" applyAlignment="1">
      <alignment horizontal="center"/>
    </xf>
    <xf numFmtId="49" fontId="26" fillId="0" borderId="0" xfId="0" applyNumberFormat="1" applyFont="1" applyAlignment="1">
      <alignment horizontal="center"/>
    </xf>
    <xf numFmtId="0" fontId="26" fillId="0" borderId="192" xfId="0" applyFont="1" applyBorder="1" applyAlignment="1">
      <alignment horizontal="center" vertical="center"/>
    </xf>
    <xf numFmtId="0" fontId="38" fillId="0" borderId="192" xfId="0" applyFont="1" applyBorder="1" applyAlignment="1">
      <alignment horizontal="left" vertical="center" wrapText="1"/>
    </xf>
    <xf numFmtId="0" fontId="26" fillId="0" borderId="192" xfId="0" applyFont="1" applyBorder="1" applyAlignment="1">
      <alignment horizontal="center" vertical="center" wrapText="1"/>
    </xf>
    <xf numFmtId="165" fontId="26" fillId="0" borderId="192" xfId="0" applyNumberFormat="1" applyFont="1" applyBorder="1" applyAlignment="1">
      <alignment vertical="center"/>
    </xf>
    <xf numFmtId="165" fontId="38" fillId="0" borderId="192" xfId="0" applyNumberFormat="1" applyFont="1" applyBorder="1" applyAlignment="1">
      <alignment vertical="center"/>
    </xf>
    <xf numFmtId="49" fontId="26" fillId="4" borderId="192" xfId="0" applyNumberFormat="1" applyFont="1" applyFill="1" applyBorder="1" applyAlignment="1">
      <alignment horizontal="center" vertical="center"/>
    </xf>
    <xf numFmtId="49" fontId="26" fillId="0" borderId="192" xfId="0" applyNumberFormat="1" applyFont="1" applyBorder="1" applyAlignment="1">
      <alignment horizontal="center" vertical="center"/>
    </xf>
    <xf numFmtId="165" fontId="26" fillId="0" borderId="5" xfId="0" applyNumberFormat="1" applyFont="1" applyBorder="1" applyAlignment="1">
      <alignment vertical="center"/>
    </xf>
    <xf numFmtId="165" fontId="38" fillId="0" borderId="5" xfId="0" applyNumberFormat="1" applyFont="1" applyBorder="1" applyAlignment="1">
      <alignment vertical="center"/>
    </xf>
    <xf numFmtId="49" fontId="26" fillId="4" borderId="5" xfId="0" applyNumberFormat="1" applyFont="1" applyFill="1" applyBorder="1" applyAlignment="1">
      <alignment horizontal="center" vertical="center"/>
    </xf>
    <xf numFmtId="0" fontId="38" fillId="0" borderId="5" xfId="0" applyFont="1" applyBorder="1" applyAlignment="1">
      <alignment horizontal="left" vertical="center" wrapText="1"/>
    </xf>
    <xf numFmtId="0" fontId="26" fillId="0" borderId="198" xfId="0" applyFont="1" applyBorder="1" applyAlignment="1">
      <alignment horizontal="center" vertical="center"/>
    </xf>
    <xf numFmtId="0" fontId="26" fillId="0" borderId="198" xfId="0" applyFont="1" applyBorder="1" applyAlignment="1">
      <alignment horizontal="left" vertical="center" wrapText="1"/>
    </xf>
    <xf numFmtId="0" fontId="26" fillId="0" borderId="198" xfId="0" applyFont="1" applyBorder="1" applyAlignment="1">
      <alignment horizontal="center" vertical="center" wrapText="1"/>
    </xf>
    <xf numFmtId="165" fontId="26" fillId="0" borderId="198" xfId="0" applyNumberFormat="1" applyFont="1" applyBorder="1" applyAlignment="1">
      <alignment vertical="center"/>
    </xf>
    <xf numFmtId="165" fontId="38" fillId="0" borderId="198" xfId="0" applyNumberFormat="1" applyFont="1" applyBorder="1" applyAlignment="1">
      <alignment vertical="center"/>
    </xf>
    <xf numFmtId="49" fontId="26" fillId="4" borderId="198" xfId="0" applyNumberFormat="1" applyFont="1" applyFill="1" applyBorder="1" applyAlignment="1">
      <alignment horizontal="center" vertical="center"/>
    </xf>
    <xf numFmtId="49" fontId="26" fillId="0" borderId="198" xfId="0" applyNumberFormat="1" applyFont="1" applyBorder="1" applyAlignment="1">
      <alignment horizontal="center" vertical="center"/>
    </xf>
    <xf numFmtId="0" fontId="26" fillId="4" borderId="5" xfId="0" applyFont="1" applyFill="1" applyBorder="1" applyAlignment="1">
      <alignment horizontal="center" vertical="center" wrapText="1"/>
    </xf>
    <xf numFmtId="165" fontId="38" fillId="4" borderId="192" xfId="0" applyNumberFormat="1" applyFont="1" applyFill="1" applyBorder="1" applyAlignment="1">
      <alignment vertical="center"/>
    </xf>
    <xf numFmtId="0" fontId="26" fillId="0" borderId="5" xfId="0" applyFont="1" applyBorder="1" applyAlignment="1">
      <alignment horizontal="left" vertical="center" wrapText="1"/>
    </xf>
    <xf numFmtId="165" fontId="26" fillId="4" borderId="5" xfId="0" applyNumberFormat="1" applyFont="1" applyFill="1" applyBorder="1" applyAlignment="1">
      <alignment vertical="center"/>
    </xf>
    <xf numFmtId="165" fontId="38" fillId="4" borderId="5" xfId="0" applyNumberFormat="1" applyFont="1" applyFill="1" applyBorder="1" applyAlignment="1">
      <alignment vertical="center"/>
    </xf>
    <xf numFmtId="0" fontId="25" fillId="3" borderId="5" xfId="0" applyFont="1" applyFill="1" applyBorder="1" applyAlignment="1">
      <alignment horizontal="center" vertical="center" wrapText="1"/>
    </xf>
    <xf numFmtId="0" fontId="25" fillId="3" borderId="5" xfId="0" applyFont="1" applyFill="1" applyBorder="1" applyAlignment="1">
      <alignment horizontal="left" vertical="center" wrapText="1"/>
    </xf>
    <xf numFmtId="0" fontId="26" fillId="0" borderId="5" xfId="0" applyFont="1" applyBorder="1" applyAlignment="1">
      <alignment vertical="center"/>
    </xf>
    <xf numFmtId="0" fontId="26" fillId="4" borderId="192" xfId="0" applyFont="1" applyFill="1" applyBorder="1" applyAlignment="1">
      <alignment horizontal="center" vertical="center" wrapText="1"/>
    </xf>
    <xf numFmtId="165" fontId="26" fillId="4" borderId="192" xfId="0" applyNumberFormat="1" applyFont="1" applyFill="1" applyBorder="1" applyAlignment="1">
      <alignment vertical="center"/>
    </xf>
    <xf numFmtId="0" fontId="25" fillId="4" borderId="5" xfId="0" applyFont="1" applyFill="1" applyBorder="1" applyAlignment="1">
      <alignment horizontal="center" vertical="center" wrapText="1"/>
    </xf>
    <xf numFmtId="0" fontId="25" fillId="4" borderId="5" xfId="0" applyFont="1" applyFill="1" applyBorder="1" applyAlignment="1">
      <alignment vertical="center" wrapText="1"/>
    </xf>
    <xf numFmtId="0" fontId="26" fillId="4" borderId="198" xfId="0" applyFont="1" applyFill="1" applyBorder="1" applyAlignment="1">
      <alignment horizontal="center" vertical="center" wrapText="1"/>
    </xf>
    <xf numFmtId="165" fontId="26" fillId="4" borderId="198" xfId="0" applyNumberFormat="1" applyFont="1" applyFill="1" applyBorder="1" applyAlignment="1">
      <alignment vertical="center"/>
    </xf>
    <xf numFmtId="165" fontId="38" fillId="4" borderId="198" xfId="0" applyNumberFormat="1" applyFont="1" applyFill="1" applyBorder="1" applyAlignment="1">
      <alignment vertical="center"/>
    </xf>
    <xf numFmtId="0" fontId="26" fillId="4" borderId="198" xfId="0" applyFont="1" applyFill="1" applyBorder="1" applyAlignment="1">
      <alignment horizontal="center" vertical="center"/>
    </xf>
    <xf numFmtId="0" fontId="26" fillId="4" borderId="198" xfId="0" applyFont="1" applyFill="1" applyBorder="1" applyAlignment="1">
      <alignment horizontal="left" vertical="center" wrapText="1"/>
    </xf>
    <xf numFmtId="0" fontId="26" fillId="4" borderId="5" xfId="0" applyFont="1" applyFill="1" applyBorder="1" applyAlignment="1">
      <alignment horizontal="center" vertical="center"/>
    </xf>
    <xf numFmtId="0" fontId="25" fillId="4" borderId="5" xfId="0" applyFont="1" applyFill="1" applyBorder="1" applyAlignment="1">
      <alignment horizontal="left" vertical="center" wrapText="1"/>
    </xf>
    <xf numFmtId="0" fontId="26" fillId="4" borderId="5" xfId="0" applyFont="1" applyFill="1" applyBorder="1" applyAlignment="1">
      <alignment horizontal="left" vertical="center" wrapText="1"/>
    </xf>
    <xf numFmtId="0" fontId="38" fillId="4" borderId="192" xfId="0" applyFont="1" applyFill="1" applyBorder="1" applyAlignment="1">
      <alignment horizontal="left" vertical="center" wrapText="1"/>
    </xf>
    <xf numFmtId="0" fontId="38" fillId="0" borderId="192" xfId="0" applyFont="1" applyBorder="1" applyAlignment="1">
      <alignment vertical="center" wrapText="1"/>
    </xf>
    <xf numFmtId="0" fontId="38" fillId="0" borderId="5" xfId="0" applyFont="1" applyBorder="1" applyAlignment="1">
      <alignment vertical="center" wrapText="1"/>
    </xf>
    <xf numFmtId="0" fontId="38" fillId="0" borderId="192" xfId="0" applyFont="1" applyBorder="1" applyAlignment="1">
      <alignment horizontal="center" vertical="center" wrapText="1"/>
    </xf>
    <xf numFmtId="0" fontId="26" fillId="0" borderId="192" xfId="0" applyFont="1" applyBorder="1" applyAlignment="1">
      <alignment horizontal="left" vertical="center" wrapText="1"/>
    </xf>
    <xf numFmtId="0" fontId="40" fillId="4" borderId="0" xfId="0" applyFont="1" applyFill="1" applyAlignment="1">
      <alignment horizontal="right" vertical="center"/>
    </xf>
    <xf numFmtId="0" fontId="40" fillId="4" borderId="0" xfId="0" applyFont="1" applyFill="1" applyAlignment="1">
      <alignment horizontal="center" vertical="center"/>
    </xf>
    <xf numFmtId="0" fontId="40" fillId="4" borderId="0" xfId="0" applyFont="1" applyFill="1" applyAlignment="1">
      <alignment vertical="center" wrapText="1"/>
    </xf>
    <xf numFmtId="49" fontId="40" fillId="4" borderId="0" xfId="0" applyNumberFormat="1" applyFont="1" applyFill="1" applyAlignment="1">
      <alignment horizontal="right" vertical="center"/>
    </xf>
    <xf numFmtId="0" fontId="40" fillId="4" borderId="0" xfId="0" applyFont="1" applyFill="1" applyAlignment="1">
      <alignment vertical="center"/>
    </xf>
    <xf numFmtId="165" fontId="34" fillId="0" borderId="6" xfId="0" applyNumberFormat="1" applyFont="1" applyBorder="1" applyAlignment="1">
      <alignment horizontal="right" vertical="center"/>
    </xf>
    <xf numFmtId="49" fontId="40" fillId="4" borderId="0" xfId="0" applyNumberFormat="1" applyFont="1" applyFill="1" applyAlignment="1">
      <alignment vertical="center"/>
    </xf>
    <xf numFmtId="49" fontId="40" fillId="4" borderId="0" xfId="0" applyNumberFormat="1" applyFont="1" applyFill="1" applyAlignment="1">
      <alignment horizontal="right"/>
    </xf>
    <xf numFmtId="0" fontId="40" fillId="4" borderId="0" xfId="0" applyFont="1" applyFill="1" applyAlignment="1">
      <alignment horizontal="center"/>
    </xf>
    <xf numFmtId="0" fontId="40" fillId="4" borderId="0" xfId="0" applyFont="1" applyFill="1" applyAlignment="1">
      <alignment wrapText="1"/>
    </xf>
    <xf numFmtId="0" fontId="31" fillId="2" borderId="56" xfId="0" applyFont="1" applyFill="1" applyBorder="1" applyAlignment="1">
      <alignment horizontal="center" vertical="center"/>
    </xf>
    <xf numFmtId="0" fontId="35" fillId="2" borderId="57" xfId="0" applyFont="1" applyFill="1" applyBorder="1" applyAlignment="1">
      <alignment horizontal="center" vertical="center"/>
    </xf>
    <xf numFmtId="165" fontId="35" fillId="2" borderId="386" xfId="0" applyNumberFormat="1" applyFont="1" applyFill="1" applyBorder="1" applyAlignment="1">
      <alignment horizontal="right" vertical="center"/>
    </xf>
    <xf numFmtId="0" fontId="31" fillId="0" borderId="0" xfId="0" applyFont="1" applyAlignment="1">
      <alignment horizontal="center" vertical="center"/>
    </xf>
    <xf numFmtId="165" fontId="46" fillId="0" borderId="0" xfId="0" applyNumberFormat="1" applyFont="1" applyAlignment="1">
      <alignment vertical="center"/>
    </xf>
    <xf numFmtId="1" fontId="46" fillId="0" borderId="0" xfId="0" applyNumberFormat="1" applyFont="1" applyAlignment="1">
      <alignment vertical="center"/>
    </xf>
    <xf numFmtId="170" fontId="46" fillId="0" borderId="0" xfId="0" applyNumberFormat="1" applyFont="1" applyAlignment="1">
      <alignment vertical="center"/>
    </xf>
    <xf numFmtId="39" fontId="46" fillId="0" borderId="0" xfId="0" applyNumberFormat="1" applyFont="1" applyAlignment="1">
      <alignment vertical="center"/>
    </xf>
    <xf numFmtId="171" fontId="46" fillId="0" borderId="0" xfId="0" applyNumberFormat="1" applyFont="1" applyAlignment="1">
      <alignment vertical="center"/>
    </xf>
    <xf numFmtId="44" fontId="46" fillId="0" borderId="0" xfId="0" applyNumberFormat="1" applyFont="1" applyAlignment="1">
      <alignment vertical="center"/>
    </xf>
    <xf numFmtId="0" fontId="78" fillId="0" borderId="0" xfId="0" applyFont="1" applyAlignment="1">
      <alignment vertical="center"/>
    </xf>
    <xf numFmtId="0" fontId="38" fillId="0" borderId="206" xfId="0" applyFont="1" applyBorder="1" applyAlignment="1">
      <alignment horizontal="center" vertical="center"/>
    </xf>
    <xf numFmtId="0" fontId="38" fillId="0" borderId="114" xfId="0" applyFont="1" applyBorder="1" applyAlignment="1">
      <alignment horizontal="center" vertical="center"/>
    </xf>
    <xf numFmtId="0" fontId="38" fillId="4" borderId="114" xfId="0" applyFont="1" applyFill="1" applyBorder="1" applyAlignment="1">
      <alignment horizontal="center" vertical="center"/>
    </xf>
    <xf numFmtId="0" fontId="14" fillId="4" borderId="64" xfId="0" applyFont="1" applyFill="1" applyBorder="1" applyAlignment="1">
      <alignment vertical="center"/>
    </xf>
    <xf numFmtId="0" fontId="14" fillId="4" borderId="63" xfId="0" applyFont="1" applyFill="1" applyBorder="1" applyAlignment="1">
      <alignment vertical="center"/>
    </xf>
    <xf numFmtId="0" fontId="38" fillId="4" borderId="221" xfId="0" applyFont="1" applyFill="1" applyBorder="1" applyAlignment="1">
      <alignment horizontal="center" vertical="center"/>
    </xf>
    <xf numFmtId="0" fontId="38" fillId="0" borderId="209" xfId="0" applyFont="1" applyBorder="1" applyAlignment="1">
      <alignment horizontal="center" vertical="center"/>
    </xf>
    <xf numFmtId="0" fontId="38" fillId="0" borderId="5" xfId="0" applyFont="1" applyBorder="1" applyAlignment="1">
      <alignment horizontal="center" vertical="center"/>
    </xf>
    <xf numFmtId="0" fontId="38" fillId="4" borderId="192" xfId="0" applyFont="1" applyFill="1" applyBorder="1" applyAlignment="1">
      <alignment horizontal="center" vertical="center"/>
    </xf>
    <xf numFmtId="0" fontId="11" fillId="0" borderId="62" xfId="0" applyFont="1" applyBorder="1" applyAlignment="1">
      <alignment horizontal="left" vertical="center"/>
    </xf>
    <xf numFmtId="0" fontId="14" fillId="0" borderId="62" xfId="0" applyFont="1" applyBorder="1" applyAlignment="1">
      <alignment horizontal="left" vertical="center"/>
    </xf>
    <xf numFmtId="0" fontId="11" fillId="0" borderId="63" xfId="0" applyFont="1" applyBorder="1" applyAlignment="1">
      <alignment horizontal="left" vertical="center"/>
    </xf>
    <xf numFmtId="0" fontId="14" fillId="0" borderId="63" xfId="0" applyFont="1" applyBorder="1" applyAlignment="1">
      <alignment horizontal="left" vertical="center"/>
    </xf>
    <xf numFmtId="0" fontId="14" fillId="0" borderId="63" xfId="0" applyFont="1" applyBorder="1" applyAlignment="1">
      <alignment vertical="center"/>
    </xf>
    <xf numFmtId="168" fontId="14" fillId="0" borderId="0" xfId="0" applyNumberFormat="1" applyFont="1" applyAlignment="1">
      <alignment vertical="center"/>
    </xf>
    <xf numFmtId="0" fontId="11" fillId="0" borderId="0" xfId="0" applyFont="1" applyAlignment="1">
      <alignment horizontal="center" vertical="center"/>
    </xf>
    <xf numFmtId="0" fontId="14" fillId="4" borderId="0" xfId="0" applyFont="1" applyFill="1" applyAlignment="1">
      <alignment horizontal="right"/>
    </xf>
    <xf numFmtId="0" fontId="14" fillId="4" borderId="0" xfId="0" applyFont="1" applyFill="1" applyAlignment="1">
      <alignment wrapText="1"/>
    </xf>
    <xf numFmtId="165" fontId="14" fillId="0" borderId="0" xfId="0" applyNumberFormat="1" applyFont="1" applyAlignment="1">
      <alignment horizontal="center" vertical="center"/>
    </xf>
    <xf numFmtId="175" fontId="14" fillId="0" borderId="0" xfId="0" applyNumberFormat="1" applyFont="1" applyAlignment="1">
      <alignment horizontal="center" vertical="center"/>
    </xf>
    <xf numFmtId="0" fontId="11" fillId="2" borderId="393" xfId="0" applyFont="1" applyFill="1" applyBorder="1" applyAlignment="1">
      <alignment horizontal="center" vertical="center"/>
    </xf>
    <xf numFmtId="0" fontId="35" fillId="2" borderId="189" xfId="0" applyFont="1" applyFill="1" applyBorder="1" applyAlignment="1">
      <alignment horizontal="center" vertical="center"/>
    </xf>
    <xf numFmtId="0" fontId="11" fillId="0" borderId="0" xfId="0" applyFont="1" applyAlignment="1">
      <alignment horizontal="center" vertical="center"/>
    </xf>
    <xf numFmtId="165" fontId="11" fillId="0" borderId="0" xfId="0" applyNumberFormat="1" applyFont="1" applyAlignment="1">
      <alignment horizontal="right" vertical="center"/>
    </xf>
    <xf numFmtId="168" fontId="14" fillId="0" borderId="0" xfId="0" applyNumberFormat="1" applyFont="1" applyAlignment="1">
      <alignment horizontal="right" vertical="center"/>
    </xf>
    <xf numFmtId="165" fontId="2" fillId="0" borderId="0" xfId="0" applyNumberFormat="1" applyFont="1" applyAlignment="1">
      <alignment vertical="center"/>
    </xf>
    <xf numFmtId="168" fontId="2" fillId="0" borderId="0" xfId="0" applyNumberFormat="1" applyFont="1" applyAlignment="1">
      <alignment vertical="center"/>
    </xf>
    <xf numFmtId="168" fontId="14" fillId="0" borderId="0" xfId="0" applyNumberFormat="1" applyFont="1" applyAlignment="1">
      <alignment horizontal="center" vertical="center"/>
    </xf>
    <xf numFmtId="170" fontId="2" fillId="0" borderId="0" xfId="0" applyNumberFormat="1" applyFont="1" applyAlignment="1">
      <alignment vertical="center"/>
    </xf>
    <xf numFmtId="39" fontId="2" fillId="0" borderId="0" xfId="0" applyNumberFormat="1" applyFont="1" applyAlignment="1">
      <alignment vertical="center"/>
    </xf>
    <xf numFmtId="171" fontId="2" fillId="0" borderId="0" xfId="0" applyNumberFormat="1" applyFont="1" applyAlignment="1">
      <alignment vertical="center"/>
    </xf>
    <xf numFmtId="44" fontId="2" fillId="0" borderId="0" xfId="0" applyNumberFormat="1" applyFont="1" applyAlignment="1">
      <alignment vertical="center"/>
    </xf>
    <xf numFmtId="168" fontId="11" fillId="0" borderId="0" xfId="0" applyNumberFormat="1"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wrapText="1"/>
    </xf>
    <xf numFmtId="0" fontId="81" fillId="4" borderId="0" xfId="0" applyFont="1" applyFill="1" applyAlignment="1">
      <alignment vertical="center"/>
    </xf>
    <xf numFmtId="0" fontId="82" fillId="4" borderId="0" xfId="0" applyFont="1" applyFill="1" applyAlignment="1">
      <alignment vertical="center"/>
    </xf>
    <xf numFmtId="0" fontId="83" fillId="4" borderId="0" xfId="0" applyFont="1" applyFill="1" applyAlignment="1">
      <alignment vertical="center"/>
    </xf>
    <xf numFmtId="0" fontId="84" fillId="4" borderId="0" xfId="0" applyFont="1" applyFill="1" applyAlignment="1">
      <alignment vertical="center"/>
    </xf>
    <xf numFmtId="0" fontId="84" fillId="4" borderId="0" xfId="0" applyFont="1" applyFill="1" applyAlignment="1">
      <alignment vertical="center" wrapText="1"/>
    </xf>
    <xf numFmtId="0" fontId="53" fillId="4" borderId="0" xfId="0" applyFont="1" applyFill="1" applyAlignment="1">
      <alignment horizontal="center" vertical="center"/>
    </xf>
    <xf numFmtId="165" fontId="52" fillId="4" borderId="0" xfId="0" applyNumberFormat="1" applyFont="1" applyFill="1" applyAlignment="1">
      <alignment horizontal="center" vertical="center"/>
    </xf>
    <xf numFmtId="0" fontId="52" fillId="4" borderId="0" xfId="0" applyFont="1" applyFill="1" applyAlignment="1">
      <alignment horizontal="right" vertical="center"/>
    </xf>
    <xf numFmtId="0" fontId="85" fillId="11" borderId="103" xfId="0" applyFont="1" applyFill="1" applyBorder="1" applyAlignment="1">
      <alignment horizontal="center" vertical="center" wrapText="1"/>
    </xf>
    <xf numFmtId="0" fontId="85" fillId="12" borderId="105" xfId="0" applyFont="1" applyFill="1" applyBorder="1" applyAlignment="1">
      <alignment horizontal="center" vertical="center" wrapText="1"/>
    </xf>
    <xf numFmtId="0" fontId="85" fillId="12" borderId="107" xfId="0" applyFont="1" applyFill="1" applyBorder="1" applyAlignment="1">
      <alignment horizontal="center" vertical="center" wrapText="1"/>
    </xf>
    <xf numFmtId="49" fontId="85" fillId="12" borderId="106" xfId="0" applyNumberFormat="1" applyFont="1" applyFill="1" applyBorder="1" applyAlignment="1">
      <alignment horizontal="center" vertical="center" wrapText="1"/>
    </xf>
    <xf numFmtId="0" fontId="87" fillId="0" borderId="110" xfId="0" applyFont="1" applyBorder="1" applyAlignment="1">
      <alignment horizontal="center" vertical="center" wrapText="1"/>
    </xf>
    <xf numFmtId="0" fontId="87" fillId="0" borderId="110" xfId="0" applyFont="1" applyBorder="1" applyAlignment="1">
      <alignment horizontal="center" vertical="center"/>
    </xf>
    <xf numFmtId="0" fontId="87" fillId="0" borderId="24" xfId="0" applyFont="1" applyBorder="1" applyAlignment="1">
      <alignment horizontal="left" vertical="center" wrapText="1"/>
    </xf>
    <xf numFmtId="0" fontId="88" fillId="0" borderId="24" xfId="0" applyFont="1" applyBorder="1" applyAlignment="1">
      <alignment horizontal="center" vertical="center" wrapText="1"/>
    </xf>
    <xf numFmtId="165" fontId="88" fillId="0" borderId="24" xfId="0" applyNumberFormat="1" applyFont="1" applyBorder="1" applyAlignment="1">
      <alignment vertical="center"/>
    </xf>
    <xf numFmtId="165" fontId="87" fillId="0" borderId="24" xfId="0" applyNumberFormat="1" applyFont="1" applyBorder="1" applyAlignment="1">
      <alignment vertical="center"/>
    </xf>
    <xf numFmtId="0" fontId="88" fillId="0" borderId="112" xfId="0" applyFont="1" applyBorder="1" applyAlignment="1">
      <alignment horizontal="center" vertical="center" wrapText="1"/>
    </xf>
    <xf numFmtId="0" fontId="88" fillId="0" borderId="112" xfId="0" applyFont="1" applyBorder="1" applyAlignment="1">
      <alignment horizontal="center" vertical="center"/>
    </xf>
    <xf numFmtId="0" fontId="88" fillId="0" borderId="29" xfId="0" applyFont="1" applyBorder="1" applyAlignment="1">
      <alignment horizontal="center" vertical="center" wrapText="1"/>
    </xf>
    <xf numFmtId="165" fontId="88" fillId="0" borderId="29" xfId="0" applyNumberFormat="1" applyFont="1" applyBorder="1" applyAlignment="1">
      <alignment vertical="center"/>
    </xf>
    <xf numFmtId="165" fontId="87" fillId="0" borderId="29" xfId="0" applyNumberFormat="1" applyFont="1" applyBorder="1" applyAlignment="1">
      <alignment vertical="center"/>
    </xf>
    <xf numFmtId="0" fontId="88" fillId="0" borderId="50" xfId="0" applyFont="1" applyBorder="1" applyAlignment="1">
      <alignment horizontal="center" vertical="center" wrapText="1"/>
    </xf>
    <xf numFmtId="0" fontId="88" fillId="0" borderId="50" xfId="0" applyFont="1" applyBorder="1" applyAlignment="1">
      <alignment horizontal="center" vertical="center"/>
    </xf>
    <xf numFmtId="0" fontId="88" fillId="0" borderId="49" xfId="0" applyFont="1" applyBorder="1" applyAlignment="1">
      <alignment horizontal="left" vertical="center" wrapText="1"/>
    </xf>
    <xf numFmtId="0" fontId="88" fillId="0" borderId="49" xfId="0" applyFont="1" applyBorder="1" applyAlignment="1">
      <alignment horizontal="center" vertical="center" wrapText="1"/>
    </xf>
    <xf numFmtId="165" fontId="88" fillId="0" borderId="49" xfId="0" applyNumberFormat="1" applyFont="1" applyBorder="1" applyAlignment="1">
      <alignment vertical="center"/>
    </xf>
    <xf numFmtId="0" fontId="87" fillId="0" borderId="50" xfId="0" applyFont="1" applyBorder="1" applyAlignment="1">
      <alignment horizontal="center" vertical="center" wrapText="1"/>
    </xf>
    <xf numFmtId="0" fontId="87" fillId="0" borderId="50" xfId="0" applyFont="1" applyBorder="1" applyAlignment="1">
      <alignment horizontal="center" vertical="center"/>
    </xf>
    <xf numFmtId="0" fontId="88" fillId="0" borderId="119" xfId="0" applyFont="1" applyBorder="1" applyAlignment="1">
      <alignment horizontal="center" vertical="center" wrapText="1"/>
    </xf>
    <xf numFmtId="0" fontId="88" fillId="0" borderId="119" xfId="0" applyFont="1" applyBorder="1" applyAlignment="1">
      <alignment horizontal="center" vertical="center"/>
    </xf>
    <xf numFmtId="0" fontId="88" fillId="0" borderId="34" xfId="0" applyFont="1" applyBorder="1" applyAlignment="1">
      <alignment horizontal="left" vertical="center" wrapText="1"/>
    </xf>
    <xf numFmtId="0" fontId="88" fillId="0" borderId="34" xfId="0" applyFont="1" applyBorder="1" applyAlignment="1">
      <alignment horizontal="center" vertical="center" wrapText="1"/>
    </xf>
    <xf numFmtId="165" fontId="88" fillId="0" borderId="34" xfId="0" applyNumberFormat="1" applyFont="1" applyBorder="1" applyAlignment="1">
      <alignment vertical="center"/>
    </xf>
    <xf numFmtId="165" fontId="87" fillId="0" borderId="34" xfId="0" applyNumberFormat="1" applyFont="1" applyBorder="1" applyAlignment="1">
      <alignment vertical="center"/>
    </xf>
    <xf numFmtId="0" fontId="87" fillId="0" borderId="49" xfId="0" applyFont="1" applyBorder="1" applyAlignment="1">
      <alignment horizontal="left" vertical="center" wrapText="1"/>
    </xf>
    <xf numFmtId="165" fontId="87" fillId="0" borderId="49" xfId="0" applyNumberFormat="1" applyFont="1" applyBorder="1" applyAlignment="1">
      <alignment vertical="center"/>
    </xf>
    <xf numFmtId="0" fontId="47" fillId="0" borderId="50" xfId="0" applyFont="1" applyBorder="1" applyAlignment="1">
      <alignment horizontal="left" vertical="center" wrapText="1"/>
    </xf>
    <xf numFmtId="0" fontId="47" fillId="0" borderId="50" xfId="0" applyFont="1" applyBorder="1" applyAlignment="1">
      <alignment horizontal="center" vertical="center"/>
    </xf>
    <xf numFmtId="0" fontId="47" fillId="0" borderId="49" xfId="0" applyFont="1" applyBorder="1" applyAlignment="1">
      <alignment horizontal="left" vertical="center" wrapText="1"/>
    </xf>
    <xf numFmtId="165" fontId="88" fillId="0" borderId="26" xfId="0" applyNumberFormat="1" applyFont="1" applyBorder="1" applyAlignment="1">
      <alignment vertical="center"/>
    </xf>
    <xf numFmtId="0" fontId="87" fillId="0" borderId="112" xfId="0" applyFont="1" applyBorder="1" applyAlignment="1">
      <alignment horizontal="left" vertical="center" wrapText="1"/>
    </xf>
    <xf numFmtId="0" fontId="32" fillId="0" borderId="29" xfId="0" applyFont="1" applyBorder="1" applyAlignment="1">
      <alignment horizontal="center" vertical="center" wrapText="1"/>
    </xf>
    <xf numFmtId="165" fontId="88" fillId="0" borderId="231" xfId="0" applyNumberFormat="1" applyFont="1" applyBorder="1" applyAlignment="1">
      <alignment vertical="center"/>
    </xf>
    <xf numFmtId="165" fontId="87" fillId="0" borderId="112" xfId="0" applyNumberFormat="1" applyFont="1" applyBorder="1" applyAlignment="1">
      <alignment vertical="center"/>
    </xf>
    <xf numFmtId="0" fontId="14" fillId="0" borderId="29" xfId="0" applyFont="1" applyBorder="1" applyAlignment="1">
      <alignment horizontal="center" vertical="center" wrapText="1"/>
    </xf>
    <xf numFmtId="0" fontId="30" fillId="0" borderId="29" xfId="0" applyFont="1" applyBorder="1" applyAlignment="1">
      <alignment horizontal="center" vertical="center" wrapText="1"/>
    </xf>
    <xf numFmtId="0" fontId="88" fillId="0" borderId="115" xfId="0" applyFont="1" applyBorder="1" applyAlignment="1">
      <alignment horizontal="center" vertical="center"/>
    </xf>
    <xf numFmtId="0" fontId="88" fillId="0" borderId="42" xfId="0" applyFont="1" applyBorder="1" applyAlignment="1">
      <alignment horizontal="left" vertical="center" wrapText="1"/>
    </xf>
    <xf numFmtId="0" fontId="88" fillId="0" borderId="42" xfId="0" applyFont="1" applyBorder="1" applyAlignment="1">
      <alignment horizontal="center" vertical="center" wrapText="1"/>
    </xf>
    <xf numFmtId="165" fontId="88" fillId="0" borderId="42" xfId="0" applyNumberFormat="1" applyFont="1" applyBorder="1" applyAlignment="1">
      <alignment vertical="center"/>
    </xf>
    <xf numFmtId="165" fontId="87" fillId="0" borderId="42" xfId="0" applyNumberFormat="1" applyFont="1" applyBorder="1" applyAlignment="1">
      <alignment vertical="center"/>
    </xf>
    <xf numFmtId="0" fontId="47" fillId="0" borderId="112" xfId="0" applyFont="1" applyBorder="1" applyAlignment="1">
      <alignment horizontal="left" vertical="center" wrapText="1"/>
    </xf>
    <xf numFmtId="0" fontId="47" fillId="0" borderId="122" xfId="0" applyFont="1" applyBorder="1" applyAlignment="1">
      <alignment horizontal="center" vertical="center"/>
    </xf>
    <xf numFmtId="0" fontId="88" fillId="0" borderId="122" xfId="0" applyFont="1" applyBorder="1" applyAlignment="1">
      <alignment horizontal="center" vertical="center"/>
    </xf>
    <xf numFmtId="0" fontId="47" fillId="0" borderId="39" xfId="0" applyFont="1" applyBorder="1" applyAlignment="1">
      <alignment horizontal="left" vertical="center" wrapText="1"/>
    </xf>
    <xf numFmtId="0" fontId="88" fillId="0" borderId="39" xfId="0" applyFont="1" applyBorder="1" applyAlignment="1">
      <alignment horizontal="center" vertical="center" wrapText="1"/>
    </xf>
    <xf numFmtId="165" fontId="88" fillId="0" borderId="39" xfId="0" applyNumberFormat="1" applyFont="1" applyBorder="1" applyAlignment="1">
      <alignment vertical="center"/>
    </xf>
    <xf numFmtId="165" fontId="88" fillId="0" borderId="36" xfId="0" applyNumberFormat="1" applyFont="1" applyBorder="1" applyAlignment="1">
      <alignment vertical="center"/>
    </xf>
    <xf numFmtId="165" fontId="87" fillId="0" borderId="39" xfId="0" applyNumberFormat="1" applyFont="1" applyBorder="1" applyAlignment="1">
      <alignment vertical="center"/>
    </xf>
    <xf numFmtId="165" fontId="32" fillId="0" borderId="231" xfId="0" applyNumberFormat="1" applyFont="1" applyBorder="1" applyAlignment="1">
      <alignment vertical="center"/>
    </xf>
    <xf numFmtId="165" fontId="88" fillId="0" borderId="31" xfId="0" applyNumberFormat="1" applyFont="1" applyBorder="1" applyAlignment="1">
      <alignment vertical="center"/>
    </xf>
    <xf numFmtId="0" fontId="87" fillId="0" borderId="112" xfId="0" applyFont="1" applyBorder="1" applyAlignment="1">
      <alignment horizontal="center" vertical="center"/>
    </xf>
    <xf numFmtId="0" fontId="87" fillId="0" borderId="29" xfId="0" applyFont="1" applyBorder="1" applyAlignment="1">
      <alignment horizontal="left" vertical="center" wrapText="1"/>
    </xf>
    <xf numFmtId="49" fontId="14" fillId="0" borderId="29" xfId="0" applyNumberFormat="1" applyFont="1" applyBorder="1" applyAlignment="1">
      <alignment horizontal="center" vertical="center"/>
    </xf>
    <xf numFmtId="0" fontId="47" fillId="0" borderId="112" xfId="0" applyFont="1" applyBorder="1" applyAlignment="1">
      <alignment horizontal="center" vertical="center"/>
    </xf>
    <xf numFmtId="0" fontId="32" fillId="0" borderId="29" xfId="0" applyFont="1" applyBorder="1" applyAlignment="1">
      <alignment horizontal="left" vertical="center" wrapText="1"/>
    </xf>
    <xf numFmtId="0" fontId="47" fillId="0" borderId="119" xfId="0" applyFont="1" applyBorder="1" applyAlignment="1">
      <alignment horizontal="center" vertical="center"/>
    </xf>
    <xf numFmtId="0" fontId="87" fillId="0" borderId="119" xfId="0" applyFont="1" applyBorder="1" applyAlignment="1">
      <alignment horizontal="center" vertical="center"/>
    </xf>
    <xf numFmtId="0" fontId="47" fillId="0" borderId="34" xfId="0" applyFont="1" applyBorder="1" applyAlignment="1">
      <alignment horizontal="left" vertical="center" wrapText="1"/>
    </xf>
    <xf numFmtId="0" fontId="87" fillId="0" borderId="34" xfId="0" applyFont="1" applyBorder="1" applyAlignment="1">
      <alignment horizontal="left" vertical="center" wrapText="1"/>
    </xf>
    <xf numFmtId="0" fontId="14" fillId="0" borderId="49" xfId="0" applyFont="1" applyBorder="1" applyAlignment="1">
      <alignment horizontal="center" vertical="center" wrapText="1"/>
    </xf>
    <xf numFmtId="0" fontId="32" fillId="0" borderId="231" xfId="0" applyFont="1" applyBorder="1" applyAlignment="1">
      <alignment horizontal="center" vertical="center" wrapText="1"/>
    </xf>
    <xf numFmtId="0" fontId="87" fillId="0" borderId="119" xfId="0" applyFont="1" applyBorder="1" applyAlignment="1">
      <alignment horizontal="left" vertical="center" wrapText="1"/>
    </xf>
    <xf numFmtId="0" fontId="87" fillId="0" borderId="39" xfId="0" applyFont="1" applyBorder="1" applyAlignment="1">
      <alignment horizontal="left" vertical="center" wrapText="1"/>
    </xf>
    <xf numFmtId="0" fontId="87" fillId="0" borderId="122" xfId="0" applyFont="1" applyBorder="1" applyAlignment="1">
      <alignment horizontal="center" vertical="center" wrapText="1"/>
    </xf>
    <xf numFmtId="0" fontId="87" fillId="0" borderId="122" xfId="0" applyFont="1" applyBorder="1" applyAlignment="1">
      <alignment horizontal="center" vertical="center"/>
    </xf>
    <xf numFmtId="0" fontId="87" fillId="0" borderId="122" xfId="0" applyFont="1" applyBorder="1" applyAlignment="1">
      <alignment horizontal="left" vertical="center" wrapText="1"/>
    </xf>
    <xf numFmtId="0" fontId="65" fillId="2" borderId="409" xfId="0" applyFont="1" applyFill="1" applyBorder="1" applyAlignment="1">
      <alignment vertical="center" textRotation="90" wrapText="1"/>
    </xf>
    <xf numFmtId="0" fontId="44" fillId="2" borderId="164" xfId="0" applyFont="1" applyFill="1" applyBorder="1" applyAlignment="1">
      <alignment vertical="center" wrapText="1"/>
    </xf>
    <xf numFmtId="39" fontId="44" fillId="2" borderId="164" xfId="0" applyNumberFormat="1" applyFont="1" applyFill="1" applyBorder="1" applyAlignment="1">
      <alignment horizontal="right" vertical="center"/>
    </xf>
    <xf numFmtId="4" fontId="87" fillId="2" borderId="164" xfId="0" applyNumberFormat="1" applyFont="1" applyFill="1" applyBorder="1" applyAlignment="1">
      <alignment horizontal="right" vertical="center" wrapText="1"/>
    </xf>
    <xf numFmtId="165" fontId="87" fillId="2" borderId="186" xfId="0" applyNumberFormat="1" applyFont="1" applyFill="1" applyBorder="1" applyAlignment="1">
      <alignment horizontal="right" vertical="center"/>
    </xf>
    <xf numFmtId="0" fontId="87" fillId="0" borderId="23" xfId="0" applyFont="1" applyBorder="1" applyAlignment="1">
      <alignment horizontal="center" vertical="center" wrapText="1"/>
    </xf>
    <xf numFmtId="0" fontId="88" fillId="0" borderId="28" xfId="0" applyFont="1" applyBorder="1" applyAlignment="1">
      <alignment horizontal="center" vertical="center" wrapText="1"/>
    </xf>
    <xf numFmtId="0" fontId="88" fillId="0" borderId="40" xfId="0" applyFont="1" applyBorder="1" applyAlignment="1">
      <alignment horizontal="center" vertical="center" wrapText="1"/>
    </xf>
    <xf numFmtId="0" fontId="87" fillId="0" borderId="40" xfId="0" applyFont="1" applyBorder="1" applyAlignment="1">
      <alignment horizontal="center" vertical="center" wrapText="1"/>
    </xf>
    <xf numFmtId="0" fontId="88" fillId="0" borderId="25" xfId="0" applyFont="1" applyBorder="1" applyAlignment="1">
      <alignment horizontal="center" vertical="center" wrapText="1"/>
    </xf>
    <xf numFmtId="0" fontId="88" fillId="0" borderId="109" xfId="0" applyFont="1" applyBorder="1" applyAlignment="1">
      <alignment horizontal="center" vertical="center"/>
    </xf>
    <xf numFmtId="0" fontId="88" fillId="0" borderId="26" xfId="0" applyFont="1" applyBorder="1" applyAlignment="1">
      <alignment horizontal="center" vertical="center" wrapText="1"/>
    </xf>
    <xf numFmtId="0" fontId="88" fillId="0" borderId="33" xfId="0" applyFont="1" applyBorder="1" applyAlignment="1">
      <alignment horizontal="center" vertical="center" wrapText="1"/>
    </xf>
    <xf numFmtId="0" fontId="47" fillId="0" borderId="40" xfId="0" applyFont="1" applyBorder="1" applyAlignment="1">
      <alignment horizontal="center" vertical="center" wrapText="1"/>
    </xf>
    <xf numFmtId="0" fontId="88" fillId="0" borderId="29" xfId="0" applyFont="1" applyBorder="1" applyAlignment="1">
      <alignment horizontal="left" vertical="center" wrapText="1"/>
    </xf>
    <xf numFmtId="0" fontId="87" fillId="0" borderId="38" xfId="0" applyFont="1" applyBorder="1" applyAlignment="1">
      <alignment horizontal="center" vertical="center" wrapText="1"/>
    </xf>
    <xf numFmtId="0" fontId="56" fillId="0" borderId="401" xfId="0" applyFont="1" applyBorder="1" applyAlignment="1">
      <alignment horizontal="center" vertical="center" wrapText="1"/>
    </xf>
    <xf numFmtId="165" fontId="87" fillId="0" borderId="26" xfId="0" applyNumberFormat="1" applyFont="1" applyBorder="1" applyAlignment="1">
      <alignment vertical="center"/>
    </xf>
    <xf numFmtId="0" fontId="88" fillId="0" borderId="30" xfId="0" applyFont="1" applyBorder="1" applyAlignment="1">
      <alignment horizontal="center" vertical="center" wrapText="1"/>
    </xf>
    <xf numFmtId="0" fontId="88" fillId="0" borderId="116" xfId="0" applyFont="1" applyBorder="1" applyAlignment="1">
      <alignment horizontal="center" vertical="center"/>
    </xf>
    <xf numFmtId="0" fontId="87" fillId="4" borderId="38" xfId="0" applyFont="1" applyFill="1" applyBorder="1" applyAlignment="1">
      <alignment horizontal="center" vertical="center" wrapText="1"/>
    </xf>
    <xf numFmtId="0" fontId="87" fillId="4" borderId="122" xfId="0" applyFont="1" applyFill="1" applyBorder="1" applyAlignment="1">
      <alignment horizontal="center" vertical="center"/>
    </xf>
    <xf numFmtId="0" fontId="47" fillId="4" borderId="36" xfId="0" applyFont="1" applyFill="1" applyBorder="1" applyAlignment="1">
      <alignment horizontal="left" vertical="center" wrapText="1"/>
    </xf>
    <xf numFmtId="0" fontId="88" fillId="4" borderId="36" xfId="0" applyFont="1" applyFill="1" applyBorder="1" applyAlignment="1">
      <alignment horizontal="center" vertical="center" wrapText="1"/>
    </xf>
    <xf numFmtId="165" fontId="88" fillId="4" borderId="36" xfId="0" applyNumberFormat="1" applyFont="1" applyFill="1" applyBorder="1" applyAlignment="1">
      <alignment vertical="center"/>
    </xf>
    <xf numFmtId="2" fontId="88" fillId="4" borderId="36" xfId="0" applyNumberFormat="1" applyFont="1" applyFill="1" applyBorder="1" applyAlignment="1">
      <alignment vertical="center"/>
    </xf>
    <xf numFmtId="165" fontId="87" fillId="4" borderId="36" xfId="0" applyNumberFormat="1" applyFont="1" applyFill="1" applyBorder="1" applyAlignment="1">
      <alignment vertical="center"/>
    </xf>
    <xf numFmtId="0" fontId="88" fillId="4" borderId="40" xfId="0" applyFont="1" applyFill="1" applyBorder="1" applyAlignment="1">
      <alignment horizontal="center" vertical="center" wrapText="1"/>
    </xf>
    <xf numFmtId="0" fontId="87" fillId="4" borderId="50" xfId="0" applyFont="1" applyFill="1" applyBorder="1" applyAlignment="1">
      <alignment horizontal="center" vertical="center"/>
    </xf>
    <xf numFmtId="0" fontId="88" fillId="4" borderId="413" xfId="0" applyFont="1" applyFill="1" applyBorder="1" applyAlignment="1">
      <alignment horizontal="center" vertical="center"/>
    </xf>
    <xf numFmtId="0" fontId="88" fillId="4" borderId="254" xfId="0" applyFont="1" applyFill="1" applyBorder="1" applyAlignment="1">
      <alignment horizontal="left" vertical="center" wrapText="1"/>
    </xf>
    <xf numFmtId="0" fontId="88" fillId="4" borderId="254" xfId="0" applyFont="1" applyFill="1" applyBorder="1" applyAlignment="1">
      <alignment horizontal="center" vertical="center" wrapText="1"/>
    </xf>
    <xf numFmtId="165" fontId="88" fillId="4" borderId="254" xfId="0" applyNumberFormat="1" applyFont="1" applyFill="1" applyBorder="1" applyAlignment="1">
      <alignment vertical="center"/>
    </xf>
    <xf numFmtId="2" fontId="88" fillId="4" borderId="254" xfId="0" applyNumberFormat="1" applyFont="1" applyFill="1" applyBorder="1" applyAlignment="1">
      <alignment vertical="center"/>
    </xf>
    <xf numFmtId="165" fontId="87" fillId="4" borderId="254" xfId="0" applyNumberFormat="1" applyFont="1" applyFill="1" applyBorder="1" applyAlignment="1">
      <alignment vertical="center"/>
    </xf>
    <xf numFmtId="0" fontId="26" fillId="4" borderId="50" xfId="0" applyFont="1" applyFill="1" applyBorder="1" applyAlignment="1">
      <alignment horizontal="center" vertical="center" wrapText="1"/>
    </xf>
    <xf numFmtId="0" fontId="36" fillId="0" borderId="254" xfId="0" applyFont="1" applyBorder="1" applyAlignment="1">
      <alignment horizontal="left" vertical="center" wrapText="1"/>
    </xf>
    <xf numFmtId="0" fontId="77" fillId="0" borderId="254" xfId="0" applyFont="1" applyBorder="1" applyAlignment="1">
      <alignment horizontal="center" vertical="center" wrapText="1"/>
    </xf>
    <xf numFmtId="0" fontId="73" fillId="0" borderId="254" xfId="0" applyFont="1" applyBorder="1" applyAlignment="1">
      <alignment horizontal="center" vertical="center" wrapText="1"/>
    </xf>
    <xf numFmtId="165" fontId="77" fillId="0" borderId="254" xfId="0" applyNumberFormat="1" applyFont="1" applyBorder="1" applyAlignment="1">
      <alignment horizontal="center" vertical="center"/>
    </xf>
    <xf numFmtId="165" fontId="80" fillId="0" borderId="254" xfId="0" applyNumberFormat="1" applyFont="1" applyBorder="1" applyAlignment="1">
      <alignment horizontal="center" vertical="center"/>
    </xf>
    <xf numFmtId="0" fontId="88" fillId="4" borderId="50" xfId="0" applyFont="1" applyFill="1" applyBorder="1" applyAlignment="1">
      <alignment horizontal="center" vertical="center"/>
    </xf>
    <xf numFmtId="0" fontId="87" fillId="4" borderId="49" xfId="0" applyFont="1" applyFill="1" applyBorder="1" applyAlignment="1">
      <alignment horizontal="left" vertical="center" wrapText="1"/>
    </xf>
    <xf numFmtId="0" fontId="88" fillId="4" borderId="49" xfId="0" applyFont="1" applyFill="1" applyBorder="1" applyAlignment="1">
      <alignment horizontal="center" vertical="center" wrapText="1"/>
    </xf>
    <xf numFmtId="165" fontId="88" fillId="4" borderId="49" xfId="0" applyNumberFormat="1" applyFont="1" applyFill="1" applyBorder="1" applyAlignment="1">
      <alignment vertical="center"/>
    </xf>
    <xf numFmtId="2" fontId="88" fillId="4" borderId="49" xfId="0" applyNumberFormat="1" applyFont="1" applyFill="1" applyBorder="1" applyAlignment="1">
      <alignment vertical="center"/>
    </xf>
    <xf numFmtId="165" fontId="87" fillId="4" borderId="49" xfId="0" applyNumberFormat="1" applyFont="1" applyFill="1" applyBorder="1" applyAlignment="1">
      <alignment vertical="center"/>
    </xf>
    <xf numFmtId="0" fontId="87" fillId="4" borderId="112" xfId="0" applyFont="1" applyFill="1" applyBorder="1" applyAlignment="1">
      <alignment horizontal="center" vertical="center"/>
    </xf>
    <xf numFmtId="0" fontId="88" fillId="4" borderId="112" xfId="0" applyFont="1" applyFill="1" applyBorder="1" applyAlignment="1">
      <alignment horizontal="center" vertical="center"/>
    </xf>
    <xf numFmtId="0" fontId="87" fillId="4" borderId="29" xfId="0" applyFont="1" applyFill="1" applyBorder="1" applyAlignment="1">
      <alignment horizontal="left" vertical="center" wrapText="1"/>
    </xf>
    <xf numFmtId="0" fontId="88" fillId="4" borderId="29" xfId="0" applyFont="1" applyFill="1" applyBorder="1" applyAlignment="1">
      <alignment horizontal="center" vertical="center" wrapText="1"/>
    </xf>
    <xf numFmtId="165" fontId="88" fillId="4" borderId="29" xfId="0" applyNumberFormat="1" applyFont="1" applyFill="1" applyBorder="1" applyAlignment="1">
      <alignment vertical="center"/>
    </xf>
    <xf numFmtId="2" fontId="88" fillId="4" borderId="29" xfId="0" applyNumberFormat="1" applyFont="1" applyFill="1" applyBorder="1" applyAlignment="1">
      <alignment vertical="center"/>
    </xf>
    <xf numFmtId="165" fontId="87" fillId="4" borderId="29" xfId="0" applyNumberFormat="1" applyFont="1" applyFill="1" applyBorder="1" applyAlignment="1">
      <alignment vertical="center"/>
    </xf>
    <xf numFmtId="0" fontId="87" fillId="4" borderId="308" xfId="0" applyFont="1" applyFill="1" applyBorder="1" applyAlignment="1">
      <alignment horizontal="center" vertical="center"/>
    </xf>
    <xf numFmtId="0" fontId="88" fillId="4" borderId="46" xfId="0" applyFont="1" applyFill="1" applyBorder="1" applyAlignment="1">
      <alignment horizontal="left" vertical="center" wrapText="1"/>
    </xf>
    <xf numFmtId="0" fontId="88" fillId="4" borderId="308" xfId="0" applyFont="1" applyFill="1" applyBorder="1" applyAlignment="1">
      <alignment horizontal="center" vertical="center"/>
    </xf>
    <xf numFmtId="0" fontId="87" fillId="4" borderId="46" xfId="0" applyFont="1" applyFill="1" applyBorder="1" applyAlignment="1">
      <alignment horizontal="left" vertical="center" wrapText="1"/>
    </xf>
    <xf numFmtId="0" fontId="87" fillId="4" borderId="414" xfId="0" applyFont="1" applyFill="1" applyBorder="1" applyAlignment="1">
      <alignment horizontal="center" vertical="center" wrapText="1"/>
    </xf>
    <xf numFmtId="0" fontId="87" fillId="4" borderId="40" xfId="0" applyFont="1" applyFill="1" applyBorder="1" applyAlignment="1">
      <alignment horizontal="center" vertical="center" wrapText="1"/>
    </xf>
    <xf numFmtId="0" fontId="88" fillId="4" borderId="49" xfId="0" applyFont="1" applyFill="1" applyBorder="1" applyAlignment="1">
      <alignment horizontal="left" vertical="center" wrapText="1"/>
    </xf>
    <xf numFmtId="0" fontId="87" fillId="4" borderId="25" xfId="0" applyFont="1" applyFill="1" applyBorder="1" applyAlignment="1">
      <alignment horizontal="center" vertical="center" wrapText="1"/>
    </xf>
    <xf numFmtId="0" fontId="87" fillId="4" borderId="109" xfId="0" applyFont="1" applyFill="1" applyBorder="1" applyAlignment="1">
      <alignment horizontal="center" vertical="center"/>
    </xf>
    <xf numFmtId="165" fontId="87" fillId="4" borderId="42" xfId="0" applyNumberFormat="1" applyFont="1" applyFill="1" applyBorder="1" applyAlignment="1">
      <alignment vertical="center"/>
    </xf>
    <xf numFmtId="0" fontId="87" fillId="4" borderId="415" xfId="0" applyFont="1" applyFill="1" applyBorder="1" applyAlignment="1">
      <alignment horizontal="center" vertical="center"/>
    </xf>
    <xf numFmtId="0" fontId="87" fillId="4" borderId="175" xfId="0" applyFont="1" applyFill="1" applyBorder="1" applyAlignment="1">
      <alignment horizontal="left" vertical="center" wrapText="1"/>
    </xf>
    <xf numFmtId="0" fontId="87" fillId="4" borderId="26" xfId="0" applyFont="1" applyFill="1" applyBorder="1" applyAlignment="1">
      <alignment horizontal="left" vertical="center" wrapText="1"/>
    </xf>
    <xf numFmtId="0" fontId="88" fillId="4" borderId="26" xfId="0" applyFont="1" applyFill="1" applyBorder="1" applyAlignment="1">
      <alignment horizontal="center" vertical="center" wrapText="1"/>
    </xf>
    <xf numFmtId="2" fontId="88" fillId="4" borderId="0" xfId="0" applyNumberFormat="1" applyFont="1" applyFill="1" applyAlignment="1">
      <alignment vertical="center"/>
    </xf>
    <xf numFmtId="0" fontId="88" fillId="4" borderId="175" xfId="0" applyFont="1" applyFill="1" applyBorder="1" applyAlignment="1">
      <alignment horizontal="left" vertical="center" wrapText="1"/>
    </xf>
    <xf numFmtId="0" fontId="87" fillId="4" borderId="30" xfId="0" applyFont="1" applyFill="1" applyBorder="1" applyAlignment="1">
      <alignment horizontal="center" vertical="center" wrapText="1"/>
    </xf>
    <xf numFmtId="0" fontId="87" fillId="4" borderId="116" xfId="0" applyFont="1" applyFill="1" applyBorder="1" applyAlignment="1">
      <alignment horizontal="center" vertical="center"/>
    </xf>
    <xf numFmtId="0" fontId="88" fillId="4" borderId="31" xfId="0" applyFont="1" applyFill="1" applyBorder="1" applyAlignment="1">
      <alignment horizontal="left" vertical="center" wrapText="1"/>
    </xf>
    <xf numFmtId="0" fontId="88" fillId="4" borderId="31" xfId="0" applyFont="1" applyFill="1" applyBorder="1" applyAlignment="1">
      <alignment horizontal="center" vertical="center" wrapText="1"/>
    </xf>
    <xf numFmtId="165" fontId="88" fillId="4" borderId="31" xfId="0" applyNumberFormat="1" applyFont="1" applyFill="1" applyBorder="1" applyAlignment="1">
      <alignment vertical="center"/>
    </xf>
    <xf numFmtId="165" fontId="87" fillId="4" borderId="34" xfId="0" applyNumberFormat="1" applyFont="1" applyFill="1" applyBorder="1" applyAlignment="1">
      <alignment vertical="center"/>
    </xf>
    <xf numFmtId="0" fontId="88" fillId="4" borderId="26" xfId="0" applyFont="1" applyFill="1" applyBorder="1" applyAlignment="1">
      <alignment horizontal="left" vertical="center" wrapText="1"/>
    </xf>
    <xf numFmtId="165" fontId="88" fillId="4" borderId="26" xfId="0" applyNumberFormat="1" applyFont="1" applyFill="1" applyBorder="1" applyAlignment="1">
      <alignment vertical="center"/>
    </xf>
    <xf numFmtId="0" fontId="88" fillId="4" borderId="0" xfId="0" applyFont="1" applyFill="1" applyAlignment="1">
      <alignment vertical="center"/>
    </xf>
    <xf numFmtId="165" fontId="87" fillId="4" borderId="26" xfId="0" applyNumberFormat="1" applyFont="1" applyFill="1" applyBorder="1" applyAlignment="1">
      <alignment vertical="center"/>
    </xf>
    <xf numFmtId="0" fontId="26" fillId="4" borderId="26" xfId="0" applyFont="1" applyFill="1" applyBorder="1" applyAlignment="1">
      <alignment horizontal="center" vertical="center" wrapText="1"/>
    </xf>
    <xf numFmtId="49" fontId="26" fillId="4" borderId="26" xfId="0" applyNumberFormat="1" applyFont="1" applyFill="1" applyBorder="1" applyAlignment="1">
      <alignment horizontal="center" vertical="center"/>
    </xf>
    <xf numFmtId="165" fontId="87" fillId="4" borderId="46" xfId="0" applyNumberFormat="1" applyFont="1" applyFill="1" applyBorder="1" applyAlignment="1">
      <alignment vertical="center"/>
    </xf>
    <xf numFmtId="0" fontId="88" fillId="4" borderId="414" xfId="0" applyFont="1" applyFill="1" applyBorder="1" applyAlignment="1">
      <alignment horizontal="center" vertical="center" wrapText="1"/>
    </xf>
    <xf numFmtId="3" fontId="26" fillId="4" borderId="29" xfId="0" applyNumberFormat="1" applyFont="1" applyFill="1" applyBorder="1" applyAlignment="1">
      <alignment horizontal="center" vertical="center" wrapText="1"/>
    </xf>
    <xf numFmtId="0" fontId="88" fillId="4" borderId="332" xfId="0" applyFont="1" applyFill="1" applyBorder="1" applyAlignment="1">
      <alignment horizontal="center" vertical="center"/>
    </xf>
    <xf numFmtId="4" fontId="26" fillId="4" borderId="34" xfId="0" applyNumberFormat="1" applyFont="1" applyFill="1" applyBorder="1" applyAlignment="1">
      <alignment horizontal="center" vertical="center" wrapText="1"/>
    </xf>
    <xf numFmtId="4" fontId="26" fillId="4" borderId="49" xfId="0" applyNumberFormat="1" applyFont="1" applyFill="1" applyBorder="1" applyAlignment="1">
      <alignment horizontal="center" vertical="center" wrapText="1"/>
    </xf>
    <xf numFmtId="0" fontId="88" fillId="4" borderId="25" xfId="0" applyFont="1" applyFill="1" applyBorder="1" applyAlignment="1">
      <alignment horizontal="center" vertical="center" wrapText="1"/>
    </xf>
    <xf numFmtId="4" fontId="26" fillId="4" borderId="29" xfId="0" applyNumberFormat="1" applyFont="1" applyFill="1" applyBorder="1" applyAlignment="1">
      <alignment horizontal="center" vertical="center" wrapText="1"/>
    </xf>
    <xf numFmtId="3" fontId="26" fillId="4" borderId="42" xfId="0" applyNumberFormat="1" applyFont="1" applyFill="1" applyBorder="1" applyAlignment="1">
      <alignment horizontal="center" vertical="center" wrapText="1"/>
    </xf>
    <xf numFmtId="165" fontId="88" fillId="4" borderId="42" xfId="0" applyNumberFormat="1" applyFont="1" applyFill="1" applyBorder="1" applyAlignment="1">
      <alignment vertical="center"/>
    </xf>
    <xf numFmtId="0" fontId="87" fillId="4" borderId="35" xfId="0" applyFont="1" applyFill="1" applyBorder="1" applyAlignment="1">
      <alignment horizontal="center" vertical="center" wrapText="1"/>
    </xf>
    <xf numFmtId="0" fontId="88" fillId="4" borderId="415" xfId="0" applyFont="1" applyFill="1" applyBorder="1" applyAlignment="1">
      <alignment horizontal="center" vertical="center"/>
    </xf>
    <xf numFmtId="0" fontId="88" fillId="4" borderId="109" xfId="0" applyFont="1" applyFill="1" applyBorder="1" applyAlignment="1">
      <alignment horizontal="center" vertical="center"/>
    </xf>
    <xf numFmtId="0" fontId="88" fillId="4" borderId="42" xfId="0" applyFont="1" applyFill="1" applyBorder="1" applyAlignment="1">
      <alignment horizontal="center" vertical="center" wrapText="1"/>
    </xf>
    <xf numFmtId="0" fontId="88" fillId="4" borderId="223" xfId="0" applyFont="1" applyFill="1" applyBorder="1" applyAlignment="1">
      <alignment horizontal="center" vertical="center" wrapText="1"/>
    </xf>
    <xf numFmtId="0" fontId="87" fillId="4" borderId="0" xfId="0" applyFont="1" applyFill="1" applyAlignment="1">
      <alignment horizontal="center" vertical="center"/>
    </xf>
    <xf numFmtId="165" fontId="87" fillId="4" borderId="115" xfId="0" applyNumberFormat="1" applyFont="1" applyFill="1" applyBorder="1" applyAlignment="1">
      <alignment vertical="center"/>
    </xf>
    <xf numFmtId="0" fontId="88" fillId="4" borderId="416" xfId="0" applyFont="1" applyFill="1" applyBorder="1" applyAlignment="1">
      <alignment horizontal="center" vertical="center" wrapText="1"/>
    </xf>
    <xf numFmtId="0" fontId="88" fillId="4" borderId="117" xfId="0" applyFont="1" applyFill="1" applyBorder="1" applyAlignment="1">
      <alignment vertical="center"/>
    </xf>
    <xf numFmtId="0" fontId="88" fillId="4" borderId="117" xfId="0" applyFont="1" applyFill="1" applyBorder="1" applyAlignment="1">
      <alignment horizontal="center" vertical="center"/>
    </xf>
    <xf numFmtId="165" fontId="87" fillId="4" borderId="119" xfId="0" applyNumberFormat="1" applyFont="1" applyFill="1" applyBorder="1" applyAlignment="1">
      <alignment vertical="center"/>
    </xf>
    <xf numFmtId="176" fontId="87" fillId="2" borderId="186" xfId="0" applyNumberFormat="1" applyFont="1" applyFill="1" applyBorder="1" applyAlignment="1">
      <alignment horizontal="right" vertical="center"/>
    </xf>
    <xf numFmtId="0" fontId="87" fillId="0" borderId="5" xfId="0" applyFont="1" applyBorder="1" applyAlignment="1">
      <alignment horizontal="center" vertical="center" wrapText="1"/>
    </xf>
    <xf numFmtId="0" fontId="87" fillId="0" borderId="5" xfId="0" applyFont="1" applyBorder="1" applyAlignment="1">
      <alignment horizontal="center" vertical="center"/>
    </xf>
    <xf numFmtId="0" fontId="87" fillId="0" borderId="5" xfId="0" applyFont="1" applyBorder="1" applyAlignment="1">
      <alignment horizontal="left" vertical="center" wrapText="1"/>
    </xf>
    <xf numFmtId="0" fontId="88" fillId="0" borderId="5" xfId="0" applyFont="1" applyBorder="1" applyAlignment="1">
      <alignment horizontal="center" vertical="center" wrapText="1"/>
    </xf>
    <xf numFmtId="165" fontId="88" fillId="0" borderId="5" xfId="0" applyNumberFormat="1" applyFont="1" applyBorder="1" applyAlignment="1">
      <alignment vertical="center"/>
    </xf>
    <xf numFmtId="165" fontId="87" fillId="0" borderId="5" xfId="0" applyNumberFormat="1" applyFont="1" applyBorder="1" applyAlignment="1">
      <alignment vertical="center"/>
    </xf>
    <xf numFmtId="0" fontId="88" fillId="0" borderId="5" xfId="0" applyFont="1" applyBorder="1" applyAlignment="1">
      <alignment horizontal="center" vertical="center"/>
    </xf>
    <xf numFmtId="0" fontId="88" fillId="0" borderId="5" xfId="0" applyFont="1" applyBorder="1" applyAlignment="1">
      <alignment horizontal="left" vertical="center" wrapText="1"/>
    </xf>
    <xf numFmtId="0" fontId="2" fillId="4" borderId="5" xfId="0" applyFont="1" applyFill="1" applyBorder="1" applyAlignment="1">
      <alignment vertical="center" wrapText="1"/>
    </xf>
    <xf numFmtId="0" fontId="88" fillId="4" borderId="5" xfId="0" applyFont="1" applyFill="1" applyBorder="1" applyAlignment="1">
      <alignment horizontal="center" vertical="center"/>
    </xf>
    <xf numFmtId="0" fontId="88" fillId="4" borderId="5" xfId="0" applyFont="1" applyFill="1" applyBorder="1" applyAlignment="1">
      <alignment horizontal="center" vertical="center" wrapText="1"/>
    </xf>
    <xf numFmtId="165" fontId="88" fillId="4" borderId="5" xfId="0" applyNumberFormat="1" applyFont="1" applyFill="1" applyBorder="1" applyAlignment="1">
      <alignment vertical="center"/>
    </xf>
    <xf numFmtId="0" fontId="87" fillId="4" borderId="5" xfId="0" applyFont="1" applyFill="1" applyBorder="1" applyAlignment="1">
      <alignment horizontal="center" vertical="center"/>
    </xf>
    <xf numFmtId="165" fontId="87" fillId="4" borderId="5" xfId="0" applyNumberFormat="1" applyFont="1" applyFill="1" applyBorder="1" applyAlignment="1">
      <alignment vertical="center"/>
    </xf>
    <xf numFmtId="0" fontId="87" fillId="4" borderId="5" xfId="0" applyFont="1" applyFill="1" applyBorder="1" applyAlignment="1">
      <alignment horizontal="center" vertical="center" wrapText="1"/>
    </xf>
    <xf numFmtId="0" fontId="88" fillId="4" borderId="5" xfId="0" applyFont="1" applyFill="1" applyBorder="1" applyAlignment="1">
      <alignment horizontal="left" vertical="center" wrapText="1"/>
    </xf>
    <xf numFmtId="0" fontId="2" fillId="4" borderId="5" xfId="0" applyFont="1" applyFill="1" applyBorder="1" applyAlignment="1">
      <alignment vertical="center"/>
    </xf>
    <xf numFmtId="0" fontId="88" fillId="0" borderId="0" xfId="0" applyFont="1" applyAlignment="1">
      <alignment horizontal="center" vertical="center"/>
    </xf>
    <xf numFmtId="0" fontId="88" fillId="0" borderId="0" xfId="0" applyFont="1" applyAlignment="1">
      <alignment horizontal="left" vertical="center" wrapText="1"/>
    </xf>
    <xf numFmtId="0" fontId="88" fillId="0" borderId="5" xfId="0" applyFont="1" applyBorder="1" applyAlignment="1">
      <alignment vertical="center"/>
    </xf>
    <xf numFmtId="172" fontId="87" fillId="2" borderId="186" xfId="0" applyNumberFormat="1" applyFont="1" applyFill="1" applyBorder="1" applyAlignment="1">
      <alignment horizontal="right" vertical="center"/>
    </xf>
    <xf numFmtId="0" fontId="26" fillId="4" borderId="419" xfId="0" applyFont="1" applyFill="1" applyBorder="1" applyAlignment="1">
      <alignment horizontal="left" vertical="center" wrapText="1"/>
    </xf>
    <xf numFmtId="0" fontId="87" fillId="0" borderId="49" xfId="0" applyFont="1" applyBorder="1" applyAlignment="1">
      <alignment horizontal="center" vertical="center" wrapText="1"/>
    </xf>
    <xf numFmtId="0" fontId="87" fillId="4" borderId="63" xfId="0" applyFont="1" applyFill="1" applyBorder="1" applyAlignment="1">
      <alignment horizontal="left" vertical="center" wrapText="1"/>
    </xf>
    <xf numFmtId="165" fontId="87" fillId="4" borderId="175" xfId="0" applyNumberFormat="1" applyFont="1" applyFill="1" applyBorder="1" applyAlignment="1">
      <alignment vertical="center"/>
    </xf>
    <xf numFmtId="0" fontId="88" fillId="4" borderId="63" xfId="0" applyFont="1" applyFill="1" applyBorder="1" applyAlignment="1">
      <alignment horizontal="center" vertical="center" wrapText="1"/>
    </xf>
    <xf numFmtId="0" fontId="32" fillId="0" borderId="49" xfId="0" applyFont="1" applyBorder="1" applyAlignment="1">
      <alignment horizontal="center" vertical="center" wrapText="1"/>
    </xf>
    <xf numFmtId="0" fontId="88" fillId="0" borderId="0" xfId="0" applyFont="1" applyAlignment="1">
      <alignment horizontal="center" vertical="center" wrapText="1"/>
    </xf>
    <xf numFmtId="0" fontId="88" fillId="0" borderId="0" xfId="0" applyFont="1" applyAlignment="1">
      <alignment vertical="center" wrapText="1"/>
    </xf>
    <xf numFmtId="165" fontId="88" fillId="0" borderId="49" xfId="0" applyNumberFormat="1" applyFont="1" applyBorder="1" applyAlignment="1">
      <alignment vertical="center" wrapText="1"/>
    </xf>
    <xf numFmtId="2" fontId="88" fillId="0" borderId="29" xfId="0" applyNumberFormat="1" applyFont="1" applyBorder="1" applyAlignment="1">
      <alignment vertical="center"/>
    </xf>
    <xf numFmtId="2" fontId="88" fillId="0" borderId="0" xfId="0" applyNumberFormat="1" applyFont="1" applyAlignment="1">
      <alignment vertical="center"/>
    </xf>
    <xf numFmtId="165" fontId="26" fillId="0" borderId="34" xfId="0" applyNumberFormat="1" applyFont="1" applyBorder="1" applyAlignment="1">
      <alignment horizontal="center" vertical="center" wrapText="1"/>
    </xf>
    <xf numFmtId="0" fontId="87" fillId="4" borderId="5" xfId="0" applyFont="1" applyFill="1" applyBorder="1" applyAlignment="1">
      <alignment horizontal="left" vertical="center" wrapText="1"/>
    </xf>
    <xf numFmtId="165" fontId="87" fillId="0" borderId="115" xfId="0" applyNumberFormat="1" applyFont="1" applyBorder="1" applyAlignment="1">
      <alignment vertical="center"/>
    </xf>
    <xf numFmtId="165" fontId="26" fillId="0" borderId="42" xfId="0" applyNumberFormat="1" applyFont="1" applyBorder="1" applyAlignment="1">
      <alignment horizontal="center" vertical="center" wrapText="1"/>
    </xf>
    <xf numFmtId="165" fontId="87" fillId="0" borderId="119" xfId="0" applyNumberFormat="1" applyFont="1" applyBorder="1" applyAlignment="1">
      <alignment vertical="center"/>
    </xf>
    <xf numFmtId="0" fontId="44" fillId="2" borderId="117" xfId="0" applyFont="1" applyFill="1" applyBorder="1" applyAlignment="1">
      <alignment vertical="center" wrapText="1"/>
    </xf>
    <xf numFmtId="0" fontId="44" fillId="2" borderId="185" xfId="0" applyFont="1" applyFill="1" applyBorder="1" applyAlignment="1">
      <alignment vertical="center" wrapText="1"/>
    </xf>
    <xf numFmtId="165" fontId="87" fillId="2" borderId="423" xfId="0" applyNumberFormat="1" applyFont="1" applyFill="1" applyBorder="1" applyAlignment="1">
      <alignment vertical="center"/>
    </xf>
    <xf numFmtId="0" fontId="38" fillId="2" borderId="423" xfId="0" applyFont="1" applyFill="1" applyBorder="1" applyAlignment="1">
      <alignment vertical="center"/>
    </xf>
    <xf numFmtId="0" fontId="38" fillId="2" borderId="424" xfId="0" applyFont="1" applyFill="1" applyBorder="1" applyAlignment="1">
      <alignment vertical="center"/>
    </xf>
    <xf numFmtId="0" fontId="88" fillId="4" borderId="5" xfId="0" applyFont="1" applyFill="1" applyBorder="1" applyAlignment="1">
      <alignment vertical="center"/>
    </xf>
    <xf numFmtId="0" fontId="88" fillId="4" borderId="28" xfId="0" applyFont="1" applyFill="1" applyBorder="1" applyAlignment="1">
      <alignment horizontal="center" vertical="center" wrapText="1"/>
    </xf>
    <xf numFmtId="0" fontId="88" fillId="4" borderId="29" xfId="0" applyFont="1" applyFill="1" applyBorder="1" applyAlignment="1">
      <alignment horizontal="left" vertical="center" wrapText="1"/>
    </xf>
    <xf numFmtId="0" fontId="88" fillId="4" borderId="33" xfId="0" applyFont="1" applyFill="1" applyBorder="1" applyAlignment="1">
      <alignment horizontal="center" vertical="center" wrapText="1"/>
    </xf>
    <xf numFmtId="0" fontId="88" fillId="4" borderId="119" xfId="0" applyFont="1" applyFill="1" applyBorder="1" applyAlignment="1">
      <alignment horizontal="center" vertical="center"/>
    </xf>
    <xf numFmtId="0" fontId="88" fillId="4" borderId="34" xfId="0" applyFont="1" applyFill="1" applyBorder="1" applyAlignment="1">
      <alignment horizontal="left" vertical="center" wrapText="1"/>
    </xf>
    <xf numFmtId="0" fontId="88" fillId="4" borderId="34" xfId="0" applyFont="1" applyFill="1" applyBorder="1" applyAlignment="1">
      <alignment horizontal="center" vertical="center" wrapText="1"/>
    </xf>
    <xf numFmtId="165" fontId="88" fillId="4" borderId="34" xfId="0" applyNumberFormat="1" applyFont="1" applyFill="1" applyBorder="1" applyAlignment="1">
      <alignment vertical="center"/>
    </xf>
    <xf numFmtId="0" fontId="87" fillId="4" borderId="45" xfId="0" applyFont="1" applyFill="1" applyBorder="1" applyAlignment="1">
      <alignment horizontal="center" vertical="center" wrapText="1"/>
    </xf>
    <xf numFmtId="0" fontId="19" fillId="4" borderId="63" xfId="0" applyFont="1" applyFill="1" applyBorder="1" applyAlignment="1">
      <alignment horizontal="center" vertical="center"/>
    </xf>
    <xf numFmtId="0" fontId="87" fillId="4" borderId="332" xfId="0" applyFont="1" applyFill="1" applyBorder="1" applyAlignment="1">
      <alignment horizontal="center" vertical="center"/>
    </xf>
    <xf numFmtId="0" fontId="88" fillId="4" borderId="46" xfId="0" applyFont="1" applyFill="1" applyBorder="1" applyAlignment="1">
      <alignment horizontal="center" vertical="center" wrapText="1"/>
    </xf>
    <xf numFmtId="165" fontId="88" fillId="4" borderId="46" xfId="0" applyNumberFormat="1" applyFont="1" applyFill="1" applyBorder="1" applyAlignment="1">
      <alignment vertical="center"/>
    </xf>
    <xf numFmtId="165" fontId="87" fillId="4" borderId="48" xfId="0" applyNumberFormat="1" applyFont="1" applyFill="1" applyBorder="1" applyAlignment="1">
      <alignment vertical="center"/>
    </xf>
    <xf numFmtId="0" fontId="88" fillId="4" borderId="175" xfId="0" applyFont="1" applyFill="1" applyBorder="1" applyAlignment="1">
      <alignment horizontal="center" vertical="center" wrapText="1"/>
    </xf>
    <xf numFmtId="165" fontId="88" fillId="4" borderId="175" xfId="0" applyNumberFormat="1" applyFont="1" applyFill="1" applyBorder="1" applyAlignment="1">
      <alignment vertical="center"/>
    </xf>
    <xf numFmtId="0" fontId="88" fillId="4" borderId="0" xfId="0" applyFont="1" applyFill="1" applyAlignment="1">
      <alignment horizontal="center" vertical="center"/>
    </xf>
    <xf numFmtId="0" fontId="87" fillId="4" borderId="0" xfId="0" applyFont="1" applyFill="1" applyAlignment="1">
      <alignment vertical="center" wrapText="1"/>
    </xf>
    <xf numFmtId="0" fontId="87" fillId="4" borderId="0" xfId="0" applyFont="1" applyFill="1" applyAlignment="1">
      <alignment vertical="center"/>
    </xf>
    <xf numFmtId="0" fontId="87" fillId="4" borderId="63" xfId="0" applyFont="1" applyFill="1" applyBorder="1" applyAlignment="1">
      <alignment horizontal="center" vertical="center"/>
    </xf>
    <xf numFmtId="0" fontId="88" fillId="4" borderId="63" xfId="0" applyFont="1" applyFill="1" applyBorder="1" applyAlignment="1">
      <alignment horizontal="center" vertical="center"/>
    </xf>
    <xf numFmtId="0" fontId="87" fillId="4" borderId="63" xfId="0" applyFont="1" applyFill="1" applyBorder="1" applyAlignment="1">
      <alignment vertical="center"/>
    </xf>
    <xf numFmtId="0" fontId="88" fillId="4" borderId="333" xfId="0" applyFont="1" applyFill="1" applyBorder="1" applyAlignment="1">
      <alignment horizontal="center" vertical="center"/>
    </xf>
    <xf numFmtId="0" fontId="44" fillId="2" borderId="372" xfId="0" applyFont="1" applyFill="1" applyBorder="1" applyAlignment="1">
      <alignment vertical="center" wrapText="1"/>
    </xf>
    <xf numFmtId="0" fontId="44" fillId="2" borderId="126" xfId="0" applyFont="1" applyFill="1" applyBorder="1" applyAlignment="1">
      <alignment vertical="center" wrapText="1"/>
    </xf>
    <xf numFmtId="39" fontId="44" fillId="2" borderId="126" xfId="0" applyNumberFormat="1" applyFont="1" applyFill="1" applyBorder="1" applyAlignment="1">
      <alignment horizontal="right" vertical="center"/>
    </xf>
    <xf numFmtId="0" fontId="23"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92" fillId="0" borderId="0" xfId="0" applyFont="1" applyAlignment="1">
      <alignment vertical="center" wrapText="1"/>
    </xf>
    <xf numFmtId="0" fontId="92" fillId="0" borderId="0" xfId="0" applyFont="1" applyAlignment="1">
      <alignment vertical="center"/>
    </xf>
    <xf numFmtId="0" fontId="53" fillId="4" borderId="0" xfId="0" applyFont="1" applyFill="1" applyAlignment="1">
      <alignment vertical="center"/>
    </xf>
    <xf numFmtId="0" fontId="82" fillId="4" borderId="0" xfId="0" applyFont="1" applyFill="1" applyAlignment="1">
      <alignment vertical="center" wrapText="1"/>
    </xf>
    <xf numFmtId="0" fontId="93" fillId="4" borderId="0" xfId="0" applyFont="1" applyFill="1" applyAlignment="1">
      <alignment vertical="center" wrapText="1"/>
    </xf>
    <xf numFmtId="165" fontId="84" fillId="4" borderId="0" xfId="0" applyNumberFormat="1" applyFont="1" applyFill="1" applyAlignment="1">
      <alignment vertical="center"/>
    </xf>
    <xf numFmtId="0" fontId="85" fillId="12" borderId="106" xfId="0" applyFont="1" applyFill="1" applyBorder="1" applyAlignment="1">
      <alignment horizontal="center" vertical="center" wrapText="1"/>
    </xf>
    <xf numFmtId="0" fontId="86" fillId="12" borderId="106" xfId="0" applyFont="1" applyFill="1" applyBorder="1" applyAlignment="1">
      <alignment horizontal="center" vertical="center" wrapText="1"/>
    </xf>
    <xf numFmtId="0" fontId="72" fillId="0" borderId="50" xfId="0" applyFont="1" applyBorder="1" applyAlignment="1">
      <alignment horizontal="center" vertical="center"/>
    </xf>
    <xf numFmtId="0" fontId="56" fillId="0" borderId="49" xfId="0" applyFont="1" applyBorder="1" applyAlignment="1">
      <alignment horizontal="center" vertical="center" wrapText="1"/>
    </xf>
    <xf numFmtId="165" fontId="54" fillId="0" borderId="29" xfId="0" applyNumberFormat="1" applyFont="1" applyBorder="1" applyAlignment="1">
      <alignment vertical="center"/>
    </xf>
    <xf numFmtId="0" fontId="72" fillId="0" borderId="40" xfId="0" applyFont="1" applyBorder="1" applyAlignment="1">
      <alignment horizontal="center" vertical="center"/>
    </xf>
    <xf numFmtId="0" fontId="57" fillId="0" borderId="40" xfId="0" applyFont="1" applyBorder="1" applyAlignment="1">
      <alignment horizontal="center" vertical="center"/>
    </xf>
    <xf numFmtId="0" fontId="57" fillId="0" borderId="50" xfId="0" applyFont="1" applyBorder="1" applyAlignment="1">
      <alignment horizontal="center" vertical="center"/>
    </xf>
    <xf numFmtId="165" fontId="56" fillId="0" borderId="49" xfId="0" applyNumberFormat="1" applyFont="1" applyBorder="1" applyAlignment="1">
      <alignment vertical="center"/>
    </xf>
    <xf numFmtId="165" fontId="56" fillId="0" borderId="29" xfId="0" applyNumberFormat="1" applyFont="1" applyBorder="1" applyAlignment="1">
      <alignment vertical="center"/>
    </xf>
    <xf numFmtId="0" fontId="57" fillId="0" borderId="33" xfId="0" applyFont="1" applyBorder="1" applyAlignment="1">
      <alignment horizontal="center" vertical="center"/>
    </xf>
    <xf numFmtId="0" fontId="57" fillId="0" borderId="119" xfId="0" applyFont="1" applyBorder="1" applyAlignment="1">
      <alignment horizontal="center" vertical="center"/>
    </xf>
    <xf numFmtId="0" fontId="56" fillId="0" borderId="34" xfId="0" applyFont="1" applyBorder="1" applyAlignment="1">
      <alignment horizontal="center" vertical="center" wrapText="1"/>
    </xf>
    <xf numFmtId="165" fontId="56" fillId="0" borderId="34" xfId="0" applyNumberFormat="1" applyFont="1" applyBorder="1" applyAlignment="1">
      <alignment vertical="center"/>
    </xf>
    <xf numFmtId="165" fontId="54" fillId="0" borderId="34" xfId="0" applyNumberFormat="1" applyFont="1" applyBorder="1" applyAlignment="1">
      <alignment vertical="center"/>
    </xf>
    <xf numFmtId="0" fontId="26" fillId="0" borderId="120" xfId="0" applyFont="1" applyBorder="1" applyAlignment="1">
      <alignment horizontal="left" vertical="center" wrapText="1"/>
    </xf>
    <xf numFmtId="165" fontId="54" fillId="0" borderId="49" xfId="0" applyNumberFormat="1" applyFont="1" applyBorder="1" applyAlignment="1">
      <alignment vertical="center"/>
    </xf>
    <xf numFmtId="0" fontId="57" fillId="0" borderId="28" xfId="0" applyFont="1" applyBorder="1" applyAlignment="1">
      <alignment horizontal="center" vertical="center"/>
    </xf>
    <xf numFmtId="0" fontId="57" fillId="0" borderId="112" xfId="0" applyFont="1" applyBorder="1" applyAlignment="1">
      <alignment horizontal="center" vertical="center"/>
    </xf>
    <xf numFmtId="0" fontId="56" fillId="0" borderId="29" xfId="0" applyFont="1" applyBorder="1" applyAlignment="1">
      <alignment horizontal="center" vertical="center" wrapText="1"/>
    </xf>
    <xf numFmtId="0" fontId="47" fillId="0" borderId="29" xfId="0" applyFont="1" applyBorder="1" applyAlignment="1">
      <alignment horizontal="left" vertical="center" wrapText="1"/>
    </xf>
    <xf numFmtId="165" fontId="32" fillId="0" borderId="29" xfId="0" applyNumberFormat="1" applyFont="1" applyBorder="1" applyAlignment="1">
      <alignment vertical="center"/>
    </xf>
    <xf numFmtId="0" fontId="72" fillId="0" borderId="33" xfId="0" applyFont="1" applyBorder="1" applyAlignment="1">
      <alignment horizontal="left" vertical="center"/>
    </xf>
    <xf numFmtId="0" fontId="56" fillId="0" borderId="39" xfId="0" applyFont="1" applyBorder="1" applyAlignment="1">
      <alignment horizontal="center" vertical="center" wrapText="1"/>
    </xf>
    <xf numFmtId="165" fontId="56" fillId="0" borderId="39" xfId="0" applyNumberFormat="1" applyFont="1" applyBorder="1" applyAlignment="1">
      <alignment vertical="center"/>
    </xf>
    <xf numFmtId="165" fontId="54" fillId="0" borderId="39" xfId="0" applyNumberFormat="1" applyFont="1" applyBorder="1" applyAlignment="1">
      <alignment vertical="center"/>
    </xf>
    <xf numFmtId="1" fontId="56" fillId="4" borderId="440" xfId="0" applyNumberFormat="1" applyFont="1" applyFill="1" applyBorder="1" applyAlignment="1">
      <alignment vertical="center" wrapText="1"/>
    </xf>
    <xf numFmtId="1" fontId="56" fillId="4" borderId="441" xfId="0" applyNumberFormat="1" applyFont="1" applyFill="1" applyBorder="1" applyAlignment="1">
      <alignment vertical="center" wrapText="1"/>
    </xf>
    <xf numFmtId="1" fontId="56" fillId="4" borderId="442" xfId="0" applyNumberFormat="1" applyFont="1" applyFill="1" applyBorder="1" applyAlignment="1">
      <alignment vertical="center" wrapText="1"/>
    </xf>
    <xf numFmtId="1" fontId="56" fillId="0" borderId="5" xfId="0" applyNumberFormat="1" applyFont="1" applyBorder="1" applyAlignment="1">
      <alignment horizontal="center" vertical="center" wrapText="1"/>
    </xf>
    <xf numFmtId="0" fontId="72" fillId="0" borderId="38" xfId="0" applyFont="1" applyBorder="1" applyAlignment="1">
      <alignment horizontal="center" vertical="center"/>
    </xf>
    <xf numFmtId="0" fontId="72" fillId="0" borderId="122" xfId="0" applyFont="1" applyBorder="1" applyAlignment="1">
      <alignment horizontal="center" vertical="center"/>
    </xf>
    <xf numFmtId="4" fontId="44" fillId="2" borderId="164" xfId="0" applyNumberFormat="1" applyFont="1" applyFill="1" applyBorder="1" applyAlignment="1">
      <alignment horizontal="right" vertical="center" wrapText="1"/>
    </xf>
    <xf numFmtId="165" fontId="44" fillId="2" borderId="186" xfId="0" applyNumberFormat="1" applyFont="1" applyFill="1" applyBorder="1" applyAlignment="1">
      <alignment horizontal="right" vertical="center"/>
    </xf>
    <xf numFmtId="0" fontId="38" fillId="0" borderId="191" xfId="0" applyFont="1" applyBorder="1" applyAlignment="1">
      <alignment horizontal="center" vertical="center"/>
    </xf>
    <xf numFmtId="0" fontId="26" fillId="0" borderId="195" xfId="0" applyFont="1" applyBorder="1" applyAlignment="1">
      <alignment horizontal="center" vertical="center"/>
    </xf>
    <xf numFmtId="0" fontId="38" fillId="0" borderId="195" xfId="0" applyFont="1" applyBorder="1" applyAlignment="1">
      <alignment horizontal="center" vertical="center"/>
    </xf>
    <xf numFmtId="0" fontId="26" fillId="0" borderId="197" xfId="0" applyFont="1" applyBorder="1" applyAlignment="1">
      <alignment horizontal="center" vertical="center"/>
    </xf>
    <xf numFmtId="0" fontId="26" fillId="0" borderId="198" xfId="0" applyFont="1" applyBorder="1" applyAlignment="1">
      <alignment vertical="center" wrapText="1"/>
    </xf>
    <xf numFmtId="0" fontId="26" fillId="0" borderId="157" xfId="0" applyFont="1" applyBorder="1" applyAlignment="1">
      <alignment vertical="center"/>
    </xf>
    <xf numFmtId="0" fontId="38" fillId="0" borderId="197" xfId="0" applyFont="1" applyBorder="1" applyAlignment="1">
      <alignment horizontal="center" vertical="center"/>
    </xf>
    <xf numFmtId="0" fontId="38" fillId="0" borderId="198" xfId="0" applyFont="1" applyBorder="1" applyAlignment="1">
      <alignment horizontal="center" vertical="center"/>
    </xf>
    <xf numFmtId="0" fontId="26" fillId="0" borderId="196" xfId="0" applyFont="1" applyBorder="1" applyAlignment="1">
      <alignment vertical="center"/>
    </xf>
    <xf numFmtId="0" fontId="26" fillId="4" borderId="179" xfId="0" applyFont="1" applyFill="1" applyBorder="1" applyAlignment="1">
      <alignment horizontal="center" vertical="center" wrapText="1"/>
    </xf>
    <xf numFmtId="0" fontId="26" fillId="0" borderId="191" xfId="0" applyFont="1" applyBorder="1" applyAlignment="1">
      <alignment horizontal="center" vertical="center"/>
    </xf>
    <xf numFmtId="0" fontId="38" fillId="3" borderId="138" xfId="0" applyFont="1" applyFill="1" applyBorder="1" applyAlignment="1">
      <alignment vertical="center" wrapText="1"/>
    </xf>
    <xf numFmtId="0" fontId="38" fillId="3" borderId="5" xfId="0" applyFont="1" applyFill="1" applyBorder="1" applyAlignment="1">
      <alignment horizontal="left" vertical="center" wrapText="1"/>
    </xf>
    <xf numFmtId="0" fontId="38" fillId="3" borderId="5" xfId="0" applyFont="1" applyFill="1" applyBorder="1" applyAlignment="1">
      <alignment vertical="center" wrapText="1"/>
    </xf>
    <xf numFmtId="0" fontId="24" fillId="3" borderId="5" xfId="0" applyFont="1" applyFill="1" applyBorder="1" applyAlignment="1">
      <alignment horizontal="left" vertical="center" wrapText="1"/>
    </xf>
    <xf numFmtId="0" fontId="38" fillId="3" borderId="447" xfId="0" applyFont="1" applyFill="1" applyBorder="1" applyAlignment="1">
      <alignment horizontal="center" vertical="center" wrapText="1"/>
    </xf>
    <xf numFmtId="0" fontId="24" fillId="3" borderId="192" xfId="0" applyFont="1" applyFill="1" applyBorder="1" applyAlignment="1">
      <alignment horizontal="left" vertical="center" wrapText="1"/>
    </xf>
    <xf numFmtId="0" fontId="38" fillId="0" borderId="192" xfId="0" applyFont="1" applyBorder="1" applyAlignment="1">
      <alignment horizontal="left" vertical="center"/>
    </xf>
    <xf numFmtId="0" fontId="2" fillId="3" borderId="448" xfId="0" applyFont="1" applyFill="1" applyBorder="1" applyAlignment="1">
      <alignment vertical="center"/>
    </xf>
    <xf numFmtId="0" fontId="38" fillId="3" borderId="192" xfId="0" applyFont="1" applyFill="1" applyBorder="1" applyAlignment="1">
      <alignment vertical="center" wrapText="1"/>
    </xf>
    <xf numFmtId="0" fontId="26" fillId="0" borderId="6" xfId="0" applyFont="1" applyBorder="1" applyAlignment="1">
      <alignment vertical="center"/>
    </xf>
    <xf numFmtId="0" fontId="38" fillId="3" borderId="198" xfId="0" applyFont="1" applyFill="1" applyBorder="1" applyAlignment="1">
      <alignment horizontal="left" vertical="center" wrapText="1"/>
    </xf>
    <xf numFmtId="165" fontId="26" fillId="4" borderId="198" xfId="0" applyNumberFormat="1" applyFont="1" applyFill="1" applyBorder="1" applyAlignment="1">
      <alignment horizontal="center" vertical="center"/>
    </xf>
    <xf numFmtId="165" fontId="38" fillId="4" borderId="198" xfId="0" applyNumberFormat="1" applyFont="1" applyFill="1" applyBorder="1" applyAlignment="1">
      <alignment horizontal="center" vertical="center"/>
    </xf>
    <xf numFmtId="0" fontId="26" fillId="0" borderId="392" xfId="0" applyFont="1" applyBorder="1" applyAlignment="1">
      <alignment vertical="center"/>
    </xf>
    <xf numFmtId="0" fontId="26" fillId="0" borderId="443" xfId="0" applyFont="1" applyBorder="1" applyAlignment="1">
      <alignment horizontal="left" vertical="center" wrapText="1"/>
    </xf>
    <xf numFmtId="0" fontId="26" fillId="3" borderId="440" xfId="0" applyFont="1" applyFill="1" applyBorder="1" applyAlignment="1">
      <alignment horizontal="center" vertical="center" wrapText="1"/>
    </xf>
    <xf numFmtId="0" fontId="26" fillId="0" borderId="160" xfId="0" applyFont="1" applyBorder="1" applyAlignment="1">
      <alignment vertical="center"/>
    </xf>
    <xf numFmtId="0" fontId="26" fillId="4" borderId="5" xfId="0" applyFont="1" applyFill="1" applyBorder="1" applyAlignment="1">
      <alignment vertical="center" wrapText="1"/>
    </xf>
    <xf numFmtId="0" fontId="26" fillId="3" borderId="447" xfId="0" applyFont="1" applyFill="1" applyBorder="1" applyAlignment="1">
      <alignment horizontal="center" vertical="center" wrapText="1"/>
    </xf>
    <xf numFmtId="0" fontId="26" fillId="3" borderId="5" xfId="0" applyFont="1" applyFill="1" applyBorder="1" applyAlignment="1">
      <alignment horizontal="left" vertical="center"/>
    </xf>
    <xf numFmtId="0" fontId="38" fillId="3" borderId="138" xfId="0" applyFont="1" applyFill="1" applyBorder="1" applyAlignment="1">
      <alignment horizontal="left" vertical="center" wrapText="1"/>
    </xf>
    <xf numFmtId="0" fontId="38" fillId="0" borderId="138" xfId="0" applyFont="1" applyBorder="1" applyAlignment="1">
      <alignment horizontal="center" vertical="center"/>
    </xf>
    <xf numFmtId="165" fontId="26" fillId="4" borderId="138" xfId="0" applyNumberFormat="1" applyFont="1" applyFill="1" applyBorder="1" applyAlignment="1">
      <alignment vertical="center"/>
    </xf>
    <xf numFmtId="0" fontId="26" fillId="15" borderId="5" xfId="0" applyFont="1" applyFill="1" applyBorder="1" applyAlignment="1">
      <alignment vertical="center" wrapText="1"/>
    </xf>
    <xf numFmtId="0" fontId="38" fillId="3" borderId="5" xfId="0" applyFont="1" applyFill="1" applyBorder="1" applyAlignment="1">
      <alignment horizontal="center" vertical="center" wrapText="1"/>
    </xf>
    <xf numFmtId="0" fontId="11" fillId="0" borderId="5" xfId="0" applyFont="1" applyBorder="1" applyAlignment="1">
      <alignment horizontal="center" vertical="center"/>
    </xf>
    <xf numFmtId="0" fontId="38" fillId="3" borderId="198" xfId="0" applyFont="1" applyFill="1" applyBorder="1" applyAlignment="1">
      <alignment horizontal="center" vertical="center" wrapText="1"/>
    </xf>
    <xf numFmtId="0" fontId="38" fillId="4" borderId="198" xfId="0" applyFont="1" applyFill="1" applyBorder="1" applyAlignment="1">
      <alignment horizontal="center" vertical="center"/>
    </xf>
    <xf numFmtId="0" fontId="26" fillId="3" borderId="449" xfId="0" applyFont="1" applyFill="1" applyBorder="1" applyAlignment="1">
      <alignment horizontal="center" vertical="center" wrapText="1"/>
    </xf>
    <xf numFmtId="0" fontId="2" fillId="3" borderId="450" xfId="0" applyFont="1" applyFill="1" applyBorder="1" applyAlignment="1">
      <alignment vertical="center"/>
    </xf>
    <xf numFmtId="0" fontId="25" fillId="3" borderId="198" xfId="0" applyFont="1" applyFill="1" applyBorder="1" applyAlignment="1">
      <alignment horizontal="left" vertical="center" wrapText="1"/>
    </xf>
    <xf numFmtId="0" fontId="11" fillId="4" borderId="442" xfId="0" applyFont="1" applyFill="1" applyBorder="1" applyAlignment="1">
      <alignment horizontal="center" vertical="center"/>
    </xf>
    <xf numFmtId="0" fontId="38" fillId="4" borderId="442" xfId="0" applyFont="1" applyFill="1" applyBorder="1" applyAlignment="1">
      <alignment horizontal="center" vertical="center"/>
    </xf>
    <xf numFmtId="0" fontId="38" fillId="4" borderId="442" xfId="0" applyFont="1" applyFill="1" applyBorder="1" applyAlignment="1">
      <alignment horizontal="left" vertical="center" wrapText="1"/>
    </xf>
    <xf numFmtId="0" fontId="26" fillId="4" borderId="442" xfId="0" applyFont="1" applyFill="1" applyBorder="1" applyAlignment="1">
      <alignment horizontal="center" vertical="center" wrapText="1"/>
    </xf>
    <xf numFmtId="165" fontId="26" fillId="4" borderId="442" xfId="0" applyNumberFormat="1" applyFont="1" applyFill="1" applyBorder="1" applyAlignment="1">
      <alignment vertical="center"/>
    </xf>
    <xf numFmtId="165" fontId="38" fillId="4" borderId="442" xfId="0" applyNumberFormat="1" applyFont="1" applyFill="1" applyBorder="1" applyAlignment="1">
      <alignment vertical="center"/>
    </xf>
    <xf numFmtId="49" fontId="26" fillId="4" borderId="441" xfId="0" applyNumberFormat="1" applyFont="1" applyFill="1" applyBorder="1" applyAlignment="1">
      <alignment horizontal="center" vertical="center"/>
    </xf>
    <xf numFmtId="0" fontId="38" fillId="4" borderId="5" xfId="0" applyFont="1" applyFill="1" applyBorder="1" applyAlignment="1">
      <alignment horizontal="center" vertical="center"/>
    </xf>
    <xf numFmtId="0" fontId="24" fillId="3" borderId="152" xfId="0" applyFont="1" applyFill="1" applyBorder="1" applyAlignment="1">
      <alignment vertical="center" wrapText="1"/>
    </xf>
    <xf numFmtId="0" fontId="11" fillId="0" borderId="451" xfId="0" applyFont="1" applyBorder="1" applyAlignment="1">
      <alignment horizontal="center" vertical="center"/>
    </xf>
    <xf numFmtId="0" fontId="24" fillId="3" borderId="442" xfId="0" applyFont="1" applyFill="1" applyBorder="1" applyAlignment="1">
      <alignment horizontal="left" vertical="center" wrapText="1"/>
    </xf>
    <xf numFmtId="0" fontId="94" fillId="0" borderId="5" xfId="0" applyFont="1" applyBorder="1" applyAlignment="1">
      <alignment horizontal="center" vertical="center"/>
    </xf>
    <xf numFmtId="0" fontId="26" fillId="4" borderId="5" xfId="0" applyFont="1" applyFill="1" applyBorder="1" applyAlignment="1">
      <alignment vertical="center"/>
    </xf>
    <xf numFmtId="0" fontId="26" fillId="4" borderId="454" xfId="0" applyFont="1" applyFill="1" applyBorder="1" applyAlignment="1">
      <alignment horizontal="center" vertical="center" wrapText="1"/>
    </xf>
    <xf numFmtId="49" fontId="26" fillId="4" borderId="200" xfId="0" applyNumberFormat="1" applyFont="1" applyFill="1" applyBorder="1" applyAlignment="1">
      <alignment horizontal="center" vertical="center"/>
    </xf>
    <xf numFmtId="49" fontId="26" fillId="4" borderId="455" xfId="0" applyNumberFormat="1" applyFont="1" applyFill="1" applyBorder="1" applyAlignment="1">
      <alignment horizontal="center" vertical="center"/>
    </xf>
    <xf numFmtId="0" fontId="95" fillId="0" borderId="5" xfId="0" applyFont="1" applyBorder="1" applyAlignment="1">
      <alignment horizontal="center" vertical="center"/>
    </xf>
    <xf numFmtId="0" fontId="38" fillId="4" borderId="5" xfId="0" applyFont="1" applyFill="1" applyBorder="1" applyAlignment="1">
      <alignment horizontal="left" vertical="center" wrapText="1"/>
    </xf>
    <xf numFmtId="0" fontId="25" fillId="0" borderId="5" xfId="0" applyFont="1" applyBorder="1" applyAlignment="1">
      <alignment horizontal="center" vertical="center"/>
    </xf>
    <xf numFmtId="0" fontId="26" fillId="4" borderId="440" xfId="0" applyFont="1" applyFill="1" applyBorder="1" applyAlignment="1">
      <alignment horizontal="center" vertical="center" wrapText="1"/>
    </xf>
    <xf numFmtId="49" fontId="26" fillId="4" borderId="440" xfId="0" applyNumberFormat="1" applyFont="1" applyFill="1" applyBorder="1" applyAlignment="1">
      <alignment horizontal="center" vertical="center"/>
    </xf>
    <xf numFmtId="0" fontId="38" fillId="3" borderId="198" xfId="0" applyFont="1" applyFill="1" applyBorder="1" applyAlignment="1">
      <alignment horizontal="center" vertical="center"/>
    </xf>
    <xf numFmtId="0" fontId="26" fillId="0" borderId="152" xfId="0" applyFont="1" applyBorder="1" applyAlignment="1">
      <alignment horizontal="center" vertical="center"/>
    </xf>
    <xf numFmtId="0" fontId="26" fillId="4" borderId="152" xfId="0" applyFont="1" applyFill="1" applyBorder="1" applyAlignment="1">
      <alignment horizontal="left" vertical="center" wrapText="1"/>
    </xf>
    <xf numFmtId="0" fontId="11" fillId="15" borderId="442" xfId="0" applyFont="1" applyFill="1" applyBorder="1" applyAlignment="1">
      <alignment horizontal="center" vertical="center"/>
    </xf>
    <xf numFmtId="0" fontId="26" fillId="4" borderId="5" xfId="0" applyFont="1" applyFill="1" applyBorder="1" applyAlignment="1">
      <alignment horizontal="left" vertical="center"/>
    </xf>
    <xf numFmtId="0" fontId="38" fillId="4" borderId="5" xfId="0" applyFont="1" applyFill="1" applyBorder="1" applyAlignment="1">
      <alignment vertical="center" wrapText="1"/>
    </xf>
    <xf numFmtId="0" fontId="47" fillId="0" borderId="5" xfId="0" applyFont="1" applyBorder="1" applyAlignment="1">
      <alignment horizontal="center" vertical="center"/>
    </xf>
    <xf numFmtId="0" fontId="54" fillId="4" borderId="5"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2" fillId="4" borderId="5" xfId="0" applyFont="1" applyFill="1" applyBorder="1" applyAlignment="1">
      <alignment horizontal="left" vertical="center" wrapText="1"/>
    </xf>
    <xf numFmtId="0" fontId="32" fillId="0" borderId="5" xfId="0" applyFont="1" applyBorder="1" applyAlignment="1">
      <alignment horizontal="center" vertical="center"/>
    </xf>
    <xf numFmtId="0" fontId="56" fillId="4" borderId="5" xfId="0" applyFont="1" applyFill="1" applyBorder="1" applyAlignment="1">
      <alignment horizontal="center" vertical="center" wrapText="1"/>
    </xf>
    <xf numFmtId="0" fontId="26" fillId="3" borderId="5" xfId="0" applyFont="1" applyFill="1" applyBorder="1" applyAlignment="1">
      <alignment horizontal="left" vertical="center" wrapText="1"/>
    </xf>
    <xf numFmtId="0" fontId="95" fillId="4" borderId="5" xfId="0" applyFont="1" applyFill="1" applyBorder="1" applyAlignment="1">
      <alignment horizontal="center" vertical="center"/>
    </xf>
    <xf numFmtId="0" fontId="25" fillId="4" borderId="5" xfId="0" applyFont="1" applyFill="1" applyBorder="1" applyAlignment="1">
      <alignment horizontal="center" vertical="center"/>
    </xf>
    <xf numFmtId="0" fontId="25" fillId="4" borderId="198" xfId="0" applyFont="1" applyFill="1" applyBorder="1" applyAlignment="1">
      <alignment horizontal="center" vertical="center"/>
    </xf>
    <xf numFmtId="0" fontId="38" fillId="3" borderId="192" xfId="0" applyFont="1" applyFill="1" applyBorder="1" applyAlignment="1">
      <alignment horizontal="left" vertical="center" wrapText="1"/>
    </xf>
    <xf numFmtId="1" fontId="26" fillId="4" borderId="5" xfId="0" applyNumberFormat="1" applyFont="1" applyFill="1" applyBorder="1" applyAlignment="1">
      <alignment horizontal="center" vertical="center"/>
    </xf>
    <xf numFmtId="0" fontId="26" fillId="4" borderId="198" xfId="0" applyFont="1" applyFill="1" applyBorder="1" applyAlignment="1">
      <alignment vertical="center" wrapText="1"/>
    </xf>
    <xf numFmtId="0" fontId="38" fillId="4" borderId="442" xfId="0" applyFont="1" applyFill="1" applyBorder="1" applyAlignment="1">
      <alignment vertical="center" wrapText="1"/>
    </xf>
    <xf numFmtId="0" fontId="26" fillId="4" borderId="440" xfId="0" applyFont="1" applyFill="1" applyBorder="1" applyAlignment="1">
      <alignment horizontal="left" vertical="center" wrapText="1"/>
    </xf>
    <xf numFmtId="0" fontId="38" fillId="3" borderId="442" xfId="0" applyFont="1" applyFill="1" applyBorder="1" applyAlignment="1">
      <alignment horizontal="center" vertical="center" wrapText="1"/>
    </xf>
    <xf numFmtId="3" fontId="26" fillId="4" borderId="5" xfId="0" applyNumberFormat="1" applyFont="1" applyFill="1" applyBorder="1" applyAlignment="1">
      <alignment horizontal="center" vertical="center"/>
    </xf>
    <xf numFmtId="3" fontId="26" fillId="4" borderId="198" xfId="0" applyNumberFormat="1" applyFont="1" applyFill="1" applyBorder="1" applyAlignment="1">
      <alignment horizontal="center" vertical="center"/>
    </xf>
    <xf numFmtId="165" fontId="26" fillId="4" borderId="440" xfId="0" applyNumberFormat="1" applyFont="1" applyFill="1" applyBorder="1" applyAlignment="1">
      <alignment vertical="center"/>
    </xf>
    <xf numFmtId="0" fontId="38" fillId="3" borderId="459" xfId="0" applyFont="1" applyFill="1" applyBorder="1" applyAlignment="1">
      <alignment horizontal="center" vertical="center"/>
    </xf>
    <xf numFmtId="0" fontId="26" fillId="4" borderId="192" xfId="0" applyFont="1" applyFill="1" applyBorder="1" applyAlignment="1">
      <alignment vertical="center" wrapText="1"/>
    </xf>
    <xf numFmtId="0" fontId="26" fillId="3" borderId="460" xfId="0" applyFont="1" applyFill="1" applyBorder="1" applyAlignment="1">
      <alignment horizontal="center" vertical="center"/>
    </xf>
    <xf numFmtId="0" fontId="38" fillId="3" borderId="460" xfId="0" applyFont="1" applyFill="1" applyBorder="1" applyAlignment="1">
      <alignment horizontal="center" vertical="center"/>
    </xf>
    <xf numFmtId="0" fontId="26" fillId="3" borderId="272" xfId="0" applyFont="1" applyFill="1" applyBorder="1" applyAlignment="1">
      <alignment horizontal="center" vertical="center"/>
    </xf>
    <xf numFmtId="0" fontId="38" fillId="0" borderId="198" xfId="0" applyFont="1" applyBorder="1" applyAlignment="1">
      <alignment vertical="center" wrapText="1"/>
    </xf>
    <xf numFmtId="0" fontId="26" fillId="4" borderId="446" xfId="0" applyFont="1" applyFill="1" applyBorder="1" applyAlignment="1">
      <alignment horizontal="left" vertical="center" wrapText="1"/>
    </xf>
    <xf numFmtId="0" fontId="26" fillId="0" borderId="461" xfId="0" applyFont="1" applyBorder="1" applyAlignment="1">
      <alignment horizontal="left" vertical="center" wrapText="1"/>
    </xf>
    <xf numFmtId="0" fontId="26" fillId="0" borderId="462" xfId="0" applyFont="1" applyBorder="1" applyAlignment="1">
      <alignment vertical="center"/>
    </xf>
    <xf numFmtId="0" fontId="26" fillId="4" borderId="463" xfId="0" applyFont="1" applyFill="1" applyBorder="1" applyAlignment="1">
      <alignment horizontal="left" vertical="center" wrapText="1"/>
    </xf>
    <xf numFmtId="0" fontId="26" fillId="0" borderId="464" xfId="0" applyFont="1" applyBorder="1" applyAlignment="1">
      <alignment vertical="center"/>
    </xf>
    <xf numFmtId="0" fontId="26" fillId="4" borderId="446" xfId="0" applyFont="1" applyFill="1" applyBorder="1" applyAlignment="1">
      <alignment horizontal="center" vertical="center" wrapText="1"/>
    </xf>
    <xf numFmtId="0" fontId="44" fillId="2" borderId="466" xfId="0" applyFont="1" applyFill="1" applyBorder="1" applyAlignment="1">
      <alignment vertical="center" wrapText="1"/>
    </xf>
    <xf numFmtId="4" fontId="45" fillId="2" borderId="469" xfId="0" applyNumberFormat="1" applyFont="1" applyFill="1" applyBorder="1" applyAlignment="1">
      <alignment vertical="center" wrapText="1"/>
    </xf>
    <xf numFmtId="0" fontId="72" fillId="0" borderId="23" xfId="0" applyFont="1" applyBorder="1" applyAlignment="1">
      <alignment horizontal="center" vertical="center"/>
    </xf>
    <xf numFmtId="0" fontId="72" fillId="0" borderId="110" xfId="0" applyFont="1" applyBorder="1" applyAlignment="1">
      <alignment horizontal="center" vertical="center"/>
    </xf>
    <xf numFmtId="0" fontId="56" fillId="0" borderId="24" xfId="0" applyFont="1" applyBorder="1" applyAlignment="1">
      <alignment horizontal="center" vertical="center" wrapText="1"/>
    </xf>
    <xf numFmtId="165" fontId="56" fillId="0" borderId="24" xfId="0" applyNumberFormat="1" applyFont="1" applyBorder="1" applyAlignment="1">
      <alignment vertical="center"/>
    </xf>
    <xf numFmtId="165" fontId="54" fillId="0" borderId="24" xfId="0" applyNumberFormat="1" applyFont="1" applyBorder="1" applyAlignment="1">
      <alignment vertical="center"/>
    </xf>
    <xf numFmtId="0" fontId="26" fillId="0" borderId="22" xfId="0" applyFont="1" applyBorder="1" applyAlignment="1">
      <alignment vertical="center" wrapText="1"/>
    </xf>
    <xf numFmtId="0" fontId="26" fillId="0" borderId="53" xfId="0" applyFont="1" applyBorder="1" applyAlignment="1">
      <alignment vertical="center" wrapText="1"/>
    </xf>
    <xf numFmtId="0" fontId="12" fillId="0" borderId="49" xfId="0" applyFont="1" applyBorder="1" applyAlignment="1">
      <alignment horizontal="left" vertical="center" wrapText="1"/>
    </xf>
    <xf numFmtId="0" fontId="57" fillId="0" borderId="25" xfId="0" applyFont="1" applyBorder="1" applyAlignment="1">
      <alignment horizontal="center" vertical="center"/>
    </xf>
    <xf numFmtId="0" fontId="57" fillId="0" borderId="109" xfId="0" applyFont="1" applyBorder="1" applyAlignment="1">
      <alignment horizontal="center" vertical="center"/>
    </xf>
    <xf numFmtId="0" fontId="56" fillId="0" borderId="26" xfId="0" applyFont="1" applyBorder="1" applyAlignment="1">
      <alignment horizontal="center" vertical="center" wrapText="1"/>
    </xf>
    <xf numFmtId="165" fontId="56" fillId="0" borderId="26" xfId="0" applyNumberFormat="1" applyFont="1" applyBorder="1" applyAlignment="1">
      <alignment vertical="center"/>
    </xf>
    <xf numFmtId="165" fontId="54" fillId="0" borderId="26" xfId="0" applyNumberFormat="1" applyFont="1" applyBorder="1" applyAlignment="1">
      <alignment vertical="center"/>
    </xf>
    <xf numFmtId="0" fontId="72" fillId="0" borderId="472" xfId="0" applyFont="1" applyBorder="1" applyAlignment="1">
      <alignment horizontal="center" vertical="center"/>
    </xf>
    <xf numFmtId="165" fontId="54" fillId="0" borderId="473" xfId="0" applyNumberFormat="1" applyFont="1" applyBorder="1" applyAlignment="1">
      <alignment vertical="center"/>
    </xf>
    <xf numFmtId="0" fontId="38" fillId="0" borderId="191" xfId="0" applyFont="1" applyBorder="1" applyAlignment="1">
      <alignment horizontal="left" vertical="center" wrapText="1"/>
    </xf>
    <xf numFmtId="1" fontId="56" fillId="4" borderId="192" xfId="0" applyNumberFormat="1" applyFont="1" applyFill="1" applyBorder="1" applyAlignment="1">
      <alignment horizontal="center" vertical="center" wrapText="1"/>
    </xf>
    <xf numFmtId="1" fontId="56" fillId="4" borderId="474" xfId="0" applyNumberFormat="1" applyFont="1" applyFill="1" applyBorder="1" applyAlignment="1">
      <alignment horizontal="center" vertical="center" wrapText="1"/>
    </xf>
    <xf numFmtId="1" fontId="56" fillId="4" borderId="475" xfId="0" applyNumberFormat="1" applyFont="1" applyFill="1" applyBorder="1" applyAlignment="1">
      <alignment horizontal="center" vertical="center" wrapText="1"/>
    </xf>
    <xf numFmtId="0" fontId="26" fillId="4" borderId="474" xfId="0" applyFont="1" applyFill="1" applyBorder="1" applyAlignment="1">
      <alignment vertical="center" wrapText="1"/>
    </xf>
    <xf numFmtId="1" fontId="56" fillId="4" borderId="227" xfId="0" applyNumberFormat="1" applyFont="1" applyFill="1" applyBorder="1" applyAlignment="1">
      <alignment horizontal="center" vertical="center" wrapText="1"/>
    </xf>
    <xf numFmtId="1" fontId="56" fillId="4" borderId="5" xfId="0" applyNumberFormat="1" applyFont="1" applyFill="1" applyBorder="1" applyAlignment="1">
      <alignment horizontal="center" vertical="center" wrapText="1"/>
    </xf>
    <xf numFmtId="0" fontId="26" fillId="0" borderId="299" xfId="0" applyFont="1" applyBorder="1" applyAlignment="1">
      <alignment vertical="center" wrapText="1"/>
    </xf>
    <xf numFmtId="0" fontId="26" fillId="0" borderId="5" xfId="0" applyFont="1" applyBorder="1" applyAlignment="1">
      <alignment vertical="center" wrapText="1"/>
    </xf>
    <xf numFmtId="1" fontId="56" fillId="4" borderId="423" xfId="0" applyNumberFormat="1" applyFont="1" applyFill="1" applyBorder="1" applyAlignment="1">
      <alignment horizontal="center" vertical="center" wrapText="1"/>
    </xf>
    <xf numFmtId="1" fontId="56" fillId="4" borderId="440" xfId="0" applyNumberFormat="1" applyFont="1" applyFill="1" applyBorder="1" applyAlignment="1">
      <alignment horizontal="center" vertical="center" wrapText="1"/>
    </xf>
    <xf numFmtId="1" fontId="34" fillId="0" borderId="5" xfId="0" applyNumberFormat="1" applyFont="1" applyBorder="1" applyAlignment="1">
      <alignment vertical="center" wrapText="1"/>
    </xf>
    <xf numFmtId="1" fontId="56" fillId="0" borderId="5" xfId="0" applyNumberFormat="1" applyFont="1" applyBorder="1" applyAlignment="1">
      <alignment vertical="center" wrapText="1"/>
    </xf>
    <xf numFmtId="0" fontId="56" fillId="4" borderId="49" xfId="0" applyFont="1" applyFill="1" applyBorder="1" applyAlignment="1">
      <alignment horizontal="center" vertical="center" wrapText="1"/>
    </xf>
    <xf numFmtId="165" fontId="56" fillId="4" borderId="49" xfId="0" applyNumberFormat="1" applyFont="1" applyFill="1" applyBorder="1" applyAlignment="1">
      <alignment vertical="center"/>
    </xf>
    <xf numFmtId="165" fontId="54" fillId="4" borderId="49" xfId="0" applyNumberFormat="1" applyFont="1" applyFill="1" applyBorder="1" applyAlignment="1">
      <alignment vertical="center"/>
    </xf>
    <xf numFmtId="165" fontId="56" fillId="4" borderId="29" xfId="0" applyNumberFormat="1" applyFont="1" applyFill="1" applyBorder="1" applyAlignment="1">
      <alignment vertical="center"/>
    </xf>
    <xf numFmtId="165" fontId="54" fillId="4" borderId="29" xfId="0" applyNumberFormat="1" applyFont="1" applyFill="1" applyBorder="1" applyAlignment="1">
      <alignment vertical="center"/>
    </xf>
    <xf numFmtId="0" fontId="57" fillId="4" borderId="50" xfId="0" applyFont="1" applyFill="1" applyBorder="1" applyAlignment="1">
      <alignment horizontal="center" vertical="center"/>
    </xf>
    <xf numFmtId="0" fontId="72" fillId="4" borderId="50" xfId="0" applyFont="1" applyFill="1" applyBorder="1" applyAlignment="1">
      <alignment horizontal="center" vertical="center"/>
    </xf>
    <xf numFmtId="0" fontId="38" fillId="0" borderId="5" xfId="0" applyFont="1" applyBorder="1" applyAlignment="1">
      <alignment horizontal="center" vertical="center" wrapText="1"/>
    </xf>
    <xf numFmtId="0" fontId="97" fillId="4" borderId="23" xfId="0" applyFont="1" applyFill="1" applyBorder="1" applyAlignment="1">
      <alignment horizontal="center" vertical="center" wrapText="1"/>
    </xf>
    <xf numFmtId="0" fontId="35" fillId="4" borderId="110" xfId="0" applyFont="1" applyFill="1" applyBorder="1" applyAlignment="1">
      <alignment horizontal="center" vertical="center"/>
    </xf>
    <xf numFmtId="0" fontId="72" fillId="4" borderId="110" xfId="0" applyFont="1" applyFill="1" applyBorder="1" applyAlignment="1">
      <alignment horizontal="center" vertical="center"/>
    </xf>
    <xf numFmtId="0" fontId="11" fillId="4" borderId="24" xfId="0" applyFont="1" applyFill="1" applyBorder="1" applyAlignment="1">
      <alignment horizontal="left" vertical="center" wrapText="1"/>
    </xf>
    <xf numFmtId="0" fontId="56" fillId="4" borderId="24" xfId="0" applyFont="1" applyFill="1" applyBorder="1" applyAlignment="1">
      <alignment horizontal="center" vertical="center" wrapText="1"/>
    </xf>
    <xf numFmtId="0" fontId="26" fillId="4" borderId="24" xfId="0" applyFont="1" applyFill="1" applyBorder="1" applyAlignment="1">
      <alignment horizontal="center" vertical="center" wrapText="1"/>
    </xf>
    <xf numFmtId="165" fontId="56" fillId="4" borderId="24" xfId="0" applyNumberFormat="1" applyFont="1" applyFill="1" applyBorder="1" applyAlignment="1">
      <alignment vertical="center"/>
    </xf>
    <xf numFmtId="165" fontId="54" fillId="4" borderId="24" xfId="0" applyNumberFormat="1" applyFont="1" applyFill="1" applyBorder="1" applyAlignment="1">
      <alignment vertical="center"/>
    </xf>
    <xf numFmtId="0" fontId="57" fillId="4" borderId="28" xfId="0" applyFont="1" applyFill="1" applyBorder="1" applyAlignment="1">
      <alignment horizontal="center" vertical="center"/>
    </xf>
    <xf numFmtId="0" fontId="57" fillId="4" borderId="112" xfId="0" applyFont="1" applyFill="1" applyBorder="1" applyAlignment="1">
      <alignment horizontal="center" vertical="center"/>
    </xf>
    <xf numFmtId="0" fontId="14" fillId="4" borderId="29" xfId="0" applyFont="1" applyFill="1" applyBorder="1" applyAlignment="1">
      <alignment horizontal="left" vertical="center" wrapText="1"/>
    </xf>
    <xf numFmtId="0" fontId="57" fillId="4" borderId="29" xfId="0" applyFont="1" applyFill="1" applyBorder="1" applyAlignment="1">
      <alignment horizontal="center" vertical="center" wrapText="1"/>
    </xf>
    <xf numFmtId="0" fontId="14" fillId="4" borderId="49" xfId="0" applyFont="1" applyFill="1" applyBorder="1" applyAlignment="1">
      <alignment horizontal="left" vertical="center" wrapText="1"/>
    </xf>
    <xf numFmtId="0" fontId="57" fillId="4" borderId="49" xfId="0" applyFont="1" applyFill="1" applyBorder="1" applyAlignment="1">
      <alignment horizontal="center" vertical="center" wrapText="1"/>
    </xf>
    <xf numFmtId="0" fontId="57" fillId="4" borderId="33" xfId="0" applyFont="1" applyFill="1" applyBorder="1" applyAlignment="1">
      <alignment horizontal="center" vertical="center"/>
    </xf>
    <xf numFmtId="0" fontId="57" fillId="4" borderId="119" xfId="0" applyFont="1" applyFill="1" applyBorder="1" applyAlignment="1">
      <alignment horizontal="center" vertical="center"/>
    </xf>
    <xf numFmtId="0" fontId="56" fillId="4" borderId="34" xfId="0" applyFont="1" applyFill="1" applyBorder="1" applyAlignment="1">
      <alignment horizontal="center" vertical="center" wrapText="1"/>
    </xf>
    <xf numFmtId="165" fontId="54" fillId="4" borderId="34" xfId="0" applyNumberFormat="1" applyFont="1" applyFill="1" applyBorder="1" applyAlignment="1">
      <alignment vertical="center"/>
    </xf>
    <xf numFmtId="0" fontId="13" fillId="4" borderId="29" xfId="0" applyFont="1" applyFill="1" applyBorder="1" applyAlignment="1">
      <alignment horizontal="left" vertical="center" wrapText="1"/>
    </xf>
    <xf numFmtId="0" fontId="13" fillId="4" borderId="29" xfId="0" applyFont="1" applyFill="1" applyBorder="1" applyAlignment="1">
      <alignment horizontal="center" vertical="center" wrapText="1"/>
    </xf>
    <xf numFmtId="0" fontId="13" fillId="4" borderId="49" xfId="0" applyFont="1" applyFill="1" applyBorder="1" applyAlignment="1">
      <alignment horizontal="center" vertical="center" wrapText="1"/>
    </xf>
    <xf numFmtId="0" fontId="35" fillId="0" borderId="110" xfId="0" applyFont="1" applyBorder="1" applyAlignment="1">
      <alignment horizontal="center" vertical="center"/>
    </xf>
    <xf numFmtId="165" fontId="34" fillId="0" borderId="29" xfId="0" applyNumberFormat="1" applyFont="1" applyBorder="1" applyAlignment="1">
      <alignment vertical="center"/>
    </xf>
    <xf numFmtId="165" fontId="34" fillId="0" borderId="49" xfId="0" applyNumberFormat="1" applyFont="1" applyBorder="1" applyAlignment="1">
      <alignment vertical="center"/>
    </xf>
    <xf numFmtId="0" fontId="72" fillId="0" borderId="478" xfId="0" applyFont="1" applyBorder="1" applyAlignment="1">
      <alignment horizontal="center" vertical="center"/>
    </xf>
    <xf numFmtId="0" fontId="57" fillId="0" borderId="479" xfId="0" applyFont="1" applyBorder="1" applyAlignment="1">
      <alignment horizontal="center" vertical="center"/>
    </xf>
    <xf numFmtId="0" fontId="57" fillId="0" borderId="480" xfId="0" applyFont="1" applyBorder="1" applyAlignment="1">
      <alignment horizontal="center" vertical="center"/>
    </xf>
    <xf numFmtId="0" fontId="72" fillId="0" borderId="480" xfId="0" applyFont="1" applyBorder="1" applyAlignment="1">
      <alignment horizontal="center" vertical="center"/>
    </xf>
    <xf numFmtId="0" fontId="57" fillId="0" borderId="481" xfId="0" applyFont="1" applyBorder="1" applyAlignment="1">
      <alignment horizontal="center" vertical="center"/>
    </xf>
    <xf numFmtId="39" fontId="44" fillId="2" borderId="466" xfId="0" applyNumberFormat="1" applyFont="1" applyFill="1" applyBorder="1" applyAlignment="1">
      <alignment horizontal="right" vertical="center"/>
    </xf>
    <xf numFmtId="49" fontId="26" fillId="0" borderId="483" xfId="0" applyNumberFormat="1" applyFont="1" applyBorder="1" applyAlignment="1">
      <alignment horizontal="center" vertical="center"/>
    </xf>
    <xf numFmtId="0" fontId="26" fillId="0" borderId="335" xfId="0" applyFont="1" applyBorder="1" applyAlignment="1">
      <alignment horizontal="left" vertical="center" wrapText="1"/>
    </xf>
    <xf numFmtId="0" fontId="35" fillId="4" borderId="45" xfId="0" applyFont="1" applyFill="1" applyBorder="1" applyAlignment="1">
      <alignment horizontal="left" vertical="center" wrapText="1"/>
    </xf>
    <xf numFmtId="0" fontId="14" fillId="0" borderId="29" xfId="0" applyFont="1" applyBorder="1" applyAlignment="1">
      <alignment horizontal="left" vertical="center" wrapText="1"/>
    </xf>
    <xf numFmtId="49" fontId="26" fillId="0" borderId="484" xfId="0" applyNumberFormat="1" applyFont="1" applyBorder="1" applyAlignment="1">
      <alignment horizontal="center" vertical="center"/>
    </xf>
    <xf numFmtId="1" fontId="34" fillId="0" borderId="5" xfId="0" applyNumberFormat="1" applyFont="1" applyBorder="1" applyAlignment="1">
      <alignment horizontal="center" vertical="center" wrapText="1"/>
    </xf>
    <xf numFmtId="0" fontId="35" fillId="4" borderId="54" xfId="0" applyFont="1" applyFill="1" applyBorder="1" applyAlignment="1">
      <alignment horizontal="left" vertical="center" wrapText="1"/>
    </xf>
    <xf numFmtId="0" fontId="98" fillId="4" borderId="52" xfId="0" applyFont="1" applyFill="1" applyBorder="1" applyAlignment="1">
      <alignment horizontal="center" vertical="center"/>
    </xf>
    <xf numFmtId="0" fontId="56" fillId="0" borderId="55" xfId="0" applyFont="1" applyBorder="1" applyAlignment="1">
      <alignment horizontal="center" vertical="center" wrapText="1"/>
    </xf>
    <xf numFmtId="165" fontId="56" fillId="0" borderId="55" xfId="0" applyNumberFormat="1" applyFont="1" applyBorder="1" applyAlignment="1">
      <alignment vertical="center"/>
    </xf>
    <xf numFmtId="165" fontId="54" fillId="0" borderId="55" xfId="0" applyNumberFormat="1" applyFont="1" applyBorder="1" applyAlignment="1">
      <alignment vertical="center"/>
    </xf>
    <xf numFmtId="49" fontId="26" fillId="4" borderId="48" xfId="0" applyNumberFormat="1" applyFont="1" applyFill="1" applyBorder="1" applyAlignment="1">
      <alignment horizontal="center" vertical="center"/>
    </xf>
    <xf numFmtId="0" fontId="57" fillId="4" borderId="486" xfId="0" applyFont="1" applyFill="1" applyBorder="1" applyAlignment="1">
      <alignment horizontal="center" vertical="center"/>
    </xf>
    <xf numFmtId="49" fontId="26" fillId="4" borderId="483" xfId="0" applyNumberFormat="1" applyFont="1" applyFill="1" applyBorder="1" applyAlignment="1">
      <alignment horizontal="center" vertical="center"/>
    </xf>
    <xf numFmtId="0" fontId="57" fillId="4" borderId="415" xfId="0" applyFont="1" applyFill="1" applyBorder="1" applyAlignment="1">
      <alignment horizontal="center" vertical="center"/>
    </xf>
    <xf numFmtId="0" fontId="56" fillId="4" borderId="46" xfId="0" applyFont="1" applyFill="1" applyBorder="1" applyAlignment="1">
      <alignment horizontal="center" vertical="center" wrapText="1"/>
    </xf>
    <xf numFmtId="165" fontId="54" fillId="4" borderId="48" xfId="0" applyNumberFormat="1" applyFont="1" applyFill="1" applyBorder="1" applyAlignment="1">
      <alignment vertical="center"/>
    </xf>
    <xf numFmtId="165" fontId="99" fillId="4" borderId="29" xfId="0" applyNumberFormat="1" applyFont="1" applyFill="1" applyBorder="1" applyAlignment="1">
      <alignment vertical="center"/>
    </xf>
    <xf numFmtId="0" fontId="26" fillId="4" borderId="46" xfId="0" applyFont="1" applyFill="1" applyBorder="1" applyAlignment="1">
      <alignment horizontal="center" vertical="center" wrapText="1"/>
    </xf>
    <xf numFmtId="49" fontId="26" fillId="4" borderId="487" xfId="0" applyNumberFormat="1" applyFont="1" applyFill="1" applyBorder="1" applyAlignment="1">
      <alignment horizontal="center" vertical="center"/>
    </xf>
    <xf numFmtId="0" fontId="57" fillId="4" borderId="332" xfId="0" applyFont="1" applyFill="1" applyBorder="1" applyAlignment="1">
      <alignment horizontal="center" vertical="center"/>
    </xf>
    <xf numFmtId="49" fontId="26" fillId="4" borderId="484" xfId="0" applyNumberFormat="1" applyFont="1" applyFill="1" applyBorder="1" applyAlignment="1">
      <alignment horizontal="center" vertical="center"/>
    </xf>
    <xf numFmtId="0" fontId="57" fillId="4" borderId="488" xfId="0" applyFont="1" applyFill="1" applyBorder="1" applyAlignment="1">
      <alignment horizontal="center" vertical="center"/>
    </xf>
    <xf numFmtId="0" fontId="26" fillId="4" borderId="48" xfId="0" applyFont="1" applyFill="1" applyBorder="1" applyAlignment="1">
      <alignment horizontal="left" vertical="center" wrapText="1"/>
    </xf>
    <xf numFmtId="0" fontId="56" fillId="4" borderId="48" xfId="0" applyFont="1" applyFill="1" applyBorder="1" applyAlignment="1">
      <alignment horizontal="center" vertical="center" wrapText="1"/>
    </xf>
    <xf numFmtId="165" fontId="56" fillId="4" borderId="48" xfId="0" applyNumberFormat="1" applyFont="1" applyFill="1" applyBorder="1" applyAlignment="1">
      <alignment vertical="center"/>
    </xf>
    <xf numFmtId="49" fontId="26" fillId="4" borderId="489" xfId="0" applyNumberFormat="1" applyFont="1" applyFill="1" applyBorder="1" applyAlignment="1">
      <alignment horizontal="center" vertical="center"/>
    </xf>
    <xf numFmtId="0" fontId="57" fillId="4" borderId="490" xfId="0" applyFont="1" applyFill="1" applyBorder="1" applyAlignment="1">
      <alignment horizontal="center" vertical="center"/>
    </xf>
    <xf numFmtId="0" fontId="56" fillId="4" borderId="55" xfId="0" applyFont="1" applyFill="1" applyBorder="1" applyAlignment="1">
      <alignment horizontal="center" vertical="center" wrapText="1"/>
    </xf>
    <xf numFmtId="165" fontId="56" fillId="4" borderId="55" xfId="0" applyNumberFormat="1" applyFont="1" applyFill="1" applyBorder="1" applyAlignment="1">
      <alignment vertical="center"/>
    </xf>
    <xf numFmtId="165" fontId="26" fillId="0" borderId="49" xfId="0" applyNumberFormat="1" applyFont="1" applyBorder="1" applyAlignment="1">
      <alignment horizontal="right" vertical="center" wrapText="1"/>
    </xf>
    <xf numFmtId="165" fontId="56" fillId="0" borderId="42" xfId="0" applyNumberFormat="1" applyFont="1" applyBorder="1" applyAlignment="1">
      <alignment vertical="center"/>
    </xf>
    <xf numFmtId="0" fontId="97" fillId="0" borderId="23" xfId="0" applyFont="1" applyBorder="1" applyAlignment="1">
      <alignment horizontal="center" vertical="center" wrapText="1"/>
    </xf>
    <xf numFmtId="0" fontId="57" fillId="0" borderId="29" xfId="0" applyFont="1" applyBorder="1" applyAlignment="1">
      <alignment horizontal="center" vertical="center" wrapText="1"/>
    </xf>
    <xf numFmtId="0" fontId="14" fillId="0" borderId="49" xfId="0" applyFont="1" applyBorder="1" applyAlignment="1">
      <alignment horizontal="left" vertical="center" wrapText="1"/>
    </xf>
    <xf numFmtId="0" fontId="57" fillId="0" borderId="49" xfId="0" applyFont="1" applyBorder="1" applyAlignment="1">
      <alignment horizontal="center" vertical="center" wrapText="1"/>
    </xf>
    <xf numFmtId="0" fontId="57" fillId="0" borderId="54" xfId="0" applyFont="1" applyBorder="1" applyAlignment="1">
      <alignment horizontal="center" vertical="center"/>
    </xf>
    <xf numFmtId="0" fontId="97" fillId="4" borderId="23" xfId="0" applyFont="1" applyFill="1" applyBorder="1" applyAlignment="1">
      <alignment horizontal="left" vertical="center" wrapText="1"/>
    </xf>
    <xf numFmtId="0" fontId="11" fillId="14" borderId="62" xfId="0" applyFont="1" applyFill="1" applyBorder="1" applyAlignment="1">
      <alignment vertical="center"/>
    </xf>
    <xf numFmtId="0" fontId="14" fillId="14" borderId="62" xfId="0" applyFont="1" applyFill="1" applyBorder="1" applyAlignment="1">
      <alignment vertical="center"/>
    </xf>
    <xf numFmtId="0" fontId="11" fillId="14" borderId="63" xfId="0" applyFont="1" applyFill="1" applyBorder="1" applyAlignment="1">
      <alignment vertical="center"/>
    </xf>
    <xf numFmtId="0" fontId="14" fillId="14" borderId="63" xfId="0" applyFont="1" applyFill="1" applyBorder="1" applyAlignment="1">
      <alignment vertical="center"/>
    </xf>
    <xf numFmtId="0" fontId="3" fillId="4" borderId="0" xfId="0" applyFont="1" applyFill="1" applyAlignment="1">
      <alignment vertical="center"/>
    </xf>
    <xf numFmtId="0" fontId="100" fillId="4" borderId="0" xfId="0" applyFont="1" applyFill="1" applyAlignment="1">
      <alignment horizontal="center" vertical="center"/>
    </xf>
    <xf numFmtId="0" fontId="8" fillId="4" borderId="0" xfId="0" applyFont="1" applyFill="1" applyAlignment="1">
      <alignment horizontal="center" vertical="center" wrapText="1"/>
    </xf>
    <xf numFmtId="0" fontId="83" fillId="4" borderId="0" xfId="0" applyFont="1" applyFill="1"/>
    <xf numFmtId="0" fontId="93" fillId="4" borderId="0" xfId="0" applyFont="1" applyFill="1" applyAlignment="1">
      <alignment horizontal="center" vertical="center" wrapText="1"/>
    </xf>
    <xf numFmtId="0" fontId="35" fillId="0" borderId="40" xfId="0" applyFont="1" applyBorder="1" applyAlignment="1">
      <alignment horizontal="left" vertical="center"/>
    </xf>
    <xf numFmtId="0" fontId="11" fillId="0" borderId="49" xfId="0" applyFont="1" applyBorder="1" applyAlignment="1">
      <alignment horizontal="left" vertical="center" wrapText="1"/>
    </xf>
    <xf numFmtId="0" fontId="26" fillId="0" borderId="49" xfId="0" applyFont="1" applyBorder="1" applyAlignment="1">
      <alignment horizontal="left" vertical="center" wrapText="1"/>
    </xf>
    <xf numFmtId="0" fontId="57" fillId="0" borderId="50" xfId="0" applyFont="1" applyBorder="1" applyAlignment="1">
      <alignment horizontal="left" vertical="center"/>
    </xf>
    <xf numFmtId="0" fontId="57" fillId="0" borderId="50" xfId="0" applyFont="1" applyBorder="1" applyAlignment="1">
      <alignment horizontal="right" vertical="center"/>
    </xf>
    <xf numFmtId="165" fontId="54" fillId="0" borderId="42" xfId="0" applyNumberFormat="1" applyFont="1" applyBorder="1" applyAlignment="1">
      <alignment vertical="center"/>
    </xf>
    <xf numFmtId="0" fontId="72" fillId="0" borderId="50" xfId="0" applyFont="1" applyBorder="1" applyAlignment="1">
      <alignment horizontal="left" vertical="center"/>
    </xf>
    <xf numFmtId="0" fontId="57" fillId="0" borderId="50" xfId="0" applyFont="1" applyBorder="1" applyAlignment="1">
      <alignment horizontal="left" vertical="center" wrapText="1"/>
    </xf>
    <xf numFmtId="0" fontId="34" fillId="0" borderId="50" xfId="0" applyFont="1" applyBorder="1" applyAlignment="1">
      <alignment horizontal="center" vertical="center"/>
    </xf>
    <xf numFmtId="0" fontId="56" fillId="0" borderId="42" xfId="0" applyFont="1" applyBorder="1" applyAlignment="1">
      <alignment horizontal="center" vertical="center" wrapText="1"/>
    </xf>
    <xf numFmtId="0" fontId="72" fillId="0" borderId="115" xfId="0" applyFont="1" applyBorder="1" applyAlignment="1">
      <alignment horizontal="left" vertical="center"/>
    </xf>
    <xf numFmtId="0" fontId="35" fillId="0" borderId="115" xfId="0" applyFont="1" applyBorder="1" applyAlignment="1">
      <alignment horizontal="center" vertical="center"/>
    </xf>
    <xf numFmtId="0" fontId="57" fillId="4" borderId="115" xfId="0" applyFont="1" applyFill="1" applyBorder="1" applyAlignment="1">
      <alignment horizontal="center" vertical="center"/>
    </xf>
    <xf numFmtId="0" fontId="35" fillId="4" borderId="39" xfId="0" applyFont="1" applyFill="1" applyBorder="1" applyAlignment="1">
      <alignment vertical="center" wrapText="1"/>
    </xf>
    <xf numFmtId="0" fontId="72" fillId="4" borderId="39" xfId="0" applyFont="1" applyFill="1" applyBorder="1" applyAlignment="1">
      <alignment horizontal="center" vertical="center"/>
    </xf>
    <xf numFmtId="165" fontId="56" fillId="4" borderId="42" xfId="0" applyNumberFormat="1" applyFont="1" applyFill="1" applyBorder="1" applyAlignment="1">
      <alignment vertical="center"/>
    </xf>
    <xf numFmtId="165" fontId="54" fillId="4" borderId="26" xfId="0" applyNumberFormat="1" applyFont="1" applyFill="1" applyBorder="1" applyAlignment="1">
      <alignment vertical="center"/>
    </xf>
    <xf numFmtId="49" fontId="74" fillId="4" borderId="48" xfId="0" applyNumberFormat="1" applyFont="1" applyFill="1" applyBorder="1" applyAlignment="1">
      <alignment horizontal="center" vertical="center"/>
    </xf>
    <xf numFmtId="0" fontId="57" fillId="0" borderId="115" xfId="0" applyFont="1" applyBorder="1" applyAlignment="1">
      <alignment horizontal="center" vertical="center"/>
    </xf>
    <xf numFmtId="165" fontId="57" fillId="4" borderId="29" xfId="0" applyNumberFormat="1" applyFont="1" applyFill="1" applyBorder="1" applyAlignment="1">
      <alignment horizontal="right" vertical="center"/>
    </xf>
    <xf numFmtId="0" fontId="57" fillId="4" borderId="29" xfId="0" applyFont="1" applyFill="1" applyBorder="1" applyAlignment="1">
      <alignment vertical="center" wrapText="1"/>
    </xf>
    <xf numFmtId="0" fontId="57" fillId="4" borderId="29" xfId="0" applyFont="1" applyFill="1" applyBorder="1" applyAlignment="1">
      <alignment horizontal="right" vertical="center" wrapText="1"/>
    </xf>
    <xf numFmtId="0" fontId="72" fillId="0" borderId="38" xfId="0" applyFont="1" applyBorder="1" applyAlignment="1">
      <alignment horizontal="left" vertical="center"/>
    </xf>
    <xf numFmtId="0" fontId="35" fillId="0" borderId="122" xfId="0" applyFont="1" applyBorder="1" applyAlignment="1">
      <alignment horizontal="center" vertical="center"/>
    </xf>
    <xf numFmtId="0" fontId="72" fillId="4" borderId="122" xfId="0" applyFont="1" applyFill="1" applyBorder="1" applyAlignment="1">
      <alignment horizontal="center" vertical="center"/>
    </xf>
    <xf numFmtId="0" fontId="35" fillId="4" borderId="331" xfId="0" applyFont="1" applyFill="1" applyBorder="1" applyAlignment="1">
      <alignment horizontal="left" vertical="center"/>
    </xf>
    <xf numFmtId="0" fontId="57" fillId="4" borderId="122" xfId="0" applyFont="1" applyFill="1" applyBorder="1" applyAlignment="1">
      <alignment horizontal="center" vertical="center"/>
    </xf>
    <xf numFmtId="0" fontId="57" fillId="4" borderId="39" xfId="0" applyFont="1" applyFill="1" applyBorder="1" applyAlignment="1">
      <alignment horizontal="right" vertical="center" wrapText="1"/>
    </xf>
    <xf numFmtId="165" fontId="56" fillId="4" borderId="39" xfId="0" applyNumberFormat="1" applyFont="1" applyFill="1" applyBorder="1" applyAlignment="1">
      <alignment vertical="center"/>
    </xf>
    <xf numFmtId="165" fontId="54" fillId="4" borderId="39" xfId="0" applyNumberFormat="1" applyFont="1" applyFill="1" applyBorder="1" applyAlignment="1">
      <alignment vertical="center"/>
    </xf>
    <xf numFmtId="0" fontId="72" fillId="4" borderId="308" xfId="0" applyFont="1" applyFill="1" applyBorder="1" applyAlignment="1">
      <alignment horizontal="center" vertical="center"/>
    </xf>
    <xf numFmtId="0" fontId="57" fillId="4" borderId="29" xfId="0" applyFont="1" applyFill="1" applyBorder="1" applyAlignment="1">
      <alignment horizontal="left" vertical="center"/>
    </xf>
    <xf numFmtId="0" fontId="72" fillId="4" borderId="492" xfId="0" applyFont="1" applyFill="1" applyBorder="1" applyAlignment="1">
      <alignment horizontal="center" vertical="center"/>
    </xf>
    <xf numFmtId="0" fontId="72" fillId="0" borderId="109" xfId="0" applyFont="1" applyBorder="1" applyAlignment="1">
      <alignment horizontal="center" vertical="center"/>
    </xf>
    <xf numFmtId="0" fontId="72" fillId="4" borderId="109" xfId="0" applyFont="1" applyFill="1" applyBorder="1" applyAlignment="1">
      <alignment horizontal="center" vertical="center"/>
    </xf>
    <xf numFmtId="0" fontId="57" fillId="4" borderId="42" xfId="0" applyFont="1" applyFill="1" applyBorder="1" applyAlignment="1">
      <alignment horizontal="center" vertical="center" wrapText="1"/>
    </xf>
    <xf numFmtId="0" fontId="57" fillId="4" borderId="42" xfId="0" applyFont="1" applyFill="1" applyBorder="1" applyAlignment="1">
      <alignment horizontal="right" vertical="center" wrapText="1"/>
    </xf>
    <xf numFmtId="0" fontId="72" fillId="4" borderId="493" xfId="0" applyFont="1" applyFill="1" applyBorder="1" applyAlignment="1">
      <alignment horizontal="center" vertical="center"/>
    </xf>
    <xf numFmtId="0" fontId="35" fillId="4" borderId="39" xfId="0" applyFont="1" applyFill="1" applyBorder="1" applyAlignment="1">
      <alignment horizontal="left" vertical="center"/>
    </xf>
    <xf numFmtId="0" fontId="57" fillId="4" borderId="39" xfId="0" applyFont="1" applyFill="1" applyBorder="1" applyAlignment="1">
      <alignment horizontal="center" vertical="center" wrapText="1"/>
    </xf>
    <xf numFmtId="0" fontId="34" fillId="4" borderId="29" xfId="0" applyFont="1" applyFill="1" applyBorder="1" applyAlignment="1">
      <alignment horizontal="center" vertical="center" wrapText="1"/>
    </xf>
    <xf numFmtId="0" fontId="26" fillId="4" borderId="494" xfId="0" applyFont="1" applyFill="1" applyBorder="1" applyAlignment="1">
      <alignment horizontal="center" vertical="center" wrapText="1"/>
    </xf>
    <xf numFmtId="0" fontId="72" fillId="0" borderId="25" xfId="0" applyFont="1" applyBorder="1" applyAlignment="1">
      <alignment horizontal="center" vertical="center"/>
    </xf>
    <xf numFmtId="0" fontId="26" fillId="4" borderId="156" xfId="0" applyFont="1" applyFill="1" applyBorder="1" applyAlignment="1">
      <alignment horizontal="center" vertical="center" wrapText="1"/>
    </xf>
    <xf numFmtId="0" fontId="57" fillId="4" borderId="42" xfId="0" applyFont="1" applyFill="1" applyBorder="1" applyAlignment="1">
      <alignment horizontal="left" vertical="center"/>
    </xf>
    <xf numFmtId="0" fontId="26" fillId="4" borderId="304" xfId="0" applyFont="1" applyFill="1" applyBorder="1" applyAlignment="1">
      <alignment horizontal="center" vertical="center" wrapText="1"/>
    </xf>
    <xf numFmtId="0" fontId="57" fillId="4" borderId="415" xfId="0" applyFont="1" applyFill="1" applyBorder="1" applyAlignment="1">
      <alignment horizontal="left" vertical="center"/>
    </xf>
    <xf numFmtId="0" fontId="57" fillId="4" borderId="48" xfId="0" applyFont="1" applyFill="1" applyBorder="1" applyAlignment="1">
      <alignment horizontal="center" vertical="center"/>
    </xf>
    <xf numFmtId="0" fontId="35" fillId="0" borderId="39" xfId="0" applyFont="1" applyBorder="1" applyAlignment="1">
      <alignment horizontal="center" vertical="center"/>
    </xf>
    <xf numFmtId="0" fontId="35" fillId="4" borderId="179" xfId="0" applyFont="1" applyFill="1" applyBorder="1" applyAlignment="1">
      <alignment horizontal="left" vertical="center" wrapText="1"/>
    </xf>
    <xf numFmtId="0" fontId="57" fillId="4" borderId="36" xfId="0" applyFont="1" applyFill="1" applyBorder="1" applyAlignment="1">
      <alignment horizontal="center" vertical="center" wrapText="1"/>
    </xf>
    <xf numFmtId="165" fontId="56" fillId="4" borderId="36" xfId="0" applyNumberFormat="1" applyFont="1" applyFill="1" applyBorder="1" applyAlignment="1">
      <alignment vertical="center"/>
    </xf>
    <xf numFmtId="165" fontId="54" fillId="4" borderId="36" xfId="0" applyNumberFormat="1" applyFont="1" applyFill="1" applyBorder="1" applyAlignment="1">
      <alignment vertical="center"/>
    </xf>
    <xf numFmtId="49" fontId="26" fillId="4" borderId="36" xfId="0" applyNumberFormat="1" applyFont="1" applyFill="1" applyBorder="1" applyAlignment="1">
      <alignment horizontal="center" vertical="center"/>
    </xf>
    <xf numFmtId="3" fontId="57" fillId="4" borderId="42" xfId="0" applyNumberFormat="1" applyFont="1" applyFill="1" applyBorder="1" applyAlignment="1">
      <alignment horizontal="center" vertical="center" wrapText="1"/>
    </xf>
    <xf numFmtId="0" fontId="35" fillId="4" borderId="39" xfId="0" applyFont="1" applyFill="1" applyBorder="1" applyAlignment="1">
      <alignment horizontal="center" vertical="center"/>
    </xf>
    <xf numFmtId="0" fontId="12" fillId="4" borderId="39" xfId="0" applyFont="1" applyFill="1" applyBorder="1" applyAlignment="1">
      <alignment vertical="center" wrapText="1"/>
    </xf>
    <xf numFmtId="0" fontId="56" fillId="4" borderId="39" xfId="0" applyFont="1" applyFill="1" applyBorder="1" applyAlignment="1">
      <alignment horizontal="center" vertical="center" wrapText="1"/>
    </xf>
    <xf numFmtId="0" fontId="72" fillId="4" borderId="29" xfId="0" applyFont="1" applyFill="1" applyBorder="1" applyAlignment="1">
      <alignment horizontal="center" vertical="center"/>
    </xf>
    <xf numFmtId="0" fontId="26" fillId="4" borderId="42" xfId="0" applyFont="1" applyFill="1" applyBorder="1" applyAlignment="1">
      <alignment vertical="center" wrapText="1"/>
    </xf>
    <xf numFmtId="0" fontId="56" fillId="4" borderId="29" xfId="0" applyFont="1" applyFill="1" applyBorder="1" applyAlignment="1">
      <alignment horizontal="center" vertical="center" wrapText="1"/>
    </xf>
    <xf numFmtId="0" fontId="11" fillId="4" borderId="495" xfId="0" applyFont="1" applyFill="1" applyBorder="1" applyAlignment="1">
      <alignment vertical="center" wrapText="1"/>
    </xf>
    <xf numFmtId="0" fontId="72" fillId="4" borderId="48" xfId="0" applyFont="1" applyFill="1" applyBorder="1" applyAlignment="1">
      <alignment horizontal="center" vertical="center"/>
    </xf>
    <xf numFmtId="0" fontId="72" fillId="4" borderId="48" xfId="0" applyFont="1" applyFill="1" applyBorder="1" applyAlignment="1">
      <alignment horizontal="left" vertical="center"/>
    </xf>
    <xf numFmtId="0" fontId="56" fillId="4" borderId="42" xfId="0" applyFont="1" applyFill="1" applyBorder="1" applyAlignment="1">
      <alignment horizontal="center" vertical="center" wrapText="1"/>
    </xf>
    <xf numFmtId="0" fontId="35" fillId="4" borderId="48" xfId="0" applyFont="1" applyFill="1" applyBorder="1" applyAlignment="1">
      <alignment horizontal="center" vertical="center"/>
    </xf>
    <xf numFmtId="0" fontId="11" fillId="4" borderId="304" xfId="0" applyFont="1" applyFill="1" applyBorder="1" applyAlignment="1">
      <alignment vertical="center" wrapText="1"/>
    </xf>
    <xf numFmtId="0" fontId="57" fillId="4" borderId="39" xfId="0" applyFont="1" applyFill="1" applyBorder="1" applyAlignment="1">
      <alignment horizontal="left" vertical="center"/>
    </xf>
    <xf numFmtId="0" fontId="72" fillId="4" borderId="488" xfId="0" applyFont="1" applyFill="1" applyBorder="1" applyAlignment="1">
      <alignment horizontal="center" vertical="center"/>
    </xf>
    <xf numFmtId="0" fontId="57" fillId="4" borderId="48" xfId="0" applyFont="1" applyFill="1" applyBorder="1" applyAlignment="1">
      <alignment horizontal="left" vertical="center"/>
    </xf>
    <xf numFmtId="165" fontId="56" fillId="4" borderId="42" xfId="0" applyNumberFormat="1" applyFont="1" applyFill="1" applyBorder="1" applyAlignment="1">
      <alignment horizontal="center" vertical="center"/>
    </xf>
    <xf numFmtId="165" fontId="56" fillId="4" borderId="29" xfId="0" applyNumberFormat="1" applyFont="1" applyFill="1" applyBorder="1" applyAlignment="1">
      <alignment horizontal="center" vertical="center"/>
    </xf>
    <xf numFmtId="0" fontId="72" fillId="4" borderId="175" xfId="0" applyFont="1" applyFill="1" applyBorder="1" applyAlignment="1">
      <alignment horizontal="right" vertical="center"/>
    </xf>
    <xf numFmtId="0" fontId="57" fillId="4" borderId="175" xfId="0" applyFont="1" applyFill="1" applyBorder="1" applyAlignment="1">
      <alignment horizontal="center" vertical="center"/>
    </xf>
    <xf numFmtId="0" fontId="57" fillId="4" borderId="175" xfId="0" applyFont="1" applyFill="1" applyBorder="1" applyAlignment="1">
      <alignment horizontal="left" vertical="center"/>
    </xf>
    <xf numFmtId="0" fontId="57" fillId="0" borderId="43" xfId="0" applyFont="1" applyBorder="1" applyAlignment="1">
      <alignment horizontal="center" vertical="center"/>
    </xf>
    <xf numFmtId="0" fontId="34" fillId="4" borderId="48" xfId="0" applyFont="1" applyFill="1" applyBorder="1" applyAlignment="1">
      <alignment horizontal="left" vertical="center" wrapText="1"/>
    </xf>
    <xf numFmtId="49" fontId="35" fillId="4" borderId="39" xfId="0" applyNumberFormat="1" applyFont="1" applyFill="1" applyBorder="1" applyAlignment="1">
      <alignment horizontal="center" vertical="center"/>
    </xf>
    <xf numFmtId="0" fontId="26" fillId="4" borderId="450" xfId="0" applyFont="1" applyFill="1" applyBorder="1" applyAlignment="1">
      <alignment horizontal="center" vertical="center" wrapText="1"/>
    </xf>
    <xf numFmtId="0" fontId="14" fillId="4" borderId="305" xfId="0" applyFont="1" applyFill="1" applyBorder="1" applyAlignment="1">
      <alignment vertical="center" wrapText="1"/>
    </xf>
    <xf numFmtId="165" fontId="54" fillId="4" borderId="42" xfId="0" applyNumberFormat="1" applyFont="1" applyFill="1" applyBorder="1" applyAlignment="1">
      <alignment vertical="center"/>
    </xf>
    <xf numFmtId="0" fontId="26" fillId="0" borderId="42" xfId="0" applyFont="1" applyBorder="1" applyAlignment="1">
      <alignment vertical="center" wrapText="1"/>
    </xf>
    <xf numFmtId="0" fontId="26" fillId="4" borderId="48" xfId="0" applyFont="1" applyFill="1" applyBorder="1" applyAlignment="1">
      <alignment vertical="center" wrapText="1"/>
    </xf>
    <xf numFmtId="0" fontId="26" fillId="4" borderId="34" xfId="0" applyFont="1" applyFill="1" applyBorder="1" applyAlignment="1">
      <alignment vertical="center" wrapText="1"/>
    </xf>
    <xf numFmtId="0" fontId="34" fillId="4" borderId="42" xfId="0" applyFont="1" applyFill="1" applyBorder="1" applyAlignment="1">
      <alignment horizontal="center" vertical="center" wrapText="1"/>
    </xf>
    <xf numFmtId="0" fontId="72" fillId="4" borderId="39" xfId="0" applyFont="1" applyFill="1" applyBorder="1" applyAlignment="1">
      <alignment horizontal="left" vertical="center"/>
    </xf>
    <xf numFmtId="0" fontId="72" fillId="4" borderId="39" xfId="0" applyFont="1" applyFill="1" applyBorder="1" applyAlignment="1">
      <alignment horizontal="left" vertical="center" wrapText="1"/>
    </xf>
    <xf numFmtId="0" fontId="56" fillId="4" borderId="36" xfId="0" applyFont="1" applyFill="1" applyBorder="1" applyAlignment="1">
      <alignment horizontal="center" vertical="center" wrapText="1"/>
    </xf>
    <xf numFmtId="0" fontId="72" fillId="0" borderId="115" xfId="0" applyFont="1" applyBorder="1" applyAlignment="1">
      <alignment horizontal="center" vertical="center"/>
    </xf>
    <xf numFmtId="165" fontId="56" fillId="4" borderId="34" xfId="0" applyNumberFormat="1" applyFont="1" applyFill="1" applyBorder="1" applyAlignment="1">
      <alignment vertical="center"/>
    </xf>
    <xf numFmtId="1" fontId="56" fillId="13" borderId="179" xfId="0" applyNumberFormat="1" applyFont="1" applyFill="1" applyBorder="1" applyAlignment="1">
      <alignment horizontal="center" vertical="center" wrapText="1"/>
    </xf>
    <xf numFmtId="1" fontId="56" fillId="13" borderId="175" xfId="0" applyNumberFormat="1" applyFont="1" applyFill="1" applyBorder="1" applyAlignment="1">
      <alignment horizontal="center" vertical="center" wrapText="1"/>
    </xf>
    <xf numFmtId="1" fontId="56" fillId="13" borderId="177" xfId="0" applyNumberFormat="1" applyFont="1" applyFill="1" applyBorder="1" applyAlignment="1">
      <alignment horizontal="center" vertical="center" wrapText="1"/>
    </xf>
    <xf numFmtId="0" fontId="2" fillId="0" borderId="113" xfId="0" applyFont="1" applyBorder="1" applyAlignment="1">
      <alignment vertical="center"/>
    </xf>
    <xf numFmtId="0" fontId="57" fillId="0" borderId="30" xfId="0" applyFont="1" applyBorder="1" applyAlignment="1">
      <alignment horizontal="center" vertical="center"/>
    </xf>
    <xf numFmtId="0" fontId="57" fillId="0" borderId="116" xfId="0" applyFont="1" applyBorder="1" applyAlignment="1">
      <alignment horizontal="center" vertical="center"/>
    </xf>
    <xf numFmtId="0" fontId="56" fillId="0" borderId="31" xfId="0" applyFont="1" applyBorder="1" applyAlignment="1">
      <alignment horizontal="center" vertical="center" wrapText="1"/>
    </xf>
    <xf numFmtId="165" fontId="56" fillId="0" borderId="31" xfId="0" applyNumberFormat="1" applyFont="1" applyBorder="1" applyAlignment="1">
      <alignment vertical="center"/>
    </xf>
    <xf numFmtId="165" fontId="54" fillId="0" borderId="31" xfId="0" applyNumberFormat="1" applyFont="1" applyBorder="1" applyAlignment="1">
      <alignment vertical="center"/>
    </xf>
    <xf numFmtId="0" fontId="2" fillId="0" borderId="120" xfId="0" applyFont="1" applyBorder="1" applyAlignment="1">
      <alignment vertical="center"/>
    </xf>
    <xf numFmtId="49" fontId="35" fillId="4" borderId="46" xfId="0" applyNumberFormat="1" applyFont="1" applyFill="1" applyBorder="1" applyAlignment="1">
      <alignment horizontal="center" vertical="center"/>
    </xf>
    <xf numFmtId="0" fontId="26" fillId="4" borderId="302" xfId="0" applyFont="1" applyFill="1" applyBorder="1" applyAlignment="1">
      <alignment horizontal="center" vertical="center" wrapText="1"/>
    </xf>
    <xf numFmtId="0" fontId="72" fillId="4" borderId="29" xfId="0" applyFont="1" applyFill="1" applyBorder="1" applyAlignment="1">
      <alignment horizontal="left" vertical="center"/>
    </xf>
    <xf numFmtId="0" fontId="12" fillId="4" borderId="49" xfId="0" applyFont="1" applyFill="1" applyBorder="1" applyAlignment="1">
      <alignment horizontal="left" vertical="center" wrapText="1"/>
    </xf>
    <xf numFmtId="0" fontId="26" fillId="4" borderId="231" xfId="0" applyFont="1" applyFill="1" applyBorder="1" applyAlignment="1">
      <alignment vertical="center" wrapText="1"/>
    </xf>
    <xf numFmtId="0" fontId="26" fillId="4" borderId="112" xfId="0" applyFont="1" applyFill="1" applyBorder="1" applyAlignment="1">
      <alignment horizontal="left" vertical="center" wrapText="1"/>
    </xf>
    <xf numFmtId="0" fontId="35" fillId="4" borderId="50" xfId="0" applyFont="1" applyFill="1" applyBorder="1" applyAlignment="1">
      <alignment horizontal="center" vertical="center"/>
    </xf>
    <xf numFmtId="0" fontId="38" fillId="4" borderId="494" xfId="0" applyFont="1" applyFill="1" applyBorder="1" applyAlignment="1">
      <alignment vertical="center" wrapText="1"/>
    </xf>
    <xf numFmtId="0" fontId="76" fillId="4" borderId="50" xfId="0" applyFont="1" applyFill="1" applyBorder="1" applyAlignment="1">
      <alignment horizontal="left" vertical="center" wrapText="1"/>
    </xf>
    <xf numFmtId="0" fontId="14" fillId="4" borderId="49" xfId="0" applyFont="1" applyFill="1" applyBorder="1" applyAlignment="1">
      <alignment horizontal="center" vertical="center" wrapText="1"/>
    </xf>
    <xf numFmtId="0" fontId="26" fillId="0" borderId="50" xfId="0" applyFont="1" applyBorder="1" applyAlignment="1">
      <alignment horizontal="left" vertical="center" wrapText="1"/>
    </xf>
    <xf numFmtId="0" fontId="26" fillId="4" borderId="50" xfId="0" applyFont="1" applyFill="1" applyBorder="1" applyAlignment="1">
      <alignment horizontal="left" vertical="center" wrapText="1"/>
    </xf>
    <xf numFmtId="0" fontId="26" fillId="0" borderId="116" xfId="0" applyFont="1" applyBorder="1" applyAlignment="1">
      <alignment horizontal="left" vertical="center" wrapText="1"/>
    </xf>
    <xf numFmtId="0" fontId="72" fillId="0" borderId="30" xfId="0" applyFont="1" applyBorder="1" applyAlignment="1">
      <alignment horizontal="center" vertical="center"/>
    </xf>
    <xf numFmtId="0" fontId="72" fillId="0" borderId="116" xfId="0" applyFont="1" applyBorder="1" applyAlignment="1">
      <alignment horizontal="center" vertical="center"/>
    </xf>
    <xf numFmtId="0" fontId="38" fillId="0" borderId="31" xfId="0" applyFont="1" applyBorder="1" applyAlignment="1">
      <alignment horizontal="left" vertical="center" wrapText="1"/>
    </xf>
    <xf numFmtId="0" fontId="72" fillId="4" borderId="116" xfId="0" applyFont="1" applyFill="1" applyBorder="1" applyAlignment="1">
      <alignment horizontal="center" vertical="center"/>
    </xf>
    <xf numFmtId="0" fontId="38" fillId="4" borderId="31" xfId="0" applyFont="1" applyFill="1" applyBorder="1" applyAlignment="1">
      <alignment horizontal="left" vertical="center" wrapText="1"/>
    </xf>
    <xf numFmtId="0" fontId="56" fillId="4" borderId="31" xfId="0" applyFont="1" applyFill="1" applyBorder="1" applyAlignment="1">
      <alignment horizontal="center" vertical="center" wrapText="1"/>
    </xf>
    <xf numFmtId="165" fontId="56" fillId="4" borderId="31" xfId="0" applyNumberFormat="1" applyFont="1" applyFill="1" applyBorder="1" applyAlignment="1">
      <alignment vertical="center"/>
    </xf>
    <xf numFmtId="165" fontId="54" fillId="4" borderId="31" xfId="0" applyNumberFormat="1" applyFont="1" applyFill="1" applyBorder="1" applyAlignment="1">
      <alignment vertical="center"/>
    </xf>
    <xf numFmtId="0" fontId="38" fillId="4" borderId="39" xfId="0" applyFont="1" applyFill="1" applyBorder="1" applyAlignment="1">
      <alignment vertical="center" wrapText="1"/>
    </xf>
    <xf numFmtId="0" fontId="26" fillId="4" borderId="29" xfId="0" applyFont="1" applyFill="1" applyBorder="1" applyAlignment="1">
      <alignment vertical="center" wrapText="1"/>
    </xf>
    <xf numFmtId="2" fontId="26" fillId="4" borderId="49" xfId="0" applyNumberFormat="1" applyFont="1" applyFill="1" applyBorder="1" applyAlignment="1">
      <alignment horizontal="center" vertical="center" wrapText="1"/>
    </xf>
    <xf numFmtId="0" fontId="26" fillId="4" borderId="49" xfId="0" applyFont="1" applyFill="1" applyBorder="1" applyAlignment="1">
      <alignment vertical="center" wrapText="1"/>
    </xf>
    <xf numFmtId="2" fontId="26" fillId="4" borderId="26" xfId="0" applyNumberFormat="1" applyFont="1" applyFill="1" applyBorder="1" applyAlignment="1">
      <alignment horizontal="center" vertical="center" wrapText="1"/>
    </xf>
    <xf numFmtId="0" fontId="72" fillId="4" borderId="39" xfId="0" applyFont="1" applyFill="1" applyBorder="1" applyAlignment="1">
      <alignment vertical="center" wrapText="1"/>
    </xf>
    <xf numFmtId="2" fontId="26" fillId="4" borderId="39" xfId="0" applyNumberFormat="1" applyFont="1" applyFill="1" applyBorder="1" applyAlignment="1">
      <alignment horizontal="center" vertical="center" wrapText="1"/>
    </xf>
    <xf numFmtId="0" fontId="26" fillId="4" borderId="156" xfId="0" applyFont="1" applyFill="1" applyBorder="1" applyAlignment="1">
      <alignment horizontal="left" vertical="center" wrapText="1"/>
    </xf>
    <xf numFmtId="0" fontId="38" fillId="4" borderId="495" xfId="0" applyFont="1" applyFill="1" applyBorder="1" applyAlignment="1">
      <alignment horizontal="left" vertical="center" wrapText="1"/>
    </xf>
    <xf numFmtId="0" fontId="14" fillId="4" borderId="34" xfId="0" applyFont="1" applyFill="1" applyBorder="1" applyAlignment="1">
      <alignment horizontal="center" vertical="center" wrapText="1"/>
    </xf>
    <xf numFmtId="0" fontId="26" fillId="4" borderId="308" xfId="0" applyFont="1" applyFill="1" applyBorder="1" applyAlignment="1">
      <alignment horizontal="center" vertical="center" wrapText="1"/>
    </xf>
    <xf numFmtId="0" fontId="26" fillId="4" borderId="26" xfId="0" applyFont="1" applyFill="1" applyBorder="1" applyAlignment="1">
      <alignment vertical="center" wrapText="1"/>
    </xf>
    <xf numFmtId="165" fontId="56" fillId="4" borderId="26" xfId="0" applyNumberFormat="1" applyFont="1" applyFill="1" applyBorder="1" applyAlignment="1">
      <alignment vertical="center"/>
    </xf>
    <xf numFmtId="0" fontId="26" fillId="4" borderId="497" xfId="0" applyFont="1" applyFill="1" applyBorder="1" applyAlignment="1">
      <alignment horizontal="center" vertical="center" wrapText="1"/>
    </xf>
    <xf numFmtId="0" fontId="26" fillId="4" borderId="31" xfId="0" applyFont="1" applyFill="1" applyBorder="1" applyAlignment="1">
      <alignment vertical="center" wrapText="1"/>
    </xf>
    <xf numFmtId="0" fontId="26" fillId="4" borderId="415" xfId="0" applyFont="1" applyFill="1" applyBorder="1" applyAlignment="1">
      <alignment horizontal="center" vertical="center" wrapText="1"/>
    </xf>
    <xf numFmtId="0" fontId="26" fillId="0" borderId="304" xfId="0" applyFont="1" applyBorder="1" applyAlignment="1">
      <alignment horizontal="center" vertical="center" wrapText="1"/>
    </xf>
    <xf numFmtId="0" fontId="11" fillId="0" borderId="304" xfId="0" applyFont="1" applyBorder="1" applyAlignment="1">
      <alignment vertical="center" wrapText="1"/>
    </xf>
    <xf numFmtId="0" fontId="57" fillId="0" borderId="29" xfId="0" applyFont="1" applyBorder="1" applyAlignment="1">
      <alignment horizontal="left" vertical="center"/>
    </xf>
    <xf numFmtId="0" fontId="19" fillId="0" borderId="0" xfId="0" applyFont="1" applyAlignment="1">
      <alignment vertical="center"/>
    </xf>
    <xf numFmtId="0" fontId="57" fillId="0" borderId="28" xfId="0" applyFont="1" applyBorder="1" applyAlignment="1">
      <alignment horizontal="center" vertical="center" wrapText="1"/>
    </xf>
    <xf numFmtId="0" fontId="57" fillId="0" borderId="35" xfId="0" applyFont="1" applyBorder="1" applyAlignment="1">
      <alignment horizontal="center" vertical="center"/>
    </xf>
    <xf numFmtId="0" fontId="57" fillId="0" borderId="121" xfId="0" applyFont="1" applyBorder="1" applyAlignment="1">
      <alignment horizontal="center" vertical="center"/>
    </xf>
    <xf numFmtId="0" fontId="56" fillId="0" borderId="36" xfId="0" applyFont="1" applyBorder="1" applyAlignment="1">
      <alignment horizontal="center" vertical="center" wrapText="1"/>
    </xf>
    <xf numFmtId="165" fontId="56" fillId="0" borderId="36" xfId="0" applyNumberFormat="1" applyFont="1" applyBorder="1" applyAlignment="1">
      <alignment vertical="center"/>
    </xf>
    <xf numFmtId="165" fontId="54" fillId="0" borderId="121" xfId="0" applyNumberFormat="1" applyFont="1" applyBorder="1" applyAlignment="1">
      <alignment vertical="center"/>
    </xf>
    <xf numFmtId="49" fontId="26" fillId="0" borderId="36" xfId="0" applyNumberFormat="1" applyFont="1" applyBorder="1" applyAlignment="1">
      <alignment horizontal="center" vertical="center"/>
    </xf>
    <xf numFmtId="165" fontId="54" fillId="0" borderId="109" xfId="0" applyNumberFormat="1" applyFont="1" applyBorder="1" applyAlignment="1">
      <alignment vertical="center"/>
    </xf>
    <xf numFmtId="165" fontId="54" fillId="0" borderId="116" xfId="0" applyNumberFormat="1" applyFont="1" applyBorder="1" applyAlignment="1">
      <alignment vertical="center"/>
    </xf>
    <xf numFmtId="0" fontId="12" fillId="0" borderId="0" xfId="0" applyFont="1" applyAlignment="1">
      <alignment vertical="center" wrapText="1"/>
    </xf>
    <xf numFmtId="1" fontId="12" fillId="0" borderId="0" xfId="0" applyNumberFormat="1" applyFont="1" applyAlignment="1">
      <alignment vertical="center" wrapText="1"/>
    </xf>
    <xf numFmtId="0" fontId="38" fillId="0" borderId="498" xfId="0" applyFont="1" applyBorder="1" applyAlignment="1">
      <alignment horizontal="center" vertical="center"/>
    </xf>
    <xf numFmtId="0" fontId="72" fillId="0" borderId="499" xfId="0" applyFont="1" applyBorder="1" applyAlignment="1">
      <alignment horizontal="center" vertical="center"/>
    </xf>
    <xf numFmtId="0" fontId="38" fillId="0" borderId="499" xfId="0" applyFont="1" applyBorder="1" applyAlignment="1">
      <alignment horizontal="left" vertical="center" wrapText="1"/>
    </xf>
    <xf numFmtId="0" fontId="57" fillId="0" borderId="499" xfId="0" applyFont="1" applyBorder="1" applyAlignment="1">
      <alignment horizontal="center" vertical="center" wrapText="1"/>
    </xf>
    <xf numFmtId="0" fontId="26" fillId="0" borderId="499" xfId="0" applyFont="1" applyBorder="1" applyAlignment="1">
      <alignment horizontal="center" vertical="center" wrapText="1"/>
    </xf>
    <xf numFmtId="165" fontId="57" fillId="0" borderId="499" xfId="0" applyNumberFormat="1" applyFont="1" applyBorder="1" applyAlignment="1">
      <alignment vertical="center"/>
    </xf>
    <xf numFmtId="165" fontId="72" fillId="0" borderId="499" xfId="0" applyNumberFormat="1" applyFont="1" applyBorder="1" applyAlignment="1">
      <alignment vertical="center"/>
    </xf>
    <xf numFmtId="49" fontId="26" fillId="0" borderId="499" xfId="0" applyNumberFormat="1" applyFont="1" applyBorder="1" applyAlignment="1">
      <alignment horizontal="center" vertical="center"/>
    </xf>
    <xf numFmtId="0" fontId="26" fillId="0" borderId="500" xfId="0" applyFont="1" applyBorder="1" applyAlignment="1">
      <alignment horizontal="center" vertical="center"/>
    </xf>
    <xf numFmtId="0" fontId="57" fillId="0" borderId="254" xfId="0" applyFont="1" applyBorder="1" applyAlignment="1">
      <alignment horizontal="center" vertical="center"/>
    </xf>
    <xf numFmtId="165" fontId="57" fillId="0" borderId="254" xfId="0" applyNumberFormat="1" applyFont="1" applyBorder="1" applyAlignment="1">
      <alignment vertical="center"/>
    </xf>
    <xf numFmtId="165" fontId="72" fillId="0" borderId="254" xfId="0" applyNumberFormat="1" applyFont="1" applyBorder="1" applyAlignment="1">
      <alignment vertical="center"/>
    </xf>
    <xf numFmtId="0" fontId="38" fillId="0" borderId="500" xfId="0" applyFont="1" applyBorder="1" applyAlignment="1">
      <alignment horizontal="center" vertical="center"/>
    </xf>
    <xf numFmtId="0" fontId="72" fillId="0" borderId="254" xfId="0" applyFont="1" applyBorder="1" applyAlignment="1">
      <alignment horizontal="center" vertical="center"/>
    </xf>
    <xf numFmtId="0" fontId="26" fillId="0" borderId="501" xfId="0" applyFont="1" applyBorder="1" applyAlignment="1">
      <alignment horizontal="center" vertical="center"/>
    </xf>
    <xf numFmtId="0" fontId="57" fillId="0" borderId="256" xfId="0" applyFont="1" applyBorder="1" applyAlignment="1">
      <alignment horizontal="center" vertical="center"/>
    </xf>
    <xf numFmtId="0" fontId="57" fillId="0" borderId="256" xfId="0" applyFont="1" applyBorder="1" applyAlignment="1">
      <alignment horizontal="center" vertical="center" wrapText="1"/>
    </xf>
    <xf numFmtId="165" fontId="57" fillId="0" borderId="256" xfId="0" applyNumberFormat="1" applyFont="1" applyBorder="1" applyAlignment="1">
      <alignment vertical="center"/>
    </xf>
    <xf numFmtId="165" fontId="72" fillId="0" borderId="256" xfId="0" applyNumberFormat="1" applyFont="1" applyBorder="1" applyAlignment="1">
      <alignment vertical="center"/>
    </xf>
    <xf numFmtId="0" fontId="38" fillId="0" borderId="502" xfId="0" applyFont="1" applyBorder="1" applyAlignment="1">
      <alignment horizontal="center" vertical="center"/>
    </xf>
    <xf numFmtId="0" fontId="38" fillId="0" borderId="502" xfId="0" applyFont="1" applyBorder="1" applyAlignment="1">
      <alignment horizontal="center" vertical="center" wrapText="1"/>
    </xf>
    <xf numFmtId="0" fontId="26" fillId="0" borderId="254" xfId="0" applyFont="1" applyBorder="1" applyAlignment="1">
      <alignment horizontal="left" vertical="center" wrapText="1"/>
    </xf>
    <xf numFmtId="165" fontId="34" fillId="0" borderId="254" xfId="0" applyNumberFormat="1" applyFont="1" applyBorder="1" applyAlignment="1">
      <alignment vertical="center"/>
    </xf>
    <xf numFmtId="0" fontId="14" fillId="0" borderId="254" xfId="0" applyFont="1" applyBorder="1" applyAlignment="1">
      <alignment horizontal="center" vertical="center" wrapText="1"/>
    </xf>
    <xf numFmtId="0" fontId="30" fillId="0" borderId="254" xfId="0" applyFont="1" applyBorder="1" applyAlignment="1">
      <alignment horizontal="center" vertical="center" wrapText="1"/>
    </xf>
    <xf numFmtId="0" fontId="72" fillId="0" borderId="254" xfId="0" applyFont="1" applyBorder="1" applyAlignment="1">
      <alignment horizontal="center" vertical="center" wrapText="1"/>
    </xf>
    <xf numFmtId="0" fontId="14" fillId="0" borderId="254" xfId="0" applyFont="1" applyBorder="1" applyAlignment="1">
      <alignment horizontal="left" vertical="center" wrapText="1"/>
    </xf>
    <xf numFmtId="0" fontId="57" fillId="0" borderId="254" xfId="0" applyFont="1" applyBorder="1" applyAlignment="1">
      <alignment horizontal="center" vertical="center" wrapText="1"/>
    </xf>
    <xf numFmtId="0" fontId="26" fillId="0" borderId="254" xfId="0" applyFont="1" applyBorder="1" applyAlignment="1">
      <alignment horizontal="center" vertical="center" wrapText="1"/>
    </xf>
    <xf numFmtId="0" fontId="25" fillId="0" borderId="254" xfId="0" applyFont="1" applyBorder="1" applyAlignment="1">
      <alignment horizontal="center" vertical="center" wrapText="1"/>
    </xf>
    <xf numFmtId="0" fontId="38" fillId="0" borderId="254" xfId="0" applyFont="1" applyBorder="1" applyAlignment="1">
      <alignment horizontal="left" vertical="center" wrapText="1"/>
    </xf>
    <xf numFmtId="0" fontId="72" fillId="0" borderId="256" xfId="0" applyFont="1" applyBorder="1" applyAlignment="1">
      <alignment horizontal="center" vertical="center" wrapText="1"/>
    </xf>
    <xf numFmtId="0" fontId="72" fillId="0" borderId="256" xfId="0" applyFont="1" applyBorder="1" applyAlignment="1">
      <alignment horizontal="center" vertical="center"/>
    </xf>
    <xf numFmtId="0" fontId="38" fillId="0" borderId="256" xfId="0" applyFont="1" applyBorder="1" applyAlignment="1">
      <alignment horizontal="left" vertical="center" wrapText="1"/>
    </xf>
    <xf numFmtId="0" fontId="25" fillId="0" borderId="256" xfId="0" applyFont="1" applyBorder="1" applyAlignment="1">
      <alignment horizontal="center" vertical="center" wrapText="1"/>
    </xf>
    <xf numFmtId="0" fontId="38" fillId="0" borderId="500" xfId="0" applyFont="1" applyBorder="1" applyAlignment="1">
      <alignment horizontal="center" vertical="center" wrapText="1"/>
    </xf>
    <xf numFmtId="0" fontId="72" fillId="4" borderId="254" xfId="0" applyFont="1" applyFill="1" applyBorder="1" applyAlignment="1">
      <alignment horizontal="center" vertical="center"/>
    </xf>
    <xf numFmtId="165" fontId="25" fillId="0" borderId="254" xfId="0" applyNumberFormat="1" applyFont="1" applyBorder="1" applyAlignment="1">
      <alignment horizontal="center" vertical="center" wrapText="1"/>
    </xf>
    <xf numFmtId="0" fontId="38" fillId="4" borderId="500" xfId="0" applyFont="1" applyFill="1" applyBorder="1" applyAlignment="1">
      <alignment horizontal="center" vertical="center" wrapText="1"/>
    </xf>
    <xf numFmtId="0" fontId="72" fillId="4" borderId="254" xfId="0" applyFont="1" applyFill="1" applyBorder="1" applyAlignment="1">
      <alignment horizontal="center" vertical="center" wrapText="1"/>
    </xf>
    <xf numFmtId="0" fontId="38" fillId="4" borderId="254" xfId="0" applyFont="1" applyFill="1" applyBorder="1" applyAlignment="1">
      <alignment horizontal="left" vertical="center" wrapText="1"/>
    </xf>
    <xf numFmtId="0" fontId="57" fillId="4" borderId="254" xfId="0" applyFont="1" applyFill="1" applyBorder="1" applyAlignment="1">
      <alignment horizontal="center" vertical="center" wrapText="1"/>
    </xf>
    <xf numFmtId="165" fontId="57" fillId="4" borderId="254" xfId="0" applyNumberFormat="1" applyFont="1" applyFill="1" applyBorder="1" applyAlignment="1">
      <alignment vertical="center"/>
    </xf>
    <xf numFmtId="165" fontId="72" fillId="4" borderId="254" xfId="0" applyNumberFormat="1" applyFont="1" applyFill="1" applyBorder="1" applyAlignment="1">
      <alignment vertical="center"/>
    </xf>
    <xf numFmtId="165" fontId="25" fillId="4" borderId="254" xfId="0" applyNumberFormat="1" applyFont="1" applyFill="1" applyBorder="1" applyAlignment="1">
      <alignment horizontal="center" vertical="center" wrapText="1"/>
    </xf>
    <xf numFmtId="0" fontId="26" fillId="4" borderId="500" xfId="0" applyFont="1" applyFill="1" applyBorder="1" applyAlignment="1">
      <alignment horizontal="center" vertical="center"/>
    </xf>
    <xf numFmtId="165" fontId="34" fillId="4" borderId="254" xfId="0" applyNumberFormat="1" applyFont="1" applyFill="1" applyBorder="1" applyAlignment="1">
      <alignment vertical="center"/>
    </xf>
    <xf numFmtId="0" fontId="72" fillId="4" borderId="256" xfId="0" applyFont="1" applyFill="1" applyBorder="1" applyAlignment="1">
      <alignment horizontal="center" vertical="center"/>
    </xf>
    <xf numFmtId="0" fontId="26" fillId="0" borderId="505" xfId="0" applyFont="1" applyBorder="1" applyAlignment="1">
      <alignment horizontal="center" vertical="center"/>
    </xf>
    <xf numFmtId="0" fontId="57" fillId="0" borderId="506" xfId="0" applyFont="1" applyBorder="1" applyAlignment="1">
      <alignment horizontal="center" vertical="center"/>
    </xf>
    <xf numFmtId="0" fontId="26" fillId="0" borderId="506" xfId="0" applyFont="1" applyBorder="1" applyAlignment="1">
      <alignment horizontal="left" vertical="center" wrapText="1"/>
    </xf>
    <xf numFmtId="0" fontId="57" fillId="0" borderId="506" xfId="0" applyFont="1" applyBorder="1" applyAlignment="1">
      <alignment horizontal="center" vertical="center" wrapText="1"/>
    </xf>
    <xf numFmtId="0" fontId="26" fillId="0" borderId="506" xfId="0" applyFont="1" applyBorder="1" applyAlignment="1">
      <alignment horizontal="center" vertical="center" wrapText="1"/>
    </xf>
    <xf numFmtId="165" fontId="57" fillId="0" borderId="506" xfId="0" applyNumberFormat="1" applyFont="1" applyBorder="1" applyAlignment="1">
      <alignment vertical="center"/>
    </xf>
    <xf numFmtId="165" fontId="72" fillId="0" borderId="506" xfId="0" applyNumberFormat="1" applyFont="1" applyBorder="1" applyAlignment="1">
      <alignment vertical="center"/>
    </xf>
    <xf numFmtId="49" fontId="26" fillId="0" borderId="506" xfId="0" applyNumberFormat="1" applyFont="1" applyBorder="1" applyAlignment="1">
      <alignment horizontal="center" vertical="center"/>
    </xf>
    <xf numFmtId="0" fontId="38" fillId="0" borderId="507" xfId="0" applyFont="1" applyBorder="1" applyAlignment="1">
      <alignment horizontal="center" vertical="center"/>
    </xf>
    <xf numFmtId="0" fontId="72" fillId="0" borderId="252" xfId="0" applyFont="1" applyBorder="1" applyAlignment="1">
      <alignment horizontal="center" vertical="center"/>
    </xf>
    <xf numFmtId="0" fontId="57" fillId="0" borderId="252" xfId="0" applyFont="1" applyBorder="1" applyAlignment="1">
      <alignment horizontal="center" vertical="center" wrapText="1"/>
    </xf>
    <xf numFmtId="165" fontId="57" fillId="0" borderId="252" xfId="0" applyNumberFormat="1" applyFont="1" applyBorder="1" applyAlignment="1">
      <alignment vertical="center"/>
    </xf>
    <xf numFmtId="165" fontId="72" fillId="0" borderId="252" xfId="0" applyNumberFormat="1" applyFont="1" applyBorder="1" applyAlignment="1">
      <alignment vertical="center"/>
    </xf>
    <xf numFmtId="0" fontId="26" fillId="0" borderId="354" xfId="0" applyFont="1" applyBorder="1" applyAlignment="1">
      <alignment vertical="center" wrapText="1"/>
    </xf>
    <xf numFmtId="1" fontId="56" fillId="0" borderId="354" xfId="0" applyNumberFormat="1" applyFont="1" applyBorder="1" applyAlignment="1">
      <alignment horizontal="center" vertical="center" wrapText="1"/>
    </xf>
    <xf numFmtId="0" fontId="26" fillId="0" borderId="509" xfId="0" applyFont="1" applyBorder="1" applyAlignment="1">
      <alignment vertical="center" wrapText="1"/>
    </xf>
    <xf numFmtId="0" fontId="35" fillId="0" borderId="252" xfId="0" applyFont="1" applyBorder="1" applyAlignment="1">
      <alignment horizontal="center" vertical="center"/>
    </xf>
    <xf numFmtId="0" fontId="11" fillId="0" borderId="252" xfId="0" applyFont="1" applyBorder="1" applyAlignment="1">
      <alignment horizontal="left" vertical="center" wrapText="1"/>
    </xf>
    <xf numFmtId="0" fontId="26" fillId="4" borderId="354" xfId="0" applyFont="1" applyFill="1" applyBorder="1" applyAlignment="1">
      <alignment vertical="center" wrapText="1"/>
    </xf>
    <xf numFmtId="0" fontId="26" fillId="4" borderId="354" xfId="0" applyFont="1" applyFill="1" applyBorder="1" applyAlignment="1">
      <alignment horizontal="left" vertical="center" wrapText="1"/>
    </xf>
    <xf numFmtId="0" fontId="26" fillId="0" borderId="509" xfId="0" applyFont="1" applyBorder="1" applyAlignment="1">
      <alignment horizontal="left" vertical="center" wrapText="1"/>
    </xf>
    <xf numFmtId="0" fontId="11" fillId="0" borderId="500" xfId="0" applyFont="1" applyBorder="1" applyAlignment="1">
      <alignment horizontal="center" vertical="center" wrapText="1"/>
    </xf>
    <xf numFmtId="0" fontId="14" fillId="0" borderId="254" xfId="0" applyFont="1" applyBorder="1" applyAlignment="1">
      <alignment vertical="center" wrapText="1"/>
    </xf>
    <xf numFmtId="0" fontId="57" fillId="0" borderId="254" xfId="0" applyFont="1" applyBorder="1" applyAlignment="1">
      <alignment horizontal="right" vertical="center" wrapText="1"/>
    </xf>
    <xf numFmtId="49" fontId="14" fillId="0" borderId="254" xfId="0" applyNumberFormat="1" applyFont="1" applyBorder="1" applyAlignment="1">
      <alignment horizontal="center" vertical="center"/>
    </xf>
    <xf numFmtId="0" fontId="38" fillId="0" borderId="254" xfId="0" applyFont="1" applyBorder="1" applyAlignment="1">
      <alignment vertical="center" wrapText="1"/>
    </xf>
    <xf numFmtId="165" fontId="72" fillId="0" borderId="254" xfId="0" applyNumberFormat="1" applyFont="1" applyBorder="1" applyAlignment="1">
      <alignment horizontal="right" vertical="center" wrapText="1"/>
    </xf>
    <xf numFmtId="0" fontId="38" fillId="0" borderId="256" xfId="0" applyFont="1" applyBorder="1" applyAlignment="1">
      <alignment vertical="center" wrapText="1"/>
    </xf>
    <xf numFmtId="165" fontId="72" fillId="0" borderId="256" xfId="0" applyNumberFormat="1" applyFont="1" applyBorder="1" applyAlignment="1">
      <alignment horizontal="right" vertical="center" wrapText="1"/>
    </xf>
    <xf numFmtId="0" fontId="26" fillId="0" borderId="254" xfId="0" applyFont="1" applyBorder="1" applyAlignment="1">
      <alignment vertical="center" wrapText="1"/>
    </xf>
    <xf numFmtId="0" fontId="35" fillId="0" borderId="254" xfId="0" applyFont="1" applyBorder="1" applyAlignment="1">
      <alignment horizontal="center" vertical="center"/>
    </xf>
    <xf numFmtId="0" fontId="11" fillId="0" borderId="254" xfId="0" applyFont="1" applyBorder="1" applyAlignment="1">
      <alignment horizontal="left" vertical="center" wrapText="1"/>
    </xf>
    <xf numFmtId="0" fontId="34" fillId="0" borderId="254" xfId="0" applyFont="1" applyBorder="1" applyAlignment="1">
      <alignment horizontal="center" vertical="center" wrapText="1"/>
    </xf>
    <xf numFmtId="0" fontId="33" fillId="0" borderId="256" xfId="0" applyFont="1" applyBorder="1" applyAlignment="1">
      <alignment vertical="center"/>
    </xf>
    <xf numFmtId="0" fontId="38" fillId="0" borderId="500" xfId="0" applyFont="1" applyBorder="1" applyAlignment="1">
      <alignment horizontal="right" vertical="center" wrapText="1"/>
    </xf>
    <xf numFmtId="0" fontId="38" fillId="0" borderId="501" xfId="0" applyFont="1" applyBorder="1" applyAlignment="1">
      <alignment horizontal="right" vertical="center" wrapText="1"/>
    </xf>
    <xf numFmtId="0" fontId="38" fillId="0" borderId="502" xfId="0" applyFont="1" applyBorder="1" applyAlignment="1">
      <alignment horizontal="right" vertical="center"/>
    </xf>
    <xf numFmtId="0" fontId="26" fillId="0" borderId="500" xfId="0" applyFont="1" applyBorder="1" applyAlignment="1">
      <alignment horizontal="right" vertical="center"/>
    </xf>
    <xf numFmtId="0" fontId="26" fillId="0" borderId="512" xfId="0" applyFont="1" applyBorder="1" applyAlignment="1">
      <alignment horizontal="right" vertical="center"/>
    </xf>
    <xf numFmtId="0" fontId="57" fillId="0" borderId="257" xfId="0" applyFont="1" applyBorder="1" applyAlignment="1">
      <alignment horizontal="center" vertical="center"/>
    </xf>
    <xf numFmtId="0" fontId="57" fillId="0" borderId="257" xfId="0" applyFont="1" applyBorder="1" applyAlignment="1">
      <alignment horizontal="center" vertical="center" wrapText="1"/>
    </xf>
    <xf numFmtId="165" fontId="57" fillId="0" borderId="257" xfId="0" applyNumberFormat="1" applyFont="1" applyBorder="1" applyAlignment="1">
      <alignment vertical="center"/>
    </xf>
    <xf numFmtId="165" fontId="72" fillId="0" borderId="257" xfId="0" applyNumberFormat="1" applyFont="1" applyBorder="1" applyAlignment="1">
      <alignment vertical="center"/>
    </xf>
    <xf numFmtId="0" fontId="38" fillId="0" borderId="507" xfId="0" applyFont="1" applyBorder="1" applyAlignment="1">
      <alignment horizontal="right" vertical="center"/>
    </xf>
    <xf numFmtId="0" fontId="38" fillId="0" borderId="500" xfId="0" applyFont="1" applyBorder="1" applyAlignment="1">
      <alignment horizontal="right" vertical="center"/>
    </xf>
    <xf numFmtId="0" fontId="26" fillId="0" borderId="501" xfId="0" applyFont="1" applyBorder="1" applyAlignment="1">
      <alignment horizontal="right" vertical="center"/>
    </xf>
    <xf numFmtId="0" fontId="39" fillId="0" borderId="252" xfId="0" applyFont="1" applyBorder="1" applyAlignment="1">
      <alignment horizontal="center" vertical="center"/>
    </xf>
    <xf numFmtId="0" fontId="33" fillId="0" borderId="252" xfId="0" applyFont="1" applyBorder="1" applyAlignment="1">
      <alignment vertical="center"/>
    </xf>
    <xf numFmtId="0" fontId="39" fillId="0" borderId="252" xfId="0" applyFont="1" applyBorder="1" applyAlignment="1">
      <alignment vertical="center"/>
    </xf>
    <xf numFmtId="0" fontId="39" fillId="0" borderId="254" xfId="0" applyFont="1" applyBorder="1" applyAlignment="1">
      <alignment horizontal="center" vertical="center"/>
    </xf>
    <xf numFmtId="0" fontId="33" fillId="0" borderId="254" xfId="0" applyFont="1" applyBorder="1" applyAlignment="1">
      <alignment vertical="center"/>
    </xf>
    <xf numFmtId="0" fontId="39" fillId="0" borderId="254" xfId="0" applyFont="1" applyBorder="1" applyAlignment="1">
      <alignment vertical="center"/>
    </xf>
    <xf numFmtId="0" fontId="39" fillId="0" borderId="256" xfId="0" applyFont="1" applyBorder="1" applyAlignment="1">
      <alignment horizontal="center" vertical="center"/>
    </xf>
    <xf numFmtId="0" fontId="39" fillId="0" borderId="256" xfId="0" applyFont="1" applyBorder="1" applyAlignment="1">
      <alignment vertical="center"/>
    </xf>
    <xf numFmtId="0" fontId="26" fillId="0" borderId="502" xfId="0" applyFont="1" applyBorder="1" applyAlignment="1">
      <alignment horizontal="right" vertical="center"/>
    </xf>
    <xf numFmtId="0" fontId="26" fillId="0" borderId="505" xfId="0" applyFont="1" applyBorder="1" applyAlignment="1">
      <alignment horizontal="right" vertical="center"/>
    </xf>
    <xf numFmtId="0" fontId="38" fillId="0" borderId="498" xfId="0" applyFont="1" applyBorder="1" applyAlignment="1">
      <alignment horizontal="right" vertical="center"/>
    </xf>
    <xf numFmtId="0" fontId="72" fillId="0" borderId="499" xfId="0" applyFont="1" applyBorder="1" applyAlignment="1">
      <alignment horizontal="right" vertical="center"/>
    </xf>
    <xf numFmtId="0" fontId="57" fillId="0" borderId="254" xfId="0" applyFont="1" applyBorder="1" applyAlignment="1">
      <alignment horizontal="right" vertical="center"/>
    </xf>
    <xf numFmtId="0" fontId="72" fillId="0" borderId="254" xfId="0" applyFont="1" applyBorder="1" applyAlignment="1">
      <alignment horizontal="right" vertical="center"/>
    </xf>
    <xf numFmtId="0" fontId="57" fillId="0" borderId="257" xfId="0" applyFont="1" applyBorder="1" applyAlignment="1">
      <alignment horizontal="right" vertical="center"/>
    </xf>
    <xf numFmtId="0" fontId="72" fillId="0" borderId="252" xfId="0" applyFont="1" applyBorder="1" applyAlignment="1">
      <alignment horizontal="right" vertical="center"/>
    </xf>
    <xf numFmtId="0" fontId="57" fillId="0" borderId="256" xfId="0" applyFont="1" applyBorder="1" applyAlignment="1">
      <alignment horizontal="right" vertical="center"/>
    </xf>
    <xf numFmtId="0" fontId="57" fillId="0" borderId="506" xfId="0" applyFont="1" applyBorder="1" applyAlignment="1">
      <alignment horizontal="right" vertical="center"/>
    </xf>
    <xf numFmtId="0" fontId="14" fillId="4" borderId="62" xfId="0" applyFont="1" applyFill="1" applyBorder="1" applyAlignment="1">
      <alignment horizontal="left" vertical="center"/>
    </xf>
    <xf numFmtId="1" fontId="14" fillId="0" borderId="0" xfId="0" applyNumberFormat="1" applyFont="1" applyAlignment="1">
      <alignment vertical="center"/>
    </xf>
    <xf numFmtId="0" fontId="14" fillId="0" borderId="0" xfId="0" applyFont="1" applyAlignment="1">
      <alignment horizontal="right" vertical="center" wrapText="1"/>
    </xf>
    <xf numFmtId="0" fontId="40" fillId="0" borderId="0" xfId="0" applyFont="1" applyAlignment="1">
      <alignment horizontal="right" vertical="center" wrapText="1"/>
    </xf>
    <xf numFmtId="4" fontId="14" fillId="0" borderId="0" xfId="0" applyNumberFormat="1" applyFont="1" applyAlignment="1">
      <alignment vertical="center"/>
    </xf>
    <xf numFmtId="44" fontId="14" fillId="3" borderId="0" xfId="0" applyNumberFormat="1" applyFont="1" applyFill="1" applyAlignment="1">
      <alignment vertical="center"/>
    </xf>
    <xf numFmtId="0" fontId="13" fillId="4" borderId="5" xfId="0" applyFont="1" applyFill="1" applyBorder="1" applyAlignment="1">
      <alignment horizontal="center" vertical="center"/>
    </xf>
    <xf numFmtId="0" fontId="13" fillId="0" borderId="0" xfId="0" applyFont="1" applyAlignment="1">
      <alignment vertical="center"/>
    </xf>
    <xf numFmtId="0" fontId="0" fillId="0" borderId="0" xfId="0" applyFont="1" applyAlignment="1"/>
    <xf numFmtId="0" fontId="26" fillId="0" borderId="0" xfId="0" applyFont="1" applyAlignment="1">
      <alignment horizontal="left" vertical="center" wrapText="1"/>
    </xf>
    <xf numFmtId="0" fontId="14" fillId="0" borderId="0" xfId="0" applyFont="1" applyAlignment="1">
      <alignment horizontal="left" vertical="center" wrapText="1"/>
    </xf>
    <xf numFmtId="0" fontId="7" fillId="0" borderId="375" xfId="0" applyFont="1" applyBorder="1" applyAlignment="1">
      <alignment vertical="center" wrapText="1"/>
    </xf>
    <xf numFmtId="49" fontId="24" fillId="4" borderId="49" xfId="0" applyNumberFormat="1" applyFont="1" applyFill="1" applyBorder="1" applyAlignment="1">
      <alignment horizontal="center" vertical="center"/>
    </xf>
    <xf numFmtId="0" fontId="24" fillId="4" borderId="49" xfId="0" applyFont="1" applyFill="1" applyBorder="1" applyAlignment="1">
      <alignment horizontal="center" vertical="center" wrapText="1"/>
    </xf>
    <xf numFmtId="0" fontId="25" fillId="4" borderId="49" xfId="0" applyFont="1" applyFill="1" applyBorder="1" applyAlignment="1">
      <alignment horizontal="center" vertical="center" wrapText="1"/>
    </xf>
    <xf numFmtId="49" fontId="25" fillId="4" borderId="49" xfId="0" applyNumberFormat="1" applyFont="1" applyFill="1" applyBorder="1" applyAlignment="1">
      <alignment horizontal="center" vertical="center"/>
    </xf>
    <xf numFmtId="0" fontId="24" fillId="4" borderId="23" xfId="0" applyFont="1" applyFill="1" applyBorder="1" applyAlignment="1">
      <alignment horizontal="center" vertical="center"/>
    </xf>
    <xf numFmtId="0" fontId="25" fillId="4" borderId="28" xfId="0" applyFont="1" applyFill="1" applyBorder="1" applyAlignment="1">
      <alignment horizontal="center" vertical="center"/>
    </xf>
    <xf numFmtId="0" fontId="24" fillId="4" borderId="28" xfId="0" applyFont="1" applyFill="1" applyBorder="1" applyAlignment="1">
      <alignment horizontal="center" vertical="center"/>
    </xf>
    <xf numFmtId="0" fontId="25" fillId="4" borderId="33" xfId="0" applyFont="1" applyFill="1" applyBorder="1" applyAlignment="1">
      <alignment horizontal="center" vertical="center"/>
    </xf>
    <xf numFmtId="49" fontId="24" fillId="4" borderId="38" xfId="0" applyNumberFormat="1" applyFont="1" applyFill="1" applyBorder="1" applyAlignment="1">
      <alignment horizontal="center" vertical="center"/>
    </xf>
    <xf numFmtId="0" fontId="24" fillId="4" borderId="38" xfId="0" applyFont="1" applyFill="1" applyBorder="1" applyAlignment="1">
      <alignment horizontal="center" vertical="center"/>
    </xf>
    <xf numFmtId="0" fontId="24" fillId="4" borderId="45" xfId="0" applyFont="1" applyFill="1" applyBorder="1" applyAlignment="1">
      <alignment horizontal="center" vertical="center"/>
    </xf>
    <xf numFmtId="0" fontId="25" fillId="4" borderId="47" xfId="0" applyFont="1" applyFill="1" applyBorder="1" applyAlignment="1">
      <alignment horizontal="center" vertical="center"/>
    </xf>
    <xf numFmtId="0" fontId="27" fillId="4" borderId="28" xfId="0" applyFont="1" applyFill="1" applyBorder="1" applyAlignment="1">
      <alignment horizontal="center" vertical="center"/>
    </xf>
    <xf numFmtId="0" fontId="27" fillId="4" borderId="33" xfId="0" applyFont="1" applyFill="1" applyBorder="1" applyAlignment="1">
      <alignment horizontal="center" vertical="center"/>
    </xf>
    <xf numFmtId="0" fontId="25" fillId="4" borderId="54" xfId="0" applyFont="1" applyFill="1" applyBorder="1" applyAlignment="1">
      <alignment horizontal="center" vertical="center"/>
    </xf>
    <xf numFmtId="0" fontId="120" fillId="4" borderId="24" xfId="0" applyFont="1" applyFill="1" applyBorder="1" applyAlignment="1">
      <alignment horizontal="center" vertical="center"/>
    </xf>
    <xf numFmtId="0" fontId="113" fillId="4" borderId="29" xfId="0" applyFont="1" applyFill="1" applyBorder="1" applyAlignment="1">
      <alignment horizontal="center" vertical="center"/>
    </xf>
    <xf numFmtId="0" fontId="120" fillId="4" borderId="29" xfId="0" applyFont="1" applyFill="1" applyBorder="1" applyAlignment="1">
      <alignment horizontal="center" vertical="center"/>
    </xf>
    <xf numFmtId="0" fontId="113" fillId="4" borderId="34" xfId="0" applyFont="1" applyFill="1" applyBorder="1" applyAlignment="1">
      <alignment horizontal="center" vertical="center"/>
    </xf>
    <xf numFmtId="0" fontId="120" fillId="4" borderId="39" xfId="0" applyFont="1" applyFill="1" applyBorder="1" applyAlignment="1">
      <alignment horizontal="center" vertical="center"/>
    </xf>
    <xf numFmtId="0" fontId="120" fillId="4" borderId="49" xfId="0" applyFont="1" applyFill="1" applyBorder="1" applyAlignment="1">
      <alignment horizontal="center" vertical="center"/>
    </xf>
    <xf numFmtId="0" fontId="113" fillId="4" borderId="48" xfId="0" applyFont="1" applyFill="1" applyBorder="1" applyAlignment="1">
      <alignment horizontal="center" vertical="center"/>
    </xf>
    <xf numFmtId="0" fontId="120" fillId="4" borderId="34" xfId="0" applyFont="1" applyFill="1" applyBorder="1" applyAlignment="1">
      <alignment horizontal="center" vertical="center"/>
    </xf>
    <xf numFmtId="49" fontId="120" fillId="4" borderId="39" xfId="0" applyNumberFormat="1" applyFont="1" applyFill="1" applyBorder="1" applyAlignment="1">
      <alignment horizontal="center" vertical="center"/>
    </xf>
    <xf numFmtId="0" fontId="121" fillId="4" borderId="29" xfId="0" applyFont="1" applyFill="1" applyBorder="1" applyAlignment="1">
      <alignment horizontal="center" vertical="center"/>
    </xf>
    <xf numFmtId="0" fontId="121" fillId="4" borderId="34" xfId="0" applyFont="1" applyFill="1" applyBorder="1" applyAlignment="1">
      <alignment horizontal="center" vertical="center"/>
    </xf>
    <xf numFmtId="0" fontId="113" fillId="4" borderId="55" xfId="0" applyFont="1" applyFill="1" applyBorder="1" applyAlignment="1">
      <alignment horizontal="center" vertical="center"/>
    </xf>
    <xf numFmtId="49" fontId="113" fillId="4" borderId="29" xfId="0" applyNumberFormat="1" applyFont="1" applyFill="1" applyBorder="1" applyAlignment="1">
      <alignment horizontal="center" vertical="center"/>
    </xf>
    <xf numFmtId="49" fontId="113" fillId="4" borderId="44" xfId="0" applyNumberFormat="1" applyFont="1" applyFill="1" applyBorder="1" applyAlignment="1">
      <alignment horizontal="center" vertical="center"/>
    </xf>
    <xf numFmtId="0" fontId="24" fillId="4" borderId="24" xfId="0" applyFont="1" applyFill="1" applyBorder="1" applyAlignment="1">
      <alignment horizontal="left" vertical="center" wrapText="1" indent="1"/>
    </xf>
    <xf numFmtId="0" fontId="25" fillId="4" borderId="29" xfId="0" applyFont="1" applyFill="1" applyBorder="1" applyAlignment="1">
      <alignment horizontal="left" vertical="center" wrapText="1" indent="1"/>
    </xf>
    <xf numFmtId="0" fontId="25" fillId="4" borderId="34" xfId="0" applyFont="1" applyFill="1" applyBorder="1" applyAlignment="1">
      <alignment horizontal="left" vertical="center" wrapText="1" indent="1"/>
    </xf>
    <xf numFmtId="49" fontId="24" fillId="4" borderId="39" xfId="0" applyNumberFormat="1" applyFont="1" applyFill="1" applyBorder="1" applyAlignment="1">
      <alignment horizontal="left" vertical="center" wrapText="1" indent="1"/>
    </xf>
    <xf numFmtId="49" fontId="25" fillId="4" borderId="29" xfId="0" applyNumberFormat="1" applyFont="1" applyFill="1" applyBorder="1" applyAlignment="1">
      <alignment horizontal="left" vertical="center" wrapText="1" indent="1"/>
    </xf>
    <xf numFmtId="0" fontId="24" fillId="4" borderId="39" xfId="0" applyFont="1" applyFill="1" applyBorder="1" applyAlignment="1">
      <alignment horizontal="left" vertical="center" wrapText="1" indent="1"/>
    </xf>
    <xf numFmtId="49" fontId="24" fillId="4" borderId="49" xfId="0" applyNumberFormat="1" applyFont="1" applyFill="1" applyBorder="1" applyAlignment="1">
      <alignment horizontal="left" vertical="center" wrapText="1" indent="1"/>
    </xf>
    <xf numFmtId="49" fontId="25" fillId="4" borderId="44" xfId="0" applyNumberFormat="1" applyFont="1" applyFill="1" applyBorder="1" applyAlignment="1">
      <alignment horizontal="left" vertical="center" wrapText="1" indent="1"/>
    </xf>
    <xf numFmtId="0" fontId="24" fillId="4" borderId="29" xfId="0" applyFont="1" applyFill="1" applyBorder="1" applyAlignment="1">
      <alignment horizontal="left" vertical="center" wrapText="1" indent="1"/>
    </xf>
    <xf numFmtId="0" fontId="25" fillId="4" borderId="48" xfId="0" applyFont="1" applyFill="1" applyBorder="1" applyAlignment="1">
      <alignment horizontal="left" vertical="center" wrapText="1" indent="1"/>
    </xf>
    <xf numFmtId="49" fontId="27" fillId="4" borderId="29" xfId="0" applyNumberFormat="1" applyFont="1" applyFill="1" applyBorder="1" applyAlignment="1">
      <alignment horizontal="left" vertical="center" wrapText="1" indent="1"/>
    </xf>
    <xf numFmtId="0" fontId="27" fillId="4" borderId="34" xfId="0" applyFont="1" applyFill="1" applyBorder="1" applyAlignment="1">
      <alignment horizontal="left" vertical="center" wrapText="1" indent="1"/>
    </xf>
    <xf numFmtId="0" fontId="25" fillId="4" borderId="55" xfId="0" applyFont="1" applyFill="1" applyBorder="1" applyAlignment="1">
      <alignment horizontal="left" vertical="center" wrapText="1" indent="1"/>
    </xf>
    <xf numFmtId="0" fontId="119" fillId="4" borderId="24" xfId="0" applyFont="1" applyFill="1" applyBorder="1" applyAlignment="1">
      <alignment horizontal="center" vertical="center" wrapText="1"/>
    </xf>
    <xf numFmtId="0" fontId="119" fillId="4" borderId="29" xfId="0" applyFont="1" applyFill="1" applyBorder="1" applyAlignment="1">
      <alignment horizontal="center" vertical="center" wrapText="1"/>
    </xf>
    <xf numFmtId="0" fontId="119" fillId="4" borderId="34" xfId="0" applyFont="1" applyFill="1" applyBorder="1" applyAlignment="1">
      <alignment horizontal="center" vertical="center" wrapText="1"/>
    </xf>
    <xf numFmtId="0" fontId="119" fillId="4" borderId="39" xfId="0" applyFont="1" applyFill="1" applyBorder="1" applyAlignment="1">
      <alignment horizontal="center" vertical="center" wrapText="1"/>
    </xf>
    <xf numFmtId="0" fontId="122" fillId="4" borderId="49" xfId="0" applyFont="1" applyFill="1" applyBorder="1" applyAlignment="1">
      <alignment horizontal="center" vertical="center" wrapText="1"/>
    </xf>
    <xf numFmtId="0" fontId="119" fillId="4" borderId="44" xfId="0" applyFont="1" applyFill="1" applyBorder="1" applyAlignment="1">
      <alignment horizontal="center" vertical="center" wrapText="1"/>
    </xf>
    <xf numFmtId="0" fontId="119" fillId="4" borderId="49" xfId="0" applyFont="1" applyFill="1" applyBorder="1" applyAlignment="1">
      <alignment horizontal="center" vertical="center" wrapText="1"/>
    </xf>
    <xf numFmtId="0" fontId="119" fillId="4" borderId="48" xfId="0" applyFont="1" applyFill="1" applyBorder="1" applyAlignment="1">
      <alignment horizontal="center" vertical="center" wrapText="1"/>
    </xf>
    <xf numFmtId="0" fontId="123" fillId="4" borderId="29" xfId="0" applyFont="1" applyFill="1" applyBorder="1" applyAlignment="1">
      <alignment horizontal="center" vertical="center" wrapText="1"/>
    </xf>
    <xf numFmtId="0" fontId="123" fillId="4" borderId="34" xfId="0" applyFont="1" applyFill="1" applyBorder="1" applyAlignment="1">
      <alignment horizontal="center" vertical="center" wrapText="1"/>
    </xf>
    <xf numFmtId="0" fontId="119" fillId="4" borderId="55" xfId="0" applyFont="1" applyFill="1" applyBorder="1" applyAlignment="1">
      <alignment horizontal="center" vertical="center" wrapText="1"/>
    </xf>
    <xf numFmtId="165" fontId="119" fillId="4" borderId="24" xfId="0" applyNumberFormat="1" applyFont="1" applyFill="1" applyBorder="1" applyAlignment="1">
      <alignment vertical="center"/>
    </xf>
    <xf numFmtId="165" fontId="122" fillId="4" borderId="24" xfId="0" applyNumberFormat="1" applyFont="1" applyFill="1" applyBorder="1" applyAlignment="1">
      <alignment vertical="center"/>
    </xf>
    <xf numFmtId="165" fontId="119" fillId="4" borderId="29" xfId="0" applyNumberFormat="1" applyFont="1" applyFill="1" applyBorder="1" applyAlignment="1">
      <alignment vertical="center"/>
    </xf>
    <xf numFmtId="165" fontId="122" fillId="4" borderId="29" xfId="0" applyNumberFormat="1" applyFont="1" applyFill="1" applyBorder="1" applyAlignment="1">
      <alignment vertical="center"/>
    </xf>
    <xf numFmtId="165" fontId="119" fillId="4" borderId="34" xfId="0" applyNumberFormat="1" applyFont="1" applyFill="1" applyBorder="1" applyAlignment="1">
      <alignment vertical="center"/>
    </xf>
    <xf numFmtId="165" fontId="122" fillId="4" borderId="34" xfId="0" applyNumberFormat="1" applyFont="1" applyFill="1" applyBorder="1" applyAlignment="1">
      <alignment vertical="center"/>
    </xf>
    <xf numFmtId="165" fontId="119" fillId="4" borderId="39" xfId="0" applyNumberFormat="1" applyFont="1" applyFill="1" applyBorder="1" applyAlignment="1">
      <alignment vertical="center"/>
    </xf>
    <xf numFmtId="165" fontId="122" fillId="4" borderId="39" xfId="0" applyNumberFormat="1" applyFont="1" applyFill="1" applyBorder="1" applyAlignment="1">
      <alignment vertical="center"/>
    </xf>
    <xf numFmtId="165" fontId="122" fillId="4" borderId="49" xfId="0" applyNumberFormat="1" applyFont="1" applyFill="1" applyBorder="1" applyAlignment="1">
      <alignment vertical="center"/>
    </xf>
    <xf numFmtId="165" fontId="119" fillId="4" borderId="44" xfId="0" applyNumberFormat="1" applyFont="1" applyFill="1" applyBorder="1" applyAlignment="1">
      <alignment vertical="center"/>
    </xf>
    <xf numFmtId="165" fontId="122" fillId="4" borderId="44" xfId="0" applyNumberFormat="1" applyFont="1" applyFill="1" applyBorder="1" applyAlignment="1">
      <alignment vertical="center"/>
    </xf>
    <xf numFmtId="165" fontId="119" fillId="4" borderId="49" xfId="0" applyNumberFormat="1" applyFont="1" applyFill="1" applyBorder="1" applyAlignment="1">
      <alignment vertical="center"/>
    </xf>
    <xf numFmtId="165" fontId="119" fillId="4" borderId="48" xfId="0" applyNumberFormat="1" applyFont="1" applyFill="1" applyBorder="1" applyAlignment="1">
      <alignment vertical="center"/>
    </xf>
    <xf numFmtId="165" fontId="123" fillId="4" borderId="29" xfId="0" applyNumberFormat="1" applyFont="1" applyFill="1" applyBorder="1" applyAlignment="1">
      <alignment vertical="center"/>
    </xf>
    <xf numFmtId="165" fontId="124" fillId="4" borderId="29" xfId="0" applyNumberFormat="1" applyFont="1" applyFill="1" applyBorder="1" applyAlignment="1">
      <alignment vertical="center"/>
    </xf>
    <xf numFmtId="165" fontId="123" fillId="4" borderId="44" xfId="0" applyNumberFormat="1" applyFont="1" applyFill="1" applyBorder="1" applyAlignment="1">
      <alignment vertical="center"/>
    </xf>
    <xf numFmtId="165" fontId="123" fillId="4" borderId="34" xfId="0" applyNumberFormat="1" applyFont="1" applyFill="1" applyBorder="1" applyAlignment="1">
      <alignment vertical="center"/>
    </xf>
    <xf numFmtId="165" fontId="124" fillId="4" borderId="34" xfId="0" applyNumberFormat="1" applyFont="1" applyFill="1" applyBorder="1" applyAlignment="1">
      <alignment vertical="center"/>
    </xf>
    <xf numFmtId="165" fontId="119" fillId="4" borderId="55" xfId="0" applyNumberFormat="1" applyFont="1" applyFill="1" applyBorder="1" applyAlignment="1">
      <alignment vertical="center"/>
    </xf>
    <xf numFmtId="165" fontId="122" fillId="4" borderId="55" xfId="0" applyNumberFormat="1" applyFont="1" applyFill="1" applyBorder="1" applyAlignment="1">
      <alignment vertical="center"/>
    </xf>
    <xf numFmtId="164" fontId="122" fillId="2" borderId="59" xfId="0" applyNumberFormat="1" applyFont="1" applyFill="1" applyBorder="1" applyAlignment="1">
      <alignment horizontal="center" vertical="center"/>
    </xf>
    <xf numFmtId="49" fontId="126" fillId="3" borderId="4" xfId="0" applyNumberFormat="1" applyFont="1" applyFill="1" applyBorder="1" applyAlignment="1">
      <alignment horizontal="left" vertical="center" indent="1"/>
    </xf>
    <xf numFmtId="49" fontId="126" fillId="3" borderId="5" xfId="0" applyNumberFormat="1" applyFont="1" applyFill="1" applyBorder="1" applyAlignment="1">
      <alignment horizontal="left" vertical="center" wrapText="1" indent="1"/>
    </xf>
    <xf numFmtId="0" fontId="126" fillId="3" borderId="4" xfId="0" applyFont="1" applyFill="1" applyBorder="1" applyAlignment="1">
      <alignment horizontal="left" vertical="center" indent="1"/>
    </xf>
    <xf numFmtId="49" fontId="127" fillId="0" borderId="5" xfId="0" applyNumberFormat="1" applyFont="1" applyBorder="1" applyAlignment="1">
      <alignment horizontal="center" vertical="center"/>
    </xf>
    <xf numFmtId="49" fontId="127" fillId="3" borderId="5" xfId="0" applyNumberFormat="1" applyFont="1" applyFill="1" applyBorder="1" applyAlignment="1">
      <alignment horizontal="center" vertical="center"/>
    </xf>
    <xf numFmtId="49" fontId="127" fillId="3" borderId="5" xfId="0" applyNumberFormat="1" applyFont="1" applyFill="1" applyBorder="1" applyAlignment="1">
      <alignment horizontal="center"/>
    </xf>
    <xf numFmtId="165" fontId="35" fillId="0" borderId="76" xfId="0" applyNumberFormat="1" applyFont="1" applyBorder="1" applyAlignment="1">
      <alignment horizontal="right" vertical="center"/>
    </xf>
    <xf numFmtId="165" fontId="35" fillId="0" borderId="61" xfId="0" applyNumberFormat="1" applyFont="1" applyBorder="1" applyAlignment="1">
      <alignment horizontal="right" vertical="center"/>
    </xf>
    <xf numFmtId="49" fontId="114" fillId="4" borderId="29" xfId="0" applyNumberFormat="1" applyFont="1" applyFill="1" applyBorder="1" applyAlignment="1">
      <alignment horizontal="left" vertical="center" wrapText="1" indent="1"/>
    </xf>
    <xf numFmtId="0" fontId="21" fillId="2" borderId="189" xfId="0" applyFont="1" applyFill="1" applyBorder="1" applyAlignment="1">
      <alignment horizontal="center" vertical="center"/>
    </xf>
    <xf numFmtId="0" fontId="23" fillId="3" borderId="375" xfId="0" applyFont="1" applyFill="1" applyBorder="1" applyAlignment="1">
      <alignment vertical="center"/>
    </xf>
    <xf numFmtId="0" fontId="31" fillId="0" borderId="375" xfId="0" applyFont="1" applyBorder="1" applyAlignment="1">
      <alignment horizontal="center" vertical="center" wrapText="1"/>
    </xf>
    <xf numFmtId="168" fontId="23" fillId="3" borderId="375" xfId="0" applyNumberFormat="1" applyFont="1" applyFill="1" applyBorder="1" applyAlignment="1">
      <alignment vertical="center"/>
    </xf>
    <xf numFmtId="0" fontId="0" fillId="0" borderId="375" xfId="0" applyFont="1" applyBorder="1" applyAlignment="1"/>
    <xf numFmtId="49" fontId="24" fillId="4" borderId="45" xfId="0" applyNumberFormat="1" applyFont="1" applyFill="1" applyBorder="1" applyAlignment="1">
      <alignment horizontal="center" vertical="center"/>
    </xf>
    <xf numFmtId="165" fontId="119" fillId="4" borderId="177" xfId="0" applyNumberFormat="1" applyFont="1" applyFill="1" applyBorder="1" applyAlignment="1">
      <alignment vertical="center"/>
    </xf>
    <xf numFmtId="0" fontId="24" fillId="4" borderId="49" xfId="0" applyFont="1" applyFill="1" applyBorder="1" applyAlignment="1">
      <alignment horizontal="left" vertical="center" wrapText="1" indent="1"/>
    </xf>
    <xf numFmtId="49" fontId="26" fillId="4" borderId="342" xfId="0" applyNumberFormat="1" applyFont="1" applyFill="1" applyBorder="1" applyAlignment="1">
      <alignment horizontal="center" vertical="center"/>
    </xf>
    <xf numFmtId="0" fontId="27" fillId="4" borderId="47" xfId="0" applyFont="1" applyFill="1" applyBorder="1" applyAlignment="1">
      <alignment horizontal="center" vertical="center"/>
    </xf>
    <xf numFmtId="0" fontId="121" fillId="4" borderId="48" xfId="0" applyFont="1" applyFill="1" applyBorder="1" applyAlignment="1">
      <alignment horizontal="center" vertical="center"/>
    </xf>
    <xf numFmtId="49" fontId="27" fillId="4" borderId="48" xfId="0" applyNumberFormat="1" applyFont="1" applyFill="1" applyBorder="1" applyAlignment="1">
      <alignment horizontal="center" vertical="center"/>
    </xf>
    <xf numFmtId="0" fontId="27" fillId="4" borderId="48" xfId="0" applyFont="1" applyFill="1" applyBorder="1" applyAlignment="1">
      <alignment horizontal="left" vertical="center" wrapText="1" indent="1"/>
    </xf>
    <xf numFmtId="0" fontId="123" fillId="4" borderId="48" xfId="0" applyFont="1" applyFill="1" applyBorder="1" applyAlignment="1">
      <alignment horizontal="center" vertical="center" wrapText="1"/>
    </xf>
    <xf numFmtId="0" fontId="27" fillId="4" borderId="48" xfId="0" applyFont="1" applyFill="1" applyBorder="1" applyAlignment="1">
      <alignment horizontal="center" vertical="center" wrapText="1"/>
    </xf>
    <xf numFmtId="165" fontId="123" fillId="4" borderId="48" xfId="0" applyNumberFormat="1" applyFont="1" applyFill="1" applyBorder="1" applyAlignment="1">
      <alignment vertical="center"/>
    </xf>
    <xf numFmtId="165" fontId="124" fillId="4" borderId="48" xfId="0" applyNumberFormat="1" applyFont="1" applyFill="1" applyBorder="1" applyAlignment="1">
      <alignment vertical="center"/>
    </xf>
    <xf numFmtId="165" fontId="123" fillId="4" borderId="177" xfId="0" applyNumberFormat="1" applyFont="1" applyFill="1" applyBorder="1" applyAlignment="1">
      <alignment vertical="center"/>
    </xf>
    <xf numFmtId="0" fontId="21" fillId="2" borderId="355" xfId="0" applyFont="1" applyFill="1" applyBorder="1" applyAlignment="1">
      <alignment horizontal="left" vertical="center" indent="1"/>
    </xf>
    <xf numFmtId="0" fontId="26" fillId="0" borderId="28" xfId="0" applyFont="1" applyBorder="1" applyAlignment="1">
      <alignment horizontal="left" vertical="center" indent="1"/>
    </xf>
    <xf numFmtId="0" fontId="38" fillId="0" borderId="25" xfId="0" applyFont="1" applyBorder="1" applyAlignment="1">
      <alignment horizontal="left" vertical="center" indent="1"/>
    </xf>
    <xf numFmtId="0" fontId="26" fillId="0" borderId="33" xfId="0" applyFont="1" applyBorder="1" applyAlignment="1">
      <alignment horizontal="left" vertical="center" indent="1"/>
    </xf>
    <xf numFmtId="0" fontId="38" fillId="0" borderId="38" xfId="0" applyFont="1" applyBorder="1" applyAlignment="1">
      <alignment horizontal="left" vertical="center" indent="1"/>
    </xf>
    <xf numFmtId="0" fontId="26" fillId="0" borderId="54" xfId="0" applyFont="1" applyBorder="1" applyAlignment="1">
      <alignment horizontal="left" vertical="center" indent="1"/>
    </xf>
    <xf numFmtId="0" fontId="131" fillId="0" borderId="34" xfId="0" applyFont="1" applyBorder="1" applyAlignment="1">
      <alignment horizontal="center" vertical="center"/>
    </xf>
    <xf numFmtId="0" fontId="26" fillId="0" borderId="29" xfId="0" applyFont="1" applyBorder="1" applyAlignment="1">
      <alignment horizontal="left" vertical="center" wrapText="1" indent="1"/>
    </xf>
    <xf numFmtId="0" fontId="38" fillId="0" borderId="49" xfId="0" applyFont="1" applyBorder="1" applyAlignment="1">
      <alignment horizontal="left" vertical="center" wrapText="1" indent="1"/>
    </xf>
    <xf numFmtId="0" fontId="117" fillId="0" borderId="29" xfId="0" applyFont="1" applyBorder="1" applyAlignment="1">
      <alignment horizontal="center" vertical="center" wrapText="1"/>
    </xf>
    <xf numFmtId="0" fontId="117" fillId="0" borderId="49" xfId="0" applyFont="1" applyBorder="1" applyAlignment="1">
      <alignment horizontal="center" vertical="center" wrapText="1"/>
    </xf>
    <xf numFmtId="0" fontId="117" fillId="0" borderId="34" xfId="0" applyFont="1" applyBorder="1" applyAlignment="1">
      <alignment horizontal="center" vertical="center" wrapText="1"/>
    </xf>
    <xf numFmtId="0" fontId="117" fillId="0" borderId="39" xfId="0" applyFont="1" applyBorder="1" applyAlignment="1">
      <alignment horizontal="center" vertical="center" wrapText="1"/>
    </xf>
    <xf numFmtId="0" fontId="117" fillId="0" borderId="55" xfId="0" applyFont="1" applyBorder="1" applyAlignment="1">
      <alignment horizontal="center" vertical="center" wrapText="1"/>
    </xf>
    <xf numFmtId="165" fontId="117" fillId="0" borderId="29" xfId="0" applyNumberFormat="1" applyFont="1" applyBorder="1" applyAlignment="1">
      <alignment vertical="center"/>
    </xf>
    <xf numFmtId="165" fontId="136" fillId="0" borderId="29" xfId="0" applyNumberFormat="1" applyFont="1" applyBorder="1" applyAlignment="1">
      <alignment vertical="center"/>
    </xf>
    <xf numFmtId="165" fontId="117" fillId="0" borderId="49" xfId="0" applyNumberFormat="1" applyFont="1" applyBorder="1" applyAlignment="1">
      <alignment vertical="center"/>
    </xf>
    <xf numFmtId="165" fontId="136" fillId="0" borderId="34" xfId="0" applyNumberFormat="1" applyFont="1" applyBorder="1" applyAlignment="1">
      <alignment vertical="center"/>
    </xf>
    <xf numFmtId="165" fontId="136" fillId="0" borderId="49" xfId="0" applyNumberFormat="1" applyFont="1" applyBorder="1" applyAlignment="1">
      <alignment vertical="center"/>
    </xf>
    <xf numFmtId="165" fontId="117" fillId="0" borderId="34" xfId="0" applyNumberFormat="1" applyFont="1" applyBorder="1" applyAlignment="1">
      <alignment vertical="center"/>
    </xf>
    <xf numFmtId="165" fontId="117" fillId="0" borderId="39" xfId="0" applyNumberFormat="1" applyFont="1" applyBorder="1" applyAlignment="1">
      <alignment vertical="center"/>
    </xf>
    <xf numFmtId="165" fontId="136" fillId="0" borderId="39" xfId="0" applyNumberFormat="1" applyFont="1" applyBorder="1" applyAlignment="1">
      <alignment vertical="center"/>
    </xf>
    <xf numFmtId="165" fontId="117" fillId="0" borderId="55" xfId="0" applyNumberFormat="1" applyFont="1" applyBorder="1" applyAlignment="1">
      <alignment vertical="center"/>
    </xf>
    <xf numFmtId="165" fontId="136" fillId="0" borderId="55" xfId="0" applyNumberFormat="1" applyFont="1" applyBorder="1" applyAlignment="1">
      <alignment vertical="center"/>
    </xf>
    <xf numFmtId="0" fontId="127" fillId="0" borderId="5" xfId="0" applyFont="1" applyBorder="1" applyAlignment="1">
      <alignment horizontal="center" vertical="center"/>
    </xf>
    <xf numFmtId="0" fontId="14" fillId="0" borderId="4" xfId="0" applyFont="1" applyBorder="1" applyAlignment="1">
      <alignment horizontal="left" vertical="center" wrapText="1" indent="1"/>
    </xf>
    <xf numFmtId="0" fontId="14" fillId="0" borderId="5" xfId="0" applyFont="1" applyBorder="1" applyAlignment="1">
      <alignment horizontal="left" vertical="center" wrapText="1" indent="1"/>
    </xf>
    <xf numFmtId="165" fontId="127" fillId="0" borderId="6" xfId="0" applyNumberFormat="1" applyFont="1" applyBorder="1" applyAlignment="1">
      <alignment horizontal="right" vertical="center"/>
    </xf>
    <xf numFmtId="165" fontId="35" fillId="0" borderId="71" xfId="0" applyNumberFormat="1" applyFont="1" applyBorder="1" applyAlignment="1">
      <alignment horizontal="right" vertical="center"/>
    </xf>
    <xf numFmtId="0" fontId="126" fillId="0" borderId="29" xfId="0" applyFont="1" applyBorder="1" applyAlignment="1">
      <alignment horizontal="left" vertical="center" wrapText="1" indent="1"/>
    </xf>
    <xf numFmtId="0" fontId="126" fillId="0" borderId="49" xfId="0" applyFont="1" applyBorder="1" applyAlignment="1">
      <alignment horizontal="left" vertical="center" wrapText="1" indent="1"/>
    </xf>
    <xf numFmtId="0" fontId="135" fillId="0" borderId="139" xfId="0" applyFont="1" applyBorder="1" applyAlignment="1">
      <alignment horizontal="center" vertical="center"/>
    </xf>
    <xf numFmtId="0" fontId="131" fillId="0" borderId="141" xfId="0" applyFont="1" applyBorder="1" applyAlignment="1">
      <alignment horizontal="center" vertical="center"/>
    </xf>
    <xf numFmtId="0" fontId="135" fillId="0" borderId="141" xfId="0" applyFont="1" applyBorder="1" applyAlignment="1">
      <alignment horizontal="center" vertical="center"/>
    </xf>
    <xf numFmtId="0" fontId="135" fillId="0" borderId="144" xfId="0" applyFont="1" applyBorder="1" applyAlignment="1">
      <alignment horizontal="center" vertical="center"/>
    </xf>
    <xf numFmtId="0" fontId="131" fillId="0" borderId="149" xfId="0" applyFont="1" applyBorder="1" applyAlignment="1">
      <alignment horizontal="center" vertical="center"/>
    </xf>
    <xf numFmtId="0" fontId="131" fillId="0" borderId="153" xfId="0" applyFont="1" applyBorder="1" applyAlignment="1">
      <alignment horizontal="center" vertical="center"/>
    </xf>
    <xf numFmtId="0" fontId="38" fillId="0" borderId="139" xfId="0" applyFont="1" applyBorder="1" applyAlignment="1">
      <alignment horizontal="left" vertical="center" wrapText="1" indent="1"/>
    </xf>
    <xf numFmtId="0" fontId="26" fillId="0" borderId="141" xfId="0" applyFont="1" applyBorder="1" applyAlignment="1">
      <alignment horizontal="left" vertical="center" wrapText="1" indent="1"/>
    </xf>
    <xf numFmtId="0" fontId="38" fillId="0" borderId="144" xfId="0" applyFont="1" applyBorder="1" applyAlignment="1">
      <alignment horizontal="left" vertical="center" wrapText="1" indent="1"/>
    </xf>
    <xf numFmtId="0" fontId="26" fillId="0" borderId="149" xfId="0" applyFont="1" applyBorder="1" applyAlignment="1">
      <alignment horizontal="left" vertical="center" wrapText="1" indent="1"/>
    </xf>
    <xf numFmtId="0" fontId="26" fillId="0" borderId="141" xfId="0" applyFont="1" applyBorder="1" applyAlignment="1">
      <alignment horizontal="left" vertical="center" indent="1"/>
    </xf>
    <xf numFmtId="0" fontId="26" fillId="0" borderId="153" xfId="0" applyFont="1" applyBorder="1" applyAlignment="1">
      <alignment horizontal="left" vertical="center" wrapText="1" indent="1"/>
    </xf>
    <xf numFmtId="0" fontId="117" fillId="0" borderId="139" xfId="0" applyFont="1" applyBorder="1" applyAlignment="1">
      <alignment horizontal="center" vertical="center" wrapText="1"/>
    </xf>
    <xf numFmtId="0" fontId="117" fillId="0" borderId="141" xfId="0" applyFont="1" applyBorder="1" applyAlignment="1">
      <alignment horizontal="center" vertical="center" wrapText="1"/>
    </xf>
    <xf numFmtId="0" fontId="117" fillId="0" borderId="144" xfId="0" applyFont="1" applyBorder="1" applyAlignment="1">
      <alignment horizontal="center" vertical="center" wrapText="1"/>
    </xf>
    <xf numFmtId="0" fontId="117" fillId="0" borderId="149" xfId="0" applyFont="1" applyBorder="1" applyAlignment="1">
      <alignment horizontal="center" vertical="center" wrapText="1"/>
    </xf>
    <xf numFmtId="0" fontId="117" fillId="0" borderId="141" xfId="0" applyFont="1" applyBorder="1" applyAlignment="1">
      <alignment horizontal="center" vertical="center"/>
    </xf>
    <xf numFmtId="0" fontId="117" fillId="0" borderId="153" xfId="0" applyFont="1" applyBorder="1" applyAlignment="1">
      <alignment horizontal="center" vertical="center" wrapText="1"/>
    </xf>
    <xf numFmtId="165" fontId="117" fillId="0" borderId="139" xfId="0" applyNumberFormat="1" applyFont="1" applyBorder="1" applyAlignment="1">
      <alignment vertical="center"/>
    </xf>
    <xf numFmtId="165" fontId="136" fillId="0" borderId="139" xfId="0" applyNumberFormat="1" applyFont="1" applyBorder="1" applyAlignment="1">
      <alignment vertical="center"/>
    </xf>
    <xf numFmtId="165" fontId="117" fillId="0" borderId="141" xfId="0" applyNumberFormat="1" applyFont="1" applyBorder="1" applyAlignment="1">
      <alignment vertical="center"/>
    </xf>
    <xf numFmtId="165" fontId="117" fillId="0" borderId="141" xfId="0" applyNumberFormat="1" applyFont="1" applyBorder="1" applyAlignment="1">
      <alignment horizontal="right" vertical="center"/>
    </xf>
    <xf numFmtId="165" fontId="136" fillId="0" borderId="141" xfId="0" applyNumberFormat="1" applyFont="1" applyBorder="1" applyAlignment="1">
      <alignment vertical="center"/>
    </xf>
    <xf numFmtId="165" fontId="117" fillId="0" borderId="144" xfId="0" applyNumberFormat="1" applyFont="1" applyBorder="1" applyAlignment="1">
      <alignment vertical="center"/>
    </xf>
    <xf numFmtId="165" fontId="136" fillId="0" borderId="144" xfId="0" applyNumberFormat="1" applyFont="1" applyBorder="1" applyAlignment="1">
      <alignment vertical="center"/>
    </xf>
    <xf numFmtId="165" fontId="117" fillId="0" borderId="149" xfId="0" applyNumberFormat="1" applyFont="1" applyBorder="1" applyAlignment="1">
      <alignment vertical="center"/>
    </xf>
    <xf numFmtId="165" fontId="136" fillId="0" borderId="149" xfId="0" applyNumberFormat="1" applyFont="1" applyBorder="1" applyAlignment="1">
      <alignment vertical="center"/>
    </xf>
    <xf numFmtId="165" fontId="117" fillId="0" borderId="153" xfId="0" applyNumberFormat="1" applyFont="1" applyBorder="1" applyAlignment="1">
      <alignment vertical="center"/>
    </xf>
    <xf numFmtId="165" fontId="136" fillId="0" borderId="153" xfId="0" applyNumberFormat="1" applyFont="1" applyBorder="1" applyAlignment="1">
      <alignment vertical="center"/>
    </xf>
    <xf numFmtId="49" fontId="26" fillId="0" borderId="517" xfId="0" applyNumberFormat="1" applyFont="1" applyBorder="1" applyAlignment="1">
      <alignment horizontal="center" vertical="center"/>
    </xf>
    <xf numFmtId="49" fontId="26" fillId="0" borderId="233" xfId="0" applyNumberFormat="1" applyFont="1" applyBorder="1" applyAlignment="1">
      <alignment horizontal="center" vertical="center"/>
    </xf>
    <xf numFmtId="49" fontId="26" fillId="0" borderId="232" xfId="0" applyNumberFormat="1" applyFont="1" applyBorder="1" applyAlignment="1">
      <alignment horizontal="center" vertical="center"/>
    </xf>
    <xf numFmtId="49" fontId="26" fillId="0" borderId="234" xfId="0" applyNumberFormat="1" applyFont="1" applyBorder="1" applyAlignment="1">
      <alignment horizontal="center" vertical="center"/>
    </xf>
    <xf numFmtId="0" fontId="25" fillId="0" borderId="232" xfId="0" applyFont="1" applyBorder="1" applyAlignment="1">
      <alignment horizontal="center" vertical="center" wrapText="1"/>
    </xf>
    <xf numFmtId="0" fontId="25" fillId="0" borderId="233" xfId="0" applyFont="1" applyBorder="1" applyAlignment="1">
      <alignment horizontal="center" vertical="center" wrapText="1"/>
    </xf>
    <xf numFmtId="49" fontId="26" fillId="0" borderId="316" xfId="0" applyNumberFormat="1" applyFont="1" applyBorder="1" applyAlignment="1">
      <alignment horizontal="center" vertical="center"/>
    </xf>
    <xf numFmtId="49" fontId="26" fillId="0" borderId="518" xfId="0" applyNumberFormat="1" applyFont="1" applyBorder="1" applyAlignment="1">
      <alignment horizontal="center" vertical="center"/>
    </xf>
    <xf numFmtId="0" fontId="135" fillId="0" borderId="244" xfId="0" applyFont="1" applyBorder="1" applyAlignment="1">
      <alignment horizontal="center" vertical="center"/>
    </xf>
    <xf numFmtId="0" fontId="38" fillId="0" borderId="244" xfId="0" applyFont="1" applyBorder="1" applyAlignment="1">
      <alignment horizontal="left" vertical="center" wrapText="1" indent="1"/>
    </xf>
    <xf numFmtId="0" fontId="117" fillId="0" borderId="244" xfId="0" applyFont="1" applyBorder="1" applyAlignment="1">
      <alignment horizontal="center" vertical="center" wrapText="1"/>
    </xf>
    <xf numFmtId="0" fontId="26" fillId="0" borderId="244" xfId="0" applyFont="1" applyBorder="1" applyAlignment="1">
      <alignment horizontal="center" vertical="center" wrapText="1"/>
    </xf>
    <xf numFmtId="165" fontId="117" fillId="0" borderId="244" xfId="0" applyNumberFormat="1" applyFont="1" applyBorder="1" applyAlignment="1">
      <alignment vertical="center"/>
    </xf>
    <xf numFmtId="165" fontId="136" fillId="0" borderId="244" xfId="0" applyNumberFormat="1" applyFont="1" applyBorder="1" applyAlignment="1">
      <alignment vertical="center"/>
    </xf>
    <xf numFmtId="49" fontId="26" fillId="0" borderId="244" xfId="0" applyNumberFormat="1" applyFont="1" applyBorder="1" applyAlignment="1">
      <alignment horizontal="center" vertical="center"/>
    </xf>
    <xf numFmtId="49" fontId="26" fillId="0" borderId="519" xfId="0" applyNumberFormat="1" applyFont="1" applyBorder="1" applyAlignment="1">
      <alignment horizontal="center" vertical="center"/>
    </xf>
    <xf numFmtId="0" fontId="131" fillId="0" borderId="244" xfId="0" applyFont="1" applyBorder="1" applyAlignment="1">
      <alignment horizontal="center" vertical="center"/>
    </xf>
    <xf numFmtId="0" fontId="25" fillId="0" borderId="520" xfId="0" applyFont="1" applyBorder="1" applyAlignment="1">
      <alignment horizontal="center" vertical="center" wrapText="1"/>
    </xf>
    <xf numFmtId="0" fontId="25" fillId="0" borderId="519" xfId="0" applyFont="1" applyBorder="1" applyAlignment="1">
      <alignment horizontal="center" vertical="center" wrapText="1"/>
    </xf>
    <xf numFmtId="49" fontId="26" fillId="0" borderId="521" xfId="0" applyNumberFormat="1" applyFont="1" applyBorder="1" applyAlignment="1">
      <alignment horizontal="center" vertical="center"/>
    </xf>
    <xf numFmtId="0" fontId="131" fillId="0" borderId="522" xfId="0" applyFont="1" applyBorder="1" applyAlignment="1">
      <alignment horizontal="center" vertical="center"/>
    </xf>
    <xf numFmtId="0" fontId="26" fillId="0" borderId="522" xfId="0" applyFont="1" applyBorder="1" applyAlignment="1">
      <alignment horizontal="left" vertical="center" wrapText="1" indent="1"/>
    </xf>
    <xf numFmtId="0" fontId="117" fillId="0" borderId="522" xfId="0" applyFont="1" applyBorder="1" applyAlignment="1">
      <alignment horizontal="center" vertical="center" wrapText="1"/>
    </xf>
    <xf numFmtId="0" fontId="26" fillId="0" borderId="522" xfId="0" applyFont="1" applyBorder="1" applyAlignment="1">
      <alignment horizontal="center" vertical="center" wrapText="1"/>
    </xf>
    <xf numFmtId="165" fontId="117" fillId="0" borderId="522" xfId="0" applyNumberFormat="1" applyFont="1" applyBorder="1" applyAlignment="1">
      <alignment vertical="center"/>
    </xf>
    <xf numFmtId="165" fontId="117" fillId="0" borderId="522" xfId="0" applyNumberFormat="1" applyFont="1" applyBorder="1" applyAlignment="1">
      <alignment horizontal="right" vertical="center"/>
    </xf>
    <xf numFmtId="165" fontId="136" fillId="0" borderId="522" xfId="0" applyNumberFormat="1" applyFont="1" applyBorder="1" applyAlignment="1">
      <alignment vertical="center"/>
    </xf>
    <xf numFmtId="49" fontId="26" fillId="0" borderId="523" xfId="0" applyNumberFormat="1" applyFont="1" applyBorder="1" applyAlignment="1">
      <alignment horizontal="center" vertical="center"/>
    </xf>
    <xf numFmtId="0" fontId="38" fillId="0" borderId="244" xfId="0" applyFont="1" applyBorder="1" applyAlignment="1">
      <alignment horizontal="left" vertical="center" indent="1"/>
    </xf>
    <xf numFmtId="0" fontId="38" fillId="0" borderId="243" xfId="0" applyFont="1" applyBorder="1" applyAlignment="1">
      <alignment horizontal="left" vertical="center" indent="1"/>
    </xf>
    <xf numFmtId="0" fontId="26" fillId="0" borderId="245" xfId="0" applyFont="1" applyBorder="1" applyAlignment="1">
      <alignment horizontal="left" vertical="center" indent="1"/>
    </xf>
    <xf numFmtId="0" fontId="38" fillId="0" borderId="245" xfId="0" applyFont="1" applyBorder="1" applyAlignment="1">
      <alignment horizontal="left" vertical="center" indent="1"/>
    </xf>
    <xf numFmtId="0" fontId="26" fillId="0" borderId="246" xfId="0" applyFont="1" applyBorder="1" applyAlignment="1">
      <alignment horizontal="left" vertical="center" indent="1"/>
    </xf>
    <xf numFmtId="0" fontId="38" fillId="0" borderId="247" xfId="0" applyFont="1" applyBorder="1" applyAlignment="1">
      <alignment horizontal="left" vertical="center" indent="1"/>
    </xf>
    <xf numFmtId="0" fontId="26" fillId="0" borderId="524" xfId="0" applyFont="1" applyBorder="1" applyAlignment="1">
      <alignment horizontal="left" vertical="center" indent="1"/>
    </xf>
    <xf numFmtId="0" fontId="38" fillId="0" borderId="275" xfId="0" applyFont="1" applyBorder="1" applyAlignment="1">
      <alignment horizontal="left" vertical="center" indent="1"/>
    </xf>
    <xf numFmtId="0" fontId="26" fillId="0" borderId="525" xfId="0" applyFont="1" applyBorder="1" applyAlignment="1">
      <alignment horizontal="left" vertical="center" indent="1"/>
    </xf>
    <xf numFmtId="0" fontId="14" fillId="0" borderId="4" xfId="0" applyFont="1" applyBorder="1" applyAlignment="1">
      <alignment horizontal="left" vertical="center" indent="1"/>
    </xf>
    <xf numFmtId="165" fontId="132" fillId="2" borderId="12" xfId="0" applyNumberFormat="1" applyFont="1" applyFill="1" applyBorder="1" applyAlignment="1">
      <alignment horizontal="right" vertical="center"/>
    </xf>
    <xf numFmtId="165" fontId="127" fillId="0" borderId="71" xfId="0" applyNumberFormat="1" applyFont="1" applyBorder="1" applyAlignment="1">
      <alignment horizontal="right" vertical="center"/>
    </xf>
    <xf numFmtId="165" fontId="127" fillId="0" borderId="74" xfId="0" applyNumberFormat="1" applyFont="1" applyBorder="1" applyAlignment="1">
      <alignment horizontal="right" vertical="center"/>
    </xf>
    <xf numFmtId="165" fontId="127" fillId="0" borderId="75" xfId="0" applyNumberFormat="1" applyFont="1" applyBorder="1" applyAlignment="1">
      <alignment horizontal="right" vertical="center"/>
    </xf>
    <xf numFmtId="165" fontId="132" fillId="0" borderId="71" xfId="0" applyNumberFormat="1" applyFont="1" applyBorder="1" applyAlignment="1">
      <alignment horizontal="right" vertical="center"/>
    </xf>
    <xf numFmtId="165" fontId="132" fillId="0" borderId="61" xfId="0" applyNumberFormat="1" applyFont="1" applyBorder="1" applyAlignment="1">
      <alignment horizontal="right" vertical="center"/>
    </xf>
    <xf numFmtId="0" fontId="38" fillId="0" borderId="245" xfId="0" applyFont="1" applyBorder="1" applyAlignment="1">
      <alignment horizontal="left" vertical="center" wrapText="1" indent="1"/>
    </xf>
    <xf numFmtId="0" fontId="0" fillId="0" borderId="0" xfId="0" applyFont="1" applyAlignment="1">
      <alignment vertical="center"/>
    </xf>
    <xf numFmtId="1" fontId="117" fillId="4" borderId="177" xfId="0" applyNumberFormat="1" applyFont="1" applyFill="1" applyBorder="1" applyAlignment="1">
      <alignment horizontal="center" vertical="center" wrapText="1"/>
    </xf>
    <xf numFmtId="1" fontId="117" fillId="4" borderId="179" xfId="0" applyNumberFormat="1" applyFont="1" applyFill="1" applyBorder="1" applyAlignment="1">
      <alignment horizontal="center" vertical="center" wrapText="1"/>
    </xf>
    <xf numFmtId="49" fontId="26" fillId="0" borderId="28" xfId="0" applyNumberFormat="1" applyFont="1" applyBorder="1" applyAlignment="1">
      <alignment horizontal="center" vertical="center"/>
    </xf>
    <xf numFmtId="49" fontId="26" fillId="0" borderId="171" xfId="0" applyNumberFormat="1" applyFont="1" applyBorder="1" applyAlignment="1">
      <alignment horizontal="center" vertical="center"/>
    </xf>
    <xf numFmtId="49" fontId="26" fillId="0" borderId="30" xfId="0" applyNumberFormat="1" applyFont="1" applyBorder="1" applyAlignment="1">
      <alignment horizontal="center" vertical="center"/>
    </xf>
    <xf numFmtId="49" fontId="26" fillId="0" borderId="33" xfId="0" applyNumberFormat="1" applyFont="1" applyBorder="1" applyAlignment="1">
      <alignment horizontal="center" vertical="center"/>
    </xf>
    <xf numFmtId="0" fontId="0" fillId="0" borderId="0" xfId="0" applyFont="1" applyAlignment="1"/>
    <xf numFmtId="0" fontId="14" fillId="0" borderId="0" xfId="0" applyFont="1" applyAlignment="1">
      <alignment horizontal="left" vertical="center" wrapText="1"/>
    </xf>
    <xf numFmtId="1" fontId="117" fillId="0" borderId="179" xfId="0" applyNumberFormat="1" applyFont="1" applyBorder="1" applyAlignment="1">
      <alignment horizontal="center" vertical="center" wrapText="1"/>
    </xf>
    <xf numFmtId="1" fontId="117" fillId="0" borderId="248" xfId="0" applyNumberFormat="1" applyFont="1" applyBorder="1" applyAlignment="1">
      <alignment horizontal="center" vertical="center" wrapText="1"/>
    </xf>
    <xf numFmtId="0" fontId="21" fillId="2" borderId="355" xfId="0" applyFont="1" applyFill="1" applyBorder="1" applyAlignment="1">
      <alignment horizontal="center" vertical="center"/>
    </xf>
    <xf numFmtId="0" fontId="38" fillId="0" borderId="154" xfId="0" applyFont="1" applyBorder="1" applyAlignment="1">
      <alignment horizontal="left" vertical="center" wrapText="1"/>
    </xf>
    <xf numFmtId="0" fontId="26" fillId="0" borderId="36" xfId="0" applyFont="1" applyBorder="1" applyAlignment="1">
      <alignment horizontal="left" vertical="center" wrapText="1"/>
    </xf>
    <xf numFmtId="0" fontId="26" fillId="0" borderId="26" xfId="0" applyFont="1" applyBorder="1" applyAlignment="1">
      <alignment horizontal="left" vertical="center" wrapText="1"/>
    </xf>
    <xf numFmtId="0" fontId="38" fillId="0" borderId="26" xfId="0" applyFont="1" applyBorder="1" applyAlignment="1">
      <alignment horizontal="left" vertical="center" wrapText="1"/>
    </xf>
    <xf numFmtId="0" fontId="26" fillId="0" borderId="157" xfId="0" applyFont="1" applyBorder="1" applyAlignment="1">
      <alignment horizontal="center" vertical="center" wrapText="1"/>
    </xf>
    <xf numFmtId="0" fontId="26" fillId="0" borderId="123" xfId="0" applyFont="1" applyBorder="1" applyAlignment="1">
      <alignment horizontal="left" vertical="center" wrapText="1"/>
    </xf>
    <xf numFmtId="0" fontId="26" fillId="0" borderId="113" xfId="0" applyFont="1" applyBorder="1" applyAlignment="1">
      <alignment horizontal="left" vertical="center" wrapText="1"/>
    </xf>
    <xf numFmtId="1" fontId="117" fillId="0" borderId="177" xfId="0" applyNumberFormat="1" applyFont="1" applyBorder="1" applyAlignment="1">
      <alignment horizontal="center" vertical="center" wrapText="1"/>
    </xf>
    <xf numFmtId="1" fontId="56" fillId="0" borderId="36" xfId="0" applyNumberFormat="1" applyFont="1" applyBorder="1" applyAlignment="1">
      <alignment horizontal="center" vertical="center" wrapText="1"/>
    </xf>
    <xf numFmtId="1" fontId="56" fillId="0" borderId="26" xfId="0" applyNumberFormat="1" applyFont="1" applyBorder="1" applyAlignment="1">
      <alignment horizontal="center" vertical="center" wrapText="1"/>
    </xf>
    <xf numFmtId="0" fontId="26" fillId="0" borderId="26" xfId="0" applyFont="1" applyBorder="1" applyAlignment="1">
      <alignment horizontal="center" vertical="center" wrapText="1"/>
    </xf>
    <xf numFmtId="0" fontId="26" fillId="0" borderId="36" xfId="0" applyFont="1" applyBorder="1" applyAlignment="1">
      <alignment horizontal="center" vertical="center" wrapText="1"/>
    </xf>
    <xf numFmtId="0" fontId="26" fillId="0" borderId="109" xfId="0" applyFont="1" applyBorder="1" applyAlignment="1">
      <alignment horizontal="left" vertical="center" wrapText="1"/>
    </xf>
    <xf numFmtId="0" fontId="38" fillId="0" borderId="170" xfId="0" applyFont="1" applyBorder="1" applyAlignment="1">
      <alignment horizontal="left" vertical="center" wrapText="1"/>
    </xf>
    <xf numFmtId="0" fontId="38" fillId="0" borderId="137" xfId="0" applyFont="1" applyBorder="1" applyAlignment="1">
      <alignment horizontal="left" vertical="center" wrapText="1"/>
    </xf>
    <xf numFmtId="0" fontId="26" fillId="0" borderId="138" xfId="0" applyFont="1" applyBorder="1" applyAlignment="1">
      <alignment horizontal="center" vertical="center" wrapText="1"/>
    </xf>
    <xf numFmtId="0" fontId="26" fillId="0" borderId="193" xfId="0" applyFont="1" applyBorder="1" applyAlignment="1">
      <alignment horizontal="center" vertical="center" wrapText="1"/>
    </xf>
    <xf numFmtId="0" fontId="56" fillId="0" borderId="398" xfId="0" applyFont="1" applyBorder="1" applyAlignment="1">
      <alignment horizontal="center" vertical="center" wrapText="1"/>
    </xf>
    <xf numFmtId="1" fontId="56" fillId="0" borderId="21" xfId="0" applyNumberFormat="1" applyFont="1" applyBorder="1" applyAlignment="1">
      <alignment horizontal="center" vertical="center" wrapText="1"/>
    </xf>
    <xf numFmtId="0" fontId="26" fillId="0" borderId="111" xfId="0" applyFont="1" applyBorder="1" applyAlignment="1">
      <alignment horizontal="left" vertical="center" wrapText="1"/>
    </xf>
    <xf numFmtId="0" fontId="88" fillId="0" borderId="26" xfId="0" applyFont="1" applyBorder="1" applyAlignment="1">
      <alignment horizontal="left" vertical="center" wrapText="1"/>
    </xf>
    <xf numFmtId="0" fontId="26" fillId="4" borderId="36" xfId="0" applyFont="1" applyFill="1" applyBorder="1" applyAlignment="1">
      <alignment horizontal="center" vertical="center" wrapText="1"/>
    </xf>
    <xf numFmtId="0" fontId="26" fillId="0" borderId="161" xfId="0" applyFont="1" applyBorder="1" applyAlignment="1">
      <alignment vertical="center"/>
    </xf>
    <xf numFmtId="0" fontId="126" fillId="0" borderId="141" xfId="0" applyFont="1" applyBorder="1" applyAlignment="1">
      <alignment horizontal="left" vertical="center" wrapText="1" indent="1"/>
    </xf>
    <xf numFmtId="0" fontId="126" fillId="0" borderId="141" xfId="0" applyFont="1" applyBorder="1" applyAlignment="1">
      <alignment horizontal="left" vertical="center" indent="1"/>
    </xf>
    <xf numFmtId="0" fontId="38" fillId="4" borderId="247" xfId="0" applyFont="1" applyFill="1" applyBorder="1" applyAlignment="1">
      <alignment horizontal="center" vertical="center"/>
    </xf>
    <xf numFmtId="0" fontId="26" fillId="0" borderId="245" xfId="0" applyFont="1" applyBorder="1" applyAlignment="1">
      <alignment horizontal="center" vertical="center"/>
    </xf>
    <xf numFmtId="0" fontId="38" fillId="0" borderId="245" xfId="0" applyFont="1" applyBorder="1" applyAlignment="1">
      <alignment horizontal="center" vertical="center"/>
    </xf>
    <xf numFmtId="0" fontId="26" fillId="0" borderId="246" xfId="0" applyFont="1" applyBorder="1" applyAlignment="1">
      <alignment horizontal="center" vertical="center"/>
    </xf>
    <xf numFmtId="0" fontId="26" fillId="4" borderId="245" xfId="0" applyFont="1" applyFill="1" applyBorder="1" applyAlignment="1">
      <alignment horizontal="center" vertical="center"/>
    </xf>
    <xf numFmtId="0" fontId="38" fillId="4" borderId="245" xfId="0" applyFont="1" applyFill="1" applyBorder="1" applyAlignment="1">
      <alignment horizontal="center" vertical="center"/>
    </xf>
    <xf numFmtId="0" fontId="38" fillId="0" borderId="247" xfId="0" applyFont="1" applyBorder="1" applyAlignment="1">
      <alignment horizontal="center" vertical="center"/>
    </xf>
    <xf numFmtId="0" fontId="26" fillId="0" borderId="247" xfId="0" applyFont="1" applyBorder="1" applyAlignment="1">
      <alignment horizontal="center" vertical="center"/>
    </xf>
    <xf numFmtId="49" fontId="38" fillId="0" borderId="245" xfId="0" applyNumberFormat="1" applyFont="1" applyBorder="1" applyAlignment="1">
      <alignment horizontal="center" vertical="center"/>
    </xf>
    <xf numFmtId="0" fontId="38" fillId="4" borderId="275" xfId="0" applyFont="1" applyFill="1" applyBorder="1" applyAlignment="1">
      <alignment horizontal="center" vertical="center"/>
    </xf>
    <xf numFmtId="0" fontId="26" fillId="4" borderId="244" xfId="0" applyFont="1" applyFill="1" applyBorder="1" applyAlignment="1">
      <alignment horizontal="center" vertical="center" wrapText="1"/>
    </xf>
    <xf numFmtId="49" fontId="26" fillId="4" borderId="244" xfId="0" applyNumberFormat="1" applyFont="1" applyFill="1" applyBorder="1" applyAlignment="1">
      <alignment horizontal="center" vertical="center"/>
    </xf>
    <xf numFmtId="49" fontId="26" fillId="4" borderId="526" xfId="0" applyNumberFormat="1" applyFont="1" applyFill="1" applyBorder="1" applyAlignment="1">
      <alignment horizontal="center" vertical="center"/>
    </xf>
    <xf numFmtId="0" fontId="1" fillId="0" borderId="375" xfId="3" applyFont="1" applyAlignment="1">
      <alignment vertical="center" wrapText="1"/>
    </xf>
    <xf numFmtId="0" fontId="145" fillId="23" borderId="559" xfId="4" applyFont="1" applyFill="1" applyBorder="1" applyAlignment="1" applyProtection="1">
      <alignment horizontal="center" vertical="center" wrapText="1"/>
    </xf>
    <xf numFmtId="0" fontId="145" fillId="24" borderId="561" xfId="0" applyFont="1" applyFill="1" applyBorder="1" applyAlignment="1" applyProtection="1">
      <alignment horizontal="center" vertical="center" wrapText="1"/>
    </xf>
    <xf numFmtId="0" fontId="145" fillId="24" borderId="562" xfId="0" applyFont="1" applyFill="1" applyBorder="1" applyAlignment="1" applyProtection="1">
      <alignment horizontal="center" vertical="center" wrapText="1"/>
    </xf>
    <xf numFmtId="0" fontId="145" fillId="24" borderId="563" xfId="0" applyFont="1" applyFill="1" applyBorder="1" applyAlignment="1" applyProtection="1">
      <alignment horizontal="center" vertical="center" wrapText="1"/>
    </xf>
    <xf numFmtId="49" fontId="145" fillId="24" borderId="562" xfId="0" applyNumberFormat="1" applyFont="1" applyFill="1" applyBorder="1" applyAlignment="1" applyProtection="1">
      <alignment horizontal="center" vertical="center" wrapText="1"/>
    </xf>
    <xf numFmtId="0" fontId="145" fillId="24" borderId="562" xfId="5" applyFont="1" applyFill="1" applyBorder="1" applyAlignment="1" applyProtection="1">
      <alignment horizontal="center" vertical="center" wrapText="1"/>
    </xf>
    <xf numFmtId="0" fontId="147" fillId="24" borderId="562" xfId="5" applyFont="1" applyFill="1" applyBorder="1" applyAlignment="1" applyProtection="1">
      <alignment horizontal="center" vertical="center" wrapText="1"/>
    </xf>
    <xf numFmtId="0" fontId="86" fillId="25" borderId="106" xfId="0" applyFont="1" applyFill="1" applyBorder="1" applyAlignment="1">
      <alignment horizontal="center" vertical="center" wrapText="1"/>
    </xf>
    <xf numFmtId="49" fontId="26" fillId="0" borderId="526" xfId="0" applyNumberFormat="1" applyFont="1" applyBorder="1" applyAlignment="1">
      <alignment horizontal="center" vertical="center"/>
    </xf>
    <xf numFmtId="1" fontId="117" fillId="4" borderId="248" xfId="0" applyNumberFormat="1" applyFont="1" applyFill="1" applyBorder="1" applyAlignment="1">
      <alignment horizontal="center" vertical="center" wrapText="1"/>
    </xf>
    <xf numFmtId="0" fontId="38" fillId="0" borderId="45" xfId="0" applyFont="1" applyBorder="1" applyAlignment="1">
      <alignment horizontal="left" vertical="center" wrapText="1" indent="1"/>
    </xf>
    <xf numFmtId="0" fontId="135" fillId="0" borderId="342" xfId="0" applyFont="1" applyBorder="1" applyAlignment="1">
      <alignment horizontal="center" vertical="center"/>
    </xf>
    <xf numFmtId="0" fontId="38" fillId="0" borderId="569" xfId="0" applyFont="1" applyBorder="1" applyAlignment="1">
      <alignment horizontal="left" vertical="center" wrapText="1" indent="1"/>
    </xf>
    <xf numFmtId="0" fontId="135" fillId="0" borderId="570" xfId="0" applyFont="1" applyBorder="1" applyAlignment="1">
      <alignment horizontal="center" vertical="center"/>
    </xf>
    <xf numFmtId="0" fontId="38" fillId="0" borderId="571" xfId="0" applyFont="1" applyBorder="1" applyAlignment="1">
      <alignment horizontal="left" vertical="center" wrapText="1" indent="1"/>
    </xf>
    <xf numFmtId="0" fontId="117" fillId="0" borderId="571" xfId="0" applyFont="1" applyBorder="1" applyAlignment="1">
      <alignment horizontal="center" vertical="center" wrapText="1"/>
    </xf>
    <xf numFmtId="0" fontId="26" fillId="0" borderId="571" xfId="0" applyFont="1" applyBorder="1" applyAlignment="1">
      <alignment horizontal="center" vertical="center" wrapText="1"/>
    </xf>
    <xf numFmtId="165" fontId="117" fillId="0" borderId="571" xfId="0" applyNumberFormat="1" applyFont="1" applyBorder="1" applyAlignment="1">
      <alignment vertical="center"/>
    </xf>
    <xf numFmtId="165" fontId="136" fillId="0" borderId="571" xfId="0" applyNumberFormat="1" applyFont="1" applyBorder="1" applyAlignment="1">
      <alignment vertical="center"/>
    </xf>
    <xf numFmtId="49" fontId="26" fillId="0" borderId="571" xfId="0" applyNumberFormat="1" applyFont="1" applyBorder="1" applyAlignment="1">
      <alignment horizontal="center" vertical="center"/>
    </xf>
    <xf numFmtId="0" fontId="131" fillId="0" borderId="332" xfId="0" applyFont="1" applyBorder="1" applyAlignment="1">
      <alignment horizontal="center" vertical="center"/>
    </xf>
    <xf numFmtId="0" fontId="26" fillId="0" borderId="45" xfId="0" applyFont="1" applyBorder="1" applyAlignment="1">
      <alignment horizontal="left" vertical="center" indent="1"/>
    </xf>
    <xf numFmtId="0" fontId="131" fillId="0" borderId="342" xfId="0" applyFont="1" applyBorder="1" applyAlignment="1">
      <alignment horizontal="center" vertical="center"/>
    </xf>
    <xf numFmtId="0" fontId="135" fillId="0" borderId="415" xfId="0" applyFont="1" applyBorder="1" applyAlignment="1">
      <alignment horizontal="center" vertical="center"/>
    </xf>
    <xf numFmtId="0" fontId="131" fillId="0" borderId="415" xfId="0" applyFont="1" applyBorder="1" applyAlignment="1">
      <alignment horizontal="center" vertical="center"/>
    </xf>
    <xf numFmtId="0" fontId="126" fillId="0" borderId="248" xfId="0" applyFont="1" applyBorder="1" applyAlignment="1">
      <alignment horizontal="left" vertical="center" wrapText="1" indent="1"/>
    </xf>
    <xf numFmtId="0" fontId="117" fillId="0" borderId="248" xfId="0" applyFont="1" applyBorder="1" applyAlignment="1">
      <alignment horizontal="center" vertical="center" wrapText="1"/>
    </xf>
    <xf numFmtId="0" fontId="26" fillId="0" borderId="48" xfId="0" applyFont="1" applyBorder="1" applyAlignment="1">
      <alignment horizontal="center" vertical="center" wrapText="1"/>
    </xf>
    <xf numFmtId="165" fontId="117" fillId="0" borderId="248" xfId="0" applyNumberFormat="1" applyFont="1" applyBorder="1" applyAlignment="1">
      <alignment vertical="center"/>
    </xf>
    <xf numFmtId="165" fontId="117" fillId="0" borderId="48" xfId="0" applyNumberFormat="1" applyFont="1" applyBorder="1" applyAlignment="1">
      <alignment vertical="center"/>
    </xf>
    <xf numFmtId="0" fontId="26" fillId="0" borderId="575" xfId="0" applyFont="1" applyBorder="1" applyAlignment="1">
      <alignment horizontal="left" vertical="center" indent="1"/>
    </xf>
    <xf numFmtId="0" fontId="131" fillId="0" borderId="575" xfId="0" applyFont="1" applyBorder="1" applyAlignment="1">
      <alignment horizontal="center" vertical="center"/>
    </xf>
    <xf numFmtId="0" fontId="26" fillId="0" borderId="575" xfId="0" applyFont="1" applyBorder="1" applyAlignment="1">
      <alignment horizontal="left" vertical="center" wrapText="1" indent="1"/>
    </xf>
    <xf numFmtId="0" fontId="117" fillId="0" borderId="575" xfId="0" applyFont="1" applyBorder="1" applyAlignment="1">
      <alignment horizontal="center" vertical="center" wrapText="1"/>
    </xf>
    <xf numFmtId="0" fontId="26" fillId="0" borderId="575" xfId="0" applyFont="1" applyBorder="1" applyAlignment="1">
      <alignment horizontal="center" vertical="center" wrapText="1"/>
    </xf>
    <xf numFmtId="165" fontId="117" fillId="0" borderId="575" xfId="0" applyNumberFormat="1" applyFont="1" applyBorder="1" applyAlignment="1">
      <alignment vertical="center"/>
    </xf>
    <xf numFmtId="165" fontId="117" fillId="0" borderId="576" xfId="0" applyNumberFormat="1" applyFont="1" applyBorder="1" applyAlignment="1">
      <alignment vertical="center"/>
    </xf>
    <xf numFmtId="165" fontId="136" fillId="0" borderId="577" xfId="0" applyNumberFormat="1" applyFont="1" applyBorder="1" applyAlignment="1">
      <alignment vertical="center"/>
    </xf>
    <xf numFmtId="0" fontId="26" fillId="0" borderId="577" xfId="0" applyFont="1" applyBorder="1" applyAlignment="1">
      <alignment horizontal="center" vertical="center" wrapText="1"/>
    </xf>
    <xf numFmtId="49" fontId="26" fillId="0" borderId="577" xfId="0" applyNumberFormat="1" applyFont="1" applyBorder="1" applyAlignment="1">
      <alignment horizontal="center" vertical="center"/>
    </xf>
    <xf numFmtId="49" fontId="24" fillId="4" borderId="578" xfId="0" applyNumberFormat="1" applyFont="1" applyFill="1" applyBorder="1" applyAlignment="1">
      <alignment horizontal="center" vertical="center"/>
    </xf>
    <xf numFmtId="0" fontId="120" fillId="4" borderId="579" xfId="0" applyFont="1" applyFill="1" applyBorder="1" applyAlignment="1">
      <alignment horizontal="center" vertical="center"/>
    </xf>
    <xf numFmtId="49" fontId="24" fillId="4" borderId="579" xfId="0" applyNumberFormat="1" applyFont="1" applyFill="1" applyBorder="1" applyAlignment="1">
      <alignment horizontal="center" vertical="center"/>
    </xf>
    <xf numFmtId="49" fontId="24" fillId="4" borderId="579" xfId="0" applyNumberFormat="1" applyFont="1" applyFill="1" applyBorder="1" applyAlignment="1">
      <alignment horizontal="left" vertical="center" wrapText="1" indent="1"/>
    </xf>
    <xf numFmtId="0" fontId="119" fillId="4" borderId="579" xfId="0" applyFont="1" applyFill="1" applyBorder="1" applyAlignment="1">
      <alignment horizontal="center" vertical="center" wrapText="1"/>
    </xf>
    <xf numFmtId="0" fontId="25" fillId="4" borderId="579" xfId="0" applyFont="1" applyFill="1" applyBorder="1" applyAlignment="1">
      <alignment horizontal="center" vertical="center" wrapText="1"/>
    </xf>
    <xf numFmtId="165" fontId="119" fillId="4" borderId="579" xfId="0" applyNumberFormat="1" applyFont="1" applyFill="1" applyBorder="1" applyAlignment="1">
      <alignment vertical="center"/>
    </xf>
    <xf numFmtId="165" fontId="122" fillId="4" borderId="579" xfId="0" applyNumberFormat="1" applyFont="1" applyFill="1" applyBorder="1" applyAlignment="1">
      <alignment vertical="center"/>
    </xf>
    <xf numFmtId="0" fontId="25" fillId="4" borderId="580" xfId="0" applyFont="1" applyFill="1" applyBorder="1" applyAlignment="1">
      <alignment horizontal="center" vertical="center"/>
    </xf>
    <xf numFmtId="0" fontId="113" fillId="4" borderId="581" xfId="0" applyFont="1" applyFill="1" applyBorder="1" applyAlignment="1">
      <alignment horizontal="center" vertical="center"/>
    </xf>
    <xf numFmtId="49" fontId="113" fillId="4" borderId="581" xfId="0" applyNumberFormat="1" applyFont="1" applyFill="1" applyBorder="1" applyAlignment="1">
      <alignment horizontal="center" vertical="center"/>
    </xf>
    <xf numFmtId="49" fontId="25" fillId="4" borderId="581" xfId="0" applyNumberFormat="1" applyFont="1" applyFill="1" applyBorder="1" applyAlignment="1">
      <alignment horizontal="left" vertical="center" wrapText="1" indent="1"/>
    </xf>
    <xf numFmtId="0" fontId="119" fillId="4" borderId="581" xfId="0" applyFont="1" applyFill="1" applyBorder="1" applyAlignment="1">
      <alignment horizontal="center" vertical="center" wrapText="1"/>
    </xf>
    <xf numFmtId="49" fontId="25" fillId="4" borderId="581" xfId="0" applyNumberFormat="1" applyFont="1" applyFill="1" applyBorder="1" applyAlignment="1">
      <alignment horizontal="center" vertical="center" wrapText="1"/>
    </xf>
    <xf numFmtId="165" fontId="119" fillId="4" borderId="581" xfId="0" applyNumberFormat="1" applyFont="1" applyFill="1" applyBorder="1" applyAlignment="1">
      <alignment vertical="center"/>
    </xf>
    <xf numFmtId="165" fontId="122" fillId="4" borderId="581" xfId="0" applyNumberFormat="1" applyFont="1" applyFill="1" applyBorder="1" applyAlignment="1">
      <alignment vertical="center"/>
    </xf>
    <xf numFmtId="0" fontId="25" fillId="4" borderId="581" xfId="0" applyFont="1" applyFill="1" applyBorder="1" applyAlignment="1">
      <alignment horizontal="center" vertical="center" wrapText="1"/>
    </xf>
    <xf numFmtId="49" fontId="24" fillId="4" borderId="580" xfId="0" applyNumberFormat="1" applyFont="1" applyFill="1" applyBorder="1" applyAlignment="1">
      <alignment horizontal="center" vertical="center"/>
    </xf>
    <xf numFmtId="0" fontId="120" fillId="4" borderId="581" xfId="0" applyFont="1" applyFill="1" applyBorder="1" applyAlignment="1">
      <alignment horizontal="center" vertical="center"/>
    </xf>
    <xf numFmtId="49" fontId="24" fillId="4" borderId="581" xfId="0" applyNumberFormat="1" applyFont="1" applyFill="1" applyBorder="1" applyAlignment="1">
      <alignment horizontal="center" vertical="center"/>
    </xf>
    <xf numFmtId="49" fontId="24" fillId="4" borderId="581" xfId="0" applyNumberFormat="1" applyFont="1" applyFill="1" applyBorder="1" applyAlignment="1">
      <alignment horizontal="left" vertical="center" wrapText="1" indent="1"/>
    </xf>
    <xf numFmtId="49" fontId="25" fillId="4" borderId="581" xfId="0" applyNumberFormat="1" applyFont="1" applyFill="1" applyBorder="1" applyAlignment="1">
      <alignment horizontal="center" vertical="center"/>
    </xf>
    <xf numFmtId="0" fontId="25" fillId="4" borderId="582" xfId="0" applyFont="1" applyFill="1" applyBorder="1" applyAlignment="1">
      <alignment horizontal="center" vertical="center"/>
    </xf>
    <xf numFmtId="0" fontId="113" fillId="4" borderId="583" xfId="0" applyFont="1" applyFill="1" applyBorder="1" applyAlignment="1">
      <alignment horizontal="center" vertical="center"/>
    </xf>
    <xf numFmtId="49" fontId="25" fillId="4" borderId="583" xfId="0" applyNumberFormat="1" applyFont="1" applyFill="1" applyBorder="1" applyAlignment="1">
      <alignment horizontal="center" vertical="center"/>
    </xf>
    <xf numFmtId="0" fontId="25" fillId="4" borderId="583" xfId="0" applyFont="1" applyFill="1" applyBorder="1" applyAlignment="1">
      <alignment horizontal="left" vertical="center" wrapText="1" indent="1"/>
    </xf>
    <xf numFmtId="0" fontId="119" fillId="4" borderId="583" xfId="0" applyFont="1" applyFill="1" applyBorder="1" applyAlignment="1">
      <alignment horizontal="center" vertical="center" wrapText="1"/>
    </xf>
    <xf numFmtId="0" fontId="25" fillId="4" borderId="583" xfId="0" applyFont="1" applyFill="1" applyBorder="1" applyAlignment="1">
      <alignment horizontal="center" vertical="center" wrapText="1"/>
    </xf>
    <xf numFmtId="165" fontId="119" fillId="4" borderId="583" xfId="0" applyNumberFormat="1" applyFont="1" applyFill="1" applyBorder="1" applyAlignment="1">
      <alignment vertical="center"/>
    </xf>
    <xf numFmtId="165" fontId="122" fillId="4" borderId="583" xfId="0" applyNumberFormat="1" applyFont="1" applyFill="1" applyBorder="1" applyAlignment="1">
      <alignment vertical="center"/>
    </xf>
    <xf numFmtId="0" fontId="26" fillId="0" borderId="585" xfId="0" applyFont="1" applyBorder="1" applyAlignment="1">
      <alignment horizontal="center" vertical="center" wrapText="1"/>
    </xf>
    <xf numFmtId="0" fontId="26" fillId="4" borderId="585" xfId="0" applyFont="1" applyFill="1" applyBorder="1" applyAlignment="1">
      <alignment horizontal="center" vertical="center" wrapText="1"/>
    </xf>
    <xf numFmtId="49" fontId="26" fillId="4" borderId="585" xfId="0" applyNumberFormat="1" applyFont="1" applyFill="1" applyBorder="1" applyAlignment="1">
      <alignment horizontal="center" vertical="center"/>
    </xf>
    <xf numFmtId="49" fontId="26" fillId="4" borderId="584" xfId="0" applyNumberFormat="1" applyFont="1" applyFill="1" applyBorder="1" applyAlignment="1">
      <alignment horizontal="center" vertical="center"/>
    </xf>
    <xf numFmtId="49" fontId="26" fillId="4" borderId="586" xfId="0" applyNumberFormat="1" applyFont="1" applyFill="1" applyBorder="1" applyAlignment="1">
      <alignment horizontal="center" vertical="center"/>
    </xf>
    <xf numFmtId="0" fontId="26" fillId="0" borderId="580" xfId="0" applyFont="1" applyBorder="1" applyAlignment="1">
      <alignment horizontal="center" vertical="center"/>
    </xf>
    <xf numFmtId="0" fontId="26" fillId="0" borderId="581" xfId="0" applyFont="1" applyBorder="1" applyAlignment="1">
      <alignment horizontal="center" vertical="center" wrapText="1"/>
    </xf>
    <xf numFmtId="0" fontId="26" fillId="4" borderId="581" xfId="0" applyFont="1" applyFill="1" applyBorder="1" applyAlignment="1">
      <alignment horizontal="center" vertical="center" wrapText="1"/>
    </xf>
    <xf numFmtId="49" fontId="26" fillId="4" borderId="581" xfId="0" applyNumberFormat="1" applyFont="1" applyFill="1" applyBorder="1" applyAlignment="1">
      <alignment horizontal="center" vertical="center"/>
    </xf>
    <xf numFmtId="49" fontId="26" fillId="4" borderId="587" xfId="0" applyNumberFormat="1" applyFont="1" applyFill="1" applyBorder="1" applyAlignment="1">
      <alignment horizontal="center" vertical="center"/>
    </xf>
    <xf numFmtId="0" fontId="26" fillId="4" borderId="580" xfId="0" applyFont="1" applyFill="1" applyBorder="1" applyAlignment="1">
      <alignment horizontal="center" vertical="center"/>
    </xf>
    <xf numFmtId="0" fontId="38" fillId="4" borderId="580" xfId="0" applyFont="1" applyFill="1" applyBorder="1" applyAlignment="1">
      <alignment horizontal="center" vertical="center"/>
    </xf>
    <xf numFmtId="0" fontId="26" fillId="4" borderId="582" xfId="0" applyFont="1" applyFill="1" applyBorder="1" applyAlignment="1">
      <alignment horizontal="center" vertical="center"/>
    </xf>
    <xf numFmtId="0" fontId="26" fillId="0" borderId="583" xfId="0" applyFont="1" applyBorder="1" applyAlignment="1">
      <alignment horizontal="center" vertical="center" wrapText="1"/>
    </xf>
    <xf numFmtId="0" fontId="26" fillId="4" borderId="583" xfId="0" applyFont="1" applyFill="1" applyBorder="1" applyAlignment="1">
      <alignment horizontal="center" vertical="center" wrapText="1"/>
    </xf>
    <xf numFmtId="49" fontId="26" fillId="4" borderId="583" xfId="0" applyNumberFormat="1" applyFont="1" applyFill="1" applyBorder="1" applyAlignment="1">
      <alignment horizontal="center" vertical="center"/>
    </xf>
    <xf numFmtId="49" fontId="26" fillId="4" borderId="588" xfId="0" applyNumberFormat="1" applyFont="1" applyFill="1" applyBorder="1" applyAlignment="1">
      <alignment horizontal="center" vertical="center"/>
    </xf>
    <xf numFmtId="0" fontId="26" fillId="0" borderId="524" xfId="0" applyFont="1" applyBorder="1" applyAlignment="1">
      <alignment horizontal="center" vertical="center"/>
    </xf>
    <xf numFmtId="49" fontId="26" fillId="0" borderId="522" xfId="0" applyNumberFormat="1" applyFont="1" applyBorder="1" applyAlignment="1">
      <alignment horizontal="center" vertical="center"/>
    </xf>
    <xf numFmtId="49" fontId="26" fillId="0" borderId="592" xfId="0" applyNumberFormat="1" applyFont="1" applyBorder="1" applyAlignment="1">
      <alignment horizontal="center" vertical="center"/>
    </xf>
    <xf numFmtId="0" fontId="128" fillId="16" borderId="372" xfId="0" applyFont="1" applyFill="1" applyBorder="1" applyAlignment="1"/>
    <xf numFmtId="0" fontId="128" fillId="16" borderId="355" xfId="0" applyFont="1" applyFill="1" applyBorder="1" applyAlignment="1"/>
    <xf numFmtId="0" fontId="44" fillId="2" borderId="355" xfId="0" applyFont="1" applyFill="1" applyBorder="1" applyAlignment="1">
      <alignment vertical="center" wrapText="1"/>
    </xf>
    <xf numFmtId="0" fontId="135" fillId="4" borderId="244" xfId="0" applyFont="1" applyFill="1" applyBorder="1" applyAlignment="1">
      <alignment horizontal="center" vertical="center"/>
    </xf>
    <xf numFmtId="0" fontId="131" fillId="4" borderId="141" xfId="0" applyFont="1" applyFill="1" applyBorder="1" applyAlignment="1">
      <alignment horizontal="center" vertical="center"/>
    </xf>
    <xf numFmtId="0" fontId="135" fillId="4" borderId="141" xfId="0" applyFont="1" applyFill="1" applyBorder="1" applyAlignment="1">
      <alignment horizontal="center" vertical="center"/>
    </xf>
    <xf numFmtId="0" fontId="131" fillId="4" borderId="149" xfId="0" applyFont="1" applyFill="1" applyBorder="1" applyAlignment="1">
      <alignment horizontal="center" vertical="center"/>
    </xf>
    <xf numFmtId="0" fontId="135" fillId="4" borderId="144" xfId="0" applyFont="1" applyFill="1" applyBorder="1" applyAlignment="1">
      <alignment horizontal="center" vertical="center"/>
    </xf>
    <xf numFmtId="0" fontId="131" fillId="4" borderId="585" xfId="0" applyFont="1" applyFill="1" applyBorder="1" applyAlignment="1">
      <alignment horizontal="center" vertical="center"/>
    </xf>
    <xf numFmtId="0" fontId="131" fillId="0" borderId="585" xfId="0" applyFont="1" applyBorder="1" applyAlignment="1">
      <alignment horizontal="center" vertical="center"/>
    </xf>
    <xf numFmtId="0" fontId="131" fillId="4" borderId="581" xfId="0" applyFont="1" applyFill="1" applyBorder="1" applyAlignment="1">
      <alignment horizontal="center" vertical="center"/>
    </xf>
    <xf numFmtId="0" fontId="131" fillId="0" borderId="581" xfId="0" applyFont="1" applyBorder="1" applyAlignment="1">
      <alignment horizontal="center" vertical="center"/>
    </xf>
    <xf numFmtId="0" fontId="135" fillId="4" borderId="581" xfId="0" applyFont="1" applyFill="1" applyBorder="1" applyAlignment="1">
      <alignment horizontal="center" vertical="center"/>
    </xf>
    <xf numFmtId="0" fontId="131" fillId="4" borderId="583" xfId="0" applyFont="1" applyFill="1" applyBorder="1" applyAlignment="1">
      <alignment horizontal="center" vertical="center"/>
    </xf>
    <xf numFmtId="0" fontId="131" fillId="4" borderId="144" xfId="0" applyFont="1" applyFill="1" applyBorder="1" applyAlignment="1">
      <alignment horizontal="center" vertical="center"/>
    </xf>
    <xf numFmtId="0" fontId="131" fillId="4" borderId="244" xfId="0" applyFont="1" applyFill="1" applyBorder="1" applyAlignment="1">
      <alignment horizontal="center" vertical="center"/>
    </xf>
    <xf numFmtId="0" fontId="131" fillId="0" borderId="144" xfId="0" applyFont="1" applyBorder="1" applyAlignment="1">
      <alignment horizontal="center" vertical="center"/>
    </xf>
    <xf numFmtId="0" fontId="26" fillId="0" borderId="581" xfId="0" applyFont="1" applyBorder="1" applyAlignment="1">
      <alignment horizontal="left" vertical="center" wrapText="1" indent="1"/>
    </xf>
    <xf numFmtId="0" fontId="38" fillId="0" borderId="581" xfId="0" applyFont="1" applyBorder="1" applyAlignment="1">
      <alignment horizontal="left" vertical="center" wrapText="1" indent="1"/>
    </xf>
    <xf numFmtId="0" fontId="26" fillId="0" borderId="583" xfId="0" applyFont="1" applyBorder="1" applyAlignment="1">
      <alignment horizontal="left" vertical="center" wrapText="1" indent="1"/>
    </xf>
    <xf numFmtId="0" fontId="26" fillId="0" borderId="144" xfId="0" applyFont="1" applyBorder="1" applyAlignment="1">
      <alignment horizontal="left" vertical="center" wrapText="1" indent="1"/>
    </xf>
    <xf numFmtId="0" fontId="38" fillId="0" borderId="144" xfId="0" applyFont="1" applyBorder="1" applyAlignment="1">
      <alignment horizontal="left" vertical="center" indent="1"/>
    </xf>
    <xf numFmtId="0" fontId="38" fillId="0" borderId="141" xfId="0" applyFont="1" applyBorder="1" applyAlignment="1">
      <alignment horizontal="left" vertical="center" indent="1"/>
    </xf>
    <xf numFmtId="0" fontId="26" fillId="0" borderId="149" xfId="0" applyFont="1" applyBorder="1" applyAlignment="1">
      <alignment horizontal="left" vertical="center" indent="1"/>
    </xf>
    <xf numFmtId="0" fontId="117" fillId="4" borderId="141" xfId="0" applyFont="1" applyFill="1" applyBorder="1" applyAlignment="1">
      <alignment horizontal="center" vertical="center" wrapText="1"/>
    </xf>
    <xf numFmtId="0" fontId="117" fillId="0" borderId="585" xfId="0" applyFont="1" applyBorder="1" applyAlignment="1">
      <alignment horizontal="center" vertical="center" wrapText="1"/>
    </xf>
    <xf numFmtId="0" fontId="117" fillId="0" borderId="581" xfId="0" applyFont="1" applyBorder="1" applyAlignment="1">
      <alignment horizontal="center" vertical="center" wrapText="1"/>
    </xf>
    <xf numFmtId="0" fontId="117" fillId="0" borderId="583" xfId="0" applyFont="1" applyBorder="1" applyAlignment="1">
      <alignment horizontal="center" vertical="center" wrapText="1"/>
    </xf>
    <xf numFmtId="165" fontId="136" fillId="4" borderId="244" xfId="0" applyNumberFormat="1" applyFont="1" applyFill="1" applyBorder="1" applyAlignment="1">
      <alignment vertical="center"/>
    </xf>
    <xf numFmtId="165" fontId="117" fillId="4" borderId="141" xfId="0" applyNumberFormat="1" applyFont="1" applyFill="1" applyBorder="1" applyAlignment="1">
      <alignment vertical="center"/>
    </xf>
    <xf numFmtId="165" fontId="117" fillId="0" borderId="585" xfId="0" applyNumberFormat="1" applyFont="1" applyBorder="1" applyAlignment="1">
      <alignment vertical="center"/>
    </xf>
    <xf numFmtId="165" fontId="136" fillId="0" borderId="585" xfId="0" applyNumberFormat="1" applyFont="1" applyBorder="1" applyAlignment="1">
      <alignment vertical="center"/>
    </xf>
    <xf numFmtId="165" fontId="117" fillId="0" borderId="581" xfId="0" applyNumberFormat="1" applyFont="1" applyBorder="1" applyAlignment="1">
      <alignment vertical="center"/>
    </xf>
    <xf numFmtId="165" fontId="136" fillId="0" borderId="581" xfId="0" applyNumberFormat="1" applyFont="1" applyBorder="1" applyAlignment="1">
      <alignment vertical="center"/>
    </xf>
    <xf numFmtId="165" fontId="117" fillId="0" borderId="583" xfId="0" applyNumberFormat="1" applyFont="1" applyBorder="1" applyAlignment="1">
      <alignment vertical="center"/>
    </xf>
    <xf numFmtId="165" fontId="136" fillId="0" borderId="583" xfId="0" applyNumberFormat="1" applyFont="1" applyBorder="1" applyAlignment="1">
      <alignment vertical="center"/>
    </xf>
    <xf numFmtId="0" fontId="14" fillId="3" borderId="167" xfId="0" applyFont="1" applyFill="1" applyBorder="1" applyAlignment="1">
      <alignment horizontal="left" vertical="center" indent="1"/>
    </xf>
    <xf numFmtId="0" fontId="14" fillId="0" borderId="168" xfId="0" applyFont="1" applyBorder="1" applyAlignment="1">
      <alignment horizontal="left" vertical="center" wrapText="1" indent="1"/>
    </xf>
    <xf numFmtId="0" fontId="14" fillId="0" borderId="168" xfId="0" applyFont="1" applyBorder="1" applyAlignment="1">
      <alignment horizontal="left" vertical="center" indent="1"/>
    </xf>
    <xf numFmtId="0" fontId="136" fillId="12" borderId="613" xfId="0" applyFont="1" applyFill="1" applyBorder="1" applyAlignment="1">
      <alignment horizontal="right" vertical="center"/>
    </xf>
    <xf numFmtId="165" fontId="136" fillId="12" borderId="613" xfId="0" applyNumberFormat="1" applyFont="1" applyFill="1" applyBorder="1" applyAlignment="1">
      <alignment horizontal="right" vertical="center"/>
    </xf>
    <xf numFmtId="0" fontId="134" fillId="0" borderId="144" xfId="0" applyFont="1" applyBorder="1" applyAlignment="1">
      <alignment horizontal="left" vertical="center" indent="1"/>
    </xf>
    <xf numFmtId="0" fontId="134" fillId="0" borderId="244" xfId="0" applyFont="1" applyBorder="1" applyAlignment="1">
      <alignment horizontal="left" vertical="center" wrapText="1" indent="1"/>
    </xf>
    <xf numFmtId="0" fontId="126" fillId="4" borderId="141" xfId="0" applyFont="1" applyFill="1" applyBorder="1" applyAlignment="1">
      <alignment horizontal="left" vertical="center" wrapText="1" indent="1"/>
    </xf>
    <xf numFmtId="0" fontId="126" fillId="0" borderId="585" xfId="0" applyFont="1" applyBorder="1" applyAlignment="1">
      <alignment horizontal="left" vertical="center" wrapText="1" indent="1"/>
    </xf>
    <xf numFmtId="0" fontId="126" fillId="0" borderId="581" xfId="0" applyFont="1" applyBorder="1" applyAlignment="1">
      <alignment horizontal="left" vertical="center" wrapText="1" indent="1"/>
    </xf>
    <xf numFmtId="0" fontId="0" fillId="0" borderId="0" xfId="0" applyFont="1" applyAlignment="1"/>
    <xf numFmtId="0" fontId="114" fillId="0" borderId="0" xfId="0" applyFont="1" applyAlignment="1"/>
    <xf numFmtId="0" fontId="14" fillId="0" borderId="0" xfId="0" applyFont="1" applyAlignment="1">
      <alignment horizontal="left" vertical="center" wrapText="1"/>
    </xf>
    <xf numFmtId="0" fontId="47" fillId="4" borderId="0" xfId="0" applyFont="1" applyFill="1" applyAlignment="1">
      <alignment horizontal="center" vertical="center"/>
    </xf>
    <xf numFmtId="0" fontId="25" fillId="0" borderId="615" xfId="0" applyFont="1" applyBorder="1" applyAlignment="1">
      <alignment horizontal="center" vertical="center" wrapText="1"/>
    </xf>
    <xf numFmtId="0" fontId="25" fillId="0" borderId="616" xfId="0" applyFont="1" applyBorder="1" applyAlignment="1">
      <alignment horizontal="center" vertical="center" wrapText="1"/>
    </xf>
    <xf numFmtId="0" fontId="25" fillId="0" borderId="587" xfId="0" applyFont="1" applyBorder="1" applyAlignment="1">
      <alignment horizontal="center" vertical="center" wrapText="1"/>
    </xf>
    <xf numFmtId="0" fontId="135" fillId="0" borderId="581" xfId="0" applyFont="1" applyBorder="1" applyAlignment="1">
      <alignment horizontal="center" vertical="center"/>
    </xf>
    <xf numFmtId="49" fontId="26" fillId="0" borderId="587" xfId="0" applyNumberFormat="1" applyFont="1" applyBorder="1" applyAlignment="1">
      <alignment horizontal="center" vertical="center"/>
    </xf>
    <xf numFmtId="0" fontId="26" fillId="0" borderId="582" xfId="0" applyFont="1" applyBorder="1" applyAlignment="1">
      <alignment horizontal="center" vertical="center"/>
    </xf>
    <xf numFmtId="0" fontId="131" fillId="0" borderId="583" xfId="0" applyFont="1" applyBorder="1" applyAlignment="1">
      <alignment horizontal="center" vertical="center"/>
    </xf>
    <xf numFmtId="49" fontId="26" fillId="0" borderId="588" xfId="0" applyNumberFormat="1" applyFont="1" applyBorder="1" applyAlignment="1">
      <alignment horizontal="center" vertical="center"/>
    </xf>
    <xf numFmtId="0" fontId="23" fillId="3" borderId="395" xfId="0" applyFont="1" applyFill="1" applyBorder="1" applyAlignment="1">
      <alignment vertical="center"/>
    </xf>
    <xf numFmtId="0" fontId="29" fillId="3" borderId="395" xfId="0" applyFont="1" applyFill="1" applyBorder="1" applyAlignment="1">
      <alignment vertical="center"/>
    </xf>
    <xf numFmtId="49" fontId="29" fillId="3" borderId="395" xfId="0" applyNumberFormat="1" applyFont="1" applyFill="1" applyBorder="1" applyAlignment="1">
      <alignment vertical="center"/>
    </xf>
    <xf numFmtId="0" fontId="29" fillId="3" borderId="375" xfId="0" applyFont="1" applyFill="1" applyBorder="1" applyAlignment="1">
      <alignment vertical="center"/>
    </xf>
    <xf numFmtId="49" fontId="29" fillId="3" borderId="375" xfId="0" applyNumberFormat="1" applyFont="1" applyFill="1" applyBorder="1" applyAlignment="1">
      <alignment vertical="center"/>
    </xf>
    <xf numFmtId="0" fontId="134" fillId="0" borderId="0" xfId="0" applyFont="1" applyAlignment="1">
      <alignment vertical="center"/>
    </xf>
    <xf numFmtId="0" fontId="11" fillId="12" borderId="382" xfId="0" applyFont="1" applyFill="1" applyBorder="1" applyAlignment="1">
      <alignment horizontal="center" vertical="center"/>
    </xf>
    <xf numFmtId="0" fontId="26" fillId="4" borderId="244" xfId="0" applyFont="1" applyFill="1" applyBorder="1" applyAlignment="1">
      <alignment vertical="center"/>
    </xf>
    <xf numFmtId="39" fontId="26" fillId="4" borderId="244" xfId="0" applyNumberFormat="1" applyFont="1" applyFill="1" applyBorder="1" applyAlignment="1">
      <alignment horizontal="right" vertical="center"/>
    </xf>
    <xf numFmtId="0" fontId="26" fillId="4" borderId="260" xfId="0" applyFont="1" applyFill="1" applyBorder="1" applyAlignment="1">
      <alignment horizontal="center" vertical="center" wrapText="1"/>
    </xf>
    <xf numFmtId="49" fontId="26" fillId="4" borderId="260" xfId="0" applyNumberFormat="1" applyFont="1" applyFill="1" applyBorder="1" applyAlignment="1">
      <alignment horizontal="center" vertical="center"/>
    </xf>
    <xf numFmtId="0" fontId="11" fillId="2" borderId="382" xfId="0" applyFont="1" applyFill="1" applyBorder="1" applyAlignment="1">
      <alignment horizontal="center" vertical="center"/>
    </xf>
    <xf numFmtId="1" fontId="56" fillId="0" borderId="179" xfId="0" applyNumberFormat="1" applyFont="1" applyBorder="1" applyAlignment="1">
      <alignment horizontal="center" vertical="center" wrapText="1"/>
    </xf>
    <xf numFmtId="1" fontId="56" fillId="0" borderId="248" xfId="0" applyNumberFormat="1" applyFont="1" applyBorder="1" applyAlignment="1">
      <alignment horizontal="center" vertical="center" wrapText="1"/>
    </xf>
    <xf numFmtId="1" fontId="56" fillId="0" borderId="177" xfId="0" applyNumberFormat="1" applyFont="1" applyBorder="1" applyAlignment="1">
      <alignment horizontal="center" vertical="center" wrapText="1"/>
    </xf>
    <xf numFmtId="0" fontId="12" fillId="2" borderId="651" xfId="0" applyFont="1" applyFill="1" applyBorder="1" applyAlignment="1">
      <alignment horizontal="center" vertical="center" wrapText="1"/>
    </xf>
    <xf numFmtId="0" fontId="54" fillId="2" borderId="652" xfId="0" applyFont="1" applyFill="1" applyBorder="1" applyAlignment="1">
      <alignment horizontal="center" vertical="center" wrapText="1"/>
    </xf>
    <xf numFmtId="39" fontId="54" fillId="2" borderId="652" xfId="0" applyNumberFormat="1" applyFont="1" applyFill="1" applyBorder="1" applyAlignment="1">
      <alignment horizontal="center" vertical="center"/>
    </xf>
    <xf numFmtId="165" fontId="54" fillId="2" borderId="653" xfId="0" applyNumberFormat="1" applyFont="1" applyFill="1" applyBorder="1" applyAlignment="1">
      <alignment horizontal="center" vertical="center"/>
    </xf>
    <xf numFmtId="0" fontId="137" fillId="4" borderId="62" xfId="0" applyFont="1" applyFill="1" applyBorder="1" applyAlignment="1">
      <alignment vertical="center"/>
    </xf>
    <xf numFmtId="0" fontId="137" fillId="4" borderId="63" xfId="0" applyFont="1" applyFill="1" applyBorder="1" applyAlignment="1">
      <alignment vertical="center"/>
    </xf>
    <xf numFmtId="0" fontId="137" fillId="0" borderId="0" xfId="0" applyFont="1" applyAlignment="1">
      <alignment vertical="center"/>
    </xf>
    <xf numFmtId="0" fontId="137" fillId="4" borderId="0" xfId="0" applyFont="1" applyFill="1" applyAlignment="1">
      <alignment vertical="center"/>
    </xf>
    <xf numFmtId="165" fontId="7" fillId="0" borderId="375" xfId="0" applyNumberFormat="1" applyFont="1" applyBorder="1" applyAlignment="1">
      <alignment vertical="center" wrapText="1"/>
    </xf>
    <xf numFmtId="0" fontId="42" fillId="0" borderId="375" xfId="0" applyFont="1" applyBorder="1" applyAlignment="1">
      <alignment horizontal="center" vertical="center" wrapText="1"/>
    </xf>
    <xf numFmtId="0" fontId="26" fillId="0" borderId="324" xfId="0" applyFont="1" applyBorder="1" applyAlignment="1">
      <alignment horizontal="center" vertical="center" wrapText="1"/>
    </xf>
    <xf numFmtId="165" fontId="26" fillId="0" borderId="324" xfId="0" applyNumberFormat="1" applyFont="1" applyBorder="1" applyAlignment="1">
      <alignment vertical="center"/>
    </xf>
    <xf numFmtId="0" fontId="29" fillId="8" borderId="418" xfId="0" applyFont="1" applyFill="1" applyBorder="1" applyAlignment="1">
      <alignment horizontal="center" vertical="center"/>
    </xf>
    <xf numFmtId="0" fontId="12" fillId="2" borderId="672" xfId="0" applyFont="1" applyFill="1" applyBorder="1" applyAlignment="1">
      <alignment vertical="center" textRotation="90" wrapText="1"/>
    </xf>
    <xf numFmtId="0" fontId="12" fillId="2" borderId="673" xfId="0" applyFont="1" applyFill="1" applyBorder="1" applyAlignment="1">
      <alignment vertical="center" textRotation="90" wrapText="1"/>
    </xf>
    <xf numFmtId="0" fontId="12" fillId="2" borderId="673" xfId="0" applyFont="1" applyFill="1" applyBorder="1" applyAlignment="1">
      <alignment vertical="center"/>
    </xf>
    <xf numFmtId="0" fontId="12" fillId="2" borderId="673" xfId="0" applyFont="1" applyFill="1" applyBorder="1" applyAlignment="1">
      <alignment horizontal="left" vertical="center"/>
    </xf>
    <xf numFmtId="0" fontId="12" fillId="2" borderId="673" xfId="0" applyFont="1" applyFill="1" applyBorder="1" applyAlignment="1">
      <alignment horizontal="center" vertical="center"/>
    </xf>
    <xf numFmtId="0" fontId="59" fillId="0" borderId="375" xfId="0" applyFont="1" applyBorder="1" applyAlignment="1">
      <alignment vertical="center" wrapText="1"/>
    </xf>
    <xf numFmtId="49" fontId="59" fillId="0" borderId="375" xfId="0" applyNumberFormat="1" applyFont="1" applyBorder="1" applyAlignment="1">
      <alignment vertical="center" wrapText="1"/>
    </xf>
    <xf numFmtId="1" fontId="59" fillId="0" borderId="375" xfId="0" applyNumberFormat="1" applyFont="1" applyBorder="1" applyAlignment="1">
      <alignment vertical="center" wrapText="1"/>
    </xf>
    <xf numFmtId="0" fontId="59" fillId="0" borderId="375" xfId="0" applyFont="1" applyBorder="1" applyAlignment="1">
      <alignment horizontal="center" vertical="center" wrapText="1"/>
    </xf>
    <xf numFmtId="0" fontId="60" fillId="0" borderId="375" xfId="0" applyFont="1" applyBorder="1" applyAlignment="1">
      <alignment horizontal="center" vertical="center" wrapText="1"/>
    </xf>
    <xf numFmtId="0" fontId="26" fillId="0" borderId="332" xfId="0" applyFont="1" applyBorder="1" applyAlignment="1">
      <alignment horizontal="center" vertical="center"/>
    </xf>
    <xf numFmtId="0" fontId="26" fillId="0" borderId="45" xfId="0" applyFont="1" applyBorder="1" applyAlignment="1">
      <alignment horizontal="left" vertical="center"/>
    </xf>
    <xf numFmtId="0" fontId="26" fillId="0" borderId="342" xfId="0" applyFont="1" applyBorder="1" applyAlignment="1">
      <alignment horizontal="center" vertical="center"/>
    </xf>
    <xf numFmtId="0" fontId="38" fillId="0" borderId="45" xfId="0" applyFont="1" applyBorder="1" applyAlignment="1">
      <alignment horizontal="left" vertical="center"/>
    </xf>
    <xf numFmtId="0" fontId="38" fillId="0" borderId="342" xfId="0" applyFont="1" applyBorder="1" applyAlignment="1">
      <alignment horizontal="center" vertical="center"/>
    </xf>
    <xf numFmtId="0" fontId="26" fillId="0" borderId="333" xfId="0" applyFont="1" applyBorder="1" applyAlignment="1">
      <alignment horizontal="center" vertical="center"/>
    </xf>
    <xf numFmtId="49" fontId="26" fillId="0" borderId="494" xfId="0" applyNumberFormat="1" applyFont="1" applyBorder="1" applyAlignment="1">
      <alignment horizontal="center" vertical="center"/>
    </xf>
    <xf numFmtId="0" fontId="26" fillId="0" borderId="494" xfId="0" applyFont="1" applyBorder="1" applyAlignment="1">
      <alignment horizontal="center" vertical="center" wrapText="1"/>
    </xf>
    <xf numFmtId="49" fontId="26" fillId="0" borderId="495" xfId="0" applyNumberFormat="1" applyFont="1" applyBorder="1" applyAlignment="1">
      <alignment horizontal="center" vertical="center"/>
    </xf>
    <xf numFmtId="0" fontId="38" fillId="0" borderId="342" xfId="0" applyFont="1" applyBorder="1" applyAlignment="1">
      <alignment horizontal="left" vertical="center" wrapText="1"/>
    </xf>
    <xf numFmtId="165" fontId="26" fillId="0" borderId="48" xfId="0" applyNumberFormat="1" applyFont="1" applyBorder="1" applyAlignment="1">
      <alignment vertical="center"/>
    </xf>
    <xf numFmtId="165" fontId="38" fillId="0" borderId="48" xfId="0" applyNumberFormat="1" applyFont="1" applyBorder="1" applyAlignment="1">
      <alignment vertical="center"/>
    </xf>
    <xf numFmtId="49" fontId="26" fillId="0" borderId="48" xfId="0" applyNumberFormat="1" applyFont="1" applyBorder="1" applyAlignment="1">
      <alignment horizontal="center" vertical="center"/>
    </xf>
    <xf numFmtId="0" fontId="38" fillId="0" borderId="48" xfId="0" applyFont="1" applyBorder="1" applyAlignment="1">
      <alignment horizontal="center" vertical="center" wrapText="1"/>
    </xf>
    <xf numFmtId="0" fontId="26" fillId="0" borderId="48" xfId="0" applyFont="1" applyBorder="1" applyAlignment="1">
      <alignment horizontal="left" vertical="center" wrapText="1"/>
    </xf>
    <xf numFmtId="0" fontId="26" fillId="0" borderId="488" xfId="0" applyFont="1" applyBorder="1" applyAlignment="1">
      <alignment horizontal="center" vertical="center"/>
    </xf>
    <xf numFmtId="49" fontId="26" fillId="0" borderId="177" xfId="0" applyNumberFormat="1" applyFont="1" applyBorder="1" applyAlignment="1">
      <alignment horizontal="center" vertical="center"/>
    </xf>
    <xf numFmtId="0" fontId="26" fillId="0" borderId="248" xfId="0" applyFont="1" applyBorder="1" applyAlignment="1">
      <alignment horizontal="left" vertical="center" wrapText="1"/>
    </xf>
    <xf numFmtId="0" fontId="26" fillId="0" borderId="248" xfId="0" applyFont="1" applyBorder="1" applyAlignment="1">
      <alignment horizontal="center" vertical="center" wrapText="1"/>
    </xf>
    <xf numFmtId="49" fontId="26" fillId="0" borderId="248" xfId="0" applyNumberFormat="1" applyFont="1" applyBorder="1" applyAlignment="1">
      <alignment horizontal="center" vertical="center"/>
    </xf>
    <xf numFmtId="0" fontId="26" fillId="0" borderId="177" xfId="0" applyFont="1" applyBorder="1" applyAlignment="1">
      <alignment horizontal="center" vertical="center" wrapText="1"/>
    </xf>
    <xf numFmtId="0" fontId="26" fillId="0" borderId="179" xfId="0" applyFont="1" applyBorder="1" applyAlignment="1">
      <alignment horizontal="center" vertical="center" wrapText="1"/>
    </xf>
    <xf numFmtId="0" fontId="26" fillId="0" borderId="492" xfId="0" applyFont="1" applyBorder="1" applyAlignment="1">
      <alignment horizontal="center" vertical="center" wrapText="1"/>
    </xf>
    <xf numFmtId="0" fontId="38" fillId="0" borderId="331" xfId="0" applyFont="1" applyBorder="1" applyAlignment="1">
      <alignment horizontal="center" vertical="center"/>
    </xf>
    <xf numFmtId="0" fontId="38" fillId="0" borderId="331" xfId="0" applyFont="1" applyBorder="1" applyAlignment="1">
      <alignment horizontal="left" vertical="center" wrapText="1"/>
    </xf>
    <xf numFmtId="0" fontId="26" fillId="0" borderId="177" xfId="0" applyFont="1" applyBorder="1" applyAlignment="1">
      <alignment horizontal="left" vertical="center" wrapText="1"/>
    </xf>
    <xf numFmtId="0" fontId="12" fillId="2" borderId="651" xfId="0" applyFont="1" applyFill="1" applyBorder="1" applyAlignment="1">
      <alignment vertical="center" wrapText="1"/>
    </xf>
    <xf numFmtId="0" fontId="12" fillId="2" borderId="673" xfId="0" applyFont="1" applyFill="1" applyBorder="1" applyAlignment="1">
      <alignment vertical="center" wrapText="1"/>
    </xf>
    <xf numFmtId="0" fontId="26" fillId="4" borderId="641" xfId="0" applyFont="1" applyFill="1" applyBorder="1" applyAlignment="1">
      <alignment vertical="center"/>
    </xf>
    <xf numFmtId="0" fontId="26" fillId="4" borderId="643" xfId="0" applyFont="1" applyFill="1" applyBorder="1" applyAlignment="1">
      <alignment vertical="center"/>
    </xf>
    <xf numFmtId="0" fontId="26" fillId="4" borderId="680" xfId="0" applyFont="1" applyFill="1" applyBorder="1" applyAlignment="1">
      <alignment vertical="center"/>
    </xf>
    <xf numFmtId="0" fontId="26" fillId="4" borderId="681" xfId="0" applyFont="1" applyFill="1" applyBorder="1" applyAlignment="1">
      <alignment vertical="center"/>
    </xf>
    <xf numFmtId="0" fontId="14" fillId="12" borderId="690" xfId="0" applyFont="1" applyFill="1" applyBorder="1" applyAlignment="1">
      <alignment horizontal="center" vertical="center"/>
    </xf>
    <xf numFmtId="0" fontId="26" fillId="0" borderId="358" xfId="0" applyFont="1" applyBorder="1" applyAlignment="1">
      <alignment horizontal="center" vertical="center" wrapText="1"/>
    </xf>
    <xf numFmtId="0" fontId="26" fillId="0" borderId="358" xfId="0" applyFont="1" applyBorder="1" applyAlignment="1">
      <alignment horizontal="center" vertical="center"/>
    </xf>
    <xf numFmtId="0" fontId="26" fillId="4" borderId="358" xfId="0" applyFont="1" applyFill="1" applyBorder="1" applyAlignment="1">
      <alignment horizontal="center" vertical="center" wrapText="1"/>
    </xf>
    <xf numFmtId="49" fontId="26" fillId="4" borderId="358" xfId="0" applyNumberFormat="1" applyFont="1" applyFill="1" applyBorder="1" applyAlignment="1">
      <alignment horizontal="center" vertical="center"/>
    </xf>
    <xf numFmtId="49" fontId="26" fillId="0" borderId="358" xfId="0" applyNumberFormat="1" applyFont="1" applyBorder="1" applyAlignment="1">
      <alignment horizontal="center" vertical="center"/>
    </xf>
    <xf numFmtId="0" fontId="26" fillId="4" borderId="358" xfId="0" applyFont="1" applyFill="1" applyBorder="1" applyAlignment="1">
      <alignment horizontal="center" vertical="center"/>
    </xf>
    <xf numFmtId="0" fontId="54" fillId="2" borderId="673" xfId="0" applyFont="1" applyFill="1" applyBorder="1" applyAlignment="1">
      <alignment horizontal="center" vertical="center"/>
    </xf>
    <xf numFmtId="0" fontId="11" fillId="2" borderId="651" xfId="0" applyFont="1" applyFill="1" applyBorder="1" applyAlignment="1">
      <alignment vertical="center" wrapText="1"/>
    </xf>
    <xf numFmtId="39" fontId="12" fillId="2" borderId="673" xfId="0" applyNumberFormat="1" applyFont="1" applyFill="1" applyBorder="1" applyAlignment="1">
      <alignment horizontal="right" vertical="center"/>
    </xf>
    <xf numFmtId="49" fontId="38" fillId="0" borderId="45" xfId="0" applyNumberFormat="1" applyFont="1" applyBorder="1" applyAlignment="1">
      <alignment horizontal="center" vertical="center"/>
    </xf>
    <xf numFmtId="49" fontId="26" fillId="0" borderId="45" xfId="0" applyNumberFormat="1" applyFont="1" applyBorder="1" applyAlignment="1">
      <alignment horizontal="center" vertical="center"/>
    </xf>
    <xf numFmtId="0" fontId="38" fillId="0" borderId="45" xfId="0" applyFont="1" applyBorder="1" applyAlignment="1">
      <alignment horizontal="center" vertical="center"/>
    </xf>
    <xf numFmtId="0" fontId="26" fillId="0" borderId="45" xfId="0" applyFont="1" applyBorder="1" applyAlignment="1">
      <alignment horizontal="center" vertical="center"/>
    </xf>
    <xf numFmtId="0" fontId="11" fillId="12" borderId="382" xfId="0" applyFont="1" applyFill="1" applyBorder="1" applyAlignment="1">
      <alignment horizontal="left" vertical="center" indent="1"/>
    </xf>
    <xf numFmtId="0" fontId="136" fillId="12" borderId="382" xfId="0" applyFont="1" applyFill="1" applyBorder="1" applyAlignment="1">
      <alignment horizontal="center" vertical="center"/>
    </xf>
    <xf numFmtId="0" fontId="11" fillId="12" borderId="382" xfId="0" applyFont="1" applyFill="1" applyBorder="1" applyAlignment="1">
      <alignment horizontal="left" vertical="center"/>
    </xf>
    <xf numFmtId="0" fontId="11" fillId="12" borderId="382" xfId="0" applyFont="1" applyFill="1" applyBorder="1" applyAlignment="1">
      <alignment vertical="center"/>
    </xf>
    <xf numFmtId="39" fontId="12" fillId="2" borderId="651" xfId="0" applyNumberFormat="1" applyFont="1" applyFill="1" applyBorder="1" applyAlignment="1">
      <alignment horizontal="right" vertical="center"/>
    </xf>
    <xf numFmtId="0" fontId="26" fillId="0" borderId="248" xfId="0" applyFont="1" applyBorder="1" applyAlignment="1">
      <alignment horizontal="left" vertical="center" indent="1"/>
    </xf>
    <xf numFmtId="0" fontId="136" fillId="12" borderId="382" xfId="0" applyFont="1" applyFill="1" applyBorder="1" applyAlignment="1">
      <alignment vertical="center"/>
    </xf>
    <xf numFmtId="0" fontId="35" fillId="12" borderId="382" xfId="0" applyFont="1" applyFill="1" applyBorder="1" applyAlignment="1">
      <alignment horizontal="center" vertical="center"/>
    </xf>
    <xf numFmtId="0" fontId="152" fillId="2" borderId="673" xfId="0" applyFont="1" applyFill="1" applyBorder="1" applyAlignment="1">
      <alignment vertical="center" textRotation="90" wrapText="1"/>
    </xf>
    <xf numFmtId="165" fontId="136" fillId="2" borderId="696" xfId="0" applyNumberFormat="1" applyFont="1" applyFill="1" applyBorder="1" applyAlignment="1">
      <alignment horizontal="right" vertical="center"/>
    </xf>
    <xf numFmtId="0" fontId="26" fillId="0" borderId="47" xfId="0" applyFont="1" applyBorder="1" applyAlignment="1">
      <alignment horizontal="left" vertical="center" indent="1"/>
    </xf>
    <xf numFmtId="0" fontId="131" fillId="0" borderId="488" xfId="0" applyFont="1" applyBorder="1" applyAlignment="1">
      <alignment horizontal="center" vertical="center"/>
    </xf>
    <xf numFmtId="0" fontId="117" fillId="0" borderId="48" xfId="0" applyFont="1" applyBorder="1" applyAlignment="1">
      <alignment horizontal="center" vertical="center" wrapText="1"/>
    </xf>
    <xf numFmtId="165" fontId="136" fillId="0" borderId="48" xfId="0" applyNumberFormat="1" applyFont="1" applyBorder="1" applyAlignment="1">
      <alignment vertical="center"/>
    </xf>
    <xf numFmtId="0" fontId="131" fillId="0" borderId="333" xfId="0" applyFont="1" applyBorder="1" applyAlignment="1">
      <alignment horizontal="center" vertical="center"/>
    </xf>
    <xf numFmtId="165" fontId="117" fillId="0" borderId="177" xfId="0" applyNumberFormat="1" applyFont="1" applyBorder="1" applyAlignment="1">
      <alignment vertical="center"/>
    </xf>
    <xf numFmtId="0" fontId="38" fillId="0" borderId="45" xfId="0" applyFont="1" applyBorder="1" applyAlignment="1">
      <alignment horizontal="left" vertical="center" indent="1"/>
    </xf>
    <xf numFmtId="0" fontId="135" fillId="0" borderId="331" xfId="0" applyFont="1" applyBorder="1" applyAlignment="1">
      <alignment horizontal="center" vertical="center"/>
    </xf>
    <xf numFmtId="0" fontId="131" fillId="0" borderId="490" xfId="0" applyFont="1" applyBorder="1" applyAlignment="1">
      <alignment horizontal="center" vertical="center"/>
    </xf>
    <xf numFmtId="0" fontId="11" fillId="2" borderId="673" xfId="0" applyFont="1" applyFill="1" applyBorder="1" applyAlignment="1">
      <alignment vertical="center"/>
    </xf>
    <xf numFmtId="49" fontId="23" fillId="3" borderId="375" xfId="0" applyNumberFormat="1" applyFont="1" applyFill="1" applyBorder="1" applyAlignment="1">
      <alignment vertical="center"/>
    </xf>
    <xf numFmtId="0" fontId="14" fillId="12" borderId="382" xfId="0" applyFont="1" applyFill="1" applyBorder="1" applyAlignment="1">
      <alignment horizontal="center" vertical="center"/>
    </xf>
    <xf numFmtId="0" fontId="12" fillId="2" borderId="673" xfId="0" applyFont="1" applyFill="1" applyBorder="1" applyAlignment="1">
      <alignment horizontal="center" vertical="center" wrapText="1"/>
    </xf>
    <xf numFmtId="39" fontId="12" fillId="2" borderId="673" xfId="0" applyNumberFormat="1" applyFont="1" applyFill="1" applyBorder="1" applyAlignment="1">
      <alignment horizontal="center" vertical="center"/>
    </xf>
    <xf numFmtId="0" fontId="26" fillId="4" borderId="332" xfId="0" applyFont="1" applyFill="1" applyBorder="1" applyAlignment="1">
      <alignment horizontal="center" vertical="center" wrapText="1"/>
    </xf>
    <xf numFmtId="49" fontId="26" fillId="4" borderId="324" xfId="0" applyNumberFormat="1" applyFont="1" applyFill="1" applyBorder="1" applyAlignment="1">
      <alignment horizontal="center" vertical="center"/>
    </xf>
    <xf numFmtId="0" fontId="26" fillId="0" borderId="450" xfId="0" applyFont="1" applyBorder="1" applyAlignment="1">
      <alignment horizontal="left" vertical="center" wrapText="1"/>
    </xf>
    <xf numFmtId="0" fontId="26" fillId="4" borderId="177" xfId="0" applyFont="1" applyFill="1" applyBorder="1" applyAlignment="1">
      <alignment horizontal="center" vertical="center" wrapText="1"/>
    </xf>
    <xf numFmtId="49" fontId="26" fillId="4" borderId="177" xfId="0" applyNumberFormat="1" applyFont="1" applyFill="1" applyBorder="1" applyAlignment="1">
      <alignment horizontal="center" vertical="center"/>
    </xf>
    <xf numFmtId="0" fontId="54" fillId="2" borderId="673" xfId="0" applyFont="1" applyFill="1" applyBorder="1" applyAlignment="1">
      <alignment vertical="center" wrapText="1"/>
    </xf>
    <xf numFmtId="39" fontId="54" fillId="2" borderId="673" xfId="0" applyNumberFormat="1" applyFont="1" applyFill="1" applyBorder="1" applyAlignment="1">
      <alignment horizontal="right" vertical="center"/>
    </xf>
    <xf numFmtId="4" fontId="54" fillId="2" borderId="673" xfId="0" applyNumberFormat="1" applyFont="1" applyFill="1" applyBorder="1" applyAlignment="1">
      <alignment horizontal="right" vertical="center" wrapText="1"/>
    </xf>
    <xf numFmtId="165" fontId="54" fillId="2" borderId="674" xfId="0" applyNumberFormat="1" applyFont="1" applyFill="1" applyBorder="1" applyAlignment="1">
      <alignment horizontal="right" vertical="center"/>
    </xf>
    <xf numFmtId="0" fontId="65" fillId="2" borderId="672" xfId="0" applyFont="1" applyFill="1" applyBorder="1" applyAlignment="1">
      <alignment vertical="center" textRotation="90" wrapText="1"/>
    </xf>
    <xf numFmtId="0" fontId="65" fillId="2" borderId="673" xfId="0" applyFont="1" applyFill="1" applyBorder="1" applyAlignment="1">
      <alignment vertical="center" textRotation="90" wrapText="1"/>
    </xf>
    <xf numFmtId="0" fontId="54" fillId="2" borderId="673" xfId="0" applyFont="1" applyFill="1" applyBorder="1" applyAlignment="1">
      <alignment horizontal="left" vertical="center"/>
    </xf>
    <xf numFmtId="0" fontId="54" fillId="2" borderId="673" xfId="0" applyFont="1" applyFill="1" applyBorder="1" applyAlignment="1">
      <alignment vertical="center"/>
    </xf>
    <xf numFmtId="0" fontId="54" fillId="2" borderId="673" xfId="0" applyFont="1" applyFill="1" applyBorder="1" applyAlignment="1">
      <alignment horizontal="right" vertical="center"/>
    </xf>
    <xf numFmtId="0" fontId="72" fillId="0" borderId="358" xfId="0" applyFont="1" applyBorder="1" applyAlignment="1">
      <alignment horizontal="center" vertical="center"/>
    </xf>
    <xf numFmtId="0" fontId="72" fillId="0" borderId="442" xfId="0" applyFont="1" applyBorder="1" applyAlignment="1">
      <alignment horizontal="center" vertical="center"/>
    </xf>
    <xf numFmtId="0" fontId="38" fillId="0" borderId="442" xfId="0" applyFont="1" applyBorder="1" applyAlignment="1">
      <alignment horizontal="left" vertical="center" wrapText="1"/>
    </xf>
    <xf numFmtId="0" fontId="26" fillId="0" borderId="442" xfId="0" applyFont="1" applyBorder="1" applyAlignment="1">
      <alignment horizontal="center" vertical="center" wrapText="1"/>
    </xf>
    <xf numFmtId="49" fontId="26" fillId="0" borderId="442" xfId="0" applyNumberFormat="1" applyFont="1" applyBorder="1" applyAlignment="1">
      <alignment horizontal="center" vertical="center"/>
    </xf>
    <xf numFmtId="0" fontId="57" fillId="0" borderId="440" xfId="0" applyFont="1" applyBorder="1" applyAlignment="1">
      <alignment horizontal="center" vertical="center"/>
    </xf>
    <xf numFmtId="0" fontId="26" fillId="0" borderId="440" xfId="0" applyFont="1" applyBorder="1" applyAlignment="1">
      <alignment horizontal="center" vertical="center" wrapText="1"/>
    </xf>
    <xf numFmtId="49" fontId="26" fillId="0" borderId="440" xfId="0" applyNumberFormat="1" applyFont="1" applyBorder="1" applyAlignment="1">
      <alignment horizontal="center" vertical="center"/>
    </xf>
    <xf numFmtId="0" fontId="38" fillId="0" borderId="358" xfId="0" applyFont="1" applyBorder="1" applyAlignment="1">
      <alignment horizontal="right" vertical="center"/>
    </xf>
    <xf numFmtId="0" fontId="25" fillId="0" borderId="358" xfId="0" applyFont="1" applyBorder="1" applyAlignment="1">
      <alignment horizontal="center" vertical="center" wrapText="1"/>
    </xf>
    <xf numFmtId="0" fontId="38" fillId="0" borderId="358" xfId="0" applyFont="1" applyBorder="1" applyAlignment="1">
      <alignment horizontal="right" vertical="center" wrapText="1"/>
    </xf>
    <xf numFmtId="0" fontId="26" fillId="0" borderId="358" xfId="0" applyFont="1" applyBorder="1" applyAlignment="1">
      <alignment horizontal="right" vertical="center"/>
    </xf>
    <xf numFmtId="0" fontId="26" fillId="0" borderId="440" xfId="0" applyFont="1" applyBorder="1" applyAlignment="1">
      <alignment vertical="center" wrapText="1"/>
    </xf>
    <xf numFmtId="0" fontId="26" fillId="0" borderId="440" xfId="0" applyFont="1" applyBorder="1" applyAlignment="1">
      <alignment horizontal="center" vertical="center"/>
    </xf>
    <xf numFmtId="0" fontId="33" fillId="0" borderId="375" xfId="0" applyFont="1" applyBorder="1" applyAlignment="1">
      <alignment vertical="center"/>
    </xf>
    <xf numFmtId="165" fontId="26" fillId="0" borderId="442" xfId="0" applyNumberFormat="1" applyFont="1" applyBorder="1" applyAlignment="1">
      <alignment vertical="center"/>
    </xf>
    <xf numFmtId="165" fontId="38" fillId="0" borderId="442" xfId="0" applyNumberFormat="1" applyFont="1" applyBorder="1" applyAlignment="1">
      <alignment vertical="center"/>
    </xf>
    <xf numFmtId="49" fontId="26" fillId="4" borderId="442" xfId="0" applyNumberFormat="1" applyFont="1" applyFill="1" applyBorder="1" applyAlignment="1">
      <alignment horizontal="center" vertical="center"/>
    </xf>
    <xf numFmtId="0" fontId="26" fillId="4" borderId="440" xfId="0" applyFont="1" applyFill="1" applyBorder="1" applyAlignment="1">
      <alignment horizontal="center" vertical="center"/>
    </xf>
    <xf numFmtId="165" fontId="38" fillId="4" borderId="440" xfId="0" applyNumberFormat="1" applyFont="1" applyFill="1" applyBorder="1" applyAlignment="1">
      <alignment vertical="center"/>
    </xf>
    <xf numFmtId="0" fontId="38" fillId="0" borderId="440" xfId="0" applyFont="1" applyBorder="1" applyAlignment="1">
      <alignment horizontal="center" vertical="center"/>
    </xf>
    <xf numFmtId="0" fontId="35" fillId="0" borderId="342" xfId="0" applyFont="1" applyBorder="1" applyAlignment="1">
      <alignment horizontal="center" vertical="center"/>
    </xf>
    <xf numFmtId="0" fontId="72" fillId="0" borderId="342" xfId="0" applyFont="1" applyBorder="1" applyAlignment="1">
      <alignment horizontal="center" vertical="center"/>
    </xf>
    <xf numFmtId="0" fontId="72" fillId="0" borderId="45" xfId="0" applyFont="1" applyBorder="1" applyAlignment="1">
      <alignment horizontal="center" vertical="center"/>
    </xf>
    <xf numFmtId="0" fontId="57" fillId="0" borderId="45" xfId="0" applyFont="1" applyBorder="1" applyAlignment="1">
      <alignment horizontal="center" vertical="center"/>
    </xf>
    <xf numFmtId="0" fontId="57" fillId="0" borderId="342" xfId="0" applyFont="1" applyBorder="1" applyAlignment="1">
      <alignment horizontal="center" vertical="center"/>
    </xf>
    <xf numFmtId="0" fontId="57" fillId="0" borderId="333" xfId="0" applyFont="1" applyBorder="1" applyAlignment="1">
      <alignment horizontal="center" vertical="center"/>
    </xf>
    <xf numFmtId="0" fontId="57" fillId="0" borderId="332" xfId="0" applyFont="1" applyBorder="1" applyAlignment="1">
      <alignment horizontal="center" vertical="center"/>
    </xf>
    <xf numFmtId="0" fontId="47" fillId="0" borderId="342" xfId="0" applyFont="1" applyBorder="1" applyAlignment="1">
      <alignment horizontal="left" vertical="center" wrapText="1"/>
    </xf>
    <xf numFmtId="0" fontId="47" fillId="0" borderId="342" xfId="0" applyFont="1" applyBorder="1" applyAlignment="1">
      <alignment horizontal="center" vertical="center"/>
    </xf>
    <xf numFmtId="0" fontId="87" fillId="0" borderId="342" xfId="0" applyFont="1" applyBorder="1" applyAlignment="1">
      <alignment horizontal="center" vertical="center"/>
    </xf>
    <xf numFmtId="0" fontId="87" fillId="0" borderId="332" xfId="0" applyFont="1" applyBorder="1" applyAlignment="1">
      <alignment horizontal="left" vertical="center" wrapText="1"/>
    </xf>
    <xf numFmtId="0" fontId="88" fillId="0" borderId="332" xfId="0" applyFont="1" applyBorder="1" applyAlignment="1">
      <alignment horizontal="center" vertical="center"/>
    </xf>
    <xf numFmtId="0" fontId="47" fillId="0" borderId="332" xfId="0" applyFont="1" applyBorder="1" applyAlignment="1">
      <alignment horizontal="left" vertical="center" wrapText="1"/>
    </xf>
    <xf numFmtId="0" fontId="47" fillId="0" borderId="332" xfId="0" applyFont="1" applyBorder="1" applyAlignment="1">
      <alignment horizontal="center" vertical="center"/>
    </xf>
    <xf numFmtId="0" fontId="87" fillId="0" borderId="332" xfId="0" applyFont="1" applyBorder="1" applyAlignment="1">
      <alignment horizontal="center" vertical="center"/>
    </xf>
    <xf numFmtId="0" fontId="72" fillId="0" borderId="333" xfId="0" applyFont="1" applyBorder="1" applyAlignment="1">
      <alignment horizontal="center" vertical="center"/>
    </xf>
    <xf numFmtId="1" fontId="56" fillId="0" borderId="440" xfId="0" applyNumberFormat="1" applyFont="1" applyBorder="1" applyAlignment="1">
      <alignment horizontal="center" vertical="center" wrapText="1"/>
    </xf>
    <xf numFmtId="0" fontId="26" fillId="0" borderId="454" xfId="0" applyFont="1" applyBorder="1" applyAlignment="1">
      <alignment horizontal="left" vertical="center" wrapText="1"/>
    </xf>
    <xf numFmtId="0" fontId="72" fillId="0" borderId="331" xfId="0" applyFont="1" applyBorder="1" applyAlignment="1">
      <alignment horizontal="center" vertical="center"/>
    </xf>
    <xf numFmtId="0" fontId="44" fillId="2" borderId="382" xfId="0" applyFont="1" applyFill="1" applyBorder="1" applyAlignment="1">
      <alignment vertical="center" wrapText="1"/>
    </xf>
    <xf numFmtId="39" fontId="44" fillId="2" borderId="382" xfId="0" applyNumberFormat="1" applyFont="1" applyFill="1" applyBorder="1" applyAlignment="1">
      <alignment horizontal="right" vertical="center"/>
    </xf>
    <xf numFmtId="4" fontId="44" fillId="2" borderId="382" xfId="0" applyNumberFormat="1" applyFont="1" applyFill="1" applyBorder="1" applyAlignment="1">
      <alignment horizontal="right" vertical="center" wrapText="1"/>
    </xf>
    <xf numFmtId="0" fontId="26" fillId="0" borderId="442" xfId="0" applyFont="1" applyBorder="1" applyAlignment="1">
      <alignment vertical="center"/>
    </xf>
    <xf numFmtId="0" fontId="2" fillId="0" borderId="248" xfId="0" applyFont="1" applyBorder="1" applyAlignment="1">
      <alignment vertical="center"/>
    </xf>
    <xf numFmtId="0" fontId="2" fillId="0" borderId="419" xfId="0" applyFont="1" applyBorder="1" applyAlignment="1">
      <alignment vertical="center"/>
    </xf>
    <xf numFmtId="0" fontId="2" fillId="0" borderId="177" xfId="0" applyFont="1" applyBorder="1" applyAlignment="1">
      <alignment vertical="center"/>
    </xf>
    <xf numFmtId="0" fontId="2" fillId="0" borderId="463" xfId="0" applyFont="1" applyBorder="1" applyAlignment="1">
      <alignment vertical="center"/>
    </xf>
    <xf numFmtId="0" fontId="38" fillId="0" borderId="442" xfId="0" applyFont="1" applyBorder="1" applyAlignment="1">
      <alignment horizontal="center" vertical="center"/>
    </xf>
    <xf numFmtId="0" fontId="26" fillId="0" borderId="442" xfId="0" applyFont="1" applyBorder="1" applyAlignment="1">
      <alignment horizontal="center" vertical="center"/>
    </xf>
    <xf numFmtId="0" fontId="38" fillId="0" borderId="455" xfId="0" applyFont="1" applyBorder="1" applyAlignment="1">
      <alignment horizontal="center" vertical="center"/>
    </xf>
    <xf numFmtId="0" fontId="26" fillId="0" borderId="455" xfId="0" applyFont="1" applyBorder="1" applyAlignment="1">
      <alignment horizontal="center" vertical="center" wrapText="1"/>
    </xf>
    <xf numFmtId="0" fontId="74" fillId="0" borderId="455" xfId="0" applyFont="1" applyBorder="1" applyAlignment="1">
      <alignment horizontal="center" vertical="center" wrapText="1"/>
    </xf>
    <xf numFmtId="0" fontId="38" fillId="3" borderId="442" xfId="0" applyFont="1" applyFill="1" applyBorder="1" applyAlignment="1">
      <alignment horizontal="left" vertical="center" wrapText="1"/>
    </xf>
    <xf numFmtId="0" fontId="38" fillId="0" borderId="442" xfId="0" applyFont="1" applyBorder="1" applyAlignment="1">
      <alignment vertical="center" wrapText="1"/>
    </xf>
    <xf numFmtId="0" fontId="26" fillId="0" borderId="456" xfId="0" applyFont="1" applyBorder="1" applyAlignment="1">
      <alignment horizontal="center" vertical="center" wrapText="1"/>
    </xf>
    <xf numFmtId="0" fontId="26" fillId="4" borderId="456" xfId="0" applyFont="1" applyFill="1" applyBorder="1" applyAlignment="1">
      <alignment horizontal="center" vertical="center" wrapText="1"/>
    </xf>
    <xf numFmtId="165" fontId="38" fillId="4" borderId="456" xfId="0" applyNumberFormat="1" applyFont="1" applyFill="1" applyBorder="1" applyAlignment="1">
      <alignment horizontal="right" vertical="center" wrapText="1"/>
    </xf>
    <xf numFmtId="0" fontId="26" fillId="0" borderId="442" xfId="0" applyFont="1" applyBorder="1" applyAlignment="1">
      <alignment horizontal="left" vertical="center" wrapText="1"/>
    </xf>
    <xf numFmtId="0" fontId="26" fillId="0" borderId="455" xfId="0" applyFont="1" applyBorder="1" applyAlignment="1">
      <alignment horizontal="center" vertical="center"/>
    </xf>
    <xf numFmtId="0" fontId="26" fillId="0" borderId="375" xfId="0" applyFont="1" applyBorder="1" applyAlignment="1">
      <alignment horizontal="center" vertical="center"/>
    </xf>
    <xf numFmtId="0" fontId="11" fillId="0" borderId="442" xfId="0" applyFont="1" applyBorder="1" applyAlignment="1">
      <alignment horizontal="center" vertical="center"/>
    </xf>
    <xf numFmtId="0" fontId="38" fillId="3" borderId="441" xfId="0" applyFont="1" applyFill="1" applyBorder="1" applyAlignment="1">
      <alignment horizontal="center" vertical="center" wrapText="1"/>
    </xf>
    <xf numFmtId="0" fontId="24" fillId="3" borderId="440" xfId="0" applyFont="1" applyFill="1" applyBorder="1" applyAlignment="1">
      <alignment vertical="center" wrapText="1"/>
    </xf>
    <xf numFmtId="165" fontId="26" fillId="4" borderId="455" xfId="0" applyNumberFormat="1" applyFont="1" applyFill="1" applyBorder="1" applyAlignment="1">
      <alignment vertical="center"/>
    </xf>
    <xf numFmtId="0" fontId="25" fillId="0" borderId="440" xfId="0" applyFont="1" applyBorder="1" applyAlignment="1">
      <alignment horizontal="center" vertical="center"/>
    </xf>
    <xf numFmtId="0" fontId="25" fillId="4" borderId="440" xfId="0" applyFont="1" applyFill="1" applyBorder="1" applyAlignment="1">
      <alignment vertical="center" wrapText="1"/>
    </xf>
    <xf numFmtId="0" fontId="38" fillId="3" borderId="441" xfId="0" applyFont="1" applyFill="1" applyBorder="1" applyAlignment="1">
      <alignment horizontal="center" vertical="center"/>
    </xf>
    <xf numFmtId="0" fontId="11" fillId="0" borderId="342" xfId="0" applyFont="1" applyBorder="1" applyAlignment="1">
      <alignment horizontal="center" vertical="center"/>
    </xf>
    <xf numFmtId="0" fontId="38" fillId="3" borderId="441" xfId="0" applyFont="1" applyFill="1" applyBorder="1" applyAlignment="1">
      <alignment horizontal="left" vertical="center" wrapText="1"/>
    </xf>
    <xf numFmtId="0" fontId="26" fillId="4" borderId="442" xfId="0" applyFont="1" applyFill="1" applyBorder="1" applyAlignment="1">
      <alignment horizontal="center" vertical="center"/>
    </xf>
    <xf numFmtId="0" fontId="25" fillId="4" borderId="440" xfId="0" applyFont="1" applyFill="1" applyBorder="1" applyAlignment="1">
      <alignment horizontal="center" vertical="center"/>
    </xf>
    <xf numFmtId="0" fontId="26" fillId="4" borderId="440" xfId="0" applyFont="1" applyFill="1" applyBorder="1" applyAlignment="1">
      <alignment vertical="center" wrapText="1"/>
    </xf>
    <xf numFmtId="0" fontId="26" fillId="0" borderId="442" xfId="0" applyFont="1" applyBorder="1" applyAlignment="1">
      <alignment vertical="center" wrapText="1"/>
    </xf>
    <xf numFmtId="0" fontId="26" fillId="0" borderId="179" xfId="0" applyFont="1" applyBorder="1" applyAlignment="1">
      <alignment horizontal="left" vertical="center" wrapText="1"/>
    </xf>
    <xf numFmtId="0" fontId="44" fillId="2" borderId="467" xfId="0" applyFont="1" applyFill="1" applyBorder="1" applyAlignment="1">
      <alignment vertical="center" wrapText="1"/>
    </xf>
    <xf numFmtId="0" fontId="44" fillId="2" borderId="467" xfId="0" applyFont="1" applyFill="1" applyBorder="1" applyAlignment="1">
      <alignment horizontal="center" vertical="center" wrapText="1"/>
    </xf>
    <xf numFmtId="39" fontId="44" fillId="2" borderId="467" xfId="0" applyNumberFormat="1" applyFont="1" applyFill="1" applyBorder="1" applyAlignment="1">
      <alignment horizontal="right" vertical="center"/>
    </xf>
    <xf numFmtId="4" fontId="45" fillId="2" borderId="467" xfId="0" applyNumberFormat="1" applyFont="1" applyFill="1" applyBorder="1" applyAlignment="1">
      <alignment vertical="center" wrapText="1"/>
    </xf>
    <xf numFmtId="0" fontId="26" fillId="0" borderId="419" xfId="0" applyFont="1" applyBorder="1" applyAlignment="1">
      <alignment vertical="center" wrapText="1"/>
    </xf>
    <xf numFmtId="0" fontId="72" fillId="0" borderId="332" xfId="0" applyFont="1" applyBorder="1" applyAlignment="1">
      <alignment horizontal="center" vertical="center"/>
    </xf>
    <xf numFmtId="0" fontId="57" fillId="0" borderId="415" xfId="0" applyFont="1" applyBorder="1" applyAlignment="1">
      <alignment horizontal="center" vertical="center"/>
    </xf>
    <xf numFmtId="0" fontId="56" fillId="0" borderId="248" xfId="0" applyFont="1" applyBorder="1" applyAlignment="1">
      <alignment horizontal="center" vertical="center" wrapText="1"/>
    </xf>
    <xf numFmtId="165" fontId="56" fillId="0" borderId="248" xfId="0" applyNumberFormat="1" applyFont="1" applyBorder="1" applyAlignment="1">
      <alignment vertical="center"/>
    </xf>
    <xf numFmtId="165" fontId="54" fillId="0" borderId="248" xfId="0" applyNumberFormat="1" applyFont="1" applyBorder="1" applyAlignment="1">
      <alignment vertical="center"/>
    </xf>
    <xf numFmtId="0" fontId="26" fillId="0" borderId="474" xfId="0" applyFont="1" applyBorder="1" applyAlignment="1">
      <alignment vertical="center" wrapText="1"/>
    </xf>
    <xf numFmtId="0" fontId="26" fillId="0" borderId="373" xfId="0" applyFont="1" applyBorder="1" applyAlignment="1">
      <alignment vertical="center" wrapText="1"/>
    </xf>
    <xf numFmtId="0" fontId="38" fillId="0" borderId="474" xfId="0" applyFont="1" applyBorder="1" applyAlignment="1">
      <alignment vertical="center" wrapText="1"/>
    </xf>
    <xf numFmtId="0" fontId="26" fillId="0" borderId="486" xfId="0" applyFont="1" applyBorder="1" applyAlignment="1">
      <alignment vertical="center" wrapText="1"/>
    </xf>
    <xf numFmtId="0" fontId="72" fillId="0" borderId="45" xfId="0" applyFont="1" applyBorder="1" applyAlignment="1">
      <alignment horizontal="center" vertical="center" wrapText="1"/>
    </xf>
    <xf numFmtId="0" fontId="2" fillId="0" borderId="375" xfId="0" applyFont="1" applyBorder="1" applyAlignment="1">
      <alignment vertical="center"/>
    </xf>
    <xf numFmtId="0" fontId="26" fillId="0" borderId="454" xfId="0" applyFont="1" applyBorder="1" applyAlignment="1">
      <alignment vertical="center" wrapText="1"/>
    </xf>
    <xf numFmtId="0" fontId="57" fillId="4" borderId="342" xfId="0" applyFont="1" applyFill="1" applyBorder="1" applyAlignment="1">
      <alignment horizontal="left" vertical="center"/>
    </xf>
    <xf numFmtId="0" fontId="57" fillId="4" borderId="342" xfId="0" applyFont="1" applyFill="1" applyBorder="1" applyAlignment="1">
      <alignment horizontal="center" vertical="center"/>
    </xf>
    <xf numFmtId="0" fontId="72" fillId="4" borderId="342" xfId="0" applyFont="1" applyFill="1" applyBorder="1" applyAlignment="1">
      <alignment horizontal="center" vertical="center"/>
    </xf>
    <xf numFmtId="0" fontId="57" fillId="4" borderId="45" xfId="0" applyFont="1" applyFill="1" applyBorder="1" applyAlignment="1">
      <alignment horizontal="center" vertical="center"/>
    </xf>
    <xf numFmtId="0" fontId="72" fillId="4" borderId="45" xfId="0" applyFont="1" applyFill="1" applyBorder="1" applyAlignment="1">
      <alignment horizontal="center" vertical="center"/>
    </xf>
    <xf numFmtId="0" fontId="57" fillId="4" borderId="333" xfId="0" applyFont="1" applyFill="1" applyBorder="1" applyAlignment="1">
      <alignment horizontal="center" vertical="center"/>
    </xf>
    <xf numFmtId="0" fontId="72" fillId="4" borderId="45" xfId="0" applyFont="1" applyFill="1" applyBorder="1" applyAlignment="1">
      <alignment horizontal="center" vertical="center" wrapText="1"/>
    </xf>
    <xf numFmtId="0" fontId="97" fillId="0" borderId="45" xfId="0" applyFont="1" applyBorder="1" applyAlignment="1">
      <alignment horizontal="center" vertical="center" wrapText="1"/>
    </xf>
    <xf numFmtId="0" fontId="2" fillId="0" borderId="340" xfId="0" applyFont="1" applyBorder="1" applyAlignment="1">
      <alignment vertical="center"/>
    </xf>
    <xf numFmtId="0" fontId="98" fillId="4" borderId="375" xfId="0" applyFont="1" applyFill="1" applyBorder="1" applyAlignment="1">
      <alignment horizontal="center" vertical="center"/>
    </xf>
    <xf numFmtId="0" fontId="26" fillId="0" borderId="310" xfId="0" applyFont="1" applyBorder="1" applyAlignment="1">
      <alignment vertical="center" wrapText="1"/>
    </xf>
    <xf numFmtId="0" fontId="26" fillId="0" borderId="455" xfId="0" applyFont="1" applyBorder="1" applyAlignment="1">
      <alignment vertical="center" wrapText="1"/>
    </xf>
    <xf numFmtId="0" fontId="38" fillId="0" borderId="248" xfId="0" applyFont="1" applyBorder="1" applyAlignment="1">
      <alignment horizontal="left" vertical="center" wrapText="1"/>
    </xf>
    <xf numFmtId="0" fontId="26" fillId="0" borderId="163" xfId="0" applyFont="1" applyBorder="1" applyAlignment="1">
      <alignment horizontal="center" vertical="center" wrapText="1"/>
    </xf>
    <xf numFmtId="49" fontId="26" fillId="0" borderId="489" xfId="0" applyNumberFormat="1" applyFont="1" applyBorder="1" applyAlignment="1">
      <alignment horizontal="center" vertical="center"/>
    </xf>
    <xf numFmtId="0" fontId="2" fillId="0" borderId="250" xfId="0" applyFont="1" applyBorder="1" applyAlignment="1">
      <alignment vertical="center"/>
    </xf>
    <xf numFmtId="0" fontId="57" fillId="4" borderId="375" xfId="0" applyFont="1" applyFill="1" applyBorder="1" applyAlignment="1">
      <alignment horizontal="center" vertical="center"/>
    </xf>
    <xf numFmtId="165" fontId="54" fillId="4" borderId="248" xfId="0" applyNumberFormat="1" applyFont="1" applyFill="1" applyBorder="1" applyAlignment="1">
      <alignment vertical="center"/>
    </xf>
    <xf numFmtId="165" fontId="26" fillId="4" borderId="49" xfId="0" applyNumberFormat="1" applyFont="1" applyFill="1" applyBorder="1" applyAlignment="1">
      <alignment horizontal="right" vertical="center" wrapText="1"/>
    </xf>
    <xf numFmtId="0" fontId="26" fillId="0" borderId="340" xfId="0" applyFont="1" applyBorder="1" applyAlignment="1">
      <alignment horizontal="left" vertical="center" wrapText="1"/>
    </xf>
    <xf numFmtId="178" fontId="98" fillId="4" borderId="375" xfId="0" applyNumberFormat="1" applyFont="1" applyFill="1" applyBorder="1" applyAlignment="1">
      <alignment horizontal="center" vertical="center"/>
    </xf>
    <xf numFmtId="165" fontId="56" fillId="0" borderId="48" xfId="0" applyNumberFormat="1" applyFont="1" applyBorder="1" applyAlignment="1">
      <alignment vertical="center"/>
    </xf>
    <xf numFmtId="0" fontId="38" fillId="0" borderId="375" xfId="0" applyFont="1" applyBorder="1" applyAlignment="1">
      <alignment vertical="center" wrapText="1"/>
    </xf>
    <xf numFmtId="0" fontId="26" fillId="0" borderId="375" xfId="0" applyFont="1" applyBorder="1" applyAlignment="1">
      <alignment vertical="center" wrapText="1"/>
    </xf>
    <xf numFmtId="1" fontId="56" fillId="0" borderId="375" xfId="0" applyNumberFormat="1" applyFont="1" applyBorder="1" applyAlignment="1">
      <alignment vertical="center" wrapText="1"/>
    </xf>
    <xf numFmtId="0" fontId="57" fillId="0" borderId="490" xfId="0" applyFont="1" applyBorder="1" applyAlignment="1">
      <alignment horizontal="center" vertical="center"/>
    </xf>
    <xf numFmtId="39" fontId="44" fillId="2" borderId="355" xfId="0" applyNumberFormat="1" applyFont="1" applyFill="1" applyBorder="1" applyAlignment="1">
      <alignment horizontal="right" vertical="center"/>
    </xf>
    <xf numFmtId="0" fontId="72" fillId="0" borderId="324" xfId="0" applyFont="1" applyBorder="1" applyAlignment="1">
      <alignment horizontal="center" vertical="center"/>
    </xf>
    <xf numFmtId="0" fontId="38" fillId="0" borderId="324" xfId="0" applyFont="1" applyBorder="1" applyAlignment="1">
      <alignment horizontal="left" vertical="center" wrapText="1"/>
    </xf>
    <xf numFmtId="0" fontId="57" fillId="0" borderId="324" xfId="0" applyFont="1" applyBorder="1" applyAlignment="1">
      <alignment horizontal="center" vertical="center" wrapText="1"/>
    </xf>
    <xf numFmtId="165" fontId="57" fillId="0" borderId="324" xfId="0" applyNumberFormat="1" applyFont="1" applyBorder="1" applyAlignment="1">
      <alignment vertical="center"/>
    </xf>
    <xf numFmtId="165" fontId="72" fillId="0" borderId="324" xfId="0" applyNumberFormat="1" applyFont="1" applyBorder="1" applyAlignment="1">
      <alignment vertical="center"/>
    </xf>
    <xf numFmtId="49" fontId="26" fillId="0" borderId="324" xfId="0" applyNumberFormat="1" applyFont="1" applyBorder="1" applyAlignment="1">
      <alignment horizontal="center" vertical="center"/>
    </xf>
    <xf numFmtId="0" fontId="72" fillId="0" borderId="324" xfId="0" applyFont="1" applyBorder="1" applyAlignment="1">
      <alignment horizontal="center" vertical="center" wrapText="1"/>
    </xf>
    <xf numFmtId="0" fontId="57" fillId="0" borderId="324" xfId="0" applyFont="1" applyBorder="1" applyAlignment="1">
      <alignment vertical="center"/>
    </xf>
    <xf numFmtId="165" fontId="25" fillId="0" borderId="324" xfId="0" applyNumberFormat="1" applyFont="1" applyBorder="1" applyAlignment="1">
      <alignment horizontal="center" vertical="center" wrapText="1"/>
    </xf>
    <xf numFmtId="0" fontId="25" fillId="0" borderId="324" xfId="0" applyFont="1" applyBorder="1" applyAlignment="1">
      <alignment horizontal="center" vertical="center" wrapText="1"/>
    </xf>
    <xf numFmtId="4" fontId="11" fillId="12" borderId="322" xfId="0" applyNumberFormat="1" applyFont="1" applyFill="1" applyBorder="1" applyAlignment="1">
      <alignment horizontal="right" vertical="center" wrapText="1"/>
    </xf>
    <xf numFmtId="165" fontId="35" fillId="12" borderId="322" xfId="0" applyNumberFormat="1" applyFont="1" applyFill="1" applyBorder="1" applyAlignment="1">
      <alignment horizontal="right" vertical="center"/>
    </xf>
    <xf numFmtId="0" fontId="35" fillId="0" borderId="324" xfId="0" applyFont="1" applyBorder="1" applyAlignment="1">
      <alignment horizontal="center" vertical="center"/>
    </xf>
    <xf numFmtId="0" fontId="57" fillId="0" borderId="324" xfId="0" applyFont="1" applyBorder="1" applyAlignment="1">
      <alignment horizontal="center" vertical="center"/>
    </xf>
    <xf numFmtId="0" fontId="11" fillId="0" borderId="324" xfId="0" applyFont="1" applyBorder="1" applyAlignment="1">
      <alignment vertical="center" wrapText="1"/>
    </xf>
    <xf numFmtId="0" fontId="11" fillId="0" borderId="324" xfId="0" applyFont="1" applyBorder="1" applyAlignment="1">
      <alignment horizontal="left" vertical="center" wrapText="1"/>
    </xf>
    <xf numFmtId="0" fontId="26" fillId="0" borderId="324" xfId="0" applyFont="1" applyBorder="1" applyAlignment="1">
      <alignment horizontal="left" vertical="center" wrapText="1"/>
    </xf>
    <xf numFmtId="0" fontId="72" fillId="0" borderId="324" xfId="0" applyFont="1" applyBorder="1" applyAlignment="1">
      <alignment horizontal="right" vertical="center"/>
    </xf>
    <xf numFmtId="0" fontId="152" fillId="2" borderId="673" xfId="0" applyFont="1" applyFill="1" applyBorder="1" applyAlignment="1">
      <alignment horizontal="center" vertical="center" wrapText="1"/>
    </xf>
    <xf numFmtId="0" fontId="54" fillId="2" borderId="651" xfId="0" applyFont="1" applyFill="1" applyBorder="1" applyAlignment="1">
      <alignment vertical="center" wrapText="1"/>
    </xf>
    <xf numFmtId="0" fontId="12" fillId="12" borderId="467" xfId="0" applyFont="1" applyFill="1" applyBorder="1" applyAlignment="1">
      <alignment horizontal="left" vertical="center"/>
    </xf>
    <xf numFmtId="0" fontId="152" fillId="2" borderId="409" xfId="0" applyFont="1" applyFill="1" applyBorder="1" applyAlignment="1">
      <alignment vertical="center" textRotation="90" wrapText="1"/>
    </xf>
    <xf numFmtId="0" fontId="152" fillId="2" borderId="409" xfId="0" applyFont="1" applyFill="1" applyBorder="1" applyAlignment="1">
      <alignment vertical="center" wrapText="1"/>
    </xf>
    <xf numFmtId="0" fontId="152" fillId="2" borderId="417" xfId="0" applyFont="1" applyFill="1" applyBorder="1" applyAlignment="1">
      <alignment vertical="center" textRotation="90" wrapText="1"/>
    </xf>
    <xf numFmtId="0" fontId="152" fillId="2" borderId="284" xfId="0" applyFont="1" applyFill="1" applyBorder="1" applyAlignment="1">
      <alignment vertical="center" textRotation="90" wrapText="1"/>
    </xf>
    <xf numFmtId="0" fontId="152" fillId="2" borderId="477" xfId="0" applyFont="1" applyFill="1" applyBorder="1" applyAlignment="1">
      <alignment horizontal="center" vertical="center" textRotation="90" wrapText="1"/>
    </xf>
    <xf numFmtId="0" fontId="152" fillId="2" borderId="470" xfId="0" applyFont="1" applyFill="1" applyBorder="1" applyAlignment="1">
      <alignment horizontal="center" vertical="center" textRotation="90" wrapText="1"/>
    </xf>
    <xf numFmtId="0" fontId="152" fillId="2" borderId="482" xfId="0" applyFont="1" applyFill="1" applyBorder="1" applyAlignment="1">
      <alignment horizontal="center" vertical="center" textRotation="90" wrapText="1"/>
    </xf>
    <xf numFmtId="0" fontId="152" fillId="2" borderId="471" xfId="0" applyFont="1" applyFill="1" applyBorder="1" applyAlignment="1">
      <alignment horizontal="center" vertical="center" textRotation="90" wrapText="1"/>
    </xf>
    <xf numFmtId="0" fontId="152" fillId="2" borderId="491" xfId="0" applyFont="1" applyFill="1" applyBorder="1" applyAlignment="1">
      <alignment horizontal="center" vertical="center" textRotation="90" wrapText="1"/>
    </xf>
    <xf numFmtId="14" fontId="127" fillId="4" borderId="63" xfId="0" applyNumberFormat="1" applyFont="1" applyFill="1" applyBorder="1" applyAlignment="1">
      <alignment horizontal="left" vertical="center"/>
    </xf>
    <xf numFmtId="0" fontId="11" fillId="2" borderId="65" xfId="0" applyFont="1" applyFill="1" applyBorder="1" applyAlignment="1">
      <alignment horizontal="right" vertical="center"/>
    </xf>
    <xf numFmtId="49" fontId="122" fillId="2" borderId="58" xfId="0" applyNumberFormat="1" applyFont="1" applyFill="1" applyBorder="1" applyAlignment="1">
      <alignment horizontal="right" vertical="center"/>
    </xf>
    <xf numFmtId="0" fontId="11" fillId="2" borderId="673" xfId="0" applyFont="1" applyFill="1" applyBorder="1" applyAlignment="1">
      <alignment horizontal="left" vertical="center"/>
    </xf>
    <xf numFmtId="0" fontId="136" fillId="2" borderId="651" xfId="0" applyFont="1" applyFill="1" applyBorder="1" applyAlignment="1">
      <alignment horizontal="right" vertical="center"/>
    </xf>
    <xf numFmtId="0" fontId="132" fillId="12" borderId="382" xfId="0" applyFont="1" applyFill="1" applyBorder="1" applyAlignment="1">
      <alignment horizontal="right" vertical="center"/>
    </xf>
    <xf numFmtId="165" fontId="132" fillId="12" borderId="186" xfId="0" applyNumberFormat="1" applyFont="1" applyFill="1" applyBorder="1" applyAlignment="1">
      <alignment horizontal="right" vertical="center"/>
    </xf>
    <xf numFmtId="4" fontId="136" fillId="2" borderId="651" xfId="0" applyNumberFormat="1" applyFont="1" applyFill="1" applyBorder="1" applyAlignment="1">
      <alignment horizontal="left" vertical="center" wrapText="1" indent="1"/>
    </xf>
    <xf numFmtId="4" fontId="136" fillId="2" borderId="651" xfId="0" applyNumberFormat="1" applyFont="1" applyFill="1" applyBorder="1" applyAlignment="1">
      <alignment horizontal="right" vertical="center" wrapText="1"/>
    </xf>
    <xf numFmtId="165" fontId="136" fillId="2" borderId="697" xfId="0" applyNumberFormat="1" applyFont="1" applyFill="1" applyBorder="1" applyAlignment="1">
      <alignment horizontal="right" vertical="center"/>
    </xf>
    <xf numFmtId="4" fontId="136" fillId="2" borderId="673" xfId="0" applyNumberFormat="1" applyFont="1" applyFill="1" applyBorder="1" applyAlignment="1">
      <alignment horizontal="right" vertical="center" wrapText="1"/>
    </xf>
    <xf numFmtId="165" fontId="136" fillId="2" borderId="674" xfId="0" applyNumberFormat="1" applyFont="1" applyFill="1" applyBorder="1" applyAlignment="1">
      <alignment horizontal="right" vertical="center"/>
    </xf>
    <xf numFmtId="14" fontId="127" fillId="0" borderId="0" xfId="0" applyNumberFormat="1" applyFont="1" applyAlignment="1">
      <alignment horizontal="left" vertical="center"/>
    </xf>
    <xf numFmtId="0" fontId="136" fillId="2" borderId="673" xfId="0" applyFont="1" applyFill="1" applyBorder="1" applyAlignment="1">
      <alignment horizontal="center" vertical="center"/>
    </xf>
    <xf numFmtId="165" fontId="136" fillId="2" borderId="696" xfId="0" applyNumberFormat="1" applyFont="1" applyFill="1" applyBorder="1" applyAlignment="1">
      <alignment horizontal="center" vertical="center"/>
    </xf>
    <xf numFmtId="2" fontId="136" fillId="2" borderId="652" xfId="0" applyNumberFormat="1" applyFont="1" applyFill="1" applyBorder="1" applyAlignment="1">
      <alignment horizontal="center" vertical="center" wrapText="1"/>
    </xf>
    <xf numFmtId="4" fontId="136" fillId="2" borderId="673" xfId="0" applyNumberFormat="1" applyFont="1" applyFill="1" applyBorder="1" applyAlignment="1">
      <alignment horizontal="right" vertical="center" wrapText="1" indent="1"/>
    </xf>
    <xf numFmtId="4" fontId="136" fillId="2" borderId="240" xfId="0" applyNumberFormat="1" applyFont="1" applyFill="1" applyBorder="1" applyAlignment="1">
      <alignment horizontal="right" vertical="center" wrapText="1"/>
    </xf>
    <xf numFmtId="165" fontId="136" fillId="2" borderId="241" xfId="0" applyNumberFormat="1" applyFont="1" applyFill="1" applyBorder="1" applyAlignment="1">
      <alignment horizontal="right" vertical="center"/>
    </xf>
    <xf numFmtId="0" fontId="136" fillId="2" borderId="673" xfId="0" applyFont="1" applyFill="1" applyBorder="1" applyAlignment="1">
      <alignment horizontal="right" vertical="center"/>
    </xf>
    <xf numFmtId="0" fontId="136" fillId="2" borderId="355" xfId="0" applyFont="1" applyFill="1" applyBorder="1" applyAlignment="1">
      <alignment horizontal="right" vertical="center"/>
    </xf>
    <xf numFmtId="165" fontId="122" fillId="2" borderId="657" xfId="0" applyNumberFormat="1" applyFont="1" applyFill="1" applyBorder="1" applyAlignment="1">
      <alignment horizontal="right" vertical="center"/>
    </xf>
    <xf numFmtId="4" fontId="161" fillId="26" borderId="651" xfId="0" applyNumberFormat="1" applyFont="1" applyFill="1" applyBorder="1" applyAlignment="1">
      <alignment vertical="center" wrapText="1"/>
    </xf>
    <xf numFmtId="0" fontId="140" fillId="16" borderId="651" xfId="0" applyFont="1" applyFill="1" applyBorder="1" applyAlignment="1"/>
    <xf numFmtId="4" fontId="12" fillId="26" borderId="651" xfId="0" applyNumberFormat="1" applyFont="1" applyFill="1" applyBorder="1" applyAlignment="1">
      <alignment vertical="center" wrapText="1"/>
    </xf>
    <xf numFmtId="0" fontId="15" fillId="16" borderId="651" xfId="0" applyFont="1" applyFill="1" applyBorder="1" applyAlignment="1"/>
    <xf numFmtId="0" fontId="158" fillId="4" borderId="0" xfId="0" applyFont="1" applyFill="1" applyAlignment="1">
      <alignment vertical="center"/>
    </xf>
    <xf numFmtId="0" fontId="165" fillId="4" borderId="0" xfId="0" applyFont="1" applyFill="1" applyAlignment="1">
      <alignment vertical="center"/>
    </xf>
    <xf numFmtId="0" fontId="165" fillId="0" borderId="0" xfId="0" applyFont="1" applyAlignment="1"/>
    <xf numFmtId="0" fontId="156" fillId="4" borderId="0" xfId="0" applyFont="1" applyFill="1" applyAlignment="1">
      <alignment vertical="center"/>
    </xf>
    <xf numFmtId="1" fontId="156" fillId="4" borderId="0" xfId="0" applyNumberFormat="1" applyFont="1" applyFill="1" applyAlignment="1">
      <alignment vertical="center"/>
    </xf>
    <xf numFmtId="0" fontId="156" fillId="4" borderId="0" xfId="0" applyFont="1" applyFill="1" applyAlignment="1">
      <alignment horizontal="center" vertical="center"/>
    </xf>
    <xf numFmtId="0" fontId="166" fillId="4" borderId="0" xfId="0" applyFont="1" applyFill="1" applyAlignment="1">
      <alignment vertical="center"/>
    </xf>
    <xf numFmtId="0" fontId="167" fillId="4" borderId="0" xfId="0" applyFont="1" applyFill="1" applyAlignment="1">
      <alignment vertical="center" wrapText="1"/>
    </xf>
    <xf numFmtId="0" fontId="163" fillId="4" borderId="0" xfId="0" applyFont="1" applyFill="1" applyAlignment="1">
      <alignment horizontal="center" vertical="center"/>
    </xf>
    <xf numFmtId="0" fontId="168" fillId="4" borderId="0" xfId="0" applyFont="1" applyFill="1" applyAlignment="1">
      <alignment horizontal="center" vertical="center"/>
    </xf>
    <xf numFmtId="0" fontId="166" fillId="4" borderId="0" xfId="0" applyFont="1" applyFill="1" applyAlignment="1">
      <alignment horizontal="center" vertical="center"/>
    </xf>
    <xf numFmtId="165" fontId="166" fillId="4" borderId="0" xfId="0" applyNumberFormat="1" applyFont="1" applyFill="1" applyAlignment="1">
      <alignment horizontal="center" vertical="center"/>
    </xf>
    <xf numFmtId="0" fontId="165" fillId="0" borderId="0" xfId="0" applyFont="1" applyAlignment="1">
      <alignment vertical="center"/>
    </xf>
    <xf numFmtId="0" fontId="170" fillId="4" borderId="0" xfId="0" applyFont="1" applyFill="1" applyAlignment="1">
      <alignment vertical="center"/>
    </xf>
    <xf numFmtId="0" fontId="166" fillId="4" borderId="0" xfId="0" applyFont="1" applyFill="1" applyAlignment="1">
      <alignment horizontal="right" vertical="center"/>
    </xf>
    <xf numFmtId="0" fontId="171" fillId="4" borderId="0" xfId="0" applyFont="1" applyFill="1" applyAlignment="1">
      <alignment horizontal="center" vertical="center"/>
    </xf>
    <xf numFmtId="0" fontId="170" fillId="4" borderId="0" xfId="0" applyFont="1" applyFill="1" applyAlignment="1">
      <alignment horizontal="center" vertical="center"/>
    </xf>
    <xf numFmtId="0" fontId="140" fillId="4" borderId="0" xfId="0" applyFont="1" applyFill="1" applyAlignment="1">
      <alignment vertical="center"/>
    </xf>
    <xf numFmtId="165" fontId="156" fillId="4" borderId="0" xfId="0" applyNumberFormat="1" applyFont="1" applyFill="1" applyAlignment="1">
      <alignment horizontal="center" vertical="center"/>
    </xf>
    <xf numFmtId="170" fontId="156" fillId="4" borderId="0" xfId="0" applyNumberFormat="1" applyFont="1" applyFill="1" applyAlignment="1">
      <alignment horizontal="center" vertical="center"/>
    </xf>
    <xf numFmtId="39" fontId="156" fillId="4" borderId="0" xfId="0" applyNumberFormat="1" applyFont="1" applyFill="1" applyAlignment="1">
      <alignment horizontal="center" vertical="center"/>
    </xf>
    <xf numFmtId="171" fontId="156" fillId="4" borderId="0" xfId="0" applyNumberFormat="1" applyFont="1" applyFill="1" applyAlignment="1">
      <alignment horizontal="center" vertical="center"/>
    </xf>
    <xf numFmtId="0" fontId="164" fillId="4" borderId="0" xfId="0" applyFont="1" applyFill="1" applyAlignment="1">
      <alignment horizontal="center" vertical="center"/>
    </xf>
    <xf numFmtId="4" fontId="159" fillId="4" borderId="0" xfId="0" applyNumberFormat="1" applyFont="1" applyFill="1" applyAlignment="1">
      <alignment horizontal="right" vertical="center"/>
    </xf>
    <xf numFmtId="4" fontId="157" fillId="4" borderId="0" xfId="0" applyNumberFormat="1" applyFont="1" applyFill="1" applyAlignment="1">
      <alignment horizontal="right" vertical="center"/>
    </xf>
    <xf numFmtId="44" fontId="156" fillId="4" borderId="0" xfId="0" applyNumberFormat="1" applyFont="1" applyFill="1" applyAlignment="1">
      <alignment horizontal="center" vertical="center"/>
    </xf>
    <xf numFmtId="39" fontId="156" fillId="4" borderId="0" xfId="0" applyNumberFormat="1" applyFont="1" applyFill="1" applyAlignment="1">
      <alignment vertical="center"/>
    </xf>
    <xf numFmtId="0" fontId="167" fillId="4" borderId="0" xfId="0" applyFont="1" applyFill="1" applyAlignment="1">
      <alignment vertical="center"/>
    </xf>
    <xf numFmtId="4" fontId="12" fillId="26" borderId="673" xfId="0" applyNumberFormat="1" applyFont="1" applyFill="1" applyBorder="1" applyAlignment="1">
      <alignment vertical="center" wrapText="1"/>
    </xf>
    <xf numFmtId="0" fontId="15" fillId="16" borderId="652" xfId="0" applyFont="1" applyFill="1" applyBorder="1" applyAlignment="1"/>
    <xf numFmtId="0" fontId="165" fillId="4" borderId="0" xfId="0" applyFont="1" applyFill="1"/>
    <xf numFmtId="0" fontId="144" fillId="4" borderId="0" xfId="0" applyFont="1" applyFill="1" applyAlignment="1">
      <alignment horizontal="center" vertical="center" wrapText="1"/>
    </xf>
    <xf numFmtId="165" fontId="166" fillId="4" borderId="0" xfId="0" applyNumberFormat="1" applyFont="1" applyFill="1" applyAlignment="1">
      <alignment vertical="center"/>
    </xf>
    <xf numFmtId="0" fontId="163" fillId="4" borderId="0" xfId="0" applyFont="1" applyFill="1" applyAlignment="1">
      <alignment horizontal="right" vertical="center"/>
    </xf>
    <xf numFmtId="170" fontId="166" fillId="4" borderId="0" xfId="0" applyNumberFormat="1" applyFont="1" applyFill="1" applyAlignment="1">
      <alignment vertical="center"/>
    </xf>
    <xf numFmtId="39" fontId="166" fillId="4" borderId="0" xfId="0" applyNumberFormat="1" applyFont="1" applyFill="1" applyAlignment="1">
      <alignment vertical="center"/>
    </xf>
    <xf numFmtId="171" fontId="166" fillId="4" borderId="0" xfId="0" applyNumberFormat="1" applyFont="1" applyFill="1" applyAlignment="1">
      <alignment vertical="center"/>
    </xf>
    <xf numFmtId="44" fontId="166" fillId="4" borderId="0" xfId="0" applyNumberFormat="1" applyFont="1" applyFill="1" applyAlignment="1">
      <alignment vertical="center"/>
    </xf>
    <xf numFmtId="0" fontId="172" fillId="16" borderId="652" xfId="0" applyFont="1" applyFill="1" applyBorder="1" applyAlignment="1">
      <alignment horizontal="left" indent="1"/>
    </xf>
    <xf numFmtId="0" fontId="132" fillId="12" borderId="467" xfId="0" applyFont="1" applyFill="1" applyBorder="1" applyAlignment="1">
      <alignment horizontal="right" vertical="center"/>
    </xf>
    <xf numFmtId="165" fontId="132" fillId="12" borderId="636" xfId="0" applyNumberFormat="1" applyFont="1" applyFill="1" applyBorder="1" applyAlignment="1">
      <alignment horizontal="right" vertical="center"/>
    </xf>
    <xf numFmtId="0" fontId="132" fillId="12" borderId="418" xfId="0" applyFont="1" applyFill="1" applyBorder="1" applyAlignment="1">
      <alignment horizontal="left" vertical="center" indent="1"/>
    </xf>
    <xf numFmtId="0" fontId="132" fillId="12" borderId="418" xfId="0" applyFont="1" applyFill="1" applyBorder="1" applyAlignment="1">
      <alignment horizontal="right" vertical="center"/>
    </xf>
    <xf numFmtId="165" fontId="132" fillId="12" borderId="186" xfId="0" applyNumberFormat="1" applyFont="1" applyFill="1" applyBorder="1" applyAlignment="1">
      <alignment horizontal="center" vertical="center"/>
    </xf>
    <xf numFmtId="2" fontId="132" fillId="12" borderId="382" xfId="0" applyNumberFormat="1" applyFont="1" applyFill="1" applyBorder="1" applyAlignment="1">
      <alignment horizontal="center" vertical="center"/>
    </xf>
    <xf numFmtId="0" fontId="174" fillId="2" borderId="1" xfId="0" applyFont="1" applyFill="1" applyBorder="1" applyAlignment="1">
      <alignment horizontal="center" vertical="center"/>
    </xf>
    <xf numFmtId="49" fontId="174" fillId="2" borderId="2" xfId="0" applyNumberFormat="1" applyFont="1" applyFill="1" applyBorder="1" applyAlignment="1">
      <alignment horizontal="center" vertical="center" wrapText="1"/>
    </xf>
    <xf numFmtId="49" fontId="174" fillId="2" borderId="2" xfId="0" applyNumberFormat="1" applyFont="1" applyFill="1" applyBorder="1" applyAlignment="1">
      <alignment horizontal="center" vertical="center"/>
    </xf>
    <xf numFmtId="0" fontId="174" fillId="2" borderId="2" xfId="0" applyFont="1" applyFill="1" applyBorder="1" applyAlignment="1">
      <alignment horizontal="center" vertical="center"/>
    </xf>
    <xf numFmtId="49" fontId="174" fillId="2" borderId="3" xfId="0" applyNumberFormat="1" applyFont="1" applyFill="1" applyBorder="1" applyAlignment="1">
      <alignment horizontal="center" vertical="center"/>
    </xf>
    <xf numFmtId="0" fontId="174" fillId="26" borderId="65" xfId="0" applyFont="1" applyFill="1" applyBorder="1" applyAlignment="1">
      <alignment vertical="center"/>
    </xf>
    <xf numFmtId="0" fontId="176" fillId="16" borderId="9" xfId="0" applyFont="1" applyFill="1" applyBorder="1" applyAlignment="1"/>
    <xf numFmtId="0" fontId="178" fillId="16" borderId="9" xfId="0" applyFont="1" applyFill="1" applyBorder="1" applyAlignment="1">
      <alignment horizontal="left" vertical="center" indent="1"/>
    </xf>
    <xf numFmtId="0" fontId="178" fillId="16" borderId="10" xfId="0" applyFont="1" applyFill="1" applyBorder="1" applyAlignment="1">
      <alignment horizontal="right" vertical="center"/>
    </xf>
    <xf numFmtId="0" fontId="147" fillId="0" borderId="0" xfId="0" applyFont="1" applyAlignment="1">
      <alignment vertical="center"/>
    </xf>
    <xf numFmtId="165" fontId="14" fillId="0" borderId="5" xfId="0" applyNumberFormat="1" applyFont="1" applyBorder="1" applyAlignment="1">
      <alignment horizontal="left" vertical="center" wrapText="1" indent="1"/>
    </xf>
    <xf numFmtId="49" fontId="14" fillId="0" borderId="4" xfId="0" applyNumberFormat="1" applyFont="1" applyBorder="1" applyAlignment="1">
      <alignment horizontal="left" vertical="center" indent="1"/>
    </xf>
    <xf numFmtId="49" fontId="117" fillId="0" borderId="5" xfId="0" applyNumberFormat="1" applyFont="1" applyBorder="1" applyAlignment="1">
      <alignment horizontal="center" vertical="center"/>
    </xf>
    <xf numFmtId="49" fontId="117" fillId="3" borderId="5" xfId="0" applyNumberFormat="1" applyFont="1" applyFill="1" applyBorder="1" applyAlignment="1">
      <alignment horizontal="center"/>
    </xf>
    <xf numFmtId="0" fontId="14" fillId="3" borderId="4" xfId="0" applyFont="1" applyFill="1" applyBorder="1" applyAlignment="1">
      <alignment horizontal="left" vertical="center" indent="1"/>
    </xf>
    <xf numFmtId="0" fontId="14" fillId="3" borderId="5" xfId="0" applyFont="1" applyFill="1" applyBorder="1" applyAlignment="1">
      <alignment horizontal="left" vertical="center" wrapText="1" indent="1"/>
    </xf>
    <xf numFmtId="0" fontId="14" fillId="3" borderId="4" xfId="0" applyFont="1" applyFill="1" applyBorder="1" applyAlignment="1">
      <alignment horizontal="left" vertical="center" wrapText="1" indent="1"/>
    </xf>
    <xf numFmtId="0" fontId="14" fillId="3" borderId="5" xfId="0" applyFont="1" applyFill="1" applyBorder="1" applyAlignment="1">
      <alignment horizontal="left" vertical="center" indent="1"/>
    </xf>
    <xf numFmtId="0" fontId="26" fillId="0" borderId="177" xfId="0" applyFont="1" applyBorder="1" applyAlignment="1">
      <alignment horizontal="left" vertical="center" wrapText="1" indent="1"/>
    </xf>
    <xf numFmtId="0" fontId="31" fillId="26" borderId="65" xfId="0" applyFont="1" applyFill="1" applyBorder="1" applyAlignment="1">
      <alignment vertical="center"/>
    </xf>
    <xf numFmtId="0" fontId="15" fillId="16" borderId="9" xfId="0" applyFont="1" applyFill="1" applyBorder="1" applyAlignment="1"/>
    <xf numFmtId="49" fontId="14" fillId="3" borderId="4" xfId="0" applyNumberFormat="1" applyFont="1" applyFill="1" applyBorder="1" applyAlignment="1">
      <alignment horizontal="left" vertical="center" wrapText="1" indent="1"/>
    </xf>
    <xf numFmtId="39" fontId="14" fillId="3" borderId="5" xfId="0" applyNumberFormat="1" applyFont="1" applyFill="1" applyBorder="1" applyAlignment="1">
      <alignment horizontal="left" vertical="center" wrapText="1" indent="1"/>
    </xf>
    <xf numFmtId="165" fontId="34" fillId="0" borderId="288" xfId="0" applyNumberFormat="1" applyFont="1" applyBorder="1" applyAlignment="1">
      <alignment horizontal="right" vertical="center"/>
    </xf>
    <xf numFmtId="165" fontId="34" fillId="0" borderId="291" xfId="0" applyNumberFormat="1" applyFont="1" applyBorder="1" applyAlignment="1">
      <alignment horizontal="right" vertical="center"/>
    </xf>
    <xf numFmtId="165" fontId="34" fillId="0" borderId="292" xfId="0" applyNumberFormat="1" applyFont="1" applyBorder="1" applyAlignment="1">
      <alignment horizontal="right" vertical="center"/>
    </xf>
    <xf numFmtId="0" fontId="115" fillId="3" borderId="5" xfId="0" applyFont="1" applyFill="1" applyBorder="1" applyAlignment="1">
      <alignment horizontal="left" vertical="center" wrapText="1" indent="1"/>
    </xf>
    <xf numFmtId="1" fontId="174" fillId="2" borderId="2" xfId="0" applyNumberFormat="1" applyFont="1" applyFill="1" applyBorder="1" applyAlignment="1">
      <alignment horizontal="center" vertical="center"/>
    </xf>
    <xf numFmtId="165" fontId="33" fillId="0" borderId="340" xfId="0" applyNumberFormat="1" applyFont="1" applyBorder="1"/>
    <xf numFmtId="165" fontId="35" fillId="0" borderId="340" xfId="0" applyNumberFormat="1" applyFont="1" applyBorder="1" applyAlignment="1">
      <alignment horizontal="right" vertical="center"/>
    </xf>
    <xf numFmtId="165" fontId="35" fillId="0" borderId="341" xfId="0" applyNumberFormat="1" applyFont="1" applyBorder="1" applyAlignment="1">
      <alignment horizontal="right" vertical="center"/>
    </xf>
    <xf numFmtId="0" fontId="178" fillId="16" borderId="240" xfId="0" applyFont="1" applyFill="1" applyBorder="1" applyAlignment="1">
      <alignment horizontal="left" vertical="center" indent="1"/>
    </xf>
    <xf numFmtId="0" fontId="15" fillId="16" borderId="240" xfId="0" applyFont="1" applyFill="1" applyBorder="1" applyAlignment="1"/>
    <xf numFmtId="0" fontId="14" fillId="3" borderId="228" xfId="0" applyFont="1" applyFill="1" applyBorder="1" applyAlignment="1">
      <alignment horizontal="left" vertical="center" wrapText="1" indent="1"/>
    </xf>
    <xf numFmtId="0" fontId="14" fillId="3" borderId="168" xfId="0" applyFont="1" applyFill="1" applyBorder="1" applyAlignment="1">
      <alignment horizontal="left" vertical="center" wrapText="1" indent="1"/>
    </xf>
    <xf numFmtId="0" fontId="11" fillId="26" borderId="65" xfId="0" applyFont="1" applyFill="1" applyBorder="1" applyAlignment="1">
      <alignment vertical="center"/>
    </xf>
    <xf numFmtId="0" fontId="14" fillId="3" borderId="167" xfId="0" applyFont="1" applyFill="1" applyBorder="1" applyAlignment="1">
      <alignment horizontal="left" vertical="center" wrapText="1" indent="1"/>
    </xf>
    <xf numFmtId="49" fontId="14" fillId="0" borderId="167" xfId="0" applyNumberFormat="1" applyFont="1" applyBorder="1" applyAlignment="1">
      <alignment horizontal="left" vertical="center" wrapText="1" indent="1"/>
    </xf>
    <xf numFmtId="0" fontId="174" fillId="2" borderId="3" xfId="0" applyFont="1" applyFill="1" applyBorder="1" applyAlignment="1">
      <alignment horizontal="center" vertical="center"/>
    </xf>
    <xf numFmtId="49" fontId="14" fillId="0" borderId="5" xfId="0" applyNumberFormat="1" applyFont="1" applyBorder="1" applyAlignment="1">
      <alignment horizontal="left" vertical="center" indent="1"/>
    </xf>
    <xf numFmtId="49" fontId="14" fillId="0" borderId="5" xfId="0" applyNumberFormat="1" applyFont="1" applyBorder="1" applyAlignment="1">
      <alignment horizontal="left" vertical="center" wrapText="1" indent="1"/>
    </xf>
    <xf numFmtId="0" fontId="14" fillId="4" borderId="4" xfId="0" applyFont="1" applyFill="1" applyBorder="1" applyAlignment="1">
      <alignment horizontal="left" vertical="center" indent="1"/>
    </xf>
    <xf numFmtId="49" fontId="14" fillId="4" borderId="5" xfId="0" applyNumberFormat="1" applyFont="1" applyFill="1" applyBorder="1" applyAlignment="1">
      <alignment horizontal="left" vertical="center" wrapText="1" indent="1"/>
    </xf>
    <xf numFmtId="0" fontId="14" fillId="0" borderId="5" xfId="0" applyFont="1" applyBorder="1" applyAlignment="1">
      <alignment horizontal="left" vertical="center" indent="1"/>
    </xf>
    <xf numFmtId="49" fontId="14" fillId="0" borderId="4" xfId="0" applyNumberFormat="1" applyFont="1" applyBorder="1" applyAlignment="1">
      <alignment horizontal="left" vertical="center" wrapText="1" indent="1"/>
    </xf>
    <xf numFmtId="0" fontId="11" fillId="2" borderId="240" xfId="0" applyFont="1" applyFill="1" applyBorder="1" applyAlignment="1">
      <alignment horizontal="right" vertical="center"/>
    </xf>
    <xf numFmtId="0" fontId="174" fillId="2" borderId="383" xfId="0" applyFont="1" applyFill="1" applyBorder="1" applyAlignment="1">
      <alignment horizontal="center" vertical="center"/>
    </xf>
    <xf numFmtId="49" fontId="174" fillId="2" borderId="384" xfId="0" applyNumberFormat="1" applyFont="1" applyFill="1" applyBorder="1" applyAlignment="1">
      <alignment horizontal="center" vertical="center" wrapText="1"/>
    </xf>
    <xf numFmtId="49" fontId="174" fillId="2" borderId="384" xfId="0" applyNumberFormat="1" applyFont="1" applyFill="1" applyBorder="1" applyAlignment="1">
      <alignment horizontal="center" vertical="center"/>
    </xf>
    <xf numFmtId="0" fontId="174" fillId="2" borderId="384" xfId="0" applyFont="1" applyFill="1" applyBorder="1" applyAlignment="1">
      <alignment horizontal="center" vertical="center"/>
    </xf>
    <xf numFmtId="49" fontId="174" fillId="2" borderId="385" xfId="0" applyNumberFormat="1" applyFont="1" applyFill="1" applyBorder="1" applyAlignment="1">
      <alignment horizontal="center" vertical="center"/>
    </xf>
    <xf numFmtId="1" fontId="115" fillId="0" borderId="4" xfId="0" applyNumberFormat="1" applyFont="1" applyBorder="1" applyAlignment="1">
      <alignment horizontal="left" vertical="center" indent="1"/>
    </xf>
    <xf numFmtId="49" fontId="115" fillId="0" borderId="5" xfId="0" applyNumberFormat="1" applyFont="1" applyBorder="1" applyAlignment="1">
      <alignment horizontal="left" vertical="center" indent="1"/>
    </xf>
    <xf numFmtId="0" fontId="115" fillId="0" borderId="5" xfId="0" applyFont="1" applyBorder="1" applyAlignment="1">
      <alignment horizontal="left" vertical="center" indent="1"/>
    </xf>
    <xf numFmtId="0" fontId="115" fillId="0" borderId="5" xfId="0" applyFont="1" applyBorder="1" applyAlignment="1">
      <alignment horizontal="left" vertical="center" wrapText="1" indent="1"/>
    </xf>
    <xf numFmtId="0" fontId="127" fillId="3" borderId="5" xfId="0" applyFont="1" applyFill="1" applyBorder="1" applyAlignment="1">
      <alignment horizontal="center" vertical="center"/>
    </xf>
    <xf numFmtId="0" fontId="0" fillId="0" borderId="0" xfId="0" applyFont="1" applyAlignment="1"/>
    <xf numFmtId="0" fontId="126" fillId="4" borderId="625" xfId="0" applyFont="1" applyFill="1" applyBorder="1" applyAlignment="1">
      <alignment horizontal="left" vertical="center" wrapText="1" indent="1"/>
    </xf>
    <xf numFmtId="0" fontId="174" fillId="2" borderId="15" xfId="0" applyFont="1" applyFill="1" applyBorder="1" applyAlignment="1">
      <alignment horizontal="center" vertical="center"/>
    </xf>
    <xf numFmtId="0" fontId="174" fillId="2" borderId="385" xfId="0" applyFont="1" applyFill="1" applyBorder="1" applyAlignment="1">
      <alignment horizontal="center" vertical="center"/>
    </xf>
    <xf numFmtId="49" fontId="14" fillId="0" borderId="390" xfId="0" applyNumberFormat="1" applyFont="1" applyBorder="1" applyAlignment="1">
      <alignment horizontal="left" vertical="center" indent="1"/>
    </xf>
    <xf numFmtId="49" fontId="14" fillId="4" borderId="388" xfId="0" applyNumberFormat="1" applyFont="1" applyFill="1" applyBorder="1" applyAlignment="1">
      <alignment horizontal="left" vertical="center" indent="1"/>
    </xf>
    <xf numFmtId="0" fontId="14" fillId="4" borderId="192" xfId="0" applyFont="1" applyFill="1" applyBorder="1" applyAlignment="1">
      <alignment horizontal="left" vertical="center" wrapText="1" indent="1"/>
    </xf>
    <xf numFmtId="49" fontId="14" fillId="4" borderId="390" xfId="0" applyNumberFormat="1" applyFont="1" applyFill="1" applyBorder="1" applyAlignment="1">
      <alignment horizontal="left" vertical="center" indent="1"/>
    </xf>
    <xf numFmtId="0" fontId="14" fillId="4" borderId="5" xfId="0" applyFont="1" applyFill="1" applyBorder="1" applyAlignment="1">
      <alignment horizontal="left" vertical="center" wrapText="1" indent="1"/>
    </xf>
    <xf numFmtId="49" fontId="14" fillId="4" borderId="391" xfId="0" applyNumberFormat="1" applyFont="1" applyFill="1" applyBorder="1" applyAlignment="1">
      <alignment horizontal="left" vertical="center" indent="1"/>
    </xf>
    <xf numFmtId="0" fontId="127" fillId="4" borderId="192" xfId="0" applyFont="1" applyFill="1" applyBorder="1" applyAlignment="1">
      <alignment horizontal="center" vertical="center"/>
    </xf>
    <xf numFmtId="49" fontId="127" fillId="4" borderId="192" xfId="0" applyNumberFormat="1" applyFont="1" applyFill="1" applyBorder="1" applyAlignment="1">
      <alignment horizontal="center" vertical="center"/>
    </xf>
    <xf numFmtId="0" fontId="127" fillId="4" borderId="5" xfId="0" applyFont="1" applyFill="1" applyBorder="1" applyAlignment="1">
      <alignment horizontal="center" vertical="center"/>
    </xf>
    <xf numFmtId="49" fontId="127" fillId="4" borderId="5" xfId="0" applyNumberFormat="1" applyFont="1" applyFill="1" applyBorder="1" applyAlignment="1">
      <alignment horizontal="center" vertical="center"/>
    </xf>
    <xf numFmtId="0" fontId="127" fillId="4" borderId="198" xfId="0" applyFont="1" applyFill="1" applyBorder="1" applyAlignment="1">
      <alignment horizontal="center" vertical="center"/>
    </xf>
    <xf numFmtId="49" fontId="127" fillId="4" borderId="198" xfId="0" applyNumberFormat="1" applyFont="1" applyFill="1" applyBorder="1" applyAlignment="1">
      <alignment horizontal="center" vertical="center"/>
    </xf>
    <xf numFmtId="165" fontId="132" fillId="2" borderId="394" xfId="0" applyNumberFormat="1" applyFont="1" applyFill="1" applyBorder="1" applyAlignment="1">
      <alignment horizontal="right" vertical="center"/>
    </xf>
    <xf numFmtId="165" fontId="127" fillId="4" borderId="389" xfId="0" applyNumberFormat="1" applyFont="1" applyFill="1" applyBorder="1" applyAlignment="1">
      <alignment horizontal="right" vertical="center"/>
    </xf>
    <xf numFmtId="165" fontId="127" fillId="4" borderId="6" xfId="0" applyNumberFormat="1" applyFont="1" applyFill="1" applyBorder="1" applyAlignment="1">
      <alignment horizontal="right" vertical="center"/>
    </xf>
    <xf numFmtId="165" fontId="127" fillId="4" borderId="392" xfId="0" applyNumberFormat="1" applyFont="1" applyFill="1" applyBorder="1" applyAlignment="1">
      <alignment horizontal="right" vertical="center"/>
    </xf>
    <xf numFmtId="0" fontId="115" fillId="4" borderId="198" xfId="0" applyFont="1" applyFill="1" applyBorder="1" applyAlignment="1">
      <alignment horizontal="left" vertical="center" wrapText="1" indent="1"/>
    </xf>
    <xf numFmtId="0" fontId="159" fillId="4" borderId="736" xfId="0" applyFont="1" applyFill="1" applyBorder="1" applyAlignment="1">
      <alignment horizontal="center" vertical="center"/>
    </xf>
    <xf numFmtId="49" fontId="159" fillId="4" borderId="736" xfId="0" applyNumberFormat="1" applyFont="1" applyFill="1" applyBorder="1" applyAlignment="1">
      <alignment horizontal="center" vertical="center"/>
    </xf>
    <xf numFmtId="0" fontId="159" fillId="3" borderId="736" xfId="0" applyFont="1" applyFill="1" applyBorder="1" applyAlignment="1">
      <alignment horizontal="center" vertical="center"/>
    </xf>
    <xf numFmtId="49" fontId="159" fillId="0" borderId="736" xfId="0" applyNumberFormat="1" applyFont="1" applyBorder="1" applyAlignment="1">
      <alignment horizontal="center" vertical="center"/>
    </xf>
    <xf numFmtId="0" fontId="159" fillId="0" borderId="736" xfId="0" applyFont="1" applyBorder="1" applyAlignment="1">
      <alignment horizontal="center" vertical="center"/>
    </xf>
    <xf numFmtId="0" fontId="159" fillId="4" borderId="738" xfId="0" applyFont="1" applyFill="1" applyBorder="1" applyAlignment="1">
      <alignment horizontal="center" vertical="center"/>
    </xf>
    <xf numFmtId="49" fontId="159" fillId="4" borderId="738" xfId="0" applyNumberFormat="1" applyFont="1" applyFill="1" applyBorder="1" applyAlignment="1">
      <alignment horizontal="center" vertical="center"/>
    </xf>
    <xf numFmtId="0" fontId="159" fillId="0" borderId="737" xfId="0" applyFont="1" applyBorder="1" applyAlignment="1">
      <alignment horizontal="center" vertical="center"/>
    </xf>
    <xf numFmtId="49" fontId="159" fillId="0" borderId="737" xfId="0" applyNumberFormat="1" applyFont="1" applyBorder="1" applyAlignment="1">
      <alignment horizontal="center" vertical="center"/>
    </xf>
    <xf numFmtId="165" fontId="159" fillId="4" borderId="743" xfId="0" applyNumberFormat="1" applyFont="1" applyFill="1" applyBorder="1" applyAlignment="1">
      <alignment horizontal="right" vertical="center"/>
    </xf>
    <xf numFmtId="165" fontId="159" fillId="4" borderId="745" xfId="0" applyNumberFormat="1" applyFont="1" applyFill="1" applyBorder="1" applyAlignment="1">
      <alignment horizontal="right" vertical="center"/>
    </xf>
    <xf numFmtId="165" fontId="159" fillId="3" borderId="745" xfId="0" applyNumberFormat="1" applyFont="1" applyFill="1" applyBorder="1" applyAlignment="1">
      <alignment horizontal="right" vertical="center"/>
    </xf>
    <xf numFmtId="165" fontId="159" fillId="0" borderId="745" xfId="0" applyNumberFormat="1" applyFont="1" applyBorder="1" applyAlignment="1">
      <alignment horizontal="right" vertical="center"/>
    </xf>
    <xf numFmtId="165" fontId="159" fillId="0" borderId="747" xfId="0" applyNumberFormat="1" applyFont="1" applyBorder="1" applyAlignment="1">
      <alignment horizontal="right" vertical="center"/>
    </xf>
    <xf numFmtId="165" fontId="169" fillId="27" borderId="748" xfId="0" applyNumberFormat="1" applyFont="1" applyFill="1" applyBorder="1" applyAlignment="1">
      <alignment horizontal="right" vertical="center"/>
    </xf>
    <xf numFmtId="0" fontId="178" fillId="27" borderId="739" xfId="0" applyFont="1" applyFill="1" applyBorder="1" applyAlignment="1">
      <alignment horizontal="center" vertical="center"/>
    </xf>
    <xf numFmtId="49" fontId="178" fillId="27" borderId="740" xfId="0" applyNumberFormat="1" applyFont="1" applyFill="1" applyBorder="1" applyAlignment="1">
      <alignment horizontal="center" vertical="center" wrapText="1"/>
    </xf>
    <xf numFmtId="1" fontId="178" fillId="27" borderId="740" xfId="0" applyNumberFormat="1" applyFont="1" applyFill="1" applyBorder="1" applyAlignment="1">
      <alignment horizontal="center" vertical="center"/>
    </xf>
    <xf numFmtId="0" fontId="178" fillId="27" borderId="740" xfId="0" applyFont="1" applyFill="1" applyBorder="1" applyAlignment="1">
      <alignment horizontal="center" vertical="center"/>
    </xf>
    <xf numFmtId="49" fontId="178" fillId="27" borderId="741" xfId="0" applyNumberFormat="1" applyFont="1" applyFill="1" applyBorder="1" applyAlignment="1">
      <alignment horizontal="center" vertical="center"/>
    </xf>
    <xf numFmtId="0" fontId="166" fillId="4" borderId="742" xfId="0" applyFont="1" applyFill="1" applyBorder="1" applyAlignment="1">
      <alignment horizontal="left" vertical="center" indent="1"/>
    </xf>
    <xf numFmtId="0" fontId="166" fillId="4" borderId="738" xfId="0" applyFont="1" applyFill="1" applyBorder="1" applyAlignment="1">
      <alignment horizontal="left" vertical="center" wrapText="1" indent="1"/>
    </xf>
    <xf numFmtId="0" fontId="166" fillId="4" borderId="744" xfId="0" applyFont="1" applyFill="1" applyBorder="1" applyAlignment="1">
      <alignment horizontal="left" vertical="center" indent="1"/>
    </xf>
    <xf numFmtId="0" fontId="166" fillId="4" borderId="736" xfId="0" applyFont="1" applyFill="1" applyBorder="1" applyAlignment="1">
      <alignment horizontal="left" vertical="center" wrapText="1" indent="1"/>
    </xf>
    <xf numFmtId="0" fontId="166" fillId="0" borderId="744" xfId="0" applyFont="1" applyBorder="1" applyAlignment="1">
      <alignment horizontal="left" vertical="center" indent="1"/>
    </xf>
    <xf numFmtId="0" fontId="166" fillId="3" borderId="736" xfId="0" applyFont="1" applyFill="1" applyBorder="1" applyAlignment="1">
      <alignment horizontal="left" vertical="center" wrapText="1" indent="1"/>
    </xf>
    <xf numFmtId="0" fontId="166" fillId="0" borderId="736" xfId="0" applyFont="1" applyBorder="1" applyAlignment="1">
      <alignment horizontal="left" vertical="center" wrapText="1" indent="1"/>
    </xf>
    <xf numFmtId="0" fontId="166" fillId="3" borderId="744" xfId="0" applyFont="1" applyFill="1" applyBorder="1" applyAlignment="1">
      <alignment horizontal="left" vertical="center" indent="1"/>
    </xf>
    <xf numFmtId="0" fontId="166" fillId="0" borderId="746" xfId="0" applyFont="1" applyBorder="1" applyAlignment="1">
      <alignment horizontal="left" vertical="center" indent="1"/>
    </xf>
    <xf numFmtId="0" fontId="166" fillId="0" borderId="737" xfId="0" applyFont="1" applyBorder="1" applyAlignment="1">
      <alignment horizontal="left" vertical="center" wrapText="1" indent="1"/>
    </xf>
    <xf numFmtId="0" fontId="163" fillId="27" borderId="672" xfId="0" applyFont="1" applyFill="1" applyBorder="1" applyAlignment="1">
      <alignment vertical="center"/>
    </xf>
    <xf numFmtId="0" fontId="178" fillId="16" borderId="749" xfId="0" applyFont="1" applyFill="1" applyBorder="1" applyAlignment="1">
      <alignment horizontal="left" vertical="center" indent="1"/>
    </xf>
    <xf numFmtId="0" fontId="165" fillId="16" borderId="750" xfId="0" applyFont="1" applyFill="1" applyBorder="1" applyAlignment="1"/>
    <xf numFmtId="165" fontId="169" fillId="4" borderId="680" xfId="0" applyNumberFormat="1" applyFont="1" applyFill="1" applyBorder="1" applyAlignment="1">
      <alignment horizontal="right" vertical="center"/>
    </xf>
    <xf numFmtId="165" fontId="169" fillId="4" borderId="676" xfId="0" applyNumberFormat="1" applyFont="1" applyFill="1" applyBorder="1" applyAlignment="1">
      <alignment horizontal="right" vertical="center"/>
    </xf>
    <xf numFmtId="0" fontId="159" fillId="4" borderId="737" xfId="0" applyFont="1" applyFill="1" applyBorder="1" applyAlignment="1">
      <alignment horizontal="center" vertical="center"/>
    </xf>
    <xf numFmtId="49" fontId="159" fillId="4" borderId="737" xfId="0" applyNumberFormat="1" applyFont="1" applyFill="1" applyBorder="1" applyAlignment="1">
      <alignment horizontal="center" vertical="center"/>
    </xf>
    <xf numFmtId="165" fontId="157" fillId="4" borderId="743" xfId="0" applyNumberFormat="1" applyFont="1" applyFill="1" applyBorder="1" applyAlignment="1">
      <alignment horizontal="right" vertical="center"/>
    </xf>
    <xf numFmtId="165" fontId="157" fillId="4" borderId="745" xfId="0" applyNumberFormat="1" applyFont="1" applyFill="1" applyBorder="1" applyAlignment="1">
      <alignment horizontal="right" vertical="center"/>
    </xf>
    <xf numFmtId="165" fontId="157" fillId="4" borderId="747" xfId="0" applyNumberFormat="1" applyFont="1" applyFill="1" applyBorder="1" applyAlignment="1">
      <alignment horizontal="right" vertical="center"/>
    </xf>
    <xf numFmtId="0" fontId="166" fillId="4" borderId="742" xfId="0" applyFont="1" applyFill="1" applyBorder="1" applyAlignment="1">
      <alignment horizontal="left" vertical="center" wrapText="1" indent="1"/>
    </xf>
    <xf numFmtId="0" fontId="166" fillId="4" borderId="744" xfId="0" applyFont="1" applyFill="1" applyBorder="1" applyAlignment="1">
      <alignment horizontal="left" vertical="center" wrapText="1" indent="1"/>
    </xf>
    <xf numFmtId="0" fontId="166" fillId="4" borderId="746" xfId="0" applyFont="1" applyFill="1" applyBorder="1" applyAlignment="1">
      <alignment horizontal="left" vertical="center" wrapText="1" indent="1"/>
    </xf>
    <xf numFmtId="0" fontId="166" fillId="4" borderId="737" xfId="0" applyFont="1" applyFill="1" applyBorder="1" applyAlignment="1">
      <alignment horizontal="left" vertical="center" wrapText="1" indent="1"/>
    </xf>
    <xf numFmtId="165" fontId="159" fillId="4" borderId="747" xfId="0" applyNumberFormat="1" applyFont="1" applyFill="1" applyBorder="1" applyAlignment="1">
      <alignment horizontal="right" vertical="center"/>
    </xf>
    <xf numFmtId="0" fontId="166" fillId="4" borderId="736" xfId="0" applyFont="1" applyFill="1" applyBorder="1" applyAlignment="1">
      <alignment horizontal="left" vertical="center" indent="1"/>
    </xf>
    <xf numFmtId="0" fontId="166" fillId="3" borderId="736" xfId="0" applyFont="1" applyFill="1" applyBorder="1" applyAlignment="1">
      <alignment horizontal="left" vertical="center" indent="1"/>
    </xf>
    <xf numFmtId="0" fontId="166" fillId="0" borderId="736" xfId="0" applyFont="1" applyBorder="1" applyAlignment="1">
      <alignment horizontal="left" vertical="center" indent="1"/>
    </xf>
    <xf numFmtId="165" fontId="159" fillId="3" borderId="745" xfId="0" applyNumberFormat="1" applyFont="1" applyFill="1" applyBorder="1" applyAlignment="1">
      <alignment vertical="center" wrapText="1"/>
    </xf>
    <xf numFmtId="0" fontId="159" fillId="0" borderId="736" xfId="0" applyFont="1" applyBorder="1" applyAlignment="1">
      <alignment horizontal="center" vertical="center" wrapText="1"/>
    </xf>
    <xf numFmtId="0" fontId="159" fillId="0" borderId="738" xfId="0" applyFont="1" applyBorder="1" applyAlignment="1">
      <alignment horizontal="center" vertical="center"/>
    </xf>
    <xf numFmtId="49" fontId="159" fillId="0" borderId="738" xfId="0" applyNumberFormat="1" applyFont="1" applyBorder="1" applyAlignment="1">
      <alignment horizontal="center" vertical="center"/>
    </xf>
    <xf numFmtId="165" fontId="159" fillId="0" borderId="743" xfId="0" applyNumberFormat="1" applyFont="1" applyBorder="1" applyAlignment="1">
      <alignment horizontal="right" vertical="center"/>
    </xf>
    <xf numFmtId="49" fontId="178" fillId="27" borderId="740" xfId="0" applyNumberFormat="1" applyFont="1" applyFill="1" applyBorder="1" applyAlignment="1">
      <alignment horizontal="center" vertical="center"/>
    </xf>
    <xf numFmtId="0" fontId="178" fillId="27" borderId="741" xfId="0" applyFont="1" applyFill="1" applyBorder="1" applyAlignment="1">
      <alignment horizontal="center" vertical="center"/>
    </xf>
    <xf numFmtId="0" fontId="159" fillId="4" borderId="737" xfId="0" applyFont="1" applyFill="1" applyBorder="1" applyAlignment="1">
      <alignment horizontal="center" vertical="center" wrapText="1"/>
    </xf>
    <xf numFmtId="0" fontId="166" fillId="0" borderId="742" xfId="0" applyFont="1" applyBorder="1" applyAlignment="1">
      <alignment horizontal="left" vertical="center" indent="1"/>
    </xf>
    <xf numFmtId="0" fontId="166" fillId="0" borderId="738" xfId="0" applyFont="1" applyBorder="1" applyAlignment="1">
      <alignment horizontal="left" vertical="center" wrapText="1" indent="1"/>
    </xf>
    <xf numFmtId="49" fontId="166" fillId="0" borderId="736" xfId="0" applyNumberFormat="1" applyFont="1" applyBorder="1" applyAlignment="1">
      <alignment horizontal="left" vertical="center" wrapText="1" indent="1"/>
    </xf>
    <xf numFmtId="49" fontId="166" fillId="4" borderId="736" xfId="0" applyNumberFormat="1" applyFont="1" applyFill="1" applyBorder="1" applyAlignment="1">
      <alignment horizontal="left" vertical="center" wrapText="1" indent="1"/>
    </xf>
    <xf numFmtId="49" fontId="166" fillId="3" borderId="744" xfId="0" applyNumberFormat="1" applyFont="1" applyFill="1" applyBorder="1" applyAlignment="1">
      <alignment horizontal="left" vertical="center" wrapText="1" indent="1"/>
    </xf>
    <xf numFmtId="49" fontId="166" fillId="4" borderId="746" xfId="0" applyNumberFormat="1" applyFont="1" applyFill="1" applyBorder="1" applyAlignment="1">
      <alignment horizontal="left" vertical="center" wrapText="1" indent="1"/>
    </xf>
    <xf numFmtId="0" fontId="178" fillId="27" borderId="672" xfId="0" applyFont="1" applyFill="1" applyBorder="1" applyAlignment="1">
      <alignment vertical="center"/>
    </xf>
    <xf numFmtId="0" fontId="176" fillId="16" borderId="750" xfId="0" applyFont="1" applyFill="1" applyBorder="1" applyAlignment="1"/>
    <xf numFmtId="165" fontId="34" fillId="0" borderId="755" xfId="0" applyNumberFormat="1" applyFont="1" applyBorder="1" applyAlignment="1">
      <alignment horizontal="right" vertical="center"/>
    </xf>
    <xf numFmtId="165" fontId="34" fillId="0" borderId="758" xfId="0" applyNumberFormat="1" applyFont="1" applyBorder="1" applyAlignment="1">
      <alignment horizontal="right" vertical="center"/>
    </xf>
    <xf numFmtId="165" fontId="34" fillId="0" borderId="759" xfId="0" applyNumberFormat="1" applyFont="1" applyBorder="1" applyAlignment="1">
      <alignment horizontal="right" vertical="center"/>
    </xf>
    <xf numFmtId="165" fontId="34" fillId="3" borderId="6" xfId="0" applyNumberFormat="1" applyFont="1" applyFill="1" applyBorder="1" applyAlignment="1">
      <alignment horizontal="right" vertical="center" wrapText="1"/>
    </xf>
    <xf numFmtId="165" fontId="34" fillId="0" borderId="169" xfId="0" applyNumberFormat="1" applyFont="1" applyBorder="1" applyAlignment="1">
      <alignment horizontal="right" vertical="center" wrapText="1"/>
    </xf>
    <xf numFmtId="165" fontId="159" fillId="4" borderId="761" xfId="0" applyNumberFormat="1" applyFont="1" applyFill="1" applyBorder="1" applyAlignment="1">
      <alignment horizontal="right" vertical="center"/>
    </xf>
    <xf numFmtId="165" fontId="159" fillId="4" borderId="763" xfId="0" applyNumberFormat="1" applyFont="1" applyFill="1" applyBorder="1" applyAlignment="1">
      <alignment horizontal="right" vertical="center"/>
    </xf>
    <xf numFmtId="165" fontId="159" fillId="4" borderId="764" xfId="0" applyNumberFormat="1" applyFont="1" applyFill="1" applyBorder="1" applyAlignment="1">
      <alignment horizontal="right" vertical="center"/>
    </xf>
    <xf numFmtId="0" fontId="162" fillId="16" borderId="652" xfId="0" applyFont="1" applyFill="1" applyBorder="1" applyAlignment="1">
      <alignment horizontal="left" vertical="center" indent="1"/>
    </xf>
    <xf numFmtId="4" fontId="132" fillId="12" borderId="376" xfId="0" applyNumberFormat="1" applyFont="1" applyFill="1" applyBorder="1" applyAlignment="1">
      <alignment horizontal="right" vertical="center" wrapText="1"/>
    </xf>
    <xf numFmtId="4" fontId="136" fillId="2" borderId="652" xfId="0" applyNumberFormat="1" applyFont="1" applyFill="1" applyBorder="1" applyAlignment="1">
      <alignment horizontal="right" vertical="center" wrapText="1"/>
    </xf>
    <xf numFmtId="165" fontId="136" fillId="2" borderId="734" xfId="0" applyNumberFormat="1" applyFont="1" applyFill="1" applyBorder="1" applyAlignment="1">
      <alignment horizontal="right" vertical="center"/>
    </xf>
    <xf numFmtId="4" fontId="132" fillId="2" borderId="164" xfId="0" applyNumberFormat="1" applyFont="1" applyFill="1" applyBorder="1" applyAlignment="1">
      <alignment horizontal="right" vertical="center" wrapText="1"/>
    </xf>
    <xf numFmtId="165" fontId="132" fillId="2" borderId="186" xfId="0" applyNumberFormat="1" applyFont="1" applyFill="1" applyBorder="1" applyAlignment="1">
      <alignment horizontal="right" vertical="center"/>
    </xf>
    <xf numFmtId="4" fontId="136" fillId="2" borderId="126" xfId="0" applyNumberFormat="1" applyFont="1" applyFill="1" applyBorder="1" applyAlignment="1">
      <alignment horizontal="right" vertical="center" wrapText="1"/>
    </xf>
    <xf numFmtId="165" fontId="136" fillId="2" borderId="128" xfId="0" applyNumberFormat="1" applyFont="1" applyFill="1" applyBorder="1" applyAlignment="1">
      <alignment horizontal="right" vertical="center"/>
    </xf>
    <xf numFmtId="4" fontId="132" fillId="2" borderId="382" xfId="0" applyNumberFormat="1" applyFont="1" applyFill="1" applyBorder="1" applyAlignment="1">
      <alignment horizontal="right" vertical="center" wrapText="1"/>
    </xf>
    <xf numFmtId="4" fontId="136" fillId="2" borderId="355" xfId="0" applyNumberFormat="1" applyFont="1" applyFill="1" applyBorder="1" applyAlignment="1">
      <alignment horizontal="right" vertical="center" wrapText="1"/>
    </xf>
    <xf numFmtId="165" fontId="136" fillId="2" borderId="281" xfId="0" applyNumberFormat="1" applyFont="1" applyFill="1" applyBorder="1" applyAlignment="1">
      <alignment horizontal="right" vertical="center"/>
    </xf>
    <xf numFmtId="4" fontId="132" fillId="12" borderId="382" xfId="0" applyNumberFormat="1" applyFont="1" applyFill="1" applyBorder="1" applyAlignment="1">
      <alignment horizontal="right" vertical="center" wrapText="1"/>
    </xf>
    <xf numFmtId="0" fontId="132" fillId="12" borderId="382" xfId="0" applyFont="1" applyFill="1" applyBorder="1" applyAlignment="1">
      <alignment horizontal="center" vertical="center"/>
    </xf>
    <xf numFmtId="165" fontId="117" fillId="0" borderId="173" xfId="0" applyNumberFormat="1" applyFont="1" applyBorder="1" applyAlignment="1">
      <alignment vertical="center"/>
    </xf>
    <xf numFmtId="165" fontId="136" fillId="0" borderId="173" xfId="0" applyNumberFormat="1" applyFont="1" applyBorder="1" applyAlignment="1">
      <alignment vertical="center"/>
    </xf>
    <xf numFmtId="165" fontId="136" fillId="0" borderId="177" xfId="0" applyNumberFormat="1" applyFont="1" applyBorder="1" applyAlignment="1">
      <alignment vertical="center"/>
    </xf>
    <xf numFmtId="165" fontId="117" fillId="0" borderId="49" xfId="0" applyNumberFormat="1" applyFont="1" applyBorder="1" applyAlignment="1">
      <alignment horizontal="center" vertical="center"/>
    </xf>
    <xf numFmtId="165" fontId="136" fillId="0" borderId="49" xfId="0" applyNumberFormat="1" applyFont="1" applyBorder="1" applyAlignment="1">
      <alignment horizontal="center" vertical="center"/>
    </xf>
    <xf numFmtId="165" fontId="117" fillId="0" borderId="29" xfId="0" applyNumberFormat="1" applyFont="1" applyBorder="1" applyAlignment="1">
      <alignment horizontal="center" vertical="center"/>
    </xf>
    <xf numFmtId="165" fontId="136" fillId="0" borderId="29" xfId="0" applyNumberFormat="1" applyFont="1" applyBorder="1" applyAlignment="1">
      <alignment horizontal="center" vertical="center"/>
    </xf>
    <xf numFmtId="165" fontId="117" fillId="0" borderId="34" xfId="0" applyNumberFormat="1" applyFont="1" applyBorder="1" applyAlignment="1">
      <alignment horizontal="center" vertical="center"/>
    </xf>
    <xf numFmtId="165" fontId="136" fillId="0" borderId="34" xfId="0" applyNumberFormat="1" applyFont="1" applyBorder="1" applyAlignment="1">
      <alignment horizontal="center" vertical="center"/>
    </xf>
    <xf numFmtId="0" fontId="117" fillId="0" borderId="173" xfId="0" applyFont="1" applyBorder="1" applyAlignment="1">
      <alignment horizontal="center" vertical="center" wrapText="1"/>
    </xf>
    <xf numFmtId="0" fontId="117" fillId="0" borderId="177" xfId="0" applyFont="1" applyBorder="1" applyAlignment="1">
      <alignment horizontal="center" vertical="center" wrapText="1"/>
    </xf>
    <xf numFmtId="0" fontId="117" fillId="0" borderId="332" xfId="0" applyFont="1" applyBorder="1" applyAlignment="1">
      <alignment horizontal="center" vertical="center" wrapText="1"/>
    </xf>
    <xf numFmtId="0" fontId="26" fillId="0" borderId="49" xfId="0" applyFont="1" applyBorder="1" applyAlignment="1">
      <alignment horizontal="left" vertical="center" wrapText="1" indent="1"/>
    </xf>
    <xf numFmtId="0" fontId="26" fillId="0" borderId="173" xfId="0" applyFont="1" applyBorder="1" applyAlignment="1">
      <alignment horizontal="left" vertical="center" wrapText="1" indent="1"/>
    </xf>
    <xf numFmtId="0" fontId="26" fillId="0" borderId="34" xfId="0" applyFont="1" applyBorder="1" applyAlignment="1">
      <alignment horizontal="left" vertical="center" wrapText="1" indent="1"/>
    </xf>
    <xf numFmtId="0" fontId="38" fillId="0" borderId="415" xfId="0" applyFont="1" applyBorder="1" applyAlignment="1">
      <alignment horizontal="left" vertical="center" wrapText="1" indent="1"/>
    </xf>
    <xf numFmtId="0" fontId="26" fillId="0" borderId="48" xfId="0" applyFont="1" applyBorder="1" applyAlignment="1">
      <alignment horizontal="left" vertical="center" wrapText="1" indent="1"/>
    </xf>
    <xf numFmtId="0" fontId="38" fillId="0" borderId="39" xfId="0" applyFont="1" applyBorder="1" applyAlignment="1">
      <alignment horizontal="left" vertical="center" wrapText="1" indent="1"/>
    </xf>
    <xf numFmtId="0" fontId="38" fillId="0" borderId="342" xfId="0" applyFont="1" applyBorder="1" applyAlignment="1">
      <alignment horizontal="left" vertical="center" wrapText="1" indent="1"/>
    </xf>
    <xf numFmtId="0" fontId="131" fillId="0" borderId="172" xfId="0" applyFont="1" applyBorder="1" applyAlignment="1">
      <alignment horizontal="center" vertical="center"/>
    </xf>
    <xf numFmtId="0" fontId="131" fillId="0" borderId="497" xfId="0" applyFont="1" applyBorder="1" applyAlignment="1">
      <alignment horizontal="center" vertical="center"/>
    </xf>
    <xf numFmtId="0" fontId="131" fillId="0" borderId="492" xfId="0" applyFont="1" applyBorder="1" applyAlignment="1">
      <alignment horizontal="center" vertical="center"/>
    </xf>
    <xf numFmtId="165" fontId="132" fillId="12" borderId="200" xfId="0" applyNumberFormat="1" applyFont="1" applyFill="1" applyBorder="1" applyAlignment="1">
      <alignment horizontal="right" vertical="center"/>
    </xf>
    <xf numFmtId="0" fontId="132" fillId="12" borderId="199" xfId="0" applyFont="1" applyFill="1" applyBorder="1" applyAlignment="1">
      <alignment horizontal="right" vertical="center"/>
    </xf>
    <xf numFmtId="0" fontId="132" fillId="12" borderId="765" xfId="0" applyFont="1" applyFill="1" applyBorder="1" applyAlignment="1">
      <alignment horizontal="right" vertical="center"/>
    </xf>
    <xf numFmtId="0" fontId="135" fillId="4" borderId="615" xfId="0" applyFont="1" applyFill="1" applyBorder="1" applyAlignment="1">
      <alignment horizontal="center" vertical="center"/>
    </xf>
    <xf numFmtId="0" fontId="134" fillId="4" borderId="615" xfId="0" applyFont="1" applyFill="1" applyBorder="1" applyAlignment="1">
      <alignment horizontal="left" vertical="center" wrapText="1" indent="1"/>
    </xf>
    <xf numFmtId="0" fontId="117" fillId="4" borderId="615" xfId="0" applyFont="1" applyFill="1" applyBorder="1" applyAlignment="1">
      <alignment horizontal="center" vertical="center" wrapText="1"/>
    </xf>
    <xf numFmtId="0" fontId="126" fillId="4" borderId="615" xfId="0" applyFont="1" applyFill="1" applyBorder="1" applyAlignment="1">
      <alignment horizontal="center" vertical="center" wrapText="1"/>
    </xf>
    <xf numFmtId="165" fontId="117" fillId="4" borderId="615" xfId="0" applyNumberFormat="1" applyFont="1" applyFill="1" applyBorder="1" applyAlignment="1">
      <alignment vertical="center"/>
    </xf>
    <xf numFmtId="165" fontId="136" fillId="4" borderId="615" xfId="0" applyNumberFormat="1" applyFont="1" applyFill="1" applyBorder="1" applyAlignment="1">
      <alignment vertical="center"/>
    </xf>
    <xf numFmtId="49" fontId="126" fillId="4" borderId="615" xfId="0" applyNumberFormat="1" applyFont="1" applyFill="1" applyBorder="1" applyAlignment="1">
      <alignment horizontal="center" vertical="center"/>
    </xf>
    <xf numFmtId="0" fontId="126" fillId="4" borderId="581" xfId="0" applyFont="1" applyFill="1" applyBorder="1" applyAlignment="1">
      <alignment horizontal="left" vertical="center" wrapText="1" indent="1"/>
    </xf>
    <xf numFmtId="0" fontId="117" fillId="4" borderId="581" xfId="0" applyFont="1" applyFill="1" applyBorder="1" applyAlignment="1">
      <alignment horizontal="center" vertical="center" wrapText="1"/>
    </xf>
    <xf numFmtId="0" fontId="126" fillId="4" borderId="581" xfId="0" applyFont="1" applyFill="1" applyBorder="1" applyAlignment="1">
      <alignment horizontal="center" vertical="center" wrapText="1"/>
    </xf>
    <xf numFmtId="165" fontId="117" fillId="4" borderId="581" xfId="0" applyNumberFormat="1" applyFont="1" applyFill="1" applyBorder="1" applyAlignment="1">
      <alignment vertical="center"/>
    </xf>
    <xf numFmtId="165" fontId="136" fillId="4" borderId="581" xfId="0" applyNumberFormat="1" applyFont="1" applyFill="1" applyBorder="1" applyAlignment="1">
      <alignment vertical="center"/>
    </xf>
    <xf numFmtId="49" fontId="126" fillId="4" borderId="581" xfId="0" applyNumberFormat="1" applyFont="1" applyFill="1" applyBorder="1" applyAlignment="1">
      <alignment horizontal="center" vertical="center"/>
    </xf>
    <xf numFmtId="1" fontId="135" fillId="4" borderId="581" xfId="0" applyNumberFormat="1" applyFont="1" applyFill="1" applyBorder="1" applyAlignment="1">
      <alignment horizontal="center" vertical="center"/>
    </xf>
    <xf numFmtId="0" fontId="139" fillId="4" borderId="581" xfId="0" applyFont="1" applyFill="1" applyBorder="1" applyAlignment="1">
      <alignment horizontal="left" vertical="center" wrapText="1" indent="1"/>
    </xf>
    <xf numFmtId="3" fontId="117" fillId="4" borderId="581" xfId="0" applyNumberFormat="1" applyFont="1" applyFill="1" applyBorder="1" applyAlignment="1">
      <alignment horizontal="center" vertical="center" wrapText="1"/>
    </xf>
    <xf numFmtId="0" fontId="134" fillId="4" borderId="581" xfId="0" applyFont="1" applyFill="1" applyBorder="1" applyAlignment="1">
      <alignment horizontal="left" vertical="center" wrapText="1" indent="1"/>
    </xf>
    <xf numFmtId="0" fontId="126" fillId="4" borderId="581" xfId="0" applyFont="1" applyFill="1" applyBorder="1" applyAlignment="1">
      <alignment horizontal="left" vertical="center" indent="1"/>
    </xf>
    <xf numFmtId="0" fontId="117" fillId="4" borderId="581" xfId="0" applyFont="1" applyFill="1" applyBorder="1" applyAlignment="1">
      <alignment vertical="center"/>
    </xf>
    <xf numFmtId="0" fontId="126" fillId="4" borderId="581" xfId="0" applyFont="1" applyFill="1" applyBorder="1" applyAlignment="1">
      <alignment vertical="center"/>
    </xf>
    <xf numFmtId="0" fontId="126" fillId="0" borderId="581" xfId="0" applyFont="1" applyBorder="1"/>
    <xf numFmtId="0" fontId="114" fillId="4" borderId="581" xfId="0" applyFont="1" applyFill="1" applyBorder="1" applyAlignment="1">
      <alignment horizontal="center" vertical="center" wrapText="1"/>
    </xf>
    <xf numFmtId="1" fontId="135" fillId="4" borderId="581" xfId="0" applyNumberFormat="1" applyFont="1" applyFill="1" applyBorder="1" applyAlignment="1">
      <alignment horizontal="center" vertical="center" wrapText="1"/>
    </xf>
    <xf numFmtId="0" fontId="117" fillId="4" borderId="581" xfId="0" applyFont="1" applyFill="1" applyBorder="1" applyAlignment="1">
      <alignment horizontal="center" vertical="center"/>
    </xf>
    <xf numFmtId="0" fontId="126" fillId="4" borderId="581" xfId="0" applyFont="1" applyFill="1" applyBorder="1" applyAlignment="1">
      <alignment horizontal="center" vertical="center"/>
    </xf>
    <xf numFmtId="43" fontId="117" fillId="4" borderId="581" xfId="0" applyNumberFormat="1" applyFont="1" applyFill="1" applyBorder="1" applyAlignment="1">
      <alignment vertical="center"/>
    </xf>
    <xf numFmtId="0" fontId="131" fillId="4" borderId="622" xfId="0" applyFont="1" applyFill="1" applyBorder="1" applyAlignment="1">
      <alignment horizontal="center" vertical="center"/>
    </xf>
    <xf numFmtId="0" fontId="126" fillId="4" borderId="622" xfId="0" applyFont="1" applyFill="1" applyBorder="1" applyAlignment="1">
      <alignment horizontal="left" vertical="center" wrapText="1" indent="1"/>
    </xf>
    <xf numFmtId="0" fontId="117" fillId="4" borderId="622" xfId="0" applyFont="1" applyFill="1" applyBorder="1" applyAlignment="1">
      <alignment horizontal="center" vertical="center" wrapText="1"/>
    </xf>
    <xf numFmtId="0" fontId="126" fillId="4" borderId="622" xfId="0" applyFont="1" applyFill="1" applyBorder="1" applyAlignment="1">
      <alignment horizontal="center" vertical="center" wrapText="1"/>
    </xf>
    <xf numFmtId="165" fontId="117" fillId="4" borderId="622" xfId="0" applyNumberFormat="1" applyFont="1" applyFill="1" applyBorder="1" applyAlignment="1">
      <alignment vertical="center"/>
    </xf>
    <xf numFmtId="165" fontId="136" fillId="4" borderId="622" xfId="0" applyNumberFormat="1" applyFont="1" applyFill="1" applyBorder="1" applyAlignment="1">
      <alignment vertical="center"/>
    </xf>
    <xf numFmtId="49" fontId="126" fillId="4" borderId="622" xfId="0" applyNumberFormat="1" applyFont="1" applyFill="1" applyBorder="1" applyAlignment="1">
      <alignment horizontal="center" vertical="center"/>
    </xf>
    <xf numFmtId="0" fontId="135" fillId="4" borderId="631" xfId="0" applyFont="1" applyFill="1" applyBorder="1" applyAlignment="1">
      <alignment horizontal="center" vertical="center"/>
    </xf>
    <xf numFmtId="0" fontId="126" fillId="4" borderId="631" xfId="0" applyFont="1" applyFill="1" applyBorder="1" applyAlignment="1">
      <alignment horizontal="left" vertical="center" wrapText="1" indent="1"/>
    </xf>
    <xf numFmtId="0" fontId="117" fillId="4" borderId="631" xfId="0" applyFont="1" applyFill="1" applyBorder="1" applyAlignment="1">
      <alignment horizontal="center" vertical="center" wrapText="1"/>
    </xf>
    <xf numFmtId="0" fontId="126" fillId="4" borderId="631" xfId="0" applyFont="1" applyFill="1" applyBorder="1" applyAlignment="1">
      <alignment horizontal="center" vertical="center" wrapText="1"/>
    </xf>
    <xf numFmtId="165" fontId="117" fillId="4" borderId="631" xfId="0" applyNumberFormat="1" applyFont="1" applyFill="1" applyBorder="1" applyAlignment="1">
      <alignment vertical="center"/>
    </xf>
    <xf numFmtId="165" fontId="136" fillId="4" borderId="631" xfId="0" applyNumberFormat="1" applyFont="1" applyFill="1" applyBorder="1" applyAlignment="1">
      <alignment vertical="center"/>
    </xf>
    <xf numFmtId="49" fontId="126" fillId="4" borderId="631" xfId="0" applyNumberFormat="1" applyFont="1" applyFill="1" applyBorder="1" applyAlignment="1">
      <alignment horizontal="center" vertical="center"/>
    </xf>
    <xf numFmtId="1" fontId="135" fillId="4" borderId="634" xfId="0" applyNumberFormat="1" applyFont="1" applyFill="1" applyBorder="1" applyAlignment="1">
      <alignment horizontal="center" vertical="center"/>
    </xf>
    <xf numFmtId="0" fontId="135" fillId="4" borderId="634" xfId="0" applyFont="1" applyFill="1" applyBorder="1" applyAlignment="1">
      <alignment horizontal="center" vertical="center"/>
    </xf>
    <xf numFmtId="0" fontId="139" fillId="4" borderId="634" xfId="0" applyFont="1" applyFill="1" applyBorder="1" applyAlignment="1">
      <alignment horizontal="left" vertical="center" wrapText="1" indent="1"/>
    </xf>
    <xf numFmtId="0" fontId="117" fillId="4" borderId="634" xfId="0" applyFont="1" applyFill="1" applyBorder="1" applyAlignment="1">
      <alignment horizontal="center" vertical="center" wrapText="1"/>
    </xf>
    <xf numFmtId="0" fontId="126" fillId="4" borderId="634" xfId="0" applyFont="1" applyFill="1" applyBorder="1" applyAlignment="1">
      <alignment horizontal="center" vertical="center" wrapText="1"/>
    </xf>
    <xf numFmtId="165" fontId="117" fillId="4" borderId="634" xfId="0" applyNumberFormat="1" applyFont="1" applyFill="1" applyBorder="1" applyAlignment="1">
      <alignment vertical="center"/>
    </xf>
    <xf numFmtId="165" fontId="136" fillId="4" borderId="634" xfId="0" applyNumberFormat="1" applyFont="1" applyFill="1" applyBorder="1" applyAlignment="1">
      <alignment vertical="center"/>
    </xf>
    <xf numFmtId="49" fontId="126" fillId="4" borderId="634" xfId="0" applyNumberFormat="1" applyFont="1" applyFill="1" applyBorder="1" applyAlignment="1">
      <alignment horizontal="center" vertical="center"/>
    </xf>
    <xf numFmtId="0" fontId="134" fillId="4" borderId="625" xfId="0" applyFont="1" applyFill="1" applyBorder="1" applyAlignment="1">
      <alignment horizontal="left" vertical="center" indent="1"/>
    </xf>
    <xf numFmtId="0" fontId="135" fillId="4" borderId="625" xfId="0" applyFont="1" applyFill="1" applyBorder="1" applyAlignment="1">
      <alignment horizontal="center" vertical="center"/>
    </xf>
    <xf numFmtId="0" fontId="134" fillId="4" borderId="625" xfId="0" applyFont="1" applyFill="1" applyBorder="1" applyAlignment="1">
      <alignment horizontal="left" vertical="center" wrapText="1" indent="1"/>
    </xf>
    <xf numFmtId="0" fontId="117" fillId="4" borderId="625" xfId="0" applyFont="1" applyFill="1" applyBorder="1" applyAlignment="1">
      <alignment horizontal="center" vertical="center" wrapText="1"/>
    </xf>
    <xf numFmtId="0" fontId="126" fillId="4" borderId="625" xfId="0" applyFont="1" applyFill="1" applyBorder="1" applyAlignment="1">
      <alignment horizontal="center" vertical="center" wrapText="1"/>
    </xf>
    <xf numFmtId="165" fontId="117" fillId="4" borderId="625" xfId="0" applyNumberFormat="1" applyFont="1" applyFill="1" applyBorder="1" applyAlignment="1">
      <alignment vertical="center"/>
    </xf>
    <xf numFmtId="165" fontId="136" fillId="4" borderId="625" xfId="0" applyNumberFormat="1" applyFont="1" applyFill="1" applyBorder="1" applyAlignment="1">
      <alignment vertical="center"/>
    </xf>
    <xf numFmtId="49" fontId="126" fillId="4" borderId="625" xfId="0" applyNumberFormat="1" applyFont="1" applyFill="1" applyBorder="1" applyAlignment="1">
      <alignment horizontal="center" vertical="center"/>
    </xf>
    <xf numFmtId="0" fontId="131" fillId="4" borderId="628" xfId="0" applyFont="1" applyFill="1" applyBorder="1" applyAlignment="1">
      <alignment horizontal="center" vertical="center"/>
    </xf>
    <xf numFmtId="0" fontId="126" fillId="4" borderId="628" xfId="0" applyFont="1" applyFill="1" applyBorder="1" applyAlignment="1">
      <alignment horizontal="left" vertical="center" wrapText="1" indent="1"/>
    </xf>
    <xf numFmtId="0" fontId="117" fillId="4" borderId="628" xfId="0" applyFont="1" applyFill="1" applyBorder="1" applyAlignment="1">
      <alignment horizontal="center" vertical="center" wrapText="1"/>
    </xf>
    <xf numFmtId="0" fontId="126" fillId="4" borderId="628" xfId="0" applyFont="1" applyFill="1" applyBorder="1" applyAlignment="1">
      <alignment horizontal="center" vertical="center" wrapText="1"/>
    </xf>
    <xf numFmtId="165" fontId="117" fillId="4" borderId="628" xfId="0" applyNumberFormat="1" applyFont="1" applyFill="1" applyBorder="1" applyAlignment="1">
      <alignment vertical="center"/>
    </xf>
    <xf numFmtId="165" fontId="136" fillId="4" borderId="628" xfId="0" applyNumberFormat="1" applyFont="1" applyFill="1" applyBorder="1" applyAlignment="1">
      <alignment vertical="center"/>
    </xf>
    <xf numFmtId="49" fontId="126" fillId="4" borderId="628" xfId="0" applyNumberFormat="1" applyFont="1" applyFill="1" applyBorder="1" applyAlignment="1">
      <alignment horizontal="center" vertical="center"/>
    </xf>
    <xf numFmtId="0" fontId="131" fillId="4" borderId="625" xfId="0" applyFont="1" applyFill="1" applyBorder="1" applyAlignment="1">
      <alignment horizontal="center" vertical="center"/>
    </xf>
    <xf numFmtId="0" fontId="126" fillId="4" borderId="625" xfId="0" applyFont="1" applyFill="1" applyBorder="1" applyAlignment="1">
      <alignment horizontal="left" vertical="center" indent="1"/>
    </xf>
    <xf numFmtId="0" fontId="117" fillId="4" borderId="625" xfId="0" applyFont="1" applyFill="1" applyBorder="1" applyAlignment="1">
      <alignment vertical="center"/>
    </xf>
    <xf numFmtId="0" fontId="126" fillId="4" borderId="625" xfId="0" applyFont="1" applyFill="1" applyBorder="1" applyAlignment="1">
      <alignment vertical="center"/>
    </xf>
    <xf numFmtId="0" fontId="126" fillId="4" borderId="628" xfId="0" applyFont="1" applyFill="1" applyBorder="1" applyAlignment="1">
      <alignment horizontal="left" vertical="center" indent="1"/>
    </xf>
    <xf numFmtId="0" fontId="117" fillId="4" borderId="628" xfId="0" applyFont="1" applyFill="1" applyBorder="1" applyAlignment="1">
      <alignment vertical="center"/>
    </xf>
    <xf numFmtId="0" fontId="126" fillId="4" borderId="628" xfId="0" applyFont="1" applyFill="1" applyBorder="1" applyAlignment="1">
      <alignment vertical="center"/>
    </xf>
    <xf numFmtId="0" fontId="131" fillId="4" borderId="631" xfId="0" applyFont="1" applyFill="1" applyBorder="1" applyAlignment="1">
      <alignment horizontal="center" vertical="center"/>
    </xf>
    <xf numFmtId="0" fontId="131" fillId="4" borderId="634" xfId="0" applyFont="1" applyFill="1" applyBorder="1" applyAlignment="1">
      <alignment horizontal="center" vertical="center"/>
    </xf>
    <xf numFmtId="0" fontId="126" fillId="4" borderId="634" xfId="0" applyFont="1" applyFill="1" applyBorder="1" applyAlignment="1">
      <alignment horizontal="left" vertical="center" indent="1"/>
    </xf>
    <xf numFmtId="0" fontId="117" fillId="4" borderId="634" xfId="0" applyFont="1" applyFill="1" applyBorder="1" applyAlignment="1">
      <alignment vertical="center"/>
    </xf>
    <xf numFmtId="0" fontId="126" fillId="4" borderId="634" xfId="0" applyFont="1" applyFill="1" applyBorder="1" applyAlignment="1">
      <alignment vertical="center"/>
    </xf>
    <xf numFmtId="0" fontId="134" fillId="4" borderId="634" xfId="0" applyFont="1" applyFill="1" applyBorder="1" applyAlignment="1">
      <alignment horizontal="left" vertical="center" wrapText="1" indent="1"/>
    </xf>
    <xf numFmtId="1" fontId="135" fillId="4" borderId="625" xfId="0" applyNumberFormat="1" applyFont="1" applyFill="1" applyBorder="1" applyAlignment="1">
      <alignment horizontal="center" vertical="center" wrapText="1"/>
    </xf>
    <xf numFmtId="2" fontId="126" fillId="4" borderId="631" xfId="0" applyNumberFormat="1" applyFont="1" applyFill="1" applyBorder="1" applyAlignment="1">
      <alignment horizontal="left" vertical="center" wrapText="1" indent="1"/>
    </xf>
    <xf numFmtId="0" fontId="114" fillId="4" borderId="634" xfId="0" applyFont="1" applyFill="1" applyBorder="1" applyAlignment="1">
      <alignment horizontal="center" vertical="center" wrapText="1"/>
    </xf>
    <xf numFmtId="0" fontId="126" fillId="4" borderId="628" xfId="0" applyFont="1" applyFill="1" applyBorder="1" applyAlignment="1">
      <alignment horizontal="center" vertical="center"/>
    </xf>
    <xf numFmtId="0" fontId="126" fillId="4" borderId="631" xfId="0" applyFont="1" applyFill="1" applyBorder="1" applyAlignment="1">
      <alignment horizontal="left" vertical="center" indent="1"/>
    </xf>
    <xf numFmtId="0" fontId="117" fillId="4" borderId="631" xfId="0" applyFont="1" applyFill="1" applyBorder="1" applyAlignment="1">
      <alignment vertical="center"/>
    </xf>
    <xf numFmtId="0" fontId="126" fillId="4" borderId="631" xfId="0" applyFont="1" applyFill="1" applyBorder="1" applyAlignment="1">
      <alignment vertical="center"/>
    </xf>
    <xf numFmtId="1" fontId="135" fillId="4" borderId="628" xfId="0" applyNumberFormat="1" applyFont="1" applyFill="1" applyBorder="1" applyAlignment="1">
      <alignment horizontal="center" vertical="center"/>
    </xf>
    <xf numFmtId="0" fontId="134" fillId="4" borderId="628" xfId="0" applyFont="1" applyFill="1" applyBorder="1" applyAlignment="1">
      <alignment horizontal="left" vertical="center" wrapText="1" indent="1"/>
    </xf>
    <xf numFmtId="0" fontId="135" fillId="4" borderId="774" xfId="0" applyFont="1" applyFill="1" applyBorder="1" applyAlignment="1">
      <alignment horizontal="center" vertical="center"/>
    </xf>
    <xf numFmtId="0" fontId="134" fillId="4" borderId="774" xfId="0" applyFont="1" applyFill="1" applyBorder="1" applyAlignment="1">
      <alignment horizontal="left" vertical="center" wrapText="1" indent="1"/>
    </xf>
    <xf numFmtId="0" fontId="117" fillId="4" borderId="774" xfId="0" applyFont="1" applyFill="1" applyBorder="1" applyAlignment="1">
      <alignment horizontal="center" vertical="center" wrapText="1"/>
    </xf>
    <xf numFmtId="0" fontId="126" fillId="4" borderId="774" xfId="0" applyFont="1" applyFill="1" applyBorder="1" applyAlignment="1">
      <alignment horizontal="center" vertical="center" wrapText="1"/>
    </xf>
    <xf numFmtId="165" fontId="117" fillId="4" borderId="774" xfId="0" applyNumberFormat="1" applyFont="1" applyFill="1" applyBorder="1" applyAlignment="1">
      <alignment vertical="center"/>
    </xf>
    <xf numFmtId="165" fontId="136" fillId="4" borderId="774" xfId="0" applyNumberFormat="1" applyFont="1" applyFill="1" applyBorder="1" applyAlignment="1">
      <alignment vertical="center"/>
    </xf>
    <xf numFmtId="49" fontId="126" fillId="4" borderId="774" xfId="0" applyNumberFormat="1" applyFont="1" applyFill="1" applyBorder="1" applyAlignment="1">
      <alignment horizontal="center" vertical="center"/>
    </xf>
    <xf numFmtId="0" fontId="113" fillId="4" borderId="581" xfId="0" applyFont="1" applyFill="1" applyBorder="1" applyAlignment="1">
      <alignment horizontal="center" vertical="center" wrapText="1"/>
    </xf>
    <xf numFmtId="0" fontId="114" fillId="4" borderId="581" xfId="0" applyFont="1" applyFill="1" applyBorder="1" applyAlignment="1">
      <alignment horizontal="left" vertical="center" wrapText="1" indent="1"/>
    </xf>
    <xf numFmtId="0" fontId="114" fillId="4" borderId="583" xfId="0" applyFont="1" applyFill="1" applyBorder="1" applyAlignment="1">
      <alignment horizontal="left" vertical="center" wrapText="1" indent="1"/>
    </xf>
    <xf numFmtId="0" fontId="117" fillId="4" borderId="583" xfId="0" applyFont="1" applyFill="1" applyBorder="1" applyAlignment="1">
      <alignment horizontal="center" vertical="center" wrapText="1"/>
    </xf>
    <xf numFmtId="0" fontId="126" fillId="4" borderId="583" xfId="0" applyFont="1" applyFill="1" applyBorder="1" applyAlignment="1">
      <alignment horizontal="center" vertical="center"/>
    </xf>
    <xf numFmtId="165" fontId="117" fillId="4" borderId="583" xfId="0" applyNumberFormat="1" applyFont="1" applyFill="1" applyBorder="1" applyAlignment="1">
      <alignment vertical="center"/>
    </xf>
    <xf numFmtId="165" fontId="117" fillId="4" borderId="776" xfId="0" applyNumberFormat="1" applyFont="1" applyFill="1" applyBorder="1" applyAlignment="1">
      <alignment vertical="center"/>
    </xf>
    <xf numFmtId="165" fontId="136" fillId="4" borderId="583" xfId="0" applyNumberFormat="1" applyFont="1" applyFill="1" applyBorder="1" applyAlignment="1">
      <alignment vertical="center"/>
    </xf>
    <xf numFmtId="0" fontId="126" fillId="4" borderId="583" xfId="0" applyFont="1" applyFill="1" applyBorder="1" applyAlignment="1">
      <alignment horizontal="center" vertical="center" wrapText="1"/>
    </xf>
    <xf numFmtId="49" fontId="126" fillId="4" borderId="583" xfId="0" applyNumberFormat="1" applyFont="1" applyFill="1" applyBorder="1" applyAlignment="1">
      <alignment horizontal="center" vertical="center"/>
    </xf>
    <xf numFmtId="0" fontId="139" fillId="4" borderId="625" xfId="0" applyFont="1" applyFill="1" applyBorder="1" applyAlignment="1">
      <alignment horizontal="left" vertical="center" wrapText="1" indent="1"/>
    </xf>
    <xf numFmtId="0" fontId="113" fillId="4" borderId="625" xfId="0" applyFont="1" applyFill="1" applyBorder="1" applyAlignment="1">
      <alignment horizontal="center" vertical="center" wrapText="1"/>
    </xf>
    <xf numFmtId="0" fontId="114" fillId="4" borderId="625" xfId="0" applyFont="1" applyFill="1" applyBorder="1" applyAlignment="1">
      <alignment horizontal="left" vertical="center" wrapText="1" indent="1"/>
    </xf>
    <xf numFmtId="0" fontId="113" fillId="4" borderId="628" xfId="0" applyFont="1" applyFill="1" applyBorder="1" applyAlignment="1">
      <alignment horizontal="center" vertical="center" wrapText="1"/>
    </xf>
    <xf numFmtId="0" fontId="114" fillId="4" borderId="628" xfId="0" applyFont="1" applyFill="1" applyBorder="1" applyAlignment="1">
      <alignment horizontal="left" vertical="center" wrapText="1" indent="1"/>
    </xf>
    <xf numFmtId="0" fontId="113" fillId="4" borderId="634" xfId="0" applyFont="1" applyFill="1" applyBorder="1" applyAlignment="1">
      <alignment horizontal="center" vertical="center" wrapText="1"/>
    </xf>
    <xf numFmtId="0" fontId="114" fillId="4" borderId="634" xfId="0" applyFont="1" applyFill="1" applyBorder="1" applyAlignment="1">
      <alignment horizontal="left" vertical="center" wrapText="1" indent="1"/>
    </xf>
    <xf numFmtId="0" fontId="113" fillId="4" borderId="631" xfId="0" applyFont="1" applyFill="1" applyBorder="1" applyAlignment="1">
      <alignment horizontal="center" vertical="center" wrapText="1"/>
    </xf>
    <xf numFmtId="0" fontId="114" fillId="4" borderId="631" xfId="0" applyFont="1" applyFill="1" applyBorder="1" applyAlignment="1">
      <alignment horizontal="left" vertical="center" wrapText="1" indent="1"/>
    </xf>
    <xf numFmtId="0" fontId="120" fillId="4" borderId="625" xfId="0" applyFont="1" applyFill="1" applyBorder="1" applyAlignment="1">
      <alignment horizontal="center" vertical="center" wrapText="1"/>
    </xf>
    <xf numFmtId="0" fontId="120" fillId="4" borderId="631" xfId="0" applyFont="1" applyFill="1" applyBorder="1" applyAlignment="1">
      <alignment horizontal="center" vertical="center"/>
    </xf>
    <xf numFmtId="0" fontId="120" fillId="4" borderId="634" xfId="0" applyFont="1" applyFill="1" applyBorder="1" applyAlignment="1">
      <alignment horizontal="center" vertical="center"/>
    </xf>
    <xf numFmtId="0" fontId="120" fillId="4" borderId="625" xfId="0" applyFont="1" applyFill="1" applyBorder="1" applyAlignment="1">
      <alignment horizontal="center" vertical="center"/>
    </xf>
    <xf numFmtId="0" fontId="119" fillId="4" borderId="628" xfId="0" applyFont="1" applyFill="1" applyBorder="1" applyAlignment="1">
      <alignment horizontal="center" vertical="center" wrapText="1"/>
    </xf>
    <xf numFmtId="0" fontId="120" fillId="4" borderId="774" xfId="0" applyFont="1" applyFill="1" applyBorder="1" applyAlignment="1">
      <alignment horizontal="center" vertical="center"/>
    </xf>
    <xf numFmtId="0" fontId="139" fillId="4" borderId="774" xfId="0" applyFont="1" applyFill="1" applyBorder="1" applyAlignment="1">
      <alignment horizontal="left" vertical="center" indent="1"/>
    </xf>
    <xf numFmtId="0" fontId="131" fillId="0" borderId="581" xfId="0" applyFont="1" applyBorder="1"/>
    <xf numFmtId="0" fontId="126" fillId="0" borderId="581" xfId="0" applyFont="1" applyBorder="1" applyAlignment="1">
      <alignment horizontal="left" indent="1"/>
    </xf>
    <xf numFmtId="0" fontId="117" fillId="0" borderId="581" xfId="0" applyFont="1" applyBorder="1"/>
    <xf numFmtId="49" fontId="135" fillId="4" borderId="581" xfId="0" applyNumberFormat="1" applyFont="1" applyFill="1" applyBorder="1" applyAlignment="1">
      <alignment horizontal="center" vertical="center"/>
    </xf>
    <xf numFmtId="0" fontId="126" fillId="4" borderId="622" xfId="0" applyFont="1" applyFill="1" applyBorder="1" applyAlignment="1">
      <alignment horizontal="center" vertical="center"/>
    </xf>
    <xf numFmtId="0" fontId="120" fillId="4" borderId="628" xfId="0" applyFont="1" applyFill="1" applyBorder="1" applyAlignment="1">
      <alignment horizontal="center" vertical="center"/>
    </xf>
    <xf numFmtId="0" fontId="119" fillId="4" borderId="631" xfId="0" applyFont="1" applyFill="1" applyBorder="1" applyAlignment="1">
      <alignment horizontal="center" vertical="center" wrapText="1"/>
    </xf>
    <xf numFmtId="0" fontId="114" fillId="4" borderId="631" xfId="0" applyFont="1" applyFill="1" applyBorder="1" applyAlignment="1">
      <alignment horizontal="center" vertical="center" wrapText="1"/>
    </xf>
    <xf numFmtId="0" fontId="119" fillId="4" borderId="634" xfId="0" applyFont="1" applyFill="1" applyBorder="1" applyAlignment="1">
      <alignment horizontal="center" vertical="center" wrapText="1"/>
    </xf>
    <xf numFmtId="0" fontId="126" fillId="4" borderId="631" xfId="0" applyFont="1" applyFill="1" applyBorder="1" applyAlignment="1">
      <alignment horizontal="center" vertical="center"/>
    </xf>
    <xf numFmtId="0" fontId="139" fillId="4" borderId="634" xfId="0" applyFont="1" applyFill="1" applyBorder="1" applyAlignment="1">
      <alignment horizontal="left" vertical="center" indent="1"/>
    </xf>
    <xf numFmtId="0" fontId="131" fillId="0" borderId="625" xfId="0" applyFont="1" applyBorder="1"/>
    <xf numFmtId="0" fontId="126" fillId="0" borderId="625" xfId="0" applyFont="1" applyBorder="1" applyAlignment="1">
      <alignment horizontal="left" indent="1"/>
    </xf>
    <xf numFmtId="0" fontId="117" fillId="0" borderId="625" xfId="0" applyFont="1" applyBorder="1"/>
    <xf numFmtId="0" fontId="126" fillId="0" borderId="625" xfId="0" applyFont="1" applyBorder="1"/>
    <xf numFmtId="0" fontId="131" fillId="0" borderId="631" xfId="0" applyFont="1" applyBorder="1"/>
    <xf numFmtId="0" fontId="126" fillId="0" borderId="631" xfId="0" applyFont="1" applyBorder="1" applyAlignment="1">
      <alignment horizontal="left" indent="1"/>
    </xf>
    <xf numFmtId="0" fontId="117" fillId="0" borderId="631" xfId="0" applyFont="1" applyBorder="1"/>
    <xf numFmtId="0" fontId="126" fillId="0" borderId="631" xfId="0" applyFont="1" applyBorder="1"/>
    <xf numFmtId="0" fontId="131" fillId="0" borderId="634" xfId="0" applyFont="1" applyBorder="1"/>
    <xf numFmtId="0" fontId="126" fillId="0" borderId="634" xfId="0" applyFont="1" applyBorder="1" applyAlignment="1">
      <alignment horizontal="left" indent="1"/>
    </xf>
    <xf numFmtId="0" fontId="117" fillId="0" borderId="634" xfId="0" applyFont="1" applyBorder="1"/>
    <xf numFmtId="0" fontId="126" fillId="0" borderId="634" xfId="0" applyFont="1" applyBorder="1"/>
    <xf numFmtId="0" fontId="134" fillId="4" borderId="785" xfId="0" applyFont="1" applyFill="1" applyBorder="1" applyAlignment="1">
      <alignment horizontal="left" vertical="center" indent="1"/>
    </xf>
    <xf numFmtId="0" fontId="134" fillId="4" borderId="786" xfId="0" applyFont="1" applyFill="1" applyBorder="1" applyAlignment="1">
      <alignment horizontal="left" vertical="center" indent="1"/>
    </xf>
    <xf numFmtId="0" fontId="134" fillId="4" borderId="787" xfId="0" applyFont="1" applyFill="1" applyBorder="1" applyAlignment="1">
      <alignment horizontal="left" vertical="center" indent="1"/>
    </xf>
    <xf numFmtId="0" fontId="134" fillId="4" borderId="788" xfId="0" applyFont="1" applyFill="1" applyBorder="1" applyAlignment="1">
      <alignment horizontal="left" vertical="center" indent="1"/>
    </xf>
    <xf numFmtId="0" fontId="139" fillId="4" borderId="786" xfId="0" applyFont="1" applyFill="1" applyBorder="1" applyAlignment="1">
      <alignment horizontal="left" vertical="center" wrapText="1" indent="1"/>
    </xf>
    <xf numFmtId="0" fontId="134" fillId="4" borderId="789" xfId="0" applyFont="1" applyFill="1" applyBorder="1" applyAlignment="1">
      <alignment horizontal="left" vertical="center" indent="1"/>
    </xf>
    <xf numFmtId="0" fontId="134" fillId="4" borderId="790" xfId="0" applyFont="1" applyFill="1" applyBorder="1" applyAlignment="1">
      <alignment horizontal="left" vertical="center" indent="1"/>
    </xf>
    <xf numFmtId="0" fontId="134" fillId="4" borderId="790" xfId="0" applyFont="1" applyFill="1" applyBorder="1" applyAlignment="1">
      <alignment horizontal="left" vertical="center" wrapText="1" indent="1"/>
    </xf>
    <xf numFmtId="0" fontId="134" fillId="4" borderId="786" xfId="0" applyFont="1" applyFill="1" applyBorder="1" applyAlignment="1">
      <alignment horizontal="left" vertical="center" wrapText="1" indent="1"/>
    </xf>
    <xf numFmtId="0" fontId="134" fillId="4" borderId="791" xfId="0" applyFont="1" applyFill="1" applyBorder="1" applyAlignment="1">
      <alignment horizontal="left" vertical="center" indent="1"/>
    </xf>
    <xf numFmtId="0" fontId="134" fillId="4" borderId="793" xfId="0" applyFont="1" applyFill="1" applyBorder="1" applyAlignment="1">
      <alignment horizontal="left" vertical="center" indent="1"/>
    </xf>
    <xf numFmtId="0" fontId="139" fillId="4" borderId="788" xfId="0" applyFont="1" applyFill="1" applyBorder="1" applyAlignment="1">
      <alignment horizontal="left" vertical="center" wrapText="1" indent="1"/>
    </xf>
    <xf numFmtId="0" fontId="139" fillId="4" borderId="789" xfId="0" applyFont="1" applyFill="1" applyBorder="1" applyAlignment="1">
      <alignment horizontal="left" vertical="center" wrapText="1" indent="1"/>
    </xf>
    <xf numFmtId="0" fontId="139" fillId="4" borderId="790" xfId="0" applyFont="1" applyFill="1" applyBorder="1" applyAlignment="1">
      <alignment horizontal="left" vertical="center" wrapText="1" indent="1"/>
    </xf>
    <xf numFmtId="0" fontId="139" fillId="4" borderId="787" xfId="0" applyFont="1" applyFill="1" applyBorder="1" applyAlignment="1">
      <alignment horizontal="left" vertical="center" wrapText="1" indent="1"/>
    </xf>
    <xf numFmtId="0" fontId="134" fillId="4" borderId="794" xfId="0" applyFont="1" applyFill="1" applyBorder="1" applyAlignment="1">
      <alignment horizontal="left" vertical="center" indent="1"/>
    </xf>
    <xf numFmtId="0" fontId="139" fillId="4" borderId="793" xfId="0" applyFont="1" applyFill="1" applyBorder="1" applyAlignment="1">
      <alignment horizontal="left" vertical="center" wrapText="1" indent="1"/>
    </xf>
    <xf numFmtId="0" fontId="134" fillId="4" borderId="791" xfId="0" applyFont="1" applyFill="1" applyBorder="1" applyAlignment="1">
      <alignment horizontal="left" vertical="center" wrapText="1" indent="1"/>
    </xf>
    <xf numFmtId="49" fontId="26" fillId="0" borderId="207" xfId="0" applyNumberFormat="1" applyFont="1" applyBorder="1" applyAlignment="1">
      <alignment horizontal="left" vertical="center" indent="1"/>
    </xf>
    <xf numFmtId="49" fontId="38" fillId="4" borderId="207" xfId="0" applyNumberFormat="1" applyFont="1" applyFill="1" applyBorder="1" applyAlignment="1">
      <alignment horizontal="left" vertical="center" indent="1"/>
    </xf>
    <xf numFmtId="49" fontId="38" fillId="0" borderId="207" xfId="0" applyNumberFormat="1" applyFont="1" applyBorder="1" applyAlignment="1">
      <alignment horizontal="left" vertical="center" indent="1"/>
    </xf>
    <xf numFmtId="49" fontId="26" fillId="0" borderId="207" xfId="0" applyNumberFormat="1" applyFont="1" applyBorder="1" applyAlignment="1">
      <alignment horizontal="left" vertical="center" wrapText="1" indent="1"/>
    </xf>
    <xf numFmtId="49" fontId="38" fillId="4" borderId="207" xfId="0" applyNumberFormat="1" applyFont="1" applyFill="1" applyBorder="1" applyAlignment="1">
      <alignment horizontal="left" vertical="center" wrapText="1" indent="1"/>
    </xf>
    <xf numFmtId="49" fontId="38" fillId="4" borderId="217" xfId="0" applyNumberFormat="1" applyFont="1" applyFill="1" applyBorder="1" applyAlignment="1">
      <alignment horizontal="left" vertical="center" wrapText="1" indent="1"/>
    </xf>
    <xf numFmtId="49" fontId="26" fillId="0" borderId="212" xfId="0" applyNumberFormat="1" applyFont="1" applyBorder="1" applyAlignment="1">
      <alignment horizontal="left" vertical="center" indent="1"/>
    </xf>
    <xf numFmtId="49" fontId="26" fillId="4" borderId="207" xfId="0" applyNumberFormat="1" applyFont="1" applyFill="1" applyBorder="1" applyAlignment="1">
      <alignment horizontal="left" vertical="center" indent="1"/>
    </xf>
    <xf numFmtId="49" fontId="26" fillId="0" borderId="217" xfId="0" applyNumberFormat="1" applyFont="1" applyBorder="1" applyAlignment="1">
      <alignment horizontal="left" vertical="center" indent="1"/>
    </xf>
    <xf numFmtId="49" fontId="38" fillId="0" borderId="217" xfId="0" applyNumberFormat="1" applyFont="1" applyBorder="1" applyAlignment="1">
      <alignment horizontal="left" vertical="center" indent="1"/>
    </xf>
    <xf numFmtId="49" fontId="26" fillId="0" borderId="220" xfId="0" applyNumberFormat="1" applyFont="1" applyBorder="1" applyAlignment="1">
      <alignment horizontal="left" vertical="center" indent="1"/>
    </xf>
    <xf numFmtId="49" fontId="135" fillId="4" borderId="206" xfId="0" applyNumberFormat="1" applyFont="1" applyFill="1" applyBorder="1" applyAlignment="1">
      <alignment horizontal="center" vertical="center"/>
    </xf>
    <xf numFmtId="49" fontId="131" fillId="0" borderId="206" xfId="0" applyNumberFormat="1" applyFont="1" applyBorder="1" applyAlignment="1">
      <alignment horizontal="center" vertical="center"/>
    </xf>
    <xf numFmtId="49" fontId="131" fillId="0" borderId="114" xfId="0" applyNumberFormat="1" applyFont="1" applyBorder="1" applyAlignment="1">
      <alignment horizontal="center" vertical="center"/>
    </xf>
    <xf numFmtId="49" fontId="131" fillId="0" borderId="209" xfId="0" applyNumberFormat="1" applyFont="1" applyBorder="1" applyAlignment="1">
      <alignment horizontal="center" vertical="center"/>
    </xf>
    <xf numFmtId="49" fontId="135" fillId="4" borderId="210" xfId="0" applyNumberFormat="1" applyFont="1" applyFill="1" applyBorder="1" applyAlignment="1">
      <alignment horizontal="center" vertical="center"/>
    </xf>
    <xf numFmtId="49" fontId="131" fillId="0" borderId="210" xfId="0" applyNumberFormat="1" applyFont="1" applyBorder="1" applyAlignment="1">
      <alignment horizontal="center" vertical="center"/>
    </xf>
    <xf numFmtId="49" fontId="135" fillId="0" borderId="114" xfId="0" applyNumberFormat="1" applyFont="1" applyBorder="1" applyAlignment="1">
      <alignment horizontal="center" vertical="center"/>
    </xf>
    <xf numFmtId="49" fontId="135" fillId="4" borderId="358" xfId="0" applyNumberFormat="1" applyFont="1" applyFill="1" applyBorder="1" applyAlignment="1">
      <alignment horizontal="center" vertical="center"/>
    </xf>
    <xf numFmtId="49" fontId="131" fillId="0" borderId="114" xfId="0" applyNumberFormat="1" applyFont="1" applyBorder="1" applyAlignment="1">
      <alignment horizontal="center" vertical="center" wrapText="1"/>
    </xf>
    <xf numFmtId="49" fontId="135" fillId="4" borderId="114" xfId="0" applyNumberFormat="1" applyFont="1" applyFill="1" applyBorder="1" applyAlignment="1">
      <alignment horizontal="center" vertical="center"/>
    </xf>
    <xf numFmtId="49" fontId="131" fillId="4" borderId="114" xfId="0" applyNumberFormat="1" applyFont="1" applyFill="1" applyBorder="1" applyAlignment="1">
      <alignment horizontal="center" vertical="center"/>
    </xf>
    <xf numFmtId="49" fontId="135" fillId="4" borderId="214" xfId="0" applyNumberFormat="1" applyFont="1" applyFill="1" applyBorder="1" applyAlignment="1">
      <alignment horizontal="center" vertical="center"/>
    </xf>
    <xf numFmtId="49" fontId="131" fillId="0" borderId="141" xfId="0" applyNumberFormat="1" applyFont="1" applyBorder="1" applyAlignment="1">
      <alignment horizontal="center" vertical="center"/>
    </xf>
    <xf numFmtId="49" fontId="131" fillId="0" borderId="214" xfId="0" applyNumberFormat="1" applyFont="1" applyBorder="1" applyAlignment="1">
      <alignment horizontal="center" vertical="center" wrapText="1"/>
    </xf>
    <xf numFmtId="49" fontId="131" fillId="4" borderId="141" xfId="0" applyNumberFormat="1" applyFont="1" applyFill="1" applyBorder="1" applyAlignment="1">
      <alignment horizontal="center" vertical="center"/>
    </xf>
    <xf numFmtId="49" fontId="131" fillId="0" borderId="118" xfId="0" applyNumberFormat="1" applyFont="1" applyBorder="1" applyAlignment="1">
      <alignment horizontal="center" vertical="center"/>
    </xf>
    <xf numFmtId="49" fontId="131" fillId="0" borderId="358" xfId="0" applyNumberFormat="1" applyFont="1" applyBorder="1" applyAlignment="1">
      <alignment horizontal="center" vertical="center"/>
    </xf>
    <xf numFmtId="49" fontId="135" fillId="0" borderId="210" xfId="0" applyNumberFormat="1" applyFont="1" applyBorder="1" applyAlignment="1">
      <alignment horizontal="center" vertical="center"/>
    </xf>
    <xf numFmtId="49" fontId="135" fillId="0" borderId="358" xfId="0" applyNumberFormat="1" applyFont="1" applyBorder="1" applyAlignment="1">
      <alignment horizontal="center" vertical="center"/>
    </xf>
    <xf numFmtId="49" fontId="131" fillId="0" borderId="221" xfId="0" applyNumberFormat="1" applyFont="1" applyBorder="1" applyAlignment="1">
      <alignment horizontal="center" vertical="center"/>
    </xf>
    <xf numFmtId="0" fontId="38" fillId="4" borderId="206" xfId="0" applyFont="1" applyFill="1" applyBorder="1" applyAlignment="1">
      <alignment horizontal="left" vertical="center" indent="1"/>
    </xf>
    <xf numFmtId="0" fontId="25" fillId="0" borderId="114" xfId="0" applyFont="1" applyBorder="1" applyAlignment="1">
      <alignment horizontal="left" vertical="center" indent="1"/>
    </xf>
    <xf numFmtId="0" fontId="26" fillId="0" borderId="114" xfId="0" applyFont="1" applyBorder="1" applyAlignment="1">
      <alignment horizontal="left" vertical="center" wrapText="1" indent="1"/>
    </xf>
    <xf numFmtId="0" fontId="38" fillId="0" borderId="210" xfId="0" applyFont="1" applyBorder="1" applyAlignment="1">
      <alignment horizontal="left" vertical="center" wrapText="1" indent="1"/>
    </xf>
    <xf numFmtId="0" fontId="38" fillId="0" borderId="358" xfId="0" applyFont="1" applyBorder="1" applyAlignment="1">
      <alignment horizontal="left" vertical="center" wrapText="1" indent="1"/>
    </xf>
    <xf numFmtId="0" fontId="26" fillId="0" borderId="209" xfId="0" applyFont="1" applyBorder="1" applyAlignment="1">
      <alignment horizontal="left" vertical="center" indent="1"/>
    </xf>
    <xf numFmtId="0" fontId="26" fillId="0" borderId="114" xfId="0" applyFont="1" applyBorder="1" applyAlignment="1">
      <alignment horizontal="left" vertical="center" indent="1"/>
    </xf>
    <xf numFmtId="0" fontId="38" fillId="0" borderId="114" xfId="0" applyFont="1" applyBorder="1" applyAlignment="1">
      <alignment horizontal="left" vertical="center" wrapText="1" indent="1"/>
    </xf>
    <xf numFmtId="0" fontId="38" fillId="0" borderId="141" xfId="0" applyFont="1" applyBorder="1" applyAlignment="1">
      <alignment horizontal="left" vertical="center" wrapText="1" indent="1"/>
    </xf>
    <xf numFmtId="0" fontId="26" fillId="0" borderId="118" xfId="0" applyFont="1" applyBorder="1" applyAlignment="1">
      <alignment horizontal="left" vertical="center" indent="1"/>
    </xf>
    <xf numFmtId="0" fontId="26" fillId="4" borderId="114" xfId="0" applyFont="1" applyFill="1" applyBorder="1" applyAlignment="1">
      <alignment horizontal="left" vertical="center" indent="1"/>
    </xf>
    <xf numFmtId="0" fontId="26" fillId="0" borderId="358" xfId="0" applyFont="1" applyBorder="1" applyAlignment="1">
      <alignment horizontal="left" vertical="center" wrapText="1" indent="1"/>
    </xf>
    <xf numFmtId="0" fontId="26" fillId="0" borderId="118" xfId="0" applyFont="1" applyBorder="1" applyAlignment="1">
      <alignment horizontal="left" vertical="center" wrapText="1" indent="1"/>
    </xf>
    <xf numFmtId="0" fontId="26" fillId="0" borderId="221" xfId="0" applyFont="1" applyBorder="1" applyAlignment="1">
      <alignment horizontal="left" vertical="center" wrapText="1" indent="1"/>
    </xf>
    <xf numFmtId="0" fontId="117" fillId="0" borderId="206" xfId="0" applyFont="1" applyBorder="1" applyAlignment="1">
      <alignment horizontal="center" vertical="center" wrapText="1"/>
    </xf>
    <xf numFmtId="0" fontId="117" fillId="0" borderId="114" xfId="0" applyFont="1" applyBorder="1" applyAlignment="1">
      <alignment horizontal="center" vertical="center" wrapText="1"/>
    </xf>
    <xf numFmtId="0" fontId="117" fillId="0" borderId="209" xfId="0" applyFont="1" applyBorder="1" applyAlignment="1">
      <alignment horizontal="center" vertical="center" wrapText="1"/>
    </xf>
    <xf numFmtId="0" fontId="136" fillId="0" borderId="210" xfId="0" applyFont="1" applyBorder="1" applyAlignment="1">
      <alignment horizontal="left" vertical="center" wrapText="1"/>
    </xf>
    <xf numFmtId="0" fontId="117" fillId="0" borderId="358" xfId="0" applyFont="1" applyBorder="1" applyAlignment="1">
      <alignment horizontal="center" vertical="center" wrapText="1"/>
    </xf>
    <xf numFmtId="0" fontId="117" fillId="0" borderId="209" xfId="0" applyFont="1" applyBorder="1" applyAlignment="1">
      <alignment vertical="center"/>
    </xf>
    <xf numFmtId="0" fontId="117" fillId="0" borderId="210" xfId="0" applyFont="1" applyBorder="1" applyAlignment="1">
      <alignment horizontal="center" vertical="center" wrapText="1"/>
    </xf>
    <xf numFmtId="0" fontId="117" fillId="4" borderId="358" xfId="0" applyFont="1" applyFill="1" applyBorder="1" applyAlignment="1">
      <alignment horizontal="center" vertical="center"/>
    </xf>
    <xf numFmtId="0" fontId="117" fillId="4" borderId="114" xfId="0" applyFont="1" applyFill="1" applyBorder="1" applyAlignment="1">
      <alignment horizontal="center" vertical="center"/>
    </xf>
    <xf numFmtId="0" fontId="117" fillId="0" borderId="114" xfId="0" applyFont="1" applyBorder="1" applyAlignment="1">
      <alignment horizontal="center" vertical="center"/>
    </xf>
    <xf numFmtId="0" fontId="117" fillId="0" borderId="118" xfId="0" applyFont="1" applyBorder="1" applyAlignment="1">
      <alignment vertical="center"/>
    </xf>
    <xf numFmtId="0" fontId="117" fillId="0" borderId="114" xfId="0" applyFont="1" applyBorder="1" applyAlignment="1">
      <alignment vertical="center"/>
    </xf>
    <xf numFmtId="0" fontId="117" fillId="0" borderId="118" xfId="0" applyFont="1" applyBorder="1" applyAlignment="1">
      <alignment horizontal="center" vertical="center" wrapText="1"/>
    </xf>
    <xf numFmtId="0" fontId="117" fillId="0" borderId="221" xfId="0" applyFont="1" applyBorder="1" applyAlignment="1">
      <alignment horizontal="center" vertical="center" wrapText="1"/>
    </xf>
    <xf numFmtId="165" fontId="117" fillId="0" borderId="206" xfId="0" applyNumberFormat="1" applyFont="1" applyBorder="1" applyAlignment="1">
      <alignment horizontal="right" vertical="center"/>
    </xf>
    <xf numFmtId="165" fontId="136" fillId="0" borderId="206" xfId="0" applyNumberFormat="1" applyFont="1" applyBorder="1" applyAlignment="1">
      <alignment horizontal="right" vertical="center"/>
    </xf>
    <xf numFmtId="165" fontId="117" fillId="0" borderId="114" xfId="0" applyNumberFormat="1" applyFont="1" applyBorder="1" applyAlignment="1">
      <alignment horizontal="right" vertical="center"/>
    </xf>
    <xf numFmtId="165" fontId="136" fillId="0" borderId="114" xfId="0" applyNumberFormat="1" applyFont="1" applyBorder="1" applyAlignment="1">
      <alignment horizontal="right" vertical="center"/>
    </xf>
    <xf numFmtId="165" fontId="117" fillId="0" borderId="209" xfId="0" applyNumberFormat="1" applyFont="1" applyBorder="1" applyAlignment="1">
      <alignment horizontal="right" vertical="center"/>
    </xf>
    <xf numFmtId="165" fontId="136" fillId="0" borderId="210" xfId="0" applyNumberFormat="1" applyFont="1" applyBorder="1" applyAlignment="1">
      <alignment horizontal="right" vertical="center" wrapText="1"/>
    </xf>
    <xf numFmtId="165" fontId="136" fillId="0" borderId="210" xfId="0" applyNumberFormat="1" applyFont="1" applyBorder="1" applyAlignment="1">
      <alignment horizontal="right" vertical="center"/>
    </xf>
    <xf numFmtId="165" fontId="136" fillId="4" borderId="358" xfId="0" applyNumberFormat="1" applyFont="1" applyFill="1" applyBorder="1" applyAlignment="1">
      <alignment horizontal="right" vertical="center"/>
    </xf>
    <xf numFmtId="165" fontId="117" fillId="0" borderId="358" xfId="0" applyNumberFormat="1" applyFont="1" applyBorder="1" applyAlignment="1">
      <alignment horizontal="right" vertical="center"/>
    </xf>
    <xf numFmtId="165" fontId="136" fillId="0" borderId="358" xfId="0" applyNumberFormat="1" applyFont="1" applyBorder="1" applyAlignment="1">
      <alignment horizontal="right" vertical="center"/>
    </xf>
    <xf numFmtId="165" fontId="117" fillId="0" borderId="210" xfId="0" applyNumberFormat="1" applyFont="1" applyBorder="1" applyAlignment="1">
      <alignment horizontal="right" vertical="center"/>
    </xf>
    <xf numFmtId="165" fontId="136" fillId="0" borderId="141" xfId="0" applyNumberFormat="1" applyFont="1" applyBorder="1" applyAlignment="1">
      <alignment horizontal="right" vertical="center"/>
    </xf>
    <xf numFmtId="165" fontId="117" fillId="4" borderId="358" xfId="0" applyNumberFormat="1" applyFont="1" applyFill="1" applyBorder="1" applyAlignment="1">
      <alignment horizontal="right" vertical="center"/>
    </xf>
    <xf numFmtId="165" fontId="117" fillId="4" borderId="114" xfId="0" applyNumberFormat="1" applyFont="1" applyFill="1" applyBorder="1" applyAlignment="1">
      <alignment horizontal="right" vertical="center"/>
    </xf>
    <xf numFmtId="165" fontId="117" fillId="0" borderId="118" xfId="0" applyNumberFormat="1" applyFont="1" applyBorder="1" applyAlignment="1">
      <alignment horizontal="right" vertical="center"/>
    </xf>
    <xf numFmtId="165" fontId="136" fillId="0" borderId="118" xfId="0" applyNumberFormat="1" applyFont="1" applyBorder="1" applyAlignment="1">
      <alignment horizontal="right" vertical="center"/>
    </xf>
    <xf numFmtId="165" fontId="117" fillId="0" borderId="221" xfId="0" applyNumberFormat="1" applyFont="1" applyBorder="1" applyAlignment="1">
      <alignment horizontal="right" vertical="center"/>
    </xf>
    <xf numFmtId="165" fontId="136" fillId="0" borderId="221" xfId="0" applyNumberFormat="1" applyFont="1" applyBorder="1" applyAlignment="1">
      <alignment horizontal="right" vertical="center"/>
    </xf>
    <xf numFmtId="49" fontId="26" fillId="0" borderId="804" xfId="0" applyNumberFormat="1" applyFont="1" applyBorder="1" applyAlignment="1">
      <alignment horizontal="left" vertical="center" indent="1"/>
    </xf>
    <xf numFmtId="49" fontId="38" fillId="0" borderId="804" xfId="0" applyNumberFormat="1" applyFont="1" applyBorder="1" applyAlignment="1">
      <alignment horizontal="left" vertical="center" indent="1"/>
    </xf>
    <xf numFmtId="49" fontId="26" fillId="0" borderId="805" xfId="0" applyNumberFormat="1" applyFont="1" applyBorder="1" applyAlignment="1">
      <alignment horizontal="left" vertical="center" indent="1"/>
    </xf>
    <xf numFmtId="49" fontId="131" fillId="0" borderId="806" xfId="0" applyNumberFormat="1" applyFont="1" applyBorder="1" applyAlignment="1">
      <alignment horizontal="center" vertical="center"/>
    </xf>
    <xf numFmtId="49" fontId="131" fillId="0" borderId="575" xfId="0" applyNumberFormat="1" applyFont="1" applyBorder="1" applyAlignment="1">
      <alignment horizontal="center" vertical="center"/>
    </xf>
    <xf numFmtId="0" fontId="26" fillId="0" borderId="575" xfId="0" applyFont="1" applyBorder="1" applyAlignment="1">
      <alignment horizontal="center" vertical="center"/>
    </xf>
    <xf numFmtId="165" fontId="117" fillId="0" borderId="575" xfId="0" applyNumberFormat="1" applyFont="1" applyBorder="1" applyAlignment="1">
      <alignment horizontal="right" vertical="center"/>
    </xf>
    <xf numFmtId="165" fontId="136" fillId="0" borderId="575" xfId="0" applyNumberFormat="1" applyFont="1" applyBorder="1" applyAlignment="1">
      <alignment horizontal="right" vertical="center"/>
    </xf>
    <xf numFmtId="0" fontId="26" fillId="4" borderId="575" xfId="0" applyFont="1" applyFill="1" applyBorder="1" applyAlignment="1">
      <alignment horizontal="center" vertical="center" wrapText="1"/>
    </xf>
    <xf numFmtId="49" fontId="26" fillId="4" borderId="575" xfId="0" applyNumberFormat="1" applyFont="1" applyFill="1" applyBorder="1" applyAlignment="1">
      <alignment horizontal="center" vertical="center"/>
    </xf>
    <xf numFmtId="49" fontId="26" fillId="0" borderId="804" xfId="0" applyNumberFormat="1" applyFont="1" applyBorder="1" applyAlignment="1">
      <alignment horizontal="left" vertical="center" wrapText="1" indent="1"/>
    </xf>
    <xf numFmtId="49" fontId="131" fillId="0" borderId="808" xfId="0" applyNumberFormat="1" applyFont="1" applyBorder="1" applyAlignment="1">
      <alignment horizontal="center" vertical="center" wrapText="1"/>
    </xf>
    <xf numFmtId="49" fontId="131" fillId="0" borderId="522" xfId="0" applyNumberFormat="1" applyFont="1" applyBorder="1" applyAlignment="1">
      <alignment horizontal="center" vertical="center"/>
    </xf>
    <xf numFmtId="0" fontId="26" fillId="0" borderId="522" xfId="0" applyFont="1" applyBorder="1" applyAlignment="1">
      <alignment horizontal="center" vertical="center"/>
    </xf>
    <xf numFmtId="0" fontId="26" fillId="4" borderId="522" xfId="0" applyFont="1" applyFill="1" applyBorder="1" applyAlignment="1">
      <alignment horizontal="center" vertical="center" wrapText="1"/>
    </xf>
    <xf numFmtId="49" fontId="26" fillId="4" borderId="809" xfId="0" applyNumberFormat="1" applyFont="1" applyFill="1" applyBorder="1" applyAlignment="1">
      <alignment horizontal="center" vertical="center"/>
    </xf>
    <xf numFmtId="49" fontId="135" fillId="0" borderId="575" xfId="0" applyNumberFormat="1" applyFont="1" applyBorder="1" applyAlignment="1">
      <alignment horizontal="center" vertical="center"/>
    </xf>
    <xf numFmtId="0" fontId="25" fillId="0" borderId="575" xfId="0" applyFont="1" applyBorder="1" applyAlignment="1">
      <alignment horizontal="left" vertical="center" indent="1"/>
    </xf>
    <xf numFmtId="49" fontId="38" fillId="4" borderId="813" xfId="0" applyNumberFormat="1" applyFont="1" applyFill="1" applyBorder="1" applyAlignment="1">
      <alignment horizontal="left" vertical="center" wrapText="1" indent="1"/>
    </xf>
    <xf numFmtId="0" fontId="114" fillId="0" borderId="114" xfId="0" applyFont="1" applyBorder="1" applyAlignment="1">
      <alignment horizontal="left" vertical="center" indent="1"/>
    </xf>
    <xf numFmtId="0" fontId="126" fillId="0" borderId="114" xfId="0" applyFont="1" applyBorder="1" applyAlignment="1">
      <alignment horizontal="left" vertical="center" wrapText="1" indent="1"/>
    </xf>
    <xf numFmtId="0" fontId="126" fillId="0" borderId="209" xfId="0" applyFont="1" applyBorder="1" applyAlignment="1">
      <alignment horizontal="left" vertical="center" wrapText="1" indent="1"/>
    </xf>
    <xf numFmtId="0" fontId="114" fillId="0" borderId="114" xfId="0" applyFont="1" applyBorder="1" applyAlignment="1">
      <alignment horizontal="left" vertical="center" wrapText="1" indent="1"/>
    </xf>
    <xf numFmtId="0" fontId="126" fillId="0" borderId="114" xfId="0" applyFont="1" applyBorder="1" applyAlignment="1">
      <alignment horizontal="left" vertical="center" indent="1"/>
    </xf>
    <xf numFmtId="0" fontId="126" fillId="0" borderId="358" xfId="0" applyFont="1" applyBorder="1" applyAlignment="1">
      <alignment horizontal="left" vertical="center" wrapText="1" indent="1"/>
    </xf>
    <xf numFmtId="0" fontId="126" fillId="0" borderId="575" xfId="0" applyFont="1" applyBorder="1" applyAlignment="1">
      <alignment horizontal="left" vertical="center" wrapText="1" indent="1"/>
    </xf>
    <xf numFmtId="0" fontId="11" fillId="2" borderId="418" xfId="0" applyFont="1" applyFill="1" applyBorder="1" applyAlignment="1">
      <alignment horizontal="left" vertical="center" indent="1"/>
    </xf>
    <xf numFmtId="0" fontId="11" fillId="2" borderId="382" xfId="0" applyFont="1" applyFill="1" applyBorder="1" applyAlignment="1">
      <alignment horizontal="left" vertical="center" indent="1"/>
    </xf>
    <xf numFmtId="0" fontId="38" fillId="4" borderId="45" xfId="0" applyFont="1" applyFill="1" applyBorder="1" applyAlignment="1">
      <alignment horizontal="left" vertical="center" indent="1"/>
    </xf>
    <xf numFmtId="0" fontId="26" fillId="4" borderId="45" xfId="0" applyFont="1" applyFill="1" applyBorder="1" applyAlignment="1">
      <alignment horizontal="left" vertical="center" indent="1"/>
    </xf>
    <xf numFmtId="0" fontId="26" fillId="4" borderId="28" xfId="0" applyFont="1" applyFill="1" applyBorder="1" applyAlignment="1">
      <alignment horizontal="left" vertical="center" indent="1"/>
    </xf>
    <xf numFmtId="0" fontId="26" fillId="4" borderId="33" xfId="0" applyFont="1" applyFill="1" applyBorder="1" applyAlignment="1">
      <alignment horizontal="left" vertical="center" indent="1"/>
    </xf>
    <xf numFmtId="0" fontId="38" fillId="4" borderId="229" xfId="0" applyFont="1" applyFill="1" applyBorder="1" applyAlignment="1">
      <alignment horizontal="left" vertical="center" indent="1"/>
    </xf>
    <xf numFmtId="0" fontId="26" fillId="4" borderId="230" xfId="0" applyFont="1" applyFill="1" applyBorder="1" applyAlignment="1">
      <alignment horizontal="left" vertical="center" indent="1"/>
    </xf>
    <xf numFmtId="0" fontId="38" fillId="4" borderId="141" xfId="0" applyFont="1" applyFill="1" applyBorder="1" applyAlignment="1">
      <alignment horizontal="left" vertical="center" wrapText="1" indent="1"/>
    </xf>
    <xf numFmtId="0" fontId="26" fillId="4" borderId="141" xfId="0" applyFont="1" applyFill="1" applyBorder="1" applyAlignment="1">
      <alignment horizontal="left" vertical="center" indent="1"/>
    </xf>
    <xf numFmtId="0" fontId="38" fillId="4" borderId="38" xfId="0" applyFont="1" applyFill="1" applyBorder="1" applyAlignment="1">
      <alignment horizontal="left" vertical="center" indent="1"/>
    </xf>
    <xf numFmtId="0" fontId="120" fillId="4" borderId="141" xfId="0" applyFont="1" applyFill="1" applyBorder="1" applyAlignment="1">
      <alignment horizontal="center" vertical="center"/>
    </xf>
    <xf numFmtId="0" fontId="131" fillId="4" borderId="260" xfId="0" applyFont="1" applyFill="1" applyBorder="1" applyAlignment="1">
      <alignment horizontal="center" vertical="center"/>
    </xf>
    <xf numFmtId="0" fontId="131" fillId="4" borderId="48" xfId="0" applyFont="1" applyFill="1" applyBorder="1" applyAlignment="1">
      <alignment horizontal="center" vertical="center" wrapText="1"/>
    </xf>
    <xf numFmtId="0" fontId="131" fillId="4" borderId="342" xfId="0" applyFont="1" applyFill="1" applyBorder="1" applyAlignment="1">
      <alignment horizontal="center" vertical="center"/>
    </xf>
    <xf numFmtId="0" fontId="135" fillId="4" borderId="342" xfId="0" applyFont="1" applyFill="1" applyBorder="1" applyAlignment="1">
      <alignment horizontal="center" vertical="center"/>
    </xf>
    <xf numFmtId="0" fontId="131" fillId="4" borderId="332" xfId="0" applyFont="1" applyFill="1" applyBorder="1" applyAlignment="1">
      <alignment horizontal="center" vertical="center"/>
    </xf>
    <xf numFmtId="0" fontId="131" fillId="4" borderId="333" xfId="0" applyFont="1" applyFill="1" applyBorder="1" applyAlignment="1">
      <alignment horizontal="center" vertical="center"/>
    </xf>
    <xf numFmtId="0" fontId="135" fillId="4" borderId="331" xfId="0" applyFont="1" applyFill="1" applyBorder="1" applyAlignment="1">
      <alignment horizontal="center" vertical="center"/>
    </xf>
    <xf numFmtId="0" fontId="131" fillId="4" borderId="34" xfId="0" applyFont="1" applyFill="1" applyBorder="1" applyAlignment="1">
      <alignment horizontal="center" vertical="center"/>
    </xf>
    <xf numFmtId="0" fontId="131" fillId="4" borderId="233" xfId="0" applyFont="1" applyFill="1" applyBorder="1" applyAlignment="1">
      <alignment horizontal="center" vertical="center"/>
    </xf>
    <xf numFmtId="39" fontId="131" fillId="4" borderId="141" xfId="0" applyNumberFormat="1" applyFont="1" applyFill="1" applyBorder="1" applyAlignment="1">
      <alignment horizontal="center" vertical="center" wrapText="1"/>
    </xf>
    <xf numFmtId="0" fontId="38" fillId="4" borderId="244" xfId="0" applyFont="1" applyFill="1" applyBorder="1" applyAlignment="1">
      <alignment horizontal="left" vertical="center" wrapText="1" indent="1"/>
    </xf>
    <xf numFmtId="39" fontId="26" fillId="4" borderId="141" xfId="0" applyNumberFormat="1" applyFont="1" applyFill="1" applyBorder="1" applyAlignment="1">
      <alignment horizontal="left" vertical="center" wrapText="1" indent="1"/>
    </xf>
    <xf numFmtId="0" fontId="26" fillId="4" borderId="149" xfId="0" applyFont="1" applyFill="1" applyBorder="1" applyAlignment="1">
      <alignment horizontal="left" vertical="center" wrapText="1" indent="1"/>
    </xf>
    <xf numFmtId="39" fontId="38" fillId="4" borderId="144" xfId="0" applyNumberFormat="1" applyFont="1" applyFill="1" applyBorder="1" applyAlignment="1">
      <alignment horizontal="left" vertical="center" wrapText="1" indent="1"/>
    </xf>
    <xf numFmtId="39" fontId="38" fillId="4" borderId="141" xfId="0" applyNumberFormat="1" applyFont="1" applyFill="1" applyBorder="1" applyAlignment="1">
      <alignment horizontal="left" vertical="center" wrapText="1" indent="1"/>
    </xf>
    <xf numFmtId="39" fontId="26" fillId="4" borderId="149" xfId="0" applyNumberFormat="1" applyFont="1" applyFill="1" applyBorder="1" applyAlignment="1">
      <alignment horizontal="left" vertical="center" wrapText="1" indent="1"/>
    </xf>
    <xf numFmtId="0" fontId="38" fillId="4" borderId="144" xfId="0" applyFont="1" applyFill="1" applyBorder="1" applyAlignment="1">
      <alignment horizontal="left" vertical="center" wrapText="1" indent="1"/>
    </xf>
    <xf numFmtId="0" fontId="26" fillId="4" borderId="141" xfId="0" applyFont="1" applyFill="1" applyBorder="1" applyAlignment="1">
      <alignment horizontal="left" vertical="center" wrapText="1" indent="1"/>
    </xf>
    <xf numFmtId="0" fontId="26" fillId="4" borderId="260" xfId="0" applyFont="1" applyFill="1" applyBorder="1" applyAlignment="1">
      <alignment horizontal="left" vertical="center" wrapText="1" indent="1"/>
    </xf>
    <xf numFmtId="0" fontId="38" fillId="4" borderId="49" xfId="0" applyFont="1" applyFill="1" applyBorder="1" applyAlignment="1">
      <alignment horizontal="left" vertical="center" wrapText="1" indent="1"/>
    </xf>
    <xf numFmtId="0" fontId="26" fillId="4" borderId="29" xfId="0" applyFont="1" applyFill="1" applyBorder="1" applyAlignment="1">
      <alignment horizontal="left" vertical="center" wrapText="1" indent="1"/>
    </xf>
    <xf numFmtId="0" fontId="26" fillId="4" borderId="49" xfId="0" applyFont="1" applyFill="1" applyBorder="1" applyAlignment="1">
      <alignment horizontal="left" vertical="center" wrapText="1" indent="1"/>
    </xf>
    <xf numFmtId="0" fontId="26" fillId="4" borderId="34" xfId="0" applyFont="1" applyFill="1" applyBorder="1" applyAlignment="1">
      <alignment horizontal="left" vertical="center" wrapText="1" indent="1"/>
    </xf>
    <xf numFmtId="0" fontId="38" fillId="4" borderId="39" xfId="0" applyFont="1" applyFill="1" applyBorder="1" applyAlignment="1">
      <alignment horizontal="left" vertical="center" wrapText="1" indent="1"/>
    </xf>
    <xf numFmtId="0" fontId="38" fillId="4" borderId="342" xfId="0" applyFont="1" applyFill="1" applyBorder="1" applyAlignment="1">
      <alignment horizontal="left" vertical="center" wrapText="1" indent="1"/>
    </xf>
    <xf numFmtId="0" fontId="26" fillId="4" borderId="48" xfId="0" applyFont="1" applyFill="1" applyBorder="1" applyAlignment="1">
      <alignment horizontal="left" vertical="center" wrapText="1" indent="1"/>
    </xf>
    <xf numFmtId="39" fontId="26" fillId="4" borderId="260" xfId="0" applyNumberFormat="1" applyFont="1" applyFill="1" applyBorder="1" applyAlignment="1">
      <alignment horizontal="left" vertical="center" wrapText="1" indent="1"/>
    </xf>
    <xf numFmtId="0" fontId="38" fillId="4" borderId="331" xfId="0" applyFont="1" applyFill="1" applyBorder="1" applyAlignment="1">
      <alignment horizontal="left" vertical="center" wrapText="1" indent="1"/>
    </xf>
    <xf numFmtId="37" fontId="117" fillId="4" borderId="244" xfId="0" applyNumberFormat="1" applyFont="1" applyFill="1" applyBorder="1" applyAlignment="1">
      <alignment horizontal="center" vertical="center"/>
    </xf>
    <xf numFmtId="3" fontId="117" fillId="4" borderId="141" xfId="0" applyNumberFormat="1" applyFont="1" applyFill="1" applyBorder="1" applyAlignment="1">
      <alignment horizontal="center" vertical="center"/>
    </xf>
    <xf numFmtId="39" fontId="136" fillId="4" borderId="144" xfId="0" applyNumberFormat="1" applyFont="1" applyFill="1" applyBorder="1" applyAlignment="1">
      <alignment horizontal="left" vertical="center" wrapText="1"/>
    </xf>
    <xf numFmtId="0" fontId="117" fillId="4" borderId="149" xfId="0" applyFont="1" applyFill="1" applyBorder="1" applyAlignment="1">
      <alignment horizontal="center" vertical="center" wrapText="1"/>
    </xf>
    <xf numFmtId="3" fontId="117" fillId="4" borderId="144" xfId="0" applyNumberFormat="1" applyFont="1" applyFill="1" applyBorder="1" applyAlignment="1">
      <alignment horizontal="center" vertical="center"/>
    </xf>
    <xf numFmtId="3" fontId="117" fillId="4" borderId="149" xfId="0" applyNumberFormat="1" applyFont="1" applyFill="1" applyBorder="1" applyAlignment="1">
      <alignment horizontal="center" vertical="center"/>
    </xf>
    <xf numFmtId="37" fontId="117" fillId="4" borderId="144" xfId="0" applyNumberFormat="1" applyFont="1" applyFill="1" applyBorder="1" applyAlignment="1">
      <alignment horizontal="center" vertical="center"/>
    </xf>
    <xf numFmtId="0" fontId="117" fillId="4" borderId="144" xfId="0" applyFont="1" applyFill="1" applyBorder="1" applyAlignment="1">
      <alignment horizontal="center" vertical="center" wrapText="1"/>
    </xf>
    <xf numFmtId="0" fontId="117" fillId="4" borderId="260" xfId="0" applyFont="1" applyFill="1" applyBorder="1" applyAlignment="1">
      <alignment horizontal="center" vertical="center" wrapText="1"/>
    </xf>
    <xf numFmtId="37" fontId="117" fillId="4" borderId="141" xfId="0" applyNumberFormat="1" applyFont="1" applyFill="1" applyBorder="1" applyAlignment="1">
      <alignment horizontal="center" vertical="center"/>
    </xf>
    <xf numFmtId="0" fontId="117" fillId="4" borderId="49" xfId="0" applyFont="1" applyFill="1" applyBorder="1" applyAlignment="1">
      <alignment horizontal="center" vertical="center" wrapText="1"/>
    </xf>
    <xf numFmtId="0" fontId="117" fillId="4" borderId="29" xfId="0" applyFont="1" applyFill="1" applyBorder="1" applyAlignment="1">
      <alignment horizontal="center" vertical="center" wrapText="1"/>
    </xf>
    <xf numFmtId="0" fontId="117" fillId="4" borderId="34" xfId="0" applyFont="1" applyFill="1" applyBorder="1" applyAlignment="1">
      <alignment horizontal="center" vertical="center" wrapText="1"/>
    </xf>
    <xf numFmtId="0" fontId="117" fillId="4" borderId="39" xfId="0" applyFont="1" applyFill="1" applyBorder="1" applyAlignment="1">
      <alignment horizontal="center" vertical="center" wrapText="1"/>
    </xf>
    <xf numFmtId="0" fontId="117" fillId="4" borderId="48" xfId="0" applyFont="1" applyFill="1" applyBorder="1" applyAlignment="1">
      <alignment horizontal="center" vertical="center" wrapText="1"/>
    </xf>
    <xf numFmtId="0" fontId="117" fillId="4" borderId="141" xfId="0" applyFont="1" applyFill="1" applyBorder="1" applyAlignment="1">
      <alignment vertical="center"/>
    </xf>
    <xf numFmtId="0" fontId="119" fillId="4" borderId="144" xfId="0" applyFont="1" applyFill="1" applyBorder="1" applyAlignment="1">
      <alignment horizontal="center" vertical="center" wrapText="1"/>
    </xf>
    <xf numFmtId="165" fontId="117" fillId="4" borderId="244" xfId="0" applyNumberFormat="1" applyFont="1" applyFill="1" applyBorder="1" applyAlignment="1">
      <alignment horizontal="right" vertical="center"/>
    </xf>
    <xf numFmtId="2" fontId="117" fillId="4" borderId="244" xfId="0" applyNumberFormat="1" applyFont="1" applyFill="1" applyBorder="1" applyAlignment="1">
      <alignment horizontal="right" vertical="center"/>
    </xf>
    <xf numFmtId="165" fontId="117" fillId="4" borderId="141" xfId="0" applyNumberFormat="1" applyFont="1" applyFill="1" applyBorder="1" applyAlignment="1">
      <alignment horizontal="right" vertical="center"/>
    </xf>
    <xf numFmtId="2" fontId="117" fillId="4" borderId="141" xfId="0" applyNumberFormat="1" applyFont="1" applyFill="1" applyBorder="1" applyAlignment="1">
      <alignment horizontal="right" vertical="center"/>
    </xf>
    <xf numFmtId="165" fontId="136" fillId="4" borderId="141" xfId="0" applyNumberFormat="1" applyFont="1" applyFill="1" applyBorder="1" applyAlignment="1">
      <alignment vertical="center"/>
    </xf>
    <xf numFmtId="39" fontId="117" fillId="4" borderId="144" xfId="0" applyNumberFormat="1" applyFont="1" applyFill="1" applyBorder="1" applyAlignment="1">
      <alignment horizontal="center" vertical="center"/>
    </xf>
    <xf numFmtId="165" fontId="117" fillId="4" borderId="144" xfId="0" applyNumberFormat="1" applyFont="1" applyFill="1" applyBorder="1" applyAlignment="1">
      <alignment horizontal="right" vertical="center"/>
    </xf>
    <xf numFmtId="2" fontId="117" fillId="4" borderId="144" xfId="0" applyNumberFormat="1" applyFont="1" applyFill="1" applyBorder="1" applyAlignment="1">
      <alignment horizontal="right" vertical="center"/>
    </xf>
    <xf numFmtId="165" fontId="136" fillId="4" borderId="144" xfId="0" applyNumberFormat="1" applyFont="1" applyFill="1" applyBorder="1" applyAlignment="1">
      <alignment horizontal="right" vertical="center"/>
    </xf>
    <xf numFmtId="2" fontId="117" fillId="0" borderId="141" xfId="0" applyNumberFormat="1" applyFont="1" applyBorder="1" applyAlignment="1">
      <alignment horizontal="right" vertical="center" wrapText="1"/>
    </xf>
    <xf numFmtId="39" fontId="117" fillId="4" borderId="141" xfId="0" applyNumberFormat="1" applyFont="1" applyFill="1" applyBorder="1" applyAlignment="1">
      <alignment horizontal="center" vertical="center"/>
    </xf>
    <xf numFmtId="165" fontId="117" fillId="4" borderId="149" xfId="0" applyNumberFormat="1" applyFont="1" applyFill="1" applyBorder="1" applyAlignment="1">
      <alignment vertical="center"/>
    </xf>
    <xf numFmtId="2" fontId="117" fillId="4" borderId="149" xfId="0" applyNumberFormat="1" applyFont="1" applyFill="1" applyBorder="1" applyAlignment="1">
      <alignment vertical="center"/>
    </xf>
    <xf numFmtId="165" fontId="136" fillId="4" borderId="149" xfId="0" applyNumberFormat="1" applyFont="1" applyFill="1" applyBorder="1" applyAlignment="1">
      <alignment vertical="center"/>
    </xf>
    <xf numFmtId="165" fontId="136" fillId="4" borderId="141" xfId="0" applyNumberFormat="1" applyFont="1" applyFill="1" applyBorder="1" applyAlignment="1">
      <alignment horizontal="right" vertical="center"/>
    </xf>
    <xf numFmtId="165" fontId="117" fillId="4" borderId="149" xfId="0" applyNumberFormat="1" applyFont="1" applyFill="1" applyBorder="1" applyAlignment="1">
      <alignment horizontal="right" vertical="center"/>
    </xf>
    <xf numFmtId="2" fontId="117" fillId="4" borderId="149" xfId="0" applyNumberFormat="1" applyFont="1" applyFill="1" applyBorder="1" applyAlignment="1">
      <alignment horizontal="right" vertical="center"/>
    </xf>
    <xf numFmtId="39" fontId="117" fillId="4" borderId="149" xfId="0" applyNumberFormat="1" applyFont="1" applyFill="1" applyBorder="1" applyAlignment="1">
      <alignment horizontal="center" vertical="center"/>
    </xf>
    <xf numFmtId="2" fontId="117" fillId="4" borderId="141" xfId="0" applyNumberFormat="1" applyFont="1" applyFill="1" applyBorder="1" applyAlignment="1">
      <alignment vertical="center"/>
    </xf>
    <xf numFmtId="165" fontId="136" fillId="4" borderId="149" xfId="0" applyNumberFormat="1" applyFont="1" applyFill="1" applyBorder="1" applyAlignment="1">
      <alignment horizontal="right" vertical="center"/>
    </xf>
    <xf numFmtId="49" fontId="117" fillId="4" borderId="34" xfId="0" applyNumberFormat="1" applyFont="1" applyFill="1" applyBorder="1" applyAlignment="1">
      <alignment horizontal="center" vertical="center"/>
    </xf>
    <xf numFmtId="165" fontId="117" fillId="4" borderId="144" xfId="0" applyNumberFormat="1" applyFont="1" applyFill="1" applyBorder="1" applyAlignment="1">
      <alignment vertical="center"/>
    </xf>
    <xf numFmtId="2" fontId="117" fillId="4" borderId="144" xfId="0" applyNumberFormat="1" applyFont="1" applyFill="1" applyBorder="1" applyAlignment="1">
      <alignment vertical="center"/>
    </xf>
    <xf numFmtId="165" fontId="117" fillId="4" borderId="260" xfId="0" applyNumberFormat="1" applyFont="1" applyFill="1" applyBorder="1" applyAlignment="1">
      <alignment vertical="center"/>
    </xf>
    <xf numFmtId="2" fontId="117" fillId="4" borderId="260" xfId="0" applyNumberFormat="1" applyFont="1" applyFill="1" applyBorder="1" applyAlignment="1">
      <alignment vertical="center"/>
    </xf>
    <xf numFmtId="165" fontId="136" fillId="4" borderId="260" xfId="0" applyNumberFormat="1" applyFont="1" applyFill="1" applyBorder="1" applyAlignment="1">
      <alignment vertical="center"/>
    </xf>
    <xf numFmtId="165" fontId="136" fillId="4" borderId="144" xfId="0" applyNumberFormat="1" applyFont="1" applyFill="1" applyBorder="1" applyAlignment="1">
      <alignment vertical="center"/>
    </xf>
    <xf numFmtId="165" fontId="117" fillId="4" borderId="49" xfId="0" applyNumberFormat="1" applyFont="1" applyFill="1" applyBorder="1" applyAlignment="1">
      <alignment vertical="center"/>
    </xf>
    <xf numFmtId="2" fontId="117" fillId="4" borderId="39" xfId="0" applyNumberFormat="1" applyFont="1" applyFill="1" applyBorder="1" applyAlignment="1">
      <alignment vertical="center"/>
    </xf>
    <xf numFmtId="165" fontId="136" fillId="4" borderId="39" xfId="0" applyNumberFormat="1" applyFont="1" applyFill="1" applyBorder="1" applyAlignment="1">
      <alignment vertical="center"/>
    </xf>
    <xf numFmtId="165" fontId="117" fillId="4" borderId="29" xfId="0" applyNumberFormat="1" applyFont="1" applyFill="1" applyBorder="1" applyAlignment="1">
      <alignment vertical="center"/>
    </xf>
    <xf numFmtId="2" fontId="117" fillId="4" borderId="29" xfId="0" applyNumberFormat="1" applyFont="1" applyFill="1" applyBorder="1" applyAlignment="1">
      <alignment vertical="center"/>
    </xf>
    <xf numFmtId="165" fontId="136" fillId="4" borderId="29" xfId="0" applyNumberFormat="1" applyFont="1" applyFill="1" applyBorder="1" applyAlignment="1">
      <alignment vertical="center"/>
    </xf>
    <xf numFmtId="165" fontId="117" fillId="4" borderId="34" xfId="0" applyNumberFormat="1" applyFont="1" applyFill="1" applyBorder="1" applyAlignment="1">
      <alignment vertical="center"/>
    </xf>
    <xf numFmtId="2" fontId="117" fillId="4" borderId="34" xfId="0" applyNumberFormat="1" applyFont="1" applyFill="1" applyBorder="1" applyAlignment="1">
      <alignment vertical="center"/>
    </xf>
    <xf numFmtId="165" fontId="136" fillId="4" borderId="34" xfId="0" applyNumberFormat="1" applyFont="1" applyFill="1" applyBorder="1" applyAlignment="1">
      <alignment vertical="center"/>
    </xf>
    <xf numFmtId="165" fontId="117" fillId="4" borderId="39" xfId="0" applyNumberFormat="1" applyFont="1" applyFill="1" applyBorder="1" applyAlignment="1">
      <alignment vertical="center"/>
    </xf>
    <xf numFmtId="2" fontId="117" fillId="4" borderId="49" xfId="0" applyNumberFormat="1" applyFont="1" applyFill="1" applyBorder="1" applyAlignment="1">
      <alignment vertical="center"/>
    </xf>
    <xf numFmtId="165" fontId="136" fillId="4" borderId="49" xfId="0" applyNumberFormat="1" applyFont="1" applyFill="1" applyBorder="1" applyAlignment="1">
      <alignment vertical="center"/>
    </xf>
    <xf numFmtId="165" fontId="117" fillId="4" borderId="48" xfId="0" applyNumberFormat="1" applyFont="1" applyFill="1" applyBorder="1" applyAlignment="1">
      <alignment vertical="center"/>
    </xf>
    <xf numFmtId="165" fontId="136" fillId="4" borderId="48" xfId="0" applyNumberFormat="1" applyFont="1" applyFill="1" applyBorder="1" applyAlignment="1">
      <alignment vertical="center"/>
    </xf>
    <xf numFmtId="165" fontId="117" fillId="4" borderId="231" xfId="0" applyNumberFormat="1" applyFont="1" applyFill="1" applyBorder="1" applyAlignment="1">
      <alignment vertical="center"/>
    </xf>
    <xf numFmtId="165" fontId="136" fillId="4" borderId="332" xfId="0" applyNumberFormat="1" applyFont="1" applyFill="1" applyBorder="1" applyAlignment="1">
      <alignment vertical="center"/>
    </xf>
    <xf numFmtId="165" fontId="117" fillId="4" borderId="177" xfId="0" applyNumberFormat="1" applyFont="1" applyFill="1" applyBorder="1" applyAlignment="1">
      <alignment vertical="center"/>
    </xf>
    <xf numFmtId="2" fontId="117" fillId="4" borderId="177" xfId="0" applyNumberFormat="1" applyFont="1" applyFill="1" applyBorder="1" applyAlignment="1">
      <alignment vertical="center"/>
    </xf>
    <xf numFmtId="165" fontId="119" fillId="4" borderId="144" xfId="0" applyNumberFormat="1" applyFont="1" applyFill="1" applyBorder="1" applyAlignment="1">
      <alignment vertical="center"/>
    </xf>
    <xf numFmtId="165" fontId="122" fillId="4" borderId="144" xfId="0" applyNumberFormat="1" applyFont="1" applyFill="1" applyBorder="1" applyAlignment="1">
      <alignment vertical="center"/>
    </xf>
    <xf numFmtId="2" fontId="117" fillId="4" borderId="244" xfId="0" applyNumberFormat="1" applyFont="1" applyFill="1" applyBorder="1" applyAlignment="1">
      <alignment vertical="center"/>
    </xf>
    <xf numFmtId="0" fontId="131" fillId="4" borderId="814" xfId="0" applyFont="1" applyFill="1" applyBorder="1" applyAlignment="1">
      <alignment horizontal="center" vertical="center"/>
    </xf>
    <xf numFmtId="0" fontId="117" fillId="4" borderId="244" xfId="0" applyFont="1" applyFill="1" applyBorder="1" applyAlignment="1">
      <alignment horizontal="center" vertical="center" wrapText="1"/>
    </xf>
    <xf numFmtId="165" fontId="117" fillId="4" borderId="244" xfId="0" applyNumberFormat="1" applyFont="1" applyFill="1" applyBorder="1" applyAlignment="1">
      <alignment vertical="center"/>
    </xf>
    <xf numFmtId="165" fontId="136" fillId="4" borderId="244" xfId="0" applyNumberFormat="1" applyFont="1" applyFill="1" applyBorder="1" applyAlignment="1">
      <alignment horizontal="right" vertical="center"/>
    </xf>
    <xf numFmtId="0" fontId="26" fillId="4" borderId="316" xfId="0" applyFont="1" applyFill="1" applyBorder="1" applyAlignment="1">
      <alignment horizontal="center" vertical="center" wrapText="1"/>
    </xf>
    <xf numFmtId="0" fontId="26" fillId="4" borderId="245" xfId="0" applyFont="1" applyFill="1" applyBorder="1" applyAlignment="1">
      <alignment horizontal="left" vertical="center" indent="1"/>
    </xf>
    <xf numFmtId="0" fontId="26" fillId="4" borderId="524" xfId="0" applyFont="1" applyFill="1" applyBorder="1" applyAlignment="1">
      <alignment horizontal="left" vertical="center" indent="1"/>
    </xf>
    <xf numFmtId="0" fontId="131" fillId="4" borderId="522" xfId="0" applyFont="1" applyFill="1" applyBorder="1" applyAlignment="1">
      <alignment horizontal="center" vertical="center"/>
    </xf>
    <xf numFmtId="39" fontId="26" fillId="4" borderId="522" xfId="0" applyNumberFormat="1" applyFont="1" applyFill="1" applyBorder="1" applyAlignment="1">
      <alignment horizontal="left" vertical="center" wrapText="1" indent="1"/>
    </xf>
    <xf numFmtId="0" fontId="117" fillId="4" borderId="522" xfId="0" applyFont="1" applyFill="1" applyBorder="1" applyAlignment="1">
      <alignment horizontal="center" vertical="center" wrapText="1"/>
    </xf>
    <xf numFmtId="165" fontId="117" fillId="4" borderId="522" xfId="0" applyNumberFormat="1" applyFont="1" applyFill="1" applyBorder="1" applyAlignment="1">
      <alignment vertical="center"/>
    </xf>
    <xf numFmtId="2" fontId="117" fillId="4" borderId="522" xfId="0" applyNumberFormat="1" applyFont="1" applyFill="1" applyBorder="1" applyAlignment="1">
      <alignment vertical="center"/>
    </xf>
    <xf numFmtId="0" fontId="117" fillId="4" borderId="522" xfId="0" applyFont="1" applyFill="1" applyBorder="1" applyAlignment="1">
      <alignment vertical="center"/>
    </xf>
    <xf numFmtId="0" fontId="26" fillId="4" borderId="522" xfId="0" applyFont="1" applyFill="1" applyBorder="1" applyAlignment="1">
      <alignment vertical="center"/>
    </xf>
    <xf numFmtId="0" fontId="26" fillId="4" borderId="522" xfId="0" applyFont="1" applyFill="1" applyBorder="1" applyAlignment="1">
      <alignment horizontal="center" vertical="center"/>
    </xf>
    <xf numFmtId="49" fontId="26" fillId="4" borderId="577" xfId="0" applyNumberFormat="1" applyFont="1" applyFill="1" applyBorder="1" applyAlignment="1">
      <alignment horizontal="center" vertical="center"/>
    </xf>
    <xf numFmtId="39" fontId="38" fillId="4" borderId="244" xfId="0" applyNumberFormat="1" applyFont="1" applyFill="1" applyBorder="1" applyAlignment="1">
      <alignment horizontal="left" vertical="center" wrapText="1" indent="1"/>
    </xf>
    <xf numFmtId="0" fontId="117" fillId="4" borderId="244" xfId="0" applyFont="1" applyFill="1" applyBorder="1" applyAlignment="1">
      <alignment vertical="center"/>
    </xf>
    <xf numFmtId="0" fontId="26" fillId="4" borderId="244" xfId="0" applyFont="1" applyFill="1" applyBorder="1" applyAlignment="1">
      <alignment horizontal="center" vertical="center"/>
    </xf>
    <xf numFmtId="0" fontId="131" fillId="4" borderId="815" xfId="0" applyFont="1" applyFill="1" applyBorder="1" applyAlignment="1">
      <alignment horizontal="center" vertical="center"/>
    </xf>
    <xf numFmtId="2" fontId="117" fillId="0" borderId="522" xfId="0" applyNumberFormat="1" applyFont="1" applyBorder="1" applyAlignment="1">
      <alignment horizontal="right" vertical="center" wrapText="1"/>
    </xf>
    <xf numFmtId="0" fontId="131" fillId="4" borderId="316" xfId="0" applyFont="1" applyFill="1" applyBorder="1" applyAlignment="1">
      <alignment horizontal="center" vertical="center"/>
    </xf>
    <xf numFmtId="0" fontId="25" fillId="4" borderId="244" xfId="0" applyFont="1" applyFill="1" applyBorder="1" applyAlignment="1">
      <alignment horizontal="left" vertical="center" wrapText="1" indent="1"/>
    </xf>
    <xf numFmtId="0" fontId="119" fillId="4" borderId="244" xfId="0" applyFont="1" applyFill="1" applyBorder="1" applyAlignment="1">
      <alignment horizontal="center" vertical="center" wrapText="1"/>
    </xf>
    <xf numFmtId="165" fontId="119" fillId="4" borderId="244" xfId="0" applyNumberFormat="1" applyFont="1" applyFill="1" applyBorder="1" applyAlignment="1">
      <alignment vertical="center"/>
    </xf>
    <xf numFmtId="2" fontId="119" fillId="4" borderId="244" xfId="0" applyNumberFormat="1" applyFont="1" applyFill="1" applyBorder="1" applyAlignment="1">
      <alignment vertical="center"/>
    </xf>
    <xf numFmtId="165" fontId="122" fillId="4" borderId="244" xfId="0" applyNumberFormat="1" applyFont="1" applyFill="1" applyBorder="1" applyAlignment="1">
      <alignment vertical="center"/>
    </xf>
    <xf numFmtId="0" fontId="135" fillId="4" borderId="522" xfId="0" applyFont="1" applyFill="1" applyBorder="1" applyAlignment="1">
      <alignment horizontal="center" vertical="center"/>
    </xf>
    <xf numFmtId="0" fontId="117" fillId="4" borderId="577" xfId="0" applyFont="1" applyFill="1" applyBorder="1" applyAlignment="1">
      <alignment horizontal="center" vertical="center" wrapText="1"/>
    </xf>
    <xf numFmtId="165" fontId="117" fillId="4" borderId="816" xfId="0" applyNumberFormat="1" applyFont="1" applyFill="1" applyBorder="1" applyAlignment="1">
      <alignment vertical="center"/>
    </xf>
    <xf numFmtId="165" fontId="136" fillId="4" borderId="522" xfId="0" applyNumberFormat="1" applyFont="1" applyFill="1" applyBorder="1" applyAlignment="1">
      <alignment vertical="center"/>
    </xf>
    <xf numFmtId="49" fontId="26" fillId="4" borderId="573" xfId="0" applyNumberFormat="1" applyFont="1" applyFill="1" applyBorder="1" applyAlignment="1">
      <alignment horizontal="center" vertical="center"/>
    </xf>
    <xf numFmtId="0" fontId="134" fillId="4" borderId="141" xfId="0" applyFont="1" applyFill="1" applyBorder="1" applyAlignment="1">
      <alignment horizontal="left" vertical="center" wrapText="1" indent="1"/>
    </xf>
    <xf numFmtId="39" fontId="134" fillId="4" borderId="144" xfId="0" applyNumberFormat="1" applyFont="1" applyFill="1" applyBorder="1" applyAlignment="1">
      <alignment horizontal="left" vertical="center" wrapText="1" indent="1"/>
    </xf>
    <xf numFmtId="39" fontId="134" fillId="4" borderId="244" xfId="0" applyNumberFormat="1" applyFont="1" applyFill="1" applyBorder="1" applyAlignment="1">
      <alignment horizontal="left" vertical="center" wrapText="1" indent="1"/>
    </xf>
    <xf numFmtId="2" fontId="11" fillId="2" borderId="611" xfId="0" applyNumberFormat="1" applyFont="1" applyFill="1" applyBorder="1" applyAlignment="1">
      <alignment horizontal="center" vertical="center"/>
    </xf>
    <xf numFmtId="165" fontId="11" fillId="2" borderId="818" xfId="0" applyNumberFormat="1" applyFont="1" applyFill="1" applyBorder="1" applyAlignment="1">
      <alignment horizontal="center" vertical="center"/>
    </xf>
    <xf numFmtId="0" fontId="26" fillId="4" borderId="821" xfId="0" applyFont="1" applyFill="1" applyBorder="1" applyAlignment="1">
      <alignment horizontal="left" vertical="center" indent="1"/>
    </xf>
    <xf numFmtId="0" fontId="38" fillId="4" borderId="275" xfId="0" applyFont="1" applyFill="1" applyBorder="1" applyAlignment="1">
      <alignment horizontal="left" vertical="center" indent="1"/>
    </xf>
    <xf numFmtId="0" fontId="38" fillId="4" borderId="524" xfId="0" applyFont="1" applyFill="1" applyBorder="1" applyAlignment="1">
      <alignment horizontal="left" vertical="center" wrapText="1" indent="1"/>
    </xf>
    <xf numFmtId="0" fontId="38" fillId="4" borderId="30" xfId="0" applyFont="1" applyFill="1" applyBorder="1" applyAlignment="1">
      <alignment horizontal="left" vertical="center" indent="1"/>
    </xf>
    <xf numFmtId="0" fontId="26" fillId="4" borderId="38" xfId="0" applyFont="1" applyFill="1" applyBorder="1" applyAlignment="1">
      <alignment horizontal="left" vertical="center" indent="1"/>
    </xf>
    <xf numFmtId="0" fontId="38" fillId="4" borderId="822" xfId="0" applyFont="1" applyFill="1" applyBorder="1" applyAlignment="1">
      <alignment horizontal="left" vertical="center" indent="1"/>
    </xf>
    <xf numFmtId="0" fontId="38" fillId="4" borderId="247" xfId="0" applyFont="1" applyFill="1" applyBorder="1" applyAlignment="1">
      <alignment horizontal="left" vertical="center" indent="1"/>
    </xf>
    <xf numFmtId="0" fontId="26" fillId="4" borderId="246" xfId="0" applyFont="1" applyFill="1" applyBorder="1" applyAlignment="1">
      <alignment horizontal="left" vertical="center" indent="1"/>
    </xf>
    <xf numFmtId="0" fontId="26" fillId="4" borderId="314" xfId="0" applyFont="1" applyFill="1" applyBorder="1" applyAlignment="1">
      <alignment horizontal="left" vertical="center" indent="1"/>
    </xf>
    <xf numFmtId="0" fontId="38" fillId="4" borderId="245" xfId="0" applyFont="1" applyFill="1" applyBorder="1" applyAlignment="1">
      <alignment horizontal="left" vertical="center" indent="1"/>
    </xf>
    <xf numFmtId="0" fontId="26" fillId="4" borderId="271" xfId="0" applyFont="1" applyFill="1" applyBorder="1" applyAlignment="1">
      <alignment horizontal="left" vertical="center" indent="1"/>
    </xf>
    <xf numFmtId="0" fontId="26" fillId="4" borderId="823" xfId="0" applyFont="1" applyFill="1" applyBorder="1" applyAlignment="1">
      <alignment horizontal="left" vertical="center" indent="1"/>
    </xf>
    <xf numFmtId="0" fontId="26" fillId="4" borderId="247" xfId="0" applyFont="1" applyFill="1" applyBorder="1" applyAlignment="1">
      <alignment horizontal="left" vertical="center" indent="1"/>
    </xf>
    <xf numFmtId="0" fontId="38" fillId="4" borderId="820" xfId="0" applyFont="1" applyFill="1" applyBorder="1" applyAlignment="1">
      <alignment horizontal="left" vertical="center" wrapText="1" indent="1"/>
    </xf>
    <xf numFmtId="0" fontId="38" fillId="4" borderId="275" xfId="0" applyFont="1" applyFill="1" applyBorder="1" applyAlignment="1">
      <alignment horizontal="left" vertical="center" wrapText="1" indent="1"/>
    </xf>
    <xf numFmtId="0" fontId="38" fillId="4" borderId="245" xfId="0" applyFont="1" applyFill="1" applyBorder="1" applyAlignment="1">
      <alignment horizontal="left" vertical="center" wrapText="1" indent="1"/>
    </xf>
    <xf numFmtId="0" fontId="12" fillId="2" borderId="672" xfId="0" applyFont="1" applyFill="1" applyBorder="1" applyAlignment="1">
      <alignment horizontal="center" vertical="center" wrapText="1"/>
    </xf>
    <xf numFmtId="0" fontId="11" fillId="12" borderId="418" xfId="0" applyFont="1" applyFill="1" applyBorder="1" applyAlignment="1">
      <alignment horizontal="left" vertical="center" indent="1"/>
    </xf>
    <xf numFmtId="0" fontId="24" fillId="4" borderId="245" xfId="0" applyFont="1" applyFill="1" applyBorder="1" applyAlignment="1">
      <alignment horizontal="left" vertical="center" indent="1"/>
    </xf>
    <xf numFmtId="0" fontId="24" fillId="4" borderId="245" xfId="0" applyFont="1" applyFill="1" applyBorder="1" applyAlignment="1">
      <alignment horizontal="left" vertical="center" wrapText="1" indent="1"/>
    </xf>
    <xf numFmtId="0" fontId="25" fillId="4" borderId="246" xfId="0" applyFont="1" applyFill="1" applyBorder="1" applyAlignment="1">
      <alignment horizontal="left" vertical="center" indent="1"/>
    </xf>
    <xf numFmtId="0" fontId="24" fillId="4" borderId="247" xfId="0" applyFont="1" applyFill="1" applyBorder="1" applyAlignment="1">
      <alignment horizontal="left" vertical="center" wrapText="1" indent="1"/>
    </xf>
    <xf numFmtId="0" fontId="25" fillId="4" borderId="245" xfId="0" applyFont="1" applyFill="1" applyBorder="1" applyAlignment="1">
      <alignment horizontal="left" vertical="center" indent="1"/>
    </xf>
    <xf numFmtId="0" fontId="24" fillId="4" borderId="246" xfId="0" applyFont="1" applyFill="1" applyBorder="1" applyAlignment="1">
      <alignment horizontal="left" vertical="center" indent="1"/>
    </xf>
    <xf numFmtId="0" fontId="25" fillId="4" borderId="271" xfId="0" applyFont="1" applyFill="1" applyBorder="1" applyAlignment="1">
      <alignment horizontal="left" vertical="center" indent="1"/>
    </xf>
    <xf numFmtId="0" fontId="24" fillId="4" borderId="275" xfId="0" applyFont="1" applyFill="1" applyBorder="1" applyAlignment="1">
      <alignment horizontal="left" vertical="center" indent="1"/>
    </xf>
    <xf numFmtId="0" fontId="24" fillId="4" borderId="271" xfId="0" applyFont="1" applyFill="1" applyBorder="1" applyAlignment="1">
      <alignment horizontal="left" vertical="center" indent="1"/>
    </xf>
    <xf numFmtId="0" fontId="25" fillId="4" borderId="247" xfId="0" applyFont="1" applyFill="1" applyBorder="1" applyAlignment="1">
      <alignment horizontal="left" vertical="center" indent="1"/>
    </xf>
    <xf numFmtId="0" fontId="25" fillId="4" borderId="275" xfId="0" applyFont="1" applyFill="1" applyBorder="1" applyAlignment="1">
      <alignment horizontal="left" vertical="center" indent="1"/>
    </xf>
    <xf numFmtId="0" fontId="113" fillId="4" borderId="149" xfId="0" applyFont="1" applyFill="1" applyBorder="1" applyAlignment="1">
      <alignment horizontal="center" vertical="center"/>
    </xf>
    <xf numFmtId="0" fontId="120" fillId="4" borderId="144" xfId="0" applyFont="1" applyFill="1" applyBorder="1" applyAlignment="1">
      <alignment horizontal="center" vertical="center"/>
    </xf>
    <xf numFmtId="0" fontId="113" fillId="4" borderId="141" xfId="0" applyFont="1" applyFill="1" applyBorder="1" applyAlignment="1">
      <alignment horizontal="center" vertical="center"/>
    </xf>
    <xf numFmtId="0" fontId="120" fillId="4" borderId="149" xfId="0" applyFont="1" applyFill="1" applyBorder="1" applyAlignment="1">
      <alignment horizontal="center" vertical="center"/>
    </xf>
    <xf numFmtId="0" fontId="113" fillId="4" borderId="260" xfId="0" applyFont="1" applyFill="1" applyBorder="1" applyAlignment="1">
      <alignment horizontal="center" vertical="center"/>
    </xf>
    <xf numFmtId="0" fontId="120" fillId="4" borderId="244" xfId="0" applyFont="1" applyFill="1" applyBorder="1" applyAlignment="1">
      <alignment horizontal="center" vertical="center"/>
    </xf>
    <xf numFmtId="0" fontId="120" fillId="4" borderId="274" xfId="0" applyFont="1" applyFill="1" applyBorder="1" applyAlignment="1">
      <alignment horizontal="center" vertical="center"/>
    </xf>
    <xf numFmtId="0" fontId="113" fillId="4" borderId="244" xfId="0" applyFont="1" applyFill="1" applyBorder="1" applyAlignment="1">
      <alignment horizontal="center" vertical="center"/>
    </xf>
    <xf numFmtId="0" fontId="120" fillId="4" borderId="260" xfId="0" applyFont="1" applyFill="1" applyBorder="1" applyAlignment="1">
      <alignment horizontal="center" vertical="center"/>
    </xf>
    <xf numFmtId="0" fontId="113" fillId="4" borderId="144" xfId="0" applyFont="1" applyFill="1" applyBorder="1" applyAlignment="1">
      <alignment horizontal="center" vertical="center"/>
    </xf>
    <xf numFmtId="39" fontId="25" fillId="4" borderId="141" xfId="0" applyNumberFormat="1" applyFont="1" applyFill="1" applyBorder="1" applyAlignment="1">
      <alignment horizontal="left" vertical="center" wrapText="1" indent="1"/>
    </xf>
    <xf numFmtId="0" fontId="25" fillId="4" borderId="149" xfId="0" applyFont="1" applyFill="1" applyBorder="1" applyAlignment="1">
      <alignment horizontal="left" vertical="center" wrapText="1" indent="1"/>
    </xf>
    <xf numFmtId="39" fontId="24" fillId="4" borderId="144" xfId="0" applyNumberFormat="1" applyFont="1" applyFill="1" applyBorder="1" applyAlignment="1">
      <alignment horizontal="left" vertical="center" wrapText="1" indent="1"/>
    </xf>
    <xf numFmtId="39" fontId="25" fillId="4" borderId="149" xfId="0" applyNumberFormat="1" applyFont="1" applyFill="1" applyBorder="1" applyAlignment="1">
      <alignment horizontal="left" vertical="center" wrapText="1" indent="1"/>
    </xf>
    <xf numFmtId="39" fontId="25" fillId="4" borderId="260" xfId="0" applyNumberFormat="1" applyFont="1" applyFill="1" applyBorder="1" applyAlignment="1">
      <alignment horizontal="left" vertical="center" wrapText="1" indent="1"/>
    </xf>
    <xf numFmtId="0" fontId="25" fillId="4" borderId="141" xfId="0" applyFont="1" applyFill="1" applyBorder="1" applyAlignment="1">
      <alignment horizontal="left" vertical="center" wrapText="1" indent="1"/>
    </xf>
    <xf numFmtId="0" fontId="24" fillId="4" borderId="244" xfId="0" applyFont="1" applyFill="1" applyBorder="1" applyAlignment="1">
      <alignment horizontal="left" vertical="center" wrapText="1" indent="1"/>
    </xf>
    <xf numFmtId="0" fontId="24" fillId="4" borderId="144" xfId="0" applyFont="1" applyFill="1" applyBorder="1" applyAlignment="1">
      <alignment horizontal="left" vertical="center" wrapText="1" indent="1"/>
    </xf>
    <xf numFmtId="0" fontId="25" fillId="4" borderId="260" xfId="0" applyFont="1" applyFill="1" applyBorder="1" applyAlignment="1">
      <alignment horizontal="left" vertical="center" wrapText="1" indent="1"/>
    </xf>
    <xf numFmtId="39" fontId="25" fillId="4" borderId="144" xfId="0" applyNumberFormat="1" applyFont="1" applyFill="1" applyBorder="1" applyAlignment="1">
      <alignment horizontal="left" vertical="center" wrapText="1" indent="1"/>
    </xf>
    <xf numFmtId="0" fontId="26" fillId="0" borderId="375" xfId="0" applyFont="1" applyBorder="1" applyAlignment="1">
      <alignment horizontal="left" indent="1"/>
    </xf>
    <xf numFmtId="39" fontId="25" fillId="4" borderId="244" xfId="0" applyNumberFormat="1" applyFont="1" applyFill="1" applyBorder="1" applyAlignment="1">
      <alignment horizontal="left" vertical="center" wrapText="1" indent="1"/>
    </xf>
    <xf numFmtId="0" fontId="119" fillId="4" borderId="149" xfId="0" applyFont="1" applyFill="1" applyBorder="1" applyAlignment="1">
      <alignment horizontal="center" vertical="center" wrapText="1"/>
    </xf>
    <xf numFmtId="0" fontId="119" fillId="4" borderId="141" xfId="0" applyFont="1" applyFill="1" applyBorder="1" applyAlignment="1">
      <alignment horizontal="center" vertical="center" wrapText="1"/>
    </xf>
    <xf numFmtId="0" fontId="119" fillId="4" borderId="260" xfId="0" applyFont="1" applyFill="1" applyBorder="1" applyAlignment="1">
      <alignment horizontal="center" vertical="center" wrapText="1"/>
    </xf>
    <xf numFmtId="165" fontId="122" fillId="4" borderId="141" xfId="0" applyNumberFormat="1" applyFont="1" applyFill="1" applyBorder="1" applyAlignment="1">
      <alignment vertical="center"/>
    </xf>
    <xf numFmtId="165" fontId="119" fillId="4" borderId="149" xfId="0" applyNumberFormat="1" applyFont="1" applyFill="1" applyBorder="1" applyAlignment="1">
      <alignment vertical="center"/>
    </xf>
    <xf numFmtId="165" fontId="122" fillId="4" borderId="149" xfId="0" applyNumberFormat="1" applyFont="1" applyFill="1" applyBorder="1" applyAlignment="1">
      <alignment vertical="center"/>
    </xf>
    <xf numFmtId="165" fontId="119" fillId="4" borderId="141" xfId="0" applyNumberFormat="1" applyFont="1" applyFill="1" applyBorder="1" applyAlignment="1">
      <alignment vertical="center"/>
    </xf>
    <xf numFmtId="49" fontId="117" fillId="4" borderId="29" xfId="0" applyNumberFormat="1" applyFont="1" applyFill="1" applyBorder="1" applyAlignment="1">
      <alignment horizontal="center" vertical="center"/>
    </xf>
    <xf numFmtId="165" fontId="119" fillId="4" borderId="260" xfId="0" applyNumberFormat="1" applyFont="1" applyFill="1" applyBorder="1" applyAlignment="1">
      <alignment vertical="center"/>
    </xf>
    <xf numFmtId="165" fontId="122" fillId="4" borderId="260" xfId="0" applyNumberFormat="1" applyFont="1" applyFill="1" applyBorder="1" applyAlignment="1">
      <alignment vertical="center"/>
    </xf>
    <xf numFmtId="3" fontId="117" fillId="4" borderId="260" xfId="0" applyNumberFormat="1" applyFont="1" applyFill="1" applyBorder="1" applyAlignment="1">
      <alignment horizontal="center" vertical="center"/>
    </xf>
    <xf numFmtId="165" fontId="117" fillId="4" borderId="260" xfId="0" applyNumberFormat="1" applyFont="1" applyFill="1" applyBorder="1" applyAlignment="1">
      <alignment horizontal="right" vertical="center"/>
    </xf>
    <xf numFmtId="165" fontId="136" fillId="4" borderId="260" xfId="0" applyNumberFormat="1" applyFont="1" applyFill="1" applyBorder="1" applyAlignment="1">
      <alignment horizontal="right" vertical="center"/>
    </xf>
    <xf numFmtId="49" fontId="117" fillId="4" borderId="375" xfId="0" applyNumberFormat="1" applyFont="1" applyFill="1" applyBorder="1" applyAlignment="1">
      <alignment horizontal="center" vertical="center"/>
    </xf>
    <xf numFmtId="0" fontId="24" fillId="4" borderId="824" xfId="0" applyFont="1" applyFill="1" applyBorder="1" applyAlignment="1">
      <alignment horizontal="left" vertical="center" wrapText="1" indent="1"/>
    </xf>
    <xf numFmtId="0" fontId="120" fillId="4" borderId="615" xfId="0" applyFont="1" applyFill="1" applyBorder="1" applyAlignment="1">
      <alignment horizontal="center" vertical="center"/>
    </xf>
    <xf numFmtId="39" fontId="24" fillId="4" borderId="615" xfId="0" applyNumberFormat="1" applyFont="1" applyFill="1" applyBorder="1" applyAlignment="1">
      <alignment horizontal="left" vertical="center" wrapText="1" indent="1"/>
    </xf>
    <xf numFmtId="3" fontId="119" fillId="4" borderId="615" xfId="0" applyNumberFormat="1" applyFont="1" applyFill="1" applyBorder="1" applyAlignment="1">
      <alignment horizontal="center" vertical="center"/>
    </xf>
    <xf numFmtId="39" fontId="24" fillId="4" borderId="615" xfId="0" applyNumberFormat="1" applyFont="1" applyFill="1" applyBorder="1" applyAlignment="1">
      <alignment horizontal="left" vertical="center" wrapText="1"/>
    </xf>
    <xf numFmtId="165" fontId="119" fillId="4" borderId="615" xfId="0" applyNumberFormat="1" applyFont="1" applyFill="1" applyBorder="1" applyAlignment="1">
      <alignment vertical="center"/>
    </xf>
    <xf numFmtId="165" fontId="122" fillId="4" borderId="615" xfId="0" applyNumberFormat="1" applyFont="1" applyFill="1" applyBorder="1" applyAlignment="1">
      <alignment vertical="center"/>
    </xf>
    <xf numFmtId="0" fontId="25" fillId="4" borderId="615" xfId="0" applyFont="1" applyFill="1" applyBorder="1" applyAlignment="1">
      <alignment horizontal="center" vertical="center" wrapText="1"/>
    </xf>
    <xf numFmtId="49" fontId="25" fillId="4" borderId="615" xfId="0" applyNumberFormat="1" applyFont="1" applyFill="1" applyBorder="1" applyAlignment="1">
      <alignment horizontal="center" vertical="center"/>
    </xf>
    <xf numFmtId="0" fontId="24" fillId="4" borderId="580" xfId="0" applyFont="1" applyFill="1" applyBorder="1" applyAlignment="1">
      <alignment horizontal="left" vertical="center" indent="1"/>
    </xf>
    <xf numFmtId="39" fontId="25" fillId="4" borderId="581" xfId="0" applyNumberFormat="1" applyFont="1" applyFill="1" applyBorder="1" applyAlignment="1">
      <alignment horizontal="left" vertical="center" wrapText="1" indent="1"/>
    </xf>
    <xf numFmtId="3" fontId="119" fillId="4" borderId="581" xfId="0" applyNumberFormat="1" applyFont="1" applyFill="1" applyBorder="1" applyAlignment="1">
      <alignment horizontal="center" vertical="center"/>
    </xf>
    <xf numFmtId="165" fontId="119" fillId="4" borderId="581" xfId="0" applyNumberFormat="1" applyFont="1" applyFill="1" applyBorder="1" applyAlignment="1">
      <alignment horizontal="right" vertical="center"/>
    </xf>
    <xf numFmtId="165" fontId="122" fillId="4" borderId="581" xfId="0" applyNumberFormat="1" applyFont="1" applyFill="1" applyBorder="1" applyAlignment="1">
      <alignment horizontal="right" vertical="center"/>
    </xf>
    <xf numFmtId="0" fontId="24" fillId="4" borderId="580" xfId="0" applyFont="1" applyFill="1" applyBorder="1" applyAlignment="1">
      <alignment horizontal="left" vertical="center" wrapText="1" indent="1"/>
    </xf>
    <xf numFmtId="39" fontId="24" fillId="4" borderId="581" xfId="0" applyNumberFormat="1" applyFont="1" applyFill="1" applyBorder="1" applyAlignment="1">
      <alignment horizontal="left" vertical="center" wrapText="1" indent="1"/>
    </xf>
    <xf numFmtId="0" fontId="25" fillId="4" borderId="580" xfId="0" applyFont="1" applyFill="1" applyBorder="1" applyAlignment="1">
      <alignment horizontal="left" vertical="center" indent="1"/>
    </xf>
    <xf numFmtId="0" fontId="25" fillId="4" borderId="581" xfId="0" applyFont="1" applyFill="1" applyBorder="1" applyAlignment="1">
      <alignment horizontal="left" vertical="center" wrapText="1" indent="1"/>
    </xf>
    <xf numFmtId="39" fontId="24" fillId="4" borderId="580" xfId="0" applyNumberFormat="1" applyFont="1" applyFill="1" applyBorder="1" applyAlignment="1">
      <alignment horizontal="left" vertical="center" indent="1"/>
    </xf>
    <xf numFmtId="39" fontId="120" fillId="4" borderId="581" xfId="0" applyNumberFormat="1" applyFont="1" applyFill="1" applyBorder="1" applyAlignment="1">
      <alignment horizontal="center" vertical="center"/>
    </xf>
    <xf numFmtId="0" fontId="24" fillId="4" borderId="581" xfId="0" applyFont="1" applyFill="1" applyBorder="1" applyAlignment="1">
      <alignment horizontal="left" vertical="center" wrapText="1" indent="1"/>
    </xf>
    <xf numFmtId="0" fontId="26" fillId="0" borderId="580" xfId="0" applyFont="1" applyBorder="1" applyAlignment="1">
      <alignment horizontal="left" indent="1"/>
    </xf>
    <xf numFmtId="0" fontId="26" fillId="0" borderId="581" xfId="0" applyFont="1" applyBorder="1" applyAlignment="1">
      <alignment horizontal="left" indent="1"/>
    </xf>
    <xf numFmtId="0" fontId="26" fillId="0" borderId="581" xfId="0" applyFont="1" applyBorder="1"/>
    <xf numFmtId="0" fontId="113" fillId="4" borderId="581" xfId="0" applyFont="1" applyFill="1" applyBorder="1" applyAlignment="1">
      <alignment vertical="center"/>
    </xf>
    <xf numFmtId="0" fontId="25" fillId="4" borderId="582" xfId="0" applyFont="1" applyFill="1" applyBorder="1" applyAlignment="1">
      <alignment horizontal="left" vertical="center" indent="1"/>
    </xf>
    <xf numFmtId="0" fontId="120" fillId="4" borderId="583" xfId="0" applyFont="1" applyFill="1" applyBorder="1" applyAlignment="1">
      <alignment horizontal="center" vertical="center"/>
    </xf>
    <xf numFmtId="0" fontId="24" fillId="4" borderId="826" xfId="0" applyFont="1" applyFill="1" applyBorder="1" applyAlignment="1">
      <alignment horizontal="left" vertical="center" wrapText="1" indent="1"/>
    </xf>
    <xf numFmtId="39" fontId="24" fillId="4" borderId="625" xfId="0" applyNumberFormat="1" applyFont="1" applyFill="1" applyBorder="1" applyAlignment="1">
      <alignment horizontal="left" vertical="center" wrapText="1" indent="1"/>
    </xf>
    <xf numFmtId="0" fontId="119" fillId="4" borderId="625" xfId="0" applyFont="1" applyFill="1" applyBorder="1" applyAlignment="1">
      <alignment horizontal="center" vertical="center" wrapText="1"/>
    </xf>
    <xf numFmtId="0" fontId="25" fillId="4" borderId="625" xfId="0" applyFont="1" applyFill="1" applyBorder="1" applyAlignment="1">
      <alignment horizontal="center" vertical="center" wrapText="1"/>
    </xf>
    <xf numFmtId="165" fontId="119" fillId="4" borderId="625" xfId="0" applyNumberFormat="1" applyFont="1" applyFill="1" applyBorder="1" applyAlignment="1">
      <alignment vertical="center"/>
    </xf>
    <xf numFmtId="165" fontId="122" fillId="4" borderId="625" xfId="0" applyNumberFormat="1" applyFont="1" applyFill="1" applyBorder="1" applyAlignment="1">
      <alignment vertical="center"/>
    </xf>
    <xf numFmtId="49" fontId="25" fillId="4" borderId="625" xfId="0" applyNumberFormat="1" applyFont="1" applyFill="1" applyBorder="1" applyAlignment="1">
      <alignment horizontal="center" vertical="center"/>
    </xf>
    <xf numFmtId="0" fontId="24" fillId="4" borderId="828" xfId="0" applyFont="1" applyFill="1" applyBorder="1" applyAlignment="1">
      <alignment horizontal="left" vertical="center" indent="1"/>
    </xf>
    <xf numFmtId="39" fontId="25" fillId="4" borderId="628" xfId="0" applyNumberFormat="1" applyFont="1" applyFill="1" applyBorder="1" applyAlignment="1">
      <alignment horizontal="left" vertical="center" wrapText="1" indent="1"/>
    </xf>
    <xf numFmtId="0" fontId="25" fillId="4" borderId="628" xfId="0" applyFont="1" applyFill="1" applyBorder="1" applyAlignment="1">
      <alignment horizontal="center" vertical="center" wrapText="1"/>
    </xf>
    <xf numFmtId="165" fontId="119" fillId="4" borderId="628" xfId="0" applyNumberFormat="1" applyFont="1" applyFill="1" applyBorder="1" applyAlignment="1">
      <alignment vertical="center"/>
    </xf>
    <xf numFmtId="165" fontId="122" fillId="4" borderId="628" xfId="0" applyNumberFormat="1" applyFont="1" applyFill="1" applyBorder="1" applyAlignment="1">
      <alignment vertical="center"/>
    </xf>
    <xf numFmtId="49" fontId="25" fillId="4" borderId="628" xfId="0" applyNumberFormat="1" applyFont="1" applyFill="1" applyBorder="1" applyAlignment="1">
      <alignment horizontal="center" vertical="center"/>
    </xf>
    <xf numFmtId="0" fontId="25" fillId="4" borderId="829" xfId="0" applyFont="1" applyFill="1" applyBorder="1" applyAlignment="1">
      <alignment horizontal="left" vertical="center" indent="1"/>
    </xf>
    <xf numFmtId="0" fontId="113" fillId="4" borderId="631" xfId="0" applyFont="1" applyFill="1" applyBorder="1" applyAlignment="1">
      <alignment horizontal="center" vertical="center"/>
    </xf>
    <xf numFmtId="0" fontId="25" fillId="4" borderId="631" xfId="0" applyFont="1" applyFill="1" applyBorder="1" applyAlignment="1">
      <alignment horizontal="left" vertical="center" wrapText="1" indent="1"/>
    </xf>
    <xf numFmtId="0" fontId="25" fillId="4" borderId="631" xfId="0" applyFont="1" applyFill="1" applyBorder="1" applyAlignment="1">
      <alignment horizontal="center" vertical="center" wrapText="1"/>
    </xf>
    <xf numFmtId="165" fontId="119" fillId="4" borderId="631" xfId="0" applyNumberFormat="1" applyFont="1" applyFill="1" applyBorder="1" applyAlignment="1">
      <alignment vertical="center"/>
    </xf>
    <xf numFmtId="165" fontId="122" fillId="4" borderId="631" xfId="0" applyNumberFormat="1" applyFont="1" applyFill="1" applyBorder="1" applyAlignment="1">
      <alignment vertical="center"/>
    </xf>
    <xf numFmtId="49" fontId="25" fillId="4" borderId="631" xfId="0" applyNumberFormat="1" applyFont="1" applyFill="1" applyBorder="1" applyAlignment="1">
      <alignment horizontal="center" vertical="center"/>
    </xf>
    <xf numFmtId="0" fontId="24" fillId="4" borderId="831" xfId="0" applyFont="1" applyFill="1" applyBorder="1" applyAlignment="1">
      <alignment horizontal="left" vertical="center" wrapText="1" indent="1"/>
    </xf>
    <xf numFmtId="39" fontId="24" fillId="4" borderId="634" xfId="0" applyNumberFormat="1" applyFont="1" applyFill="1" applyBorder="1" applyAlignment="1">
      <alignment horizontal="left" vertical="center" wrapText="1" indent="1"/>
    </xf>
    <xf numFmtId="0" fontId="25" fillId="4" borderId="634" xfId="0" applyFont="1" applyFill="1" applyBorder="1" applyAlignment="1">
      <alignment horizontal="center" vertical="center" wrapText="1"/>
    </xf>
    <xf numFmtId="165" fontId="119" fillId="4" borderId="634" xfId="0" applyNumberFormat="1" applyFont="1" applyFill="1" applyBorder="1" applyAlignment="1">
      <alignment vertical="center"/>
    </xf>
    <xf numFmtId="165" fontId="122" fillId="4" borderId="634" xfId="0" applyNumberFormat="1" applyFont="1" applyFill="1" applyBorder="1" applyAlignment="1">
      <alignment vertical="center"/>
    </xf>
    <xf numFmtId="49" fontId="25" fillId="4" borderId="634" xfId="0" applyNumberFormat="1" applyFont="1" applyFill="1" applyBorder="1" applyAlignment="1">
      <alignment horizontal="center" vertical="center"/>
    </xf>
    <xf numFmtId="39" fontId="25" fillId="4" borderId="631" xfId="0" applyNumberFormat="1" applyFont="1" applyFill="1" applyBorder="1" applyAlignment="1">
      <alignment horizontal="left" vertical="center" wrapText="1" indent="1"/>
    </xf>
    <xf numFmtId="0" fontId="24" fillId="4" borderId="625" xfId="0" applyFont="1" applyFill="1" applyBorder="1" applyAlignment="1">
      <alignment horizontal="left" vertical="center" wrapText="1" indent="1"/>
    </xf>
    <xf numFmtId="0" fontId="25" fillId="4" borderId="828" xfId="0" applyFont="1" applyFill="1" applyBorder="1" applyAlignment="1">
      <alignment horizontal="left" vertical="center" indent="1"/>
    </xf>
    <xf numFmtId="0" fontId="113" fillId="4" borderId="628" xfId="0" applyFont="1" applyFill="1" applyBorder="1" applyAlignment="1">
      <alignment horizontal="center" vertical="center"/>
    </xf>
    <xf numFmtId="0" fontId="25" fillId="4" borderId="628" xfId="0" applyFont="1" applyFill="1" applyBorder="1" applyAlignment="1">
      <alignment horizontal="left" vertical="center" wrapText="1" indent="1"/>
    </xf>
    <xf numFmtId="0" fontId="26" fillId="0" borderId="829" xfId="0" applyFont="1" applyBorder="1" applyAlignment="1">
      <alignment horizontal="left" indent="1"/>
    </xf>
    <xf numFmtId="0" fontId="26" fillId="0" borderId="631" xfId="0" applyFont="1" applyBorder="1" applyAlignment="1">
      <alignment horizontal="left" indent="1"/>
    </xf>
    <xf numFmtId="0" fontId="26" fillId="0" borderId="631" xfId="0" applyFont="1" applyBorder="1"/>
    <xf numFmtId="0" fontId="24" fillId="4" borderId="831" xfId="0" applyFont="1" applyFill="1" applyBorder="1" applyAlignment="1">
      <alignment horizontal="left" vertical="center" indent="1"/>
    </xf>
    <xf numFmtId="0" fontId="25" fillId="4" borderId="634" xfId="0" applyFont="1" applyFill="1" applyBorder="1" applyAlignment="1">
      <alignment horizontal="left" vertical="center" wrapText="1" indent="1"/>
    </xf>
    <xf numFmtId="0" fontId="24" fillId="4" borderId="826" xfId="0" applyFont="1" applyFill="1" applyBorder="1" applyAlignment="1">
      <alignment horizontal="left" vertical="center" indent="1"/>
    </xf>
    <xf numFmtId="0" fontId="24" fillId="4" borderId="634" xfId="0" applyFont="1" applyFill="1" applyBorder="1" applyAlignment="1">
      <alignment horizontal="left" vertical="center" wrapText="1" indent="1"/>
    </xf>
    <xf numFmtId="0" fontId="113" fillId="4" borderId="628" xfId="0" applyFont="1" applyFill="1" applyBorder="1" applyAlignment="1">
      <alignment vertical="center"/>
    </xf>
    <xf numFmtId="0" fontId="26" fillId="0" borderId="628" xfId="0" applyFont="1" applyBorder="1" applyAlignment="1">
      <alignment horizontal="left" indent="1"/>
    </xf>
    <xf numFmtId="0" fontId="117" fillId="0" borderId="628" xfId="0" applyFont="1" applyBorder="1"/>
    <xf numFmtId="0" fontId="26" fillId="0" borderId="628" xfId="0" applyFont="1" applyBorder="1"/>
    <xf numFmtId="0" fontId="25" fillId="4" borderId="826" xfId="0" applyFont="1" applyFill="1" applyBorder="1" applyAlignment="1">
      <alignment horizontal="left" vertical="center" indent="1"/>
    </xf>
    <xf numFmtId="0" fontId="113" fillId="4" borderId="625" xfId="0" applyFont="1" applyFill="1" applyBorder="1" applyAlignment="1">
      <alignment horizontal="center" vertical="center"/>
    </xf>
    <xf numFmtId="0" fontId="25" fillId="4" borderId="625" xfId="0" applyFont="1" applyFill="1" applyBorder="1" applyAlignment="1">
      <alignment horizontal="left" vertical="center" wrapText="1" indent="1"/>
    </xf>
    <xf numFmtId="0" fontId="25" fillId="4" borderId="831" xfId="0" applyFont="1" applyFill="1" applyBorder="1" applyAlignment="1">
      <alignment horizontal="left" vertical="center" indent="1"/>
    </xf>
    <xf numFmtId="0" fontId="113" fillId="4" borderId="634" xfId="0" applyFont="1" applyFill="1" applyBorder="1" applyAlignment="1">
      <alignment horizontal="center" vertical="center"/>
    </xf>
    <xf numFmtId="39" fontId="114" fillId="4" borderId="141" xfId="0" applyNumberFormat="1" applyFont="1" applyFill="1" applyBorder="1" applyAlignment="1">
      <alignment horizontal="left" vertical="center" wrapText="1" indent="1"/>
    </xf>
    <xf numFmtId="0" fontId="114" fillId="4" borderId="141" xfId="0" applyFont="1" applyFill="1" applyBorder="1" applyAlignment="1">
      <alignment horizontal="left" vertical="center" wrapText="1" indent="1"/>
    </xf>
    <xf numFmtId="39" fontId="114" fillId="4" borderId="581" xfId="0" applyNumberFormat="1" applyFont="1" applyFill="1" applyBorder="1" applyAlignment="1">
      <alignment horizontal="left" vertical="center" wrapText="1" indent="1"/>
    </xf>
    <xf numFmtId="0" fontId="0" fillId="0" borderId="0" xfId="0" applyFont="1" applyAlignment="1"/>
    <xf numFmtId="0" fontId="38" fillId="0" borderId="634" xfId="0" applyFont="1" applyBorder="1" applyAlignment="1">
      <alignment horizontal="left" vertical="center" wrapText="1" indent="1"/>
    </xf>
    <xf numFmtId="0" fontId="38" fillId="0" borderId="625" xfId="0" applyFont="1" applyBorder="1" applyAlignment="1">
      <alignment horizontal="left" vertical="center" wrapText="1" indent="1"/>
    </xf>
    <xf numFmtId="0" fontId="26" fillId="4" borderId="615" xfId="0" applyFont="1" applyFill="1" applyBorder="1" applyAlignment="1">
      <alignment horizontal="left" vertical="center" wrapText="1" indent="1"/>
    </xf>
    <xf numFmtId="0" fontId="134" fillId="4" borderId="634" xfId="0" applyFont="1" applyFill="1" applyBorder="1" applyAlignment="1">
      <alignment horizontal="left" vertical="center" wrapText="1" indent="1"/>
    </xf>
    <xf numFmtId="0" fontId="117" fillId="4" borderId="625" xfId="0" applyFont="1" applyFill="1" applyBorder="1" applyAlignment="1">
      <alignment horizontal="center" vertical="center" wrapText="1"/>
    </xf>
    <xf numFmtId="165" fontId="117" fillId="0" borderId="581" xfId="0" applyNumberFormat="1" applyFont="1" applyBorder="1" applyAlignment="1">
      <alignment horizontal="right" vertical="center" wrapText="1"/>
    </xf>
    <xf numFmtId="165" fontId="117" fillId="0" borderId="581" xfId="0" applyNumberFormat="1" applyFont="1" applyBorder="1"/>
    <xf numFmtId="165" fontId="117" fillId="0" borderId="631" xfId="0" applyNumberFormat="1" applyFont="1" applyBorder="1"/>
    <xf numFmtId="165" fontId="117" fillId="0" borderId="631" xfId="0" applyNumberFormat="1" applyFont="1" applyBorder="1" applyAlignment="1">
      <alignment horizontal="right" vertical="center" wrapText="1"/>
    </xf>
    <xf numFmtId="165" fontId="117" fillId="0" borderId="628" xfId="0" applyNumberFormat="1" applyFont="1" applyBorder="1"/>
    <xf numFmtId="165" fontId="117" fillId="0" borderId="141" xfId="0" applyNumberFormat="1" applyFont="1" applyBorder="1" applyAlignment="1">
      <alignment horizontal="right" vertical="center" wrapText="1"/>
    </xf>
    <xf numFmtId="165" fontId="117" fillId="0" borderId="260" xfId="0" applyNumberFormat="1" applyFont="1" applyBorder="1" applyAlignment="1">
      <alignment horizontal="right" vertical="center" wrapText="1"/>
    </xf>
    <xf numFmtId="165" fontId="132" fillId="12" borderId="273" xfId="0" applyNumberFormat="1" applyFont="1" applyFill="1" applyBorder="1" applyAlignment="1">
      <alignment horizontal="right" vertical="center"/>
    </xf>
    <xf numFmtId="0" fontId="173" fillId="12" borderId="418" xfId="0" applyFont="1" applyFill="1" applyBorder="1" applyAlignment="1">
      <alignment horizontal="right" vertical="center"/>
    </xf>
    <xf numFmtId="165" fontId="173" fillId="12" borderId="273" xfId="0" applyNumberFormat="1" applyFont="1" applyFill="1" applyBorder="1" applyAlignment="1">
      <alignment horizontal="right" vertical="center"/>
    </xf>
    <xf numFmtId="1" fontId="117" fillId="0" borderId="179" xfId="0" applyNumberFormat="1" applyFont="1" applyBorder="1" applyAlignment="1">
      <alignment horizontal="center" vertical="center" wrapText="1"/>
    </xf>
    <xf numFmtId="1" fontId="117" fillId="0" borderId="248" xfId="0" applyNumberFormat="1" applyFont="1" applyBorder="1" applyAlignment="1">
      <alignment horizontal="center" vertical="center" wrapText="1"/>
    </xf>
    <xf numFmtId="1" fontId="117" fillId="0" borderId="177" xfId="0" applyNumberFormat="1" applyFont="1" applyBorder="1" applyAlignment="1">
      <alignment horizontal="center" vertical="center" wrapText="1"/>
    </xf>
    <xf numFmtId="165" fontId="117" fillId="4" borderId="732" xfId="0" applyNumberFormat="1" applyFont="1" applyFill="1" applyBorder="1" applyAlignment="1">
      <alignment vertical="center"/>
    </xf>
    <xf numFmtId="0" fontId="134" fillId="0" borderId="23" xfId="0" applyFont="1" applyBorder="1" applyAlignment="1">
      <alignment horizontal="left" vertical="center" wrapText="1" indent="1"/>
    </xf>
    <xf numFmtId="0" fontId="134" fillId="0" borderId="28" xfId="0" applyFont="1" applyBorder="1" applyAlignment="1">
      <alignment horizontal="left" vertical="center" wrapText="1" indent="1"/>
    </xf>
    <xf numFmtId="0" fontId="134" fillId="0" borderId="45" xfId="0" applyFont="1" applyBorder="1" applyAlignment="1">
      <alignment horizontal="left" vertical="center" wrapText="1" indent="1"/>
    </xf>
    <xf numFmtId="0" fontId="134" fillId="0" borderId="33" xfId="0" applyFont="1" applyBorder="1" applyAlignment="1">
      <alignment horizontal="left" vertical="center" wrapText="1" indent="1"/>
    </xf>
    <xf numFmtId="0" fontId="134" fillId="0" borderId="38" xfId="0" applyFont="1" applyBorder="1" applyAlignment="1">
      <alignment horizontal="left" vertical="center" wrapText="1" indent="1"/>
    </xf>
    <xf numFmtId="0" fontId="134" fillId="0" borderId="47" xfId="0" applyFont="1" applyBorder="1" applyAlignment="1">
      <alignment horizontal="left" vertical="center" wrapText="1" indent="1"/>
    </xf>
    <xf numFmtId="0" fontId="134" fillId="0" borderId="332" xfId="0" applyFont="1" applyBorder="1" applyAlignment="1">
      <alignment horizontal="left" vertical="center" wrapText="1" indent="1"/>
    </xf>
    <xf numFmtId="0" fontId="134" fillId="0" borderId="342" xfId="0" applyFont="1" applyBorder="1" applyAlignment="1">
      <alignment horizontal="left" vertical="center" wrapText="1" indent="1"/>
    </xf>
    <xf numFmtId="0" fontId="134" fillId="0" borderId="331" xfId="0" applyFont="1" applyBorder="1" applyAlignment="1">
      <alignment horizontal="left" vertical="center" wrapText="1" indent="1"/>
    </xf>
    <xf numFmtId="0" fontId="117" fillId="0" borderId="375" xfId="0" applyFont="1" applyBorder="1"/>
    <xf numFmtId="0" fontId="117" fillId="0" borderId="149" xfId="0" applyFont="1" applyBorder="1"/>
    <xf numFmtId="0" fontId="117" fillId="0" borderId="141" xfId="0" applyFont="1" applyBorder="1"/>
    <xf numFmtId="0" fontId="135" fillId="0" borderId="110" xfId="0" applyFont="1" applyBorder="1" applyAlignment="1">
      <alignment horizontal="center" vertical="center"/>
    </xf>
    <xf numFmtId="49" fontId="135" fillId="0" borderId="110" xfId="0" applyNumberFormat="1" applyFont="1" applyBorder="1" applyAlignment="1">
      <alignment horizontal="center" vertical="center"/>
    </xf>
    <xf numFmtId="49" fontId="131" fillId="0" borderId="332" xfId="0" applyNumberFormat="1" applyFont="1" applyBorder="1" applyAlignment="1">
      <alignment horizontal="center" vertical="center"/>
    </xf>
    <xf numFmtId="49" fontId="131" fillId="0" borderId="342" xfId="0" applyNumberFormat="1" applyFont="1" applyBorder="1" applyAlignment="1">
      <alignment horizontal="center" vertical="center"/>
    </xf>
    <xf numFmtId="49" fontId="135" fillId="0" borderId="342" xfId="0" applyNumberFormat="1" applyFont="1" applyBorder="1" applyAlignment="1">
      <alignment horizontal="center" vertical="center"/>
    </xf>
    <xf numFmtId="49" fontId="131" fillId="0" borderId="333" xfId="0" applyNumberFormat="1" applyFont="1" applyBorder="1" applyAlignment="1">
      <alignment horizontal="center" vertical="center"/>
    </xf>
    <xf numFmtId="0" fontId="135" fillId="0" borderId="488" xfId="0" applyFont="1" applyBorder="1" applyAlignment="1">
      <alignment horizontal="center" vertical="center"/>
    </xf>
    <xf numFmtId="49" fontId="131" fillId="0" borderId="488" xfId="0" applyNumberFormat="1" applyFont="1" applyBorder="1" applyAlignment="1">
      <alignment horizontal="center" vertical="center"/>
    </xf>
    <xf numFmtId="49" fontId="135" fillId="0" borderId="488" xfId="0" applyNumberFormat="1" applyFont="1" applyBorder="1" applyAlignment="1">
      <alignment horizontal="center" vertical="center"/>
    </xf>
    <xf numFmtId="49" fontId="131" fillId="0" borderId="306" xfId="0" applyNumberFormat="1" applyFont="1" applyBorder="1" applyAlignment="1">
      <alignment horizontal="center" vertical="center"/>
    </xf>
    <xf numFmtId="49" fontId="131" fillId="0" borderId="39" xfId="0" applyNumberFormat="1" applyFont="1" applyBorder="1" applyAlignment="1">
      <alignment horizontal="center" vertical="center" wrapText="1"/>
    </xf>
    <xf numFmtId="49" fontId="131" fillId="0" borderId="29" xfId="0" applyNumberFormat="1" applyFont="1" applyBorder="1" applyAlignment="1">
      <alignment horizontal="center" vertical="center" wrapText="1"/>
    </xf>
    <xf numFmtId="49" fontId="131" fillId="0" borderId="34" xfId="0" applyNumberFormat="1" applyFont="1" applyBorder="1" applyAlignment="1">
      <alignment horizontal="center" vertical="center"/>
    </xf>
    <xf numFmtId="49" fontId="131" fillId="0" borderId="48" xfId="0" applyNumberFormat="1" applyFont="1" applyBorder="1" applyAlignment="1">
      <alignment horizontal="center" vertical="center"/>
    </xf>
    <xf numFmtId="49" fontId="131" fillId="0" borderId="331" xfId="0" applyNumberFormat="1" applyFont="1" applyBorder="1" applyAlignment="1">
      <alignment horizontal="center" vertical="center"/>
    </xf>
    <xf numFmtId="0" fontId="131" fillId="0" borderId="149" xfId="0" applyFont="1" applyBorder="1"/>
    <xf numFmtId="49" fontId="135" fillId="0" borderId="244" xfId="0" applyNumberFormat="1" applyFont="1" applyBorder="1" applyAlignment="1">
      <alignment horizontal="center" vertical="center"/>
    </xf>
    <xf numFmtId="49" fontId="135" fillId="0" borderId="331" xfId="0" applyNumberFormat="1" applyFont="1" applyBorder="1" applyAlignment="1">
      <alignment horizontal="center" vertical="center"/>
    </xf>
    <xf numFmtId="0" fontId="131" fillId="0" borderId="141" xfId="0" applyFont="1" applyBorder="1"/>
    <xf numFmtId="49" fontId="131" fillId="4" borderId="29" xfId="0" applyNumberFormat="1" applyFont="1" applyFill="1" applyBorder="1" applyAlignment="1">
      <alignment horizontal="center" vertical="center" wrapText="1"/>
    </xf>
    <xf numFmtId="49" fontId="131" fillId="0" borderId="49" xfId="0" applyNumberFormat="1" applyFont="1" applyBorder="1" applyAlignment="1">
      <alignment horizontal="center" vertical="center" wrapText="1"/>
    </xf>
    <xf numFmtId="0" fontId="135" fillId="0" borderId="342" xfId="0" applyFont="1" applyBorder="1" applyAlignment="1">
      <alignment horizontal="center" vertical="center" wrapText="1"/>
    </xf>
    <xf numFmtId="0" fontId="135" fillId="0" borderId="332" xfId="0" applyFont="1" applyBorder="1" applyAlignment="1">
      <alignment horizontal="center" vertical="center"/>
    </xf>
    <xf numFmtId="0" fontId="135" fillId="0" borderId="333" xfId="0" applyFont="1" applyBorder="1" applyAlignment="1">
      <alignment horizontal="center" vertical="center"/>
    </xf>
    <xf numFmtId="0" fontId="135" fillId="0" borderId="29" xfId="0" applyFont="1" applyBorder="1" applyAlignment="1">
      <alignment horizontal="left" vertical="center" wrapText="1"/>
    </xf>
    <xf numFmtId="0" fontId="135" fillId="0" borderId="34" xfId="0" applyFont="1" applyBorder="1" applyAlignment="1">
      <alignment horizontal="center" vertical="center"/>
    </xf>
    <xf numFmtId="0" fontId="135" fillId="0" borderId="49" xfId="0" applyFont="1" applyBorder="1" applyAlignment="1">
      <alignment horizontal="left" vertical="center" wrapText="1"/>
    </xf>
    <xf numFmtId="0" fontId="135" fillId="0" borderId="149" xfId="0" applyFont="1" applyBorder="1"/>
    <xf numFmtId="0" fontId="135" fillId="0" borderId="141" xfId="0" applyFont="1" applyBorder="1"/>
    <xf numFmtId="0" fontId="134" fillId="0" borderId="24" xfId="0" applyFont="1" applyBorder="1" applyAlignment="1">
      <alignment horizontal="left" vertical="center" wrapText="1" indent="1"/>
    </xf>
    <xf numFmtId="0" fontId="126" fillId="0" borderId="34" xfId="0" applyFont="1" applyBorder="1" applyAlignment="1">
      <alignment horizontal="left" vertical="center" wrapText="1" indent="1"/>
    </xf>
    <xf numFmtId="0" fontId="134" fillId="0" borderId="49" xfId="0" applyFont="1" applyBorder="1" applyAlignment="1">
      <alignment horizontal="left" vertical="center" wrapText="1" indent="1"/>
    </xf>
    <xf numFmtId="0" fontId="134" fillId="0" borderId="39" xfId="0" applyFont="1" applyBorder="1" applyAlignment="1">
      <alignment horizontal="left" vertical="center" wrapText="1" indent="1"/>
    </xf>
    <xf numFmtId="0" fontId="134" fillId="0" borderId="48" xfId="0" applyFont="1" applyBorder="1" applyAlignment="1">
      <alignment horizontal="left" vertical="center" wrapText="1" indent="1"/>
    </xf>
    <xf numFmtId="0" fontId="126" fillId="0" borderId="48" xfId="0" applyFont="1" applyBorder="1" applyAlignment="1">
      <alignment horizontal="left" vertical="center" wrapText="1" indent="1"/>
    </xf>
    <xf numFmtId="0" fontId="134" fillId="4" borderId="39" xfId="0" applyFont="1" applyFill="1" applyBorder="1" applyAlignment="1">
      <alignment horizontal="left" vertical="center" wrapText="1" indent="1"/>
    </xf>
    <xf numFmtId="0" fontId="134" fillId="0" borderId="29" xfId="0" applyFont="1" applyBorder="1" applyAlignment="1">
      <alignment horizontal="left" vertical="center" wrapText="1" indent="1"/>
    </xf>
    <xf numFmtId="0" fontId="126" fillId="4" borderId="29" xfId="0" applyFont="1" applyFill="1" applyBorder="1" applyAlignment="1">
      <alignment horizontal="left" vertical="center" wrapText="1" indent="1"/>
    </xf>
    <xf numFmtId="0" fontId="126" fillId="4" borderId="49" xfId="0" applyFont="1" applyFill="1" applyBorder="1" applyAlignment="1">
      <alignment horizontal="left" vertical="center" wrapText="1" indent="1"/>
    </xf>
    <xf numFmtId="0" fontId="134" fillId="4" borderId="29" xfId="0" applyFont="1" applyFill="1" applyBorder="1" applyAlignment="1">
      <alignment horizontal="left" vertical="center" wrapText="1" indent="1"/>
    </xf>
    <xf numFmtId="0" fontId="134" fillId="4" borderId="48" xfId="0" applyFont="1" applyFill="1" applyBorder="1" applyAlignment="1">
      <alignment horizontal="left" vertical="center" wrapText="1" indent="1"/>
    </xf>
    <xf numFmtId="49" fontId="126" fillId="0" borderId="342" xfId="0" applyNumberFormat="1" applyFont="1" applyBorder="1" applyAlignment="1">
      <alignment horizontal="left" vertical="center" indent="1"/>
    </xf>
    <xf numFmtId="0" fontId="126" fillId="0" borderId="149" xfId="0" applyFont="1" applyBorder="1" applyAlignment="1">
      <alignment horizontal="left" indent="1"/>
    </xf>
    <xf numFmtId="0" fontId="126" fillId="0" borderId="141" xfId="0" applyFont="1" applyBorder="1" applyAlignment="1">
      <alignment horizontal="left" indent="1"/>
    </xf>
    <xf numFmtId="0" fontId="134" fillId="3" borderId="49" xfId="0" applyFont="1" applyFill="1" applyBorder="1" applyAlignment="1">
      <alignment horizontal="left" vertical="center" wrapText="1" indent="1"/>
    </xf>
    <xf numFmtId="3" fontId="117" fillId="0" borderId="24" xfId="0" applyNumberFormat="1" applyFont="1" applyBorder="1" applyAlignment="1">
      <alignment horizontal="center" vertical="center" wrapText="1"/>
    </xf>
    <xf numFmtId="3" fontId="117" fillId="0" borderId="29" xfId="0" applyNumberFormat="1" applyFont="1" applyBorder="1" applyAlignment="1">
      <alignment horizontal="center" vertical="center" wrapText="1"/>
    </xf>
    <xf numFmtId="3" fontId="117" fillId="0" borderId="49" xfId="0" applyNumberFormat="1" applyFont="1" applyBorder="1" applyAlignment="1">
      <alignment horizontal="center" vertical="center" wrapText="1"/>
    </xf>
    <xf numFmtId="3" fontId="117" fillId="0" borderId="34" xfId="0" applyNumberFormat="1" applyFont="1" applyBorder="1" applyAlignment="1">
      <alignment horizontal="center" vertical="center" wrapText="1"/>
    </xf>
    <xf numFmtId="3" fontId="117" fillId="0" borderId="39" xfId="0" applyNumberFormat="1" applyFont="1" applyBorder="1" applyAlignment="1">
      <alignment horizontal="center" vertical="center" wrapText="1"/>
    </xf>
    <xf numFmtId="3" fontId="136" fillId="0" borderId="49" xfId="0" applyNumberFormat="1" applyFont="1" applyBorder="1" applyAlignment="1">
      <alignment horizontal="center" vertical="center" wrapText="1"/>
    </xf>
    <xf numFmtId="3" fontId="117" fillId="0" borderId="48" xfId="0" applyNumberFormat="1" applyFont="1" applyBorder="1" applyAlignment="1">
      <alignment horizontal="center" vertical="center" wrapText="1"/>
    </xf>
    <xf numFmtId="3" fontId="136" fillId="0" borderId="48" xfId="0" applyNumberFormat="1" applyFont="1" applyBorder="1" applyAlignment="1">
      <alignment horizontal="center" vertical="center" wrapText="1"/>
    </xf>
    <xf numFmtId="3" fontId="117" fillId="0" borderId="39" xfId="0" applyNumberFormat="1" applyFont="1" applyBorder="1" applyAlignment="1">
      <alignment vertical="center"/>
    </xf>
    <xf numFmtId="3" fontId="117" fillId="0" borderId="29" xfId="0" applyNumberFormat="1" applyFont="1" applyBorder="1" applyAlignment="1">
      <alignment horizontal="center" vertical="center"/>
    </xf>
    <xf numFmtId="3" fontId="117" fillId="0" borderId="49" xfId="0" applyNumberFormat="1" applyFont="1" applyBorder="1" applyAlignment="1">
      <alignment horizontal="center" vertical="center"/>
    </xf>
    <xf numFmtId="3" fontId="117" fillId="0" borderId="342" xfId="0" applyNumberFormat="1" applyFont="1" applyBorder="1" applyAlignment="1">
      <alignment horizontal="center" vertical="center"/>
    </xf>
    <xf numFmtId="3" fontId="117" fillId="0" borderId="141" xfId="0" applyNumberFormat="1" applyFont="1" applyBorder="1" applyAlignment="1">
      <alignment horizontal="center" vertical="center" wrapText="1"/>
    </xf>
    <xf numFmtId="3" fontId="117" fillId="0" borderId="149" xfId="0" applyNumberFormat="1" applyFont="1" applyBorder="1"/>
    <xf numFmtId="3" fontId="117" fillId="0" borderId="244" xfId="0" applyNumberFormat="1" applyFont="1" applyBorder="1" applyAlignment="1">
      <alignment horizontal="center" vertical="center" wrapText="1"/>
    </xf>
    <xf numFmtId="3" fontId="117" fillId="0" borderId="141" xfId="0" applyNumberFormat="1" applyFont="1" applyBorder="1"/>
    <xf numFmtId="3" fontId="117" fillId="0" borderId="39" xfId="0" applyNumberFormat="1" applyFont="1" applyBorder="1" applyAlignment="1">
      <alignment horizontal="center" vertical="center"/>
    </xf>
    <xf numFmtId="3" fontId="117" fillId="0" borderId="49" xfId="0" applyNumberFormat="1" applyFont="1" applyBorder="1" applyAlignment="1">
      <alignment vertical="center"/>
    </xf>
    <xf numFmtId="165" fontId="117" fillId="0" borderId="24" xfId="0" applyNumberFormat="1" applyFont="1" applyBorder="1" applyAlignment="1">
      <alignment vertical="center"/>
    </xf>
    <xf numFmtId="165" fontId="136" fillId="0" borderId="24" xfId="0" applyNumberFormat="1" applyFont="1" applyBorder="1" applyAlignment="1">
      <alignment vertical="center"/>
    </xf>
    <xf numFmtId="165" fontId="136" fillId="0" borderId="342" xfId="0" applyNumberFormat="1" applyFont="1" applyBorder="1" applyAlignment="1">
      <alignment vertical="center"/>
    </xf>
    <xf numFmtId="49" fontId="117" fillId="0" borderId="29" xfId="0" applyNumberFormat="1" applyFont="1" applyBorder="1" applyAlignment="1">
      <alignment horizontal="center" vertical="center"/>
    </xf>
    <xf numFmtId="49" fontId="26" fillId="0" borderId="583" xfId="0" applyNumberFormat="1" applyFont="1" applyBorder="1" applyAlignment="1">
      <alignment horizontal="center" vertical="center"/>
    </xf>
    <xf numFmtId="0" fontId="135" fillId="0" borderId="625" xfId="0" applyFont="1" applyBorder="1" applyAlignment="1">
      <alignment horizontal="center" vertical="center"/>
    </xf>
    <xf numFmtId="49" fontId="131" fillId="0" borderId="625" xfId="0" applyNumberFormat="1" applyFont="1" applyBorder="1" applyAlignment="1">
      <alignment horizontal="center" vertical="center"/>
    </xf>
    <xf numFmtId="0" fontId="134" fillId="0" borderId="625" xfId="0" applyFont="1" applyBorder="1" applyAlignment="1">
      <alignment horizontal="left" vertical="center" wrapText="1" indent="1"/>
    </xf>
    <xf numFmtId="3" fontId="117" fillId="0" borderId="625" xfId="0" applyNumberFormat="1" applyFont="1" applyBorder="1" applyAlignment="1">
      <alignment horizontal="center" vertical="center" wrapText="1"/>
    </xf>
    <xf numFmtId="0" fontId="26" fillId="0" borderId="415" xfId="0" applyFont="1" applyBorder="1" applyAlignment="1">
      <alignment horizontal="center" vertical="center" wrapText="1"/>
    </xf>
    <xf numFmtId="0" fontId="135" fillId="0" borderId="834" xfId="0" applyFont="1" applyBorder="1" applyAlignment="1">
      <alignment horizontal="center" vertical="center"/>
    </xf>
    <xf numFmtId="49" fontId="131" fillId="0" borderId="834" xfId="0" applyNumberFormat="1" applyFont="1" applyBorder="1" applyAlignment="1">
      <alignment horizontal="center" vertical="center"/>
    </xf>
    <xf numFmtId="0" fontId="126" fillId="0" borderId="834" xfId="0" applyFont="1" applyBorder="1" applyAlignment="1">
      <alignment horizontal="left" vertical="center" wrapText="1" indent="1"/>
    </xf>
    <xf numFmtId="3" fontId="117" fillId="0" borderId="834" xfId="0" applyNumberFormat="1" applyFont="1" applyBorder="1" applyAlignment="1">
      <alignment horizontal="center" vertical="center" wrapText="1"/>
    </xf>
    <xf numFmtId="0" fontId="26" fillId="0" borderId="834" xfId="0" applyFont="1" applyBorder="1" applyAlignment="1">
      <alignment horizontal="center" vertical="center" wrapText="1"/>
    </xf>
    <xf numFmtId="165" fontId="117" fillId="0" borderId="834" xfId="0" applyNumberFormat="1" applyFont="1" applyBorder="1" applyAlignment="1">
      <alignment vertical="center"/>
    </xf>
    <xf numFmtId="165" fontId="136" fillId="0" borderId="835" xfId="0" applyNumberFormat="1" applyFont="1" applyBorder="1" applyAlignment="1">
      <alignment vertical="center"/>
    </xf>
    <xf numFmtId="0" fontId="135" fillId="0" borderId="628" xfId="0" applyFont="1" applyBorder="1"/>
    <xf numFmtId="0" fontId="131" fillId="0" borderId="628" xfId="0" applyFont="1" applyBorder="1"/>
    <xf numFmtId="0" fontId="126" fillId="0" borderId="628" xfId="0" applyFont="1" applyBorder="1" applyAlignment="1">
      <alignment horizontal="left" indent="1"/>
    </xf>
    <xf numFmtId="3" fontId="117" fillId="0" borderId="628" xfId="0" applyNumberFormat="1" applyFont="1" applyBorder="1"/>
    <xf numFmtId="0" fontId="117" fillId="0" borderId="836" xfId="0" applyFont="1" applyBorder="1"/>
    <xf numFmtId="49" fontId="26" fillId="4" borderId="245" xfId="0" applyNumberFormat="1" applyFont="1" applyFill="1" applyBorder="1" applyAlignment="1">
      <alignment horizontal="left" vertical="center" indent="1"/>
    </xf>
    <xf numFmtId="0" fontId="26" fillId="4" borderId="525" xfId="0" applyFont="1" applyFill="1" applyBorder="1" applyAlignment="1">
      <alignment horizontal="left" vertical="center" indent="1"/>
    </xf>
    <xf numFmtId="49" fontId="117" fillId="0" borderId="49" xfId="0" applyNumberFormat="1" applyFont="1" applyBorder="1" applyAlignment="1">
      <alignment horizontal="center" vertical="center"/>
    </xf>
    <xf numFmtId="0" fontId="135" fillId="0" borderId="577" xfId="0" applyFont="1" applyBorder="1" applyAlignment="1">
      <alignment horizontal="left" vertical="center" wrapText="1"/>
    </xf>
    <xf numFmtId="49" fontId="131" fillId="4" borderId="577" xfId="0" applyNumberFormat="1" applyFont="1" applyFill="1" applyBorder="1" applyAlignment="1">
      <alignment horizontal="center" vertical="center" wrapText="1"/>
    </xf>
    <xf numFmtId="0" fontId="126" fillId="0" borderId="577" xfId="0" applyFont="1" applyBorder="1" applyAlignment="1">
      <alignment horizontal="left" vertical="center" wrapText="1" indent="1"/>
    </xf>
    <xf numFmtId="3" fontId="117" fillId="0" borderId="577" xfId="0" applyNumberFormat="1" applyFont="1" applyBorder="1" applyAlignment="1">
      <alignment horizontal="center" vertical="center"/>
    </xf>
    <xf numFmtId="165" fontId="26" fillId="0" borderId="577" xfId="0" applyNumberFormat="1" applyFont="1" applyBorder="1" applyAlignment="1">
      <alignment horizontal="center" vertical="center"/>
    </xf>
    <xf numFmtId="165" fontId="117" fillId="0" borderId="577" xfId="0" applyNumberFormat="1" applyFont="1" applyBorder="1" applyAlignment="1">
      <alignment vertical="center"/>
    </xf>
    <xf numFmtId="49" fontId="26" fillId="0" borderId="837" xfId="0" applyNumberFormat="1" applyFont="1" applyBorder="1" applyAlignment="1">
      <alignment horizontal="center" vertical="center"/>
    </xf>
    <xf numFmtId="0" fontId="134" fillId="0" borderId="840" xfId="0" applyFont="1" applyBorder="1" applyAlignment="1">
      <alignment horizontal="left" vertical="center" wrapText="1" indent="1"/>
    </xf>
    <xf numFmtId="0" fontId="135" fillId="0" borderId="576" xfId="0" applyFont="1" applyBorder="1" applyAlignment="1">
      <alignment horizontal="center" vertical="center"/>
    </xf>
    <xf numFmtId="49" fontId="131" fillId="0" borderId="576" xfId="0" applyNumberFormat="1" applyFont="1" applyBorder="1" applyAlignment="1">
      <alignment horizontal="center" vertical="center"/>
    </xf>
    <xf numFmtId="0" fontId="126" fillId="4" borderId="577" xfId="0" applyFont="1" applyFill="1" applyBorder="1" applyAlignment="1">
      <alignment horizontal="left" vertical="center" wrapText="1" indent="1"/>
    </xf>
    <xf numFmtId="3" fontId="117" fillId="0" borderId="577" xfId="0" applyNumberFormat="1" applyFont="1" applyBorder="1" applyAlignment="1">
      <alignment horizontal="center" vertical="center" wrapText="1"/>
    </xf>
    <xf numFmtId="49" fontId="26" fillId="0" borderId="816" xfId="0" applyNumberFormat="1" applyFont="1" applyBorder="1" applyAlignment="1">
      <alignment horizontal="center" vertical="center"/>
    </xf>
    <xf numFmtId="49" fontId="131" fillId="0" borderId="244" xfId="0" applyNumberFormat="1" applyFont="1" applyBorder="1" applyAlignment="1">
      <alignment horizontal="center" vertical="center"/>
    </xf>
    <xf numFmtId="0" fontId="11" fillId="12" borderId="611" xfId="0" applyFont="1" applyFill="1" applyBorder="1" applyAlignment="1">
      <alignment horizontal="left" vertical="center" indent="1"/>
    </xf>
    <xf numFmtId="0" fontId="136" fillId="12" borderId="611" xfId="0" applyFont="1" applyFill="1" applyBorder="1" applyAlignment="1">
      <alignment horizontal="center" vertical="center"/>
    </xf>
    <xf numFmtId="0" fontId="132" fillId="12" borderId="611" xfId="0" applyFont="1" applyFill="1" applyBorder="1" applyAlignment="1">
      <alignment horizontal="right" vertical="center"/>
    </xf>
    <xf numFmtId="165" fontId="132" fillId="12" borderId="818" xfId="0" applyNumberFormat="1" applyFont="1" applyFill="1" applyBorder="1" applyAlignment="1">
      <alignment horizontal="right" vertical="center"/>
    </xf>
    <xf numFmtId="0" fontId="134" fillId="0" borderId="842" xfId="0" applyFont="1" applyBorder="1" applyAlignment="1">
      <alignment horizontal="left" vertical="center" wrapText="1" indent="1"/>
    </xf>
    <xf numFmtId="0" fontId="134" fillId="0" borderId="844" xfId="0" applyFont="1" applyBorder="1" applyAlignment="1">
      <alignment horizontal="left" vertical="center" wrapText="1" indent="1"/>
    </xf>
    <xf numFmtId="0" fontId="134" fillId="0" borderId="845" xfId="0" applyFont="1" applyBorder="1" applyAlignment="1">
      <alignment horizontal="left" vertical="center" wrapText="1" indent="1"/>
    </xf>
    <xf numFmtId="0" fontId="134" fillId="0" borderId="846" xfId="0" applyFont="1" applyBorder="1" applyAlignment="1">
      <alignment horizontal="left" vertical="center" wrapText="1" indent="1"/>
    </xf>
    <xf numFmtId="0" fontId="134" fillId="0" borderId="847" xfId="0" applyFont="1" applyBorder="1" applyAlignment="1">
      <alignment horizontal="left" vertical="center" wrapText="1" indent="1"/>
    </xf>
    <xf numFmtId="0" fontId="134" fillId="0" borderId="789" xfId="0" applyFont="1" applyBorder="1" applyAlignment="1">
      <alignment horizontal="left" wrapText="1" indent="1"/>
    </xf>
    <xf numFmtId="0" fontId="134" fillId="0" borderId="790" xfId="0" applyFont="1" applyBorder="1" applyAlignment="1">
      <alignment horizontal="left" vertical="center" wrapText="1" indent="1"/>
    </xf>
    <xf numFmtId="0" fontId="134" fillId="0" borderId="848" xfId="0" applyFont="1" applyBorder="1" applyAlignment="1">
      <alignment horizontal="left" vertical="center" wrapText="1" indent="1"/>
    </xf>
    <xf numFmtId="0" fontId="134" fillId="0" borderId="849" xfId="0" applyFont="1" applyBorder="1" applyAlignment="1">
      <alignment horizontal="left" vertical="center" wrapText="1" indent="1"/>
    </xf>
    <xf numFmtId="0" fontId="134" fillId="0" borderId="850" xfId="0" applyFont="1" applyBorder="1" applyAlignment="1">
      <alignment horizontal="left" vertical="center" wrapText="1" indent="1"/>
    </xf>
    <xf numFmtId="0" fontId="134" fillId="0" borderId="851" xfId="0" applyFont="1" applyBorder="1" applyAlignment="1">
      <alignment horizontal="left" wrapText="1" indent="1"/>
    </xf>
    <xf numFmtId="0" fontId="134" fillId="0" borderId="852" xfId="0" applyFont="1" applyBorder="1" applyAlignment="1">
      <alignment horizontal="left" vertical="center" wrapText="1" indent="1"/>
    </xf>
    <xf numFmtId="0" fontId="134" fillId="0" borderId="853" xfId="0" applyFont="1" applyBorder="1" applyAlignment="1">
      <alignment horizontal="left" vertical="center" wrapText="1" indent="1"/>
    </xf>
    <xf numFmtId="0" fontId="134" fillId="0" borderId="855" xfId="0" applyFont="1" applyBorder="1" applyAlignment="1">
      <alignment horizontal="left" vertical="center" wrapText="1" indent="1"/>
    </xf>
    <xf numFmtId="0" fontId="134" fillId="0" borderId="855" xfId="0" applyFont="1" applyBorder="1" applyAlignment="1">
      <alignment horizontal="left" wrapText="1" indent="1"/>
    </xf>
    <xf numFmtId="0" fontId="134" fillId="0" borderId="856" xfId="0" applyFont="1" applyBorder="1" applyAlignment="1">
      <alignment horizontal="left" wrapText="1" indent="1"/>
    </xf>
    <xf numFmtId="0" fontId="26" fillId="4" borderId="824" xfId="0" applyFont="1" applyFill="1" applyBorder="1" applyAlignment="1">
      <alignment horizontal="center" vertical="center" wrapText="1"/>
    </xf>
    <xf numFmtId="0" fontId="38" fillId="4" borderId="615" xfId="0" applyFont="1" applyFill="1" applyBorder="1" applyAlignment="1">
      <alignment horizontal="left" vertical="center" wrapText="1" indent="1"/>
    </xf>
    <xf numFmtId="0" fontId="26" fillId="4" borderId="615" xfId="0" applyFont="1" applyFill="1" applyBorder="1" applyAlignment="1">
      <alignment horizontal="center" vertical="center" wrapText="1"/>
    </xf>
    <xf numFmtId="165" fontId="117" fillId="4" borderId="615" xfId="0" applyNumberFormat="1" applyFont="1" applyFill="1" applyBorder="1" applyAlignment="1">
      <alignment horizontal="right" vertical="center" wrapText="1"/>
    </xf>
    <xf numFmtId="165" fontId="136" fillId="4" borderId="615" xfId="0" applyNumberFormat="1" applyFont="1" applyFill="1" applyBorder="1" applyAlignment="1">
      <alignment horizontal="right" vertical="center" wrapText="1"/>
    </xf>
    <xf numFmtId="0" fontId="26" fillId="4" borderId="580" xfId="0" applyFont="1" applyFill="1" applyBorder="1" applyAlignment="1">
      <alignment horizontal="center"/>
    </xf>
    <xf numFmtId="0" fontId="26" fillId="4" borderId="581" xfId="0" applyFont="1" applyFill="1" applyBorder="1" applyAlignment="1">
      <alignment horizontal="left" vertical="center" wrapText="1" indent="1"/>
    </xf>
    <xf numFmtId="165" fontId="117" fillId="4" borderId="581" xfId="0" applyNumberFormat="1" applyFont="1" applyFill="1" applyBorder="1" applyAlignment="1">
      <alignment horizontal="right" vertical="center"/>
    </xf>
    <xf numFmtId="165" fontId="117" fillId="4" borderId="581" xfId="0" applyNumberFormat="1" applyFont="1" applyFill="1" applyBorder="1" applyAlignment="1">
      <alignment horizontal="right" vertical="center" wrapText="1"/>
    </xf>
    <xf numFmtId="165" fontId="136" fillId="4" borderId="581" xfId="0" applyNumberFormat="1" applyFont="1" applyFill="1" applyBorder="1" applyAlignment="1">
      <alignment horizontal="right" vertical="center" wrapText="1"/>
    </xf>
    <xf numFmtId="0" fontId="38" fillId="4" borderId="581" xfId="0" applyFont="1" applyFill="1" applyBorder="1" applyAlignment="1">
      <alignment horizontal="left" vertical="center" wrapText="1" indent="1"/>
    </xf>
    <xf numFmtId="165" fontId="136" fillId="4" borderId="581" xfId="0" applyNumberFormat="1" applyFont="1" applyFill="1" applyBorder="1" applyAlignment="1">
      <alignment horizontal="right" vertical="center"/>
    </xf>
    <xf numFmtId="0" fontId="38" fillId="4" borderId="581" xfId="0" applyFont="1" applyFill="1" applyBorder="1" applyAlignment="1">
      <alignment horizontal="left" vertical="top" wrapText="1" indent="1"/>
    </xf>
    <xf numFmtId="0" fontId="26" fillId="4" borderId="582" xfId="0" applyFont="1" applyFill="1" applyBorder="1" applyAlignment="1">
      <alignment horizontal="center"/>
    </xf>
    <xf numFmtId="0" fontId="26" fillId="4" borderId="583" xfId="0" applyFont="1" applyFill="1" applyBorder="1" applyAlignment="1">
      <alignment horizontal="left" vertical="center" wrapText="1" indent="1"/>
    </xf>
    <xf numFmtId="165" fontId="117" fillId="4" borderId="583" xfId="0" applyNumberFormat="1" applyFont="1" applyFill="1" applyBorder="1" applyAlignment="1">
      <alignment horizontal="right" vertical="center"/>
    </xf>
    <xf numFmtId="165" fontId="136" fillId="4" borderId="583" xfId="0" applyNumberFormat="1" applyFont="1" applyFill="1" applyBorder="1" applyAlignment="1">
      <alignment horizontal="right" vertical="center"/>
    </xf>
    <xf numFmtId="0" fontId="26" fillId="4" borderId="826" xfId="0" applyFont="1" applyFill="1" applyBorder="1" applyAlignment="1">
      <alignment horizontal="center" vertical="center" wrapText="1"/>
    </xf>
    <xf numFmtId="0" fontId="38" fillId="4" borderId="625" xfId="0" applyFont="1" applyFill="1" applyBorder="1" applyAlignment="1">
      <alignment horizontal="left" vertical="center" indent="1"/>
    </xf>
    <xf numFmtId="0" fontId="26" fillId="4" borderId="625" xfId="0" applyFont="1" applyFill="1" applyBorder="1" applyAlignment="1">
      <alignment horizontal="center" vertical="center" wrapText="1"/>
    </xf>
    <xf numFmtId="165" fontId="117" fillId="4" borderId="625" xfId="0" applyNumberFormat="1" applyFont="1" applyFill="1" applyBorder="1" applyAlignment="1">
      <alignment horizontal="right" vertical="center"/>
    </xf>
    <xf numFmtId="165" fontId="136" fillId="4" borderId="625" xfId="0" applyNumberFormat="1" applyFont="1" applyFill="1" applyBorder="1" applyAlignment="1">
      <alignment horizontal="right" vertical="center"/>
    </xf>
    <xf numFmtId="49" fontId="26" fillId="4" borderId="625" xfId="0" applyNumberFormat="1" applyFont="1" applyFill="1" applyBorder="1" applyAlignment="1">
      <alignment horizontal="center" vertical="center"/>
    </xf>
    <xf numFmtId="0" fontId="26" fillId="4" borderId="828" xfId="0" applyFont="1" applyFill="1" applyBorder="1" applyAlignment="1">
      <alignment horizontal="center"/>
    </xf>
    <xf numFmtId="0" fontId="26" fillId="4" borderId="628" xfId="0" applyFont="1" applyFill="1" applyBorder="1" applyAlignment="1">
      <alignment horizontal="left" vertical="center" wrapText="1" indent="1"/>
    </xf>
    <xf numFmtId="0" fontId="26" fillId="4" borderId="628" xfId="0" applyFont="1" applyFill="1" applyBorder="1" applyAlignment="1">
      <alignment horizontal="center" vertical="center" wrapText="1"/>
    </xf>
    <xf numFmtId="165" fontId="117" fillId="4" borderId="628" xfId="0" applyNumberFormat="1" applyFont="1" applyFill="1" applyBorder="1" applyAlignment="1">
      <alignment horizontal="right" vertical="center"/>
    </xf>
    <xf numFmtId="165" fontId="136" fillId="4" borderId="628" xfId="0" applyNumberFormat="1" applyFont="1" applyFill="1" applyBorder="1" applyAlignment="1">
      <alignment horizontal="right" vertical="center"/>
    </xf>
    <xf numFmtId="49" fontId="26" fillId="4" borderId="628" xfId="0" applyNumberFormat="1" applyFont="1" applyFill="1" applyBorder="1" applyAlignment="1">
      <alignment horizontal="center" vertical="center"/>
    </xf>
    <xf numFmtId="0" fontId="26" fillId="4" borderId="829" xfId="0" applyFont="1" applyFill="1" applyBorder="1" applyAlignment="1">
      <alignment horizontal="center"/>
    </xf>
    <xf numFmtId="0" fontId="26" fillId="4" borderId="631" xfId="0" applyFont="1" applyFill="1" applyBorder="1" applyAlignment="1">
      <alignment horizontal="center" vertical="center" wrapText="1"/>
    </xf>
    <xf numFmtId="0" fontId="26" fillId="4" borderId="631" xfId="0" applyFont="1" applyFill="1" applyBorder="1" applyAlignment="1">
      <alignment horizontal="left" indent="1"/>
    </xf>
    <xf numFmtId="0" fontId="117" fillId="4" borderId="631" xfId="0" applyFont="1" applyFill="1" applyBorder="1" applyAlignment="1">
      <alignment horizontal="center"/>
    </xf>
    <xf numFmtId="0" fontId="26" fillId="4" borderId="631" xfId="0" applyFont="1" applyFill="1" applyBorder="1" applyAlignment="1">
      <alignment horizontal="center"/>
    </xf>
    <xf numFmtId="165" fontId="117" fillId="4" borderId="631" xfId="0" applyNumberFormat="1" applyFont="1" applyFill="1" applyBorder="1" applyAlignment="1">
      <alignment horizontal="right"/>
    </xf>
    <xf numFmtId="165" fontId="136" fillId="4" borderId="631" xfId="0" applyNumberFormat="1" applyFont="1" applyFill="1" applyBorder="1" applyAlignment="1">
      <alignment horizontal="right" vertical="center"/>
    </xf>
    <xf numFmtId="49" fontId="26" fillId="4" borderId="631" xfId="0" applyNumberFormat="1" applyFont="1" applyFill="1" applyBorder="1" applyAlignment="1">
      <alignment horizontal="center" vertical="center"/>
    </xf>
    <xf numFmtId="0" fontId="26" fillId="4" borderId="831" xfId="0" applyFont="1" applyFill="1" applyBorder="1" applyAlignment="1">
      <alignment horizontal="center" vertical="center" wrapText="1"/>
    </xf>
    <xf numFmtId="0" fontId="26" fillId="4" borderId="634" xfId="0" applyFont="1" applyFill="1" applyBorder="1" applyAlignment="1">
      <alignment horizontal="center" vertical="center" wrapText="1"/>
    </xf>
    <xf numFmtId="165" fontId="117" fillId="4" borderId="634" xfId="0" applyNumberFormat="1" applyFont="1" applyFill="1" applyBorder="1" applyAlignment="1">
      <alignment horizontal="right" vertical="center"/>
    </xf>
    <xf numFmtId="165" fontId="136" fillId="4" borderId="634" xfId="0" applyNumberFormat="1" applyFont="1" applyFill="1" applyBorder="1" applyAlignment="1">
      <alignment horizontal="right" vertical="center"/>
    </xf>
    <xf numFmtId="49" fontId="26" fillId="4" borderId="634" xfId="0" applyNumberFormat="1" applyFont="1" applyFill="1" applyBorder="1" applyAlignment="1">
      <alignment horizontal="center" vertical="center"/>
    </xf>
    <xf numFmtId="0" fontId="26" fillId="4" borderId="631" xfId="0" applyFont="1" applyFill="1" applyBorder="1" applyAlignment="1">
      <alignment horizontal="left" vertical="center" wrapText="1" indent="1"/>
    </xf>
    <xf numFmtId="165" fontId="117" fillId="4" borderId="631" xfId="0" applyNumberFormat="1" applyFont="1" applyFill="1" applyBorder="1" applyAlignment="1">
      <alignment horizontal="right" vertical="center"/>
    </xf>
    <xf numFmtId="0" fontId="38" fillId="4" borderId="634" xfId="0" applyFont="1" applyFill="1" applyBorder="1" applyAlignment="1">
      <alignment horizontal="left" vertical="center" wrapText="1" indent="1"/>
    </xf>
    <xf numFmtId="165" fontId="117" fillId="4" borderId="634" xfId="0" applyNumberFormat="1" applyFont="1" applyFill="1" applyBorder="1" applyAlignment="1">
      <alignment horizontal="right" vertical="center" wrapText="1"/>
    </xf>
    <xf numFmtId="165" fontId="136" fillId="4" borderId="634" xfId="0" applyNumberFormat="1" applyFont="1" applyFill="1" applyBorder="1" applyAlignment="1">
      <alignment horizontal="right" vertical="center" wrapText="1"/>
    </xf>
    <xf numFmtId="0" fontId="38" fillId="4" borderId="625" xfId="0" applyFont="1" applyFill="1" applyBorder="1" applyAlignment="1">
      <alignment horizontal="left" vertical="center" wrapText="1" indent="1"/>
    </xf>
    <xf numFmtId="0" fontId="38" fillId="4" borderId="625" xfId="0" applyFont="1" applyFill="1" applyBorder="1" applyAlignment="1">
      <alignment horizontal="left" vertical="top" wrapText="1" indent="1"/>
    </xf>
    <xf numFmtId="0" fontId="131" fillId="4" borderId="581" xfId="0" applyFont="1" applyFill="1" applyBorder="1" applyAlignment="1">
      <alignment horizontal="left" vertical="center" wrapText="1"/>
    </xf>
    <xf numFmtId="0" fontId="131" fillId="4" borderId="581" xfId="0" applyFont="1" applyFill="1" applyBorder="1" applyAlignment="1">
      <alignment horizontal="center" vertical="center" wrapText="1"/>
    </xf>
    <xf numFmtId="0" fontId="131" fillId="4" borderId="631" xfId="0" applyFont="1" applyFill="1" applyBorder="1" applyAlignment="1">
      <alignment vertical="center" wrapText="1"/>
    </xf>
    <xf numFmtId="0" fontId="131" fillId="4" borderId="631" xfId="0" applyFont="1" applyFill="1" applyBorder="1" applyAlignment="1">
      <alignment horizontal="center" vertical="center" wrapText="1"/>
    </xf>
    <xf numFmtId="0" fontId="135" fillId="4" borderId="634" xfId="0" applyFont="1" applyFill="1" applyBorder="1" applyAlignment="1">
      <alignment horizontal="center" vertical="center" wrapText="1"/>
    </xf>
    <xf numFmtId="0" fontId="131" fillId="4" borderId="581" xfId="0" applyFont="1" applyFill="1" applyBorder="1" applyAlignment="1">
      <alignment vertical="center" wrapText="1"/>
    </xf>
    <xf numFmtId="0" fontId="135" fillId="4" borderId="581" xfId="0" applyFont="1" applyFill="1" applyBorder="1" applyAlignment="1">
      <alignment horizontal="center" vertical="center" wrapText="1"/>
    </xf>
    <xf numFmtId="0" fontId="131" fillId="4" borderId="628" xfId="0" applyFont="1" applyFill="1" applyBorder="1" applyAlignment="1">
      <alignment vertical="center"/>
    </xf>
    <xf numFmtId="0" fontId="131" fillId="4" borderId="581" xfId="0" applyFont="1" applyFill="1" applyBorder="1" applyAlignment="1">
      <alignment vertical="center"/>
    </xf>
    <xf numFmtId="0" fontId="131" fillId="4" borderId="631" xfId="0" applyFont="1" applyFill="1" applyBorder="1" applyAlignment="1">
      <alignment vertical="center"/>
    </xf>
    <xf numFmtId="0" fontId="131" fillId="0" borderId="625" xfId="0" applyFont="1" applyBorder="1" applyAlignment="1">
      <alignment horizontal="center" vertical="center" wrapText="1"/>
    </xf>
    <xf numFmtId="165" fontId="117" fillId="0" borderId="625" xfId="0" applyNumberFormat="1" applyFont="1" applyBorder="1" applyAlignment="1">
      <alignment horizontal="center" vertical="center"/>
    </xf>
    <xf numFmtId="165" fontId="26" fillId="0" borderId="625" xfId="0" applyNumberFormat="1" applyFont="1" applyBorder="1" applyAlignment="1">
      <alignment horizontal="center" vertical="center"/>
    </xf>
    <xf numFmtId="0" fontId="26" fillId="0" borderId="625" xfId="0" applyFont="1" applyBorder="1" applyAlignment="1">
      <alignment horizontal="center" vertical="center" wrapText="1"/>
    </xf>
    <xf numFmtId="0" fontId="131" fillId="0" borderId="581" xfId="0" applyFont="1" applyBorder="1" applyAlignment="1">
      <alignment horizontal="center" vertical="center" wrapText="1"/>
    </xf>
    <xf numFmtId="0" fontId="117" fillId="0" borderId="581" xfId="0" applyFont="1" applyBorder="1" applyAlignment="1">
      <alignment horizontal="center" vertical="center"/>
    </xf>
    <xf numFmtId="165" fontId="26" fillId="0" borderId="581" xfId="0" applyNumberFormat="1" applyFont="1" applyBorder="1" applyAlignment="1">
      <alignment horizontal="center" vertical="center"/>
    </xf>
    <xf numFmtId="165" fontId="117" fillId="0" borderId="581" xfId="0" applyNumberFormat="1" applyFont="1" applyBorder="1" applyAlignment="1">
      <alignment horizontal="center" vertical="center"/>
    </xf>
    <xf numFmtId="172" fontId="117" fillId="0" borderId="581" xfId="0" applyNumberFormat="1" applyFont="1" applyBorder="1" applyAlignment="1">
      <alignment horizontal="center" vertical="center"/>
    </xf>
    <xf numFmtId="165" fontId="117" fillId="0" borderId="581" xfId="0" applyNumberFormat="1" applyFont="1" applyBorder="1" applyAlignment="1">
      <alignment horizontal="left" vertical="center" wrapText="1"/>
    </xf>
    <xf numFmtId="0" fontId="131" fillId="0" borderId="581" xfId="0" applyFont="1" applyBorder="1" applyAlignment="1">
      <alignment horizontal="center" vertical="top" wrapText="1"/>
    </xf>
    <xf numFmtId="0" fontId="131" fillId="0" borderId="581" xfId="0" applyFont="1" applyBorder="1" applyAlignment="1">
      <alignment horizontal="center"/>
    </xf>
    <xf numFmtId="0" fontId="117" fillId="0" borderId="581" xfId="0" applyFont="1" applyBorder="1" applyAlignment="1">
      <alignment horizontal="center"/>
    </xf>
    <xf numFmtId="0" fontId="26" fillId="0" borderId="581" xfId="0" applyFont="1" applyBorder="1" applyAlignment="1">
      <alignment horizontal="center"/>
    </xf>
    <xf numFmtId="165" fontId="117" fillId="0" borderId="581" xfId="0" applyNumberFormat="1" applyFont="1" applyBorder="1" applyAlignment="1">
      <alignment horizontal="center"/>
    </xf>
    <xf numFmtId="165" fontId="136" fillId="0" borderId="581" xfId="0" applyNumberFormat="1" applyFont="1" applyBorder="1" applyAlignment="1">
      <alignment horizontal="center" vertical="center"/>
    </xf>
    <xf numFmtId="49" fontId="26" fillId="0" borderId="581" xfId="0" applyNumberFormat="1" applyFont="1" applyBorder="1" applyAlignment="1">
      <alignment horizontal="center" vertical="center"/>
    </xf>
    <xf numFmtId="0" fontId="131" fillId="0" borderId="581" xfId="0" applyFont="1" applyBorder="1" applyAlignment="1">
      <alignment horizontal="center" vertical="top"/>
    </xf>
    <xf numFmtId="0" fontId="26" fillId="0" borderId="581" xfId="0" applyFont="1" applyBorder="1" applyAlignment="1">
      <alignment horizontal="left" vertical="top" wrapText="1" indent="1"/>
    </xf>
    <xf numFmtId="165" fontId="117" fillId="0" borderId="581" xfId="0" applyNumberFormat="1" applyFont="1" applyBorder="1" applyAlignment="1">
      <alignment horizontal="center" vertical="center" wrapText="1"/>
    </xf>
    <xf numFmtId="49" fontId="131" fillId="4" borderId="581" xfId="0" applyNumberFormat="1" applyFont="1" applyFill="1" applyBorder="1" applyAlignment="1">
      <alignment horizontal="center" vertical="center" wrapText="1"/>
    </xf>
    <xf numFmtId="3" fontId="117" fillId="0" borderId="581" xfId="0" applyNumberFormat="1" applyFont="1" applyBorder="1" applyAlignment="1">
      <alignment horizontal="center" vertical="center" wrapText="1"/>
    </xf>
    <xf numFmtId="49" fontId="126" fillId="0" borderId="581" xfId="0" applyNumberFormat="1" applyFont="1" applyBorder="1" applyAlignment="1">
      <alignment horizontal="center" vertical="center"/>
    </xf>
    <xf numFmtId="3" fontId="123" fillId="0" borderId="581" xfId="0" applyNumberFormat="1" applyFont="1" applyBorder="1" applyAlignment="1">
      <alignment horizontal="center" vertical="center" wrapText="1"/>
    </xf>
    <xf numFmtId="0" fontId="38" fillId="0" borderId="581" xfId="0" applyFont="1" applyBorder="1" applyAlignment="1">
      <alignment horizontal="left" vertical="top" wrapText="1" indent="1"/>
    </xf>
    <xf numFmtId="165" fontId="117" fillId="0" borderId="583" xfId="0" applyNumberFormat="1" applyFont="1" applyBorder="1" applyAlignment="1">
      <alignment horizontal="center" vertical="center"/>
    </xf>
    <xf numFmtId="165" fontId="136" fillId="0" borderId="583" xfId="0" applyNumberFormat="1" applyFont="1" applyBorder="1" applyAlignment="1">
      <alignment horizontal="center" vertical="center"/>
    </xf>
    <xf numFmtId="0" fontId="26" fillId="0" borderId="581" xfId="0" applyFont="1" applyBorder="1" applyAlignment="1">
      <alignment horizontal="left" vertical="center" indent="1"/>
    </xf>
    <xf numFmtId="0" fontId="26" fillId="0" borderId="581" xfId="0" applyFont="1" applyBorder="1" applyAlignment="1">
      <alignment vertical="center"/>
    </xf>
    <xf numFmtId="49" fontId="26" fillId="0" borderId="581" xfId="0" applyNumberFormat="1" applyFont="1" applyBorder="1" applyAlignment="1">
      <alignment vertical="center"/>
    </xf>
    <xf numFmtId="165" fontId="117" fillId="0" borderId="581" xfId="0" applyNumberFormat="1" applyFont="1" applyBorder="1" applyAlignment="1">
      <alignment horizontal="right" vertical="center"/>
    </xf>
    <xf numFmtId="0" fontId="136" fillId="0" borderId="581" xfId="0" applyFont="1" applyBorder="1" applyAlignment="1">
      <alignment horizontal="center" vertical="center"/>
    </xf>
    <xf numFmtId="0" fontId="38" fillId="0" borderId="581" xfId="0" applyFont="1" applyBorder="1" applyAlignment="1">
      <alignment vertical="center"/>
    </xf>
    <xf numFmtId="0" fontId="126" fillId="0" borderId="581" xfId="0" applyFont="1" applyBorder="1" applyAlignment="1">
      <alignment horizontal="center" vertical="center"/>
    </xf>
    <xf numFmtId="0" fontId="26" fillId="0" borderId="581" xfId="0" applyFont="1" applyBorder="1" applyAlignment="1">
      <alignment horizontal="center" vertical="center"/>
    </xf>
    <xf numFmtId="0" fontId="26" fillId="0" borderId="583" xfId="0" applyFont="1" applyBorder="1" applyAlignment="1">
      <alignment horizontal="left" vertical="center" indent="1"/>
    </xf>
    <xf numFmtId="0" fontId="117" fillId="0" borderId="583" xfId="0" applyFont="1" applyBorder="1" applyAlignment="1">
      <alignment horizontal="center" vertical="center"/>
    </xf>
    <xf numFmtId="0" fontId="26" fillId="0" borderId="583" xfId="0" applyFont="1" applyBorder="1" applyAlignment="1">
      <alignment vertical="center"/>
    </xf>
    <xf numFmtId="165" fontId="117" fillId="0" borderId="583" xfId="0" applyNumberFormat="1" applyFont="1" applyBorder="1" applyAlignment="1">
      <alignment horizontal="right" vertical="center"/>
    </xf>
    <xf numFmtId="49" fontId="26" fillId="0" borderId="583" xfId="0" applyNumberFormat="1" applyFont="1" applyBorder="1" applyAlignment="1">
      <alignment vertical="center"/>
    </xf>
    <xf numFmtId="0" fontId="132" fillId="8" borderId="870" xfId="0" applyFont="1" applyFill="1" applyBorder="1" applyAlignment="1">
      <alignment horizontal="right" vertical="center"/>
    </xf>
    <xf numFmtId="165" fontId="173" fillId="8" borderId="871" xfId="0" applyNumberFormat="1" applyFont="1" applyFill="1" applyBorder="1" applyAlignment="1">
      <alignment horizontal="right" vertical="center"/>
    </xf>
    <xf numFmtId="0" fontId="131" fillId="0" borderId="625" xfId="0" applyFont="1" applyBorder="1" applyAlignment="1">
      <alignment horizontal="center" vertical="top"/>
    </xf>
    <xf numFmtId="0" fontId="117" fillId="0" borderId="625" xfId="0" applyFont="1" applyBorder="1" applyAlignment="1">
      <alignment horizontal="center" vertical="center" wrapText="1"/>
    </xf>
    <xf numFmtId="165" fontId="117" fillId="0" borderId="625" xfId="0" applyNumberFormat="1" applyFont="1" applyBorder="1" applyAlignment="1">
      <alignment vertical="center"/>
    </xf>
    <xf numFmtId="165" fontId="136" fillId="0" borderId="625" xfId="0" applyNumberFormat="1" applyFont="1" applyBorder="1" applyAlignment="1">
      <alignment horizontal="center" vertical="center"/>
    </xf>
    <xf numFmtId="49" fontId="26" fillId="0" borderId="625" xfId="0" applyNumberFormat="1" applyFont="1" applyBorder="1" applyAlignment="1">
      <alignment horizontal="center" vertical="center"/>
    </xf>
    <xf numFmtId="0" fontId="131" fillId="0" borderId="628" xfId="0" applyFont="1" applyBorder="1" applyAlignment="1">
      <alignment horizontal="center" vertical="top" wrapText="1"/>
    </xf>
    <xf numFmtId="0" fontId="26" fillId="0" borderId="628" xfId="0" applyFont="1" applyBorder="1" applyAlignment="1">
      <alignment horizontal="left" vertical="center" wrapText="1" indent="1"/>
    </xf>
    <xf numFmtId="0" fontId="117" fillId="0" borderId="628" xfId="0" applyFont="1" applyBorder="1" applyAlignment="1">
      <alignment horizontal="center" vertical="center" wrapText="1"/>
    </xf>
    <xf numFmtId="0" fontId="26" fillId="0" borderId="628" xfId="0" applyFont="1" applyBorder="1" applyAlignment="1">
      <alignment horizontal="center" vertical="center" wrapText="1"/>
    </xf>
    <xf numFmtId="165" fontId="117" fillId="0" borderId="628" xfId="0" applyNumberFormat="1" applyFont="1" applyBorder="1" applyAlignment="1">
      <alignment horizontal="center" vertical="center"/>
    </xf>
    <xf numFmtId="165" fontId="117" fillId="0" borderId="628" xfId="0" applyNumberFormat="1" applyFont="1" applyBorder="1" applyAlignment="1">
      <alignment vertical="center"/>
    </xf>
    <xf numFmtId="165" fontId="136" fillId="0" borderId="628" xfId="0" applyNumberFormat="1" applyFont="1" applyBorder="1" applyAlignment="1">
      <alignment horizontal="center" vertical="center"/>
    </xf>
    <xf numFmtId="49" fontId="26" fillId="0" borderId="628" xfId="0" applyNumberFormat="1" applyFont="1" applyBorder="1" applyAlignment="1">
      <alignment horizontal="center" vertical="center"/>
    </xf>
    <xf numFmtId="0" fontId="131" fillId="0" borderId="631" xfId="0" applyFont="1" applyBorder="1" applyAlignment="1">
      <alignment horizontal="center" vertical="top" wrapText="1"/>
    </xf>
    <xf numFmtId="0" fontId="131" fillId="0" borderId="631" xfId="0" applyFont="1" applyBorder="1" applyAlignment="1">
      <alignment horizontal="center" vertical="center" wrapText="1"/>
    </xf>
    <xf numFmtId="0" fontId="26" fillId="0" borderId="631" xfId="0" applyFont="1" applyBorder="1" applyAlignment="1">
      <alignment horizontal="left" vertical="center" wrapText="1" indent="1"/>
    </xf>
    <xf numFmtId="165" fontId="117" fillId="0" borderId="631" xfId="0" applyNumberFormat="1" applyFont="1" applyBorder="1" applyAlignment="1">
      <alignment horizontal="center" vertical="center"/>
    </xf>
    <xf numFmtId="165" fontId="26" fillId="0" borderId="631" xfId="0" applyNumberFormat="1" applyFont="1" applyBorder="1" applyAlignment="1">
      <alignment horizontal="center" vertical="center"/>
    </xf>
    <xf numFmtId="165" fontId="117" fillId="0" borderId="631" xfId="0" applyNumberFormat="1" applyFont="1" applyBorder="1" applyAlignment="1">
      <alignment horizontal="left" vertical="top" wrapText="1"/>
    </xf>
    <xf numFmtId="165" fontId="117" fillId="0" borderId="631" xfId="0" applyNumberFormat="1" applyFont="1" applyBorder="1" applyAlignment="1">
      <alignment vertical="center"/>
    </xf>
    <xf numFmtId="0" fontId="26" fillId="0" borderId="631" xfId="0" applyFont="1" applyBorder="1" applyAlignment="1">
      <alignment horizontal="center" vertical="center" wrapText="1"/>
    </xf>
    <xf numFmtId="0" fontId="131" fillId="0" borderId="634" xfId="0" applyFont="1" applyBorder="1" applyAlignment="1">
      <alignment horizontal="center"/>
    </xf>
    <xf numFmtId="0" fontId="26" fillId="0" borderId="634" xfId="0" applyFont="1" applyBorder="1" applyAlignment="1">
      <alignment horizontal="left" indent="1"/>
    </xf>
    <xf numFmtId="0" fontId="117" fillId="0" borderId="634" xfId="0" applyFont="1" applyBorder="1" applyAlignment="1">
      <alignment horizontal="center"/>
    </xf>
    <xf numFmtId="0" fontId="26" fillId="0" borderId="634" xfId="0" applyFont="1" applyBorder="1"/>
    <xf numFmtId="165" fontId="117" fillId="0" borderId="634" xfId="0" applyNumberFormat="1" applyFont="1" applyBorder="1"/>
    <xf numFmtId="165" fontId="117" fillId="0" borderId="634" xfId="0" applyNumberFormat="1" applyFont="1" applyBorder="1" applyAlignment="1">
      <alignment vertical="center"/>
    </xf>
    <xf numFmtId="0" fontId="131" fillId="0" borderId="631" xfId="0" applyFont="1" applyBorder="1" applyAlignment="1">
      <alignment horizontal="center" vertical="top"/>
    </xf>
    <xf numFmtId="0" fontId="117" fillId="0" borderId="631" xfId="0" applyFont="1" applyBorder="1" applyAlignment="1">
      <alignment horizontal="center" vertical="center" wrapText="1"/>
    </xf>
    <xf numFmtId="165" fontId="136" fillId="0" borderId="631" xfId="0" applyNumberFormat="1" applyFont="1" applyBorder="1" applyAlignment="1">
      <alignment horizontal="center" vertical="center"/>
    </xf>
    <xf numFmtId="49" fontId="26" fillId="0" borderId="631" xfId="0" applyNumberFormat="1" applyFont="1" applyBorder="1" applyAlignment="1">
      <alignment horizontal="center" vertical="center"/>
    </xf>
    <xf numFmtId="0" fontId="131" fillId="0" borderId="634" xfId="0" applyFont="1" applyBorder="1" applyAlignment="1">
      <alignment horizontal="center" vertical="top"/>
    </xf>
    <xf numFmtId="0" fontId="117" fillId="0" borderId="634" xfId="0" applyFont="1" applyBorder="1" applyAlignment="1">
      <alignment horizontal="center" vertical="center" wrapText="1"/>
    </xf>
    <xf numFmtId="0" fontId="26" fillId="0" borderId="634" xfId="0" applyFont="1" applyBorder="1" applyAlignment="1">
      <alignment horizontal="center" vertical="center" wrapText="1"/>
    </xf>
    <xf numFmtId="165" fontId="117" fillId="0" borderId="634" xfId="0" applyNumberFormat="1" applyFont="1" applyBorder="1" applyAlignment="1">
      <alignment horizontal="center" vertical="center"/>
    </xf>
    <xf numFmtId="165" fontId="136" fillId="0" borderId="634" xfId="0" applyNumberFormat="1" applyFont="1" applyBorder="1" applyAlignment="1">
      <alignment horizontal="center" vertical="center"/>
    </xf>
    <xf numFmtId="49" fontId="26" fillId="0" borderId="634" xfId="0" applyNumberFormat="1" applyFont="1" applyBorder="1" applyAlignment="1">
      <alignment horizontal="center" vertical="center"/>
    </xf>
    <xf numFmtId="165" fontId="117" fillId="0" borderId="625" xfId="0" applyNumberFormat="1" applyFont="1" applyBorder="1" applyAlignment="1">
      <alignment horizontal="center" vertical="center" wrapText="1"/>
    </xf>
    <xf numFmtId="0" fontId="131" fillId="0" borderId="628" xfId="0" applyFont="1" applyBorder="1" applyAlignment="1">
      <alignment horizontal="center" vertical="top"/>
    </xf>
    <xf numFmtId="0" fontId="135" fillId="0" borderId="625" xfId="0" applyFont="1" applyBorder="1" applyAlignment="1">
      <alignment horizontal="center" vertical="center" wrapText="1"/>
    </xf>
    <xf numFmtId="0" fontId="117" fillId="0" borderId="625" xfId="0" applyFont="1" applyBorder="1" applyAlignment="1">
      <alignment horizontal="center" vertical="top" wrapText="1"/>
    </xf>
    <xf numFmtId="0" fontId="26" fillId="0" borderId="625" xfId="0" applyFont="1" applyBorder="1" applyAlignment="1">
      <alignment horizontal="center" vertical="top" wrapText="1"/>
    </xf>
    <xf numFmtId="0" fontId="131" fillId="0" borderId="628" xfId="0" applyFont="1" applyBorder="1" applyAlignment="1">
      <alignment horizontal="center" vertical="center"/>
    </xf>
    <xf numFmtId="165" fontId="117" fillId="0" borderId="631" xfId="0" applyNumberFormat="1" applyFont="1" applyBorder="1" applyAlignment="1">
      <alignment horizontal="center" vertical="center" wrapText="1"/>
    </xf>
    <xf numFmtId="0" fontId="135" fillId="0" borderId="634" xfId="0" applyFont="1" applyBorder="1" applyAlignment="1">
      <alignment horizontal="center" vertical="center"/>
    </xf>
    <xf numFmtId="0" fontId="131" fillId="0" borderId="631" xfId="0" applyFont="1" applyBorder="1" applyAlignment="1">
      <alignment horizontal="center" vertical="center"/>
    </xf>
    <xf numFmtId="0" fontId="131" fillId="0" borderId="634" xfId="0" applyFont="1" applyBorder="1" applyAlignment="1">
      <alignment horizontal="center" vertical="center"/>
    </xf>
    <xf numFmtId="4" fontId="117" fillId="0" borderId="634" xfId="0" applyNumberFormat="1" applyFont="1" applyBorder="1" applyAlignment="1">
      <alignment horizontal="center" vertical="center" wrapText="1"/>
    </xf>
    <xf numFmtId="0" fontId="131" fillId="0" borderId="625" xfId="0" applyFont="1" applyBorder="1" applyAlignment="1">
      <alignment horizontal="center" vertical="center"/>
    </xf>
    <xf numFmtId="0" fontId="26" fillId="0" borderId="625" xfId="0" applyFont="1" applyBorder="1" applyAlignment="1">
      <alignment horizontal="left" vertical="center" indent="1"/>
    </xf>
    <xf numFmtId="0" fontId="117" fillId="0" borderId="625" xfId="0" applyFont="1" applyBorder="1" applyAlignment="1">
      <alignment horizontal="center" vertical="center"/>
    </xf>
    <xf numFmtId="0" fontId="26" fillId="0" borderId="625" xfId="0" applyFont="1" applyBorder="1" applyAlignment="1">
      <alignment vertical="center"/>
    </xf>
    <xf numFmtId="49" fontId="26" fillId="0" borderId="625" xfId="0" applyNumberFormat="1" applyFont="1" applyBorder="1" applyAlignment="1">
      <alignment vertical="center"/>
    </xf>
    <xf numFmtId="0" fontId="26" fillId="0" borderId="628" xfId="0" applyFont="1" applyBorder="1" applyAlignment="1">
      <alignment horizontal="left" vertical="center" indent="1"/>
    </xf>
    <xf numFmtId="0" fontId="117" fillId="0" borderId="628" xfId="0" applyFont="1" applyBorder="1" applyAlignment="1">
      <alignment horizontal="center" vertical="center"/>
    </xf>
    <xf numFmtId="0" fontId="26" fillId="0" borderId="628" xfId="0" applyFont="1" applyBorder="1" applyAlignment="1">
      <alignment vertical="center"/>
    </xf>
    <xf numFmtId="165" fontId="117" fillId="0" borderId="628" xfId="0" applyNumberFormat="1" applyFont="1" applyBorder="1" applyAlignment="1">
      <alignment horizontal="right" vertical="center"/>
    </xf>
    <xf numFmtId="49" fontId="26" fillId="0" borderId="628" xfId="0" applyNumberFormat="1" applyFont="1" applyBorder="1" applyAlignment="1">
      <alignment vertical="center"/>
    </xf>
    <xf numFmtId="0" fontId="26" fillId="0" borderId="634" xfId="0" applyFont="1" applyBorder="1" applyAlignment="1">
      <alignment horizontal="left" vertical="center" indent="1"/>
    </xf>
    <xf numFmtId="0" fontId="117" fillId="0" borderId="634" xfId="0" applyFont="1" applyBorder="1" applyAlignment="1">
      <alignment horizontal="center" vertical="center"/>
    </xf>
    <xf numFmtId="0" fontId="26" fillId="0" borderId="634" xfId="0" applyFont="1" applyBorder="1" applyAlignment="1">
      <alignment vertical="center"/>
    </xf>
    <xf numFmtId="49" fontId="26" fillId="0" borderId="634" xfId="0" applyNumberFormat="1" applyFont="1" applyBorder="1" applyAlignment="1">
      <alignment vertical="center"/>
    </xf>
    <xf numFmtId="0" fontId="26" fillId="0" borderId="631" xfId="0" applyFont="1" applyBorder="1" applyAlignment="1">
      <alignment horizontal="left" vertical="center" indent="1"/>
    </xf>
    <xf numFmtId="0" fontId="117" fillId="0" borderId="631" xfId="0" applyFont="1" applyBorder="1" applyAlignment="1">
      <alignment horizontal="center" vertical="center"/>
    </xf>
    <xf numFmtId="0" fontId="26" fillId="0" borderId="631" xfId="0" applyFont="1" applyBorder="1" applyAlignment="1">
      <alignment vertical="center"/>
    </xf>
    <xf numFmtId="165" fontId="117" fillId="0" borderId="631" xfId="0" applyNumberFormat="1" applyFont="1" applyBorder="1" applyAlignment="1">
      <alignment horizontal="right" vertical="center"/>
    </xf>
    <xf numFmtId="49" fontId="26" fillId="0" borderId="631" xfId="0" applyNumberFormat="1" applyFont="1" applyBorder="1" applyAlignment="1">
      <alignment vertical="center"/>
    </xf>
    <xf numFmtId="0" fontId="117" fillId="0" borderId="634" xfId="0" applyFont="1" applyBorder="1" applyAlignment="1">
      <alignment horizontal="center" vertical="top" wrapText="1"/>
    </xf>
    <xf numFmtId="0" fontId="26" fillId="0" borderId="634" xfId="0" applyFont="1" applyBorder="1" applyAlignment="1">
      <alignment horizontal="center" vertical="top" wrapText="1"/>
    </xf>
    <xf numFmtId="165" fontId="117" fillId="0" borderId="625" xfId="0" applyNumberFormat="1" applyFont="1" applyBorder="1" applyAlignment="1">
      <alignment horizontal="right" vertical="center"/>
    </xf>
    <xf numFmtId="0" fontId="134" fillId="0" borderId="785" xfId="0" applyFont="1" applyBorder="1" applyAlignment="1">
      <alignment horizontal="left" vertical="center" wrapText="1" indent="1"/>
    </xf>
    <xf numFmtId="0" fontId="131" fillId="0" borderId="615" xfId="0" applyFont="1" applyBorder="1" applyAlignment="1">
      <alignment horizontal="center" vertical="center" wrapText="1"/>
    </xf>
    <xf numFmtId="165" fontId="117" fillId="0" borderId="615" xfId="0" applyNumberFormat="1" applyFont="1" applyBorder="1" applyAlignment="1">
      <alignment horizontal="center" vertical="center"/>
    </xf>
    <xf numFmtId="165" fontId="26" fillId="0" borderId="615" xfId="0" applyNumberFormat="1" applyFont="1" applyBorder="1" applyAlignment="1">
      <alignment horizontal="center" vertical="center"/>
    </xf>
    <xf numFmtId="165" fontId="117" fillId="0" borderId="615" xfId="0" applyNumberFormat="1" applyFont="1" applyBorder="1" applyAlignment="1">
      <alignment horizontal="left" vertical="top" wrapText="1"/>
    </xf>
    <xf numFmtId="165" fontId="117" fillId="0" borderId="615" xfId="0" applyNumberFormat="1" applyFont="1" applyBorder="1" applyAlignment="1">
      <alignment vertical="center"/>
    </xf>
    <xf numFmtId="0" fontId="139" fillId="3" borderId="786" xfId="0" applyFont="1" applyFill="1" applyBorder="1" applyAlignment="1">
      <alignment horizontal="left" vertical="center" wrapText="1" indent="1"/>
    </xf>
    <xf numFmtId="0" fontId="134" fillId="0" borderId="786" xfId="0" applyFont="1" applyBorder="1" applyAlignment="1">
      <alignment horizontal="left" vertical="center" wrapText="1" indent="1"/>
    </xf>
    <xf numFmtId="0" fontId="134" fillId="0" borderId="787" xfId="0" applyFont="1" applyBorder="1" applyAlignment="1">
      <alignment horizontal="left" vertical="center" wrapText="1" indent="1"/>
    </xf>
    <xf numFmtId="0" fontId="134" fillId="0" borderId="788" xfId="0" applyFont="1" applyBorder="1" applyAlignment="1">
      <alignment horizontal="left" vertical="center" wrapText="1" indent="1"/>
    </xf>
    <xf numFmtId="0" fontId="134" fillId="0" borderId="789" xfId="0" applyFont="1" applyBorder="1" applyAlignment="1">
      <alignment horizontal="left" vertical="center" wrapText="1" indent="1"/>
    </xf>
    <xf numFmtId="0" fontId="139" fillId="3" borderId="790" xfId="0" applyFont="1" applyFill="1" applyBorder="1" applyAlignment="1">
      <alignment horizontal="left" vertical="center" wrapText="1" indent="1"/>
    </xf>
    <xf numFmtId="0" fontId="139" fillId="3" borderId="787" xfId="0" applyFont="1" applyFill="1" applyBorder="1" applyAlignment="1">
      <alignment horizontal="left" vertical="center" wrapText="1" indent="1"/>
    </xf>
    <xf numFmtId="0" fontId="134" fillId="0" borderId="794" xfId="0" applyFont="1" applyBorder="1" applyAlignment="1">
      <alignment horizontal="left" vertical="center" wrapText="1" indent="1"/>
    </xf>
    <xf numFmtId="0" fontId="134" fillId="0" borderId="788" xfId="0" applyFont="1" applyBorder="1" applyAlignment="1">
      <alignment horizontal="left" vertical="center" indent="1"/>
    </xf>
    <xf numFmtId="0" fontId="134" fillId="0" borderId="786" xfId="0" applyFont="1" applyBorder="1" applyAlignment="1">
      <alignment horizontal="left" vertical="center" indent="1"/>
    </xf>
    <xf numFmtId="0" fontId="134" fillId="0" borderId="789" xfId="0" applyFont="1" applyBorder="1" applyAlignment="1">
      <alignment horizontal="left" vertical="center" indent="1"/>
    </xf>
    <xf numFmtId="0" fontId="134" fillId="0" borderId="790" xfId="0" applyFont="1" applyBorder="1" applyAlignment="1">
      <alignment horizontal="left" vertical="center" indent="1"/>
    </xf>
    <xf numFmtId="0" fontId="134" fillId="0" borderId="787" xfId="0" applyFont="1" applyBorder="1" applyAlignment="1">
      <alignment horizontal="left" vertical="center" indent="1"/>
    </xf>
    <xf numFmtId="0" fontId="139" fillId="3" borderId="788" xfId="0" applyFont="1" applyFill="1" applyBorder="1" applyAlignment="1">
      <alignment horizontal="left" vertical="center" wrapText="1" indent="1"/>
    </xf>
    <xf numFmtId="0" fontId="134" fillId="0" borderId="794" xfId="0" applyFont="1" applyBorder="1" applyAlignment="1">
      <alignment horizontal="left" vertical="center" indent="1"/>
    </xf>
    <xf numFmtId="0" fontId="139" fillId="8" borderId="334" xfId="0" applyFont="1" applyFill="1" applyBorder="1" applyAlignment="1">
      <alignment horizontal="left" vertical="center" indent="1"/>
    </xf>
    <xf numFmtId="0" fontId="132" fillId="8" borderId="382" xfId="0" applyFont="1" applyFill="1" applyBorder="1" applyAlignment="1">
      <alignment horizontal="right" vertical="center"/>
    </xf>
    <xf numFmtId="173" fontId="132" fillId="8" borderId="883" xfId="0" applyNumberFormat="1" applyFont="1" applyFill="1" applyBorder="1" applyAlignment="1">
      <alignment horizontal="center" vertical="center"/>
    </xf>
    <xf numFmtId="0" fontId="11" fillId="31" borderId="418" xfId="0" applyFont="1" applyFill="1" applyBorder="1" applyAlignment="1">
      <alignment vertical="center"/>
    </xf>
    <xf numFmtId="0" fontId="15" fillId="20" borderId="418" xfId="0" applyFont="1" applyFill="1" applyBorder="1" applyAlignment="1"/>
    <xf numFmtId="0" fontId="14" fillId="31" borderId="611" xfId="0" applyFont="1" applyFill="1" applyBorder="1" applyAlignment="1">
      <alignment vertical="center"/>
    </xf>
    <xf numFmtId="0" fontId="15" fillId="20" borderId="611" xfId="0" applyFont="1" applyFill="1" applyBorder="1" applyAlignment="1">
      <alignment vertical="center"/>
    </xf>
    <xf numFmtId="0" fontId="0" fillId="0" borderId="0" xfId="0" applyFont="1" applyAlignment="1"/>
    <xf numFmtId="0" fontId="26" fillId="0" borderId="248" xfId="0" applyFont="1" applyBorder="1" applyAlignment="1">
      <alignment horizontal="left" vertical="center" wrapText="1" indent="1"/>
    </xf>
    <xf numFmtId="0" fontId="38" fillId="0" borderId="248" xfId="0" applyFont="1" applyBorder="1" applyAlignment="1">
      <alignment horizontal="left" vertical="center" wrapText="1" indent="1"/>
    </xf>
    <xf numFmtId="0" fontId="38" fillId="0" borderId="415" xfId="0" applyFont="1" applyBorder="1" applyAlignment="1">
      <alignment horizontal="left" vertical="center" wrapText="1" indent="1"/>
    </xf>
    <xf numFmtId="1" fontId="117" fillId="0" borderId="857" xfId="0" applyNumberFormat="1" applyFont="1" applyBorder="1" applyAlignment="1">
      <alignment horizontal="center" vertical="center" wrapText="1"/>
    </xf>
    <xf numFmtId="165" fontId="136" fillId="0" borderId="634" xfId="0" applyNumberFormat="1" applyFont="1" applyBorder="1" applyAlignment="1">
      <alignment vertical="center"/>
    </xf>
    <xf numFmtId="165" fontId="136" fillId="0" borderId="625" xfId="0" applyNumberFormat="1" applyFont="1" applyBorder="1" applyAlignment="1">
      <alignment vertical="center"/>
    </xf>
    <xf numFmtId="0" fontId="38" fillId="0" borderId="353" xfId="0" applyFont="1" applyBorder="1" applyAlignment="1">
      <alignment horizontal="left" vertical="center" wrapText="1" indent="1"/>
    </xf>
    <xf numFmtId="0" fontId="26" fillId="0" borderId="354" xfId="0" applyFont="1" applyBorder="1" applyAlignment="1">
      <alignment horizontal="left" vertical="center" wrapText="1" indent="1"/>
    </xf>
    <xf numFmtId="0" fontId="38" fillId="0" borderId="354" xfId="0" applyFont="1" applyBorder="1" applyAlignment="1">
      <alignment horizontal="left" vertical="center" wrapText="1" indent="1"/>
    </xf>
    <xf numFmtId="1" fontId="117" fillId="0" borderId="354" xfId="0" applyNumberFormat="1" applyFont="1" applyBorder="1" applyAlignment="1">
      <alignment horizontal="center" vertical="center" wrapText="1"/>
    </xf>
    <xf numFmtId="0" fontId="26" fillId="0" borderId="278" xfId="0" applyFont="1" applyBorder="1" applyAlignment="1">
      <alignment horizontal="left" vertical="center" wrapText="1" indent="1"/>
    </xf>
    <xf numFmtId="1" fontId="135" fillId="4" borderId="343" xfId="0" applyNumberFormat="1" applyFont="1" applyFill="1" applyBorder="1" applyAlignment="1">
      <alignment horizontal="center" vertical="center"/>
    </xf>
    <xf numFmtId="0" fontId="131" fillId="4" borderId="375" xfId="0" applyFont="1" applyFill="1" applyBorder="1" applyAlignment="1">
      <alignment vertical="center"/>
    </xf>
    <xf numFmtId="1" fontId="135" fillId="0" borderId="343" xfId="0" applyNumberFormat="1" applyFont="1" applyBorder="1" applyAlignment="1">
      <alignment horizontal="center" vertical="center"/>
    </xf>
    <xf numFmtId="0" fontId="113" fillId="0" borderId="375" xfId="0" applyFont="1" applyBorder="1" applyAlignment="1">
      <alignment horizontal="center" vertical="center"/>
    </xf>
    <xf numFmtId="0" fontId="113" fillId="0" borderId="375" xfId="0" applyFont="1" applyBorder="1" applyAlignment="1">
      <alignment vertical="center"/>
    </xf>
    <xf numFmtId="0" fontId="131" fillId="0" borderId="354" xfId="0" applyFont="1" applyBorder="1" applyAlignment="1">
      <alignment horizontal="center" vertical="center"/>
    </xf>
    <xf numFmtId="0" fontId="38" fillId="0" borderId="331" xfId="0" applyFont="1" applyBorder="1" applyAlignment="1">
      <alignment horizontal="left" vertical="center" wrapText="1" indent="1"/>
    </xf>
    <xf numFmtId="0" fontId="25" fillId="0" borderId="375" xfId="0" applyFont="1" applyBorder="1" applyAlignment="1">
      <alignment horizontal="left" vertical="center" indent="1"/>
    </xf>
    <xf numFmtId="0" fontId="117" fillId="0" borderId="24" xfId="0" applyFont="1" applyBorder="1" applyAlignment="1">
      <alignment horizontal="center" vertical="center" wrapText="1"/>
    </xf>
    <xf numFmtId="0" fontId="117" fillId="0" borderId="342" xfId="0" applyFont="1" applyBorder="1" applyAlignment="1">
      <alignment horizontal="center" vertical="center" wrapText="1"/>
    </xf>
    <xf numFmtId="0" fontId="117" fillId="0" borderId="333" xfId="0" applyFont="1" applyBorder="1" applyAlignment="1">
      <alignment horizontal="center" vertical="center" wrapText="1"/>
    </xf>
    <xf numFmtId="0" fontId="117" fillId="0" borderId="354" xfId="0" applyFont="1" applyBorder="1" applyAlignment="1">
      <alignment horizontal="center" vertical="center" wrapText="1"/>
    </xf>
    <xf numFmtId="165" fontId="117" fillId="0" borderId="354" xfId="0" applyNumberFormat="1" applyFont="1" applyBorder="1" applyAlignment="1">
      <alignment vertical="center"/>
    </xf>
    <xf numFmtId="165" fontId="136" fillId="0" borderId="354" xfId="0" applyNumberFormat="1" applyFont="1" applyBorder="1" applyAlignment="1">
      <alignment vertical="center"/>
    </xf>
    <xf numFmtId="0" fontId="126" fillId="0" borderId="710" xfId="0" applyFont="1" applyBorder="1" applyAlignment="1">
      <alignment horizontal="left" vertical="center" wrapText="1" indent="1"/>
    </xf>
    <xf numFmtId="0" fontId="114" fillId="0" borderId="375" xfId="0" applyFont="1" applyBorder="1" applyAlignment="1">
      <alignment horizontal="left" vertical="center" indent="1"/>
    </xf>
    <xf numFmtId="0" fontId="131" fillId="0" borderId="311" xfId="0" applyFont="1" applyBorder="1" applyAlignment="1">
      <alignment horizontal="center" vertical="center"/>
    </xf>
    <xf numFmtId="0" fontId="25" fillId="0" borderId="884" xfId="0" applyFont="1" applyBorder="1" applyAlignment="1">
      <alignment horizontal="left" vertical="center" indent="1"/>
    </xf>
    <xf numFmtId="0" fontId="26" fillId="0" borderId="885" xfId="0" applyFont="1" applyBorder="1" applyAlignment="1">
      <alignment horizontal="left" vertical="center" wrapText="1" indent="1"/>
    </xf>
    <xf numFmtId="0" fontId="25" fillId="0" borderId="886" xfId="0" applyFont="1" applyBorder="1" applyAlignment="1">
      <alignment horizontal="left" vertical="center" indent="1"/>
    </xf>
    <xf numFmtId="0" fontId="0" fillId="0" borderId="0" xfId="0" applyFont="1" applyAlignment="1"/>
    <xf numFmtId="0" fontId="26" fillId="0" borderId="248" xfId="0" applyFont="1" applyBorder="1" applyAlignment="1">
      <alignment horizontal="left" vertical="center" wrapText="1" indent="1"/>
    </xf>
    <xf numFmtId="0" fontId="126" fillId="0" borderId="375" xfId="0" applyFont="1" applyBorder="1" applyAlignment="1">
      <alignment horizontal="left" vertical="center" wrapText="1" indent="1"/>
    </xf>
    <xf numFmtId="0" fontId="126" fillId="0" borderId="450" xfId="0" applyFont="1" applyBorder="1" applyAlignment="1">
      <alignment horizontal="left" vertical="center" wrapText="1" indent="1"/>
    </xf>
    <xf numFmtId="0" fontId="126" fillId="0" borderId="354" xfId="0" applyFont="1" applyBorder="1" applyAlignment="1">
      <alignment horizontal="left" vertical="center" wrapText="1" indent="1"/>
    </xf>
    <xf numFmtId="0" fontId="38" fillId="0" borderId="313" xfId="0" applyFont="1" applyBorder="1" applyAlignment="1">
      <alignment horizontal="left" vertical="center" indent="1"/>
    </xf>
    <xf numFmtId="0" fontId="26" fillId="0" borderId="353" xfId="0" applyFont="1" applyBorder="1" applyAlignment="1">
      <alignment horizontal="left" vertical="center" indent="1"/>
    </xf>
    <xf numFmtId="0" fontId="24" fillId="3" borderId="251" xfId="0" applyFont="1" applyFill="1" applyBorder="1" applyAlignment="1">
      <alignment horizontal="left" vertical="center" wrapText="1" indent="1"/>
    </xf>
    <xf numFmtId="0" fontId="38" fillId="4" borderId="217" xfId="0" applyFont="1" applyFill="1" applyBorder="1" applyAlignment="1">
      <alignment horizontal="left" vertical="center" wrapText="1" indent="1"/>
    </xf>
    <xf numFmtId="0" fontId="26" fillId="4" borderId="207" xfId="0" applyFont="1" applyFill="1" applyBorder="1" applyAlignment="1">
      <alignment horizontal="left" vertical="center" wrapText="1" indent="1"/>
    </xf>
    <xf numFmtId="0" fontId="26" fillId="4" borderId="45" xfId="0" applyFont="1" applyFill="1" applyBorder="1" applyAlignment="1">
      <alignment horizontal="left" vertical="center" wrapText="1" indent="1"/>
    </xf>
    <xf numFmtId="0" fontId="38" fillId="4" borderId="45" xfId="0" applyFont="1" applyFill="1" applyBorder="1" applyAlignment="1">
      <alignment horizontal="left" vertical="center" wrapText="1" indent="1"/>
    </xf>
    <xf numFmtId="0" fontId="26" fillId="4" borderId="33" xfId="0" applyFont="1" applyFill="1" applyBorder="1" applyAlignment="1">
      <alignment horizontal="left" vertical="center" wrapText="1" indent="1"/>
    </xf>
    <xf numFmtId="0" fontId="38" fillId="4" borderId="336" xfId="0" applyFont="1" applyFill="1" applyBorder="1" applyAlignment="1">
      <alignment horizontal="left" vertical="center" wrapText="1" indent="1"/>
    </xf>
    <xf numFmtId="0" fontId="26" fillId="4" borderId="253" xfId="0" applyFont="1" applyFill="1" applyBorder="1" applyAlignment="1">
      <alignment horizontal="left" vertical="center" wrapText="1" indent="1"/>
    </xf>
    <xf numFmtId="0" fontId="38" fillId="4" borderId="253" xfId="0" applyFont="1" applyFill="1" applyBorder="1" applyAlignment="1">
      <alignment horizontal="left" vertical="center" wrapText="1" indent="1"/>
    </xf>
    <xf numFmtId="0" fontId="26" fillId="4" borderId="255" xfId="0" applyFont="1" applyFill="1" applyBorder="1" applyAlignment="1">
      <alignment horizontal="left" vertical="center" wrapText="1" indent="1"/>
    </xf>
    <xf numFmtId="0" fontId="26" fillId="4" borderId="28" xfId="0" applyFont="1" applyFill="1" applyBorder="1" applyAlignment="1">
      <alignment horizontal="left" vertical="center" wrapText="1" indent="1"/>
    </xf>
    <xf numFmtId="0" fontId="26" fillId="4" borderId="47" xfId="0" applyFont="1" applyFill="1" applyBorder="1" applyAlignment="1">
      <alignment horizontal="left" vertical="center" wrapText="1" indent="1"/>
    </xf>
    <xf numFmtId="0" fontId="38" fillId="4" borderId="251" xfId="0" applyFont="1" applyFill="1" applyBorder="1" applyAlignment="1">
      <alignment horizontal="left" vertical="center" wrapText="1" indent="1"/>
    </xf>
    <xf numFmtId="0" fontId="38" fillId="4" borderId="38" xfId="0" applyFont="1" applyFill="1" applyBorder="1" applyAlignment="1">
      <alignment horizontal="left" vertical="center" wrapText="1" indent="1"/>
    </xf>
    <xf numFmtId="0" fontId="26" fillId="0" borderId="253" xfId="0" applyFont="1" applyBorder="1" applyAlignment="1">
      <alignment horizontal="left" vertical="center" wrapText="1" indent="1"/>
    </xf>
    <xf numFmtId="0" fontId="26" fillId="4" borderId="338" xfId="0" applyFont="1" applyFill="1" applyBorder="1" applyAlignment="1">
      <alignment horizontal="left" vertical="center" wrapText="1" indent="1"/>
    </xf>
    <xf numFmtId="0" fontId="26" fillId="4" borderId="25" xfId="0" applyFont="1" applyFill="1" applyBorder="1" applyAlignment="1">
      <alignment horizontal="left" vertical="center" wrapText="1" indent="1"/>
    </xf>
    <xf numFmtId="0" fontId="135" fillId="4" borderId="358" xfId="0" applyFont="1" applyFill="1" applyBorder="1" applyAlignment="1">
      <alignment horizontal="center" vertical="center"/>
    </xf>
    <xf numFmtId="0" fontId="131" fillId="4" borderId="114" xfId="0" applyFont="1" applyFill="1" applyBorder="1" applyAlignment="1">
      <alignment horizontal="center" vertical="center"/>
    </xf>
    <xf numFmtId="0" fontId="135" fillId="4" borderId="324" xfId="0" applyFont="1" applyFill="1" applyBorder="1" applyAlignment="1">
      <alignment horizontal="center" vertical="center"/>
    </xf>
    <xf numFmtId="0" fontId="131" fillId="4" borderId="254" xfId="0" applyFont="1" applyFill="1" applyBorder="1" applyAlignment="1">
      <alignment horizontal="center" vertical="center"/>
    </xf>
    <xf numFmtId="0" fontId="135" fillId="4" borderId="254" xfId="0" applyFont="1" applyFill="1" applyBorder="1" applyAlignment="1">
      <alignment horizontal="center" vertical="center"/>
    </xf>
    <xf numFmtId="0" fontId="131" fillId="4" borderId="256" xfId="0" applyFont="1" applyFill="1" applyBorder="1" applyAlignment="1">
      <alignment horizontal="center" vertical="center"/>
    </xf>
    <xf numFmtId="0" fontId="131" fillId="4" borderId="488" xfId="0" applyFont="1" applyFill="1" applyBorder="1" applyAlignment="1">
      <alignment horizontal="center" vertical="center"/>
    </xf>
    <xf numFmtId="0" fontId="135" fillId="4" borderId="252" xfId="0" applyFont="1" applyFill="1" applyBorder="1" applyAlignment="1">
      <alignment horizontal="center" vertical="center"/>
    </xf>
    <xf numFmtId="0" fontId="135" fillId="0" borderId="252" xfId="0" applyFont="1" applyBorder="1" applyAlignment="1">
      <alignment horizontal="center" vertical="center"/>
    </xf>
    <xf numFmtId="0" fontId="135" fillId="0" borderId="252" xfId="0" applyFont="1" applyBorder="1" applyAlignment="1">
      <alignment vertical="center"/>
    </xf>
    <xf numFmtId="0" fontId="131" fillId="0" borderId="254" xfId="0" applyFont="1" applyBorder="1" applyAlignment="1">
      <alignment vertical="center"/>
    </xf>
    <xf numFmtId="1" fontId="135" fillId="4" borderId="252" xfId="0" applyNumberFormat="1" applyFont="1" applyFill="1" applyBorder="1" applyAlignment="1">
      <alignment horizontal="center" vertical="center"/>
    </xf>
    <xf numFmtId="1" fontId="135" fillId="4" borderId="324" xfId="0" applyNumberFormat="1" applyFont="1" applyFill="1" applyBorder="1" applyAlignment="1">
      <alignment horizontal="center" vertical="center"/>
    </xf>
    <xf numFmtId="0" fontId="131" fillId="4" borderId="326" xfId="0" applyFont="1" applyFill="1" applyBorder="1" applyAlignment="1">
      <alignment horizontal="center" vertical="center"/>
    </xf>
    <xf numFmtId="0" fontId="131" fillId="4" borderId="415" xfId="0" applyFont="1" applyFill="1" applyBorder="1" applyAlignment="1">
      <alignment horizontal="center" vertical="center"/>
    </xf>
    <xf numFmtId="0" fontId="38" fillId="4" borderId="358" xfId="0" applyFont="1" applyFill="1" applyBorder="1" applyAlignment="1">
      <alignment horizontal="left" vertical="center" wrapText="1" indent="1"/>
    </xf>
    <xf numFmtId="0" fontId="26" fillId="4" borderId="114" xfId="0" applyFont="1" applyFill="1" applyBorder="1" applyAlignment="1">
      <alignment horizontal="left" vertical="center" wrapText="1" indent="1"/>
    </xf>
    <xf numFmtId="0" fontId="38" fillId="4" borderId="252" xfId="0" applyFont="1" applyFill="1" applyBorder="1" applyAlignment="1">
      <alignment horizontal="left" vertical="center" wrapText="1" indent="1"/>
    </xf>
    <xf numFmtId="0" fontId="26" fillId="4" borderId="254" xfId="0" applyFont="1" applyFill="1" applyBorder="1" applyAlignment="1">
      <alignment horizontal="left" vertical="center" wrapText="1" indent="1"/>
    </xf>
    <xf numFmtId="0" fontId="26" fillId="4" borderId="256" xfId="0" applyFont="1" applyFill="1" applyBorder="1" applyAlignment="1">
      <alignment horizontal="left" vertical="center" wrapText="1" indent="1"/>
    </xf>
    <xf numFmtId="0" fontId="38" fillId="4" borderId="324" xfId="0" applyFont="1" applyFill="1" applyBorder="1" applyAlignment="1">
      <alignment horizontal="left" vertical="center" wrapText="1" indent="1"/>
    </xf>
    <xf numFmtId="0" fontId="26" fillId="4" borderId="326" xfId="0" applyFont="1" applyFill="1" applyBorder="1" applyAlignment="1">
      <alignment horizontal="left" vertical="center" wrapText="1" indent="1"/>
    </xf>
    <xf numFmtId="0" fontId="26" fillId="4" borderId="177" xfId="0" applyFont="1" applyFill="1" applyBorder="1" applyAlignment="1">
      <alignment horizontal="left" vertical="center" wrapText="1" indent="1"/>
    </xf>
    <xf numFmtId="0" fontId="38" fillId="0" borderId="252" xfId="0" applyFont="1" applyBorder="1" applyAlignment="1">
      <alignment horizontal="left" vertical="center" wrapText="1" indent="1"/>
    </xf>
    <xf numFmtId="0" fontId="26" fillId="0" borderId="254" xfId="0" applyFont="1" applyBorder="1" applyAlignment="1">
      <alignment horizontal="left" vertical="center" wrapText="1" indent="1"/>
    </xf>
    <xf numFmtId="0" fontId="117" fillId="4" borderId="358" xfId="0" applyFont="1" applyFill="1" applyBorder="1" applyAlignment="1">
      <alignment horizontal="center" vertical="center" wrapText="1"/>
    </xf>
    <xf numFmtId="0" fontId="117" fillId="4" borderId="114" xfId="0" applyFont="1" applyFill="1" applyBorder="1" applyAlignment="1">
      <alignment horizontal="center" vertical="center" wrapText="1"/>
    </xf>
    <xf numFmtId="0" fontId="117" fillId="4" borderId="324" xfId="0" applyFont="1" applyFill="1" applyBorder="1" applyAlignment="1">
      <alignment horizontal="center" vertical="center" wrapText="1"/>
    </xf>
    <xf numFmtId="0" fontId="117" fillId="4" borderId="254" xfId="0" applyFont="1" applyFill="1" applyBorder="1" applyAlignment="1">
      <alignment horizontal="center"/>
    </xf>
    <xf numFmtId="0" fontId="117" fillId="4" borderId="256" xfId="0" applyFont="1" applyFill="1" applyBorder="1" applyAlignment="1">
      <alignment horizontal="center"/>
    </xf>
    <xf numFmtId="0" fontId="117" fillId="4" borderId="252" xfId="0" applyFont="1" applyFill="1" applyBorder="1" applyAlignment="1">
      <alignment horizontal="center" vertical="center" wrapText="1"/>
    </xf>
    <xf numFmtId="0" fontId="117" fillId="4" borderId="254" xfId="0" applyFont="1" applyFill="1" applyBorder="1" applyAlignment="1">
      <alignment horizontal="center" vertical="center" wrapText="1"/>
    </xf>
    <xf numFmtId="0" fontId="117" fillId="4" borderId="256" xfId="0" applyFont="1" applyFill="1" applyBorder="1" applyAlignment="1">
      <alignment horizontal="center" vertical="center" wrapText="1"/>
    </xf>
    <xf numFmtId="0" fontId="136" fillId="0" borderId="252" xfId="0" applyFont="1" applyBorder="1" applyAlignment="1">
      <alignment vertical="center"/>
    </xf>
    <xf numFmtId="0" fontId="117" fillId="4" borderId="326" xfId="0" applyFont="1" applyFill="1" applyBorder="1" applyAlignment="1">
      <alignment horizontal="center" vertical="center" wrapText="1"/>
    </xf>
    <xf numFmtId="0" fontId="117" fillId="4" borderId="177" xfId="0" applyFont="1" applyFill="1" applyBorder="1" applyAlignment="1">
      <alignment horizontal="center" vertical="center" wrapText="1"/>
    </xf>
    <xf numFmtId="165" fontId="117" fillId="4" borderId="358" xfId="0" applyNumberFormat="1" applyFont="1" applyFill="1" applyBorder="1" applyAlignment="1">
      <alignment vertical="center"/>
    </xf>
    <xf numFmtId="165" fontId="136" fillId="4" borderId="358" xfId="0" applyNumberFormat="1" applyFont="1" applyFill="1" applyBorder="1" applyAlignment="1">
      <alignment vertical="center"/>
    </xf>
    <xf numFmtId="165" fontId="117" fillId="4" borderId="114" xfId="0" applyNumberFormat="1" applyFont="1" applyFill="1" applyBorder="1" applyAlignment="1">
      <alignment vertical="center"/>
    </xf>
    <xf numFmtId="165" fontId="136" fillId="4" borderId="114" xfId="0" applyNumberFormat="1" applyFont="1" applyFill="1" applyBorder="1" applyAlignment="1">
      <alignment vertical="center"/>
    </xf>
    <xf numFmtId="165" fontId="117" fillId="4" borderId="324" xfId="0" applyNumberFormat="1" applyFont="1" applyFill="1" applyBorder="1" applyAlignment="1">
      <alignment vertical="center"/>
    </xf>
    <xf numFmtId="165" fontId="136" fillId="4" borderId="324" xfId="0" applyNumberFormat="1" applyFont="1" applyFill="1" applyBorder="1" applyAlignment="1">
      <alignment vertical="center"/>
    </xf>
    <xf numFmtId="165" fontId="117" fillId="4" borderId="254" xfId="0" applyNumberFormat="1" applyFont="1" applyFill="1" applyBorder="1"/>
    <xf numFmtId="165" fontId="117" fillId="4" borderId="254" xfId="0" applyNumberFormat="1" applyFont="1" applyFill="1" applyBorder="1" applyAlignment="1">
      <alignment vertical="center"/>
    </xf>
    <xf numFmtId="165" fontId="136" fillId="4" borderId="254" xfId="0" applyNumberFormat="1" applyFont="1" applyFill="1" applyBorder="1" applyAlignment="1">
      <alignment vertical="center"/>
    </xf>
    <xf numFmtId="165" fontId="117" fillId="4" borderId="256" xfId="0" applyNumberFormat="1" applyFont="1" applyFill="1" applyBorder="1"/>
    <xf numFmtId="165" fontId="117" fillId="4" borderId="256" xfId="0" applyNumberFormat="1" applyFont="1" applyFill="1" applyBorder="1" applyAlignment="1">
      <alignment vertical="center"/>
    </xf>
    <xf numFmtId="165" fontId="136" fillId="4" borderId="256" xfId="0" applyNumberFormat="1" applyFont="1" applyFill="1" applyBorder="1" applyAlignment="1">
      <alignment vertical="center"/>
    </xf>
    <xf numFmtId="165" fontId="117" fillId="4" borderId="252" xfId="0" applyNumberFormat="1" applyFont="1" applyFill="1" applyBorder="1" applyAlignment="1">
      <alignment vertical="center"/>
    </xf>
    <xf numFmtId="165" fontId="136" fillId="4" borderId="252" xfId="0" applyNumberFormat="1" applyFont="1" applyFill="1" applyBorder="1" applyAlignment="1">
      <alignment vertical="center"/>
    </xf>
    <xf numFmtId="165" fontId="136" fillId="0" borderId="252" xfId="0" applyNumberFormat="1" applyFont="1" applyBorder="1" applyAlignment="1">
      <alignment vertical="center"/>
    </xf>
    <xf numFmtId="165" fontId="117" fillId="0" borderId="254" xfId="0" applyNumberFormat="1" applyFont="1" applyBorder="1" applyAlignment="1">
      <alignment vertical="center"/>
    </xf>
    <xf numFmtId="165" fontId="117" fillId="0" borderId="254" xfId="0" applyNumberFormat="1" applyFont="1" applyBorder="1"/>
    <xf numFmtId="165" fontId="117" fillId="4" borderId="326" xfId="0" applyNumberFormat="1" applyFont="1" applyFill="1" applyBorder="1" applyAlignment="1">
      <alignment vertical="center"/>
    </xf>
    <xf numFmtId="165" fontId="136" fillId="4" borderId="326" xfId="0" applyNumberFormat="1" applyFont="1" applyFill="1" applyBorder="1" applyAlignment="1">
      <alignment vertical="center"/>
    </xf>
    <xf numFmtId="165" fontId="136" fillId="4" borderId="177" xfId="0" applyNumberFormat="1" applyFont="1" applyFill="1" applyBorder="1" applyAlignment="1">
      <alignment vertical="center"/>
    </xf>
    <xf numFmtId="0" fontId="126" fillId="4" borderId="681" xfId="0" applyFont="1" applyFill="1" applyBorder="1" applyAlignment="1">
      <alignment horizontal="left" indent="1"/>
    </xf>
    <xf numFmtId="1" fontId="117" fillId="0" borderId="888" xfId="0" applyNumberFormat="1" applyFont="1" applyBorder="1" applyAlignment="1">
      <alignment horizontal="center" vertical="center" wrapText="1"/>
    </xf>
    <xf numFmtId="1" fontId="117" fillId="0" borderId="799" xfId="0" applyNumberFormat="1" applyFont="1" applyBorder="1" applyAlignment="1">
      <alignment horizontal="center" vertical="center" wrapText="1"/>
    </xf>
    <xf numFmtId="1" fontId="117" fillId="0" borderId="858" xfId="0" applyNumberFormat="1" applyFont="1" applyBorder="1" applyAlignment="1">
      <alignment horizontal="center" vertical="center" wrapText="1"/>
    </xf>
    <xf numFmtId="0" fontId="117" fillId="0" borderId="799" xfId="0" applyFont="1" applyBorder="1" applyAlignment="1">
      <alignment horizontal="center" vertical="center"/>
    </xf>
    <xf numFmtId="0" fontId="26" fillId="4" borderId="896" xfId="0" applyFont="1" applyFill="1" applyBorder="1" applyAlignment="1">
      <alignment horizontal="left" vertical="center" wrapText="1" indent="1"/>
    </xf>
    <xf numFmtId="0" fontId="131" fillId="4" borderId="897" xfId="0" applyFont="1" applyFill="1" applyBorder="1" applyAlignment="1">
      <alignment horizontal="center" vertical="center"/>
    </xf>
    <xf numFmtId="0" fontId="26" fillId="4" borderId="898" xfId="0" applyFont="1" applyFill="1" applyBorder="1" applyAlignment="1">
      <alignment horizontal="left" vertical="center" wrapText="1" indent="1"/>
    </xf>
    <xf numFmtId="0" fontId="117" fillId="4" borderId="898" xfId="0" applyFont="1" applyFill="1" applyBorder="1" applyAlignment="1">
      <alignment horizontal="center" vertical="center" wrapText="1"/>
    </xf>
    <xf numFmtId="0" fontId="26" fillId="4" borderId="898" xfId="0" applyFont="1" applyFill="1" applyBorder="1" applyAlignment="1">
      <alignment horizontal="center" vertical="center" wrapText="1"/>
    </xf>
    <xf numFmtId="165" fontId="117" fillId="4" borderId="898" xfId="0" applyNumberFormat="1" applyFont="1" applyFill="1" applyBorder="1" applyAlignment="1">
      <alignment vertical="center"/>
    </xf>
    <xf numFmtId="165" fontId="136" fillId="4" borderId="898" xfId="0" applyNumberFormat="1" applyFont="1" applyFill="1" applyBorder="1" applyAlignment="1">
      <alignment vertical="center"/>
    </xf>
    <xf numFmtId="49" fontId="26" fillId="4" borderId="898" xfId="0" applyNumberFormat="1" applyFont="1" applyFill="1" applyBorder="1" applyAlignment="1">
      <alignment horizontal="center" vertical="center"/>
    </xf>
    <xf numFmtId="0" fontId="14" fillId="3" borderId="117" xfId="0" applyFont="1" applyFill="1" applyBorder="1" applyAlignment="1">
      <alignment horizontal="left" vertical="center" wrapText="1" indent="1"/>
    </xf>
    <xf numFmtId="0" fontId="26" fillId="0" borderId="254" xfId="0" applyFont="1" applyBorder="1" applyAlignment="1">
      <alignment horizontal="center" vertical="center"/>
    </xf>
    <xf numFmtId="0" fontId="117" fillId="0" borderId="254" xfId="0" applyFont="1" applyBorder="1" applyAlignment="1">
      <alignment horizontal="center" vertical="center"/>
    </xf>
    <xf numFmtId="0" fontId="134" fillId="4" borderId="324" xfId="0" applyFont="1" applyFill="1" applyBorder="1" applyAlignment="1">
      <alignment horizontal="left" vertical="center" wrapText="1" indent="1"/>
    </xf>
    <xf numFmtId="0" fontId="126" fillId="4" borderId="254" xfId="0" applyFont="1" applyFill="1" applyBorder="1" applyAlignment="1">
      <alignment horizontal="left" vertical="center" wrapText="1" indent="1"/>
    </xf>
    <xf numFmtId="0" fontId="126" fillId="4" borderId="256" xfId="0" applyFont="1" applyFill="1" applyBorder="1" applyAlignment="1">
      <alignment horizontal="left" vertical="center" wrapText="1" indent="1"/>
    </xf>
    <xf numFmtId="0" fontId="134" fillId="4" borderId="252" xfId="0" applyFont="1" applyFill="1" applyBorder="1" applyAlignment="1">
      <alignment horizontal="left" vertical="center" wrapText="1" indent="1"/>
    </xf>
    <xf numFmtId="0" fontId="126" fillId="0" borderId="799" xfId="0" applyFont="1" applyBorder="1" applyAlignment="1">
      <alignment horizontal="left" vertical="center" wrapText="1" indent="1"/>
    </xf>
    <xf numFmtId="0" fontId="34" fillId="3" borderId="147" xfId="0" applyFont="1" applyFill="1" applyBorder="1" applyAlignment="1">
      <alignment horizontal="center" vertical="center"/>
    </xf>
    <xf numFmtId="0" fontId="15" fillId="16" borderId="9" xfId="0" applyFont="1" applyFill="1" applyBorder="1" applyAlignment="1">
      <alignment vertical="center"/>
    </xf>
    <xf numFmtId="0" fontId="31" fillId="26" borderId="65" xfId="0" applyFont="1" applyFill="1" applyBorder="1" applyAlignment="1">
      <alignment horizontal="left" vertical="center" indent="1"/>
    </xf>
    <xf numFmtId="0" fontId="25" fillId="4" borderId="324" xfId="0" applyFont="1" applyFill="1" applyBorder="1" applyAlignment="1">
      <alignment horizontal="center" vertical="center" wrapText="1"/>
    </xf>
    <xf numFmtId="0" fontId="26" fillId="4" borderId="901" xfId="0" applyFont="1" applyFill="1" applyBorder="1" applyAlignment="1">
      <alignment horizontal="left" vertical="center" wrapText="1" indent="1"/>
    </xf>
    <xf numFmtId="0" fontId="131" fillId="4" borderId="902" xfId="0" applyFont="1" applyFill="1" applyBorder="1" applyAlignment="1">
      <alignment horizontal="center" vertical="center"/>
    </xf>
    <xf numFmtId="0" fontId="126" fillId="4" borderId="902" xfId="0" applyFont="1" applyFill="1" applyBorder="1" applyAlignment="1">
      <alignment horizontal="left" vertical="center" wrapText="1" indent="1"/>
    </xf>
    <xf numFmtId="0" fontId="117" fillId="4" borderId="902" xfId="0" applyFont="1" applyFill="1" applyBorder="1" applyAlignment="1">
      <alignment horizontal="center" vertical="center" wrapText="1"/>
    </xf>
    <xf numFmtId="0" fontId="26" fillId="4" borderId="902" xfId="0" applyFont="1" applyFill="1" applyBorder="1" applyAlignment="1">
      <alignment horizontal="center" vertical="center" wrapText="1"/>
    </xf>
    <xf numFmtId="165" fontId="117" fillId="4" borderId="902" xfId="0" applyNumberFormat="1" applyFont="1" applyFill="1" applyBorder="1" applyAlignment="1">
      <alignment vertical="center"/>
    </xf>
    <xf numFmtId="165" fontId="136" fillId="4" borderId="902" xfId="0" applyNumberFormat="1" applyFont="1" applyFill="1" applyBorder="1" applyAlignment="1">
      <alignment vertical="center"/>
    </xf>
    <xf numFmtId="49" fontId="26" fillId="4" borderId="902" xfId="0" applyNumberFormat="1" applyFont="1" applyFill="1" applyBorder="1" applyAlignment="1">
      <alignment horizontal="center" vertical="center"/>
    </xf>
    <xf numFmtId="0" fontId="38" fillId="4" borderId="262" xfId="0" applyFont="1" applyFill="1" applyBorder="1" applyAlignment="1">
      <alignment horizontal="left" vertical="center" wrapText="1" indent="1"/>
    </xf>
    <xf numFmtId="0" fontId="26" fillId="4" borderId="207" xfId="0" applyFont="1" applyFill="1" applyBorder="1" applyAlignment="1">
      <alignment horizontal="left" vertical="center" indent="1"/>
    </xf>
    <xf numFmtId="0" fontId="38" fillId="4" borderId="207" xfId="0" applyFont="1" applyFill="1" applyBorder="1" applyAlignment="1">
      <alignment horizontal="left" vertical="center" wrapText="1" indent="1"/>
    </xf>
    <xf numFmtId="0" fontId="26" fillId="4" borderId="215" xfId="0" applyFont="1" applyFill="1" applyBorder="1" applyAlignment="1">
      <alignment horizontal="left" indent="1"/>
    </xf>
    <xf numFmtId="0" fontId="26" fillId="4" borderId="212" xfId="0" applyFont="1" applyFill="1" applyBorder="1" applyAlignment="1">
      <alignment horizontal="left" vertical="center" indent="1"/>
    </xf>
    <xf numFmtId="0" fontId="26" fillId="4" borderId="47" xfId="0" applyFont="1" applyFill="1" applyBorder="1" applyAlignment="1">
      <alignment horizontal="left" vertical="center" indent="1"/>
    </xf>
    <xf numFmtId="0" fontId="126" fillId="4" borderId="114" xfId="0" applyFont="1" applyFill="1" applyBorder="1" applyAlignment="1">
      <alignment horizontal="center" vertical="center"/>
    </xf>
    <xf numFmtId="1" fontId="135" fillId="4" borderId="358" xfId="0" applyNumberFormat="1" applyFont="1" applyFill="1" applyBorder="1" applyAlignment="1">
      <alignment horizontal="center" vertical="center"/>
    </xf>
    <xf numFmtId="0" fontId="131" fillId="4" borderId="358" xfId="0" applyFont="1" applyFill="1" applyBorder="1"/>
    <xf numFmtId="1" fontId="135" fillId="4" borderId="114" xfId="0" applyNumberFormat="1" applyFont="1" applyFill="1" applyBorder="1" applyAlignment="1">
      <alignment horizontal="center" vertical="center"/>
    </xf>
    <xf numFmtId="0" fontId="131" fillId="4" borderId="114" xfId="0" applyFont="1" applyFill="1" applyBorder="1"/>
    <xf numFmtId="0" fontId="131" fillId="4" borderId="118" xfId="0" applyFont="1" applyFill="1" applyBorder="1" applyAlignment="1">
      <alignment horizontal="center" vertical="center"/>
    </xf>
    <xf numFmtId="1" fontId="135" fillId="4" borderId="362" xfId="0" applyNumberFormat="1" applyFont="1" applyFill="1" applyBorder="1" applyAlignment="1">
      <alignment horizontal="center" vertical="center"/>
    </xf>
    <xf numFmtId="0" fontId="131" fillId="4" borderId="215" xfId="0" applyFont="1" applyFill="1" applyBorder="1" applyAlignment="1">
      <alignment horizontal="center" vertical="center"/>
    </xf>
    <xf numFmtId="0" fontId="131" fillId="4" borderId="363" xfId="0" applyFont="1" applyFill="1" applyBorder="1" applyAlignment="1">
      <alignment horizontal="center" vertical="center"/>
    </xf>
    <xf numFmtId="0" fontId="131" fillId="4" borderId="364" xfId="0" applyFont="1" applyFill="1" applyBorder="1" applyAlignment="1">
      <alignment horizontal="center" vertical="center"/>
    </xf>
    <xf numFmtId="0" fontId="135" fillId="4" borderId="114" xfId="0" applyFont="1" applyFill="1" applyBorder="1" applyAlignment="1">
      <alignment horizontal="center" vertical="center"/>
    </xf>
    <xf numFmtId="0" fontId="117" fillId="4" borderId="359" xfId="0" applyFont="1" applyFill="1" applyBorder="1" applyAlignment="1">
      <alignment horizontal="center" vertical="center" wrapText="1"/>
    </xf>
    <xf numFmtId="0" fontId="117" fillId="4" borderId="360" xfId="0" applyFont="1" applyFill="1" applyBorder="1" applyAlignment="1">
      <alignment horizontal="center" vertical="center" wrapText="1"/>
    </xf>
    <xf numFmtId="0" fontId="117" fillId="4" borderId="361" xfId="0" applyFont="1" applyFill="1" applyBorder="1" applyAlignment="1">
      <alignment horizontal="center" vertical="center" wrapText="1"/>
    </xf>
    <xf numFmtId="0" fontId="117" fillId="4" borderId="365" xfId="0" applyFont="1" applyFill="1" applyBorder="1" applyAlignment="1">
      <alignment horizontal="center" vertical="center" wrapText="1"/>
    </xf>
    <xf numFmtId="0" fontId="117" fillId="4" borderId="210" xfId="0" applyFont="1" applyFill="1" applyBorder="1" applyAlignment="1">
      <alignment horizontal="center" vertical="center" wrapText="1"/>
    </xf>
    <xf numFmtId="0" fontId="117" fillId="4" borderId="118" xfId="0" applyFont="1" applyFill="1" applyBorder="1" applyAlignment="1">
      <alignment horizontal="center" vertical="center" wrapText="1"/>
    </xf>
    <xf numFmtId="0" fontId="126" fillId="4" borderId="114" xfId="0" applyFont="1" applyFill="1" applyBorder="1" applyAlignment="1">
      <alignment horizontal="center" vertical="center" wrapText="1"/>
    </xf>
    <xf numFmtId="165" fontId="117" fillId="4" borderId="210" xfId="0" applyNumberFormat="1" applyFont="1" applyFill="1" applyBorder="1" applyAlignment="1">
      <alignment vertical="center"/>
    </xf>
    <xf numFmtId="165" fontId="136" fillId="4" borderId="210" xfId="0" applyNumberFormat="1" applyFont="1" applyFill="1" applyBorder="1" applyAlignment="1">
      <alignment vertical="center"/>
    </xf>
    <xf numFmtId="165" fontId="117" fillId="4" borderId="118" xfId="0" applyNumberFormat="1" applyFont="1" applyFill="1" applyBorder="1" applyAlignment="1">
      <alignment vertical="center"/>
    </xf>
    <xf numFmtId="165" fontId="136" fillId="4" borderId="118" xfId="0" applyNumberFormat="1" applyFont="1" applyFill="1" applyBorder="1" applyAlignment="1">
      <alignment vertical="center"/>
    </xf>
    <xf numFmtId="165" fontId="136" fillId="4" borderId="369" xfId="0" applyNumberFormat="1" applyFont="1" applyFill="1" applyBorder="1" applyAlignment="1">
      <alignment vertical="center"/>
    </xf>
    <xf numFmtId="165" fontId="117" fillId="0" borderId="114" xfId="0" applyNumberFormat="1" applyFont="1" applyBorder="1"/>
    <xf numFmtId="165" fontId="117" fillId="4" borderId="209" xfId="0" applyNumberFormat="1" applyFont="1" applyFill="1" applyBorder="1" applyAlignment="1">
      <alignment vertical="center"/>
    </xf>
    <xf numFmtId="165" fontId="136" fillId="4" borderId="209" xfId="0" applyNumberFormat="1" applyFont="1" applyFill="1" applyBorder="1" applyAlignment="1">
      <alignment vertical="center"/>
    </xf>
    <xf numFmtId="0" fontId="134" fillId="4" borderId="358" xfId="0" applyFont="1" applyFill="1" applyBorder="1" applyAlignment="1">
      <alignment horizontal="left" vertical="center" wrapText="1" indent="1"/>
    </xf>
    <xf numFmtId="0" fontId="126" fillId="4" borderId="114" xfId="0" applyFont="1" applyFill="1" applyBorder="1" applyAlignment="1">
      <alignment horizontal="left" vertical="center" wrapText="1" indent="1"/>
    </xf>
    <xf numFmtId="0" fontId="134" fillId="4" borderId="114" xfId="0" applyFont="1" applyFill="1" applyBorder="1" applyAlignment="1">
      <alignment horizontal="left" vertical="center" wrapText="1" indent="1"/>
    </xf>
    <xf numFmtId="0" fontId="126" fillId="4" borderId="118" xfId="0" applyFont="1" applyFill="1" applyBorder="1" applyAlignment="1">
      <alignment horizontal="left" vertical="center" wrapText="1" indent="1"/>
    </xf>
    <xf numFmtId="0" fontId="134" fillId="4" borderId="49" xfId="0" applyFont="1" applyFill="1" applyBorder="1" applyAlignment="1">
      <alignment horizontal="left" vertical="center" wrapText="1" indent="1"/>
    </xf>
    <xf numFmtId="0" fontId="126" fillId="4" borderId="34" xfId="0" applyFont="1" applyFill="1" applyBorder="1" applyAlignment="1">
      <alignment horizontal="left" vertical="center" wrapText="1" indent="1"/>
    </xf>
    <xf numFmtId="0" fontId="134" fillId="4" borderId="210" xfId="0" applyFont="1" applyFill="1" applyBorder="1" applyAlignment="1">
      <alignment horizontal="left" vertical="center" wrapText="1" indent="1"/>
    </xf>
    <xf numFmtId="0" fontId="126" fillId="4" borderId="364" xfId="0" applyFont="1" applyFill="1" applyBorder="1" applyAlignment="1">
      <alignment horizontal="left" vertical="center" wrapText="1" indent="1"/>
    </xf>
    <xf numFmtId="0" fontId="126" fillId="4" borderId="48" xfId="0" applyFont="1" applyFill="1" applyBorder="1" applyAlignment="1">
      <alignment horizontal="left" vertical="center" wrapText="1" indent="1"/>
    </xf>
    <xf numFmtId="0" fontId="126" fillId="4" borderId="209" xfId="0" applyFont="1" applyFill="1" applyBorder="1" applyAlignment="1">
      <alignment horizontal="left" vertical="center" wrapText="1" indent="1"/>
    </xf>
    <xf numFmtId="0" fontId="134" fillId="4" borderId="342" xfId="0" applyFont="1" applyFill="1" applyBorder="1" applyAlignment="1">
      <alignment horizontal="left" vertical="center" wrapText="1" indent="1"/>
    </xf>
    <xf numFmtId="0" fontId="134" fillId="4" borderId="331" xfId="0" applyFont="1" applyFill="1" applyBorder="1" applyAlignment="1">
      <alignment horizontal="left" vertical="center" wrapText="1" indent="1"/>
    </xf>
    <xf numFmtId="49" fontId="38" fillId="0" borderId="205" xfId="0" applyNumberFormat="1" applyFont="1" applyBorder="1" applyAlignment="1">
      <alignment horizontal="left" vertical="center" wrapText="1" indent="1"/>
    </xf>
    <xf numFmtId="49" fontId="38" fillId="0" borderId="207" xfId="0" applyNumberFormat="1" applyFont="1" applyBorder="1" applyAlignment="1">
      <alignment horizontal="left" vertical="center" wrapText="1" indent="1"/>
    </xf>
    <xf numFmtId="49" fontId="38" fillId="0" borderId="217" xfId="0" applyNumberFormat="1" applyFont="1" applyBorder="1" applyAlignment="1">
      <alignment horizontal="left" vertical="center" wrapText="1" indent="1"/>
    </xf>
    <xf numFmtId="0" fontId="26" fillId="0" borderId="207" xfId="0" applyFont="1" applyBorder="1" applyAlignment="1">
      <alignment horizontal="left" vertical="center" wrapText="1" indent="1"/>
    </xf>
    <xf numFmtId="0" fontId="26" fillId="0" borderId="220" xfId="0" applyFont="1" applyBorder="1" applyAlignment="1">
      <alignment horizontal="left" vertical="center" wrapText="1" indent="1"/>
    </xf>
    <xf numFmtId="0" fontId="38" fillId="0" borderId="205" xfId="0" applyFont="1" applyBorder="1" applyAlignment="1">
      <alignment horizontal="left" vertical="center" wrapText="1" indent="1"/>
    </xf>
    <xf numFmtId="0" fontId="38" fillId="0" borderId="146" xfId="0" applyFont="1" applyBorder="1" applyAlignment="1">
      <alignment horizontal="left" vertical="center" wrapText="1" indent="1"/>
    </xf>
    <xf numFmtId="0" fontId="26" fillId="0" borderId="195" xfId="0" applyFont="1" applyBorder="1" applyAlignment="1">
      <alignment horizontal="left" vertical="center" wrapText="1" indent="1"/>
    </xf>
    <xf numFmtId="0" fontId="26" fillId="0" borderId="151" xfId="0" applyFont="1" applyBorder="1" applyAlignment="1">
      <alignment horizontal="left" vertical="center" wrapText="1" indent="1"/>
    </xf>
    <xf numFmtId="0" fontId="38" fillId="0" borderId="207" xfId="0" applyFont="1" applyBorder="1" applyAlignment="1">
      <alignment horizontal="left" vertical="center" wrapText="1" indent="1"/>
    </xf>
    <xf numFmtId="0" fontId="26" fillId="0" borderId="208" xfId="0" applyFont="1" applyBorder="1" applyAlignment="1">
      <alignment horizontal="left" vertical="center" wrapText="1" indent="1"/>
    </xf>
    <xf numFmtId="49" fontId="38" fillId="3" borderId="207" xfId="0" applyNumberFormat="1" applyFont="1" applyFill="1" applyBorder="1" applyAlignment="1">
      <alignment horizontal="left" vertical="center" wrapText="1" indent="1"/>
    </xf>
    <xf numFmtId="0" fontId="38" fillId="0" borderId="217" xfId="0" applyFont="1" applyBorder="1" applyAlignment="1">
      <alignment horizontal="left" vertical="center" wrapText="1" indent="1"/>
    </xf>
    <xf numFmtId="0" fontId="26" fillId="0" borderId="217" xfId="0" applyFont="1" applyBorder="1" applyAlignment="1">
      <alignment horizontal="left" vertical="center" wrapText="1" indent="1"/>
    </xf>
    <xf numFmtId="0" fontId="38" fillId="0" borderId="208" xfId="0" applyFont="1" applyBorder="1" applyAlignment="1">
      <alignment horizontal="left" vertical="center" wrapText="1" indent="1"/>
    </xf>
    <xf numFmtId="0" fontId="38" fillId="0" borderId="358" xfId="0" applyFont="1" applyBorder="1" applyAlignment="1">
      <alignment horizontal="center" vertical="center"/>
    </xf>
    <xf numFmtId="0" fontId="38" fillId="0" borderId="358" xfId="0" applyFont="1" applyBorder="1" applyAlignment="1">
      <alignment horizontal="center" vertical="center" wrapText="1"/>
    </xf>
    <xf numFmtId="0" fontId="134" fillId="0" borderId="358" xfId="0" applyFont="1" applyBorder="1" applyAlignment="1">
      <alignment horizontal="left" vertical="center" wrapText="1" indent="1"/>
    </xf>
    <xf numFmtId="0" fontId="134" fillId="0" borderId="114" xfId="0" applyFont="1" applyBorder="1" applyAlignment="1">
      <alignment horizontal="left" vertical="center" wrapText="1" indent="1"/>
    </xf>
    <xf numFmtId="0" fontId="126" fillId="0" borderId="221" xfId="0" applyFont="1" applyBorder="1" applyAlignment="1">
      <alignment horizontal="left" vertical="center" wrapText="1" indent="1"/>
    </xf>
    <xf numFmtId="0" fontId="134" fillId="0" borderId="206" xfId="0" applyFont="1" applyBorder="1" applyAlignment="1">
      <alignment horizontal="left" vertical="center" wrapText="1" indent="1"/>
    </xf>
    <xf numFmtId="0" fontId="134" fillId="0" borderId="442" xfId="0" applyFont="1" applyBorder="1" applyAlignment="1">
      <alignment horizontal="left" vertical="center" wrapText="1" indent="1"/>
    </xf>
    <xf numFmtId="0" fontId="126" fillId="0" borderId="5" xfId="0" applyFont="1" applyBorder="1" applyAlignment="1">
      <alignment horizontal="left" vertical="center" wrapText="1" indent="1"/>
    </xf>
    <xf numFmtId="0" fontId="126" fillId="0" borderId="440" xfId="0" applyFont="1" applyBorder="1" applyAlignment="1">
      <alignment horizontal="left" vertical="center" wrapText="1" indent="1"/>
    </xf>
    <xf numFmtId="0" fontId="114" fillId="3" borderId="114" xfId="0" applyFont="1" applyFill="1" applyBorder="1" applyAlignment="1">
      <alignment horizontal="left" vertical="center" wrapText="1" indent="1"/>
    </xf>
    <xf numFmtId="0" fontId="134" fillId="0" borderId="209" xfId="0" applyFont="1" applyBorder="1" applyAlignment="1">
      <alignment horizontal="left" vertical="center" wrapText="1" indent="1"/>
    </xf>
    <xf numFmtId="0" fontId="126" fillId="4" borderId="114" xfId="0" applyFont="1" applyFill="1" applyBorder="1" applyAlignment="1">
      <alignment horizontal="left" wrapText="1" indent="1"/>
    </xf>
    <xf numFmtId="0" fontId="117" fillId="0" borderId="442" xfId="0" applyFont="1" applyBorder="1" applyAlignment="1">
      <alignment horizontal="center" vertical="center" wrapText="1"/>
    </xf>
    <xf numFmtId="0" fontId="117" fillId="0" borderId="5" xfId="0" applyFont="1" applyBorder="1" applyAlignment="1">
      <alignment horizontal="center" vertical="center" wrapText="1"/>
    </xf>
    <xf numFmtId="0" fontId="117" fillId="0" borderId="440" xfId="0" applyFont="1" applyBorder="1" applyAlignment="1">
      <alignment horizontal="center" vertical="center" wrapText="1"/>
    </xf>
    <xf numFmtId="0" fontId="117" fillId="4" borderId="114" xfId="0" applyFont="1" applyFill="1" applyBorder="1" applyAlignment="1">
      <alignment horizontal="center" wrapText="1"/>
    </xf>
    <xf numFmtId="0" fontId="126" fillId="0" borderId="114" xfId="0" applyFont="1" applyBorder="1" applyAlignment="1">
      <alignment horizontal="center" vertical="center" wrapText="1"/>
    </xf>
    <xf numFmtId="0" fontId="126" fillId="0" borderId="206" xfId="0" applyFont="1" applyBorder="1" applyAlignment="1">
      <alignment horizontal="center" vertical="center" wrapText="1"/>
    </xf>
    <xf numFmtId="0" fontId="126" fillId="0" borderId="221" xfId="0" applyFont="1" applyBorder="1" applyAlignment="1">
      <alignment horizontal="center" vertical="center" wrapText="1"/>
    </xf>
    <xf numFmtId="0" fontId="126" fillId="0" borderId="358" xfId="0" applyFont="1" applyBorder="1" applyAlignment="1">
      <alignment horizontal="center" vertical="center" wrapText="1"/>
    </xf>
    <xf numFmtId="0" fontId="126" fillId="0" borderId="209" xfId="0" applyFont="1" applyBorder="1" applyAlignment="1">
      <alignment horizontal="center" vertical="center" wrapText="1"/>
    </xf>
    <xf numFmtId="49" fontId="126" fillId="0" borderId="114" xfId="0" applyNumberFormat="1" applyFont="1" applyBorder="1" applyAlignment="1">
      <alignment horizontal="center" vertical="center"/>
    </xf>
    <xf numFmtId="0" fontId="114" fillId="0" borderId="114" xfId="0" applyFont="1" applyBorder="1" applyAlignment="1">
      <alignment horizontal="center" vertical="center" wrapText="1"/>
    </xf>
    <xf numFmtId="165" fontId="117" fillId="0" borderId="442" xfId="0" applyNumberFormat="1" applyFont="1" applyBorder="1" applyAlignment="1">
      <alignment horizontal="right" vertical="center"/>
    </xf>
    <xf numFmtId="165" fontId="136" fillId="0" borderId="442" xfId="0" applyNumberFormat="1" applyFont="1" applyBorder="1" applyAlignment="1">
      <alignment horizontal="right" vertical="center"/>
    </xf>
    <xf numFmtId="165" fontId="117" fillId="0" borderId="5" xfId="0" applyNumberFormat="1" applyFont="1" applyBorder="1" applyAlignment="1">
      <alignment horizontal="right" vertical="center"/>
    </xf>
    <xf numFmtId="165" fontId="136" fillId="0" borderId="5" xfId="0" applyNumberFormat="1" applyFont="1" applyBorder="1" applyAlignment="1">
      <alignment horizontal="right" vertical="center"/>
    </xf>
    <xf numFmtId="165" fontId="117" fillId="0" borderId="440" xfId="0" applyNumberFormat="1" applyFont="1" applyBorder="1" applyAlignment="1">
      <alignment horizontal="right" vertical="center"/>
    </xf>
    <xf numFmtId="165" fontId="136" fillId="0" borderId="440" xfId="0" applyNumberFormat="1" applyFont="1" applyBorder="1" applyAlignment="1">
      <alignment horizontal="right" vertical="center"/>
    </xf>
    <xf numFmtId="165" fontId="136" fillId="0" borderId="209" xfId="0" applyNumberFormat="1" applyFont="1" applyBorder="1" applyAlignment="1">
      <alignment horizontal="right" vertical="center"/>
    </xf>
    <xf numFmtId="165" fontId="136" fillId="4" borderId="114" xfId="0" applyNumberFormat="1" applyFont="1" applyFill="1" applyBorder="1" applyAlignment="1">
      <alignment horizontal="right" vertical="center"/>
    </xf>
    <xf numFmtId="165" fontId="117" fillId="0" borderId="206" xfId="0" applyNumberFormat="1" applyFont="1" applyBorder="1" applyAlignment="1">
      <alignment vertical="center"/>
    </xf>
    <xf numFmtId="165" fontId="136" fillId="0" borderId="206" xfId="0" applyNumberFormat="1" applyFont="1" applyBorder="1" applyAlignment="1">
      <alignment vertical="center"/>
    </xf>
    <xf numFmtId="165" fontId="117" fillId="0" borderId="114" xfId="0" applyNumberFormat="1" applyFont="1" applyBorder="1" applyAlignment="1">
      <alignment vertical="center"/>
    </xf>
    <xf numFmtId="165" fontId="136" fillId="0" borderId="114" xfId="0" applyNumberFormat="1" applyFont="1" applyBorder="1" applyAlignment="1">
      <alignment vertical="center"/>
    </xf>
    <xf numFmtId="165" fontId="117" fillId="0" borderId="221" xfId="0" applyNumberFormat="1" applyFont="1" applyBorder="1" applyAlignment="1">
      <alignment vertical="center"/>
    </xf>
    <xf numFmtId="165" fontId="136" fillId="0" borderId="221" xfId="0" applyNumberFormat="1" applyFont="1" applyBorder="1" applyAlignment="1">
      <alignment vertical="center"/>
    </xf>
    <xf numFmtId="165" fontId="117" fillId="0" borderId="358" xfId="0" applyNumberFormat="1" applyFont="1" applyBorder="1" applyAlignment="1">
      <alignment vertical="center"/>
    </xf>
    <xf numFmtId="165" fontId="136" fillId="0" borderId="358" xfId="0" applyNumberFormat="1" applyFont="1" applyBorder="1" applyAlignment="1">
      <alignment vertical="center"/>
    </xf>
    <xf numFmtId="165" fontId="117" fillId="0" borderId="114" xfId="0" applyNumberFormat="1" applyFont="1" applyBorder="1" applyAlignment="1">
      <alignment horizontal="right" vertical="center" wrapText="1"/>
    </xf>
    <xf numFmtId="165" fontId="117" fillId="4" borderId="114" xfId="0" applyNumberFormat="1" applyFont="1" applyFill="1" applyBorder="1" applyAlignment="1">
      <alignment horizontal="right"/>
    </xf>
    <xf numFmtId="0" fontId="26" fillId="0" borderId="804" xfId="0" applyFont="1" applyBorder="1" applyAlignment="1">
      <alignment horizontal="left" vertical="center" wrapText="1" indent="1"/>
    </xf>
    <xf numFmtId="0" fontId="57" fillId="0" borderId="575" xfId="0" applyFont="1" applyBorder="1" applyAlignment="1">
      <alignment horizontal="center" vertical="center"/>
    </xf>
    <xf numFmtId="0" fontId="126" fillId="0" borderId="575" xfId="0" applyFont="1" applyBorder="1" applyAlignment="1">
      <alignment horizontal="center" vertical="center" wrapText="1"/>
    </xf>
    <xf numFmtId="49" fontId="26" fillId="0" borderId="575" xfId="0" applyNumberFormat="1" applyFont="1" applyBorder="1" applyAlignment="1">
      <alignment horizontal="center" vertical="center"/>
    </xf>
    <xf numFmtId="0" fontId="38" fillId="0" borderId="910" xfId="0" applyFont="1" applyBorder="1" applyAlignment="1">
      <alignment horizontal="left" vertical="center" wrapText="1" indent="1"/>
    </xf>
    <xf numFmtId="0" fontId="72" fillId="0" borderId="911" xfId="0" applyFont="1" applyBorder="1" applyAlignment="1">
      <alignment horizontal="center" vertical="center"/>
    </xf>
    <xf numFmtId="0" fontId="134" fillId="0" borderId="911" xfId="0" applyFont="1" applyBorder="1" applyAlignment="1">
      <alignment horizontal="left" vertical="center" wrapText="1" indent="1"/>
    </xf>
    <xf numFmtId="0" fontId="117" fillId="0" borderId="911" xfId="0" applyFont="1" applyBorder="1" applyAlignment="1">
      <alignment horizontal="center" vertical="center" wrapText="1"/>
    </xf>
    <xf numFmtId="0" fontId="126" fillId="0" borderId="911" xfId="0" applyFont="1" applyBorder="1" applyAlignment="1">
      <alignment horizontal="center" vertical="center" wrapText="1"/>
    </xf>
    <xf numFmtId="165" fontId="117" fillId="0" borderId="911" xfId="0" applyNumberFormat="1" applyFont="1" applyBorder="1" applyAlignment="1">
      <alignment horizontal="right" vertical="center"/>
    </xf>
    <xf numFmtId="165" fontId="136" fillId="0" borderId="911" xfId="0" applyNumberFormat="1" applyFont="1" applyBorder="1" applyAlignment="1">
      <alignment horizontal="right" vertical="center"/>
    </xf>
    <xf numFmtId="0" fontId="26" fillId="0" borderId="911" xfId="0" applyFont="1" applyBorder="1" applyAlignment="1">
      <alignment horizontal="center" vertical="center" wrapText="1"/>
    </xf>
    <xf numFmtId="0" fontId="25" fillId="0" borderId="911" xfId="0" applyFont="1" applyBorder="1" applyAlignment="1">
      <alignment horizontal="center" vertical="center" wrapText="1"/>
    </xf>
    <xf numFmtId="49" fontId="26" fillId="0" borderId="911" xfId="0" applyNumberFormat="1" applyFont="1" applyBorder="1" applyAlignment="1">
      <alignment horizontal="center" vertical="center"/>
    </xf>
    <xf numFmtId="0" fontId="38" fillId="4" borderId="910" xfId="0" applyFont="1" applyFill="1" applyBorder="1" applyAlignment="1">
      <alignment horizontal="left" vertical="center" wrapText="1" indent="1"/>
    </xf>
    <xf numFmtId="165" fontId="136" fillId="4" borderId="911" xfId="0" applyNumberFormat="1" applyFont="1" applyFill="1" applyBorder="1" applyAlignment="1">
      <alignment horizontal="right" vertical="center"/>
    </xf>
    <xf numFmtId="0" fontId="38" fillId="4" borderId="804" xfId="0" applyFont="1" applyFill="1" applyBorder="1" applyAlignment="1">
      <alignment horizontal="left" vertical="center" wrapText="1" indent="1"/>
    </xf>
    <xf numFmtId="0" fontId="72" fillId="4" borderId="575" xfId="0" applyFont="1" applyFill="1" applyBorder="1" applyAlignment="1">
      <alignment horizontal="center" vertical="center"/>
    </xf>
    <xf numFmtId="0" fontId="57" fillId="4" borderId="575" xfId="0" applyFont="1" applyFill="1" applyBorder="1" applyAlignment="1">
      <alignment horizontal="center" vertical="center"/>
    </xf>
    <xf numFmtId="0" fontId="126" fillId="4" borderId="575" xfId="0" applyFont="1" applyFill="1" applyBorder="1" applyAlignment="1">
      <alignment horizontal="left" vertical="center" wrapText="1" indent="1"/>
    </xf>
    <xf numFmtId="0" fontId="117" fillId="4" borderId="575" xfId="0" applyFont="1" applyFill="1" applyBorder="1" applyAlignment="1">
      <alignment horizontal="center" vertical="center" wrapText="1"/>
    </xf>
    <xf numFmtId="0" fontId="126" fillId="4" borderId="575" xfId="0" applyFont="1" applyFill="1" applyBorder="1" applyAlignment="1">
      <alignment horizontal="center" vertical="center" wrapText="1"/>
    </xf>
    <xf numFmtId="165" fontId="117" fillId="4" borderId="575" xfId="0" applyNumberFormat="1" applyFont="1" applyFill="1" applyBorder="1" applyAlignment="1">
      <alignment horizontal="right" vertical="center"/>
    </xf>
    <xf numFmtId="165" fontId="136" fillId="4" borderId="575" xfId="0" applyNumberFormat="1" applyFont="1" applyFill="1" applyBorder="1" applyAlignment="1">
      <alignment horizontal="right" vertical="center"/>
    </xf>
    <xf numFmtId="0" fontId="72" fillId="4" borderId="911" xfId="0" applyFont="1" applyFill="1" applyBorder="1" applyAlignment="1">
      <alignment horizontal="center" vertical="center"/>
    </xf>
    <xf numFmtId="0" fontId="57" fillId="4" borderId="911" xfId="0" applyFont="1" applyFill="1" applyBorder="1" applyAlignment="1">
      <alignment horizontal="center" vertical="center"/>
    </xf>
    <xf numFmtId="0" fontId="126" fillId="4" borderId="911" xfId="0" applyFont="1" applyFill="1" applyBorder="1" applyAlignment="1">
      <alignment horizontal="left" vertical="center" wrapText="1" indent="1"/>
    </xf>
    <xf numFmtId="0" fontId="117" fillId="4" borderId="911" xfId="0" applyFont="1" applyFill="1" applyBorder="1" applyAlignment="1">
      <alignment horizontal="center" vertical="center" wrapText="1"/>
    </xf>
    <xf numFmtId="0" fontId="126" fillId="4" borderId="911" xfId="0" applyFont="1" applyFill="1" applyBorder="1" applyAlignment="1">
      <alignment horizontal="center" vertical="center" wrapText="1"/>
    </xf>
    <xf numFmtId="165" fontId="117" fillId="4" borderId="911" xfId="0" applyNumberFormat="1" applyFont="1" applyFill="1" applyBorder="1" applyAlignment="1">
      <alignment horizontal="right" vertical="center"/>
    </xf>
    <xf numFmtId="0" fontId="26" fillId="4" borderId="911" xfId="0" applyFont="1" applyFill="1" applyBorder="1" applyAlignment="1">
      <alignment horizontal="center" vertical="center" wrapText="1"/>
    </xf>
    <xf numFmtId="49" fontId="26" fillId="4" borderId="911" xfId="0" applyNumberFormat="1" applyFont="1" applyFill="1" applyBorder="1" applyAlignment="1">
      <alignment horizontal="center" vertical="center"/>
    </xf>
    <xf numFmtId="0" fontId="26" fillId="0" borderId="575" xfId="0" applyFont="1" applyBorder="1" applyAlignment="1">
      <alignment horizontal="right" vertical="center"/>
    </xf>
    <xf numFmtId="165" fontId="136" fillId="0" borderId="575" xfId="0" applyNumberFormat="1" applyFont="1" applyBorder="1" applyAlignment="1">
      <alignment vertical="center"/>
    </xf>
    <xf numFmtId="165" fontId="117" fillId="0" borderId="209" xfId="0" applyNumberFormat="1" applyFont="1" applyBorder="1" applyAlignment="1">
      <alignment vertical="center"/>
    </xf>
    <xf numFmtId="165" fontId="136" fillId="0" borderId="209" xfId="0" applyNumberFormat="1" applyFont="1" applyBorder="1" applyAlignment="1">
      <alignment vertical="center"/>
    </xf>
    <xf numFmtId="0" fontId="38" fillId="0" borderId="911" xfId="0" applyFont="1" applyBorder="1" applyAlignment="1">
      <alignment horizontal="center" vertical="center"/>
    </xf>
    <xf numFmtId="0" fontId="38" fillId="0" borderId="911" xfId="0" applyFont="1" applyBorder="1" applyAlignment="1">
      <alignment horizontal="right" vertical="center"/>
    </xf>
    <xf numFmtId="165" fontId="117" fillId="0" borderId="911" xfId="0" applyNumberFormat="1" applyFont="1" applyBorder="1" applyAlignment="1">
      <alignment vertical="center"/>
    </xf>
    <xf numFmtId="165" fontId="136" fillId="0" borderId="911" xfId="0" applyNumberFormat="1" applyFont="1" applyBorder="1" applyAlignment="1">
      <alignment vertical="center"/>
    </xf>
    <xf numFmtId="0" fontId="38" fillId="0" borderId="911" xfId="0" applyFont="1" applyBorder="1" applyAlignment="1">
      <alignment horizontal="center" vertical="center" wrapText="1"/>
    </xf>
    <xf numFmtId="0" fontId="38" fillId="0" borderId="911" xfId="0" applyFont="1" applyBorder="1" applyAlignment="1">
      <alignment horizontal="right" vertical="center" wrapText="1"/>
    </xf>
    <xf numFmtId="0" fontId="26" fillId="0" borderId="910" xfId="0" applyFont="1" applyBorder="1" applyAlignment="1">
      <alignment horizontal="left" vertical="center" wrapText="1" indent="1"/>
    </xf>
    <xf numFmtId="0" fontId="26" fillId="0" borderId="911" xfId="0" applyFont="1" applyBorder="1" applyAlignment="1">
      <alignment horizontal="center" vertical="center"/>
    </xf>
    <xf numFmtId="0" fontId="26" fillId="0" borderId="911" xfId="0" applyFont="1" applyBorder="1" applyAlignment="1">
      <alignment horizontal="right" vertical="center"/>
    </xf>
    <xf numFmtId="0" fontId="126" fillId="0" borderId="911" xfId="0" applyFont="1" applyBorder="1" applyAlignment="1">
      <alignment horizontal="left" vertical="center" wrapText="1" indent="1"/>
    </xf>
    <xf numFmtId="0" fontId="57" fillId="4" borderId="209" xfId="0" applyFont="1" applyFill="1" applyBorder="1" applyAlignment="1">
      <alignment horizontal="center" vertical="center"/>
    </xf>
    <xf numFmtId="0" fontId="117" fillId="4" borderId="209" xfId="0" applyFont="1" applyFill="1" applyBorder="1" applyAlignment="1">
      <alignment horizontal="center" vertical="center" wrapText="1"/>
    </xf>
    <xf numFmtId="0" fontId="126" fillId="4" borderId="209" xfId="0" applyFont="1" applyFill="1" applyBorder="1" applyAlignment="1">
      <alignment horizontal="center" vertical="center" wrapText="1"/>
    </xf>
    <xf numFmtId="165" fontId="117" fillId="4" borderId="209" xfId="0" applyNumberFormat="1" applyFont="1" applyFill="1" applyBorder="1" applyAlignment="1">
      <alignment horizontal="right" vertical="center"/>
    </xf>
    <xf numFmtId="165" fontId="136" fillId="4" borderId="209" xfId="0" applyNumberFormat="1" applyFont="1" applyFill="1" applyBorder="1" applyAlignment="1">
      <alignment horizontal="right" vertical="center"/>
    </xf>
    <xf numFmtId="49" fontId="38" fillId="0" borderId="910" xfId="0" applyNumberFormat="1" applyFont="1" applyBorder="1" applyAlignment="1">
      <alignment horizontal="left" vertical="center" wrapText="1" indent="1"/>
    </xf>
    <xf numFmtId="0" fontId="57" fillId="0" borderId="911" xfId="0" applyFont="1" applyBorder="1" applyAlignment="1">
      <alignment horizontal="center" vertical="center"/>
    </xf>
    <xf numFmtId="0" fontId="57" fillId="0" borderId="358" xfId="0" applyFont="1" applyBorder="1" applyAlignment="1">
      <alignment horizontal="center" vertical="center"/>
    </xf>
    <xf numFmtId="165" fontId="117" fillId="0" borderId="358" xfId="0" applyNumberFormat="1" applyFont="1" applyBorder="1" applyAlignment="1">
      <alignment horizontal="right" vertical="center" wrapText="1"/>
    </xf>
    <xf numFmtId="165" fontId="132" fillId="12" borderId="377" xfId="0" applyNumberFormat="1" applyFont="1" applyFill="1" applyBorder="1" applyAlignment="1">
      <alignment horizontal="right" vertical="center"/>
    </xf>
    <xf numFmtId="165" fontId="132" fillId="12" borderId="379" xfId="0" applyNumberFormat="1" applyFont="1" applyFill="1" applyBorder="1" applyAlignment="1">
      <alignment horizontal="right" vertical="center"/>
    </xf>
    <xf numFmtId="0" fontId="132" fillId="12" borderId="468" xfId="0" applyFont="1" applyFill="1" applyBorder="1" applyAlignment="1">
      <alignment horizontal="right" vertical="center"/>
    </xf>
    <xf numFmtId="0" fontId="134" fillId="0" borderId="634" xfId="0" applyFont="1" applyBorder="1" applyAlignment="1">
      <alignment horizontal="left" vertical="center" wrapText="1" indent="1"/>
    </xf>
    <xf numFmtId="0" fontId="117" fillId="0" borderId="634" xfId="0" applyFont="1" applyBorder="1" applyAlignment="1">
      <alignment horizontal="center" vertical="center" wrapText="1"/>
    </xf>
    <xf numFmtId="0" fontId="189" fillId="4" borderId="0" xfId="0" applyFont="1" applyFill="1" applyAlignment="1">
      <alignment horizontal="left" vertical="center" wrapText="1"/>
    </xf>
    <xf numFmtId="0" fontId="38" fillId="0" borderId="831" xfId="0" applyFont="1" applyBorder="1" applyAlignment="1">
      <alignment horizontal="left" vertical="center" wrapText="1" indent="1"/>
    </xf>
    <xf numFmtId="0" fontId="72" fillId="0" borderId="634" xfId="0" applyFont="1" applyBorder="1" applyAlignment="1">
      <alignment horizontal="center" vertical="center"/>
    </xf>
    <xf numFmtId="0" fontId="126" fillId="0" borderId="634" xfId="0" applyFont="1" applyBorder="1" applyAlignment="1">
      <alignment horizontal="center" vertical="center" wrapText="1"/>
    </xf>
    <xf numFmtId="165" fontId="117" fillId="0" borderId="634" xfId="0" applyNumberFormat="1" applyFont="1" applyBorder="1" applyAlignment="1">
      <alignment horizontal="right" vertical="center"/>
    </xf>
    <xf numFmtId="165" fontId="136" fillId="0" borderId="634" xfId="0" applyNumberFormat="1" applyFont="1" applyBorder="1" applyAlignment="1">
      <alignment horizontal="right" vertical="center"/>
    </xf>
    <xf numFmtId="0" fontId="26" fillId="0" borderId="580" xfId="0" applyFont="1" applyBorder="1" applyAlignment="1">
      <alignment horizontal="left" vertical="center" wrapText="1" indent="1"/>
    </xf>
    <xf numFmtId="0" fontId="57" fillId="0" borderId="581" xfId="0" applyFont="1" applyBorder="1" applyAlignment="1">
      <alignment horizontal="center" vertical="center"/>
    </xf>
    <xf numFmtId="0" fontId="126" fillId="0" borderId="581" xfId="0" applyFont="1" applyBorder="1" applyAlignment="1">
      <alignment horizontal="center" vertical="center" wrapText="1"/>
    </xf>
    <xf numFmtId="165" fontId="136" fillId="0" borderId="581" xfId="0" applyNumberFormat="1" applyFont="1" applyBorder="1" applyAlignment="1">
      <alignment horizontal="right" vertical="center"/>
    </xf>
    <xf numFmtId="0" fontId="26" fillId="0" borderId="828" xfId="0" applyFont="1" applyBorder="1" applyAlignment="1">
      <alignment horizontal="left" vertical="center" wrapText="1" indent="1"/>
    </xf>
    <xf numFmtId="0" fontId="57" fillId="0" borderId="628" xfId="0" applyFont="1" applyBorder="1" applyAlignment="1">
      <alignment horizontal="center" vertical="center"/>
    </xf>
    <xf numFmtId="0" fontId="126" fillId="0" borderId="628" xfId="0" applyFont="1" applyBorder="1" applyAlignment="1">
      <alignment horizontal="left" vertical="center" wrapText="1" indent="1"/>
    </xf>
    <xf numFmtId="0" fontId="126" fillId="0" borderId="628" xfId="0" applyFont="1" applyBorder="1" applyAlignment="1">
      <alignment horizontal="center" vertical="center" wrapText="1"/>
    </xf>
    <xf numFmtId="165" fontId="136" fillId="0" borderId="628" xfId="0" applyNumberFormat="1" applyFont="1" applyBorder="1" applyAlignment="1">
      <alignment horizontal="right" vertical="center"/>
    </xf>
    <xf numFmtId="0" fontId="117" fillId="0" borderId="114" xfId="0" applyNumberFormat="1" applyFont="1" applyBorder="1" applyAlignment="1">
      <alignment horizontal="center" vertical="center"/>
    </xf>
    <xf numFmtId="0" fontId="11" fillId="12" borderId="467" xfId="0" applyFont="1" applyFill="1" applyBorder="1" applyAlignment="1">
      <alignment vertical="center"/>
    </xf>
    <xf numFmtId="0" fontId="0" fillId="24" borderId="467" xfId="0" applyFont="1" applyFill="1" applyBorder="1" applyAlignment="1"/>
    <xf numFmtId="0" fontId="12" fillId="12" borderId="467" xfId="0" applyFont="1" applyFill="1" applyBorder="1" applyAlignment="1">
      <alignment vertical="center"/>
    </xf>
    <xf numFmtId="0" fontId="12" fillId="32" borderId="467" xfId="0" applyFont="1" applyFill="1" applyBorder="1" applyAlignment="1">
      <alignment vertical="center"/>
    </xf>
    <xf numFmtId="0" fontId="15" fillId="24" borderId="467" xfId="0" applyFont="1" applyFill="1" applyBorder="1" applyAlignment="1"/>
    <xf numFmtId="0" fontId="134" fillId="12" borderId="375" xfId="0" applyFont="1" applyFill="1" applyBorder="1" applyAlignment="1">
      <alignment horizontal="left" vertical="center" indent="1"/>
    </xf>
    <xf numFmtId="0" fontId="114" fillId="24" borderId="467" xfId="0" applyFont="1" applyFill="1" applyBorder="1" applyAlignment="1">
      <alignment horizontal="left" indent="1"/>
    </xf>
    <xf numFmtId="0" fontId="125" fillId="24" borderId="199" xfId="0" applyFont="1" applyFill="1" applyBorder="1" applyAlignment="1">
      <alignment horizontal="left" indent="1"/>
    </xf>
    <xf numFmtId="0" fontId="119" fillId="24" borderId="467" xfId="0" applyFont="1" applyFill="1" applyBorder="1" applyAlignment="1"/>
    <xf numFmtId="0" fontId="136" fillId="12" borderId="375" xfId="0" applyFont="1" applyFill="1" applyBorder="1" applyAlignment="1">
      <alignment vertical="center"/>
    </xf>
    <xf numFmtId="0" fontId="136" fillId="12" borderId="924" xfId="0" applyFont="1" applyFill="1" applyBorder="1" applyAlignment="1">
      <alignment vertical="center"/>
    </xf>
    <xf numFmtId="0" fontId="126" fillId="0" borderId="625" xfId="0" applyFont="1" applyBorder="1" applyAlignment="1">
      <alignment horizontal="left" vertical="center" wrapText="1" indent="1"/>
    </xf>
    <xf numFmtId="0" fontId="134" fillId="4" borderId="625" xfId="0" applyFont="1" applyFill="1" applyBorder="1" applyAlignment="1">
      <alignment horizontal="left" vertical="center" wrapText="1" indent="1"/>
    </xf>
    <xf numFmtId="0" fontId="134" fillId="4" borderId="634" xfId="0" applyFont="1" applyFill="1" applyBorder="1" applyAlignment="1">
      <alignment horizontal="left" vertical="center" wrapText="1" indent="1"/>
    </xf>
    <xf numFmtId="0" fontId="117" fillId="4" borderId="625" xfId="0" applyFont="1" applyFill="1" applyBorder="1" applyAlignment="1">
      <alignment horizontal="center" vertical="center"/>
    </xf>
    <xf numFmtId="0" fontId="117" fillId="4" borderId="625" xfId="0" applyFont="1" applyFill="1" applyBorder="1" applyAlignment="1">
      <alignment horizontal="center" vertical="center" wrapText="1"/>
    </xf>
    <xf numFmtId="0" fontId="134" fillId="0" borderId="625" xfId="0" applyFont="1" applyBorder="1" applyAlignment="1">
      <alignment horizontal="left" vertical="center" wrapText="1" indent="1"/>
    </xf>
    <xf numFmtId="0" fontId="134" fillId="0" borderId="634" xfId="0" applyFont="1" applyBorder="1" applyAlignment="1">
      <alignment horizontal="left" vertical="center" wrapText="1" indent="1"/>
    </xf>
    <xf numFmtId="0" fontId="117" fillId="0" borderId="634" xfId="0" applyFont="1" applyBorder="1" applyAlignment="1">
      <alignment horizontal="center" vertical="center" wrapText="1"/>
    </xf>
    <xf numFmtId="0" fontId="117" fillId="0" borderId="625" xfId="0" applyFont="1" applyBorder="1" applyAlignment="1">
      <alignment horizontal="center" vertical="center" wrapText="1"/>
    </xf>
    <xf numFmtId="0" fontId="117" fillId="0" borderId="774" xfId="0" applyFont="1" applyBorder="1" applyAlignment="1">
      <alignment horizontal="center" vertical="center" wrapText="1"/>
    </xf>
    <xf numFmtId="0" fontId="134" fillId="0" borderId="774" xfId="0" applyFont="1" applyBorder="1" applyAlignment="1">
      <alignment horizontal="left" vertical="center" wrapText="1" indent="1"/>
    </xf>
    <xf numFmtId="0" fontId="26" fillId="0" borderId="774" xfId="0" applyFont="1" applyBorder="1" applyAlignment="1">
      <alignment horizontal="center" vertical="center" wrapText="1"/>
    </xf>
    <xf numFmtId="165" fontId="117" fillId="0" borderId="774" xfId="0" applyNumberFormat="1" applyFont="1" applyBorder="1" applyAlignment="1">
      <alignment vertical="center"/>
    </xf>
    <xf numFmtId="0" fontId="162" fillId="16" borderId="651" xfId="0" applyFont="1" applyFill="1" applyBorder="1" applyAlignment="1">
      <alignment horizontal="left" vertical="center" indent="1"/>
    </xf>
    <xf numFmtId="0" fontId="126" fillId="0" borderId="918" xfId="0" applyFont="1" applyBorder="1" applyAlignment="1">
      <alignment horizontal="left" vertical="center" wrapText="1" indent="1"/>
    </xf>
    <xf numFmtId="0" fontId="134" fillId="0" borderId="918" xfId="0" applyFont="1" applyBorder="1" applyAlignment="1">
      <alignment horizontal="left" vertical="center" wrapText="1" indent="1"/>
    </xf>
    <xf numFmtId="0" fontId="0" fillId="0" borderId="573" xfId="0" applyFont="1" applyBorder="1" applyAlignment="1"/>
    <xf numFmtId="0" fontId="0" fillId="0" borderId="575" xfId="0" applyFont="1" applyBorder="1" applyAlignment="1"/>
    <xf numFmtId="49" fontId="126" fillId="0" borderId="911" xfId="0" applyNumberFormat="1" applyFont="1" applyBorder="1" applyAlignment="1">
      <alignment horizontal="center" vertical="center"/>
    </xf>
    <xf numFmtId="49" fontId="126" fillId="0" borderId="575" xfId="0" applyNumberFormat="1" applyFont="1" applyBorder="1" applyAlignment="1">
      <alignment horizontal="center" vertical="center"/>
    </xf>
    <xf numFmtId="49" fontId="126" fillId="0" borderId="358" xfId="0" applyNumberFormat="1" applyFont="1" applyBorder="1" applyAlignment="1">
      <alignment horizontal="center" vertical="center"/>
    </xf>
    <xf numFmtId="49" fontId="126" fillId="0" borderId="209" xfId="0" applyNumberFormat="1" applyFont="1" applyBorder="1" applyAlignment="1">
      <alignment horizontal="center" vertical="center"/>
    </xf>
    <xf numFmtId="49" fontId="126" fillId="0" borderId="221" xfId="0" applyNumberFormat="1" applyFont="1" applyBorder="1" applyAlignment="1">
      <alignment horizontal="center" vertical="center"/>
    </xf>
    <xf numFmtId="0" fontId="126" fillId="0" borderId="114" xfId="0" applyFont="1" applyBorder="1" applyAlignment="1">
      <alignment horizontal="center" vertical="center"/>
    </xf>
    <xf numFmtId="0" fontId="126" fillId="0" borderId="575" xfId="0" applyFont="1" applyBorder="1" applyAlignment="1">
      <alignment horizontal="center" vertical="center"/>
    </xf>
    <xf numFmtId="0" fontId="117" fillId="0" borderId="358" xfId="0" applyFont="1" applyBorder="1" applyAlignment="1">
      <alignment horizontal="center" vertical="center"/>
    </xf>
    <xf numFmtId="0" fontId="117" fillId="0" borderId="209" xfId="0" applyFont="1" applyBorder="1" applyAlignment="1">
      <alignment horizontal="center" vertical="center"/>
    </xf>
    <xf numFmtId="49" fontId="117" fillId="0" borderId="911" xfId="0" applyNumberFormat="1" applyFont="1" applyBorder="1" applyAlignment="1">
      <alignment horizontal="center" vertical="center"/>
    </xf>
    <xf numFmtId="49" fontId="117" fillId="0" borderId="114" xfId="0" applyNumberFormat="1" applyFont="1" applyBorder="1" applyAlignment="1">
      <alignment horizontal="center" vertical="center"/>
    </xf>
    <xf numFmtId="49" fontId="117" fillId="0" borderId="358" xfId="0" applyNumberFormat="1" applyFont="1" applyBorder="1" applyAlignment="1">
      <alignment horizontal="center" vertical="center"/>
    </xf>
    <xf numFmtId="49" fontId="117" fillId="0" borderId="575" xfId="0" applyNumberFormat="1" applyFont="1" applyBorder="1" applyAlignment="1">
      <alignment horizontal="center" vertical="center"/>
    </xf>
    <xf numFmtId="0" fontId="117" fillId="0" borderId="911" xfId="0" applyFont="1" applyBorder="1" applyAlignment="1">
      <alignment horizontal="center" vertical="center"/>
    </xf>
    <xf numFmtId="0" fontId="136" fillId="0" borderId="358" xfId="0" applyFont="1" applyBorder="1" applyAlignment="1">
      <alignment horizontal="center" vertical="center" wrapText="1"/>
    </xf>
    <xf numFmtId="165" fontId="117" fillId="0" borderId="358" xfId="0" applyNumberFormat="1" applyFont="1" applyBorder="1" applyAlignment="1">
      <alignment horizontal="center" vertical="center"/>
    </xf>
    <xf numFmtId="165" fontId="117" fillId="0" borderId="114" xfId="0" applyNumberFormat="1" applyFont="1" applyBorder="1" applyAlignment="1">
      <alignment horizontal="center" vertical="center"/>
    </xf>
    <xf numFmtId="165" fontId="117" fillId="0" borderId="209" xfId="0" applyNumberFormat="1" applyFont="1" applyBorder="1" applyAlignment="1">
      <alignment horizontal="center" vertical="center"/>
    </xf>
    <xf numFmtId="165" fontId="117" fillId="0" borderId="911" xfId="0" applyNumberFormat="1" applyFont="1" applyBorder="1" applyAlignment="1">
      <alignment horizontal="center" vertical="center"/>
    </xf>
    <xf numFmtId="165" fontId="117" fillId="0" borderId="575" xfId="0" applyNumberFormat="1" applyFont="1" applyBorder="1" applyAlignment="1">
      <alignment horizontal="center" vertical="center"/>
    </xf>
    <xf numFmtId="165" fontId="136" fillId="0" borderId="206" xfId="0" applyNumberFormat="1" applyFont="1" applyBorder="1" applyAlignment="1">
      <alignment vertical="center" wrapText="1"/>
    </xf>
    <xf numFmtId="165" fontId="136" fillId="0" borderId="358" xfId="0" applyNumberFormat="1" applyFont="1" applyBorder="1" applyAlignment="1">
      <alignment horizontal="center" vertical="center" wrapText="1"/>
    </xf>
    <xf numFmtId="165" fontId="117" fillId="0" borderId="114" xfId="0" applyNumberFormat="1" applyFont="1" applyBorder="1" applyAlignment="1">
      <alignment vertical="center" wrapText="1"/>
    </xf>
    <xf numFmtId="49" fontId="134" fillId="0" borderId="114" xfId="0" applyNumberFormat="1" applyFont="1" applyBorder="1" applyAlignment="1">
      <alignment horizontal="center" vertical="center"/>
    </xf>
    <xf numFmtId="49" fontId="136" fillId="0" borderId="114" xfId="0" applyNumberFormat="1" applyFont="1" applyBorder="1" applyAlignment="1">
      <alignment horizontal="center" vertical="center"/>
    </xf>
    <xf numFmtId="0" fontId="117" fillId="0" borderId="575" xfId="0" applyFont="1" applyBorder="1" applyAlignment="1">
      <alignment horizontal="center" vertical="center"/>
    </xf>
    <xf numFmtId="0" fontId="117" fillId="0" borderId="206" xfId="0" applyFont="1" applyBorder="1" applyAlignment="1">
      <alignment horizontal="center" vertical="center"/>
    </xf>
    <xf numFmtId="3" fontId="117" fillId="0" borderId="114" xfId="0" applyNumberFormat="1" applyFont="1" applyBorder="1" applyAlignment="1">
      <alignment horizontal="center" vertical="center"/>
    </xf>
    <xf numFmtId="0" fontId="117" fillId="0" borderId="575" xfId="0" applyNumberFormat="1" applyFont="1" applyBorder="1" applyAlignment="1">
      <alignment horizontal="center" vertical="center"/>
    </xf>
    <xf numFmtId="0" fontId="134" fillId="0" borderId="358" xfId="0" applyFont="1" applyBorder="1" applyAlignment="1">
      <alignment horizontal="left" vertical="center" indent="1"/>
    </xf>
    <xf numFmtId="0" fontId="126" fillId="0" borderId="209" xfId="0" applyFont="1" applyBorder="1" applyAlignment="1">
      <alignment horizontal="left" vertical="center" indent="1"/>
    </xf>
    <xf numFmtId="0" fontId="126" fillId="0" borderId="575" xfId="0" applyFont="1" applyBorder="1" applyAlignment="1">
      <alignment horizontal="left" vertical="center" indent="1"/>
    </xf>
    <xf numFmtId="49" fontId="134" fillId="0" borderId="358" xfId="0" applyNumberFormat="1" applyFont="1" applyBorder="1" applyAlignment="1">
      <alignment horizontal="left" vertical="center" indent="1"/>
    </xf>
    <xf numFmtId="49" fontId="134" fillId="0" borderId="911" xfId="0" applyNumberFormat="1" applyFont="1" applyBorder="1" applyAlignment="1">
      <alignment horizontal="left" vertical="center" indent="1"/>
    </xf>
    <xf numFmtId="49" fontId="134" fillId="0" borderId="114" xfId="0" applyNumberFormat="1" applyFont="1" applyBorder="1" applyAlignment="1">
      <alignment horizontal="left" vertical="center" indent="1"/>
    </xf>
    <xf numFmtId="49" fontId="134" fillId="0" borderId="114" xfId="0" applyNumberFormat="1" applyFont="1" applyBorder="1" applyAlignment="1">
      <alignment horizontal="left" vertical="center" wrapText="1" indent="1"/>
    </xf>
    <xf numFmtId="49" fontId="134" fillId="4" borderId="114" xfId="0" applyNumberFormat="1" applyFont="1" applyFill="1" applyBorder="1" applyAlignment="1">
      <alignment horizontal="left" vertical="center" indent="1"/>
    </xf>
    <xf numFmtId="49" fontId="126" fillId="0" borderId="114" xfId="0" applyNumberFormat="1" applyFont="1" applyBorder="1" applyAlignment="1">
      <alignment horizontal="left" vertical="center" indent="1"/>
    </xf>
    <xf numFmtId="49" fontId="126" fillId="0" borderId="575" xfId="0" applyNumberFormat="1" applyFont="1" applyBorder="1" applyAlignment="1">
      <alignment horizontal="left" vertical="center" indent="1"/>
    </xf>
    <xf numFmtId="0" fontId="126" fillId="0" borderId="911" xfId="0" applyFont="1" applyBorder="1" applyAlignment="1">
      <alignment horizontal="left" vertical="center" indent="1"/>
    </xf>
    <xf numFmtId="0" fontId="126" fillId="0" borderId="358" xfId="0" applyFont="1" applyBorder="1" applyAlignment="1">
      <alignment horizontal="left" vertical="center" indent="1"/>
    </xf>
    <xf numFmtId="0" fontId="134" fillId="0" borderId="206" xfId="0" applyFont="1" applyBorder="1" applyAlignment="1">
      <alignment horizontal="left" vertical="center" indent="1"/>
    </xf>
    <xf numFmtId="0" fontId="134" fillId="0" borderId="911" xfId="0" applyFont="1" applyBorder="1" applyAlignment="1">
      <alignment horizontal="left" vertical="center" indent="1"/>
    </xf>
    <xf numFmtId="0" fontId="135" fillId="0" borderId="206" xfId="0" applyFont="1" applyBorder="1" applyAlignment="1">
      <alignment horizontal="center" vertical="center"/>
    </xf>
    <xf numFmtId="0" fontId="131" fillId="0" borderId="114" xfId="0" applyFont="1" applyBorder="1" applyAlignment="1">
      <alignment horizontal="center" vertical="center"/>
    </xf>
    <xf numFmtId="0" fontId="135" fillId="0" borderId="114" xfId="0" applyFont="1" applyBorder="1" applyAlignment="1">
      <alignment horizontal="center" vertical="center"/>
    </xf>
    <xf numFmtId="0" fontId="131" fillId="0" borderId="209" xfId="0" applyFont="1" applyBorder="1" applyAlignment="1">
      <alignment horizontal="center" vertical="center"/>
    </xf>
    <xf numFmtId="0" fontId="135" fillId="0" borderId="911" xfId="0" applyFont="1" applyBorder="1" applyAlignment="1">
      <alignment horizontal="center" vertical="center"/>
    </xf>
    <xf numFmtId="0" fontId="131" fillId="0" borderId="358" xfId="0" applyFont="1" applyBorder="1" applyAlignment="1">
      <alignment horizontal="center" vertical="center"/>
    </xf>
    <xf numFmtId="0" fontId="131" fillId="0" borderId="911" xfId="0" applyFont="1" applyBorder="1" applyAlignment="1">
      <alignment horizontal="center" vertical="center"/>
    </xf>
    <xf numFmtId="49" fontId="131" fillId="0" borderId="911" xfId="0" applyNumberFormat="1" applyFont="1" applyBorder="1" applyAlignment="1">
      <alignment horizontal="center" vertical="center"/>
    </xf>
    <xf numFmtId="0" fontId="135" fillId="0" borderId="358" xfId="0" applyFont="1" applyBorder="1" applyAlignment="1">
      <alignment horizontal="center" vertical="center"/>
    </xf>
    <xf numFmtId="0" fontId="131" fillId="0" borderId="221" xfId="0" applyFont="1" applyBorder="1" applyAlignment="1">
      <alignment horizontal="center" vertical="center"/>
    </xf>
    <xf numFmtId="0" fontId="131" fillId="0" borderId="114" xfId="0" applyFont="1" applyBorder="1" applyAlignment="1">
      <alignment horizontal="center" vertical="center" wrapText="1"/>
    </xf>
    <xf numFmtId="0" fontId="131" fillId="0" borderId="575" xfId="0" applyFont="1" applyBorder="1" applyAlignment="1">
      <alignment horizontal="center" vertical="center" wrapText="1"/>
    </xf>
    <xf numFmtId="0" fontId="135" fillId="0" borderId="575" xfId="0" applyFont="1" applyBorder="1" applyAlignment="1">
      <alignment horizontal="center" vertical="center"/>
    </xf>
    <xf numFmtId="49" fontId="135" fillId="0" borderId="911" xfId="0" applyNumberFormat="1" applyFont="1" applyBorder="1" applyAlignment="1">
      <alignment horizontal="center" vertical="center"/>
    </xf>
    <xf numFmtId="49" fontId="135" fillId="0" borderId="206" xfId="0" applyNumberFormat="1" applyFont="1" applyBorder="1" applyAlignment="1">
      <alignment horizontal="center" vertical="center"/>
    </xf>
    <xf numFmtId="1" fontId="135" fillId="4" borderId="358" xfId="0" applyNumberFormat="1" applyFont="1" applyFill="1" applyBorder="1" applyAlignment="1">
      <alignment horizontal="center" vertical="center" wrapText="1"/>
    </xf>
    <xf numFmtId="0" fontId="135" fillId="0" borderId="209" xfId="0" applyFont="1" applyBorder="1" applyAlignment="1">
      <alignment horizontal="center" vertical="center"/>
    </xf>
    <xf numFmtId="0" fontId="135" fillId="0" borderId="221" xfId="0" applyFont="1" applyBorder="1" applyAlignment="1">
      <alignment horizontal="center" vertical="center"/>
    </xf>
    <xf numFmtId="49" fontId="135" fillId="0" borderId="209" xfId="0" applyNumberFormat="1" applyFont="1" applyBorder="1" applyAlignment="1">
      <alignment horizontal="center" vertical="center"/>
    </xf>
    <xf numFmtId="49" fontId="134" fillId="0" borderId="207" xfId="0" applyNumberFormat="1" applyFont="1" applyBorder="1" applyAlignment="1">
      <alignment horizontal="left" vertical="center" wrapText="1" indent="1"/>
    </xf>
    <xf numFmtId="0" fontId="134" fillId="0" borderId="380" xfId="0" applyFont="1" applyBorder="1" applyAlignment="1">
      <alignment horizontal="left" vertical="center" wrapText="1" indent="1"/>
    </xf>
    <xf numFmtId="0" fontId="134" fillId="0" borderId="215" xfId="0" applyFont="1" applyBorder="1" applyAlignment="1">
      <alignment horizontal="left" vertical="center" wrapText="1" indent="1"/>
    </xf>
    <xf numFmtId="0" fontId="134" fillId="0" borderId="216" xfId="0" applyFont="1" applyBorder="1" applyAlignment="1">
      <alignment horizontal="left" vertical="center" wrapText="1" indent="1"/>
    </xf>
    <xf numFmtId="0" fontId="134" fillId="0" borderId="923" xfId="0" applyFont="1" applyBorder="1" applyAlignment="1">
      <alignment horizontal="left" vertical="center" wrapText="1" indent="1"/>
    </xf>
    <xf numFmtId="0" fontId="134" fillId="0" borderId="809" xfId="0" applyFont="1" applyBorder="1" applyAlignment="1">
      <alignment horizontal="left" vertical="center" wrapText="1" indent="1"/>
    </xf>
    <xf numFmtId="0" fontId="134" fillId="0" borderId="362" xfId="0" applyFont="1" applyBorder="1" applyAlignment="1">
      <alignment horizontal="left" vertical="center" wrapText="1" indent="1"/>
    </xf>
    <xf numFmtId="0" fontId="134" fillId="0" borderId="910" xfId="0" applyFont="1" applyBorder="1" applyAlignment="1">
      <alignment horizontal="left" vertical="center" wrapText="1" indent="1"/>
    </xf>
    <xf numFmtId="0" fontId="134" fillId="0" borderId="207" xfId="0" applyFont="1" applyBorder="1" applyAlignment="1">
      <alignment horizontal="left" vertical="center" wrapText="1" indent="1"/>
    </xf>
    <xf numFmtId="0" fontId="134" fillId="0" borderId="804" xfId="0" applyFont="1" applyBorder="1" applyAlignment="1">
      <alignment horizontal="left" vertical="center" wrapText="1" indent="1"/>
    </xf>
    <xf numFmtId="49" fontId="134" fillId="0" borderId="215" xfId="0" applyNumberFormat="1" applyFont="1" applyBorder="1" applyAlignment="1">
      <alignment horizontal="left" vertical="center" wrapText="1" indent="1"/>
    </xf>
    <xf numFmtId="49" fontId="134" fillId="0" borderId="362" xfId="0" applyNumberFormat="1" applyFont="1" applyBorder="1" applyAlignment="1">
      <alignment horizontal="left" vertical="center" wrapText="1" indent="1"/>
    </xf>
    <xf numFmtId="49" fontId="134" fillId="0" borderId="804" xfId="0" applyNumberFormat="1" applyFont="1" applyBorder="1" applyAlignment="1">
      <alignment horizontal="left" vertical="center" wrapText="1" indent="1"/>
    </xf>
    <xf numFmtId="0" fontId="134" fillId="0" borderId="217" xfId="0" applyFont="1" applyBorder="1" applyAlignment="1">
      <alignment horizontal="left" vertical="center" wrapText="1" indent="1"/>
    </xf>
    <xf numFmtId="0" fontId="134" fillId="0" borderId="208" xfId="0" applyFont="1" applyBorder="1" applyAlignment="1">
      <alignment horizontal="left" vertical="center" wrapText="1" indent="1"/>
    </xf>
    <xf numFmtId="0" fontId="134" fillId="0" borderId="220" xfId="0" applyFont="1" applyBorder="1" applyAlignment="1">
      <alignment horizontal="left" vertical="center" wrapText="1" indent="1"/>
    </xf>
    <xf numFmtId="49" fontId="134" fillId="0" borderId="205" xfId="0" applyNumberFormat="1" applyFont="1" applyBorder="1" applyAlignment="1">
      <alignment horizontal="left" vertical="center" wrapText="1" indent="1"/>
    </xf>
    <xf numFmtId="49" fontId="134" fillId="0" borderId="217" xfId="0" applyNumberFormat="1" applyFont="1" applyBorder="1" applyAlignment="1">
      <alignment horizontal="left" vertical="center" wrapText="1" indent="1"/>
    </xf>
    <xf numFmtId="49" fontId="134" fillId="0" borderId="910" xfId="0" applyNumberFormat="1" applyFont="1" applyBorder="1" applyAlignment="1">
      <alignment horizontal="left" vertical="center" wrapText="1" indent="1"/>
    </xf>
    <xf numFmtId="0" fontId="134" fillId="0" borderId="205" xfId="0" applyFont="1" applyBorder="1" applyAlignment="1">
      <alignment horizontal="left" vertical="center" wrapText="1" indent="1"/>
    </xf>
    <xf numFmtId="0" fontId="134" fillId="4" borderId="207" xfId="0" applyFont="1" applyFill="1" applyBorder="1" applyAlignment="1">
      <alignment horizontal="left" vertical="center" wrapText="1" indent="1"/>
    </xf>
    <xf numFmtId="0" fontId="131" fillId="0" borderId="114" xfId="0" applyNumberFormat="1" applyFont="1" applyBorder="1" applyAlignment="1">
      <alignment horizontal="center" vertical="center"/>
    </xf>
    <xf numFmtId="0" fontId="135" fillId="0" borderId="114" xfId="0" applyNumberFormat="1" applyFont="1" applyBorder="1" applyAlignment="1">
      <alignment horizontal="center" vertical="center"/>
    </xf>
    <xf numFmtId="0" fontId="135" fillId="0" borderId="911" xfId="0" applyNumberFormat="1" applyFont="1" applyBorder="1" applyAlignment="1">
      <alignment horizontal="center" vertical="center"/>
    </xf>
    <xf numFmtId="49" fontId="13" fillId="0" borderId="4" xfId="0" applyNumberFormat="1" applyFont="1" applyBorder="1" applyAlignment="1">
      <alignment horizontal="left" vertical="center" wrapText="1" indent="1"/>
    </xf>
    <xf numFmtId="49" fontId="13" fillId="3" borderId="5" xfId="0" applyNumberFormat="1" applyFont="1" applyFill="1" applyBorder="1" applyAlignment="1">
      <alignment horizontal="left" vertical="center" indent="1"/>
    </xf>
    <xf numFmtId="49" fontId="13" fillId="3" borderId="5" xfId="0" applyNumberFormat="1" applyFont="1" applyFill="1" applyBorder="1" applyAlignment="1">
      <alignment horizontal="left" vertical="center" wrapText="1" indent="1"/>
    </xf>
    <xf numFmtId="0" fontId="13" fillId="0" borderId="5" xfId="0" applyFont="1" applyBorder="1" applyAlignment="1">
      <alignment horizontal="left" vertical="center" indent="1"/>
    </xf>
    <xf numFmtId="0" fontId="13" fillId="0" borderId="5" xfId="0" applyFont="1" applyBorder="1" applyAlignment="1">
      <alignment horizontal="left" vertical="center" wrapText="1" indent="1"/>
    </xf>
    <xf numFmtId="0" fontId="13" fillId="3" borderId="5" xfId="0" applyFont="1" applyFill="1" applyBorder="1" applyAlignment="1">
      <alignment horizontal="left" vertical="center" indent="1"/>
    </xf>
    <xf numFmtId="0" fontId="13" fillId="3" borderId="5" xfId="0" applyFont="1" applyFill="1" applyBorder="1" applyAlignment="1">
      <alignment horizontal="left" vertical="center" wrapText="1" indent="1"/>
    </xf>
    <xf numFmtId="49" fontId="13" fillId="0" borderId="5" xfId="0" applyNumberFormat="1" applyFont="1" applyBorder="1" applyAlignment="1">
      <alignment horizontal="left" vertical="center" wrapText="1" indent="1"/>
    </xf>
    <xf numFmtId="0" fontId="13" fillId="4" borderId="5" xfId="0" applyFont="1" applyFill="1" applyBorder="1" applyAlignment="1">
      <alignment horizontal="left" vertical="center" indent="1"/>
    </xf>
    <xf numFmtId="49" fontId="13" fillId="4" borderId="5" xfId="0" applyNumberFormat="1" applyFont="1" applyFill="1" applyBorder="1" applyAlignment="1">
      <alignment horizontal="left" vertical="center" wrapText="1" indent="1"/>
    </xf>
    <xf numFmtId="1" fontId="13" fillId="0" borderId="5" xfId="0" applyNumberFormat="1" applyFont="1" applyBorder="1" applyAlignment="1">
      <alignment horizontal="left" vertical="center" indent="1"/>
    </xf>
    <xf numFmtId="49" fontId="13" fillId="4" borderId="5" xfId="0" applyNumberFormat="1" applyFont="1" applyFill="1" applyBorder="1" applyAlignment="1">
      <alignment horizontal="left" vertical="center" indent="1"/>
    </xf>
    <xf numFmtId="0" fontId="13" fillId="4" borderId="5" xfId="0" applyFont="1" applyFill="1" applyBorder="1" applyAlignment="1">
      <alignment horizontal="left" vertical="center" wrapText="1" indent="1"/>
    </xf>
    <xf numFmtId="49" fontId="13" fillId="0" borderId="5" xfId="0" applyNumberFormat="1" applyFont="1" applyBorder="1" applyAlignment="1">
      <alignment horizontal="left" vertical="center" indent="1"/>
    </xf>
    <xf numFmtId="0" fontId="13" fillId="3" borderId="5" xfId="0" applyNumberFormat="1" applyFont="1" applyFill="1" applyBorder="1" applyAlignment="1">
      <alignment horizontal="center" vertical="center"/>
    </xf>
    <xf numFmtId="0" fontId="13" fillId="0" borderId="5" xfId="0" applyNumberFormat="1" applyFont="1" applyBorder="1" applyAlignment="1">
      <alignment horizontal="center" vertical="center"/>
    </xf>
    <xf numFmtId="0" fontId="13" fillId="4" borderId="5" xfId="0" applyNumberFormat="1" applyFont="1" applyFill="1" applyBorder="1" applyAlignment="1">
      <alignment horizontal="center" vertical="center"/>
    </xf>
    <xf numFmtId="0" fontId="159" fillId="3" borderId="736" xfId="0" applyNumberFormat="1" applyFont="1" applyFill="1" applyBorder="1" applyAlignment="1">
      <alignment horizontal="center" vertical="center"/>
    </xf>
    <xf numFmtId="0" fontId="159" fillId="3" borderId="737" xfId="0" applyNumberFormat="1" applyFont="1" applyFill="1" applyBorder="1" applyAlignment="1">
      <alignment horizontal="center" vertical="center"/>
    </xf>
    <xf numFmtId="0" fontId="38" fillId="12" borderId="467" xfId="0" applyFont="1" applyFill="1" applyBorder="1" applyAlignment="1">
      <alignment vertical="center"/>
    </xf>
    <xf numFmtId="0" fontId="0" fillId="24" borderId="467" xfId="0" applyFont="1" applyFill="1" applyBorder="1" applyAlignment="1">
      <alignment horizontal="left" indent="1"/>
    </xf>
    <xf numFmtId="0" fontId="38" fillId="12" borderId="467" xfId="0" applyFont="1" applyFill="1" applyBorder="1" applyAlignment="1">
      <alignment horizontal="left" vertical="center" indent="1"/>
    </xf>
    <xf numFmtId="0" fontId="132" fillId="12" borderId="375" xfId="0" applyFont="1" applyFill="1" applyBorder="1" applyAlignment="1">
      <alignment horizontal="right" vertical="center"/>
    </xf>
    <xf numFmtId="0" fontId="132" fillId="12" borderId="441" xfId="0" applyFont="1" applyFill="1" applyBorder="1" applyAlignment="1">
      <alignment horizontal="right" vertical="center"/>
    </xf>
    <xf numFmtId="165" fontId="132" fillId="12" borderId="441" xfId="0" applyNumberFormat="1" applyFont="1" applyFill="1" applyBorder="1" applyAlignment="1">
      <alignment horizontal="right" vertical="center"/>
    </xf>
    <xf numFmtId="0" fontId="135" fillId="0" borderId="774" xfId="0" applyFont="1" applyBorder="1" applyAlignment="1">
      <alignment horizontal="center" vertical="center"/>
    </xf>
    <xf numFmtId="165" fontId="136" fillId="0" borderId="774" xfId="0" applyNumberFormat="1" applyFont="1" applyBorder="1" applyAlignment="1">
      <alignment vertical="center"/>
    </xf>
    <xf numFmtId="49" fontId="26" fillId="4" borderId="774" xfId="0" applyNumberFormat="1" applyFont="1" applyFill="1" applyBorder="1" applyAlignment="1">
      <alignment horizontal="center" vertical="center"/>
    </xf>
    <xf numFmtId="49" fontId="26" fillId="0" borderId="774" xfId="0" applyNumberFormat="1" applyFont="1" applyBorder="1" applyAlignment="1">
      <alignment horizontal="center" vertical="center"/>
    </xf>
    <xf numFmtId="0" fontId="134" fillId="0" borderId="581" xfId="0" applyFont="1" applyBorder="1" applyAlignment="1">
      <alignment horizontal="left" vertical="center" wrapText="1" indent="1"/>
    </xf>
    <xf numFmtId="0" fontId="25" fillId="0" borderId="581" xfId="0" applyFont="1" applyBorder="1" applyAlignment="1">
      <alignment horizontal="center" vertical="center" wrapText="1"/>
    </xf>
    <xf numFmtId="0" fontId="135" fillId="0" borderId="622" xfId="0" applyFont="1" applyBorder="1" applyAlignment="1">
      <alignment horizontal="center" vertical="center"/>
    </xf>
    <xf numFmtId="0" fontId="126" fillId="0" borderId="622" xfId="0" applyFont="1" applyBorder="1" applyAlignment="1">
      <alignment horizontal="left" vertical="center" wrapText="1" indent="1"/>
    </xf>
    <xf numFmtId="0" fontId="117" fillId="0" borderId="622" xfId="0" applyFont="1" applyBorder="1" applyAlignment="1">
      <alignment horizontal="center" vertical="center" wrapText="1"/>
    </xf>
    <xf numFmtId="0" fontId="26" fillId="0" borderId="622" xfId="0" applyFont="1" applyBorder="1" applyAlignment="1">
      <alignment horizontal="center" vertical="center" wrapText="1"/>
    </xf>
    <xf numFmtId="165" fontId="117" fillId="0" borderId="622" xfId="0" applyNumberFormat="1" applyFont="1" applyBorder="1" applyAlignment="1">
      <alignment vertical="center"/>
    </xf>
    <xf numFmtId="165" fontId="136" fillId="0" borderId="622" xfId="0" applyNumberFormat="1" applyFont="1" applyBorder="1" applyAlignment="1">
      <alignment vertical="center"/>
    </xf>
    <xf numFmtId="49" fontId="26" fillId="0" borderId="622" xfId="0" applyNumberFormat="1" applyFont="1" applyBorder="1" applyAlignment="1">
      <alignment horizontal="center" vertical="center"/>
    </xf>
    <xf numFmtId="0" fontId="120" fillId="0" borderId="774" xfId="0" applyFont="1" applyBorder="1" applyAlignment="1">
      <alignment horizontal="center" vertical="center"/>
    </xf>
    <xf numFmtId="0" fontId="139" fillId="4" borderId="774" xfId="0" applyFont="1" applyFill="1" applyBorder="1" applyAlignment="1">
      <alignment horizontal="left" vertical="center" wrapText="1" indent="1"/>
    </xf>
    <xf numFmtId="0" fontId="26" fillId="0" borderId="774" xfId="0" applyFont="1" applyBorder="1" applyAlignment="1">
      <alignment vertical="center" wrapText="1"/>
    </xf>
    <xf numFmtId="0" fontId="139" fillId="0" borderId="581" xfId="0" applyFont="1" applyBorder="1" applyAlignment="1">
      <alignment horizontal="left" vertical="center" wrapText="1" indent="1"/>
    </xf>
    <xf numFmtId="0" fontId="120" fillId="0" borderId="581" xfId="0" applyFont="1" applyBorder="1" applyAlignment="1">
      <alignment horizontal="center" vertical="center"/>
    </xf>
    <xf numFmtId="0" fontId="114" fillId="3" borderId="581" xfId="0" applyFont="1" applyFill="1" applyBorder="1" applyAlignment="1">
      <alignment horizontal="left" vertical="center" wrapText="1" indent="1"/>
    </xf>
    <xf numFmtId="0" fontId="126" fillId="0" borderId="581" xfId="0" applyFont="1" applyBorder="1" applyAlignment="1">
      <alignment horizontal="left" vertical="center" indent="1"/>
    </xf>
    <xf numFmtId="0" fontId="134" fillId="0" borderId="581" xfId="0" applyFont="1" applyBorder="1" applyAlignment="1">
      <alignment horizontal="left" vertical="center" indent="1"/>
    </xf>
    <xf numFmtId="0" fontId="114" fillId="0" borderId="581" xfId="0" applyFont="1" applyBorder="1" applyAlignment="1">
      <alignment horizontal="left" vertical="center" wrapText="1" indent="1"/>
    </xf>
    <xf numFmtId="0" fontId="135" fillId="4" borderId="622" xfId="0" applyFont="1" applyFill="1" applyBorder="1" applyAlignment="1">
      <alignment horizontal="center" vertical="center"/>
    </xf>
    <xf numFmtId="0" fontId="26" fillId="4" borderId="622" xfId="0" applyFont="1" applyFill="1" applyBorder="1" applyAlignment="1">
      <alignment horizontal="center" vertical="center" wrapText="1"/>
    </xf>
    <xf numFmtId="49" fontId="26" fillId="4" borderId="622" xfId="0" applyNumberFormat="1" applyFont="1" applyFill="1" applyBorder="1" applyAlignment="1">
      <alignment horizontal="center" vertical="center"/>
    </xf>
    <xf numFmtId="0" fontId="136" fillId="0" borderId="774" xfId="0" applyFont="1" applyBorder="1" applyAlignment="1">
      <alignment horizontal="center" vertical="center"/>
    </xf>
    <xf numFmtId="0" fontId="38" fillId="0" borderId="774" xfId="0" applyFont="1" applyBorder="1" applyAlignment="1">
      <alignment horizontal="center" vertical="center"/>
    </xf>
    <xf numFmtId="165" fontId="136" fillId="0" borderId="774" xfId="0" applyNumberFormat="1" applyFont="1" applyBorder="1" applyAlignment="1">
      <alignment horizontal="right" vertical="center"/>
    </xf>
    <xf numFmtId="49" fontId="134" fillId="0" borderId="581" xfId="0" applyNumberFormat="1" applyFont="1" applyBorder="1" applyAlignment="1">
      <alignment horizontal="left" vertical="center" indent="1"/>
    </xf>
    <xf numFmtId="49" fontId="136" fillId="0" borderId="581" xfId="0" applyNumberFormat="1" applyFont="1" applyBorder="1" applyAlignment="1">
      <alignment horizontal="center" vertical="center"/>
    </xf>
    <xf numFmtId="49" fontId="38" fillId="0" borderId="581" xfId="0" applyNumberFormat="1" applyFont="1" applyBorder="1" applyAlignment="1">
      <alignment horizontal="center" vertical="center"/>
    </xf>
    <xf numFmtId="49" fontId="38" fillId="0" borderId="581" xfId="0" applyNumberFormat="1" applyFont="1" applyBorder="1" applyAlignment="1">
      <alignment vertical="center"/>
    </xf>
    <xf numFmtId="0" fontId="117" fillId="0" borderId="581" xfId="0" applyFont="1" applyBorder="1" applyAlignment="1">
      <alignment vertical="center"/>
    </xf>
    <xf numFmtId="165" fontId="38" fillId="0" borderId="581" xfId="0" applyNumberFormat="1" applyFont="1" applyBorder="1" applyAlignment="1">
      <alignment vertical="center"/>
    </xf>
    <xf numFmtId="0" fontId="135" fillId="0" borderId="628" xfId="0" applyFont="1" applyBorder="1" applyAlignment="1">
      <alignment horizontal="center" vertical="center"/>
    </xf>
    <xf numFmtId="165" fontId="136" fillId="0" borderId="628" xfId="0" applyNumberFormat="1" applyFont="1" applyBorder="1" applyAlignment="1">
      <alignment vertical="center"/>
    </xf>
    <xf numFmtId="0" fontId="135" fillId="0" borderId="631" xfId="0" applyFont="1" applyBorder="1" applyAlignment="1">
      <alignment horizontal="center" vertical="center"/>
    </xf>
    <xf numFmtId="0" fontId="126" fillId="0" borderId="631" xfId="0" applyFont="1" applyBorder="1" applyAlignment="1">
      <alignment horizontal="left" vertical="center" wrapText="1" indent="1"/>
    </xf>
    <xf numFmtId="165" fontId="136" fillId="0" borderId="631" xfId="0" applyNumberFormat="1" applyFont="1" applyBorder="1" applyAlignment="1">
      <alignment vertical="center"/>
    </xf>
    <xf numFmtId="0" fontId="25" fillId="0" borderId="634" xfId="0" applyFont="1" applyBorder="1" applyAlignment="1">
      <alignment horizontal="center" vertical="center" wrapText="1"/>
    </xf>
    <xf numFmtId="0" fontId="25" fillId="0" borderId="625" xfId="0" applyFont="1" applyBorder="1" applyAlignment="1">
      <alignment horizontal="center" vertical="center" wrapText="1"/>
    </xf>
    <xf numFmtId="0" fontId="126" fillId="0" borderId="631" xfId="0" applyFont="1" applyBorder="1" applyAlignment="1">
      <alignment horizontal="left" vertical="center" indent="1"/>
    </xf>
    <xf numFmtId="0" fontId="135" fillId="4" borderId="628" xfId="0" applyFont="1" applyFill="1" applyBorder="1" applyAlignment="1">
      <alignment horizontal="center" vertical="center"/>
    </xf>
    <xf numFmtId="0" fontId="139" fillId="0" borderId="634" xfId="0" applyFont="1" applyBorder="1" applyAlignment="1">
      <alignment horizontal="left" vertical="center" wrapText="1" indent="1"/>
    </xf>
    <xf numFmtId="0" fontId="26" fillId="0" borderId="634" xfId="0" applyFont="1" applyBorder="1" applyAlignment="1">
      <alignment vertical="center" wrapText="1"/>
    </xf>
    <xf numFmtId="49" fontId="134" fillId="0" borderId="634" xfId="0" applyNumberFormat="1" applyFont="1" applyBorder="1" applyAlignment="1">
      <alignment horizontal="left" vertical="center" indent="1"/>
    </xf>
    <xf numFmtId="49" fontId="136" fillId="0" borderId="634" xfId="0" applyNumberFormat="1" applyFont="1" applyBorder="1" applyAlignment="1">
      <alignment horizontal="center" vertical="center"/>
    </xf>
    <xf numFmtId="49" fontId="38" fillId="0" borderId="634" xfId="0" applyNumberFormat="1" applyFont="1" applyBorder="1" applyAlignment="1">
      <alignment horizontal="center" vertical="center"/>
    </xf>
    <xf numFmtId="165" fontId="117" fillId="0" borderId="634" xfId="0" applyNumberFormat="1" applyFont="1" applyBorder="1" applyAlignment="1">
      <alignment horizontal="left" vertical="center"/>
    </xf>
    <xf numFmtId="0" fontId="136" fillId="0" borderId="625" xfId="0" applyFont="1" applyBorder="1" applyAlignment="1">
      <alignment horizontal="center" vertical="center" wrapText="1"/>
    </xf>
    <xf numFmtId="0" fontId="38" fillId="0" borderId="625" xfId="0" applyFont="1" applyBorder="1" applyAlignment="1">
      <alignment horizontal="center" vertical="center" wrapText="1"/>
    </xf>
    <xf numFmtId="165" fontId="38" fillId="0" borderId="625" xfId="0" applyNumberFormat="1" applyFont="1" applyBorder="1" applyAlignment="1">
      <alignment vertical="center"/>
    </xf>
    <xf numFmtId="0" fontId="126" fillId="0" borderId="628" xfId="0" applyFont="1" applyBorder="1" applyAlignment="1">
      <alignment horizontal="left" vertical="center" indent="1"/>
    </xf>
    <xf numFmtId="0" fontId="117" fillId="0" borderId="628" xfId="0" applyFont="1" applyBorder="1" applyAlignment="1">
      <alignment vertical="center"/>
    </xf>
    <xf numFmtId="0" fontId="25" fillId="0" borderId="628" xfId="0" applyFont="1" applyBorder="1" applyAlignment="1">
      <alignment horizontal="center" vertical="center" wrapText="1"/>
    </xf>
    <xf numFmtId="165" fontId="38" fillId="0" borderId="631" xfId="0" applyNumberFormat="1" applyFont="1" applyBorder="1" applyAlignment="1">
      <alignment vertical="center"/>
    </xf>
    <xf numFmtId="0" fontId="38" fillId="0" borderId="917" xfId="0" applyFont="1" applyBorder="1" applyAlignment="1">
      <alignment horizontal="left" vertical="center" wrapText="1" indent="1"/>
    </xf>
    <xf numFmtId="0" fontId="26" fillId="0" borderId="918" xfId="0" applyFont="1" applyBorder="1" applyAlignment="1">
      <alignment horizontal="left" vertical="center" wrapText="1" indent="1"/>
    </xf>
    <xf numFmtId="0" fontId="117" fillId="0" borderId="918" xfId="0" applyFont="1" applyBorder="1" applyAlignment="1">
      <alignment horizontal="center" vertical="center" wrapText="1"/>
    </xf>
    <xf numFmtId="0" fontId="135" fillId="0" borderId="918" xfId="0" applyFont="1" applyBorder="1" applyAlignment="1">
      <alignment horizontal="center" vertical="center"/>
    </xf>
    <xf numFmtId="0" fontId="26" fillId="0" borderId="918" xfId="0" applyFont="1" applyBorder="1" applyAlignment="1">
      <alignment horizontal="center" vertical="center" wrapText="1"/>
    </xf>
    <xf numFmtId="165" fontId="117" fillId="0" borderId="918" xfId="0" applyNumberFormat="1" applyFont="1" applyBorder="1" applyAlignment="1">
      <alignment vertical="center"/>
    </xf>
    <xf numFmtId="165" fontId="136" fillId="0" borderId="918" xfId="0" applyNumberFormat="1" applyFont="1" applyBorder="1" applyAlignment="1">
      <alignment vertical="center"/>
    </xf>
    <xf numFmtId="49" fontId="26" fillId="0" borderId="918" xfId="0" applyNumberFormat="1" applyFont="1" applyBorder="1" applyAlignment="1">
      <alignment horizontal="center" vertical="center"/>
    </xf>
    <xf numFmtId="0" fontId="38" fillId="0" borderId="925" xfId="0" applyFont="1" applyBorder="1" applyAlignment="1">
      <alignment vertical="center" wrapText="1"/>
    </xf>
    <xf numFmtId="0" fontId="15" fillId="24" borderId="467" xfId="0" applyFont="1" applyFill="1" applyBorder="1" applyAlignment="1">
      <alignment horizontal="left" indent="1"/>
    </xf>
    <xf numFmtId="0" fontId="26" fillId="0" borderId="926" xfId="0" applyFont="1" applyBorder="1" applyAlignment="1">
      <alignment horizontal="left" vertical="center" wrapText="1" indent="1"/>
    </xf>
    <xf numFmtId="49" fontId="134" fillId="0" borderId="785" xfId="0" applyNumberFormat="1" applyFont="1" applyBorder="1" applyAlignment="1">
      <alignment horizontal="left" vertical="center" wrapText="1" indent="1"/>
    </xf>
    <xf numFmtId="0" fontId="135" fillId="0" borderId="615" xfId="0" applyFont="1" applyBorder="1" applyAlignment="1">
      <alignment horizontal="center" vertical="center"/>
    </xf>
    <xf numFmtId="0" fontId="134" fillId="0" borderId="615" xfId="0" applyFont="1" applyBorder="1" applyAlignment="1">
      <alignment horizontal="left" vertical="center" wrapText="1" indent="1"/>
    </xf>
    <xf numFmtId="0" fontId="117" fillId="0" borderId="615" xfId="0" applyFont="1" applyBorder="1" applyAlignment="1">
      <alignment horizontal="center" vertical="center" wrapText="1"/>
    </xf>
    <xf numFmtId="0" fontId="26" fillId="0" borderId="615" xfId="0" applyFont="1" applyBorder="1" applyAlignment="1">
      <alignment horizontal="center" vertical="center" wrapText="1"/>
    </xf>
    <xf numFmtId="49" fontId="134" fillId="0" borderId="786" xfId="0" applyNumberFormat="1" applyFont="1" applyBorder="1" applyAlignment="1">
      <alignment horizontal="left" vertical="center" wrapText="1" indent="1"/>
    </xf>
    <xf numFmtId="49" fontId="134" fillId="4" borderId="790" xfId="0" applyNumberFormat="1" applyFont="1" applyFill="1" applyBorder="1" applyAlignment="1">
      <alignment horizontal="left" vertical="center" wrapText="1" indent="1"/>
    </xf>
    <xf numFmtId="49" fontId="134" fillId="4" borderId="786" xfId="0" applyNumberFormat="1" applyFont="1" applyFill="1" applyBorder="1" applyAlignment="1">
      <alignment horizontal="left" vertical="center" wrapText="1" indent="1"/>
    </xf>
    <xf numFmtId="0" fontId="134" fillId="0" borderId="791" xfId="0" applyFont="1" applyBorder="1" applyAlignment="1">
      <alignment horizontal="left" vertical="center" wrapText="1" indent="1"/>
    </xf>
    <xf numFmtId="49" fontId="134" fillId="0" borderId="793" xfId="0" applyNumberFormat="1" applyFont="1" applyBorder="1" applyAlignment="1">
      <alignment horizontal="left" vertical="center" wrapText="1" indent="1"/>
    </xf>
    <xf numFmtId="0" fontId="139" fillId="0" borderId="793" xfId="0" applyFont="1" applyBorder="1" applyAlignment="1">
      <alignment horizontal="left" vertical="center" wrapText="1" indent="1"/>
    </xf>
    <xf numFmtId="0" fontId="139" fillId="0" borderId="786" xfId="0" applyFont="1" applyBorder="1" applyAlignment="1">
      <alignment horizontal="left" vertical="center" wrapText="1" indent="1"/>
    </xf>
    <xf numFmtId="0" fontId="134" fillId="0" borderId="786" xfId="0" applyFont="1" applyBorder="1" applyAlignment="1">
      <alignment horizontal="left" wrapText="1" indent="1"/>
    </xf>
    <xf numFmtId="0" fontId="134" fillId="4" borderId="788" xfId="0" applyFont="1" applyFill="1" applyBorder="1" applyAlignment="1">
      <alignment horizontal="left" vertical="center" wrapText="1" indent="1"/>
    </xf>
    <xf numFmtId="0" fontId="134" fillId="4" borderId="789" xfId="0" applyFont="1" applyFill="1" applyBorder="1" applyAlignment="1">
      <alignment horizontal="left" vertical="center" wrapText="1" indent="1"/>
    </xf>
    <xf numFmtId="0" fontId="134" fillId="4" borderId="787" xfId="0" applyFont="1" applyFill="1" applyBorder="1" applyAlignment="1">
      <alignment horizontal="left" vertical="center" wrapText="1" indent="1"/>
    </xf>
    <xf numFmtId="0" fontId="139" fillId="0" borderId="788" xfId="0" applyFont="1" applyBorder="1" applyAlignment="1">
      <alignment horizontal="left" vertical="center" wrapText="1" indent="1"/>
    </xf>
    <xf numFmtId="49" fontId="134" fillId="0" borderId="788" xfId="0" applyNumberFormat="1" applyFont="1" applyBorder="1" applyAlignment="1">
      <alignment horizontal="left" vertical="center" wrapText="1" indent="1"/>
    </xf>
    <xf numFmtId="49" fontId="134" fillId="0" borderId="790" xfId="0" applyNumberFormat="1" applyFont="1" applyBorder="1" applyAlignment="1">
      <alignment horizontal="left" vertical="center" wrapText="1" indent="1"/>
    </xf>
    <xf numFmtId="49" fontId="134" fillId="0" borderId="787" xfId="0" applyNumberFormat="1" applyFont="1" applyBorder="1" applyAlignment="1">
      <alignment horizontal="left" vertical="center" wrapText="1" indent="1"/>
    </xf>
    <xf numFmtId="0" fontId="134" fillId="0" borderId="787" xfId="0" applyFont="1" applyBorder="1" applyAlignment="1">
      <alignment horizontal="left" wrapText="1" indent="1"/>
    </xf>
    <xf numFmtId="0" fontId="134" fillId="0" borderId="928" xfId="0" applyFont="1" applyBorder="1" applyAlignment="1">
      <alignment horizontal="left" vertical="center" wrapText="1" indent="1"/>
    </xf>
    <xf numFmtId="0" fontId="131" fillId="0" borderId="615" xfId="0" applyFont="1" applyBorder="1" applyAlignment="1">
      <alignment horizontal="center" vertical="center"/>
    </xf>
    <xf numFmtId="0" fontId="131" fillId="0" borderId="622" xfId="0" applyFont="1" applyBorder="1" applyAlignment="1">
      <alignment horizontal="center" vertical="center"/>
    </xf>
    <xf numFmtId="0" fontId="131" fillId="0" borderId="774" xfId="0" applyFont="1" applyBorder="1" applyAlignment="1">
      <alignment horizontal="center" vertical="center"/>
    </xf>
    <xf numFmtId="0" fontId="113" fillId="0" borderId="774" xfId="0" applyFont="1" applyBorder="1" applyAlignment="1">
      <alignment horizontal="center" vertical="center"/>
    </xf>
    <xf numFmtId="0" fontId="113" fillId="3" borderId="581" xfId="0" applyFont="1" applyFill="1" applyBorder="1" applyAlignment="1">
      <alignment horizontal="center" vertical="center" wrapText="1"/>
    </xf>
    <xf numFmtId="49" fontId="131" fillId="0" borderId="581" xfId="0" applyNumberFormat="1" applyFont="1" applyBorder="1" applyAlignment="1">
      <alignment horizontal="center" vertical="center"/>
    </xf>
    <xf numFmtId="1" fontId="131" fillId="0" borderId="581" xfId="0" applyNumberFormat="1" applyFont="1" applyBorder="1" applyAlignment="1">
      <alignment horizontal="center" vertical="center"/>
    </xf>
    <xf numFmtId="49" fontId="131" fillId="0" borderId="634" xfId="0" applyNumberFormat="1" applyFont="1" applyBorder="1" applyAlignment="1">
      <alignment horizontal="center" vertical="center"/>
    </xf>
    <xf numFmtId="0" fontId="131" fillId="0" borderId="918" xfId="0" applyFont="1" applyBorder="1" applyAlignment="1">
      <alignment horizontal="center" vertical="center"/>
    </xf>
    <xf numFmtId="0" fontId="131" fillId="0" borderId="581" xfId="0" applyNumberFormat="1" applyFont="1" applyBorder="1" applyAlignment="1">
      <alignment horizontal="center" vertical="center"/>
    </xf>
    <xf numFmtId="0" fontId="131" fillId="0" borderId="631" xfId="0" applyNumberFormat="1" applyFont="1" applyBorder="1" applyAlignment="1">
      <alignment horizontal="center" vertical="center"/>
    </xf>
    <xf numFmtId="0" fontId="126" fillId="0" borderId="918" xfId="0" applyFont="1" applyBorder="1" applyAlignment="1">
      <alignment horizontal="left" vertical="center" wrapText="1" indent="1"/>
    </xf>
    <xf numFmtId="0" fontId="134" fillId="0" borderId="918" xfId="0" applyFont="1" applyBorder="1" applyAlignment="1">
      <alignment horizontal="left" vertical="center" wrapText="1" indent="1"/>
    </xf>
    <xf numFmtId="49" fontId="13" fillId="3" borderId="5" xfId="0" applyNumberFormat="1" applyFont="1" applyFill="1" applyBorder="1" applyAlignment="1">
      <alignment horizontal="left" indent="1"/>
    </xf>
    <xf numFmtId="49" fontId="13" fillId="3" borderId="5" xfId="0" applyNumberFormat="1" applyFont="1" applyFill="1" applyBorder="1" applyAlignment="1">
      <alignment horizontal="left" wrapText="1" indent="1"/>
    </xf>
    <xf numFmtId="165" fontId="13" fillId="0" borderId="5" xfId="0" applyNumberFormat="1" applyFont="1" applyBorder="1" applyAlignment="1">
      <alignment horizontal="left" vertical="center" wrapText="1" indent="1"/>
    </xf>
    <xf numFmtId="39" fontId="13" fillId="3" borderId="5" xfId="0" applyNumberFormat="1" applyFont="1" applyFill="1" applyBorder="1" applyAlignment="1">
      <alignment horizontal="left" vertical="center" wrapText="1" indent="1"/>
    </xf>
    <xf numFmtId="49" fontId="13" fillId="4" borderId="4" xfId="0" applyNumberFormat="1" applyFont="1" applyFill="1" applyBorder="1" applyAlignment="1">
      <alignment horizontal="left" vertical="center" wrapText="1" indent="1"/>
    </xf>
    <xf numFmtId="49" fontId="13" fillId="0" borderId="5" xfId="0" applyNumberFormat="1" applyFont="1" applyBorder="1" applyAlignment="1">
      <alignment horizontal="left" indent="1"/>
    </xf>
    <xf numFmtId="0" fontId="13" fillId="0" borderId="5" xfId="0" applyFont="1" applyBorder="1" applyAlignment="1">
      <alignment horizontal="left" wrapText="1" indent="1"/>
    </xf>
    <xf numFmtId="0" fontId="188" fillId="0" borderId="5" xfId="0" applyFont="1" applyBorder="1" applyAlignment="1">
      <alignment horizontal="left" vertical="center" wrapText="1" indent="1"/>
    </xf>
    <xf numFmtId="165" fontId="136" fillId="2" borderId="733" xfId="0" applyNumberFormat="1" applyFont="1" applyFill="1" applyBorder="1" applyAlignment="1">
      <alignment horizontal="right" vertical="center"/>
    </xf>
    <xf numFmtId="49" fontId="14" fillId="0" borderId="390" xfId="0" applyNumberFormat="1" applyFont="1" applyBorder="1" applyAlignment="1">
      <alignment horizontal="left" vertical="center" wrapText="1" indent="1"/>
    </xf>
    <xf numFmtId="49" fontId="14" fillId="4" borderId="390" xfId="0" applyNumberFormat="1" applyFont="1" applyFill="1" applyBorder="1" applyAlignment="1">
      <alignment horizontal="left" vertical="center" wrapText="1" indent="1"/>
    </xf>
    <xf numFmtId="0" fontId="134" fillId="0" borderId="206" xfId="0" applyFont="1" applyBorder="1" applyAlignment="1">
      <alignment horizontal="center" vertical="center"/>
    </xf>
    <xf numFmtId="0" fontId="134" fillId="0" borderId="114" xfId="0" applyFont="1" applyBorder="1" applyAlignment="1">
      <alignment horizontal="center" vertical="center"/>
    </xf>
    <xf numFmtId="0" fontId="134" fillId="0" borderId="209" xfId="0" applyFont="1" applyBorder="1" applyAlignment="1">
      <alignment horizontal="center" vertical="center"/>
    </xf>
    <xf numFmtId="0" fontId="134" fillId="4" borderId="114" xfId="0" applyFont="1" applyFill="1" applyBorder="1" applyAlignment="1">
      <alignment horizontal="center" vertical="center"/>
    </xf>
    <xf numFmtId="0" fontId="134" fillId="4" borderId="221" xfId="0" applyFont="1" applyFill="1" applyBorder="1" applyAlignment="1">
      <alignment horizontal="center" vertical="center"/>
    </xf>
    <xf numFmtId="165" fontId="131" fillId="0" borderId="206" xfId="0" applyNumberFormat="1" applyFont="1" applyBorder="1" applyAlignment="1">
      <alignment vertical="center"/>
    </xf>
    <xf numFmtId="165" fontId="135" fillId="0" borderId="206" xfId="0" applyNumberFormat="1" applyFont="1" applyBorder="1" applyAlignment="1">
      <alignment vertical="center"/>
    </xf>
    <xf numFmtId="165" fontId="131" fillId="0" borderId="114" xfId="0" applyNumberFormat="1" applyFont="1" applyBorder="1" applyAlignment="1">
      <alignment vertical="center"/>
    </xf>
    <xf numFmtId="165" fontId="135" fillId="0" borderId="114" xfId="0" applyNumberFormat="1" applyFont="1" applyBorder="1" applyAlignment="1">
      <alignment vertical="center"/>
    </xf>
    <xf numFmtId="165" fontId="135" fillId="4" borderId="114" xfId="0" applyNumberFormat="1" applyFont="1" applyFill="1" applyBorder="1" applyAlignment="1">
      <alignment vertical="center"/>
    </xf>
    <xf numFmtId="165" fontId="131" fillId="4" borderId="114" xfId="0" applyNumberFormat="1" applyFont="1" applyFill="1" applyBorder="1" applyAlignment="1">
      <alignment vertical="center"/>
    </xf>
    <xf numFmtId="165" fontId="131" fillId="4" borderId="221" xfId="0" applyNumberFormat="1" applyFont="1" applyFill="1" applyBorder="1" applyAlignment="1">
      <alignment vertical="center"/>
    </xf>
    <xf numFmtId="165" fontId="135" fillId="4" borderId="221" xfId="0" applyNumberFormat="1" applyFont="1" applyFill="1" applyBorder="1" applyAlignment="1">
      <alignment vertical="center"/>
    </xf>
    <xf numFmtId="165" fontId="131" fillId="0" borderId="209" xfId="0" applyNumberFormat="1" applyFont="1" applyBorder="1" applyAlignment="1">
      <alignment vertical="center"/>
    </xf>
    <xf numFmtId="165" fontId="135" fillId="0" borderId="209" xfId="0" applyNumberFormat="1" applyFont="1" applyBorder="1" applyAlignment="1">
      <alignment vertical="center"/>
    </xf>
    <xf numFmtId="165" fontId="131" fillId="4" borderId="209" xfId="0" applyNumberFormat="1" applyFont="1" applyFill="1" applyBorder="1" applyAlignment="1">
      <alignment vertical="center"/>
    </xf>
    <xf numFmtId="165" fontId="135" fillId="4" borderId="209" xfId="0" applyNumberFormat="1" applyFont="1" applyFill="1" applyBorder="1" applyAlignment="1">
      <alignment vertical="center"/>
    </xf>
    <xf numFmtId="0" fontId="135" fillId="4" borderId="221" xfId="0" applyFont="1" applyFill="1" applyBorder="1" applyAlignment="1">
      <alignment horizontal="center" vertical="center"/>
    </xf>
    <xf numFmtId="165" fontId="135" fillId="0" borderId="206" xfId="0" applyNumberFormat="1" applyFont="1" applyBorder="1" applyAlignment="1">
      <alignment horizontal="center" vertical="center"/>
    </xf>
    <xf numFmtId="165" fontId="135" fillId="0" borderId="114" xfId="0" applyNumberFormat="1" applyFont="1" applyBorder="1" applyAlignment="1">
      <alignment horizontal="center" vertical="center"/>
    </xf>
    <xf numFmtId="165" fontId="135" fillId="0" borderId="209" xfId="0" applyNumberFormat="1" applyFont="1" applyBorder="1" applyAlignment="1">
      <alignment horizontal="center" vertical="center"/>
    </xf>
    <xf numFmtId="165" fontId="135" fillId="4" borderId="114" xfId="0" applyNumberFormat="1" applyFont="1" applyFill="1" applyBorder="1" applyAlignment="1">
      <alignment horizontal="center" vertical="center"/>
    </xf>
    <xf numFmtId="165" fontId="135" fillId="4" borderId="221" xfId="0" applyNumberFormat="1" applyFont="1" applyFill="1" applyBorder="1" applyAlignment="1">
      <alignment horizontal="center" vertical="center"/>
    </xf>
    <xf numFmtId="2" fontId="126" fillId="0" borderId="114" xfId="0" applyNumberFormat="1" applyFont="1" applyBorder="1" applyAlignment="1">
      <alignment horizontal="center" vertical="center" wrapText="1"/>
    </xf>
    <xf numFmtId="0" fontId="134" fillId="0" borderId="114" xfId="0" applyFont="1" applyBorder="1" applyAlignment="1">
      <alignment horizontal="center" vertical="center" wrapText="1"/>
    </xf>
    <xf numFmtId="0" fontId="126" fillId="4" borderId="221" xfId="0" applyFont="1" applyFill="1" applyBorder="1" applyAlignment="1">
      <alignment horizontal="center" vertical="center" wrapText="1"/>
    </xf>
    <xf numFmtId="0" fontId="134" fillId="4" borderId="114" xfId="0" applyFont="1" applyFill="1" applyBorder="1" applyAlignment="1">
      <alignment horizontal="center" vertical="center" wrapText="1"/>
    </xf>
    <xf numFmtId="0" fontId="136" fillId="0" borderId="114" xfId="0" applyFont="1" applyBorder="1" applyAlignment="1">
      <alignment horizontal="center" vertical="center" wrapText="1"/>
    </xf>
    <xf numFmtId="0" fontId="117" fillId="4" borderId="221" xfId="0" applyFont="1" applyFill="1" applyBorder="1" applyAlignment="1">
      <alignment horizontal="center" vertical="center" wrapText="1"/>
    </xf>
    <xf numFmtId="0" fontId="136" fillId="4" borderId="114" xfId="0" applyFont="1" applyFill="1" applyBorder="1" applyAlignment="1">
      <alignment horizontal="center" vertical="center" wrapText="1"/>
    </xf>
    <xf numFmtId="0" fontId="136" fillId="0" borderId="206" xfId="0" applyFont="1" applyBorder="1" applyAlignment="1">
      <alignment horizontal="center" vertical="center"/>
    </xf>
    <xf numFmtId="0" fontId="136" fillId="0" borderId="114" xfId="0" applyFont="1" applyBorder="1" applyAlignment="1">
      <alignment horizontal="center" vertical="center"/>
    </xf>
    <xf numFmtId="0" fontId="136" fillId="0" borderId="209" xfId="0" applyFont="1" applyBorder="1" applyAlignment="1">
      <alignment horizontal="center" vertical="center"/>
    </xf>
    <xf numFmtId="0" fontId="136" fillId="4" borderId="114" xfId="0" applyFont="1" applyFill="1" applyBorder="1" applyAlignment="1">
      <alignment horizontal="center" vertical="center"/>
    </xf>
    <xf numFmtId="0" fontId="136" fillId="4" borderId="221" xfId="0" applyFont="1" applyFill="1" applyBorder="1" applyAlignment="1">
      <alignment horizontal="center" vertical="center"/>
    </xf>
    <xf numFmtId="0" fontId="126" fillId="4" borderId="221" xfId="0" applyFont="1" applyFill="1" applyBorder="1" applyAlignment="1">
      <alignment horizontal="left" vertical="center" wrapText="1" indent="1"/>
    </xf>
    <xf numFmtId="0" fontId="134" fillId="0" borderId="114" xfId="0" applyFont="1" applyBorder="1" applyAlignment="1">
      <alignment horizontal="left" vertical="center" indent="1"/>
    </xf>
    <xf numFmtId="0" fontId="134" fillId="0" borderId="209" xfId="0" applyFont="1" applyBorder="1" applyAlignment="1">
      <alignment horizontal="left" vertical="center" indent="1"/>
    </xf>
    <xf numFmtId="0" fontId="134" fillId="4" borderId="114" xfId="0" applyFont="1" applyFill="1" applyBorder="1" applyAlignment="1">
      <alignment horizontal="left" vertical="center" indent="1"/>
    </xf>
    <xf numFmtId="0" fontId="134" fillId="4" borderId="221" xfId="0" applyFont="1" applyFill="1" applyBorder="1" applyAlignment="1">
      <alignment horizontal="left" vertical="center" indent="1"/>
    </xf>
    <xf numFmtId="0" fontId="134" fillId="4" borderId="209" xfId="0" applyFont="1" applyFill="1" applyBorder="1" applyAlignment="1">
      <alignment horizontal="left" vertical="center" wrapText="1" indent="1"/>
    </xf>
    <xf numFmtId="0" fontId="131" fillId="4" borderId="221" xfId="0" applyFont="1" applyFill="1" applyBorder="1" applyAlignment="1">
      <alignment horizontal="center" vertical="center"/>
    </xf>
    <xf numFmtId="0" fontId="131" fillId="4" borderId="209" xfId="0" applyFont="1" applyFill="1" applyBorder="1" applyAlignment="1">
      <alignment horizontal="center" vertical="center"/>
    </xf>
    <xf numFmtId="0" fontId="135" fillId="4" borderId="209" xfId="0" applyFont="1" applyFill="1" applyBorder="1" applyAlignment="1">
      <alignment horizontal="center" vertical="center"/>
    </xf>
    <xf numFmtId="0" fontId="134" fillId="0" borderId="205" xfId="0" applyFont="1" applyBorder="1" applyAlignment="1">
      <alignment horizontal="left" vertical="center" indent="1"/>
    </xf>
    <xf numFmtId="0" fontId="126" fillId="0" borderId="207" xfId="0" applyFont="1" applyBorder="1" applyAlignment="1">
      <alignment horizontal="left" vertical="center" indent="1"/>
    </xf>
    <xf numFmtId="0" fontId="134" fillId="0" borderId="207" xfId="0" applyFont="1" applyBorder="1" applyAlignment="1">
      <alignment horizontal="left" vertical="center" indent="1"/>
    </xf>
    <xf numFmtId="0" fontId="134" fillId="4" borderId="205" xfId="0" applyFont="1" applyFill="1" applyBorder="1" applyAlignment="1">
      <alignment horizontal="left" vertical="center" indent="1"/>
    </xf>
    <xf numFmtId="0" fontId="134" fillId="4" borderId="207" xfId="0" applyFont="1" applyFill="1" applyBorder="1" applyAlignment="1">
      <alignment horizontal="left" vertical="center" indent="1"/>
    </xf>
    <xf numFmtId="0" fontId="126" fillId="4" borderId="207" xfId="0" applyFont="1" applyFill="1" applyBorder="1" applyAlignment="1">
      <alignment horizontal="left" vertical="center" indent="1"/>
    </xf>
    <xf numFmtId="0" fontId="126" fillId="4" borderId="220" xfId="0" applyFont="1" applyFill="1" applyBorder="1" applyAlignment="1">
      <alignment horizontal="left" vertical="center" indent="1"/>
    </xf>
    <xf numFmtId="0" fontId="126" fillId="0" borderId="208" xfId="0" applyFont="1" applyBorder="1" applyAlignment="1">
      <alignment horizontal="left" vertical="center" indent="1"/>
    </xf>
    <xf numFmtId="0" fontId="134" fillId="4" borderId="220" xfId="0" applyFont="1" applyFill="1" applyBorder="1" applyAlignment="1">
      <alignment horizontal="left" vertical="center" indent="1"/>
    </xf>
    <xf numFmtId="0" fontId="126" fillId="4" borderId="208" xfId="0" applyFont="1" applyFill="1" applyBorder="1" applyAlignment="1">
      <alignment horizontal="left" vertical="center" indent="1"/>
    </xf>
    <xf numFmtId="0" fontId="134" fillId="0" borderId="208" xfId="0" applyFont="1" applyBorder="1" applyAlignment="1">
      <alignment horizontal="left" vertical="center" indent="1"/>
    </xf>
    <xf numFmtId="2" fontId="132" fillId="12" borderId="467" xfId="0" applyNumberFormat="1" applyFont="1" applyFill="1" applyBorder="1" applyAlignment="1">
      <alignment horizontal="right" vertical="center"/>
    </xf>
    <xf numFmtId="0" fontId="126" fillId="0" borderId="634" xfId="0" applyFont="1" applyBorder="1" applyAlignment="1">
      <alignment horizontal="left" vertical="center" wrapText="1" indent="1"/>
    </xf>
    <xf numFmtId="0" fontId="126" fillId="0" borderId="625" xfId="0" applyFont="1" applyBorder="1" applyAlignment="1">
      <alignment horizontal="left" vertical="center" wrapText="1" indent="1"/>
    </xf>
    <xf numFmtId="0" fontId="134" fillId="4" borderId="625" xfId="0" applyFont="1" applyFill="1" applyBorder="1" applyAlignment="1">
      <alignment horizontal="left" vertical="center" wrapText="1" indent="1"/>
    </xf>
    <xf numFmtId="0" fontId="117" fillId="4" borderId="625" xfId="0" applyFont="1" applyFill="1" applyBorder="1" applyAlignment="1">
      <alignment horizontal="center" vertical="center" wrapText="1"/>
    </xf>
    <xf numFmtId="0" fontId="134" fillId="0" borderId="634" xfId="0" applyFont="1" applyBorder="1" applyAlignment="1">
      <alignment horizontal="left" vertical="center" wrapText="1" indent="1"/>
    </xf>
    <xf numFmtId="0" fontId="117" fillId="0" borderId="774" xfId="0" applyFont="1" applyBorder="1" applyAlignment="1">
      <alignment horizontal="center" vertical="center" wrapText="1"/>
    </xf>
    <xf numFmtId="0" fontId="26" fillId="0" borderId="774" xfId="0" applyFont="1" applyBorder="1" applyAlignment="1">
      <alignment horizontal="center" vertical="center" wrapText="1"/>
    </xf>
    <xf numFmtId="0" fontId="134" fillId="0" borderId="625" xfId="0" applyFont="1" applyBorder="1" applyAlignment="1">
      <alignment horizontal="left" vertical="center" wrapText="1" indent="1"/>
    </xf>
    <xf numFmtId="0" fontId="134" fillId="0" borderId="774" xfId="0" applyFont="1" applyBorder="1" applyAlignment="1">
      <alignment horizontal="left" vertical="center" wrapText="1" indent="1"/>
    </xf>
    <xf numFmtId="0" fontId="117" fillId="0" borderId="625" xfId="0" applyFont="1" applyBorder="1" applyAlignment="1">
      <alignment horizontal="center" vertical="center" wrapText="1"/>
    </xf>
    <xf numFmtId="0" fontId="117" fillId="0" borderId="634" xfId="0" applyFont="1" applyBorder="1" applyAlignment="1">
      <alignment horizontal="center" vertical="center" wrapText="1"/>
    </xf>
    <xf numFmtId="0" fontId="134" fillId="0" borderId="929" xfId="0" applyFont="1" applyBorder="1" applyAlignment="1">
      <alignment horizontal="left" vertical="center" indent="1"/>
    </xf>
    <xf numFmtId="0" fontId="126" fillId="0" borderId="774" xfId="0" applyFont="1" applyBorder="1" applyAlignment="1">
      <alignment horizontal="center" vertical="center" wrapText="1"/>
    </xf>
    <xf numFmtId="165" fontId="131" fillId="0" borderId="774" xfId="0" applyNumberFormat="1" applyFont="1" applyBorder="1" applyAlignment="1">
      <alignment vertical="center"/>
    </xf>
    <xf numFmtId="165" fontId="135" fillId="0" borderId="774" xfId="0" applyNumberFormat="1" applyFont="1" applyBorder="1" applyAlignment="1">
      <alignment vertical="center"/>
    </xf>
    <xf numFmtId="0" fontId="126" fillId="0" borderId="580" xfId="0" applyFont="1" applyBorder="1" applyAlignment="1">
      <alignment horizontal="left" vertical="center" indent="1"/>
    </xf>
    <xf numFmtId="165" fontId="131" fillId="0" borderId="581" xfId="0" applyNumberFormat="1" applyFont="1" applyBorder="1" applyAlignment="1">
      <alignment vertical="center"/>
    </xf>
    <xf numFmtId="165" fontId="135" fillId="0" borderId="581" xfId="0" applyNumberFormat="1" applyFont="1" applyBorder="1" applyAlignment="1">
      <alignment vertical="center"/>
    </xf>
    <xf numFmtId="165" fontId="135" fillId="4" borderId="581" xfId="0" applyNumberFormat="1" applyFont="1" applyFill="1" applyBorder="1" applyAlignment="1">
      <alignment vertical="center"/>
    </xf>
    <xf numFmtId="0" fontId="134" fillId="0" borderId="580" xfId="0" applyFont="1" applyBorder="1" applyAlignment="1">
      <alignment horizontal="left" vertical="center" indent="1"/>
    </xf>
    <xf numFmtId="0" fontId="126" fillId="0" borderId="930" xfId="0" applyFont="1" applyBorder="1" applyAlignment="1">
      <alignment horizontal="left" vertical="center" indent="1"/>
    </xf>
    <xf numFmtId="0" fontId="126" fillId="0" borderId="622" xfId="0" applyFont="1" applyBorder="1" applyAlignment="1">
      <alignment horizontal="center" vertical="center" wrapText="1"/>
    </xf>
    <xf numFmtId="165" fontId="131" fillId="0" borderId="622" xfId="0" applyNumberFormat="1" applyFont="1" applyBorder="1" applyAlignment="1">
      <alignment vertical="center"/>
    </xf>
    <xf numFmtId="165" fontId="135" fillId="0" borderId="622" xfId="0" applyNumberFormat="1" applyFont="1" applyBorder="1" applyAlignment="1">
      <alignment vertical="center"/>
    </xf>
    <xf numFmtId="165" fontId="38" fillId="0" borderId="774" xfId="0" applyNumberFormat="1" applyFont="1" applyBorder="1" applyAlignment="1">
      <alignment vertical="center"/>
    </xf>
    <xf numFmtId="165" fontId="38" fillId="4" borderId="581" xfId="0" applyNumberFormat="1" applyFont="1" applyFill="1" applyBorder="1" applyAlignment="1">
      <alignment vertical="center"/>
    </xf>
    <xf numFmtId="49" fontId="135" fillId="0" borderId="581" xfId="0" applyNumberFormat="1" applyFont="1" applyBorder="1" applyAlignment="1">
      <alignment horizontal="center" vertical="center"/>
    </xf>
    <xf numFmtId="49" fontId="131" fillId="4" borderId="581" xfId="0" applyNumberFormat="1" applyFont="1" applyFill="1" applyBorder="1" applyAlignment="1">
      <alignment horizontal="center" vertical="center"/>
    </xf>
    <xf numFmtId="165" fontId="131" fillId="4" borderId="581" xfId="0" applyNumberFormat="1" applyFont="1" applyFill="1" applyBorder="1" applyAlignment="1">
      <alignment vertical="center"/>
    </xf>
    <xf numFmtId="165" fontId="126" fillId="0" borderId="581" xfId="0" applyNumberFormat="1" applyFont="1" applyBorder="1" applyAlignment="1">
      <alignment vertical="center"/>
    </xf>
    <xf numFmtId="0" fontId="26" fillId="0" borderId="581" xfId="0" applyFont="1" applyBorder="1" applyAlignment="1">
      <alignment horizontal="left" vertical="center" wrapText="1"/>
    </xf>
    <xf numFmtId="165" fontId="131" fillId="0" borderId="581" xfId="0" applyNumberFormat="1" applyFont="1" applyBorder="1" applyAlignment="1">
      <alignment horizontal="center" vertical="center" wrapText="1"/>
    </xf>
    <xf numFmtId="0" fontId="134" fillId="0" borderId="580" xfId="0" applyFont="1" applyBorder="1" applyAlignment="1">
      <alignment horizontal="left" vertical="center" indent="3"/>
    </xf>
    <xf numFmtId="0" fontId="134" fillId="4" borderId="580" xfId="0" applyFont="1" applyFill="1" applyBorder="1" applyAlignment="1">
      <alignment horizontal="left" vertical="center" indent="1"/>
    </xf>
    <xf numFmtId="0" fontId="134" fillId="4" borderId="929" xfId="0" applyFont="1" applyFill="1" applyBorder="1" applyAlignment="1">
      <alignment horizontal="left" vertical="center" indent="1"/>
    </xf>
    <xf numFmtId="0" fontId="126" fillId="4" borderId="580" xfId="0" applyFont="1" applyFill="1" applyBorder="1" applyAlignment="1">
      <alignment horizontal="left" vertical="center" indent="1"/>
    </xf>
    <xf numFmtId="0" fontId="134" fillId="4" borderId="217" xfId="0" applyFont="1" applyFill="1" applyBorder="1" applyAlignment="1">
      <alignment horizontal="left" vertical="center" indent="1"/>
    </xf>
    <xf numFmtId="0" fontId="134" fillId="0" borderId="358" xfId="0" applyFont="1" applyBorder="1" applyAlignment="1">
      <alignment horizontal="center" vertical="center" wrapText="1"/>
    </xf>
    <xf numFmtId="165" fontId="135" fillId="0" borderId="358" xfId="0" applyNumberFormat="1" applyFont="1" applyBorder="1" applyAlignment="1">
      <alignment vertical="center"/>
    </xf>
    <xf numFmtId="0" fontId="126" fillId="0" borderId="804" xfId="0" applyFont="1" applyBorder="1" applyAlignment="1">
      <alignment horizontal="left" vertical="center" indent="1"/>
    </xf>
    <xf numFmtId="165" fontId="131" fillId="0" borderId="575" xfId="0" applyNumberFormat="1" applyFont="1" applyBorder="1" applyAlignment="1">
      <alignment vertical="center"/>
    </xf>
    <xf numFmtId="165" fontId="135" fillId="0" borderId="575" xfId="0" applyNumberFormat="1" applyFont="1" applyBorder="1" applyAlignment="1">
      <alignment vertical="center"/>
    </xf>
    <xf numFmtId="2" fontId="126" fillId="0" borderId="209" xfId="0" applyNumberFormat="1" applyFont="1" applyBorder="1" applyAlignment="1">
      <alignment horizontal="center" vertical="center" wrapText="1"/>
    </xf>
    <xf numFmtId="0" fontId="134" fillId="4" borderId="910" xfId="0" applyFont="1" applyFill="1" applyBorder="1" applyAlignment="1">
      <alignment horizontal="left" vertical="center" indent="1"/>
    </xf>
    <xf numFmtId="165" fontId="131" fillId="0" borderId="911" xfId="0" applyNumberFormat="1" applyFont="1" applyBorder="1" applyAlignment="1">
      <alignment vertical="center"/>
    </xf>
    <xf numFmtId="165" fontId="135" fillId="4" borderId="911" xfId="0" applyNumberFormat="1" applyFont="1" applyFill="1" applyBorder="1" applyAlignment="1">
      <alignment vertical="center"/>
    </xf>
    <xf numFmtId="0" fontId="136" fillId="0" borderId="209" xfId="0" applyFont="1" applyBorder="1" applyAlignment="1">
      <alignment horizontal="center" vertical="center" wrapText="1"/>
    </xf>
    <xf numFmtId="0" fontId="134" fillId="0" borderId="209" xfId="0" applyFont="1" applyBorder="1" applyAlignment="1">
      <alignment horizontal="center" vertical="center" wrapText="1"/>
    </xf>
    <xf numFmtId="0" fontId="126" fillId="0" borderId="910" xfId="0" applyFont="1" applyBorder="1" applyAlignment="1">
      <alignment horizontal="left" vertical="center" indent="1"/>
    </xf>
    <xf numFmtId="165" fontId="135" fillId="0" borderId="911" xfId="0" applyNumberFormat="1" applyFont="1" applyBorder="1" applyAlignment="1">
      <alignment vertical="center"/>
    </xf>
    <xf numFmtId="165" fontId="131" fillId="0" borderId="358" xfId="0" applyNumberFormat="1" applyFont="1" applyBorder="1" applyAlignment="1">
      <alignment vertical="center"/>
    </xf>
    <xf numFmtId="0" fontId="126" fillId="4" borderId="358" xfId="0" applyFont="1" applyFill="1" applyBorder="1" applyAlignment="1">
      <alignment horizontal="center" vertical="center" wrapText="1"/>
    </xf>
    <xf numFmtId="165" fontId="131" fillId="4" borderId="358" xfId="0" applyNumberFormat="1" applyFont="1" applyFill="1" applyBorder="1" applyAlignment="1">
      <alignment vertical="center"/>
    </xf>
    <xf numFmtId="0" fontId="134" fillId="0" borderId="217" xfId="0" applyFont="1" applyBorder="1" applyAlignment="1">
      <alignment horizontal="left" vertical="center" indent="1"/>
    </xf>
    <xf numFmtId="0" fontId="134" fillId="4" borderId="208" xfId="0" applyFont="1" applyFill="1" applyBorder="1" applyAlignment="1">
      <alignment horizontal="left" vertical="center" indent="1"/>
    </xf>
    <xf numFmtId="0" fontId="134" fillId="0" borderId="910" xfId="0" applyFont="1" applyBorder="1" applyAlignment="1">
      <alignment horizontal="left" vertical="center" indent="1"/>
    </xf>
    <xf numFmtId="165" fontId="135" fillId="4" borderId="358" xfId="0" applyNumberFormat="1" applyFont="1" applyFill="1" applyBorder="1" applyAlignment="1">
      <alignment vertical="center"/>
    </xf>
    <xf numFmtId="0" fontId="135" fillId="4" borderId="911" xfId="0" applyFont="1" applyFill="1" applyBorder="1" applyAlignment="1">
      <alignment horizontal="center" vertical="center"/>
    </xf>
    <xf numFmtId="0" fontId="134" fillId="4" borderId="911" xfId="0" applyFont="1" applyFill="1" applyBorder="1" applyAlignment="1">
      <alignment horizontal="left" vertical="center" wrapText="1" indent="1"/>
    </xf>
    <xf numFmtId="165" fontId="131" fillId="4" borderId="911" xfId="0" applyNumberFormat="1" applyFont="1" applyFill="1" applyBorder="1" applyAlignment="1">
      <alignment vertical="center"/>
    </xf>
    <xf numFmtId="0" fontId="126" fillId="4" borderId="804" xfId="0" applyFont="1" applyFill="1" applyBorder="1" applyAlignment="1">
      <alignment horizontal="left" vertical="center" indent="1"/>
    </xf>
    <xf numFmtId="0" fontId="135" fillId="4" borderId="575" xfId="0" applyFont="1" applyFill="1" applyBorder="1" applyAlignment="1">
      <alignment horizontal="center" vertical="center"/>
    </xf>
    <xf numFmtId="0" fontId="131" fillId="4" borderId="575" xfId="0" applyFont="1" applyFill="1" applyBorder="1" applyAlignment="1">
      <alignment horizontal="center" vertical="center"/>
    </xf>
    <xf numFmtId="165" fontId="131" fillId="4" borderId="575" xfId="0" applyNumberFormat="1" applyFont="1" applyFill="1" applyBorder="1" applyAlignment="1">
      <alignment vertical="center"/>
    </xf>
    <xf numFmtId="165" fontId="135" fillId="4" borderId="575" xfId="0" applyNumberFormat="1" applyFont="1" applyFill="1" applyBorder="1" applyAlignment="1">
      <alignment vertical="center"/>
    </xf>
    <xf numFmtId="0" fontId="136" fillId="0" borderId="358" xfId="0" applyFont="1" applyBorder="1" applyAlignment="1">
      <alignment horizontal="center" vertical="center"/>
    </xf>
    <xf numFmtId="0" fontId="134" fillId="0" borderId="358" xfId="0" applyFont="1" applyBorder="1" applyAlignment="1">
      <alignment horizontal="center" vertical="center"/>
    </xf>
    <xf numFmtId="165" fontId="135" fillId="0" borderId="358" xfId="0" applyNumberFormat="1" applyFont="1" applyBorder="1" applyAlignment="1">
      <alignment horizontal="center" vertical="center"/>
    </xf>
    <xf numFmtId="0" fontId="134" fillId="0" borderId="804" xfId="0" applyFont="1" applyBorder="1" applyAlignment="1">
      <alignment horizontal="left" vertical="center" indent="1"/>
    </xf>
    <xf numFmtId="0" fontId="134" fillId="0" borderId="575" xfId="0" applyFont="1" applyBorder="1" applyAlignment="1">
      <alignment horizontal="left" vertical="center" indent="1"/>
    </xf>
    <xf numFmtId="0" fontId="136" fillId="0" borderId="575" xfId="0" applyFont="1" applyBorder="1" applyAlignment="1">
      <alignment horizontal="center" vertical="center"/>
    </xf>
    <xf numFmtId="0" fontId="134" fillId="0" borderId="575" xfId="0" applyFont="1" applyBorder="1" applyAlignment="1">
      <alignment horizontal="center" vertical="center"/>
    </xf>
    <xf numFmtId="165" fontId="135" fillId="0" borderId="575" xfId="0" applyNumberFormat="1" applyFont="1" applyBorder="1" applyAlignment="1">
      <alignment horizontal="center" vertical="center"/>
    </xf>
    <xf numFmtId="0" fontId="38" fillId="0" borderId="575" xfId="0" applyFont="1" applyBorder="1" applyAlignment="1">
      <alignment horizontal="center" vertical="center"/>
    </xf>
    <xf numFmtId="0" fontId="136" fillId="0" borderId="911" xfId="0" applyFont="1" applyBorder="1" applyAlignment="1">
      <alignment horizontal="center" vertical="center"/>
    </xf>
    <xf numFmtId="0" fontId="134" fillId="0" borderId="911" xfId="0" applyFont="1" applyBorder="1" applyAlignment="1">
      <alignment horizontal="center" vertical="center"/>
    </xf>
    <xf numFmtId="165" fontId="135" fillId="0" borderId="911" xfId="0" applyNumberFormat="1" applyFont="1" applyBorder="1" applyAlignment="1">
      <alignment horizontal="center" vertical="center"/>
    </xf>
    <xf numFmtId="0" fontId="38" fillId="4" borderId="358" xfId="0" applyFont="1" applyFill="1" applyBorder="1" applyAlignment="1">
      <alignment horizontal="center" vertical="center"/>
    </xf>
    <xf numFmtId="0" fontId="134" fillId="0" borderId="826" xfId="0" applyFont="1" applyBorder="1" applyAlignment="1">
      <alignment horizontal="left" vertical="center" indent="1"/>
    </xf>
    <xf numFmtId="0" fontId="126" fillId="0" borderId="625" xfId="0" applyFont="1" applyBorder="1" applyAlignment="1">
      <alignment horizontal="center" vertical="center" wrapText="1"/>
    </xf>
    <xf numFmtId="165" fontId="131" fillId="0" borderId="625" xfId="0" applyNumberFormat="1" applyFont="1" applyBorder="1" applyAlignment="1">
      <alignment vertical="center"/>
    </xf>
    <xf numFmtId="165" fontId="135" fillId="0" borderId="625" xfId="0" applyNumberFormat="1" applyFont="1" applyBorder="1" applyAlignment="1">
      <alignment vertical="center"/>
    </xf>
    <xf numFmtId="0" fontId="126" fillId="0" borderId="829" xfId="0" applyFont="1" applyBorder="1" applyAlignment="1">
      <alignment horizontal="left" vertical="center" indent="1"/>
    </xf>
    <xf numFmtId="0" fontId="126" fillId="0" borderId="631" xfId="0" applyFont="1" applyBorder="1" applyAlignment="1">
      <alignment horizontal="center" vertical="center" wrapText="1"/>
    </xf>
    <xf numFmtId="165" fontId="131" fillId="0" borderId="631" xfId="0" applyNumberFormat="1" applyFont="1" applyBorder="1" applyAlignment="1">
      <alignment vertical="center"/>
    </xf>
    <xf numFmtId="165" fontId="135" fillId="0" borderId="631" xfId="0" applyNumberFormat="1" applyFont="1" applyBorder="1" applyAlignment="1">
      <alignment vertical="center"/>
    </xf>
    <xf numFmtId="0" fontId="134" fillId="0" borderId="831" xfId="0" applyFont="1" applyBorder="1" applyAlignment="1">
      <alignment horizontal="left" vertical="center" indent="1"/>
    </xf>
    <xf numFmtId="165" fontId="131" fillId="0" borderId="634" xfId="0" applyNumberFormat="1" applyFont="1" applyBorder="1" applyAlignment="1">
      <alignment vertical="center"/>
    </xf>
    <xf numFmtId="165" fontId="135" fillId="0" borderId="634" xfId="0" applyNumberFormat="1" applyFont="1" applyBorder="1" applyAlignment="1">
      <alignment vertical="center"/>
    </xf>
    <xf numFmtId="0" fontId="126" fillId="0" borderId="828" xfId="0" applyFont="1" applyBorder="1" applyAlignment="1">
      <alignment horizontal="left" vertical="center" indent="1"/>
    </xf>
    <xf numFmtId="165" fontId="131" fillId="0" borderId="628" xfId="0" applyNumberFormat="1" applyFont="1" applyBorder="1" applyAlignment="1">
      <alignment vertical="center"/>
    </xf>
    <xf numFmtId="165" fontId="135" fillId="0" borderId="628" xfId="0" applyNumberFormat="1" applyFont="1" applyBorder="1" applyAlignment="1">
      <alignment vertical="center"/>
    </xf>
    <xf numFmtId="0" fontId="134" fillId="4" borderId="826" xfId="0" applyFont="1" applyFill="1" applyBorder="1" applyAlignment="1">
      <alignment horizontal="left" vertical="center" indent="1"/>
    </xf>
    <xf numFmtId="0" fontId="134" fillId="0" borderId="829" xfId="0" applyFont="1" applyBorder="1" applyAlignment="1">
      <alignment horizontal="left" vertical="center" indent="1"/>
    </xf>
    <xf numFmtId="165" fontId="126" fillId="0" borderId="631" xfId="0" applyNumberFormat="1" applyFont="1" applyBorder="1" applyAlignment="1">
      <alignment vertical="center"/>
    </xf>
    <xf numFmtId="165" fontId="131" fillId="0" borderId="631" xfId="0" applyNumberFormat="1" applyFont="1" applyBorder="1" applyAlignment="1">
      <alignment horizontal="center" vertical="center" wrapText="1"/>
    </xf>
    <xf numFmtId="0" fontId="26" fillId="0" borderId="631" xfId="0" applyFont="1" applyBorder="1" applyAlignment="1">
      <alignment horizontal="left" vertical="center" wrapText="1"/>
    </xf>
    <xf numFmtId="0" fontId="134" fillId="4" borderId="831" xfId="0" applyFont="1" applyFill="1" applyBorder="1" applyAlignment="1">
      <alignment horizontal="left" vertical="center" indent="1"/>
    </xf>
    <xf numFmtId="0" fontId="135" fillId="0" borderId="634" xfId="0" applyFont="1" applyBorder="1" applyAlignment="1">
      <alignment horizontal="center" vertical="center" wrapText="1"/>
    </xf>
    <xf numFmtId="165" fontId="126" fillId="0" borderId="634" xfId="0" applyNumberFormat="1" applyFont="1" applyBorder="1" applyAlignment="1">
      <alignment vertical="center"/>
    </xf>
    <xf numFmtId="0" fontId="26" fillId="0" borderId="634" xfId="0" applyFont="1" applyBorder="1" applyAlignment="1">
      <alignment horizontal="left" vertical="center" wrapText="1"/>
    </xf>
    <xf numFmtId="165" fontId="131" fillId="4" borderId="625" xfId="0" applyNumberFormat="1" applyFont="1" applyFill="1" applyBorder="1" applyAlignment="1">
      <alignment vertical="center"/>
    </xf>
    <xf numFmtId="165" fontId="126" fillId="0" borderId="625" xfId="0" applyNumberFormat="1" applyFont="1" applyBorder="1" applyAlignment="1">
      <alignment vertical="center"/>
    </xf>
    <xf numFmtId="0" fontId="26" fillId="0" borderId="625" xfId="0" applyFont="1" applyBorder="1" applyAlignment="1">
      <alignment horizontal="left" vertical="center" wrapText="1"/>
    </xf>
    <xf numFmtId="0" fontId="131" fillId="0" borderId="628" xfId="0" applyFont="1" applyBorder="1" applyAlignment="1">
      <alignment horizontal="center" vertical="center" wrapText="1"/>
    </xf>
    <xf numFmtId="165" fontId="126" fillId="0" borderId="628" xfId="0" applyNumberFormat="1" applyFont="1" applyBorder="1" applyAlignment="1">
      <alignment vertical="center"/>
    </xf>
    <xf numFmtId="165" fontId="131" fillId="0" borderId="628" xfId="0" applyNumberFormat="1" applyFont="1" applyBorder="1" applyAlignment="1">
      <alignment horizontal="center" vertical="center" wrapText="1"/>
    </xf>
    <xf numFmtId="0" fontId="26" fillId="0" borderId="628" xfId="0" applyFont="1" applyBorder="1" applyAlignment="1">
      <alignment horizontal="left" vertical="center" wrapText="1"/>
    </xf>
    <xf numFmtId="10" fontId="191" fillId="0" borderId="0" xfId="0" applyNumberFormat="1" applyFont="1" applyAlignment="1">
      <alignment horizontal="center" vertical="center" wrapText="1"/>
    </xf>
    <xf numFmtId="9" fontId="191" fillId="0" borderId="0" xfId="0" applyNumberFormat="1" applyFont="1" applyAlignment="1">
      <alignment horizontal="center" vertical="center" wrapText="1"/>
    </xf>
    <xf numFmtId="0" fontId="126" fillId="0" borderId="625" xfId="0" applyFont="1" applyBorder="1" applyAlignment="1">
      <alignment horizontal="left" vertical="center" wrapText="1" indent="1"/>
    </xf>
    <xf numFmtId="0" fontId="134" fillId="4" borderId="634" xfId="0" applyFont="1" applyFill="1" applyBorder="1" applyAlignment="1">
      <alignment horizontal="left" vertical="center" wrapText="1" indent="1"/>
    </xf>
    <xf numFmtId="0" fontId="134" fillId="4" borderId="625" xfId="0" applyFont="1" applyFill="1" applyBorder="1" applyAlignment="1">
      <alignment horizontal="left" vertical="center" wrapText="1" indent="1"/>
    </xf>
    <xf numFmtId="0" fontId="117" fillId="4" borderId="625" xfId="0" applyFont="1" applyFill="1" applyBorder="1" applyAlignment="1">
      <alignment horizontal="center" vertical="center" wrapText="1"/>
    </xf>
    <xf numFmtId="0" fontId="134" fillId="0" borderId="634" xfId="0" applyFont="1" applyBorder="1" applyAlignment="1">
      <alignment horizontal="left" vertical="center" wrapText="1" indent="1"/>
    </xf>
    <xf numFmtId="0" fontId="134" fillId="0" borderId="625" xfId="0" applyFont="1" applyBorder="1" applyAlignment="1">
      <alignment horizontal="left" vertical="center" wrapText="1" indent="1"/>
    </xf>
    <xf numFmtId="0" fontId="117" fillId="0" borderId="625" xfId="0" applyFont="1" applyBorder="1" applyAlignment="1">
      <alignment horizontal="center" vertical="center" wrapText="1"/>
    </xf>
    <xf numFmtId="0" fontId="117" fillId="0" borderId="634" xfId="0" applyFont="1" applyBorder="1" applyAlignment="1">
      <alignment horizontal="center" vertical="center" wrapText="1"/>
    </xf>
    <xf numFmtId="0" fontId="38" fillId="0" borderId="929" xfId="0" applyFont="1" applyBorder="1" applyAlignment="1">
      <alignment horizontal="left" vertical="center" wrapText="1"/>
    </xf>
    <xf numFmtId="0" fontId="0" fillId="24" borderId="375" xfId="0" applyFont="1" applyFill="1" applyBorder="1" applyAlignment="1">
      <alignment horizontal="left" indent="1"/>
    </xf>
    <xf numFmtId="0" fontId="119" fillId="24" borderId="375" xfId="0" applyFont="1" applyFill="1" applyBorder="1" applyAlignment="1">
      <alignment horizontal="center" vertical="center"/>
    </xf>
    <xf numFmtId="0" fontId="114" fillId="24" borderId="375" xfId="0" applyFont="1" applyFill="1" applyBorder="1" applyAlignment="1">
      <alignment horizontal="center" vertical="center"/>
    </xf>
    <xf numFmtId="165" fontId="119" fillId="24" borderId="375" xfId="0" applyNumberFormat="1" applyFont="1" applyFill="1" applyBorder="1" applyAlignment="1">
      <alignment horizontal="right" vertical="center"/>
    </xf>
    <xf numFmtId="4" fontId="11" fillId="32" borderId="376" xfId="0" applyNumberFormat="1" applyFont="1" applyFill="1" applyBorder="1" applyAlignment="1">
      <alignment vertical="center" wrapText="1"/>
    </xf>
    <xf numFmtId="0" fontId="15" fillId="24" borderId="376" xfId="0" applyFont="1" applyFill="1" applyBorder="1" applyAlignment="1"/>
    <xf numFmtId="0" fontId="15" fillId="24" borderId="681" xfId="0" applyFont="1" applyFill="1" applyBorder="1" applyAlignment="1"/>
    <xf numFmtId="0" fontId="125" fillId="24" borderId="680" xfId="0" applyFont="1" applyFill="1" applyBorder="1" applyAlignment="1">
      <alignment horizontal="left" vertical="center" indent="1"/>
    </xf>
    <xf numFmtId="0" fontId="145" fillId="23" borderId="88" xfId="4" applyFont="1" applyFill="1" applyBorder="1" applyAlignment="1" applyProtection="1">
      <alignment horizontal="center" vertical="center" wrapText="1"/>
    </xf>
    <xf numFmtId="0" fontId="145" fillId="24" borderId="937" xfId="0" applyFont="1" applyFill="1" applyBorder="1" applyAlignment="1" applyProtection="1">
      <alignment horizontal="center" vertical="center" wrapText="1"/>
    </xf>
    <xf numFmtId="0" fontId="145" fillId="24" borderId="938" xfId="0" applyFont="1" applyFill="1" applyBorder="1" applyAlignment="1" applyProtection="1">
      <alignment horizontal="center" vertical="center" wrapText="1"/>
    </xf>
    <xf numFmtId="0" fontId="145" fillId="24" borderId="939" xfId="0" applyFont="1" applyFill="1" applyBorder="1" applyAlignment="1" applyProtection="1">
      <alignment horizontal="center" vertical="center" wrapText="1"/>
    </xf>
    <xf numFmtId="49" fontId="145" fillId="24" borderId="938" xfId="0" applyNumberFormat="1" applyFont="1" applyFill="1" applyBorder="1" applyAlignment="1" applyProtection="1">
      <alignment horizontal="center" vertical="center" wrapText="1"/>
    </xf>
    <xf numFmtId="0" fontId="145" fillId="24" borderId="938" xfId="5" applyFont="1" applyFill="1" applyBorder="1" applyAlignment="1" applyProtection="1">
      <alignment horizontal="center" vertical="center" wrapText="1"/>
    </xf>
    <xf numFmtId="0" fontId="147" fillId="24" borderId="938" xfId="5" applyFont="1" applyFill="1" applyBorder="1" applyAlignment="1" applyProtection="1">
      <alignment horizontal="center" vertical="center" wrapText="1"/>
    </xf>
    <xf numFmtId="4" fontId="132" fillId="32" borderId="376" xfId="0" applyNumberFormat="1" applyFont="1" applyFill="1" applyBorder="1" applyAlignment="1">
      <alignment horizontal="left" vertical="center" indent="1"/>
    </xf>
    <xf numFmtId="0" fontId="159" fillId="24" borderId="376" xfId="0" applyFont="1" applyFill="1" applyBorder="1" applyAlignment="1">
      <alignment horizontal="left" indent="1"/>
    </xf>
    <xf numFmtId="165" fontId="132" fillId="12" borderId="941" xfId="0" applyNumberFormat="1" applyFont="1" applyFill="1" applyBorder="1" applyAlignment="1">
      <alignment horizontal="right" vertical="center"/>
    </xf>
    <xf numFmtId="0" fontId="126" fillId="0" borderId="615" xfId="0" applyFont="1" applyBorder="1" applyAlignment="1">
      <alignment horizontal="center" vertical="center" wrapText="1"/>
    </xf>
    <xf numFmtId="165" fontId="117" fillId="0" borderId="615" xfId="0" applyNumberFormat="1" applyFont="1" applyBorder="1" applyAlignment="1">
      <alignment horizontal="right" vertical="center"/>
    </xf>
    <xf numFmtId="165" fontId="136" fillId="0" borderId="615" xfId="0" applyNumberFormat="1" applyFont="1" applyBorder="1" applyAlignment="1">
      <alignment horizontal="right" vertical="center"/>
    </xf>
    <xf numFmtId="49" fontId="126" fillId="0" borderId="615" xfId="0" applyNumberFormat="1" applyFont="1" applyBorder="1" applyAlignment="1">
      <alignment horizontal="center" vertical="center"/>
    </xf>
    <xf numFmtId="49" fontId="126" fillId="0" borderId="581" xfId="0" applyNumberFormat="1" applyFont="1" applyBorder="1" applyAlignment="1">
      <alignment horizontal="center" vertical="center" wrapText="1"/>
    </xf>
    <xf numFmtId="165" fontId="114" fillId="0" borderId="581" xfId="0" applyNumberFormat="1" applyFont="1" applyBorder="1" applyAlignment="1">
      <alignment horizontal="center" vertical="center" wrapText="1"/>
    </xf>
    <xf numFmtId="165" fontId="134" fillId="0" borderId="581" xfId="0" applyNumberFormat="1" applyFont="1" applyBorder="1" applyAlignment="1">
      <alignment horizontal="center" vertical="center"/>
    </xf>
    <xf numFmtId="0" fontId="183" fillId="4" borderId="581" xfId="0" applyFont="1" applyFill="1" applyBorder="1" applyAlignment="1">
      <alignment horizontal="left" vertical="center" wrapText="1" indent="1"/>
    </xf>
    <xf numFmtId="165" fontId="126" fillId="4" borderId="581" xfId="0" applyNumberFormat="1" applyFont="1" applyFill="1" applyBorder="1" applyAlignment="1">
      <alignment horizontal="center" vertical="center"/>
    </xf>
    <xf numFmtId="165" fontId="126" fillId="4" borderId="581" xfId="0" applyNumberFormat="1" applyFont="1" applyFill="1" applyBorder="1" applyAlignment="1">
      <alignment horizontal="center" vertical="center" wrapText="1"/>
    </xf>
    <xf numFmtId="165" fontId="134" fillId="4" borderId="581" xfId="0" applyNumberFormat="1" applyFont="1" applyFill="1" applyBorder="1" applyAlignment="1">
      <alignment horizontal="center" vertical="center" wrapText="1"/>
    </xf>
    <xf numFmtId="0" fontId="136" fillId="4" borderId="581" xfId="0" applyFont="1" applyFill="1" applyBorder="1" applyAlignment="1">
      <alignment horizontal="center" vertical="center" wrapText="1"/>
    </xf>
    <xf numFmtId="0" fontId="134" fillId="4" borderId="581" xfId="0" applyFont="1" applyFill="1" applyBorder="1" applyAlignment="1">
      <alignment horizontal="center" vertical="center" wrapText="1"/>
    </xf>
    <xf numFmtId="0" fontId="114" fillId="0" borderId="581" xfId="0" applyFont="1" applyBorder="1" applyAlignment="1">
      <alignment horizontal="center" vertical="center" wrapText="1"/>
    </xf>
    <xf numFmtId="0" fontId="135" fillId="0" borderId="776" xfId="0" applyFont="1" applyBorder="1" applyAlignment="1">
      <alignment horizontal="center" vertical="center"/>
    </xf>
    <xf numFmtId="0" fontId="131" fillId="0" borderId="776" xfId="0" applyFont="1" applyBorder="1" applyAlignment="1">
      <alignment horizontal="center" vertical="center"/>
    </xf>
    <xf numFmtId="0" fontId="126" fillId="0" borderId="776" xfId="0" applyFont="1" applyBorder="1" applyAlignment="1">
      <alignment horizontal="left" vertical="center" wrapText="1" indent="1"/>
    </xf>
    <xf numFmtId="0" fontId="117" fillId="0" borderId="776" xfId="0" applyFont="1" applyBorder="1" applyAlignment="1">
      <alignment horizontal="center" vertical="center" wrapText="1"/>
    </xf>
    <xf numFmtId="0" fontId="126" fillId="0" borderId="776" xfId="0" applyFont="1" applyBorder="1" applyAlignment="1">
      <alignment horizontal="center" vertical="center" wrapText="1"/>
    </xf>
    <xf numFmtId="165" fontId="117" fillId="0" borderId="776" xfId="0" applyNumberFormat="1" applyFont="1" applyBorder="1" applyAlignment="1">
      <alignment horizontal="right" vertical="center"/>
    </xf>
    <xf numFmtId="165" fontId="136" fillId="0" borderId="776" xfId="0" applyNumberFormat="1" applyFont="1" applyBorder="1" applyAlignment="1">
      <alignment horizontal="right" vertical="center"/>
    </xf>
    <xf numFmtId="49" fontId="126" fillId="0" borderId="776" xfId="0" applyNumberFormat="1" applyFont="1" applyBorder="1" applyAlignment="1">
      <alignment horizontal="center" vertical="center"/>
    </xf>
    <xf numFmtId="2" fontId="131" fillId="4" borderId="581" xfId="0" applyNumberFormat="1" applyFont="1" applyFill="1" applyBorder="1" applyAlignment="1">
      <alignment horizontal="center" vertical="center"/>
    </xf>
    <xf numFmtId="165" fontId="136" fillId="0" borderId="581" xfId="0" applyNumberFormat="1" applyFont="1" applyBorder="1" applyAlignment="1">
      <alignment horizontal="right" vertical="center" wrapText="1"/>
    </xf>
    <xf numFmtId="165" fontId="136" fillId="0" borderId="625" xfId="0" applyNumberFormat="1" applyFont="1" applyBorder="1" applyAlignment="1">
      <alignment horizontal="right" vertical="center"/>
    </xf>
    <xf numFmtId="49" fontId="126" fillId="0" borderId="625" xfId="0" applyNumberFormat="1" applyFont="1" applyBorder="1" applyAlignment="1">
      <alignment horizontal="center" vertical="center"/>
    </xf>
    <xf numFmtId="49" fontId="126" fillId="0" borderId="628" xfId="0" applyNumberFormat="1" applyFont="1" applyBorder="1" applyAlignment="1">
      <alignment horizontal="center" vertical="center"/>
    </xf>
    <xf numFmtId="165" fontId="136" fillId="0" borderId="631" xfId="0" applyNumberFormat="1" applyFont="1" applyBorder="1" applyAlignment="1">
      <alignment horizontal="right" vertical="center"/>
    </xf>
    <xf numFmtId="49" fontId="126" fillId="0" borderId="631" xfId="0" applyNumberFormat="1" applyFont="1" applyBorder="1" applyAlignment="1">
      <alignment horizontal="center" vertical="center"/>
    </xf>
    <xf numFmtId="49" fontId="126" fillId="0" borderId="634" xfId="0" applyNumberFormat="1" applyFont="1" applyBorder="1" applyAlignment="1">
      <alignment horizontal="center" vertical="center"/>
    </xf>
    <xf numFmtId="0" fontId="114" fillId="4" borderId="625" xfId="0" applyFont="1" applyFill="1" applyBorder="1" applyAlignment="1">
      <alignment horizontal="center" vertical="center" wrapText="1"/>
    </xf>
    <xf numFmtId="0" fontId="114" fillId="0" borderId="634" xfId="0" applyFont="1" applyBorder="1" applyAlignment="1">
      <alignment horizontal="center" vertical="center" wrapText="1"/>
    </xf>
    <xf numFmtId="0" fontId="136" fillId="0" borderId="634" xfId="0" applyFont="1" applyBorder="1" applyAlignment="1">
      <alignment horizontal="center" vertical="center" wrapText="1"/>
    </xf>
    <xf numFmtId="0" fontId="134" fillId="0" borderId="634" xfId="0" applyFont="1" applyBorder="1" applyAlignment="1">
      <alignment horizontal="center" vertical="center" wrapText="1"/>
    </xf>
    <xf numFmtId="0" fontId="126" fillId="0" borderId="634" xfId="0" applyFont="1" applyBorder="1" applyAlignment="1">
      <alignment horizontal="center" vertical="center"/>
    </xf>
    <xf numFmtId="0" fontId="114" fillId="0" borderId="625" xfId="0" applyFont="1" applyBorder="1" applyAlignment="1">
      <alignment horizontal="center" vertical="center" wrapText="1"/>
    </xf>
    <xf numFmtId="0" fontId="193" fillId="4" borderId="625" xfId="0" applyFont="1" applyFill="1" applyBorder="1" applyAlignment="1">
      <alignment horizontal="center" vertical="center"/>
    </xf>
    <xf numFmtId="4" fontId="126" fillId="0" borderId="625" xfId="0" applyNumberFormat="1" applyFont="1" applyBorder="1" applyAlignment="1">
      <alignment horizontal="center" vertical="center" wrapText="1"/>
    </xf>
    <xf numFmtId="0" fontId="134" fillId="0" borderId="628" xfId="0" applyFont="1" applyBorder="1" applyAlignment="1">
      <alignment horizontal="left" vertical="center" wrapText="1" indent="1"/>
    </xf>
    <xf numFmtId="1" fontId="131" fillId="4" borderId="631" xfId="0" applyNumberFormat="1" applyFont="1" applyFill="1" applyBorder="1" applyAlignment="1">
      <alignment horizontal="center" vertical="center"/>
    </xf>
    <xf numFmtId="0" fontId="136" fillId="4" borderId="634" xfId="0" applyFont="1" applyFill="1" applyBorder="1" applyAlignment="1">
      <alignment horizontal="center" vertical="center" wrapText="1"/>
    </xf>
    <xf numFmtId="0" fontId="134" fillId="4" borderId="634" xfId="0" applyFont="1" applyFill="1" applyBorder="1" applyAlignment="1">
      <alignment horizontal="center" vertical="center" wrapText="1"/>
    </xf>
    <xf numFmtId="0" fontId="126" fillId="0" borderId="628" xfId="0" applyFont="1" applyBorder="1" applyAlignment="1">
      <alignment horizontal="center" vertical="center"/>
    </xf>
    <xf numFmtId="165" fontId="117" fillId="0" borderId="634" xfId="0" applyNumberFormat="1" applyFont="1" applyBorder="1" applyAlignment="1">
      <alignment horizontal="right" vertical="center" wrapText="1"/>
    </xf>
    <xf numFmtId="0" fontId="134" fillId="0" borderId="785" xfId="0" applyFont="1" applyBorder="1" applyAlignment="1">
      <alignment horizontal="left" vertical="center" indent="1"/>
    </xf>
    <xf numFmtId="0" fontId="134" fillId="0" borderId="945" xfId="0" applyFont="1" applyBorder="1" applyAlignment="1">
      <alignment horizontal="left" vertical="center" indent="1"/>
    </xf>
    <xf numFmtId="4" fontId="11" fillId="12" borderId="927" xfId="0" applyNumberFormat="1" applyFont="1" applyFill="1" applyBorder="1" applyAlignment="1">
      <alignment horizontal="left" vertical="center" indent="1"/>
    </xf>
    <xf numFmtId="4" fontId="11" fillId="32" borderId="927" xfId="0" applyNumberFormat="1" applyFont="1" applyFill="1" applyBorder="1" applyAlignment="1">
      <alignment horizontal="left" vertical="center" indent="1"/>
    </xf>
    <xf numFmtId="39" fontId="134" fillId="12" borderId="375" xfId="0" applyNumberFormat="1" applyFont="1" applyFill="1" applyBorder="1" applyAlignment="1">
      <alignment horizontal="left" vertical="center" indent="1"/>
    </xf>
    <xf numFmtId="0" fontId="134" fillId="12" borderId="946" xfId="0" applyFont="1" applyFill="1" applyBorder="1" applyAlignment="1">
      <alignment horizontal="left" vertical="center" wrapText="1" indent="1"/>
    </xf>
    <xf numFmtId="4" fontId="134" fillId="12" borderId="680" xfId="0" applyNumberFormat="1" applyFont="1" applyFill="1" applyBorder="1" applyAlignment="1">
      <alignment horizontal="left" vertical="center" wrapText="1" indent="1"/>
    </xf>
    <xf numFmtId="4" fontId="134" fillId="12" borderId="946" xfId="0" applyNumberFormat="1" applyFont="1" applyFill="1" applyBorder="1" applyAlignment="1">
      <alignment horizontal="center" vertical="center" wrapText="1"/>
    </xf>
    <xf numFmtId="165" fontId="118" fillId="24" borderId="375" xfId="0" applyNumberFormat="1" applyFont="1" applyFill="1" applyBorder="1" applyAlignment="1">
      <alignment horizontal="right" vertical="center"/>
    </xf>
    <xf numFmtId="165" fontId="136" fillId="12" borderId="946" xfId="0" applyNumberFormat="1" applyFont="1" applyFill="1" applyBorder="1" applyAlignment="1">
      <alignment horizontal="right" vertical="center" wrapText="1"/>
    </xf>
    <xf numFmtId="4" fontId="134" fillId="32" borderId="375" xfId="0" applyNumberFormat="1" applyFont="1" applyFill="1" applyBorder="1" applyAlignment="1">
      <alignment horizontal="center" vertical="center" wrapText="1"/>
    </xf>
    <xf numFmtId="165" fontId="136" fillId="12" borderId="947" xfId="0" applyNumberFormat="1" applyFont="1" applyFill="1" applyBorder="1" applyAlignment="1">
      <alignment horizontal="right" vertical="center"/>
    </xf>
    <xf numFmtId="165" fontId="136" fillId="12" borderId="947" xfId="0" applyNumberFormat="1" applyFont="1" applyFill="1" applyBorder="1" applyAlignment="1">
      <alignment horizontal="right" vertical="center" wrapText="1"/>
    </xf>
    <xf numFmtId="165" fontId="136" fillId="12" borderId="948" xfId="0" applyNumberFormat="1" applyFont="1" applyFill="1" applyBorder="1" applyAlignment="1">
      <alignment horizontal="right" vertical="center" wrapText="1"/>
    </xf>
    <xf numFmtId="0" fontId="18" fillId="0" borderId="0" xfId="0" applyFont="1" applyAlignment="1">
      <alignment horizontal="center" vertical="center"/>
    </xf>
    <xf numFmtId="0" fontId="0" fillId="0" borderId="0" xfId="0" applyFont="1" applyAlignment="1"/>
    <xf numFmtId="0" fontId="12" fillId="2" borderId="8" xfId="0" applyFont="1" applyFill="1" applyBorder="1" applyAlignment="1">
      <alignment horizontal="left" vertical="center"/>
    </xf>
    <xf numFmtId="0" fontId="15" fillId="0" borderId="9" xfId="0" applyFont="1" applyBorder="1"/>
    <xf numFmtId="0" fontId="15" fillId="0" borderId="10" xfId="0" applyFont="1" applyBorder="1"/>
    <xf numFmtId="0" fontId="5" fillId="0" borderId="0" xfId="0" applyFont="1" applyAlignment="1">
      <alignment horizontal="center" vertical="center"/>
    </xf>
    <xf numFmtId="0" fontId="111" fillId="0" borderId="0" xfId="0" applyFont="1" applyAlignment="1">
      <alignment horizontal="center" vertical="center"/>
    </xf>
    <xf numFmtId="0" fontId="10" fillId="0" borderId="0" xfId="0" applyFont="1" applyAlignment="1">
      <alignment horizontal="center" vertical="center"/>
    </xf>
    <xf numFmtId="0" fontId="192" fillId="0" borderId="0" xfId="0" applyFont="1" applyAlignment="1">
      <alignment horizontal="center" vertical="center"/>
    </xf>
    <xf numFmtId="0" fontId="142" fillId="16" borderId="282" xfId="1" applyFont="1" applyFill="1" applyBorder="1" applyAlignment="1" applyProtection="1">
      <alignment horizontal="center" vertical="center" textRotation="90"/>
    </xf>
    <xf numFmtId="0" fontId="142" fillId="16" borderId="658" xfId="1" applyFont="1" applyFill="1" applyBorder="1" applyAlignment="1" applyProtection="1">
      <alignment horizontal="center" vertical="center" textRotation="90"/>
    </xf>
    <xf numFmtId="0" fontId="142" fillId="16" borderId="491" xfId="1" applyFont="1" applyFill="1" applyBorder="1" applyAlignment="1" applyProtection="1">
      <alignment horizontal="center" vertical="center" textRotation="90"/>
    </xf>
    <xf numFmtId="0" fontId="142" fillId="16" borderId="541" xfId="1" applyFont="1" applyFill="1" applyBorder="1" applyAlignment="1" applyProtection="1">
      <alignment horizontal="center" vertical="center" textRotation="90"/>
    </xf>
    <xf numFmtId="0" fontId="142" fillId="16" borderId="670" xfId="1" applyFont="1" applyFill="1" applyBorder="1" applyAlignment="1" applyProtection="1">
      <alignment horizontal="center" vertical="center" textRotation="90"/>
    </xf>
    <xf numFmtId="0" fontId="142" fillId="16" borderId="553" xfId="1" applyFont="1" applyFill="1" applyBorder="1" applyAlignment="1" applyProtection="1">
      <alignment horizontal="center" vertical="center" textRotation="90"/>
    </xf>
    <xf numFmtId="0" fontId="143" fillId="17" borderId="659" xfId="2" applyFont="1" applyFill="1" applyBorder="1" applyAlignment="1" applyProtection="1">
      <alignment horizontal="center" vertical="center" wrapText="1"/>
    </xf>
    <xf numFmtId="0" fontId="143" fillId="17" borderId="660" xfId="2" applyFont="1" applyFill="1" applyBorder="1" applyAlignment="1" applyProtection="1">
      <alignment horizontal="center" vertical="center" wrapText="1"/>
    </xf>
    <xf numFmtId="0" fontId="143" fillId="18" borderId="661" xfId="2" applyFont="1" applyFill="1" applyBorder="1" applyAlignment="1" applyProtection="1">
      <alignment horizontal="center" vertical="center" wrapText="1"/>
    </xf>
    <xf numFmtId="0" fontId="143" fillId="18" borderId="662" xfId="2" applyFont="1" applyFill="1" applyBorder="1" applyAlignment="1" applyProtection="1">
      <alignment horizontal="center" vertical="center" wrapText="1"/>
    </xf>
    <xf numFmtId="0" fontId="143" fillId="18" borderId="663" xfId="2" applyFont="1" applyFill="1" applyBorder="1" applyAlignment="1" applyProtection="1">
      <alignment horizontal="center" vertical="center" wrapText="1"/>
    </xf>
    <xf numFmtId="0" fontId="143" fillId="19" borderId="664" xfId="2" applyFont="1" applyFill="1" applyBorder="1" applyAlignment="1" applyProtection="1">
      <alignment horizontal="center" vertical="center" wrapText="1"/>
    </xf>
    <xf numFmtId="0" fontId="143" fillId="19" borderId="81" xfId="2" applyFont="1" applyFill="1" applyBorder="1" applyAlignment="1" applyProtection="1">
      <alignment horizontal="center" vertical="center" wrapText="1"/>
    </xf>
    <xf numFmtId="0" fontId="143" fillId="19" borderId="665" xfId="2" applyFont="1" applyFill="1" applyBorder="1" applyAlignment="1" applyProtection="1">
      <alignment horizontal="center" vertical="center" wrapText="1"/>
    </xf>
    <xf numFmtId="0" fontId="143" fillId="20" borderId="666" xfId="2" applyFont="1" applyFill="1" applyBorder="1" applyAlignment="1" applyProtection="1">
      <alignment horizontal="center" vertical="center" wrapText="1"/>
    </xf>
    <xf numFmtId="0" fontId="143" fillId="20" borderId="667" xfId="2" applyFont="1" applyFill="1" applyBorder="1" applyAlignment="1" applyProtection="1">
      <alignment horizontal="center" vertical="center" wrapText="1"/>
    </xf>
    <xf numFmtId="0" fontId="143" fillId="20" borderId="668" xfId="2" applyFont="1" applyFill="1" applyBorder="1" applyAlignment="1" applyProtection="1">
      <alignment horizontal="center" vertical="center" wrapText="1"/>
    </xf>
    <xf numFmtId="0" fontId="142" fillId="21" borderId="542" xfId="1" applyFont="1" applyFill="1" applyBorder="1" applyAlignment="1" applyProtection="1">
      <alignment horizontal="center" vertical="center" wrapText="1"/>
    </xf>
    <xf numFmtId="0" fontId="142" fillId="21" borderId="554" xfId="1" applyFont="1" applyFill="1" applyBorder="1" applyAlignment="1" applyProtection="1">
      <alignment horizontal="center" vertical="center" wrapText="1"/>
    </xf>
    <xf numFmtId="0" fontId="142" fillId="21" borderId="543" xfId="1" applyFont="1" applyFill="1" applyBorder="1" applyAlignment="1" applyProtection="1">
      <alignment horizontal="center" vertical="center" wrapText="1"/>
    </xf>
    <xf numFmtId="0" fontId="142" fillId="21" borderId="555" xfId="1" applyFont="1" applyFill="1" applyBorder="1" applyAlignment="1" applyProtection="1">
      <alignment horizontal="center" vertical="center" wrapText="1"/>
    </xf>
    <xf numFmtId="0" fontId="142" fillId="22" borderId="544" xfId="1" applyFont="1" applyFill="1" applyBorder="1" applyAlignment="1" applyProtection="1">
      <alignment horizontal="center" vertical="center" wrapText="1"/>
    </xf>
    <xf numFmtId="0" fontId="142" fillId="22" borderId="556" xfId="1" applyFont="1" applyFill="1" applyBorder="1" applyAlignment="1" applyProtection="1">
      <alignment horizontal="center" vertical="center" wrapText="1"/>
    </xf>
    <xf numFmtId="0" fontId="142" fillId="23" borderId="545" xfId="1" applyFont="1" applyFill="1" applyBorder="1" applyAlignment="1" applyProtection="1">
      <alignment horizontal="center" vertical="center" wrapText="1"/>
    </xf>
    <xf numFmtId="0" fontId="142" fillId="23" borderId="557" xfId="1" applyFont="1" applyFill="1" applyBorder="1" applyAlignment="1" applyProtection="1">
      <alignment horizontal="center" vertical="center" wrapText="1"/>
    </xf>
    <xf numFmtId="0" fontId="142" fillId="23" borderId="88" xfId="1" applyFont="1" applyFill="1" applyBorder="1" applyAlignment="1" applyProtection="1">
      <alignment horizontal="center" vertical="center" wrapText="1"/>
    </xf>
    <xf numFmtId="0" fontId="142" fillId="23" borderId="558" xfId="1" applyFont="1" applyFill="1" applyBorder="1" applyAlignment="1" applyProtection="1">
      <alignment horizontal="center" vertical="center" wrapText="1"/>
    </xf>
    <xf numFmtId="0" fontId="144" fillId="23" borderId="89" xfId="4" applyFont="1" applyFill="1" applyBorder="1" applyAlignment="1" applyProtection="1">
      <alignment horizontal="center" vertical="center" wrapText="1"/>
    </xf>
    <xf numFmtId="0" fontId="144" fillId="23" borderId="90" xfId="4" applyFont="1" applyFill="1" applyBorder="1" applyAlignment="1" applyProtection="1">
      <alignment horizontal="center" vertical="center" wrapText="1"/>
    </xf>
    <xf numFmtId="0" fontId="144" fillId="23" borderId="91" xfId="4" applyFont="1" applyFill="1" applyBorder="1" applyAlignment="1" applyProtection="1">
      <alignment horizontal="center" vertical="center" wrapText="1"/>
    </xf>
    <xf numFmtId="0" fontId="142" fillId="23" borderId="546" xfId="1" applyFont="1" applyFill="1" applyBorder="1" applyAlignment="1" applyProtection="1">
      <alignment horizontal="center" vertical="center" wrapText="1"/>
    </xf>
    <xf numFmtId="0" fontId="142" fillId="23" borderId="560" xfId="1" applyFont="1" applyFill="1" applyBorder="1" applyAlignment="1" applyProtection="1">
      <alignment horizontal="center" vertical="center" wrapText="1"/>
    </xf>
    <xf numFmtId="0" fontId="144" fillId="24" borderId="547" xfId="0" applyFont="1" applyFill="1" applyBorder="1" applyAlignment="1" applyProtection="1">
      <alignment horizontal="center" vertical="center" wrapText="1"/>
    </xf>
    <xf numFmtId="0" fontId="144" fillId="24" borderId="548" xfId="0" applyFont="1" applyFill="1" applyBorder="1" applyAlignment="1" applyProtection="1">
      <alignment horizontal="center" vertical="center" wrapText="1"/>
    </xf>
    <xf numFmtId="0" fontId="144" fillId="24" borderId="549" xfId="0" applyFont="1" applyFill="1" applyBorder="1" applyAlignment="1" applyProtection="1">
      <alignment horizontal="center" vertical="center" wrapText="1"/>
    </xf>
    <xf numFmtId="0" fontId="144" fillId="24" borderId="550" xfId="5" applyFont="1" applyFill="1" applyBorder="1" applyAlignment="1" applyProtection="1">
      <alignment horizontal="center" vertical="center" wrapText="1"/>
    </xf>
    <xf numFmtId="0" fontId="144" fillId="24" borderId="548" xfId="5" applyFont="1" applyFill="1" applyBorder="1" applyAlignment="1" applyProtection="1">
      <alignment horizontal="center" vertical="center" wrapText="1"/>
    </xf>
    <xf numFmtId="0" fontId="144" fillId="24" borderId="549" xfId="5" applyFont="1" applyFill="1" applyBorder="1" applyAlignment="1" applyProtection="1">
      <alignment horizontal="center" vertical="center" wrapText="1"/>
    </xf>
    <xf numFmtId="0" fontId="142" fillId="24" borderId="669" xfId="4" applyFont="1" applyFill="1" applyBorder="1" applyAlignment="1" applyProtection="1">
      <alignment horizontal="center" vertical="center" wrapText="1"/>
    </xf>
    <xf numFmtId="0" fontId="142" fillId="24" borderId="671" xfId="4" applyFont="1" applyFill="1" applyBorder="1" applyAlignment="1" applyProtection="1">
      <alignment horizontal="center" vertical="center" wrapText="1"/>
    </xf>
    <xf numFmtId="0" fontId="137" fillId="0" borderId="56" xfId="0" applyFont="1" applyBorder="1" applyAlignment="1">
      <alignment horizontal="left" vertical="center" wrapText="1" indent="1"/>
    </xf>
    <xf numFmtId="0" fontId="125" fillId="0" borderId="57" xfId="0" applyFont="1" applyBorder="1" applyAlignment="1">
      <alignment horizontal="left" indent="1"/>
    </xf>
    <xf numFmtId="0" fontId="115" fillId="0" borderId="72" xfId="0" applyFont="1" applyBorder="1" applyAlignment="1">
      <alignment horizontal="left" vertical="center" wrapText="1" indent="1"/>
    </xf>
    <xf numFmtId="0" fontId="125" fillId="0" borderId="73" xfId="0" applyFont="1" applyBorder="1" applyAlignment="1">
      <alignment horizontal="left" indent="1"/>
    </xf>
    <xf numFmtId="0" fontId="137" fillId="0" borderId="18" xfId="0" applyFont="1" applyBorder="1" applyAlignment="1">
      <alignment horizontal="left" vertical="center" wrapText="1" indent="1"/>
    </xf>
    <xf numFmtId="0" fontId="114" fillId="0" borderId="0" xfId="0" applyFont="1" applyAlignment="1">
      <alignment horizontal="left" indent="1"/>
    </xf>
    <xf numFmtId="170" fontId="179" fillId="0" borderId="491" xfId="0" applyNumberFormat="1" applyFont="1" applyBorder="1" applyAlignment="1">
      <alignment horizontal="center" vertical="center"/>
    </xf>
    <xf numFmtId="170" fontId="179" fillId="0" borderId="375" xfId="0" applyNumberFormat="1" applyFont="1" applyBorder="1" applyAlignment="1">
      <alignment horizontal="center" vertical="center"/>
    </xf>
    <xf numFmtId="170" fontId="179" fillId="0" borderId="340" xfId="0" applyNumberFormat="1" applyFont="1" applyBorder="1" applyAlignment="1">
      <alignment horizontal="center" vertical="center"/>
    </xf>
    <xf numFmtId="0" fontId="115" fillId="0" borderId="69" xfId="0" applyFont="1" applyBorder="1" applyAlignment="1">
      <alignment horizontal="left" vertical="center" indent="1"/>
    </xf>
    <xf numFmtId="0" fontId="125" fillId="0" borderId="70" xfId="0" applyFont="1" applyBorder="1" applyAlignment="1">
      <alignment horizontal="left" indent="1"/>
    </xf>
    <xf numFmtId="0" fontId="116" fillId="0" borderId="72" xfId="0" applyFont="1" applyBorder="1" applyAlignment="1">
      <alignment horizontal="left" vertical="center" indent="1"/>
    </xf>
    <xf numFmtId="0" fontId="179" fillId="0" borderId="282" xfId="0" applyFont="1" applyBorder="1" applyAlignment="1">
      <alignment horizontal="center" vertical="center"/>
    </xf>
    <xf numFmtId="0" fontId="179" fillId="0" borderId="395" xfId="0" applyFont="1" applyBorder="1" applyAlignment="1">
      <alignment horizontal="center" vertical="center"/>
    </xf>
    <xf numFmtId="0" fontId="179" fillId="0" borderId="67" xfId="0" applyFont="1" applyBorder="1" applyAlignment="1">
      <alignment horizontal="center" vertical="center"/>
    </xf>
    <xf numFmtId="0" fontId="115" fillId="0" borderId="69" xfId="0" applyFont="1" applyBorder="1" applyAlignment="1">
      <alignment horizontal="left" vertical="center" wrapText="1" indent="1"/>
    </xf>
    <xf numFmtId="49" fontId="25" fillId="3" borderId="179" xfId="0" applyNumberFormat="1" applyFont="1" applyFill="1" applyBorder="1" applyAlignment="1">
      <alignment horizontal="left" vertical="center" wrapText="1" indent="1"/>
    </xf>
    <xf numFmtId="0" fontId="15" fillId="0" borderId="248" xfId="0" applyFont="1" applyBorder="1" applyAlignment="1">
      <alignment horizontal="left" indent="1"/>
    </xf>
    <xf numFmtId="0" fontId="15" fillId="0" borderId="177" xfId="0" applyFont="1" applyBorder="1" applyAlignment="1">
      <alignment horizontal="left" indent="1"/>
    </xf>
    <xf numFmtId="49" fontId="24" fillId="3" borderId="179" xfId="0" applyNumberFormat="1" applyFont="1" applyFill="1" applyBorder="1" applyAlignment="1">
      <alignment horizontal="left" vertical="center" wrapText="1" indent="1"/>
    </xf>
    <xf numFmtId="49" fontId="114" fillId="3" borderId="179" xfId="0" applyNumberFormat="1" applyFont="1" applyFill="1" applyBorder="1" applyAlignment="1">
      <alignment horizontal="left" vertical="center" wrapText="1" indent="1"/>
    </xf>
    <xf numFmtId="49" fontId="25" fillId="0" borderId="179" xfId="0" applyNumberFormat="1" applyFont="1" applyBorder="1" applyAlignment="1">
      <alignment horizontal="left" vertical="center" wrapText="1" indent="1"/>
    </xf>
    <xf numFmtId="49" fontId="116" fillId="3" borderId="395" xfId="0" applyNumberFormat="1" applyFont="1" applyFill="1" applyBorder="1" applyAlignment="1">
      <alignment horizontal="left" vertical="center" wrapText="1"/>
    </xf>
    <xf numFmtId="0" fontId="156" fillId="0" borderId="395" xfId="0" applyFont="1" applyBorder="1"/>
    <xf numFmtId="0" fontId="142" fillId="0" borderId="0" xfId="0" applyFont="1" applyAlignment="1">
      <alignment horizontal="center" vertical="center" wrapText="1"/>
    </xf>
    <xf numFmtId="0" fontId="177" fillId="0" borderId="0" xfId="0" applyFont="1" applyAlignment="1"/>
    <xf numFmtId="0" fontId="15" fillId="0" borderId="52" xfId="0" applyFont="1" applyBorder="1" applyAlignment="1">
      <alignment horizontal="left" indent="1"/>
    </xf>
    <xf numFmtId="1" fontId="119" fillId="3" borderId="179" xfId="0" applyNumberFormat="1" applyFont="1" applyFill="1" applyBorder="1" applyAlignment="1">
      <alignment horizontal="center" vertical="center" wrapText="1"/>
    </xf>
    <xf numFmtId="0" fontId="118" fillId="0" borderId="248" xfId="0" applyFont="1" applyBorder="1"/>
    <xf numFmtId="0" fontId="118" fillId="0" borderId="52" xfId="0" applyFont="1" applyBorder="1"/>
    <xf numFmtId="0" fontId="126" fillId="0" borderId="179" xfId="0" applyFont="1" applyBorder="1" applyAlignment="1">
      <alignment horizontal="left" vertical="center" wrapText="1" indent="1"/>
    </xf>
    <xf numFmtId="0" fontId="114" fillId="4" borderId="123" xfId="0" applyFont="1" applyFill="1" applyBorder="1" applyAlignment="1">
      <alignment horizontal="left" vertical="center" wrapText="1" indent="1"/>
    </xf>
    <xf numFmtId="0" fontId="125" fillId="0" borderId="113" xfId="0" applyFont="1" applyBorder="1" applyAlignment="1">
      <alignment horizontal="left" indent="1"/>
    </xf>
    <xf numFmtId="0" fontId="125" fillId="0" borderId="124" xfId="0" applyFont="1" applyBorder="1" applyAlignment="1">
      <alignment horizontal="left" indent="1"/>
    </xf>
    <xf numFmtId="0" fontId="114" fillId="3" borderId="446" xfId="0" applyFont="1" applyFill="1" applyBorder="1" applyAlignment="1">
      <alignment horizontal="left" vertical="center" wrapText="1" indent="1"/>
    </xf>
    <xf numFmtId="0" fontId="15" fillId="0" borderId="419" xfId="0" applyFont="1" applyBorder="1" applyAlignment="1">
      <alignment horizontal="left" indent="1"/>
    </xf>
    <xf numFmtId="0" fontId="15" fillId="0" borderId="53" xfId="0" applyFont="1" applyBorder="1" applyAlignment="1">
      <alignment horizontal="left" indent="1"/>
    </xf>
    <xf numFmtId="49" fontId="122" fillId="2" borderId="189" xfId="0" applyNumberFormat="1" applyFont="1" applyFill="1" applyBorder="1" applyAlignment="1">
      <alignment horizontal="left" vertical="center" indent="1"/>
    </xf>
    <xf numFmtId="0" fontId="157" fillId="0" borderId="189" xfId="0" applyFont="1" applyBorder="1" applyAlignment="1">
      <alignment horizontal="left" indent="1"/>
    </xf>
    <xf numFmtId="0" fontId="21" fillId="2" borderId="60" xfId="0" applyFont="1" applyFill="1" applyBorder="1" applyAlignment="1">
      <alignment horizontal="center" vertical="center"/>
    </xf>
    <xf numFmtId="0" fontId="15" fillId="0" borderId="355" xfId="0" applyFont="1" applyBorder="1"/>
    <xf numFmtId="0" fontId="15" fillId="0" borderId="341" xfId="0" applyFont="1" applyBorder="1"/>
    <xf numFmtId="49" fontId="24" fillId="3" borderId="597" xfId="0" applyNumberFormat="1" applyFont="1" applyFill="1" applyBorder="1" applyAlignment="1">
      <alignment horizontal="left" vertical="center" wrapText="1" indent="1"/>
    </xf>
    <xf numFmtId="0" fontId="15" fillId="0" borderId="595" xfId="0" applyFont="1" applyBorder="1" applyAlignment="1">
      <alignment horizontal="left" indent="1"/>
    </xf>
    <xf numFmtId="0" fontId="15" fillId="0" borderId="596" xfId="0" applyFont="1" applyBorder="1" applyAlignment="1">
      <alignment horizontal="left" indent="1"/>
    </xf>
    <xf numFmtId="49" fontId="24" fillId="3" borderId="594" xfId="0" applyNumberFormat="1" applyFont="1" applyFill="1" applyBorder="1" applyAlignment="1">
      <alignment horizontal="left" vertical="center" wrapText="1" indent="1"/>
    </xf>
    <xf numFmtId="49" fontId="25" fillId="3" borderId="474" xfId="0" applyNumberFormat="1" applyFont="1" applyFill="1" applyBorder="1" applyAlignment="1">
      <alignment horizontal="left" vertical="center" wrapText="1" indent="1"/>
    </xf>
    <xf numFmtId="49" fontId="24" fillId="3" borderId="474" xfId="0" applyNumberFormat="1" applyFont="1" applyFill="1" applyBorder="1" applyAlignment="1">
      <alignment horizontal="left" vertical="center" wrapText="1" indent="1"/>
    </xf>
    <xf numFmtId="1" fontId="117" fillId="0" borderId="179" xfId="0" applyNumberFormat="1" applyFont="1" applyBorder="1" applyAlignment="1">
      <alignment horizontal="center" vertical="center" wrapText="1"/>
    </xf>
    <xf numFmtId="0" fontId="118" fillId="0" borderId="177" xfId="0" applyFont="1" applyBorder="1"/>
    <xf numFmtId="49" fontId="25" fillId="3" borderId="248" xfId="0" applyNumberFormat="1" applyFont="1" applyFill="1" applyBorder="1" applyAlignment="1">
      <alignment horizontal="left" vertical="center" wrapText="1" indent="1"/>
    </xf>
    <xf numFmtId="1" fontId="117" fillId="0" borderId="248" xfId="0" applyNumberFormat="1" applyFont="1" applyBorder="1" applyAlignment="1">
      <alignment horizontal="center" vertical="center" wrapText="1"/>
    </xf>
    <xf numFmtId="0" fontId="15" fillId="0" borderId="598" xfId="0" applyFont="1" applyBorder="1" applyAlignment="1">
      <alignment horizontal="left" indent="1"/>
    </xf>
    <xf numFmtId="0" fontId="4" fillId="0" borderId="0" xfId="0" applyFont="1" applyAlignment="1">
      <alignment horizontal="center" vertical="center"/>
    </xf>
    <xf numFmtId="0" fontId="112" fillId="0" borderId="0" xfId="0" applyFont="1" applyAlignment="1">
      <alignment horizontal="center" vertical="center"/>
    </xf>
    <xf numFmtId="0" fontId="110" fillId="0" borderId="0" xfId="0" applyFont="1" applyAlignment="1"/>
    <xf numFmtId="0" fontId="9" fillId="0" borderId="0" xfId="0" applyFont="1" applyAlignment="1">
      <alignment horizontal="center" vertical="center"/>
    </xf>
    <xf numFmtId="0" fontId="22" fillId="0" borderId="0" xfId="0" applyFont="1" applyAlignment="1">
      <alignment horizontal="center" vertical="center"/>
    </xf>
    <xf numFmtId="0" fontId="126" fillId="0" borderId="474" xfId="0" applyFont="1" applyBorder="1" applyAlignment="1">
      <alignment horizontal="left" vertical="center" wrapText="1" indent="1"/>
    </xf>
    <xf numFmtId="49" fontId="114" fillId="3" borderId="22" xfId="0" applyNumberFormat="1" applyFont="1" applyFill="1" applyBorder="1" applyAlignment="1">
      <alignment horizontal="left" vertical="center" wrapText="1" indent="1"/>
    </xf>
    <xf numFmtId="0" fontId="15" fillId="0" borderId="463" xfId="0" applyFont="1" applyBorder="1" applyAlignment="1">
      <alignment horizontal="left" indent="1"/>
    </xf>
    <xf numFmtId="0" fontId="114" fillId="4" borderId="111" xfId="0" applyFont="1" applyFill="1" applyBorder="1" applyAlignment="1">
      <alignment horizontal="left" vertical="center" wrapText="1" indent="1"/>
    </xf>
    <xf numFmtId="0" fontId="125" fillId="0" borderId="120" xfId="0" applyFont="1" applyBorder="1" applyAlignment="1">
      <alignment horizontal="left" indent="1"/>
    </xf>
    <xf numFmtId="49" fontId="114" fillId="3" borderId="474" xfId="0" applyNumberFormat="1" applyFont="1" applyFill="1" applyBorder="1" applyAlignment="1">
      <alignment horizontal="left" vertical="center" wrapText="1" indent="1"/>
    </xf>
    <xf numFmtId="9" fontId="117" fillId="0" borderId="474" xfId="0" applyNumberFormat="1" applyFont="1" applyBorder="1" applyAlignment="1">
      <alignment horizontal="center" vertical="center" wrapText="1"/>
    </xf>
    <xf numFmtId="49" fontId="149" fillId="2" borderId="297" xfId="0" applyNumberFormat="1" applyFont="1" applyFill="1" applyBorder="1" applyAlignment="1">
      <alignment horizontal="center" vertical="center" textRotation="90" wrapText="1"/>
    </xf>
    <xf numFmtId="49" fontId="149" fillId="2" borderId="310" xfId="0" applyNumberFormat="1" applyFont="1" applyFill="1" applyBorder="1" applyAlignment="1">
      <alignment horizontal="center" vertical="center" textRotation="90" wrapText="1"/>
    </xf>
    <xf numFmtId="49" fontId="149" fillId="2" borderId="491" xfId="0" applyNumberFormat="1" applyFont="1" applyFill="1" applyBorder="1" applyAlignment="1">
      <alignment horizontal="center" vertical="center" textRotation="90" wrapText="1"/>
    </xf>
    <xf numFmtId="49" fontId="149" fillId="2" borderId="375" xfId="0" applyNumberFormat="1" applyFont="1" applyFill="1" applyBorder="1" applyAlignment="1">
      <alignment horizontal="center" vertical="center" textRotation="90" wrapText="1"/>
    </xf>
    <xf numFmtId="49" fontId="149" fillId="2" borderId="515" xfId="0" applyNumberFormat="1" applyFont="1" applyFill="1" applyBorder="1" applyAlignment="1">
      <alignment horizontal="center" vertical="center" textRotation="90" wrapText="1"/>
    </xf>
    <xf numFmtId="49" fontId="149" fillId="2" borderId="573" xfId="0" applyNumberFormat="1" applyFont="1" applyFill="1" applyBorder="1" applyAlignment="1">
      <alignment horizontal="center" vertical="center" textRotation="90" wrapText="1"/>
    </xf>
    <xf numFmtId="0" fontId="114" fillId="4" borderId="424" xfId="0" applyFont="1" applyFill="1" applyBorder="1" applyAlignment="1">
      <alignment horizontal="left" vertical="center" wrapText="1" indent="1"/>
    </xf>
    <xf numFmtId="0" fontId="125" fillId="0" borderId="340" xfId="0" applyFont="1" applyBorder="1" applyAlignment="1">
      <alignment horizontal="left" indent="1"/>
    </xf>
    <xf numFmtId="0" fontId="125" fillId="0" borderId="250" xfId="0" applyFont="1" applyBorder="1" applyAlignment="1">
      <alignment horizontal="left" indent="1"/>
    </xf>
    <xf numFmtId="49" fontId="139" fillId="3" borderId="179" xfId="0" applyNumberFormat="1" applyFont="1" applyFill="1" applyBorder="1" applyAlignment="1">
      <alignment horizontal="left" vertical="center" wrapText="1" indent="1"/>
    </xf>
    <xf numFmtId="0" fontId="26" fillId="0" borderId="179" xfId="0" applyFont="1" applyBorder="1" applyAlignment="1">
      <alignment horizontal="left" vertical="center" wrapText="1" indent="1"/>
    </xf>
    <xf numFmtId="0" fontId="151" fillId="16" borderId="516" xfId="0" applyFont="1" applyFill="1" applyBorder="1" applyAlignment="1">
      <alignment horizontal="center" vertical="center" textRotation="90"/>
    </xf>
    <xf numFmtId="0" fontId="151" fillId="16" borderId="593" xfId="0" applyFont="1" applyFill="1" applyBorder="1" applyAlignment="1">
      <alignment horizontal="center" vertical="center" textRotation="90"/>
    </xf>
    <xf numFmtId="0" fontId="151" fillId="16" borderId="491" xfId="0" applyFont="1" applyFill="1" applyBorder="1" applyAlignment="1">
      <alignment horizontal="center" vertical="center" textRotation="90"/>
    </xf>
    <xf numFmtId="0" fontId="151" fillId="16" borderId="375" xfId="0" applyFont="1" applyFill="1" applyBorder="1" applyAlignment="1">
      <alignment horizontal="center" vertical="center" textRotation="90"/>
    </xf>
    <xf numFmtId="0" fontId="142" fillId="16" borderId="527" xfId="1" applyFont="1" applyFill="1" applyBorder="1" applyAlignment="1" applyProtection="1">
      <alignment horizontal="center" vertical="center" textRotation="90"/>
    </xf>
    <xf numFmtId="0" fontId="142" fillId="16" borderId="528" xfId="1" applyFont="1" applyFill="1" applyBorder="1" applyAlignment="1" applyProtection="1">
      <alignment horizontal="center" vertical="center" textRotation="90"/>
    </xf>
    <xf numFmtId="0" fontId="142" fillId="16" borderId="540" xfId="1" applyFont="1" applyFill="1" applyBorder="1" applyAlignment="1" applyProtection="1">
      <alignment horizontal="center" vertical="center" textRotation="90"/>
    </xf>
    <xf numFmtId="0" fontId="142" fillId="16" borderId="552" xfId="1" applyFont="1" applyFill="1" applyBorder="1" applyAlignment="1" applyProtection="1">
      <alignment horizontal="center" vertical="center" textRotation="90"/>
    </xf>
    <xf numFmtId="0" fontId="143" fillId="17" borderId="529" xfId="2" applyFont="1" applyFill="1" applyBorder="1" applyAlignment="1" applyProtection="1">
      <alignment horizontal="center" vertical="center" wrapText="1"/>
    </xf>
    <xf numFmtId="0" fontId="143" fillId="17" borderId="530" xfId="2" applyFont="1" applyFill="1" applyBorder="1" applyAlignment="1" applyProtection="1">
      <alignment horizontal="center" vertical="center" wrapText="1"/>
    </xf>
    <xf numFmtId="0" fontId="143" fillId="18" borderId="531" xfId="2" applyFont="1" applyFill="1" applyBorder="1" applyAlignment="1" applyProtection="1">
      <alignment horizontal="center" vertical="center" wrapText="1"/>
    </xf>
    <xf numFmtId="0" fontId="143" fillId="18" borderId="532" xfId="2" applyFont="1" applyFill="1" applyBorder="1" applyAlignment="1" applyProtection="1">
      <alignment horizontal="center" vertical="center" wrapText="1"/>
    </xf>
    <xf numFmtId="0" fontId="143" fillId="18" borderId="533" xfId="2" applyFont="1" applyFill="1" applyBorder="1" applyAlignment="1" applyProtection="1">
      <alignment horizontal="center" vertical="center" wrapText="1"/>
    </xf>
    <xf numFmtId="0" fontId="143" fillId="19" borderId="534" xfId="2" applyFont="1" applyFill="1" applyBorder="1" applyAlignment="1" applyProtection="1">
      <alignment horizontal="center" vertical="center" wrapText="1"/>
    </xf>
    <xf numFmtId="0" fontId="143" fillId="19" borderId="535" xfId="2" applyFont="1" applyFill="1" applyBorder="1" applyAlignment="1" applyProtection="1">
      <alignment horizontal="center" vertical="center" wrapText="1"/>
    </xf>
    <xf numFmtId="0" fontId="143" fillId="19" borderId="536" xfId="2" applyFont="1" applyFill="1" applyBorder="1" applyAlignment="1" applyProtection="1">
      <alignment horizontal="center" vertical="center" wrapText="1"/>
    </xf>
    <xf numFmtId="0" fontId="143" fillId="20" borderId="537" xfId="2" applyFont="1" applyFill="1" applyBorder="1" applyAlignment="1" applyProtection="1">
      <alignment horizontal="center" vertical="center" wrapText="1"/>
    </xf>
    <xf numFmtId="0" fontId="143" fillId="20" borderId="538" xfId="2" applyFont="1" applyFill="1" applyBorder="1" applyAlignment="1" applyProtection="1">
      <alignment horizontal="center" vertical="center" wrapText="1"/>
    </xf>
    <xf numFmtId="0" fontId="143" fillId="20" borderId="539" xfId="2" applyFont="1" applyFill="1" applyBorder="1" applyAlignment="1" applyProtection="1">
      <alignment horizontal="center" vertical="center" wrapText="1"/>
    </xf>
    <xf numFmtId="0" fontId="142" fillId="24" borderId="551" xfId="4" applyFont="1" applyFill="1" applyBorder="1" applyAlignment="1" applyProtection="1">
      <alignment horizontal="center" vertical="center" wrapText="1"/>
    </xf>
    <xf numFmtId="0" fontId="142" fillId="24" borderId="564" xfId="4" applyFont="1" applyFill="1" applyBorder="1" applyAlignment="1" applyProtection="1">
      <alignment horizontal="center" vertical="center" wrapText="1"/>
    </xf>
    <xf numFmtId="0" fontId="137" fillId="0" borderId="131" xfId="0" applyFont="1" applyBorder="1" applyAlignment="1">
      <alignment horizontal="left" vertical="center" wrapText="1" indent="1"/>
    </xf>
    <xf numFmtId="0" fontId="125" fillId="0" borderId="132" xfId="0" applyFont="1" applyBorder="1" applyAlignment="1">
      <alignment horizontal="left" indent="1"/>
    </xf>
    <xf numFmtId="170" fontId="179" fillId="0" borderId="72" xfId="0" applyNumberFormat="1" applyFont="1" applyBorder="1" applyAlignment="1">
      <alignment horizontal="center" vertical="center"/>
    </xf>
    <xf numFmtId="0" fontId="176" fillId="0" borderId="73" xfId="0" applyFont="1" applyBorder="1"/>
    <xf numFmtId="0" fontId="176" fillId="0" borderId="74" xfId="0" applyFont="1" applyBorder="1"/>
    <xf numFmtId="0" fontId="36" fillId="0" borderId="72" xfId="0" applyFont="1" applyBorder="1" applyAlignment="1">
      <alignment horizontal="left" vertical="center" indent="1"/>
    </xf>
    <xf numFmtId="0" fontId="15" fillId="0" borderId="73" xfId="0" applyFont="1" applyBorder="1" applyAlignment="1">
      <alignment horizontal="left" indent="1"/>
    </xf>
    <xf numFmtId="0" fontId="37" fillId="0" borderId="72" xfId="0" applyFont="1" applyBorder="1" applyAlignment="1">
      <alignment horizontal="left" vertical="center" indent="1"/>
    </xf>
    <xf numFmtId="0" fontId="179" fillId="0" borderId="15" xfId="0" applyFont="1" applyBorder="1" applyAlignment="1">
      <alignment horizontal="center" vertical="center" wrapText="1"/>
    </xf>
    <xf numFmtId="0" fontId="176" fillId="0" borderId="66" xfId="0" applyFont="1" applyBorder="1"/>
    <xf numFmtId="0" fontId="176" fillId="0" borderId="67" xfId="0" applyFont="1" applyBorder="1"/>
    <xf numFmtId="0" fontId="105" fillId="0" borderId="69" xfId="0" applyFont="1" applyBorder="1" applyAlignment="1">
      <alignment horizontal="left" vertical="center" wrapText="1" indent="1"/>
    </xf>
    <xf numFmtId="0" fontId="15" fillId="0" borderId="70" xfId="0" applyFont="1" applyBorder="1" applyAlignment="1">
      <alignment horizontal="left" indent="1"/>
    </xf>
    <xf numFmtId="0" fontId="36" fillId="0" borderId="72" xfId="0" applyFont="1" applyBorder="1" applyAlignment="1">
      <alignment horizontal="left" vertical="center" wrapText="1" indent="1"/>
    </xf>
    <xf numFmtId="0" fontId="137" fillId="0" borderId="72" xfId="0" applyFont="1" applyBorder="1" applyAlignment="1">
      <alignment horizontal="left" vertical="center" wrapText="1" indent="1"/>
    </xf>
    <xf numFmtId="0" fontId="26" fillId="0" borderId="646" xfId="0" applyFont="1" applyBorder="1" applyAlignment="1">
      <alignment horizontal="left" vertical="center" wrapText="1" indent="1"/>
    </xf>
    <xf numFmtId="0" fontId="15" fillId="0" borderId="646" xfId="0" applyFont="1" applyBorder="1" applyAlignment="1">
      <alignment horizontal="left" indent="1"/>
    </xf>
    <xf numFmtId="0" fontId="15" fillId="0" borderId="708" xfId="0" applyFont="1" applyBorder="1" applyAlignment="1">
      <alignment horizontal="left" indent="1"/>
    </xf>
    <xf numFmtId="0" fontId="136" fillId="2" borderId="651" xfId="0" applyFont="1" applyFill="1" applyBorder="1" applyAlignment="1">
      <alignment horizontal="left" vertical="center" indent="1"/>
    </xf>
    <xf numFmtId="0" fontId="118" fillId="0" borderId="651" xfId="0" applyFont="1" applyBorder="1" applyAlignment="1">
      <alignment horizontal="left" indent="1"/>
    </xf>
    <xf numFmtId="0" fontId="29" fillId="2" borderId="675" xfId="0" applyFont="1" applyFill="1" applyBorder="1" applyAlignment="1">
      <alignment horizontal="center" vertical="center"/>
    </xf>
    <xf numFmtId="0" fontId="15" fillId="0" borderId="673" xfId="0" applyFont="1" applyBorder="1"/>
    <xf numFmtId="0" fontId="15" fillId="0" borderId="676" xfId="0" applyFont="1" applyBorder="1"/>
    <xf numFmtId="0" fontId="115" fillId="0" borderId="0" xfId="0" applyFont="1" applyAlignment="1">
      <alignment horizontal="left" vertical="center" wrapText="1"/>
    </xf>
    <xf numFmtId="0" fontId="155" fillId="0" borderId="0" xfId="0" applyFont="1" applyAlignment="1"/>
    <xf numFmtId="0" fontId="118" fillId="0" borderId="729" xfId="0" applyFont="1" applyBorder="1"/>
    <xf numFmtId="0" fontId="15" fillId="0" borderId="729" xfId="0" applyFont="1" applyBorder="1" applyAlignment="1">
      <alignment horizontal="left" indent="1"/>
    </xf>
    <xf numFmtId="0" fontId="126" fillId="0" borderId="446" xfId="0" applyFont="1" applyBorder="1" applyAlignment="1">
      <alignment horizontal="left" vertical="center" wrapText="1" indent="1"/>
    </xf>
    <xf numFmtId="0" fontId="15" fillId="0" borderId="731" xfId="0" applyFont="1" applyBorder="1" applyAlignment="1">
      <alignment horizontal="left" indent="1"/>
    </xf>
    <xf numFmtId="0" fontId="126" fillId="0" borderId="646" xfId="0" applyFont="1" applyBorder="1" applyAlignment="1">
      <alignment horizontal="left" vertical="center" wrapText="1" indent="1"/>
    </xf>
    <xf numFmtId="0" fontId="15" fillId="0" borderId="648" xfId="0" applyFont="1" applyBorder="1" applyAlignment="1">
      <alignment horizontal="left" indent="1"/>
    </xf>
    <xf numFmtId="0" fontId="26" fillId="0" borderId="649" xfId="0" applyFont="1" applyBorder="1" applyAlignment="1">
      <alignment horizontal="left" vertical="center" wrapText="1" indent="1"/>
    </xf>
    <xf numFmtId="0" fontId="38" fillId="0" borderId="595" xfId="0" applyFont="1" applyBorder="1" applyAlignment="1">
      <alignment horizontal="left" vertical="center" wrapText="1" indent="1"/>
    </xf>
    <xf numFmtId="0" fontId="26" fillId="0" borderId="248" xfId="0" applyFont="1" applyBorder="1" applyAlignment="1">
      <alignment horizontal="left" vertical="center" wrapText="1" indent="1"/>
    </xf>
    <xf numFmtId="0" fontId="38" fillId="0" borderId="248" xfId="0" applyFont="1" applyBorder="1" applyAlignment="1">
      <alignment horizontal="left" vertical="center" wrapText="1" indent="1"/>
    </xf>
    <xf numFmtId="0" fontId="126" fillId="0" borderId="163" xfId="0" applyFont="1" applyBorder="1" applyAlignment="1">
      <alignment horizontal="left" vertical="center" wrapText="1" indent="1"/>
    </xf>
    <xf numFmtId="0" fontId="15" fillId="0" borderId="415" xfId="0" applyFont="1" applyBorder="1" applyAlignment="1">
      <alignment horizontal="left" indent="1"/>
    </xf>
    <xf numFmtId="0" fontId="15" fillId="0" borderId="497" xfId="0" applyFont="1" applyBorder="1" applyAlignment="1">
      <alignment horizontal="left" indent="1"/>
    </xf>
    <xf numFmtId="0" fontId="26" fillId="0" borderId="179" xfId="0" applyFont="1" applyFill="1" applyBorder="1" applyAlignment="1">
      <alignment horizontal="left" vertical="center" wrapText="1" indent="1"/>
    </xf>
    <xf numFmtId="0" fontId="15" fillId="0" borderId="248" xfId="0" applyFont="1" applyFill="1" applyBorder="1" applyAlignment="1">
      <alignment horizontal="left" indent="1"/>
    </xf>
    <xf numFmtId="0" fontId="15" fillId="0" borderId="177" xfId="0" applyFont="1" applyFill="1" applyBorder="1" applyAlignment="1">
      <alignment horizontal="left" indent="1"/>
    </xf>
    <xf numFmtId="1" fontId="117" fillId="4" borderId="179" xfId="0" applyNumberFormat="1" applyFont="1" applyFill="1" applyBorder="1" applyAlignment="1">
      <alignment horizontal="center" vertical="center" wrapText="1"/>
    </xf>
    <xf numFmtId="0" fontId="38" fillId="0" borderId="597" xfId="0" applyFont="1" applyBorder="1" applyAlignment="1">
      <alignment horizontal="left" vertical="center" wrapText="1" indent="1"/>
    </xf>
    <xf numFmtId="0" fontId="38" fillId="0" borderId="179" xfId="0" applyFont="1" applyBorder="1" applyAlignment="1">
      <alignment horizontal="left" vertical="center" wrapText="1" indent="1"/>
    </xf>
    <xf numFmtId="0" fontId="126" fillId="0" borderId="375" xfId="0" applyFont="1" applyBorder="1" applyAlignment="1">
      <alignment horizontal="left" vertical="center" wrapText="1" indent="1"/>
    </xf>
    <xf numFmtId="0" fontId="0" fillId="0" borderId="375" xfId="0" applyFont="1" applyBorder="1" applyAlignment="1">
      <alignment horizontal="left" indent="1"/>
    </xf>
    <xf numFmtId="0" fontId="15" fillId="0" borderId="376" xfId="0" applyFont="1" applyBorder="1" applyAlignment="1">
      <alignment horizontal="left" indent="1"/>
    </xf>
    <xf numFmtId="0" fontId="26" fillId="0" borderId="248" xfId="0" applyFont="1" applyFill="1" applyBorder="1" applyAlignment="1">
      <alignment horizontal="left" vertical="center" wrapText="1" indent="1"/>
    </xf>
    <xf numFmtId="0" fontId="126" fillId="0" borderId="179" xfId="0" applyFont="1" applyFill="1" applyBorder="1" applyAlignment="1">
      <alignment horizontal="left" vertical="center" wrapText="1" indent="1"/>
    </xf>
    <xf numFmtId="1" fontId="117" fillId="4" borderId="248" xfId="0" applyNumberFormat="1" applyFont="1" applyFill="1" applyBorder="1" applyAlignment="1">
      <alignment horizontal="center" vertical="center" wrapText="1"/>
    </xf>
    <xf numFmtId="0" fontId="126" fillId="0" borderId="248" xfId="0" applyFont="1" applyBorder="1" applyAlignment="1">
      <alignment horizontal="left" vertical="center" wrapText="1" indent="1"/>
    </xf>
    <xf numFmtId="0" fontId="126" fillId="0" borderId="419" xfId="0" applyFont="1" applyBorder="1" applyAlignment="1">
      <alignment horizontal="left" vertical="center" wrapText="1" indent="1"/>
    </xf>
    <xf numFmtId="0" fontId="126" fillId="0" borderId="566" xfId="0" applyFont="1" applyBorder="1" applyAlignment="1">
      <alignment horizontal="left" vertical="center" wrapText="1" indent="1"/>
    </xf>
    <xf numFmtId="0" fontId="15" fillId="0" borderId="572" xfId="0" applyFont="1" applyBorder="1" applyAlignment="1">
      <alignment horizontal="left" indent="1"/>
    </xf>
    <xf numFmtId="0" fontId="126" fillId="0" borderId="568" xfId="0" applyFont="1" applyBorder="1" applyAlignment="1">
      <alignment horizontal="left" vertical="center" wrapText="1" indent="1"/>
    </xf>
    <xf numFmtId="0" fontId="15" fillId="0" borderId="574" xfId="0" applyFont="1" applyBorder="1" applyAlignment="1">
      <alignment horizontal="left" indent="1"/>
    </xf>
    <xf numFmtId="0" fontId="126" fillId="0" borderId="706" xfId="0" applyFont="1" applyBorder="1" applyAlignment="1">
      <alignment horizontal="left" vertical="center" wrapText="1" indent="1"/>
    </xf>
    <xf numFmtId="0" fontId="15" fillId="0" borderId="707" xfId="0" applyFont="1" applyBorder="1" applyAlignment="1">
      <alignment horizontal="left" indent="1"/>
    </xf>
    <xf numFmtId="0" fontId="126" fillId="0" borderId="567" xfId="0" applyFont="1" applyBorder="1" applyAlignment="1">
      <alignment horizontal="left" vertical="center" wrapText="1" indent="1"/>
    </xf>
    <xf numFmtId="0" fontId="0" fillId="0" borderId="573" xfId="0" applyFont="1" applyBorder="1" applyAlignment="1">
      <alignment horizontal="left" indent="1"/>
    </xf>
    <xf numFmtId="0" fontId="26" fillId="0" borderId="566" xfId="0" applyFont="1" applyBorder="1" applyAlignment="1">
      <alignment horizontal="left" vertical="center" wrapText="1" indent="1"/>
    </xf>
    <xf numFmtId="1" fontId="117" fillId="4" borderId="566" xfId="0" applyNumberFormat="1" applyFont="1" applyFill="1" applyBorder="1" applyAlignment="1">
      <alignment horizontal="center" vertical="center" wrapText="1"/>
    </xf>
    <xf numFmtId="0" fontId="118" fillId="0" borderId="572" xfId="0" applyFont="1" applyBorder="1"/>
    <xf numFmtId="0" fontId="152" fillId="2" borderId="691" xfId="0" applyFont="1" applyFill="1" applyBorder="1" applyAlignment="1">
      <alignment horizontal="center" vertical="center" textRotation="90" wrapText="1"/>
    </xf>
    <xf numFmtId="0" fontId="150" fillId="0" borderId="310" xfId="0" applyFont="1" applyBorder="1"/>
    <xf numFmtId="0" fontId="150" fillId="0" borderId="540" xfId="0" applyFont="1" applyBorder="1"/>
    <xf numFmtId="0" fontId="150" fillId="0" borderId="375" xfId="0" applyFont="1" applyBorder="1"/>
    <xf numFmtId="0" fontId="150" fillId="0" borderId="672" xfId="0" applyFont="1" applyBorder="1"/>
    <xf numFmtId="0" fontId="150" fillId="0" borderId="673" xfId="0" applyFont="1" applyBorder="1"/>
    <xf numFmtId="0" fontId="38" fillId="0" borderId="594" xfId="0" applyFont="1" applyBorder="1" applyAlignment="1">
      <alignment horizontal="left" vertical="center" wrapText="1" indent="1"/>
    </xf>
    <xf numFmtId="0" fontId="15" fillId="0" borderId="599" xfId="0" applyFont="1" applyBorder="1" applyAlignment="1">
      <alignment horizontal="left" indent="1"/>
    </xf>
    <xf numFmtId="0" fontId="38" fillId="0" borderId="566" xfId="0" applyFont="1" applyBorder="1" applyAlignment="1">
      <alignment horizontal="left" vertical="center" wrapText="1" indent="1"/>
    </xf>
    <xf numFmtId="0" fontId="15" fillId="0" borderId="728" xfId="0" applyFont="1" applyBorder="1" applyAlignment="1">
      <alignment horizontal="left" indent="1"/>
    </xf>
    <xf numFmtId="0" fontId="126" fillId="4" borderId="179" xfId="0" applyFont="1" applyFill="1" applyBorder="1" applyAlignment="1">
      <alignment horizontal="left" vertical="center" wrapText="1" indent="1"/>
    </xf>
    <xf numFmtId="0" fontId="134" fillId="0" borderId="423" xfId="0" applyFont="1" applyBorder="1" applyAlignment="1">
      <alignment horizontal="left" vertical="center" wrapText="1" indent="1"/>
    </xf>
    <xf numFmtId="0" fontId="15" fillId="0" borderId="730" xfId="0" applyFont="1" applyBorder="1" applyAlignment="1">
      <alignment horizontal="left" indent="1"/>
    </xf>
    <xf numFmtId="0" fontId="15" fillId="0" borderId="729" xfId="0" applyFont="1" applyFill="1" applyBorder="1" applyAlignment="1">
      <alignment horizontal="left" indent="1"/>
    </xf>
    <xf numFmtId="0" fontId="11" fillId="0" borderId="131" xfId="0" applyFont="1" applyBorder="1" applyAlignment="1">
      <alignment horizontal="left" vertical="center" wrapText="1" indent="1"/>
    </xf>
    <xf numFmtId="0" fontId="15" fillId="0" borderId="132" xfId="0" applyFont="1" applyBorder="1" applyAlignment="1">
      <alignment horizontal="left" indent="1"/>
    </xf>
    <xf numFmtId="0" fontId="11" fillId="0" borderId="72" xfId="0" applyFont="1" applyBorder="1" applyAlignment="1">
      <alignment horizontal="left" vertical="center" wrapText="1" indent="1"/>
    </xf>
    <xf numFmtId="0" fontId="115" fillId="0" borderId="72" xfId="0" applyFont="1" applyBorder="1" applyAlignment="1">
      <alignment horizontal="left" vertical="center" indent="1"/>
    </xf>
    <xf numFmtId="0" fontId="11" fillId="4" borderId="0" xfId="0" applyFont="1" applyFill="1" applyAlignment="1">
      <alignment horizontal="center" vertical="center"/>
    </xf>
    <xf numFmtId="0" fontId="126" fillId="0" borderId="634" xfId="0" applyFont="1" applyBorder="1" applyAlignment="1">
      <alignment horizontal="left" vertical="center" wrapText="1" indent="1"/>
    </xf>
    <xf numFmtId="0" fontId="15" fillId="0" borderId="581" xfId="0" applyFont="1" applyBorder="1" applyAlignment="1">
      <alignment horizontal="left" indent="1"/>
    </xf>
    <xf numFmtId="0" fontId="15" fillId="0" borderId="622" xfId="0" applyFont="1" applyBorder="1" applyAlignment="1">
      <alignment horizontal="left" indent="1"/>
    </xf>
    <xf numFmtId="0" fontId="26" fillId="0" borderId="635" xfId="0" applyFont="1" applyBorder="1" applyAlignment="1">
      <alignment horizontal="left" vertical="center" wrapText="1" indent="1"/>
    </xf>
    <xf numFmtId="0" fontId="15" fillId="0" borderId="620" xfId="0" applyFont="1" applyBorder="1" applyAlignment="1">
      <alignment horizontal="left" indent="1"/>
    </xf>
    <xf numFmtId="0" fontId="15" fillId="0" borderId="623" xfId="0" applyFont="1" applyBorder="1" applyAlignment="1">
      <alignment horizontal="left" indent="1"/>
    </xf>
    <xf numFmtId="0" fontId="41" fillId="0" borderId="701" xfId="0" applyFont="1" applyBorder="1" applyAlignment="1">
      <alignment horizontal="left" vertical="center" wrapText="1" indent="1"/>
    </xf>
    <xf numFmtId="0" fontId="15" fillId="0" borderId="701" xfId="0" applyFont="1" applyBorder="1" applyAlignment="1">
      <alignment horizontal="left" indent="1"/>
    </xf>
    <xf numFmtId="0" fontId="15" fillId="0" borderId="705" xfId="0" applyFont="1" applyBorder="1" applyAlignment="1">
      <alignment horizontal="left" indent="1"/>
    </xf>
    <xf numFmtId="0" fontId="157" fillId="0" borderId="651" xfId="0" applyFont="1" applyBorder="1" applyAlignment="1">
      <alignment horizontal="left" indent="1"/>
    </xf>
    <xf numFmtId="0" fontId="21" fillId="2" borderId="673" xfId="0" applyFont="1" applyFill="1" applyBorder="1" applyAlignment="1">
      <alignment horizontal="center" vertical="center"/>
    </xf>
    <xf numFmtId="0" fontId="14" fillId="0" borderId="0" xfId="0" applyFont="1" applyAlignment="1">
      <alignment horizontal="left" vertical="center" wrapText="1"/>
    </xf>
    <xf numFmtId="0" fontId="11" fillId="4" borderId="0" xfId="0" applyFont="1" applyFill="1" applyAlignment="1">
      <alignment horizontal="center" vertical="center" wrapText="1"/>
    </xf>
    <xf numFmtId="0" fontId="26" fillId="0" borderId="634" xfId="0" applyFont="1" applyBorder="1" applyAlignment="1">
      <alignment horizontal="left" vertical="center" wrapText="1" indent="1"/>
    </xf>
    <xf numFmtId="0" fontId="126" fillId="4" borderId="634" xfId="0" applyFont="1" applyFill="1" applyBorder="1" applyAlignment="1">
      <alignment horizontal="left" vertical="center" wrapText="1" indent="1"/>
    </xf>
    <xf numFmtId="1" fontId="117" fillId="0" borderId="634" xfId="0" applyNumberFormat="1" applyFont="1" applyBorder="1" applyAlignment="1">
      <alignment horizontal="center" vertical="center" wrapText="1"/>
    </xf>
    <xf numFmtId="0" fontId="118" fillId="0" borderId="581" xfId="0" applyFont="1" applyBorder="1"/>
    <xf numFmtId="0" fontId="118" fillId="0" borderId="622" xfId="0" applyFont="1" applyBorder="1"/>
    <xf numFmtId="0" fontId="126" fillId="0" borderId="625" xfId="0" applyFont="1" applyBorder="1" applyAlignment="1">
      <alignment horizontal="left" vertical="center" wrapText="1" indent="1"/>
    </xf>
    <xf numFmtId="0" fontId="15" fillId="0" borderId="631" xfId="0" applyFont="1" applyBorder="1" applyAlignment="1">
      <alignment horizontal="left" indent="1"/>
    </xf>
    <xf numFmtId="0" fontId="26" fillId="0" borderId="626" xfId="0" applyFont="1" applyBorder="1" applyAlignment="1">
      <alignment horizontal="left" vertical="center" wrapText="1" indent="1"/>
    </xf>
    <xf numFmtId="0" fontId="15" fillId="0" borderId="632" xfId="0" applyFont="1" applyBorder="1" applyAlignment="1">
      <alignment horizontal="left" indent="1"/>
    </xf>
    <xf numFmtId="0" fontId="126" fillId="4" borderId="625" xfId="0" applyFont="1" applyFill="1" applyBorder="1" applyAlignment="1">
      <alignment horizontal="left" vertical="center" wrapText="1" indent="1"/>
    </xf>
    <xf numFmtId="0" fontId="26" fillId="0" borderId="625" xfId="0" applyFont="1" applyBorder="1" applyAlignment="1">
      <alignment horizontal="left" vertical="center" wrapText="1" indent="1"/>
    </xf>
    <xf numFmtId="1" fontId="117" fillId="0" borderId="625" xfId="0" applyNumberFormat="1" applyFont="1" applyBorder="1" applyAlignment="1">
      <alignment horizontal="center" vertical="center" wrapText="1"/>
    </xf>
    <xf numFmtId="0" fontId="118" fillId="0" borderId="631" xfId="0" applyFont="1" applyBorder="1"/>
    <xf numFmtId="0" fontId="38" fillId="0" borderId="633" xfId="0" applyFont="1" applyBorder="1" applyAlignment="1">
      <alignment horizontal="left" vertical="center" wrapText="1" indent="1"/>
    </xf>
    <xf numFmtId="0" fontId="15" fillId="0" borderId="619" xfId="0" applyFont="1" applyBorder="1" applyAlignment="1">
      <alignment horizontal="left" indent="1"/>
    </xf>
    <xf numFmtId="0" fontId="15" fillId="0" borderId="621" xfId="0" applyFont="1" applyBorder="1" applyAlignment="1">
      <alignment horizontal="left" indent="1"/>
    </xf>
    <xf numFmtId="0" fontId="38" fillId="0" borderId="634" xfId="0" applyFont="1" applyBorder="1" applyAlignment="1">
      <alignment horizontal="left" vertical="center" wrapText="1" indent="1"/>
    </xf>
    <xf numFmtId="0" fontId="152" fillId="12" borderId="600" xfId="0" applyFont="1" applyFill="1" applyBorder="1" applyAlignment="1">
      <alignment horizontal="center" vertical="center" textRotation="90" wrapText="1"/>
    </xf>
    <xf numFmtId="0" fontId="153" fillId="0" borderId="601" xfId="0" applyFont="1" applyBorder="1" applyAlignment="1"/>
    <xf numFmtId="0" fontId="150" fillId="0" borderId="602" xfId="0" applyFont="1" applyBorder="1"/>
    <xf numFmtId="0" fontId="26" fillId="0" borderId="615" xfId="0" applyFont="1" applyBorder="1" applyAlignment="1">
      <alignment horizontal="left" vertical="center" wrapText="1" indent="1"/>
    </xf>
    <xf numFmtId="0" fontId="15" fillId="0" borderId="628" xfId="0" applyFont="1" applyBorder="1" applyAlignment="1">
      <alignment horizontal="left" indent="1"/>
    </xf>
    <xf numFmtId="0" fontId="38" fillId="0" borderId="624" xfId="0" applyFont="1" applyBorder="1" applyAlignment="1">
      <alignment horizontal="left" vertical="center" wrapText="1" indent="1"/>
    </xf>
    <xf numFmtId="0" fontId="15" fillId="0" borderId="630" xfId="0" applyFont="1" applyBorder="1" applyAlignment="1">
      <alignment horizontal="left" indent="1"/>
    </xf>
    <xf numFmtId="0" fontId="38" fillId="0" borderId="625" xfId="0" applyFont="1" applyBorder="1" applyAlignment="1">
      <alignment horizontal="left" vertical="center" wrapText="1" indent="1"/>
    </xf>
    <xf numFmtId="0" fontId="15" fillId="0" borderId="702" xfId="0" applyFont="1" applyBorder="1" applyAlignment="1">
      <alignment horizontal="left" indent="1"/>
    </xf>
    <xf numFmtId="0" fontId="15" fillId="0" borderId="627" xfId="0" applyFont="1" applyBorder="1" applyAlignment="1">
      <alignment horizontal="left" indent="1"/>
    </xf>
    <xf numFmtId="0" fontId="38" fillId="0" borderId="617" xfId="0" applyFont="1" applyBorder="1" applyAlignment="1">
      <alignment horizontal="left" vertical="center" wrapText="1" indent="1"/>
    </xf>
    <xf numFmtId="0" fontId="26" fillId="4" borderId="625" xfId="0" applyFont="1" applyFill="1" applyBorder="1" applyAlignment="1">
      <alignment horizontal="left" vertical="center" wrapText="1" indent="1"/>
    </xf>
    <xf numFmtId="0" fontId="15" fillId="0" borderId="629" xfId="0" applyFont="1" applyBorder="1" applyAlignment="1">
      <alignment horizontal="left" indent="1"/>
    </xf>
    <xf numFmtId="0" fontId="118" fillId="0" borderId="628" xfId="0" applyFont="1" applyBorder="1"/>
    <xf numFmtId="0" fontId="126" fillId="0" borderId="615" xfId="0" applyFont="1" applyBorder="1" applyAlignment="1">
      <alignment horizontal="left" vertical="center" wrapText="1" indent="1"/>
    </xf>
    <xf numFmtId="0" fontId="26" fillId="0" borderId="618" xfId="0" applyFont="1" applyBorder="1" applyAlignment="1">
      <alignment horizontal="left" vertical="center" wrapText="1" indent="1"/>
    </xf>
    <xf numFmtId="0" fontId="41" fillId="0" borderId="700" xfId="0" applyFont="1" applyBorder="1" applyAlignment="1">
      <alignment horizontal="left" vertical="center" wrapText="1" indent="1"/>
    </xf>
    <xf numFmtId="0" fontId="126" fillId="4" borderId="615" xfId="0" applyFont="1" applyFill="1" applyBorder="1" applyAlignment="1">
      <alignment horizontal="left" vertical="center" wrapText="1" indent="1"/>
    </xf>
    <xf numFmtId="0" fontId="26" fillId="4" borderId="615" xfId="0" applyFont="1" applyFill="1" applyBorder="1" applyAlignment="1">
      <alignment horizontal="left" vertical="center" wrapText="1" indent="1"/>
    </xf>
    <xf numFmtId="1" fontId="117" fillId="0" borderId="615" xfId="0" applyNumberFormat="1" applyFont="1" applyBorder="1" applyAlignment="1">
      <alignment horizontal="center" vertical="center" wrapText="1"/>
    </xf>
    <xf numFmtId="0" fontId="38" fillId="0" borderId="615" xfId="0" applyFont="1" applyBorder="1" applyAlignment="1">
      <alignment horizontal="left" vertical="center" wrapText="1" indent="1"/>
    </xf>
    <xf numFmtId="0" fontId="41" fillId="4" borderId="703" xfId="0" applyFont="1" applyFill="1" applyBorder="1" applyAlignment="1">
      <alignment horizontal="left" vertical="center" wrapText="1" indent="1"/>
    </xf>
    <xf numFmtId="0" fontId="15" fillId="0" borderId="704" xfId="0" applyFont="1" applyBorder="1" applyAlignment="1">
      <alignment horizontal="left" indent="1"/>
    </xf>
    <xf numFmtId="0" fontId="41" fillId="0" borderId="703" xfId="0" applyFont="1" applyBorder="1" applyAlignment="1">
      <alignment horizontal="left" vertical="center" wrapText="1" indent="1"/>
    </xf>
    <xf numFmtId="0" fontId="26" fillId="4" borderId="634" xfId="0" applyFont="1" applyFill="1" applyBorder="1" applyAlignment="1">
      <alignment horizontal="left" vertical="center" wrapText="1" indent="1"/>
    </xf>
    <xf numFmtId="4" fontId="136" fillId="2" borderId="673" xfId="0" applyNumberFormat="1" applyFont="1" applyFill="1" applyBorder="1" applyAlignment="1">
      <alignment horizontal="left" vertical="center" wrapText="1" indent="1"/>
    </xf>
    <xf numFmtId="0" fontId="160" fillId="0" borderId="673" xfId="0" applyFont="1" applyBorder="1" applyAlignment="1">
      <alignment horizontal="left" indent="1"/>
    </xf>
    <xf numFmtId="4" fontId="45" fillId="2" borderId="675" xfId="0" applyNumberFormat="1" applyFont="1" applyFill="1" applyBorder="1" applyAlignment="1">
      <alignment horizontal="center" vertical="center" wrapText="1"/>
    </xf>
    <xf numFmtId="0" fontId="126" fillId="0" borderId="677" xfId="0" applyFont="1" applyBorder="1" applyAlignment="1">
      <alignment horizontal="left" vertical="center" wrapText="1" indent="1"/>
    </xf>
    <xf numFmtId="0" fontId="15" fillId="0" borderId="678" xfId="0" applyFont="1" applyBorder="1" applyAlignment="1">
      <alignment horizontal="left" indent="1"/>
    </xf>
    <xf numFmtId="0" fontId="15" fillId="0" borderId="679" xfId="0" applyFont="1" applyBorder="1" applyAlignment="1">
      <alignment horizontal="left" indent="1"/>
    </xf>
    <xf numFmtId="0" fontId="26" fillId="0" borderId="677" xfId="0" applyFont="1" applyBorder="1" applyAlignment="1">
      <alignment horizontal="left" vertical="center" wrapText="1" indent="1"/>
    </xf>
    <xf numFmtId="0" fontId="15" fillId="0" borderId="699" xfId="0" applyFont="1" applyBorder="1" applyAlignment="1">
      <alignment horizontal="left" indent="1"/>
    </xf>
    <xf numFmtId="0" fontId="132" fillId="12" borderId="735" xfId="0" applyFont="1" applyFill="1" applyBorder="1" applyAlignment="1">
      <alignment horizontal="left" vertical="center" indent="1"/>
    </xf>
    <xf numFmtId="0" fontId="159" fillId="0" borderId="735" xfId="0" applyFont="1" applyBorder="1" applyAlignment="1">
      <alignment horizontal="left" indent="1"/>
    </xf>
    <xf numFmtId="0" fontId="43" fillId="12" borderId="187" xfId="0" applyFont="1" applyFill="1" applyBorder="1" applyAlignment="1">
      <alignment horizontal="center" vertical="center"/>
    </xf>
    <xf numFmtId="0" fontId="15" fillId="0" borderId="382" xfId="0" applyFont="1" applyBorder="1"/>
    <xf numFmtId="0" fontId="15" fillId="0" borderId="690" xfId="0" applyFont="1" applyBorder="1"/>
    <xf numFmtId="0" fontId="126" fillId="4" borderId="423" xfId="0" applyFont="1" applyFill="1" applyBorder="1" applyAlignment="1">
      <alignment horizontal="left" vertical="center" wrapText="1" indent="1"/>
    </xf>
    <xf numFmtId="0" fontId="15" fillId="0" borderId="375" xfId="0" applyFont="1" applyBorder="1" applyAlignment="1">
      <alignment horizontal="left" indent="1"/>
    </xf>
    <xf numFmtId="0" fontId="126" fillId="4" borderId="248" xfId="0" applyFont="1" applyFill="1" applyBorder="1" applyAlignment="1">
      <alignment horizontal="left" vertical="center" wrapText="1" indent="1"/>
    </xf>
    <xf numFmtId="0" fontId="26" fillId="0" borderId="450" xfId="0" applyFont="1" applyBorder="1" applyAlignment="1">
      <alignment horizontal="left" vertical="center" wrapText="1" indent="1"/>
    </xf>
    <xf numFmtId="0" fontId="15" fillId="0" borderId="450" xfId="0" applyFont="1" applyBorder="1" applyAlignment="1">
      <alignment horizontal="left" indent="1"/>
    </xf>
    <xf numFmtId="0" fontId="15" fillId="0" borderId="270" xfId="0" applyFont="1" applyBorder="1" applyAlignment="1">
      <alignment horizontal="left" indent="1"/>
    </xf>
    <xf numFmtId="0" fontId="26" fillId="0" borderId="678" xfId="0" applyFont="1" applyBorder="1" applyAlignment="1">
      <alignment horizontal="left" vertical="center" wrapText="1" indent="1"/>
    </xf>
    <xf numFmtId="0" fontId="136" fillId="12" borderId="610" xfId="0" applyFont="1" applyFill="1" applyBorder="1" applyAlignment="1">
      <alignment horizontal="left" vertical="center" indent="1"/>
    </xf>
    <xf numFmtId="0" fontId="119" fillId="0" borderId="611" xfId="0" applyFont="1" applyBorder="1" applyAlignment="1">
      <alignment horizontal="left" indent="1"/>
    </xf>
    <xf numFmtId="0" fontId="118" fillId="0" borderId="612" xfId="0" applyFont="1" applyBorder="1" applyAlignment="1">
      <alignment horizontal="left" indent="1"/>
    </xf>
    <xf numFmtId="0" fontId="29" fillId="12" borderId="614" xfId="0" applyFont="1" applyFill="1" applyBorder="1" applyAlignment="1">
      <alignment horizontal="center" vertical="center"/>
    </xf>
    <xf numFmtId="0" fontId="0" fillId="0" borderId="611" xfId="0" applyFont="1" applyBorder="1" applyAlignment="1"/>
    <xf numFmtId="0" fontId="15" fillId="0" borderId="698" xfId="0" applyFont="1" applyBorder="1"/>
    <xf numFmtId="0" fontId="126" fillId="0" borderId="449" xfId="0" applyFont="1" applyBorder="1" applyAlignment="1">
      <alignment horizontal="left" vertical="center" wrapText="1" indent="1"/>
    </xf>
    <xf numFmtId="0" fontId="126" fillId="0" borderId="450" xfId="0" applyFont="1" applyBorder="1" applyAlignment="1">
      <alignment horizontal="left" vertical="center" wrapText="1" indent="1"/>
    </xf>
    <xf numFmtId="0" fontId="152" fillId="12" borderId="603" xfId="0" applyFont="1" applyFill="1" applyBorder="1" applyAlignment="1">
      <alignment horizontal="center" vertical="center" textRotation="90" wrapText="1"/>
    </xf>
    <xf numFmtId="0" fontId="153" fillId="0" borderId="604" xfId="0" applyFont="1" applyBorder="1" applyAlignment="1"/>
    <xf numFmtId="0" fontId="150" fillId="0" borderId="605" xfId="0" applyFont="1" applyBorder="1"/>
    <xf numFmtId="0" fontId="38" fillId="0" borderId="412" xfId="0" applyFont="1" applyBorder="1" applyAlignment="1">
      <alignment horizontal="left" vertical="center" wrapText="1" indent="1"/>
    </xf>
    <xf numFmtId="0" fontId="15" fillId="0" borderId="412" xfId="0" applyFont="1" applyBorder="1" applyAlignment="1">
      <alignment horizontal="left" indent="1"/>
    </xf>
    <xf numFmtId="0" fontId="15" fillId="0" borderId="158" xfId="0" applyFont="1" applyBorder="1" applyAlignment="1">
      <alignment horizontal="left" indent="1"/>
    </xf>
    <xf numFmtId="0" fontId="44" fillId="2" borderId="673" xfId="0" applyFont="1" applyFill="1" applyBorder="1" applyAlignment="1">
      <alignment vertical="center" wrapText="1"/>
    </xf>
    <xf numFmtId="0" fontId="38" fillId="0" borderId="162" xfId="0" applyFont="1" applyBorder="1" applyAlignment="1">
      <alignment horizontal="left" vertical="center" wrapText="1" indent="1"/>
    </xf>
    <xf numFmtId="0" fontId="15" fillId="0" borderId="589" xfId="0" applyFont="1" applyBorder="1" applyAlignment="1">
      <alignment horizontal="left" indent="1"/>
    </xf>
    <xf numFmtId="0" fontId="152" fillId="12" borderId="608" xfId="0" applyFont="1" applyFill="1" applyBorder="1" applyAlignment="1">
      <alignment horizontal="center" vertical="center" textRotation="90" wrapText="1"/>
    </xf>
    <xf numFmtId="0" fontId="150" fillId="0" borderId="609" xfId="0" applyFont="1" applyBorder="1"/>
    <xf numFmtId="0" fontId="26" fillId="0" borderId="449" xfId="0" applyFont="1" applyBorder="1" applyAlignment="1">
      <alignment horizontal="left" vertical="center" wrapText="1" indent="1"/>
    </xf>
    <xf numFmtId="0" fontId="15" fillId="0" borderId="591" xfId="0" applyFont="1" applyBorder="1" applyAlignment="1">
      <alignment horizontal="left" indent="1"/>
    </xf>
    <xf numFmtId="0" fontId="126" fillId="4" borderId="163" xfId="0" applyFont="1" applyFill="1" applyBorder="1" applyAlignment="1">
      <alignment horizontal="left" vertical="center" wrapText="1" indent="1"/>
    </xf>
    <xf numFmtId="0" fontId="15" fillId="0" borderId="590" xfId="0" applyFont="1" applyBorder="1" applyAlignment="1">
      <alignment horizontal="left" indent="1"/>
    </xf>
    <xf numFmtId="0" fontId="26" fillId="4" borderId="248" xfId="0" applyFont="1" applyFill="1" applyBorder="1" applyAlignment="1">
      <alignment horizontal="left" vertical="center" wrapText="1" indent="1"/>
    </xf>
    <xf numFmtId="0" fontId="26" fillId="0" borderId="177" xfId="0" applyFont="1" applyBorder="1" applyAlignment="1">
      <alignment horizontal="left" vertical="center" wrapText="1" indent="1"/>
    </xf>
    <xf numFmtId="0" fontId="152" fillId="12" borderId="606" xfId="0" applyFont="1" applyFill="1" applyBorder="1" applyAlignment="1">
      <alignment horizontal="center" vertical="center" textRotation="90" wrapText="1"/>
    </xf>
    <xf numFmtId="0" fontId="150" fillId="0" borderId="604" xfId="0" applyFont="1" applyBorder="1"/>
    <xf numFmtId="0" fontId="150" fillId="0" borderId="607" xfId="0" applyFont="1" applyBorder="1"/>
    <xf numFmtId="0" fontId="47" fillId="4" borderId="0" xfId="0" applyFont="1" applyFill="1" applyAlignment="1">
      <alignment horizontal="center" vertical="center"/>
    </xf>
    <xf numFmtId="1" fontId="117" fillId="0" borderId="177" xfId="0" applyNumberFormat="1" applyFont="1" applyBorder="1" applyAlignment="1">
      <alignment horizontal="center" vertical="center" wrapText="1"/>
    </xf>
    <xf numFmtId="0" fontId="26" fillId="4" borderId="179" xfId="0" applyFont="1" applyFill="1" applyBorder="1" applyAlignment="1">
      <alignment horizontal="left" vertical="center" wrapText="1" indent="1"/>
    </xf>
    <xf numFmtId="0" fontId="126" fillId="0" borderId="423" xfId="0" applyFont="1" applyBorder="1" applyAlignment="1">
      <alignment horizontal="left" vertical="center" wrapText="1" indent="1"/>
    </xf>
    <xf numFmtId="1" fontId="117" fillId="0" borderId="474" xfId="0" applyNumberFormat="1" applyFont="1" applyBorder="1" applyAlignment="1">
      <alignment horizontal="center" vertical="center" wrapText="1"/>
    </xf>
    <xf numFmtId="0" fontId="126" fillId="4" borderId="419" xfId="0" applyFont="1" applyFill="1" applyBorder="1" applyAlignment="1">
      <alignment horizontal="left" vertical="center" wrapText="1" indent="1"/>
    </xf>
    <xf numFmtId="0" fontId="126" fillId="0" borderId="649" xfId="0" applyFont="1" applyBorder="1" applyAlignment="1">
      <alignment horizontal="left" vertical="center" wrapText="1" indent="1"/>
    </xf>
    <xf numFmtId="0" fontId="125" fillId="0" borderId="646" xfId="0" applyFont="1" applyBorder="1" applyAlignment="1">
      <alignment horizontal="left" vertical="center" wrapText="1" indent="1"/>
    </xf>
    <xf numFmtId="0" fontId="140" fillId="0" borderId="646" xfId="0" applyFont="1" applyBorder="1" applyAlignment="1">
      <alignment horizontal="left" indent="1"/>
    </xf>
    <xf numFmtId="0" fontId="140" fillId="0" borderId="648" xfId="0" applyFont="1" applyBorder="1" applyAlignment="1">
      <alignment horizontal="left" indent="1"/>
    </xf>
    <xf numFmtId="0" fontId="27" fillId="0" borderId="649" xfId="0" applyFont="1" applyBorder="1" applyAlignment="1">
      <alignment horizontal="left" vertical="center" wrapText="1" indent="1"/>
    </xf>
    <xf numFmtId="0" fontId="38" fillId="0" borderId="170" xfId="0" applyFont="1" applyBorder="1" applyAlignment="1">
      <alignment horizontal="left" vertical="center" wrapText="1" indent="1"/>
    </xf>
    <xf numFmtId="0" fontId="15" fillId="0" borderId="170" xfId="0" applyFont="1" applyBorder="1" applyAlignment="1">
      <alignment horizontal="left" indent="1"/>
    </xf>
    <xf numFmtId="0" fontId="15" fillId="0" borderId="174" xfId="0" applyFont="1" applyBorder="1" applyAlignment="1">
      <alignment horizontal="left" indent="1"/>
    </xf>
    <xf numFmtId="0" fontId="38" fillId="0" borderId="178" xfId="0" applyFont="1" applyBorder="1" applyAlignment="1">
      <alignment horizontal="left" vertical="center" wrapText="1" indent="1"/>
    </xf>
    <xf numFmtId="0" fontId="26" fillId="0" borderId="646" xfId="0" applyFont="1" applyBorder="1" applyAlignment="1">
      <alignment horizontal="left" vertical="center" wrapText="1"/>
    </xf>
    <xf numFmtId="0" fontId="15" fillId="0" borderId="646" xfId="0" applyFont="1" applyBorder="1"/>
    <xf numFmtId="0" fontId="15" fillId="0" borderId="648" xfId="0" applyFont="1" applyBorder="1"/>
    <xf numFmtId="0" fontId="26" fillId="0" borderId="649" xfId="0" applyFont="1" applyBorder="1" applyAlignment="1">
      <alignment horizontal="left" vertical="center" wrapText="1"/>
    </xf>
    <xf numFmtId="0" fontId="132" fillId="12" borderId="374" xfId="0" applyFont="1" applyFill="1" applyBorder="1" applyAlignment="1">
      <alignment horizontal="left" vertical="center" indent="1"/>
    </xf>
    <xf numFmtId="0" fontId="159" fillId="0" borderId="382" xfId="0" applyFont="1" applyBorder="1" applyAlignment="1">
      <alignment horizontal="left" indent="1"/>
    </xf>
    <xf numFmtId="0" fontId="29" fillId="12" borderId="187" xfId="0" applyFont="1" applyFill="1" applyBorder="1" applyAlignment="1">
      <alignment horizontal="center" vertical="center"/>
    </xf>
    <xf numFmtId="0" fontId="26" fillId="4" borderId="446" xfId="0" applyFont="1" applyFill="1" applyBorder="1" applyAlignment="1">
      <alignment horizontal="left" vertical="center" wrapText="1" indent="1"/>
    </xf>
    <xf numFmtId="0" fontId="132" fillId="12" borderId="418" xfId="0" applyFont="1" applyFill="1" applyBorder="1" applyAlignment="1">
      <alignment horizontal="left" vertical="center" indent="1"/>
    </xf>
    <xf numFmtId="0" fontId="159" fillId="0" borderId="418" xfId="0" applyFont="1" applyBorder="1" applyAlignment="1">
      <alignment horizontal="left" indent="1"/>
    </xf>
    <xf numFmtId="4" fontId="12" fillId="2" borderId="651" xfId="0" applyNumberFormat="1" applyFont="1" applyFill="1" applyBorder="1" applyAlignment="1">
      <alignment horizontal="center" vertical="center" wrapText="1"/>
    </xf>
    <xf numFmtId="0" fontId="15" fillId="0" borderId="651" xfId="0" applyFont="1" applyBorder="1"/>
    <xf numFmtId="0" fontId="15" fillId="0" borderId="655" xfId="0" applyFont="1" applyBorder="1"/>
    <xf numFmtId="4" fontId="136" fillId="2" borderId="651" xfId="0" applyNumberFormat="1" applyFont="1" applyFill="1" applyBorder="1" applyAlignment="1">
      <alignment horizontal="left" vertical="center" wrapText="1" indent="1"/>
    </xf>
    <xf numFmtId="0" fontId="26" fillId="4" borderId="419" xfId="0" applyFont="1" applyFill="1" applyBorder="1" applyAlignment="1">
      <alignment horizontal="left" vertical="center" wrapText="1" indent="1"/>
    </xf>
    <xf numFmtId="0" fontId="126" fillId="0" borderId="182" xfId="0" applyFont="1" applyBorder="1" applyAlignment="1">
      <alignment horizontal="left" vertical="center" wrapText="1" indent="1"/>
    </xf>
    <xf numFmtId="0" fontId="26" fillId="0" borderId="183" xfId="0" applyFont="1" applyBorder="1" applyAlignment="1">
      <alignment horizontal="left" vertical="center" wrapText="1" indent="1"/>
    </xf>
    <xf numFmtId="0" fontId="15" fillId="0" borderId="180" xfId="0" applyFont="1" applyBorder="1" applyAlignment="1">
      <alignment horizontal="left" indent="1"/>
    </xf>
    <xf numFmtId="0" fontId="15" fillId="0" borderId="181" xfId="0" applyFont="1" applyBorder="1" applyAlignment="1">
      <alignment horizontal="left" indent="1"/>
    </xf>
    <xf numFmtId="0" fontId="125" fillId="0" borderId="581" xfId="0" applyFont="1" applyBorder="1" applyAlignment="1">
      <alignment horizontal="left" indent="1"/>
    </xf>
    <xf numFmtId="0" fontId="125" fillId="0" borderId="628" xfId="0" applyFont="1" applyBorder="1" applyAlignment="1">
      <alignment horizontal="left" indent="1"/>
    </xf>
    <xf numFmtId="1" fontId="117" fillId="4" borderId="634" xfId="0" applyNumberFormat="1" applyFont="1" applyFill="1" applyBorder="1" applyAlignment="1">
      <alignment horizontal="center" vertical="center" wrapText="1"/>
    </xf>
    <xf numFmtId="0" fontId="126" fillId="4" borderId="780" xfId="0" applyFont="1" applyFill="1" applyBorder="1" applyAlignment="1">
      <alignment horizontal="left" vertical="center" wrapText="1" indent="1"/>
    </xf>
    <xf numFmtId="0" fontId="125" fillId="0" borderId="778" xfId="0" applyFont="1" applyBorder="1" applyAlignment="1">
      <alignment horizontal="left" indent="1"/>
    </xf>
    <xf numFmtId="0" fontId="125" fillId="0" borderId="781" xfId="0" applyFont="1" applyBorder="1" applyAlignment="1">
      <alignment horizontal="left" indent="1"/>
    </xf>
    <xf numFmtId="0" fontId="14" fillId="4" borderId="770" xfId="0" applyFont="1" applyFill="1" applyBorder="1" applyAlignment="1">
      <alignment horizontal="left" vertical="center" wrapText="1"/>
    </xf>
    <xf numFmtId="0" fontId="15" fillId="0" borderId="767" xfId="0" applyFont="1" applyBorder="1"/>
    <xf numFmtId="0" fontId="15" fillId="0" borderId="772" xfId="0" applyFont="1" applyBorder="1"/>
    <xf numFmtId="0" fontId="134" fillId="4" borderId="634" xfId="0" applyFont="1" applyFill="1" applyBorder="1" applyAlignment="1">
      <alignment horizontal="left" vertical="center" wrapText="1" indent="1"/>
    </xf>
    <xf numFmtId="0" fontId="126" fillId="4" borderId="774" xfId="0" applyFont="1" applyFill="1" applyBorder="1" applyAlignment="1">
      <alignment horizontal="left" vertical="center" wrapText="1" indent="1"/>
    </xf>
    <xf numFmtId="0" fontId="125" fillId="0" borderId="631" xfId="0" applyFont="1" applyBorder="1" applyAlignment="1">
      <alignment horizontal="left" indent="1"/>
    </xf>
    <xf numFmtId="1" fontId="117" fillId="4" borderId="774" xfId="0" applyNumberFormat="1" applyFont="1" applyFill="1" applyBorder="1" applyAlignment="1">
      <alignment horizontal="center" vertical="center" wrapText="1"/>
    </xf>
    <xf numFmtId="0" fontId="126" fillId="4" borderId="784" xfId="0" applyFont="1" applyFill="1" applyBorder="1" applyAlignment="1">
      <alignment horizontal="left" vertical="center" wrapText="1" indent="1"/>
    </xf>
    <xf numFmtId="0" fontId="125" fillId="0" borderId="779" xfId="0" applyFont="1" applyBorder="1" applyAlignment="1">
      <alignment horizontal="left" indent="1"/>
    </xf>
    <xf numFmtId="0" fontId="14" fillId="4" borderId="775" xfId="0" applyFont="1" applyFill="1" applyBorder="1" applyAlignment="1">
      <alignment horizontal="left" vertical="center" wrapText="1"/>
    </xf>
    <xf numFmtId="0" fontId="15" fillId="0" borderId="769" xfId="0" applyFont="1" applyBorder="1"/>
    <xf numFmtId="0" fontId="134" fillId="4" borderId="774" xfId="0" applyFont="1" applyFill="1" applyBorder="1" applyAlignment="1">
      <alignment horizontal="left" vertical="center" wrapText="1" indent="1"/>
    </xf>
    <xf numFmtId="0" fontId="125" fillId="0" borderId="622" xfId="0" applyFont="1" applyBorder="1" applyAlignment="1">
      <alignment horizontal="left" indent="1"/>
    </xf>
    <xf numFmtId="0" fontId="126" fillId="4" borderId="782" xfId="0" applyFont="1" applyFill="1" applyBorder="1" applyAlignment="1">
      <alignment horizontal="left" vertical="center" wrapText="1" indent="1"/>
    </xf>
    <xf numFmtId="0" fontId="125" fillId="0" borderId="783" xfId="0" applyFont="1" applyBorder="1" applyAlignment="1">
      <alignment horizontal="left" indent="1"/>
    </xf>
    <xf numFmtId="0" fontId="14" fillId="4" borderId="771" xfId="0" applyFont="1" applyFill="1" applyBorder="1" applyAlignment="1">
      <alignment horizontal="left" vertical="center" wrapText="1"/>
    </xf>
    <xf numFmtId="0" fontId="15" fillId="0" borderId="768" xfId="0" applyFont="1" applyBorder="1"/>
    <xf numFmtId="0" fontId="132" fillId="12" borderId="792" xfId="0" applyFont="1" applyFill="1" applyBorder="1" applyAlignment="1">
      <alignment horizontal="left" vertical="center" indent="1"/>
    </xf>
    <xf numFmtId="0" fontId="157" fillId="0" borderId="467" xfId="0" applyFont="1" applyBorder="1" applyAlignment="1">
      <alignment horizontal="left" indent="1"/>
    </xf>
    <xf numFmtId="0" fontId="29" fillId="12" borderId="466" xfId="0" applyFont="1" applyFill="1" applyBorder="1" applyAlignment="1">
      <alignment horizontal="center" vertical="center"/>
    </xf>
    <xf numFmtId="0" fontId="15" fillId="0" borderId="467" xfId="0" applyFont="1" applyBorder="1"/>
    <xf numFmtId="0" fontId="15" fillId="0" borderId="695" xfId="0" applyFont="1" applyBorder="1"/>
    <xf numFmtId="1" fontId="117" fillId="4" borderId="625" xfId="0" applyNumberFormat="1" applyFont="1" applyFill="1" applyBorder="1" applyAlignment="1">
      <alignment horizontal="center" vertical="center" wrapText="1"/>
    </xf>
    <xf numFmtId="0" fontId="11" fillId="12" borderId="467" xfId="0" applyFont="1" applyFill="1" applyBorder="1" applyAlignment="1">
      <alignment horizontal="center" vertical="center"/>
    </xf>
    <xf numFmtId="0" fontId="134" fillId="4" borderId="624" xfId="0" applyFont="1" applyFill="1" applyBorder="1" applyAlignment="1">
      <alignment horizontal="left" vertical="center" wrapText="1" indent="1"/>
    </xf>
    <xf numFmtId="0" fontId="125" fillId="0" borderId="619" xfId="0" applyFont="1" applyBorder="1" applyAlignment="1">
      <alignment horizontal="left" indent="1"/>
    </xf>
    <xf numFmtId="0" fontId="125" fillId="0" borderId="621" xfId="0" applyFont="1" applyBorder="1" applyAlignment="1">
      <alignment horizontal="left" indent="1"/>
    </xf>
    <xf numFmtId="0" fontId="134" fillId="4" borderId="625" xfId="0" applyFont="1" applyFill="1" applyBorder="1" applyAlignment="1">
      <alignment horizontal="left" vertical="center" wrapText="1" indent="1"/>
    </xf>
    <xf numFmtId="0" fontId="117" fillId="4" borderId="625" xfId="0" applyFont="1" applyFill="1" applyBorder="1" applyAlignment="1">
      <alignment horizontal="center" vertical="center" wrapText="1"/>
    </xf>
    <xf numFmtId="0" fontId="126" fillId="4" borderId="777" xfId="0" applyFont="1" applyFill="1" applyBorder="1" applyAlignment="1">
      <alignment horizontal="left" vertical="center" wrapText="1" indent="1"/>
    </xf>
    <xf numFmtId="0" fontId="14" fillId="4" borderId="766" xfId="0" applyFont="1" applyFill="1" applyBorder="1" applyAlignment="1">
      <alignment horizontal="left" vertical="center" wrapText="1"/>
    </xf>
    <xf numFmtId="1" fontId="117" fillId="4" borderId="615" xfId="0" applyNumberFormat="1" applyFont="1" applyFill="1" applyBorder="1" applyAlignment="1">
      <alignment horizontal="center" vertical="center" wrapText="1"/>
    </xf>
    <xf numFmtId="2" fontId="126" fillId="4" borderId="774" xfId="0" applyNumberFormat="1" applyFont="1" applyFill="1" applyBorder="1" applyAlignment="1">
      <alignment horizontal="left" vertical="center" wrapText="1" indent="1"/>
    </xf>
    <xf numFmtId="0" fontId="137" fillId="0" borderId="202" xfId="0" applyFont="1" applyBorder="1" applyAlignment="1">
      <alignment horizontal="left" vertical="center" wrapText="1" indent="1"/>
    </xf>
    <xf numFmtId="0" fontId="125" fillId="0" borderId="203" xfId="0" applyFont="1" applyBorder="1" applyAlignment="1">
      <alignment horizontal="left" indent="1"/>
    </xf>
    <xf numFmtId="170" fontId="179" fillId="0" borderId="18" xfId="0" applyNumberFormat="1" applyFont="1" applyBorder="1" applyAlignment="1">
      <alignment horizontal="center" vertical="center"/>
    </xf>
    <xf numFmtId="0" fontId="175" fillId="0" borderId="0" xfId="0" applyFont="1" applyAlignment="1"/>
    <xf numFmtId="0" fontId="176" fillId="0" borderId="76" xfId="0" applyFont="1" applyBorder="1"/>
    <xf numFmtId="0" fontId="29" fillId="12" borderId="467" xfId="0" applyFont="1" applyFill="1" applyBorder="1" applyAlignment="1">
      <alignment horizontal="center" vertical="center"/>
    </xf>
    <xf numFmtId="0" fontId="118" fillId="0" borderId="673" xfId="0" applyFont="1" applyBorder="1" applyAlignment="1">
      <alignment horizontal="left" indent="1"/>
    </xf>
    <xf numFmtId="0" fontId="14" fillId="4" borderId="771" xfId="0" applyFont="1" applyFill="1" applyBorder="1" applyAlignment="1">
      <alignment horizontal="left" vertical="center"/>
    </xf>
    <xf numFmtId="0" fontId="132" fillId="12" borderId="467" xfId="0" applyFont="1" applyFill="1" applyBorder="1" applyAlignment="1">
      <alignment horizontal="left" vertical="center" indent="1"/>
    </xf>
    <xf numFmtId="0" fontId="159" fillId="0" borderId="467" xfId="0" applyFont="1" applyBorder="1" applyAlignment="1">
      <alignment horizontal="left" indent="1"/>
    </xf>
    <xf numFmtId="0" fontId="152" fillId="2" borderId="647" xfId="0" applyFont="1" applyFill="1" applyBorder="1" applyAlignment="1">
      <alignment horizontal="center" vertical="center" textRotation="90" wrapText="1"/>
    </xf>
    <xf numFmtId="0" fontId="150" fillId="0" borderId="647" xfId="0" applyFont="1" applyBorder="1"/>
    <xf numFmtId="0" fontId="134" fillId="4" borderId="617" xfId="0" applyFont="1" applyFill="1" applyBorder="1" applyAlignment="1">
      <alignment horizontal="left" vertical="center" wrapText="1" indent="1"/>
    </xf>
    <xf numFmtId="0" fontId="125" fillId="0" borderId="630" xfId="0" applyFont="1" applyBorder="1" applyAlignment="1">
      <alignment horizontal="left" indent="1"/>
    </xf>
    <xf numFmtId="0" fontId="0" fillId="0" borderId="467" xfId="0" applyFont="1" applyBorder="1" applyAlignment="1"/>
    <xf numFmtId="0" fontId="117" fillId="4" borderId="625" xfId="0" applyFont="1" applyFill="1" applyBorder="1" applyAlignment="1">
      <alignment horizontal="center" vertical="center"/>
    </xf>
    <xf numFmtId="0" fontId="11" fillId="12" borderId="467" xfId="0" applyFont="1" applyFill="1" applyBorder="1" applyAlignment="1">
      <alignment horizontal="left" vertical="center"/>
    </xf>
    <xf numFmtId="0" fontId="150" fillId="0" borderId="601" xfId="0" applyFont="1" applyBorder="1"/>
    <xf numFmtId="0" fontId="152" fillId="12" borderId="656" xfId="0" applyFont="1" applyFill="1" applyBorder="1" applyAlignment="1">
      <alignment horizontal="center" vertical="center" textRotation="90" wrapText="1"/>
    </xf>
    <xf numFmtId="0" fontId="134" fillId="4" borderId="633" xfId="0" applyFont="1" applyFill="1" applyBorder="1" applyAlignment="1">
      <alignment horizontal="left" vertical="center" wrapText="1" indent="1"/>
    </xf>
    <xf numFmtId="0" fontId="125" fillId="0" borderId="627" xfId="0" applyFont="1" applyBorder="1" applyAlignment="1">
      <alignment horizontal="left" indent="1"/>
    </xf>
    <xf numFmtId="0" fontId="134" fillId="4" borderId="773" xfId="0" applyFont="1" applyFill="1" applyBorder="1" applyAlignment="1">
      <alignment horizontal="left" vertical="center" wrapText="1" indent="1"/>
    </xf>
    <xf numFmtId="3" fontId="117" fillId="4" borderId="625" xfId="0" applyNumberFormat="1" applyFont="1" applyFill="1" applyBorder="1" applyAlignment="1">
      <alignment horizontal="center" vertical="center" wrapText="1"/>
    </xf>
    <xf numFmtId="0" fontId="134" fillId="4" borderId="615" xfId="0" applyFont="1" applyFill="1" applyBorder="1" applyAlignment="1">
      <alignment horizontal="left" vertical="center" wrapText="1" indent="1"/>
    </xf>
    <xf numFmtId="0" fontId="126" fillId="4" borderId="798" xfId="0" applyFont="1" applyFill="1" applyBorder="1" applyAlignment="1">
      <alignment horizontal="left" vertical="center" wrapText="1" indent="1"/>
    </xf>
    <xf numFmtId="0" fontId="126" fillId="4" borderId="799" xfId="0" applyFont="1" applyFill="1" applyBorder="1" applyAlignment="1">
      <alignment horizontal="left" vertical="center" wrapText="1" indent="1"/>
    </xf>
    <xf numFmtId="0" fontId="126" fillId="4" borderId="800" xfId="0" applyFont="1" applyFill="1" applyBorder="1" applyAlignment="1">
      <alignment horizontal="left" vertical="center" wrapText="1" indent="1"/>
    </xf>
    <xf numFmtId="1" fontId="117" fillId="4" borderId="798" xfId="0" applyNumberFormat="1" applyFont="1" applyFill="1" applyBorder="1" applyAlignment="1">
      <alignment horizontal="center" vertical="center" wrapText="1"/>
    </xf>
    <xf numFmtId="1" fontId="117" fillId="4" borderId="799" xfId="0" applyNumberFormat="1" applyFont="1" applyFill="1" applyBorder="1" applyAlignment="1">
      <alignment horizontal="center" vertical="center" wrapText="1"/>
    </xf>
    <xf numFmtId="1" fontId="117" fillId="4" borderId="800" xfId="0" applyNumberFormat="1" applyFont="1" applyFill="1" applyBorder="1" applyAlignment="1">
      <alignment horizontal="center" vertical="center" wrapText="1"/>
    </xf>
    <xf numFmtId="0" fontId="126" fillId="4" borderId="798" xfId="0" quotePrefix="1" applyFont="1" applyFill="1" applyBorder="1" applyAlignment="1">
      <alignment horizontal="left" vertical="center" wrapText="1" indent="1"/>
    </xf>
    <xf numFmtId="0" fontId="126" fillId="4" borderId="799" xfId="0" quotePrefix="1" applyFont="1" applyFill="1" applyBorder="1" applyAlignment="1">
      <alignment horizontal="left" vertical="center" wrapText="1" indent="1"/>
    </xf>
    <xf numFmtId="0" fontId="126" fillId="4" borderId="800" xfId="0" quotePrefix="1" applyFont="1" applyFill="1" applyBorder="1" applyAlignment="1">
      <alignment horizontal="left" vertical="center" wrapText="1" indent="1"/>
    </xf>
    <xf numFmtId="0" fontId="126" fillId="4" borderId="801" xfId="0" applyFont="1" applyFill="1" applyBorder="1" applyAlignment="1">
      <alignment horizontal="left" vertical="center" wrapText="1" indent="1"/>
    </xf>
    <xf numFmtId="0" fontId="126" fillId="4" borderId="802" xfId="0" applyFont="1" applyFill="1" applyBorder="1" applyAlignment="1">
      <alignment horizontal="left" vertical="center" wrapText="1" indent="1"/>
    </xf>
    <xf numFmtId="0" fontId="126" fillId="4" borderId="803" xfId="0" applyFont="1" applyFill="1" applyBorder="1" applyAlignment="1">
      <alignment horizontal="left" vertical="center" wrapText="1" indent="1"/>
    </xf>
    <xf numFmtId="0" fontId="134" fillId="4" borderId="795" xfId="0" applyFont="1" applyFill="1" applyBorder="1" applyAlignment="1">
      <alignment horizontal="left" vertical="center" wrapText="1" indent="1"/>
    </xf>
    <xf numFmtId="0" fontId="134" fillId="4" borderId="796" xfId="0" applyFont="1" applyFill="1" applyBorder="1" applyAlignment="1">
      <alignment horizontal="left" vertical="center" wrapText="1" indent="1"/>
    </xf>
    <xf numFmtId="0" fontId="134" fillId="4" borderId="797" xfId="0" applyFont="1" applyFill="1" applyBorder="1" applyAlignment="1">
      <alignment horizontal="left" vertical="center" wrapText="1" indent="1"/>
    </xf>
    <xf numFmtId="0" fontId="134" fillId="4" borderId="798" xfId="0" applyFont="1" applyFill="1" applyBorder="1" applyAlignment="1">
      <alignment horizontal="left" vertical="center" wrapText="1" indent="1"/>
    </xf>
    <xf numFmtId="0" fontId="134" fillId="4" borderId="799" xfId="0" applyFont="1" applyFill="1" applyBorder="1" applyAlignment="1">
      <alignment horizontal="left" vertical="center" wrapText="1" indent="1"/>
    </xf>
    <xf numFmtId="0" fontId="134" fillId="4" borderId="800" xfId="0" applyFont="1" applyFill="1" applyBorder="1" applyAlignment="1">
      <alignment horizontal="left" vertical="center" wrapText="1" indent="1"/>
    </xf>
    <xf numFmtId="0" fontId="15" fillId="0" borderId="374" xfId="0" applyFont="1" applyBorder="1" applyAlignment="1">
      <alignment horizontal="left" indent="1"/>
    </xf>
    <xf numFmtId="0" fontId="126" fillId="4" borderId="375" xfId="0" applyFont="1" applyFill="1" applyBorder="1" applyAlignment="1">
      <alignment horizontal="left" vertical="center" wrapText="1" indent="1"/>
    </xf>
    <xf numFmtId="0" fontId="26" fillId="0" borderId="688" xfId="0" applyFont="1" applyBorder="1" applyAlignment="1">
      <alignment horizontal="left" vertical="center" wrapText="1" indent="1"/>
    </xf>
    <xf numFmtId="0" fontId="15" fillId="0" borderId="688" xfId="0" applyFont="1" applyBorder="1" applyAlignment="1">
      <alignment horizontal="left" indent="1"/>
    </xf>
    <xf numFmtId="0" fontId="15" fillId="0" borderId="689" xfId="0" applyFont="1" applyBorder="1" applyAlignment="1">
      <alignment horizontal="left" indent="1"/>
    </xf>
    <xf numFmtId="0" fontId="15" fillId="0" borderId="694" xfId="0" applyFont="1" applyBorder="1" applyAlignment="1">
      <alignment horizontal="left" indent="1"/>
    </xf>
    <xf numFmtId="49" fontId="136" fillId="2" borderId="651" xfId="0" applyNumberFormat="1" applyFont="1" applyFill="1" applyBorder="1" applyAlignment="1">
      <alignment horizontal="left" vertical="center" indent="1"/>
    </xf>
    <xf numFmtId="0" fontId="26" fillId="0" borderId="687" xfId="0" applyFont="1" applyBorder="1" applyAlignment="1">
      <alignment horizontal="left" vertical="center" wrapText="1" indent="1"/>
    </xf>
    <xf numFmtId="0" fontId="15" fillId="0" borderId="807" xfId="0" applyFont="1" applyBorder="1" applyAlignment="1">
      <alignment horizontal="left" indent="1"/>
    </xf>
    <xf numFmtId="0" fontId="15" fillId="0" borderId="573" xfId="0" applyFont="1" applyBorder="1" applyAlignment="1">
      <alignment horizontal="left" indent="1"/>
    </xf>
    <xf numFmtId="0" fontId="15" fillId="0" borderId="693" xfId="0" applyFont="1" applyBorder="1" applyAlignment="1">
      <alignment horizontal="left" indent="1"/>
    </xf>
    <xf numFmtId="0" fontId="134" fillId="4" borderId="375" xfId="0" applyFont="1" applyFill="1" applyBorder="1" applyAlignment="1">
      <alignment horizontal="left" vertical="center" wrapText="1" indent="1"/>
    </xf>
    <xf numFmtId="0" fontId="126" fillId="0" borderId="687" xfId="0" applyFont="1" applyBorder="1" applyAlignment="1">
      <alignment horizontal="left" vertical="center" wrapText="1" indent="1"/>
    </xf>
    <xf numFmtId="9" fontId="117" fillId="0" borderId="248" xfId="0" applyNumberFormat="1" applyFont="1" applyBorder="1" applyAlignment="1">
      <alignment horizontal="center" vertical="center" wrapText="1"/>
    </xf>
    <xf numFmtId="0" fontId="26" fillId="0" borderId="211" xfId="0" applyFont="1" applyBorder="1" applyAlignment="1">
      <alignment horizontal="left" vertical="center" wrapText="1" indent="1"/>
    </xf>
    <xf numFmtId="0" fontId="15" fillId="0" borderId="211" xfId="0" applyFont="1" applyBorder="1" applyAlignment="1">
      <alignment horizontal="left" indent="1"/>
    </xf>
    <xf numFmtId="0" fontId="15" fillId="0" borderId="810" xfId="0" applyFont="1" applyBorder="1" applyAlignment="1">
      <alignment horizontal="left" indent="1"/>
    </xf>
    <xf numFmtId="9" fontId="117" fillId="0" borderId="566" xfId="0" applyNumberFormat="1" applyFont="1" applyBorder="1" applyAlignment="1">
      <alignment horizontal="center" vertical="center" wrapText="1"/>
    </xf>
    <xf numFmtId="0" fontId="26" fillId="0" borderId="812" xfId="0" applyFont="1" applyBorder="1" applyAlignment="1">
      <alignment horizontal="left" vertical="center" wrapText="1" indent="1"/>
    </xf>
    <xf numFmtId="0" fontId="126" fillId="0" borderId="692" xfId="0" applyFont="1" applyBorder="1" applyAlignment="1">
      <alignment horizontal="left" vertical="center" wrapText="1" indent="1"/>
    </xf>
    <xf numFmtId="0" fontId="15" fillId="0" borderId="285" xfId="0" applyFont="1" applyBorder="1" applyAlignment="1">
      <alignment horizontal="left" indent="1"/>
    </xf>
    <xf numFmtId="0" fontId="38" fillId="0" borderId="811" xfId="0" applyFont="1" applyBorder="1" applyAlignment="1">
      <alignment horizontal="left" vertical="center" wrapText="1" indent="1"/>
    </xf>
    <xf numFmtId="0" fontId="15" fillId="0" borderId="219" xfId="0" applyFont="1" applyBorder="1" applyAlignment="1">
      <alignment horizontal="left" indent="1"/>
    </xf>
    <xf numFmtId="0" fontId="152" fillId="2" borderId="645" xfId="0" applyFont="1" applyFill="1" applyBorder="1" applyAlignment="1">
      <alignment horizontal="center" vertical="center" textRotation="90" wrapText="1"/>
    </xf>
    <xf numFmtId="0" fontId="152" fillId="12" borderId="310" xfId="0" applyFont="1" applyFill="1" applyBorder="1" applyAlignment="1">
      <alignment horizontal="center" vertical="center" textRotation="90" wrapText="1"/>
    </xf>
    <xf numFmtId="0" fontId="150" fillId="0" borderId="382" xfId="0" applyFont="1" applyBorder="1"/>
    <xf numFmtId="0" fontId="152" fillId="2" borderId="640" xfId="0" applyFont="1" applyFill="1" applyBorder="1" applyAlignment="1">
      <alignment horizontal="center" vertical="center" textRotation="90" wrapText="1"/>
    </xf>
    <xf numFmtId="0" fontId="150" fillId="0" borderId="637" xfId="0" applyFont="1" applyBorder="1"/>
    <xf numFmtId="0" fontId="150" fillId="0" borderId="638" xfId="0" applyFont="1" applyBorder="1"/>
    <xf numFmtId="0" fontId="150" fillId="0" borderId="565" xfId="0" applyFont="1" applyBorder="1"/>
    <xf numFmtId="0" fontId="38" fillId="0" borderId="415" xfId="0" applyFont="1" applyBorder="1" applyAlignment="1">
      <alignment horizontal="left" vertical="center" wrapText="1" indent="1"/>
    </xf>
    <xf numFmtId="0" fontId="38" fillId="0" borderId="163" xfId="0" applyFont="1" applyBorder="1" applyAlignment="1">
      <alignment horizontal="left" vertical="center" wrapText="1" indent="1"/>
    </xf>
    <xf numFmtId="0" fontId="38" fillId="0" borderId="639" xfId="0" applyFont="1" applyBorder="1" applyAlignment="1">
      <alignment horizontal="left" vertical="center" wrapText="1" indent="1"/>
    </xf>
    <xf numFmtId="1" fontId="56" fillId="0" borderId="179" xfId="0" applyNumberFormat="1" applyFont="1" applyBorder="1" applyAlignment="1">
      <alignment horizontal="center" vertical="center" wrapText="1"/>
    </xf>
    <xf numFmtId="0" fontId="15" fillId="0" borderId="248" xfId="0" applyFont="1" applyBorder="1"/>
    <xf numFmtId="0" fontId="15" fillId="0" borderId="177" xfId="0" applyFont="1" applyBorder="1"/>
    <xf numFmtId="0" fontId="26" fillId="0" borderId="163" xfId="0" applyFont="1" applyBorder="1" applyAlignment="1">
      <alignment horizontal="left" vertical="center" wrapText="1" indent="1"/>
    </xf>
    <xf numFmtId="0" fontId="134" fillId="0" borderId="163" xfId="0" applyFont="1" applyBorder="1" applyAlignment="1">
      <alignment horizontal="left" vertical="center" wrapText="1" indent="1"/>
    </xf>
    <xf numFmtId="0" fontId="38" fillId="0" borderId="423" xfId="0" applyFont="1" applyBorder="1" applyAlignment="1">
      <alignment horizontal="left" vertical="center" wrapText="1" indent="1"/>
    </xf>
    <xf numFmtId="0" fontId="26" fillId="0" borderId="423" xfId="0" applyFont="1" applyBorder="1" applyAlignment="1">
      <alignment horizontal="left" vertical="center" wrapText="1" indent="1"/>
    </xf>
    <xf numFmtId="0" fontId="115" fillId="0" borderId="753" xfId="0" applyFont="1" applyBorder="1" applyAlignment="1">
      <alignment horizontal="left" vertical="center" wrapText="1" indent="1"/>
    </xf>
    <xf numFmtId="0" fontId="125" fillId="0" borderId="754" xfId="0" applyFont="1" applyBorder="1" applyAlignment="1">
      <alignment horizontal="left" indent="1"/>
    </xf>
    <xf numFmtId="0" fontId="115" fillId="0" borderId="756" xfId="0" applyFont="1" applyBorder="1" applyAlignment="1">
      <alignment horizontal="left" vertical="center" wrapText="1" indent="1"/>
    </xf>
    <xf numFmtId="0" fontId="125" fillId="0" borderId="757" xfId="0" applyFont="1" applyBorder="1" applyAlignment="1">
      <alignment horizontal="left" indent="1"/>
    </xf>
    <xf numFmtId="0" fontId="116" fillId="0" borderId="756" xfId="0" applyFont="1" applyBorder="1" applyAlignment="1">
      <alignment horizontal="left" vertical="center" indent="1"/>
    </xf>
    <xf numFmtId="0" fontId="26" fillId="4" borderId="649" xfId="0" applyFont="1" applyFill="1" applyBorder="1" applyAlignment="1">
      <alignment horizontal="left" vertical="center" wrapText="1"/>
    </xf>
    <xf numFmtId="0" fontId="29" fillId="12" borderId="238" xfId="0" applyFont="1" applyFill="1" applyBorder="1" applyAlignment="1">
      <alignment horizontal="center" vertical="center"/>
    </xf>
    <xf numFmtId="0" fontId="15" fillId="0" borderId="418" xfId="0" applyFont="1" applyBorder="1"/>
    <xf numFmtId="0" fontId="15" fillId="0" borderId="650" xfId="0" applyFont="1" applyBorder="1"/>
    <xf numFmtId="4" fontId="54" fillId="2" borderId="651" xfId="0" applyNumberFormat="1" applyFont="1" applyFill="1" applyBorder="1" applyAlignment="1">
      <alignment horizontal="left" vertical="center" wrapText="1" indent="1"/>
    </xf>
    <xf numFmtId="0" fontId="15" fillId="0" borderId="651" xfId="0" applyFont="1" applyBorder="1" applyAlignment="1">
      <alignment horizontal="left" indent="1"/>
    </xf>
    <xf numFmtId="4" fontId="45" fillId="2" borderId="654" xfId="0" applyNumberFormat="1" applyFont="1" applyFill="1" applyBorder="1" applyAlignment="1">
      <alignment horizontal="center" vertical="center" wrapText="1"/>
    </xf>
    <xf numFmtId="0" fontId="26" fillId="4" borderId="646" xfId="0" applyFont="1" applyFill="1" applyBorder="1" applyAlignment="1">
      <alignment horizontal="left" vertical="center" wrapText="1"/>
    </xf>
    <xf numFmtId="0" fontId="15" fillId="0" borderId="707" xfId="0" applyFont="1" applyBorder="1"/>
    <xf numFmtId="0" fontId="26" fillId="4" borderId="644" xfId="0" applyFont="1" applyFill="1" applyBorder="1" applyAlignment="1">
      <alignment horizontal="left" vertical="center" wrapText="1"/>
    </xf>
    <xf numFmtId="0" fontId="15" fillId="0" borderId="641" xfId="0" applyFont="1" applyBorder="1"/>
    <xf numFmtId="0" fontId="15" fillId="0" borderId="643" xfId="0" applyFont="1" applyBorder="1"/>
    <xf numFmtId="0" fontId="11" fillId="2" borderId="610" xfId="0" applyFont="1" applyFill="1" applyBorder="1" applyAlignment="1">
      <alignment horizontal="center" vertical="center"/>
    </xf>
    <xf numFmtId="0" fontId="15" fillId="0" borderId="611" xfId="0" applyFont="1" applyBorder="1"/>
    <xf numFmtId="0" fontId="29" fillId="2" borderId="819" xfId="0" applyFont="1" applyFill="1" applyBorder="1" applyAlignment="1">
      <alignment horizontal="center" vertical="center"/>
    </xf>
    <xf numFmtId="0" fontId="115" fillId="0" borderId="753" xfId="0" applyFont="1" applyBorder="1" applyAlignment="1">
      <alignment horizontal="left" vertical="center" indent="1"/>
    </xf>
    <xf numFmtId="0" fontId="15" fillId="0" borderId="817" xfId="0" applyFont="1" applyBorder="1"/>
    <xf numFmtId="0" fontId="26" fillId="4" borderId="641" xfId="0" applyFont="1" applyFill="1" applyBorder="1" applyAlignment="1">
      <alignment horizontal="left" vertical="center" wrapText="1"/>
    </xf>
    <xf numFmtId="0" fontId="15" fillId="0" borderId="642" xfId="0" applyFont="1" applyBorder="1"/>
    <xf numFmtId="0" fontId="126" fillId="0" borderId="224" xfId="0" applyFont="1" applyBorder="1" applyAlignment="1">
      <alignment horizontal="left" vertical="center" wrapText="1" indent="1"/>
    </xf>
    <xf numFmtId="0" fontId="15" fillId="0" borderId="224" xfId="0" applyFont="1" applyBorder="1" applyAlignment="1">
      <alignment horizontal="left" indent="1"/>
    </xf>
    <xf numFmtId="0" fontId="26" fillId="0" borderId="224" xfId="0" applyFont="1" applyBorder="1" applyAlignment="1">
      <alignment horizontal="left" vertical="center" wrapText="1" indent="1"/>
    </xf>
    <xf numFmtId="1" fontId="56" fillId="0" borderId="248" xfId="0" applyNumberFormat="1" applyFont="1" applyBorder="1" applyAlignment="1">
      <alignment horizontal="center" vertical="center" wrapText="1"/>
    </xf>
    <xf numFmtId="0" fontId="126" fillId="0" borderId="225" xfId="0" applyFont="1" applyBorder="1" applyAlignment="1">
      <alignment horizontal="left" vertical="center" wrapText="1" indent="1"/>
    </xf>
    <xf numFmtId="0" fontId="15" fillId="0" borderId="226" xfId="0" applyFont="1" applyBorder="1" applyAlignment="1">
      <alignment horizontal="left" indent="1"/>
    </xf>
    <xf numFmtId="0" fontId="26" fillId="0" borderId="225" xfId="0" applyFont="1" applyBorder="1" applyAlignment="1">
      <alignment horizontal="left" vertical="center" wrapText="1" indent="1"/>
    </xf>
    <xf numFmtId="0" fontId="38" fillId="4" borderId="179" xfId="0" applyFont="1" applyFill="1" applyBorder="1" applyAlignment="1">
      <alignment horizontal="left" vertical="center" wrapText="1" indent="1"/>
    </xf>
    <xf numFmtId="0" fontId="38" fillId="4" borderId="163" xfId="0" applyFont="1" applyFill="1" applyBorder="1" applyAlignment="1">
      <alignment horizontal="left" vertical="center" wrapText="1" indent="1"/>
    </xf>
    <xf numFmtId="0" fontId="152" fillId="12" borderId="637" xfId="0" applyFont="1" applyFill="1" applyBorder="1" applyAlignment="1">
      <alignment horizontal="center" vertical="center" textRotation="90" wrapText="1"/>
    </xf>
    <xf numFmtId="0" fontId="152" fillId="2" borderId="682" xfId="0" applyFont="1" applyFill="1" applyBorder="1" applyAlignment="1">
      <alignment horizontal="center" vertical="center" textRotation="90" wrapText="1"/>
    </xf>
    <xf numFmtId="0" fontId="26" fillId="0" borderId="474" xfId="0" applyFont="1" applyBorder="1" applyAlignment="1">
      <alignment horizontal="left" vertical="center" wrapText="1" indent="1"/>
    </xf>
    <xf numFmtId="0" fontId="38" fillId="4" borderId="415" xfId="0" applyFont="1" applyFill="1" applyBorder="1" applyAlignment="1">
      <alignment horizontal="left" vertical="center" wrapText="1" indent="1"/>
    </xf>
    <xf numFmtId="0" fontId="38" fillId="4" borderId="248" xfId="0" applyFont="1" applyFill="1" applyBorder="1" applyAlignment="1">
      <alignment horizontal="left" vertical="center" wrapText="1" indent="1"/>
    </xf>
    <xf numFmtId="0" fontId="134" fillId="4" borderId="163" xfId="0" applyFont="1" applyFill="1" applyBorder="1" applyAlignment="1">
      <alignment horizontal="left" vertical="center" wrapText="1" indent="1"/>
    </xf>
    <xf numFmtId="0" fontId="38" fillId="0" borderId="486" xfId="0" applyFont="1" applyBorder="1" applyAlignment="1">
      <alignment horizontal="left" vertical="center" wrapText="1" indent="1"/>
    </xf>
    <xf numFmtId="0" fontId="26" fillId="28" borderId="248" xfId="0" applyFont="1" applyFill="1" applyBorder="1" applyAlignment="1">
      <alignment horizontal="left" vertical="center" wrapText="1" indent="1"/>
    </xf>
    <xf numFmtId="0" fontId="15" fillId="29" borderId="248" xfId="0" applyFont="1" applyFill="1" applyBorder="1" applyAlignment="1">
      <alignment horizontal="left" indent="1"/>
    </xf>
    <xf numFmtId="0" fontId="15" fillId="29" borderId="177" xfId="0" applyFont="1" applyFill="1" applyBorder="1" applyAlignment="1">
      <alignment horizontal="left" indent="1"/>
    </xf>
    <xf numFmtId="0" fontId="26" fillId="28" borderId="179" xfId="0" applyFont="1" applyFill="1" applyBorder="1" applyAlignment="1">
      <alignment horizontal="left" vertical="center" indent="1"/>
    </xf>
    <xf numFmtId="0" fontId="26" fillId="28" borderId="179" xfId="0" applyFont="1" applyFill="1" applyBorder="1" applyAlignment="1">
      <alignment horizontal="left" vertical="center" wrapText="1" indent="1"/>
    </xf>
    <xf numFmtId="0" fontId="38" fillId="2" borderId="673" xfId="0" applyFont="1" applyFill="1" applyBorder="1" applyAlignment="1">
      <alignment horizontal="center" vertical="center" textRotation="90" wrapText="1"/>
    </xf>
    <xf numFmtId="4" fontId="38" fillId="2" borderId="675" xfId="0" applyNumberFormat="1" applyFont="1" applyFill="1" applyBorder="1" applyAlignment="1">
      <alignment horizontal="center" vertical="center" wrapText="1"/>
    </xf>
    <xf numFmtId="0" fontId="26" fillId="29" borderId="179" xfId="0" applyFont="1" applyFill="1" applyBorder="1" applyAlignment="1">
      <alignment horizontal="left" vertical="center" wrapText="1" indent="1"/>
    </xf>
    <xf numFmtId="0" fontId="11" fillId="12" borderId="418" xfId="0" applyFont="1" applyFill="1" applyBorder="1" applyAlignment="1">
      <alignment horizontal="center" vertical="center"/>
    </xf>
    <xf numFmtId="1" fontId="117" fillId="0" borderId="179" xfId="0" applyNumberFormat="1" applyFont="1" applyFill="1" applyBorder="1" applyAlignment="1">
      <alignment horizontal="center" vertical="center" wrapText="1"/>
    </xf>
    <xf numFmtId="0" fontId="118" fillId="0" borderId="248" xfId="0" applyFont="1" applyFill="1" applyBorder="1"/>
    <xf numFmtId="0" fontId="118" fillId="0" borderId="177" xfId="0" applyFont="1" applyFill="1" applyBorder="1"/>
    <xf numFmtId="1" fontId="117" fillId="30" borderId="179" xfId="0" applyNumberFormat="1" applyFont="1" applyFill="1" applyBorder="1" applyAlignment="1">
      <alignment horizontal="center" vertical="center" wrapText="1"/>
    </xf>
    <xf numFmtId="0" fontId="118" fillId="29" borderId="248" xfId="0" applyFont="1" applyFill="1" applyBorder="1"/>
    <xf numFmtId="0" fontId="118" fillId="29" borderId="177" xfId="0" applyFont="1" applyFill="1" applyBorder="1"/>
    <xf numFmtId="0" fontId="26" fillId="0" borderId="446" xfId="0" applyFont="1" applyBorder="1" applyAlignment="1">
      <alignment horizontal="left" vertical="center" wrapText="1" indent="1"/>
    </xf>
    <xf numFmtId="0" fontId="126" fillId="0" borderId="22" xfId="0" applyFont="1" applyBorder="1" applyAlignment="1">
      <alignment horizontal="left" vertical="center" wrapText="1" indent="1"/>
    </xf>
    <xf numFmtId="0" fontId="126" fillId="4" borderId="279" xfId="0" applyFont="1" applyFill="1" applyBorder="1" applyAlignment="1">
      <alignment horizontal="left" vertical="center" wrapText="1" indent="1"/>
    </xf>
    <xf numFmtId="0" fontId="15" fillId="0" borderId="279" xfId="0" applyFont="1" applyBorder="1" applyAlignment="1">
      <alignment horizontal="left" indent="1"/>
    </xf>
    <xf numFmtId="0" fontId="15" fillId="0" borderId="259" xfId="0" applyFont="1" applyBorder="1" applyAlignment="1">
      <alignment horizontal="left" indent="1"/>
    </xf>
    <xf numFmtId="0" fontId="117" fillId="0" borderId="179" xfId="0" applyFont="1" applyBorder="1" applyAlignment="1">
      <alignment horizontal="center" vertical="center"/>
    </xf>
    <xf numFmtId="0" fontId="126" fillId="29" borderId="449" xfId="0" applyFont="1" applyFill="1" applyBorder="1" applyAlignment="1">
      <alignment horizontal="left" vertical="center" wrapText="1" indent="1"/>
    </xf>
    <xf numFmtId="0" fontId="15" fillId="29" borderId="450" xfId="0" applyFont="1" applyFill="1" applyBorder="1" applyAlignment="1">
      <alignment horizontal="left" indent="1"/>
    </xf>
    <xf numFmtId="0" fontId="15" fillId="29" borderId="270" xfId="0" applyFont="1" applyFill="1" applyBorder="1" applyAlignment="1">
      <alignment horizontal="left" indent="1"/>
    </xf>
    <xf numFmtId="0" fontId="126" fillId="0" borderId="276" xfId="0" applyFont="1" applyBorder="1" applyAlignment="1">
      <alignment horizontal="left" vertical="center" wrapText="1" indent="1"/>
    </xf>
    <xf numFmtId="0" fontId="15" fillId="0" borderId="277" xfId="0" applyFont="1" applyBorder="1" applyAlignment="1">
      <alignment horizontal="left" indent="1"/>
    </xf>
    <xf numFmtId="0" fontId="15" fillId="0" borderId="278" xfId="0" applyFont="1" applyBorder="1" applyAlignment="1">
      <alignment horizontal="left" indent="1"/>
    </xf>
    <xf numFmtId="0" fontId="25" fillId="4" borderId="644" xfId="0" applyFont="1" applyFill="1" applyBorder="1" applyAlignment="1">
      <alignment horizontal="left" vertical="center" wrapText="1"/>
    </xf>
    <xf numFmtId="0" fontId="132" fillId="12" borderId="280" xfId="0" applyFont="1" applyFill="1" applyBorder="1" applyAlignment="1">
      <alignment horizontal="left" vertical="center" wrapText="1" indent="1"/>
    </xf>
    <xf numFmtId="0" fontId="157" fillId="0" borderId="382" xfId="0" applyFont="1" applyBorder="1" applyAlignment="1">
      <alignment horizontal="left" indent="1"/>
    </xf>
    <xf numFmtId="0" fontId="117" fillId="4" borderId="179" xfId="0" applyFont="1" applyFill="1" applyBorder="1" applyAlignment="1">
      <alignment horizontal="center" vertical="center"/>
    </xf>
    <xf numFmtId="0" fontId="126" fillId="4" borderId="258" xfId="0" applyFont="1" applyFill="1" applyBorder="1" applyAlignment="1">
      <alignment horizontal="left" vertical="center" wrapText="1" indent="1"/>
    </xf>
    <xf numFmtId="0" fontId="126" fillId="0" borderId="264" xfId="0" applyFont="1" applyBorder="1" applyAlignment="1">
      <alignment horizontal="left" vertical="center" wrapText="1" indent="1"/>
    </xf>
    <xf numFmtId="0" fontId="15" fillId="0" borderId="266" xfId="0" applyFont="1" applyBorder="1" applyAlignment="1">
      <alignment horizontal="left" indent="1"/>
    </xf>
    <xf numFmtId="0" fontId="15" fillId="0" borderId="268" xfId="0" applyFont="1" applyBorder="1" applyAlignment="1">
      <alignment horizontal="left" indent="1"/>
    </xf>
    <xf numFmtId="0" fontId="26" fillId="0" borderId="179" xfId="0" applyFont="1" applyBorder="1" applyAlignment="1">
      <alignment horizontal="left" vertical="center" indent="1"/>
    </xf>
    <xf numFmtId="0" fontId="126" fillId="0" borderId="279" xfId="0" applyFont="1" applyBorder="1" applyAlignment="1">
      <alignment horizontal="left" vertical="center" wrapText="1" indent="1"/>
    </xf>
    <xf numFmtId="0" fontId="126" fillId="4" borderId="450" xfId="0" applyFont="1" applyFill="1" applyBorder="1" applyAlignment="1">
      <alignment horizontal="left" vertical="center" wrapText="1" indent="1"/>
    </xf>
    <xf numFmtId="0" fontId="126" fillId="0" borderId="258" xfId="0" applyFont="1" applyBorder="1" applyAlignment="1">
      <alignment horizontal="left" vertical="center" wrapText="1" indent="1"/>
    </xf>
    <xf numFmtId="1" fontId="117" fillId="4" borderId="474" xfId="0" applyNumberFormat="1" applyFont="1" applyFill="1" applyBorder="1" applyAlignment="1">
      <alignment horizontal="center" vertical="center" wrapText="1"/>
    </xf>
    <xf numFmtId="0" fontId="25" fillId="4" borderId="641" xfId="0" applyFont="1" applyFill="1" applyBorder="1" applyAlignment="1">
      <alignment horizontal="left" vertical="center" wrapText="1"/>
    </xf>
    <xf numFmtId="0" fontId="25" fillId="4" borderId="683" xfId="0" applyFont="1" applyFill="1" applyBorder="1" applyAlignment="1">
      <alignment horizontal="left" vertical="center" wrapText="1"/>
    </xf>
    <xf numFmtId="0" fontId="15" fillId="0" borderId="680" xfId="0" applyFont="1" applyBorder="1"/>
    <xf numFmtId="0" fontId="15" fillId="0" borderId="681" xfId="0" applyFont="1" applyBorder="1"/>
    <xf numFmtId="0" fontId="25" fillId="4" borderId="771" xfId="0" applyFont="1" applyFill="1" applyBorder="1" applyAlignment="1">
      <alignment horizontal="left" vertical="center" wrapText="1"/>
    </xf>
    <xf numFmtId="0" fontId="15" fillId="0" borderId="825" xfId="0" applyFont="1" applyBorder="1"/>
    <xf numFmtId="0" fontId="173" fillId="12" borderId="272" xfId="0" applyFont="1" applyFill="1" applyBorder="1" applyAlignment="1">
      <alignment horizontal="left" vertical="center" wrapText="1" indent="1"/>
    </xf>
    <xf numFmtId="0" fontId="157" fillId="0" borderId="418" xfId="0" applyFont="1" applyBorder="1" applyAlignment="1">
      <alignment horizontal="left" indent="1"/>
    </xf>
    <xf numFmtId="0" fontId="126" fillId="0" borderId="266" xfId="0" applyFont="1" applyBorder="1" applyAlignment="1">
      <alignment horizontal="left" vertical="center" wrapText="1" indent="1"/>
    </xf>
    <xf numFmtId="1" fontId="117" fillId="4" borderId="263" xfId="0" applyNumberFormat="1" applyFont="1" applyFill="1" applyBorder="1" applyAlignment="1">
      <alignment horizontal="center" vertical="center" wrapText="1"/>
    </xf>
    <xf numFmtId="0" fontId="118" fillId="0" borderId="265" xfId="0" applyFont="1" applyBorder="1"/>
    <xf numFmtId="0" fontId="118" fillId="0" borderId="267" xfId="0" applyFont="1" applyBorder="1"/>
    <xf numFmtId="0" fontId="126" fillId="0" borderId="830" xfId="0" applyFont="1" applyBorder="1" applyAlignment="1">
      <alignment horizontal="left" vertical="center" wrapText="1" indent="1"/>
    </xf>
    <xf numFmtId="0" fontId="15" fillId="0" borderId="827" xfId="0" applyFont="1" applyBorder="1" applyAlignment="1">
      <alignment horizontal="left" indent="1"/>
    </xf>
    <xf numFmtId="0" fontId="25" fillId="4" borderId="770" xfId="0" applyFont="1" applyFill="1" applyBorder="1" applyAlignment="1">
      <alignment horizontal="left" vertical="center" wrapText="1"/>
    </xf>
    <xf numFmtId="0" fontId="126" fillId="4" borderId="449" xfId="0" applyFont="1" applyFill="1" applyBorder="1" applyAlignment="1">
      <alignment horizontal="left" vertical="center" wrapText="1" indent="1"/>
    </xf>
    <xf numFmtId="0" fontId="25" fillId="4" borderId="766" xfId="0" applyFont="1" applyFill="1" applyBorder="1" applyAlignment="1">
      <alignment horizontal="left" vertical="center" wrapText="1"/>
    </xf>
    <xf numFmtId="0" fontId="134" fillId="0" borderId="474" xfId="0" applyFont="1" applyBorder="1" applyAlignment="1">
      <alignment horizontal="left" vertical="center" wrapText="1" indent="1"/>
    </xf>
    <xf numFmtId="9" fontId="117" fillId="28" borderId="474" xfId="0" applyNumberFormat="1" applyFont="1" applyFill="1" applyBorder="1" applyAlignment="1">
      <alignment horizontal="center" vertical="center" wrapText="1"/>
    </xf>
    <xf numFmtId="9" fontId="118" fillId="29" borderId="248" xfId="0" applyNumberFormat="1" applyFont="1" applyFill="1" applyBorder="1"/>
    <xf numFmtId="9" fontId="118" fillId="29" borderId="177" xfId="0" applyNumberFormat="1" applyFont="1" applyFill="1" applyBorder="1"/>
    <xf numFmtId="0" fontId="126" fillId="28" borderId="450" xfId="0" applyFont="1" applyFill="1" applyBorder="1" applyAlignment="1">
      <alignment horizontal="left" vertical="center" wrapText="1" indent="1"/>
    </xf>
    <xf numFmtId="0" fontId="26" fillId="28" borderId="474" xfId="0" applyFont="1" applyFill="1" applyBorder="1" applyAlignment="1">
      <alignment horizontal="left" vertical="center" wrapText="1" indent="1"/>
    </xf>
    <xf numFmtId="0" fontId="38" fillId="0" borderId="474" xfId="0" applyFont="1" applyBorder="1" applyAlignment="1">
      <alignment horizontal="left" vertical="center" wrapText="1" indent="1"/>
    </xf>
    <xf numFmtId="1" fontId="117" fillId="28" borderId="179" xfId="0" applyNumberFormat="1" applyFont="1" applyFill="1" applyBorder="1" applyAlignment="1">
      <alignment horizontal="center" vertical="center" wrapText="1"/>
    </xf>
    <xf numFmtId="0" fontId="26" fillId="0" borderId="419" xfId="0" applyFont="1" applyBorder="1" applyAlignment="1">
      <alignment horizontal="left" vertical="center" wrapText="1" indent="1"/>
    </xf>
    <xf numFmtId="0" fontId="26" fillId="0" borderId="375" xfId="0" applyFont="1" applyBorder="1" applyAlignment="1">
      <alignment horizontal="left" vertical="center" wrapText="1" indent="1"/>
    </xf>
    <xf numFmtId="0" fontId="26" fillId="29" borderId="248" xfId="0" applyFont="1" applyFill="1" applyBorder="1" applyAlignment="1">
      <alignment horizontal="left" vertical="center" wrapText="1" indent="1"/>
    </xf>
    <xf numFmtId="0" fontId="26" fillId="4" borderId="832" xfId="0" applyFont="1" applyFill="1" applyBorder="1" applyAlignment="1">
      <alignment horizontal="left" vertical="center" indent="1"/>
    </xf>
    <xf numFmtId="0" fontId="26" fillId="4" borderId="701" xfId="0" applyFont="1" applyFill="1" applyBorder="1" applyAlignment="1">
      <alignment horizontal="left" vertical="center" indent="1"/>
    </xf>
    <xf numFmtId="0" fontId="26" fillId="4" borderId="704" xfId="0" applyFont="1" applyFill="1" applyBorder="1" applyAlignment="1">
      <alignment horizontal="left" vertical="center" indent="1"/>
    </xf>
    <xf numFmtId="0" fontId="142" fillId="16" borderId="565" xfId="1" applyFont="1" applyFill="1" applyBorder="1" applyAlignment="1" applyProtection="1">
      <alignment horizontal="center" vertical="center" textRotation="90"/>
    </xf>
    <xf numFmtId="0" fontId="117" fillId="0" borderId="248" xfId="0" applyFont="1" applyBorder="1" applyAlignment="1">
      <alignment horizontal="center" vertical="center" wrapText="1"/>
    </xf>
    <xf numFmtId="0" fontId="117" fillId="0" borderId="179" xfId="0" applyFont="1" applyBorder="1" applyAlignment="1">
      <alignment horizontal="center" vertical="center" wrapText="1"/>
    </xf>
    <xf numFmtId="0" fontId="115" fillId="0" borderId="289" xfId="0" applyFont="1" applyBorder="1" applyAlignment="1">
      <alignment horizontal="left" vertical="center" wrapText="1" indent="1"/>
    </xf>
    <xf numFmtId="0" fontId="125" fillId="0" borderId="290" xfId="0" applyFont="1" applyBorder="1" applyAlignment="1">
      <alignment horizontal="left" indent="1"/>
    </xf>
    <xf numFmtId="0" fontId="116" fillId="0" borderId="289" xfId="0" applyFont="1" applyBorder="1" applyAlignment="1">
      <alignment horizontal="left" vertical="center" indent="1"/>
    </xf>
    <xf numFmtId="0" fontId="137" fillId="0" borderId="295" xfId="0" applyFont="1" applyBorder="1" applyAlignment="1">
      <alignment horizontal="left" vertical="center" wrapText="1" indent="1"/>
    </xf>
    <xf numFmtId="0" fontId="125" fillId="0" borderId="296" xfId="0" applyFont="1" applyBorder="1" applyAlignment="1">
      <alignment horizontal="left" indent="1"/>
    </xf>
    <xf numFmtId="0" fontId="137" fillId="0" borderId="293" xfId="0" applyFont="1" applyBorder="1" applyAlignment="1">
      <alignment horizontal="left" vertical="center" wrapText="1" indent="1"/>
    </xf>
    <xf numFmtId="0" fontId="125" fillId="0" borderId="294" xfId="0" applyFont="1" applyBorder="1" applyAlignment="1">
      <alignment horizontal="left" indent="1"/>
    </xf>
    <xf numFmtId="0" fontId="115" fillId="0" borderId="286" xfId="0" applyFont="1" applyBorder="1" applyAlignment="1">
      <alignment horizontal="left" vertical="center" indent="1"/>
    </xf>
    <xf numFmtId="0" fontId="125" fillId="0" borderId="287" xfId="0" applyFont="1" applyBorder="1" applyAlignment="1">
      <alignment horizontal="left" indent="1"/>
    </xf>
    <xf numFmtId="0" fontId="26" fillId="4" borderId="677" xfId="0" applyFont="1" applyFill="1" applyBorder="1" applyAlignment="1">
      <alignment horizontal="left" vertical="center" wrapText="1"/>
    </xf>
    <xf numFmtId="0" fontId="15" fillId="0" borderId="678" xfId="0" applyFont="1" applyBorder="1"/>
    <xf numFmtId="0" fontId="15" fillId="0" borderId="679" xfId="0" applyFont="1" applyBorder="1"/>
    <xf numFmtId="0" fontId="115" fillId="0" borderId="286" xfId="0" applyFont="1" applyBorder="1" applyAlignment="1">
      <alignment horizontal="left" vertical="center" wrapText="1" indent="1"/>
    </xf>
    <xf numFmtId="0" fontId="126" fillId="4" borderId="680" xfId="0" applyFont="1" applyFill="1" applyBorder="1" applyAlignment="1">
      <alignment horizontal="left" vertical="center" wrapText="1" indent="1"/>
    </xf>
    <xf numFmtId="0" fontId="15" fillId="0" borderId="680" xfId="0" applyFont="1" applyBorder="1" applyAlignment="1">
      <alignment horizontal="left" indent="1"/>
    </xf>
    <xf numFmtId="0" fontId="15" fillId="0" borderId="681" xfId="0" applyFont="1" applyBorder="1" applyAlignment="1">
      <alignment horizontal="left" indent="1"/>
    </xf>
    <xf numFmtId="0" fontId="117" fillId="0" borderId="450" xfId="0" applyFont="1" applyBorder="1" applyAlignment="1">
      <alignment horizontal="center" vertical="center" wrapText="1"/>
    </xf>
    <xf numFmtId="0" fontId="118" fillId="0" borderId="450" xfId="0" applyFont="1" applyBorder="1"/>
    <xf numFmtId="0" fontId="118" fillId="0" borderId="270" xfId="0" applyFont="1" applyBorder="1"/>
    <xf numFmtId="49" fontId="117" fillId="0" borderId="179" xfId="0" applyNumberFormat="1" applyFont="1" applyBorder="1" applyAlignment="1">
      <alignment horizontal="center" vertical="center" wrapText="1"/>
    </xf>
    <xf numFmtId="49" fontId="117" fillId="0" borderId="248" xfId="0" applyNumberFormat="1" applyFont="1" applyBorder="1" applyAlignment="1">
      <alignment horizontal="center" vertical="center" wrapText="1"/>
    </xf>
    <xf numFmtId="49" fontId="117" fillId="0" borderId="177" xfId="0" applyNumberFormat="1" applyFont="1" applyBorder="1" applyAlignment="1">
      <alignment horizontal="center" vertical="center" wrapText="1"/>
    </xf>
    <xf numFmtId="0" fontId="26" fillId="4" borderId="680" xfId="0" applyFont="1" applyFill="1" applyBorder="1" applyAlignment="1">
      <alignment horizontal="left" vertical="center" wrapText="1"/>
    </xf>
    <xf numFmtId="1" fontId="117" fillId="0" borderId="373" xfId="0" applyNumberFormat="1" applyFont="1" applyBorder="1" applyAlignment="1">
      <alignment horizontal="center" vertical="center" wrapText="1"/>
    </xf>
    <xf numFmtId="0" fontId="152" fillId="12" borderId="448" xfId="0" applyFont="1" applyFill="1" applyBorder="1" applyAlignment="1">
      <alignment horizontal="center" vertical="center" textRotation="90" wrapText="1"/>
    </xf>
    <xf numFmtId="0" fontId="150" fillId="0" borderId="448" xfId="0" applyFont="1" applyBorder="1"/>
    <xf numFmtId="0" fontId="150" fillId="0" borderId="309" xfId="0" applyFont="1" applyBorder="1"/>
    <xf numFmtId="0" fontId="15" fillId="0" borderId="839" xfId="0" applyFont="1" applyBorder="1" applyAlignment="1">
      <alignment horizontal="left" indent="1"/>
    </xf>
    <xf numFmtId="0" fontId="152" fillId="2" borderId="297" xfId="0" applyFont="1" applyFill="1" applyBorder="1" applyAlignment="1">
      <alignment horizontal="center" vertical="center" textRotation="90" wrapText="1"/>
    </xf>
    <xf numFmtId="0" fontId="150" fillId="0" borderId="491" xfId="0" applyFont="1" applyBorder="1"/>
    <xf numFmtId="0" fontId="150" fillId="0" borderId="372" xfId="0" applyFont="1" applyBorder="1"/>
    <xf numFmtId="0" fontId="152" fillId="12" borderId="298" xfId="0" applyFont="1" applyFill="1" applyBorder="1" applyAlignment="1">
      <alignment horizontal="center" vertical="center" textRotation="90" wrapText="1"/>
    </xf>
    <xf numFmtId="0" fontId="150" fillId="0" borderId="301" xfId="0" applyFont="1" applyBorder="1"/>
    <xf numFmtId="0" fontId="150" fillId="0" borderId="148" xfId="0" applyFont="1" applyBorder="1"/>
    <xf numFmtId="0" fontId="175" fillId="0" borderId="375" xfId="0" applyFont="1" applyBorder="1" applyAlignment="1"/>
    <xf numFmtId="0" fontId="176" fillId="0" borderId="340" xfId="0" applyFont="1" applyBorder="1"/>
    <xf numFmtId="4" fontId="136" fillId="2" borderId="189" xfId="0" applyNumberFormat="1" applyFont="1" applyFill="1" applyBorder="1" applyAlignment="1">
      <alignment horizontal="left" vertical="center" wrapText="1" indent="1"/>
    </xf>
    <xf numFmtId="0" fontId="118" fillId="0" borderId="189" xfId="0" applyFont="1" applyBorder="1" applyAlignment="1">
      <alignment horizontal="left" indent="1"/>
    </xf>
    <xf numFmtId="4" fontId="12" fillId="2" borderId="242" xfId="0" applyNumberFormat="1" applyFont="1" applyFill="1" applyBorder="1" applyAlignment="1">
      <alignment horizontal="center" vertical="center" wrapText="1"/>
    </xf>
    <xf numFmtId="0" fontId="15" fillId="0" borderId="189" xfId="0" applyFont="1" applyBorder="1"/>
    <xf numFmtId="0" fontId="15" fillId="0" borderId="190" xfId="0" applyFont="1" applyBorder="1"/>
    <xf numFmtId="0" fontId="114" fillId="0" borderId="0" xfId="0" applyFont="1" applyAlignment="1"/>
    <xf numFmtId="0" fontId="179" fillId="0" borderId="282" xfId="0" applyFont="1" applyBorder="1" applyAlignment="1">
      <alignment horizontal="center" vertical="center" wrapText="1"/>
    </xf>
    <xf numFmtId="0" fontId="176" fillId="0" borderId="395" xfId="0" applyFont="1" applyBorder="1"/>
    <xf numFmtId="0" fontId="126" fillId="0" borderId="161" xfId="0" applyFont="1" applyBorder="1" applyAlignment="1">
      <alignment horizontal="left" vertical="center" wrapText="1" indent="1"/>
    </xf>
    <xf numFmtId="0" fontId="125" fillId="0" borderId="157" xfId="0" applyFont="1" applyBorder="1" applyAlignment="1">
      <alignment horizontal="left" indent="1"/>
    </xf>
    <xf numFmtId="0" fontId="125" fillId="0" borderId="160" xfId="0" applyFont="1" applyBorder="1" applyAlignment="1">
      <alignment horizontal="left" indent="1"/>
    </xf>
    <xf numFmtId="0" fontId="132" fillId="12" borderId="418" xfId="0" applyFont="1" applyFill="1" applyBorder="1" applyAlignment="1">
      <alignment horizontal="left" vertical="center" wrapText="1" indent="1"/>
    </xf>
    <xf numFmtId="0" fontId="15" fillId="0" borderId="239" xfId="0" applyFont="1" applyBorder="1"/>
    <xf numFmtId="0" fontId="132" fillId="12" borderId="854" xfId="0" applyFont="1" applyFill="1" applyBorder="1" applyAlignment="1">
      <alignment horizontal="left" vertical="center" wrapText="1" indent="1"/>
    </xf>
    <xf numFmtId="0" fontId="157" fillId="0" borderId="611" xfId="0" applyFont="1" applyBorder="1" applyAlignment="1">
      <alignment horizontal="left" indent="1"/>
    </xf>
    <xf numFmtId="0" fontId="11" fillId="12" borderId="819" xfId="0" applyFont="1" applyFill="1" applyBorder="1" applyAlignment="1">
      <alignment horizontal="center" vertical="center"/>
    </xf>
    <xf numFmtId="0" fontId="15" fillId="0" borderId="841" xfId="0" applyFont="1" applyBorder="1"/>
    <xf numFmtId="0" fontId="126" fillId="0" borderId="157" xfId="0" applyFont="1" applyBorder="1" applyAlignment="1">
      <alignment horizontal="left" vertical="center" wrapText="1" indent="1"/>
    </xf>
    <xf numFmtId="0" fontId="125" fillId="0" borderId="838" xfId="0" applyFont="1" applyBorder="1" applyAlignment="1">
      <alignment horizontal="left" indent="1"/>
    </xf>
    <xf numFmtId="0" fontId="15" fillId="0" borderId="248" xfId="0" applyFont="1" applyBorder="1" applyAlignment="1">
      <alignment horizontal="left" wrapText="1" indent="1"/>
    </xf>
    <xf numFmtId="0" fontId="15" fillId="0" borderId="177" xfId="0" applyFont="1" applyBorder="1" applyAlignment="1">
      <alignment horizontal="left" wrapText="1" indent="1"/>
    </xf>
    <xf numFmtId="0" fontId="58" fillId="0" borderId="375" xfId="0" applyFont="1" applyBorder="1" applyAlignment="1">
      <alignment horizontal="center" vertical="center" wrapText="1"/>
    </xf>
    <xf numFmtId="0" fontId="15" fillId="0" borderId="375" xfId="0" applyFont="1" applyBorder="1"/>
    <xf numFmtId="0" fontId="26" fillId="0" borderId="415" xfId="0" applyFont="1" applyBorder="1" applyAlignment="1">
      <alignment horizontal="left" vertical="center" wrapText="1" indent="1"/>
    </xf>
    <xf numFmtId="0" fontId="126" fillId="0" borderId="415" xfId="0" applyFont="1" applyBorder="1" applyAlignment="1">
      <alignment horizontal="left" vertical="center" wrapText="1" indent="1"/>
    </xf>
    <xf numFmtId="1" fontId="117" fillId="0" borderId="857" xfId="0" applyNumberFormat="1" applyFont="1" applyBorder="1" applyAlignment="1">
      <alignment horizontal="center" vertical="center" wrapText="1"/>
    </xf>
    <xf numFmtId="0" fontId="118" fillId="0" borderId="799" xfId="0" applyFont="1" applyBorder="1"/>
    <xf numFmtId="0" fontId="118" fillId="0" borderId="858" xfId="0" applyFont="1" applyBorder="1"/>
    <xf numFmtId="9" fontId="117" fillId="0" borderId="179" xfId="0" applyNumberFormat="1" applyFont="1" applyBorder="1" applyAlignment="1">
      <alignment horizontal="center" vertical="center" wrapText="1"/>
    </xf>
    <xf numFmtId="0" fontId="132" fillId="12" borderId="843" xfId="0" applyFont="1" applyFill="1" applyBorder="1" applyAlignment="1">
      <alignment horizontal="left" vertical="center" wrapText="1" indent="1"/>
    </xf>
    <xf numFmtId="0" fontId="11" fillId="12" borderId="187" xfId="0" applyFont="1" applyFill="1" applyBorder="1" applyAlignment="1">
      <alignment horizontal="center" vertical="center"/>
    </xf>
    <xf numFmtId="0" fontId="15" fillId="0" borderId="334" xfId="0" applyFont="1" applyBorder="1"/>
    <xf numFmtId="0" fontId="126" fillId="4" borderId="161" xfId="0" applyFont="1" applyFill="1" applyBorder="1" applyAlignment="1">
      <alignment horizontal="left" vertical="center" wrapText="1" indent="1"/>
    </xf>
    <xf numFmtId="0" fontId="132" fillId="12" borderId="843" xfId="0" applyFont="1" applyFill="1" applyBorder="1" applyAlignment="1">
      <alignment horizontal="left" vertical="center" indent="1"/>
    </xf>
    <xf numFmtId="0" fontId="38" fillId="0" borderId="299" xfId="0" applyFont="1" applyBorder="1" applyAlignment="1">
      <alignment horizontal="left" vertical="center" wrapText="1" indent="1"/>
    </xf>
    <xf numFmtId="1" fontId="117" fillId="0" borderId="318" xfId="0" applyNumberFormat="1" applyFont="1" applyBorder="1" applyAlignment="1">
      <alignment horizontal="center" vertical="center" wrapText="1"/>
    </xf>
    <xf numFmtId="0" fontId="118" fillId="0" borderId="274" xfId="0" applyFont="1" applyBorder="1"/>
    <xf numFmtId="0" fontId="118" fillId="0" borderId="320" xfId="0" applyFont="1" applyBorder="1"/>
    <xf numFmtId="0" fontId="126" fillId="0" borderId="318" xfId="0" applyFont="1" applyBorder="1" applyAlignment="1">
      <alignment horizontal="left" vertical="center" wrapText="1" indent="1"/>
    </xf>
    <xf numFmtId="0" fontId="125" fillId="0" borderId="274" xfId="0" applyFont="1" applyBorder="1" applyAlignment="1">
      <alignment horizontal="left" indent="1"/>
    </xf>
    <xf numFmtId="0" fontId="125" fillId="0" borderId="320" xfId="0" applyFont="1" applyBorder="1" applyAlignment="1">
      <alignment horizontal="left" indent="1"/>
    </xf>
    <xf numFmtId="0" fontId="126" fillId="0" borderId="860" xfId="0" applyFont="1" applyBorder="1" applyAlignment="1">
      <alignment horizontal="left" vertical="center" wrapText="1" indent="1"/>
    </xf>
    <xf numFmtId="0" fontId="125" fillId="0" borderId="328" xfId="0" applyFont="1" applyBorder="1" applyAlignment="1">
      <alignment horizontal="left" indent="1"/>
    </xf>
    <xf numFmtId="0" fontId="125" fillId="0" borderId="859" xfId="0" applyFont="1" applyBorder="1" applyAlignment="1">
      <alignment horizontal="left" indent="1"/>
    </xf>
    <xf numFmtId="0" fontId="126" fillId="0" borderId="274" xfId="0" applyFont="1" applyBorder="1" applyAlignment="1">
      <alignment horizontal="left" vertical="center" wrapText="1" indent="1"/>
    </xf>
    <xf numFmtId="0" fontId="15" fillId="0" borderId="274" xfId="0" applyFont="1" applyBorder="1" applyAlignment="1">
      <alignment horizontal="left" indent="1"/>
    </xf>
    <xf numFmtId="0" fontId="15" fillId="0" borderId="244" xfId="0" applyFont="1" applyBorder="1" applyAlignment="1">
      <alignment horizontal="left" indent="1"/>
    </xf>
    <xf numFmtId="0" fontId="126" fillId="4" borderId="274" xfId="0" applyFont="1" applyFill="1" applyBorder="1" applyAlignment="1">
      <alignment horizontal="left" vertical="center" wrapText="1" indent="1"/>
    </xf>
    <xf numFmtId="0" fontId="117" fillId="0" borderId="274" xfId="0" applyFont="1" applyBorder="1" applyAlignment="1">
      <alignment horizontal="center" vertical="center" wrapText="1"/>
    </xf>
    <xf numFmtId="0" fontId="118" fillId="0" borderId="244" xfId="0" applyFont="1" applyBorder="1"/>
    <xf numFmtId="1" fontId="117" fillId="0" borderId="274" xfId="0" applyNumberFormat="1" applyFont="1" applyBorder="1" applyAlignment="1">
      <alignment horizontal="center" vertical="center" wrapText="1"/>
    </xf>
    <xf numFmtId="0" fontId="125" fillId="0" borderId="244" xfId="0" applyFont="1" applyBorder="1" applyAlignment="1">
      <alignment horizontal="left" indent="1"/>
    </xf>
    <xf numFmtId="0" fontId="38" fillId="0" borderId="166" xfId="0" applyFont="1" applyBorder="1" applyAlignment="1">
      <alignment horizontal="left" vertical="center" wrapText="1" indent="1"/>
    </xf>
    <xf numFmtId="0" fontId="15" fillId="0" borderId="166" xfId="0" applyFont="1" applyBorder="1" applyAlignment="1">
      <alignment horizontal="left" indent="1"/>
    </xf>
    <xf numFmtId="0" fontId="15" fillId="0" borderId="315" xfId="0" applyFont="1" applyBorder="1" applyAlignment="1">
      <alignment horizontal="left" indent="1"/>
    </xf>
    <xf numFmtId="0" fontId="26" fillId="0" borderId="274" xfId="0" applyFont="1" applyBorder="1" applyAlignment="1">
      <alignment horizontal="left" vertical="center" wrapText="1" indent="1"/>
    </xf>
    <xf numFmtId="0" fontId="38" fillId="0" borderId="274" xfId="0" applyFont="1" applyBorder="1" applyAlignment="1">
      <alignment horizontal="left" vertical="center" wrapText="1" indent="1"/>
    </xf>
    <xf numFmtId="0" fontId="126" fillId="0" borderId="328" xfId="0" applyFont="1" applyBorder="1" applyAlignment="1">
      <alignment horizontal="left" vertical="center" wrapText="1" indent="1"/>
    </xf>
    <xf numFmtId="0" fontId="26" fillId="0" borderId="318" xfId="0" applyFont="1" applyBorder="1" applyAlignment="1">
      <alignment horizontal="left" vertical="center" wrapText="1" indent="1"/>
    </xf>
    <xf numFmtId="0" fontId="15" fillId="0" borderId="320" xfId="0" applyFont="1" applyBorder="1" applyAlignment="1">
      <alignment horizontal="left" indent="1"/>
    </xf>
    <xf numFmtId="0" fontId="125" fillId="0" borderId="329" xfId="0" applyFont="1" applyBorder="1" applyAlignment="1">
      <alignment horizontal="left" indent="1"/>
    </xf>
    <xf numFmtId="0" fontId="26" fillId="4" borderId="274" xfId="0" applyFont="1" applyFill="1" applyBorder="1" applyAlignment="1">
      <alignment horizontal="left" vertical="center" wrapText="1" indent="1"/>
    </xf>
    <xf numFmtId="0" fontId="38" fillId="0" borderId="318" xfId="0" applyFont="1" applyBorder="1" applyAlignment="1">
      <alignment horizontal="left" vertical="center" wrapText="1" indent="1"/>
    </xf>
    <xf numFmtId="0" fontId="134" fillId="0" borderId="318" xfId="0" applyFont="1" applyBorder="1" applyAlignment="1">
      <alignment horizontal="left" vertical="center" wrapText="1" indent="1"/>
    </xf>
    <xf numFmtId="0" fontId="126" fillId="4" borderId="318" xfId="0" applyFont="1" applyFill="1" applyBorder="1" applyAlignment="1">
      <alignment horizontal="left" vertical="center" wrapText="1" indent="1"/>
    </xf>
    <xf numFmtId="0" fontId="117" fillId="0" borderId="318" xfId="0" applyFont="1" applyBorder="1" applyAlignment="1">
      <alignment horizontal="center" vertical="center" wrapText="1"/>
    </xf>
    <xf numFmtId="0" fontId="126" fillId="4" borderId="770" xfId="0" applyFont="1" applyFill="1" applyBorder="1" applyAlignment="1">
      <alignment horizontal="left" vertical="center" wrapText="1" indent="1"/>
    </xf>
    <xf numFmtId="0" fontId="140" fillId="0" borderId="767" xfId="0" applyFont="1" applyBorder="1" applyAlignment="1">
      <alignment horizontal="left" indent="1"/>
    </xf>
    <xf numFmtId="0" fontId="140" fillId="0" borderId="772" xfId="0" applyFont="1" applyBorder="1" applyAlignment="1">
      <alignment horizontal="left" indent="1"/>
    </xf>
    <xf numFmtId="0" fontId="126" fillId="4" borderId="771" xfId="0" applyFont="1" applyFill="1" applyBorder="1" applyAlignment="1">
      <alignment horizontal="left" vertical="center" wrapText="1" indent="1"/>
    </xf>
    <xf numFmtId="0" fontId="140" fillId="0" borderId="769" xfId="0" applyFont="1" applyBorder="1" applyAlignment="1">
      <alignment horizontal="left" indent="1"/>
    </xf>
    <xf numFmtId="0" fontId="140" fillId="0" borderId="825" xfId="0" applyFont="1" applyBorder="1" applyAlignment="1">
      <alignment horizontal="left" indent="1"/>
    </xf>
    <xf numFmtId="0" fontId="136" fillId="2" borderId="652" xfId="0" applyFont="1" applyFill="1" applyBorder="1" applyAlignment="1">
      <alignment horizontal="left" vertical="center" indent="1"/>
    </xf>
    <xf numFmtId="0" fontId="118" fillId="0" borderId="652" xfId="0" applyFont="1" applyBorder="1" applyAlignment="1">
      <alignment horizontal="left" indent="1"/>
    </xf>
    <xf numFmtId="0" fontId="21" fillId="2" borderId="675" xfId="0" applyFont="1" applyFill="1" applyBorder="1" applyAlignment="1">
      <alignment horizontal="center" vertical="center"/>
    </xf>
    <xf numFmtId="0" fontId="26" fillId="0" borderId="328" xfId="0" applyFont="1" applyBorder="1" applyAlignment="1">
      <alignment horizontal="left" vertical="center" wrapText="1" indent="1"/>
    </xf>
    <xf numFmtId="0" fontId="15" fillId="0" borderId="328" xfId="0" applyFont="1" applyBorder="1" applyAlignment="1">
      <alignment horizontal="left" indent="1"/>
    </xf>
    <xf numFmtId="0" fontId="15" fillId="0" borderId="316" xfId="0" applyFont="1" applyBorder="1" applyAlignment="1">
      <alignment horizontal="left" indent="1"/>
    </xf>
    <xf numFmtId="1" fontId="126" fillId="4" borderId="274" xfId="0" applyNumberFormat="1" applyFont="1" applyFill="1" applyBorder="1" applyAlignment="1">
      <alignment horizontal="left" vertical="center" wrapText="1" indent="1"/>
    </xf>
    <xf numFmtId="1" fontId="126" fillId="0" borderId="274" xfId="0" applyNumberFormat="1" applyFont="1" applyBorder="1" applyAlignment="1">
      <alignment horizontal="left" vertical="center" wrapText="1" indent="1"/>
    </xf>
    <xf numFmtId="0" fontId="26" fillId="4" borderId="318" xfId="0" applyFont="1" applyFill="1" applyBorder="1" applyAlignment="1">
      <alignment horizontal="left" vertical="center" wrapText="1" indent="1"/>
    </xf>
    <xf numFmtId="1" fontId="126" fillId="0" borderId="318" xfId="0" applyNumberFormat="1" applyFont="1" applyBorder="1" applyAlignment="1">
      <alignment horizontal="left" vertical="center" wrapText="1" indent="1"/>
    </xf>
    <xf numFmtId="1" fontId="126" fillId="4" borderId="318" xfId="0" applyNumberFormat="1" applyFont="1" applyFill="1" applyBorder="1" applyAlignment="1">
      <alignment horizontal="left" vertical="center" wrapText="1" indent="1"/>
    </xf>
    <xf numFmtId="1" fontId="117" fillId="0" borderId="318" xfId="0" applyNumberFormat="1" applyFont="1" applyBorder="1" applyAlignment="1">
      <alignment horizontal="center" vertical="center"/>
    </xf>
    <xf numFmtId="0" fontId="126" fillId="4" borderId="766" xfId="0" applyFont="1" applyFill="1" applyBorder="1" applyAlignment="1">
      <alignment horizontal="left" vertical="center" wrapText="1" indent="1"/>
    </xf>
    <xf numFmtId="1" fontId="117" fillId="0" borderId="274" xfId="0" applyNumberFormat="1" applyFont="1" applyBorder="1" applyAlignment="1">
      <alignment horizontal="center" vertical="center"/>
    </xf>
    <xf numFmtId="0" fontId="152" fillId="2" borderId="540" xfId="0" applyFont="1" applyFill="1" applyBorder="1" applyAlignment="1">
      <alignment horizontal="center" vertical="center" textRotation="90"/>
    </xf>
    <xf numFmtId="0" fontId="150" fillId="0" borderId="453" xfId="0" applyFont="1" applyBorder="1"/>
    <xf numFmtId="0" fontId="38" fillId="0" borderId="317" xfId="0" applyFont="1" applyBorder="1" applyAlignment="1">
      <alignment horizontal="left" vertical="center" wrapText="1" indent="1"/>
    </xf>
    <xf numFmtId="0" fontId="15" fillId="0" borderId="319" xfId="0" applyFont="1" applyBorder="1" applyAlignment="1">
      <alignment horizontal="left" indent="1"/>
    </xf>
    <xf numFmtId="0" fontId="126" fillId="0" borderId="862" xfId="0" applyFont="1" applyBorder="1" applyAlignment="1">
      <alignment horizontal="left" vertical="center" indent="1"/>
    </xf>
    <xf numFmtId="0" fontId="125" fillId="0" borderId="864" xfId="0" applyFont="1" applyBorder="1" applyAlignment="1">
      <alignment horizontal="left" vertical="center" indent="1"/>
    </xf>
    <xf numFmtId="0" fontId="125" fillId="0" borderId="876" xfId="0" applyFont="1" applyBorder="1" applyAlignment="1">
      <alignment horizontal="left" vertical="center" indent="1"/>
    </xf>
    <xf numFmtId="0" fontId="126" fillId="13" borderId="862" xfId="0" applyFont="1" applyFill="1" applyBorder="1" applyAlignment="1">
      <alignment horizontal="left" vertical="center" wrapText="1" indent="1"/>
    </xf>
    <xf numFmtId="0" fontId="126" fillId="0" borderId="878" xfId="0" applyFont="1" applyBorder="1" applyAlignment="1">
      <alignment horizontal="left" vertical="center" indent="1"/>
    </xf>
    <xf numFmtId="0" fontId="125" fillId="0" borderId="874" xfId="0" applyFont="1" applyBorder="1" applyAlignment="1">
      <alignment horizontal="left" vertical="center" indent="1"/>
    </xf>
    <xf numFmtId="0" fontId="125" fillId="0" borderId="866" xfId="0" applyFont="1" applyBorder="1" applyAlignment="1">
      <alignment horizontal="left" vertical="center" indent="1"/>
    </xf>
    <xf numFmtId="0" fontId="132" fillId="8" borderId="870" xfId="0" applyFont="1" applyFill="1" applyBorder="1" applyAlignment="1">
      <alignment horizontal="left" vertical="center" indent="1"/>
    </xf>
    <xf numFmtId="0" fontId="159" fillId="0" borderId="870" xfId="0" applyFont="1" applyBorder="1" applyAlignment="1">
      <alignment horizontal="left" indent="1"/>
    </xf>
    <xf numFmtId="0" fontId="29" fillId="8" borderId="870" xfId="0" applyFont="1" applyFill="1" applyBorder="1" applyAlignment="1">
      <alignment horizontal="center" vertical="center"/>
    </xf>
    <xf numFmtId="0" fontId="15" fillId="0" borderId="870" xfId="0" applyFont="1" applyBorder="1"/>
    <xf numFmtId="0" fontId="15" fillId="0" borderId="872" xfId="0" applyFont="1" applyBorder="1"/>
    <xf numFmtId="0" fontId="136" fillId="2" borderId="355" xfId="0" applyFont="1" applyFill="1" applyBorder="1" applyAlignment="1">
      <alignment horizontal="left" vertical="center" indent="1"/>
    </xf>
    <xf numFmtId="0" fontId="118" fillId="0" borderId="355" xfId="0" applyFont="1" applyBorder="1" applyAlignment="1">
      <alignment horizontal="left" indent="1"/>
    </xf>
    <xf numFmtId="0" fontId="14" fillId="4" borderId="0" xfId="0" applyFont="1" applyFill="1" applyAlignment="1">
      <alignment horizontal="left" vertical="center" wrapText="1"/>
    </xf>
    <xf numFmtId="0" fontId="126" fillId="0" borderId="879" xfId="0" applyFont="1" applyBorder="1" applyAlignment="1">
      <alignment horizontal="left" vertical="center" indent="1"/>
    </xf>
    <xf numFmtId="0" fontId="126" fillId="0" borderId="880" xfId="0" applyFont="1" applyBorder="1" applyAlignment="1">
      <alignment horizontal="left" vertical="center" indent="1"/>
    </xf>
    <xf numFmtId="0" fontId="126" fillId="0" borderId="881" xfId="0" applyFont="1" applyBorder="1" applyAlignment="1">
      <alignment horizontal="left" vertical="center" indent="1"/>
    </xf>
    <xf numFmtId="3" fontId="117" fillId="0" borderId="625" xfId="0" applyNumberFormat="1" applyFont="1" applyBorder="1" applyAlignment="1">
      <alignment horizontal="center" vertical="center" wrapText="1"/>
    </xf>
    <xf numFmtId="3" fontId="118" fillId="0" borderId="581" xfId="0" applyNumberFormat="1" applyFont="1" applyBorder="1"/>
    <xf numFmtId="3" fontId="118" fillId="0" borderId="631" xfId="0" applyNumberFormat="1" applyFont="1" applyBorder="1"/>
    <xf numFmtId="0" fontId="126" fillId="13" borderId="625" xfId="0" applyFont="1" applyFill="1" applyBorder="1" applyAlignment="1">
      <alignment horizontal="left" vertical="center" wrapText="1" indent="1"/>
    </xf>
    <xf numFmtId="0" fontId="126" fillId="0" borderId="782" xfId="0" applyFont="1" applyBorder="1" applyAlignment="1">
      <alignment horizontal="left" vertical="center" wrapText="1" indent="1"/>
    </xf>
    <xf numFmtId="0" fontId="125" fillId="0" borderId="581" xfId="0" applyFont="1" applyBorder="1" applyAlignment="1">
      <alignment horizontal="left" wrapText="1" indent="1"/>
    </xf>
    <xf numFmtId="0" fontId="125" fillId="0" borderId="631" xfId="0" applyFont="1" applyBorder="1" applyAlignment="1">
      <alignment horizontal="left" wrapText="1" indent="1"/>
    </xf>
    <xf numFmtId="1" fontId="117" fillId="13" borderId="625" xfId="0" applyNumberFormat="1" applyFont="1" applyFill="1" applyBorder="1" applyAlignment="1">
      <alignment horizontal="center" vertical="center"/>
    </xf>
    <xf numFmtId="0" fontId="118" fillId="0" borderId="581" xfId="0" applyFont="1" applyBorder="1" applyAlignment="1">
      <alignment horizontal="center"/>
    </xf>
    <xf numFmtId="0" fontId="118" fillId="0" borderId="631" xfId="0" applyFont="1" applyBorder="1" applyAlignment="1">
      <alignment horizontal="center"/>
    </xf>
    <xf numFmtId="0" fontId="126" fillId="0" borderId="780" xfId="0" applyFont="1" applyBorder="1" applyAlignment="1">
      <alignment horizontal="left" vertical="center" wrapText="1" indent="1"/>
    </xf>
    <xf numFmtId="1" fontId="117" fillId="13" borderId="634" xfId="0" applyNumberFormat="1" applyFont="1" applyFill="1" applyBorder="1" applyAlignment="1">
      <alignment horizontal="center" vertical="center" wrapText="1"/>
    </xf>
    <xf numFmtId="1" fontId="117" fillId="13" borderId="634" xfId="0" applyNumberFormat="1" applyFont="1" applyFill="1" applyBorder="1" applyAlignment="1">
      <alignment horizontal="center" vertical="center"/>
    </xf>
    <xf numFmtId="0" fontId="134" fillId="0" borderId="634" xfId="0" applyFont="1" applyBorder="1" applyAlignment="1">
      <alignment horizontal="left" vertical="center" wrapText="1" indent="1"/>
    </xf>
    <xf numFmtId="0" fontId="126" fillId="13" borderId="634" xfId="0" applyFont="1" applyFill="1" applyBorder="1" applyAlignment="1">
      <alignment horizontal="left" vertical="center" wrapText="1" indent="1"/>
    </xf>
    <xf numFmtId="0" fontId="126" fillId="0" borderId="878" xfId="0" applyFont="1" applyBorder="1" applyAlignment="1">
      <alignment horizontal="left" vertical="center" wrapText="1" indent="1"/>
    </xf>
    <xf numFmtId="0" fontId="126" fillId="0" borderId="868" xfId="0" applyFont="1" applyBorder="1" applyAlignment="1">
      <alignment horizontal="left" vertical="center" indent="1"/>
    </xf>
    <xf numFmtId="0" fontId="134" fillId="0" borderId="793" xfId="0" applyFont="1" applyBorder="1" applyAlignment="1">
      <alignment horizontal="left" vertical="center" indent="1"/>
    </xf>
    <xf numFmtId="0" fontId="186" fillId="0" borderId="786" xfId="0" applyFont="1" applyBorder="1" applyAlignment="1">
      <alignment horizontal="left" indent="1"/>
    </xf>
    <xf numFmtId="0" fontId="186" fillId="0" borderId="787" xfId="0" applyFont="1" applyBorder="1" applyAlignment="1">
      <alignment horizontal="left" indent="1"/>
    </xf>
    <xf numFmtId="0" fontId="131" fillId="0" borderId="774" xfId="0" applyFont="1" applyBorder="1" applyAlignment="1">
      <alignment horizontal="center" vertical="center" wrapText="1"/>
    </xf>
    <xf numFmtId="0" fontId="157" fillId="0" borderId="581" xfId="0" applyFont="1" applyBorder="1" applyAlignment="1">
      <alignment horizontal="center"/>
    </xf>
    <xf numFmtId="0" fontId="157" fillId="0" borderId="631" xfId="0" applyFont="1" applyBorder="1" applyAlignment="1">
      <alignment horizontal="center"/>
    </xf>
    <xf numFmtId="0" fontId="26" fillId="0" borderId="774" xfId="0" applyFont="1" applyBorder="1" applyAlignment="1">
      <alignment horizontal="left" vertical="center" wrapText="1" indent="1"/>
    </xf>
    <xf numFmtId="0" fontId="117" fillId="0" borderId="774" xfId="0" applyFont="1" applyBorder="1" applyAlignment="1">
      <alignment horizontal="center" vertical="center" wrapText="1"/>
    </xf>
    <xf numFmtId="0" fontId="26" fillId="0" borderId="774" xfId="0" applyFont="1" applyBorder="1" applyAlignment="1">
      <alignment horizontal="center" vertical="center" wrapText="1"/>
    </xf>
    <xf numFmtId="0" fontId="15" fillId="0" borderId="581" xfId="0" applyFont="1" applyBorder="1"/>
    <xf numFmtId="0" fontId="15" fillId="0" borderId="631" xfId="0" applyFont="1" applyBorder="1"/>
    <xf numFmtId="165" fontId="117" fillId="0" borderId="774" xfId="0" applyNumberFormat="1" applyFont="1" applyBorder="1" applyAlignment="1">
      <alignment vertical="center"/>
    </xf>
    <xf numFmtId="165" fontId="118" fillId="0" borderId="581" xfId="0" applyNumberFormat="1" applyFont="1" applyBorder="1"/>
    <xf numFmtId="165" fontId="118" fillId="0" borderId="631" xfId="0" applyNumberFormat="1" applyFont="1" applyBorder="1"/>
    <xf numFmtId="0" fontId="126" fillId="13" borderId="774" xfId="0" applyFont="1" applyFill="1" applyBorder="1" applyAlignment="1">
      <alignment horizontal="left" vertical="center" wrapText="1" indent="1"/>
    </xf>
    <xf numFmtId="0" fontId="126" fillId="0" borderId="784" xfId="0" applyFont="1" applyBorder="1" applyAlignment="1">
      <alignment horizontal="left" vertical="center" wrapText="1" indent="1"/>
    </xf>
    <xf numFmtId="165" fontId="117" fillId="0" borderId="774" xfId="0" applyNumberFormat="1" applyFont="1" applyBorder="1" applyAlignment="1">
      <alignment horizontal="center" vertical="center" wrapText="1"/>
    </xf>
    <xf numFmtId="0" fontId="125" fillId="0" borderId="583" xfId="0" applyFont="1" applyBorder="1" applyAlignment="1">
      <alignment horizontal="left" indent="1"/>
    </xf>
    <xf numFmtId="0" fontId="125" fillId="0" borderId="882" xfId="0" applyFont="1" applyBorder="1" applyAlignment="1">
      <alignment horizontal="left" indent="1"/>
    </xf>
    <xf numFmtId="0" fontId="118" fillId="0" borderId="583" xfId="0" applyFont="1" applyBorder="1"/>
    <xf numFmtId="0" fontId="134" fillId="0" borderId="625" xfId="0" applyFont="1" applyBorder="1" applyAlignment="1">
      <alignment horizontal="left" vertical="center" wrapText="1" indent="1"/>
    </xf>
    <xf numFmtId="0" fontId="126" fillId="0" borderId="774" xfId="0" applyFont="1" applyBorder="1" applyAlignment="1">
      <alignment horizontal="left" vertical="center" wrapText="1" indent="1"/>
    </xf>
    <xf numFmtId="0" fontId="134" fillId="0" borderId="774" xfId="0" applyFont="1" applyBorder="1" applyAlignment="1">
      <alignment horizontal="left" vertical="center" wrapText="1" indent="1"/>
    </xf>
    <xf numFmtId="0" fontId="184" fillId="0" borderId="774" xfId="0" applyFont="1" applyBorder="1" applyAlignment="1">
      <alignment horizontal="left" vertical="center" wrapText="1" indent="1"/>
    </xf>
    <xf numFmtId="0" fontId="134" fillId="0" borderId="877" xfId="0" applyFont="1" applyBorder="1" applyAlignment="1">
      <alignment horizontal="left" vertical="center" wrapText="1" indent="1"/>
    </xf>
    <xf numFmtId="0" fontId="125" fillId="0" borderId="863" xfId="0" applyFont="1" applyBorder="1" applyAlignment="1">
      <alignment horizontal="left" indent="1"/>
    </xf>
    <xf numFmtId="0" fontId="125" fillId="0" borderId="873" xfId="0" applyFont="1" applyBorder="1" applyAlignment="1">
      <alignment horizontal="left" indent="1"/>
    </xf>
    <xf numFmtId="0" fontId="134" fillId="0" borderId="861" xfId="0" applyFont="1" applyBorder="1" applyAlignment="1">
      <alignment horizontal="left" vertical="center" wrapText="1" indent="1"/>
    </xf>
    <xf numFmtId="0" fontId="125" fillId="0" borderId="865" xfId="0" applyFont="1" applyBorder="1" applyAlignment="1">
      <alignment horizontal="left" indent="1"/>
    </xf>
    <xf numFmtId="1" fontId="117" fillId="0" borderId="634" xfId="0" applyNumberFormat="1" applyFont="1" applyBorder="1" applyAlignment="1">
      <alignment horizontal="center" vertical="center"/>
    </xf>
    <xf numFmtId="3" fontId="117" fillId="0" borderId="634" xfId="0" applyNumberFormat="1" applyFont="1" applyBorder="1" applyAlignment="1">
      <alignment horizontal="center" vertical="center" wrapText="1"/>
    </xf>
    <xf numFmtId="3" fontId="118" fillId="0" borderId="628" xfId="0" applyNumberFormat="1" applyFont="1" applyBorder="1"/>
    <xf numFmtId="0" fontId="152" fillId="2" borderId="407" xfId="0" applyFont="1" applyFill="1" applyBorder="1" applyAlignment="1">
      <alignment horizontal="center" vertical="center" textRotation="90" wrapText="1"/>
    </xf>
    <xf numFmtId="0" fontId="152" fillId="8" borderId="440" xfId="0" applyFont="1" applyFill="1" applyBorder="1" applyAlignment="1">
      <alignment horizontal="center" vertical="center" textRotation="90" wrapText="1"/>
    </xf>
    <xf numFmtId="0" fontId="150" fillId="0" borderId="441" xfId="0" applyFont="1" applyBorder="1"/>
    <xf numFmtId="0" fontId="125" fillId="0" borderId="875" xfId="0" applyFont="1" applyBorder="1" applyAlignment="1">
      <alignment horizontal="left" indent="1"/>
    </xf>
    <xf numFmtId="0" fontId="134" fillId="13" borderId="877" xfId="0" applyFont="1" applyFill="1" applyBorder="1" applyAlignment="1">
      <alignment horizontal="left" vertical="center" wrapText="1" indent="1"/>
    </xf>
    <xf numFmtId="0" fontId="152" fillId="8" borderId="138" xfId="0" applyFont="1" applyFill="1" applyBorder="1" applyAlignment="1">
      <alignment horizontal="center" vertical="center" textRotation="90" wrapText="1"/>
    </xf>
    <xf numFmtId="0" fontId="150" fillId="0" borderId="869" xfId="0" applyFont="1" applyBorder="1"/>
    <xf numFmtId="0" fontId="134" fillId="0" borderId="867" xfId="0" applyFont="1" applyBorder="1" applyAlignment="1">
      <alignment horizontal="left" vertical="center" wrapText="1" indent="1"/>
    </xf>
    <xf numFmtId="0" fontId="134" fillId="13" borderId="861" xfId="0" applyFont="1" applyFill="1" applyBorder="1" applyAlignment="1">
      <alignment horizontal="left" vertical="center" wrapText="1" indent="1"/>
    </xf>
    <xf numFmtId="0" fontId="12" fillId="2" borderId="355" xfId="0" applyFont="1" applyFill="1" applyBorder="1" applyAlignment="1">
      <alignment horizontal="center" vertical="center" textRotation="90" wrapText="1"/>
    </xf>
    <xf numFmtId="1" fontId="117" fillId="13" borderId="625" xfId="0" applyNumberFormat="1" applyFont="1" applyFill="1" applyBorder="1" applyAlignment="1">
      <alignment horizontal="center" vertical="center" wrapText="1"/>
    </xf>
    <xf numFmtId="0" fontId="134" fillId="13" borderId="625" xfId="0" applyFont="1" applyFill="1" applyBorder="1" applyAlignment="1">
      <alignment horizontal="left" vertical="center" wrapText="1" indent="1"/>
    </xf>
    <xf numFmtId="0" fontId="126" fillId="0" borderId="862" xfId="0" applyFont="1" applyBorder="1" applyAlignment="1">
      <alignment horizontal="left" vertical="center" wrapText="1" indent="1"/>
    </xf>
    <xf numFmtId="0" fontId="132" fillId="8" borderId="843" xfId="0" applyFont="1" applyFill="1" applyBorder="1" applyAlignment="1">
      <alignment horizontal="left" vertical="center" indent="1"/>
    </xf>
    <xf numFmtId="0" fontId="125" fillId="0" borderId="634" xfId="0" applyFont="1" applyBorder="1" applyAlignment="1">
      <alignment horizontal="left" vertical="center" wrapText="1" indent="1"/>
    </xf>
    <xf numFmtId="0" fontId="117" fillId="0" borderId="625" xfId="0" applyFont="1" applyBorder="1" applyAlignment="1">
      <alignment horizontal="center" vertical="center" wrapText="1"/>
    </xf>
    <xf numFmtId="0" fontId="182" fillId="0" borderId="0" xfId="0" applyFont="1" applyAlignment="1">
      <alignment horizontal="center" vertical="center"/>
    </xf>
    <xf numFmtId="0" fontId="114" fillId="13" borderId="625" xfId="0" applyFont="1" applyFill="1" applyBorder="1" applyAlignment="1">
      <alignment horizontal="left" vertical="center" wrapText="1" indent="1"/>
    </xf>
    <xf numFmtId="0" fontId="126" fillId="13" borderId="833" xfId="0" applyFont="1" applyFill="1" applyBorder="1" applyAlignment="1">
      <alignment horizontal="left" vertical="center" wrapText="1" indent="1"/>
    </xf>
    <xf numFmtId="0" fontId="186" fillId="0" borderId="863" xfId="0" applyFont="1" applyBorder="1" applyAlignment="1">
      <alignment horizontal="left" indent="1"/>
    </xf>
    <xf numFmtId="0" fontId="186" fillId="0" borderId="873" xfId="0" applyFont="1" applyBorder="1" applyAlignment="1">
      <alignment horizontal="left" indent="1"/>
    </xf>
    <xf numFmtId="0" fontId="114" fillId="0" borderId="863" xfId="0" applyFont="1" applyBorder="1" applyAlignment="1">
      <alignment horizontal="left" indent="1"/>
    </xf>
    <xf numFmtId="0" fontId="117" fillId="0" borderId="634" xfId="0" applyFont="1" applyBorder="1" applyAlignment="1">
      <alignment horizontal="center" vertical="center" wrapText="1"/>
    </xf>
    <xf numFmtId="0" fontId="134" fillId="13" borderId="634" xfId="0" applyFont="1" applyFill="1" applyBorder="1" applyAlignment="1">
      <alignment horizontal="left" vertical="center" wrapText="1" indent="1"/>
    </xf>
    <xf numFmtId="1" fontId="126" fillId="0" borderId="634" xfId="0" applyNumberFormat="1" applyFont="1" applyBorder="1" applyAlignment="1">
      <alignment horizontal="left" vertical="center" wrapText="1" indent="1"/>
    </xf>
    <xf numFmtId="1" fontId="117" fillId="0" borderId="625" xfId="0" applyNumberFormat="1" applyFont="1" applyBorder="1" applyAlignment="1">
      <alignment horizontal="center" vertical="center"/>
    </xf>
    <xf numFmtId="1" fontId="126" fillId="0" borderId="625" xfId="0" applyNumberFormat="1" applyFont="1" applyBorder="1" applyAlignment="1">
      <alignment horizontal="left" vertical="center" wrapText="1" indent="1"/>
    </xf>
    <xf numFmtId="1" fontId="126" fillId="13" borderId="625" xfId="0" applyNumberFormat="1" applyFont="1" applyFill="1" applyBorder="1" applyAlignment="1">
      <alignment horizontal="left" vertical="center" wrapText="1" indent="1"/>
    </xf>
    <xf numFmtId="0" fontId="126" fillId="0" borderId="350" xfId="0" applyFont="1" applyBorder="1" applyAlignment="1">
      <alignment horizontal="left" vertical="center" wrapText="1" indent="1"/>
    </xf>
    <xf numFmtId="0" fontId="15" fillId="0" borderId="351" xfId="0" applyFont="1" applyBorder="1" applyAlignment="1">
      <alignment horizontal="left" indent="1"/>
    </xf>
    <xf numFmtId="0" fontId="15" fillId="0" borderId="352" xfId="0" applyFont="1" applyBorder="1" applyAlignment="1">
      <alignment horizontal="left" indent="1"/>
    </xf>
    <xf numFmtId="0" fontId="152" fillId="12" borderId="347" xfId="0" applyFont="1" applyFill="1" applyBorder="1" applyAlignment="1">
      <alignment horizontal="center" vertical="center" textRotation="90" wrapText="1"/>
    </xf>
    <xf numFmtId="0" fontId="38" fillId="0" borderId="204" xfId="0" applyFont="1" applyBorder="1" applyAlignment="1">
      <alignment horizontal="left" vertical="center" wrapText="1" indent="1"/>
    </xf>
    <xf numFmtId="0" fontId="26" fillId="0" borderId="344" xfId="0" applyFont="1" applyBorder="1" applyAlignment="1">
      <alignment horizontal="left" vertical="center" wrapText="1" indent="1"/>
    </xf>
    <xf numFmtId="0" fontId="15" fillId="0" borderId="345" xfId="0" applyFont="1" applyBorder="1" applyAlignment="1">
      <alignment horizontal="left" indent="1"/>
    </xf>
    <xf numFmtId="0" fontId="15" fillId="0" borderId="346" xfId="0" applyFont="1" applyBorder="1" applyAlignment="1">
      <alignment horizontal="left" indent="1"/>
    </xf>
    <xf numFmtId="0" fontId="126" fillId="0" borderId="344" xfId="0" applyFont="1" applyBorder="1" applyAlignment="1">
      <alignment horizontal="left" vertical="center" wrapText="1" indent="1"/>
    </xf>
    <xf numFmtId="0" fontId="26" fillId="0" borderId="22" xfId="0" applyFont="1" applyBorder="1" applyAlignment="1">
      <alignment horizontal="left" vertical="center" wrapText="1" indent="1"/>
    </xf>
    <xf numFmtId="0" fontId="126" fillId="0" borderId="348" xfId="0" applyFont="1" applyBorder="1" applyAlignment="1">
      <alignment horizontal="left" vertical="center" wrapText="1" indent="1"/>
    </xf>
    <xf numFmtId="0" fontId="126" fillId="0" borderId="349" xfId="0" applyFont="1" applyBorder="1" applyAlignment="1">
      <alignment horizontal="left" vertical="center" wrapText="1" indent="1"/>
    </xf>
    <xf numFmtId="0" fontId="15" fillId="0" borderId="265" xfId="0" applyFont="1" applyBorder="1" applyAlignment="1">
      <alignment horizontal="left" indent="1"/>
    </xf>
    <xf numFmtId="0" fontId="15" fillId="0" borderId="267" xfId="0" applyFont="1" applyBorder="1" applyAlignment="1">
      <alignment horizontal="left" indent="1"/>
    </xf>
    <xf numFmtId="0" fontId="125" fillId="0" borderId="646" xfId="0" applyFont="1" applyBorder="1" applyAlignment="1">
      <alignment horizontal="left" indent="1"/>
    </xf>
    <xf numFmtId="0" fontId="125" fillId="0" borderId="648" xfId="0" applyFont="1" applyBorder="1" applyAlignment="1">
      <alignment horizontal="left" indent="1"/>
    </xf>
    <xf numFmtId="0" fontId="132" fillId="12" borderId="382" xfId="0" applyFont="1" applyFill="1" applyBorder="1" applyAlignment="1">
      <alignment horizontal="left" vertical="center" indent="1"/>
    </xf>
    <xf numFmtId="4" fontId="12" fillId="2" borderId="675" xfId="0" applyNumberFormat="1" applyFont="1" applyFill="1" applyBorder="1" applyAlignment="1">
      <alignment horizontal="center" vertical="center" wrapText="1"/>
    </xf>
    <xf numFmtId="0" fontId="126" fillId="0" borderId="709" xfId="0" applyFont="1" applyBorder="1" applyAlignment="1">
      <alignment horizontal="left" vertical="center" wrapText="1" indent="1"/>
    </xf>
    <xf numFmtId="0" fontId="126" fillId="4" borderId="683" xfId="0" applyFont="1" applyFill="1" applyBorder="1" applyAlignment="1">
      <alignment horizontal="left" vertical="center" wrapText="1" indent="1"/>
    </xf>
    <xf numFmtId="0" fontId="125" fillId="0" borderId="680" xfId="0" applyFont="1" applyBorder="1" applyAlignment="1">
      <alignment horizontal="left" indent="1"/>
    </xf>
    <xf numFmtId="0" fontId="125" fillId="0" borderId="681" xfId="0" applyFont="1" applyBorder="1" applyAlignment="1">
      <alignment horizontal="left" indent="1"/>
    </xf>
    <xf numFmtId="0" fontId="126" fillId="4" borderId="649" xfId="0" applyFont="1" applyFill="1" applyBorder="1" applyAlignment="1">
      <alignment horizontal="left" vertical="center" wrapText="1" indent="1"/>
    </xf>
    <xf numFmtId="0" fontId="125" fillId="0" borderId="899" xfId="0" applyFont="1" applyBorder="1" applyAlignment="1">
      <alignment horizontal="left" indent="1"/>
    </xf>
    <xf numFmtId="4" fontId="54" fillId="2" borderId="673" xfId="0" applyNumberFormat="1" applyFont="1" applyFill="1" applyBorder="1" applyAlignment="1">
      <alignment horizontal="left" vertical="center" wrapText="1" indent="1"/>
    </xf>
    <xf numFmtId="0" fontId="15" fillId="0" borderId="673" xfId="0" applyFont="1" applyBorder="1" applyAlignment="1">
      <alignment horizontal="left" indent="1"/>
    </xf>
    <xf numFmtId="0" fontId="15" fillId="0" borderId="799" xfId="0" applyFont="1" applyBorder="1" applyAlignment="1">
      <alignment horizontal="left" indent="1"/>
    </xf>
    <xf numFmtId="0" fontId="15" fillId="0" borderId="858" xfId="0" applyFont="1" applyBorder="1" applyAlignment="1">
      <alignment horizontal="left" indent="1"/>
    </xf>
    <xf numFmtId="1" fontId="117" fillId="0" borderId="799" xfId="0" applyNumberFormat="1" applyFont="1" applyBorder="1" applyAlignment="1">
      <alignment horizontal="center" vertical="center" wrapText="1"/>
    </xf>
    <xf numFmtId="0" fontId="126" fillId="4" borderId="857" xfId="0" applyFont="1" applyFill="1" applyBorder="1" applyAlignment="1">
      <alignment horizontal="left" vertical="center" wrapText="1" indent="1"/>
    </xf>
    <xf numFmtId="0" fontId="15" fillId="0" borderId="900" xfId="0" applyFont="1" applyBorder="1" applyAlignment="1">
      <alignment horizontal="left" indent="1"/>
    </xf>
    <xf numFmtId="0" fontId="126" fillId="0" borderId="857" xfId="0" applyFont="1" applyBorder="1" applyAlignment="1">
      <alignment horizontal="left" vertical="center" wrapText="1" indent="1"/>
    </xf>
    <xf numFmtId="3" fontId="117" fillId="0" borderId="857" xfId="0" applyNumberFormat="1" applyFont="1" applyBorder="1" applyAlignment="1">
      <alignment horizontal="center" vertical="center" wrapText="1"/>
    </xf>
    <xf numFmtId="3" fontId="118" fillId="0" borderId="799" xfId="0" applyNumberFormat="1" applyFont="1" applyBorder="1"/>
    <xf numFmtId="3" fontId="118" fillId="0" borderId="900" xfId="0" applyNumberFormat="1" applyFont="1" applyBorder="1"/>
    <xf numFmtId="0" fontId="26" fillId="4" borderId="888" xfId="0" applyFont="1" applyFill="1" applyBorder="1" applyAlignment="1">
      <alignment horizontal="left" vertical="center" wrapText="1" indent="1"/>
    </xf>
    <xf numFmtId="0" fontId="26" fillId="0" borderId="888" xfId="0" applyFont="1" applyBorder="1" applyAlignment="1">
      <alignment horizontal="left" vertical="center" wrapText="1" indent="1"/>
    </xf>
    <xf numFmtId="0" fontId="38" fillId="0" borderId="888" xfId="0" applyFont="1" applyBorder="1" applyAlignment="1">
      <alignment horizontal="left" vertical="center" wrapText="1" indent="1"/>
    </xf>
    <xf numFmtId="0" fontId="125" fillId="0" borderId="903" xfId="0" applyFont="1" applyBorder="1" applyAlignment="1">
      <alignment horizontal="left" indent="1"/>
    </xf>
    <xf numFmtId="0" fontId="117" fillId="0" borderId="857" xfId="0" applyFont="1" applyBorder="1" applyAlignment="1">
      <alignment horizontal="center" vertical="center" wrapText="1"/>
    </xf>
    <xf numFmtId="0" fontId="126" fillId="0" borderId="888" xfId="0" applyFont="1" applyBorder="1" applyAlignment="1">
      <alignment horizontal="left" vertical="center" wrapText="1" indent="1"/>
    </xf>
    <xf numFmtId="0" fontId="38" fillId="0" borderId="887" xfId="0" applyFont="1" applyBorder="1" applyAlignment="1">
      <alignment horizontal="left" vertical="center" wrapText="1" indent="1"/>
    </xf>
    <xf numFmtId="0" fontId="15" fillId="0" borderId="796" xfId="0" applyFont="1" applyBorder="1" applyAlignment="1">
      <alignment horizontal="left" indent="1"/>
    </xf>
    <xf numFmtId="0" fontId="15" fillId="0" borderId="891" xfId="0" applyFont="1" applyBorder="1" applyAlignment="1">
      <alignment horizontal="left" indent="1"/>
    </xf>
    <xf numFmtId="0" fontId="126" fillId="13" borderId="449" xfId="0" applyFont="1" applyFill="1" applyBorder="1" applyAlignment="1">
      <alignment horizontal="left" vertical="center" wrapText="1" indent="1"/>
    </xf>
    <xf numFmtId="0" fontId="126" fillId="4" borderId="452" xfId="0" applyFont="1" applyFill="1" applyBorder="1" applyAlignment="1">
      <alignment horizontal="left" vertical="center" wrapText="1" indent="1"/>
    </xf>
    <xf numFmtId="0" fontId="15" fillId="0" borderId="453" xfId="0" applyFont="1" applyBorder="1" applyAlignment="1">
      <alignment horizontal="left" indent="1"/>
    </xf>
    <xf numFmtId="0" fontId="15" fillId="0" borderId="456" xfId="0" applyFont="1" applyBorder="1" applyAlignment="1">
      <alignment horizontal="left" indent="1"/>
    </xf>
    <xf numFmtId="0" fontId="126" fillId="13" borderId="857" xfId="0" applyFont="1" applyFill="1" applyBorder="1" applyAlignment="1">
      <alignment horizontal="left" vertical="center" wrapText="1" indent="1"/>
    </xf>
    <xf numFmtId="0" fontId="125" fillId="4" borderId="857" xfId="0" applyFont="1" applyFill="1" applyBorder="1" applyAlignment="1">
      <alignment horizontal="left" vertical="center" wrapText="1" indent="1"/>
    </xf>
    <xf numFmtId="0" fontId="140" fillId="0" borderId="799" xfId="0" applyFont="1" applyBorder="1" applyAlignment="1">
      <alignment horizontal="left" indent="1"/>
    </xf>
    <xf numFmtId="0" fontId="140" fillId="0" borderId="858" xfId="0" applyFont="1" applyBorder="1" applyAlignment="1">
      <alignment horizontal="left" indent="1"/>
    </xf>
    <xf numFmtId="0" fontId="126" fillId="4" borderId="709" xfId="0" applyFont="1" applyFill="1" applyBorder="1" applyAlignment="1">
      <alignment horizontal="left" vertical="center" wrapText="1" indent="1"/>
    </xf>
    <xf numFmtId="0" fontId="126" fillId="4" borderId="646" xfId="0" applyFont="1" applyFill="1" applyBorder="1" applyAlignment="1">
      <alignment horizontal="left" vertical="center" wrapText="1" indent="1"/>
    </xf>
    <xf numFmtId="0" fontId="126" fillId="4" borderId="888" xfId="0" applyFont="1" applyFill="1" applyBorder="1" applyAlignment="1">
      <alignment horizontal="left" vertical="center" wrapText="1" indent="1"/>
    </xf>
    <xf numFmtId="1" fontId="117" fillId="0" borderId="888" xfId="0" applyNumberFormat="1" applyFont="1" applyBorder="1" applyAlignment="1">
      <alignment horizontal="center" vertical="center" wrapText="1"/>
    </xf>
    <xf numFmtId="0" fontId="126" fillId="4" borderId="889" xfId="0" applyFont="1" applyFill="1" applyBorder="1" applyAlignment="1">
      <alignment horizontal="left" vertical="center" wrapText="1" indent="1"/>
    </xf>
    <xf numFmtId="0" fontId="15" fillId="0" borderId="890" xfId="0" applyFont="1" applyBorder="1" applyAlignment="1">
      <alignment horizontal="left" indent="1"/>
    </xf>
    <xf numFmtId="0" fontId="15" fillId="0" borderId="892" xfId="0" applyFont="1" applyBorder="1" applyAlignment="1">
      <alignment horizontal="left" indent="1"/>
    </xf>
    <xf numFmtId="1" fontId="117" fillId="13" borderId="857" xfId="0" applyNumberFormat="1" applyFont="1" applyFill="1" applyBorder="1" applyAlignment="1">
      <alignment horizontal="center" vertical="center" wrapText="1"/>
    </xf>
    <xf numFmtId="0" fontId="38" fillId="13" borderId="163" xfId="0" applyFont="1" applyFill="1" applyBorder="1" applyAlignment="1">
      <alignment horizontal="left" vertical="center" wrapText="1" indent="1"/>
    </xf>
    <xf numFmtId="0" fontId="26" fillId="13" borderId="179" xfId="0" applyFont="1" applyFill="1" applyBorder="1" applyAlignment="1">
      <alignment horizontal="left" vertical="center" wrapText="1" indent="1"/>
    </xf>
    <xf numFmtId="0" fontId="38" fillId="13" borderId="179" xfId="0" applyFont="1" applyFill="1" applyBorder="1" applyAlignment="1">
      <alignment horizontal="left" vertical="center" wrapText="1" indent="1"/>
    </xf>
    <xf numFmtId="0" fontId="15" fillId="0" borderId="894" xfId="0" applyFont="1" applyBorder="1" applyAlignment="1">
      <alignment horizontal="left" indent="1"/>
    </xf>
    <xf numFmtId="0" fontId="118" fillId="0" borderId="894" xfId="0" applyFont="1" applyBorder="1"/>
    <xf numFmtId="0" fontId="15" fillId="0" borderId="895" xfId="0" applyFont="1" applyBorder="1" applyAlignment="1">
      <alignment horizontal="left" indent="1"/>
    </xf>
    <xf numFmtId="0" fontId="15" fillId="0" borderId="893" xfId="0" applyFont="1" applyBorder="1" applyAlignment="1">
      <alignment horizontal="left" indent="1"/>
    </xf>
    <xf numFmtId="0" fontId="150" fillId="0" borderId="357" xfId="0" applyFont="1" applyBorder="1"/>
    <xf numFmtId="0" fontId="150" fillId="0" borderId="371" xfId="0" applyFont="1" applyBorder="1"/>
    <xf numFmtId="0" fontId="150" fillId="0" borderId="711" xfId="0" applyFont="1" applyBorder="1"/>
    <xf numFmtId="0" fontId="150" fillId="0" borderId="367" xfId="0" applyFont="1" applyBorder="1"/>
    <xf numFmtId="1" fontId="56" fillId="13" borderId="179" xfId="0" applyNumberFormat="1" applyFont="1" applyFill="1" applyBorder="1" applyAlignment="1">
      <alignment horizontal="center" vertical="center" wrapText="1"/>
    </xf>
    <xf numFmtId="1" fontId="56" fillId="13" borderId="248" xfId="0" applyNumberFormat="1" applyFont="1" applyFill="1" applyBorder="1" applyAlignment="1">
      <alignment horizontal="center" vertical="center" wrapText="1"/>
    </xf>
    <xf numFmtId="1" fontId="56" fillId="13" borderId="474" xfId="0" applyNumberFormat="1" applyFont="1" applyFill="1" applyBorder="1" applyAlignment="1">
      <alignment horizontal="center" vertical="center" wrapText="1"/>
    </xf>
    <xf numFmtId="0" fontId="152" fillId="2" borderId="712" xfId="0" applyFont="1" applyFill="1" applyBorder="1" applyAlignment="1">
      <alignment horizontal="center" vertical="center" textRotation="90" wrapText="1"/>
    </xf>
    <xf numFmtId="0" fontId="150" fillId="0" borderId="368" xfId="0" applyFont="1" applyBorder="1"/>
    <xf numFmtId="0" fontId="126" fillId="13" borderId="179" xfId="0" applyFont="1" applyFill="1" applyBorder="1" applyAlignment="1">
      <alignment horizontal="left" vertical="center" wrapText="1" indent="1"/>
    </xf>
    <xf numFmtId="0" fontId="54" fillId="2" borderId="652" xfId="0" applyFont="1" applyFill="1" applyBorder="1" applyAlignment="1">
      <alignment horizontal="left" vertical="center" indent="1"/>
    </xf>
    <xf numFmtId="0" fontId="15" fillId="0" borderId="652" xfId="0" applyFont="1" applyBorder="1" applyAlignment="1">
      <alignment horizontal="left" indent="1"/>
    </xf>
    <xf numFmtId="0" fontId="41" fillId="4" borderId="649" xfId="0" applyFont="1" applyFill="1" applyBorder="1" applyAlignment="1">
      <alignment horizontal="center" vertical="center" wrapText="1"/>
    </xf>
    <xf numFmtId="0" fontId="41" fillId="4" borderId="687" xfId="0" applyFont="1" applyFill="1" applyBorder="1" applyAlignment="1">
      <alignment horizontal="center" vertical="center" wrapText="1"/>
    </xf>
    <xf numFmtId="0" fontId="15" fillId="0" borderId="688" xfId="0" applyFont="1" applyBorder="1"/>
    <xf numFmtId="0" fontId="15" fillId="0" borderId="689" xfId="0" applyFont="1" applyBorder="1"/>
    <xf numFmtId="0" fontId="41" fillId="4" borderId="646" xfId="0" applyFont="1" applyFill="1" applyBorder="1" applyAlignment="1">
      <alignment horizontal="center" vertical="center" wrapText="1"/>
    </xf>
    <xf numFmtId="0" fontId="162" fillId="16" borderId="651" xfId="0" applyFont="1" applyFill="1" applyBorder="1" applyAlignment="1">
      <alignment horizontal="left" vertical="center" indent="1"/>
    </xf>
    <xf numFmtId="0" fontId="152" fillId="12" borderId="718" xfId="0" applyFont="1" applyFill="1" applyBorder="1" applyAlignment="1">
      <alignment horizontal="center" vertical="center" textRotation="90" wrapText="1"/>
    </xf>
    <xf numFmtId="0" fontId="150" fillId="0" borderId="719" xfId="0" applyFont="1" applyBorder="1"/>
    <xf numFmtId="0" fontId="134" fillId="0" borderId="905" xfId="0" applyFont="1" applyBorder="1" applyAlignment="1">
      <alignment horizontal="left" vertical="center" wrapText="1" indent="1"/>
    </xf>
    <xf numFmtId="0" fontId="125" fillId="0" borderId="796" xfId="0" applyFont="1" applyBorder="1" applyAlignment="1">
      <alignment horizontal="left" indent="1"/>
    </xf>
    <xf numFmtId="0" fontId="134" fillId="0" borderId="795" xfId="0" applyFont="1" applyBorder="1" applyAlignment="1">
      <alignment horizontal="left" vertical="center" wrapText="1" indent="1"/>
    </xf>
    <xf numFmtId="0" fontId="125" fillId="0" borderId="891" xfId="0" applyFont="1" applyBorder="1" applyAlignment="1">
      <alignment horizontal="left" indent="1"/>
    </xf>
    <xf numFmtId="0" fontId="134" fillId="0" borderId="796" xfId="0" applyFont="1" applyBorder="1" applyAlignment="1">
      <alignment horizontal="left" vertical="center" wrapText="1" indent="1"/>
    </xf>
    <xf numFmtId="0" fontId="126" fillId="0" borderId="799" xfId="0" applyFont="1" applyBorder="1" applyAlignment="1">
      <alignment horizontal="left" vertical="center" wrapText="1" indent="1"/>
    </xf>
    <xf numFmtId="0" fontId="125" fillId="0" borderId="799" xfId="0" applyFont="1" applyBorder="1" applyAlignment="1">
      <alignment horizontal="left" indent="1"/>
    </xf>
    <xf numFmtId="0" fontId="126" fillId="0" borderId="798" xfId="0" applyFont="1" applyBorder="1" applyAlignment="1">
      <alignment horizontal="left" vertical="center" wrapText="1" indent="1"/>
    </xf>
    <xf numFmtId="0" fontId="125" fillId="0" borderId="900" xfId="0" applyFont="1" applyBorder="1" applyAlignment="1">
      <alignment horizontal="left" indent="1"/>
    </xf>
    <xf numFmtId="0" fontId="125" fillId="0" borderId="797" xfId="0" applyFont="1" applyBorder="1" applyAlignment="1">
      <alignment horizontal="left" indent="1"/>
    </xf>
    <xf numFmtId="0" fontId="125" fillId="0" borderId="800" xfId="0" applyFont="1" applyBorder="1" applyAlignment="1">
      <alignment horizontal="left" indent="1"/>
    </xf>
    <xf numFmtId="0" fontId="126" fillId="0" borderId="906" xfId="0" applyFont="1" applyBorder="1" applyAlignment="1">
      <alignment horizontal="left" vertical="center" wrapText="1" indent="1"/>
    </xf>
    <xf numFmtId="0" fontId="134" fillId="0" borderId="799" xfId="0" applyFont="1" applyBorder="1" applyAlignment="1">
      <alignment horizontal="left" vertical="center" wrapText="1" indent="1"/>
    </xf>
    <xf numFmtId="0" fontId="56" fillId="0" borderId="798" xfId="0" applyFont="1" applyBorder="1" applyAlignment="1">
      <alignment horizontal="center" vertical="center" wrapText="1"/>
    </xf>
    <xf numFmtId="0" fontId="15" fillId="0" borderId="799" xfId="0" applyFont="1" applyBorder="1"/>
    <xf numFmtId="0" fontId="15" fillId="0" borderId="900" xfId="0" applyFont="1" applyBorder="1"/>
    <xf numFmtId="0" fontId="126" fillId="4" borderId="909" xfId="0" applyFont="1" applyFill="1" applyBorder="1" applyAlignment="1">
      <alignment horizontal="left" vertical="center" wrapText="1" indent="1"/>
    </xf>
    <xf numFmtId="0" fontId="125" fillId="0" borderId="890" xfId="0" applyFont="1" applyBorder="1" applyAlignment="1">
      <alignment horizontal="left" indent="1"/>
    </xf>
    <xf numFmtId="0" fontId="125" fillId="0" borderId="908" xfId="0" applyFont="1" applyBorder="1" applyAlignment="1">
      <alignment horizontal="left" indent="1"/>
    </xf>
    <xf numFmtId="0" fontId="134" fillId="0" borderId="798" xfId="0" applyFont="1" applyBorder="1" applyAlignment="1">
      <alignment horizontal="left" vertical="center" wrapText="1" indent="1"/>
    </xf>
    <xf numFmtId="0" fontId="56" fillId="0" borderId="799" xfId="0" applyFont="1" applyBorder="1" applyAlignment="1">
      <alignment horizontal="center" vertical="center" wrapText="1"/>
    </xf>
    <xf numFmtId="0" fontId="126" fillId="4" borderId="890" xfId="0" applyFont="1" applyFill="1" applyBorder="1" applyAlignment="1">
      <alignment horizontal="left" vertical="center" wrapText="1" indent="1"/>
    </xf>
    <xf numFmtId="1" fontId="56" fillId="0" borderId="798" xfId="0" applyNumberFormat="1" applyFont="1" applyBorder="1" applyAlignment="1">
      <alignment horizontal="center" vertical="center" wrapText="1"/>
    </xf>
    <xf numFmtId="0" fontId="38" fillId="12" borderId="467" xfId="0" applyFont="1" applyFill="1" applyBorder="1" applyAlignment="1">
      <alignment horizontal="left" vertical="center"/>
    </xf>
    <xf numFmtId="0" fontId="15" fillId="0" borderId="800" xfId="0" applyFont="1" applyBorder="1"/>
    <xf numFmtId="0" fontId="126" fillId="0" borderId="799" xfId="0" quotePrefix="1" applyFont="1" applyBorder="1" applyAlignment="1">
      <alignment horizontal="left" vertical="center" wrapText="1" indent="1"/>
    </xf>
    <xf numFmtId="0" fontId="125" fillId="0" borderId="904" xfId="0" applyFont="1" applyBorder="1" applyAlignment="1">
      <alignment horizontal="left" indent="1"/>
    </xf>
    <xf numFmtId="0" fontId="41" fillId="0" borderId="912" xfId="0" applyFont="1" applyBorder="1" applyAlignment="1">
      <alignment horizontal="center" vertical="center" wrapText="1"/>
    </xf>
    <xf numFmtId="0" fontId="15" fillId="0" borderId="807" xfId="0" applyFont="1" applyBorder="1"/>
    <xf numFmtId="0" fontId="41" fillId="0" borderId="688" xfId="0" applyFont="1" applyBorder="1" applyAlignment="1">
      <alignment horizontal="center" vertical="center" wrapText="1"/>
    </xf>
    <xf numFmtId="0" fontId="15" fillId="0" borderId="694" xfId="0" applyFont="1" applyBorder="1"/>
    <xf numFmtId="0" fontId="24" fillId="12" borderId="382" xfId="0" applyFont="1" applyFill="1" applyBorder="1" applyAlignment="1">
      <alignment horizontal="center" vertical="center"/>
    </xf>
    <xf numFmtId="0" fontId="56" fillId="0" borderId="906" xfId="0" applyFont="1" applyBorder="1" applyAlignment="1">
      <alignment horizontal="center" vertical="center" wrapText="1"/>
    </xf>
    <xf numFmtId="0" fontId="126" fillId="4" borderId="907" xfId="0" applyFont="1" applyFill="1" applyBorder="1" applyAlignment="1">
      <alignment horizontal="left" vertical="center" wrapText="1" indent="1"/>
    </xf>
    <xf numFmtId="0" fontId="126" fillId="13" borderId="798" xfId="0" applyFont="1" applyFill="1" applyBorder="1" applyAlignment="1">
      <alignment horizontal="left" vertical="center" wrapText="1" indent="1"/>
    </xf>
    <xf numFmtId="1" fontId="56" fillId="0" borderId="799" xfId="0" applyNumberFormat="1" applyFont="1" applyBorder="1" applyAlignment="1">
      <alignment horizontal="center" vertical="center" wrapText="1"/>
    </xf>
    <xf numFmtId="0" fontId="126" fillId="0" borderId="912" xfId="0" applyFont="1" applyBorder="1" applyAlignment="1">
      <alignment horizontal="left" vertical="center" wrapText="1" indent="1"/>
    </xf>
    <xf numFmtId="0" fontId="140" fillId="0" borderId="688" xfId="0" applyFont="1" applyBorder="1" applyAlignment="1">
      <alignment horizontal="left" indent="1"/>
    </xf>
    <xf numFmtId="0" fontId="140" fillId="0" borderId="807" xfId="0" applyFont="1" applyBorder="1" applyAlignment="1">
      <alignment horizontal="left" indent="1"/>
    </xf>
    <xf numFmtId="0" fontId="41" fillId="0" borderId="680" xfId="0" applyFont="1" applyBorder="1" applyAlignment="1">
      <alignment horizontal="center" vertical="center" wrapText="1"/>
    </xf>
    <xf numFmtId="0" fontId="126" fillId="14" borderId="799" xfId="0" applyFont="1" applyFill="1" applyBorder="1" applyAlignment="1">
      <alignment horizontal="left" vertical="center" wrapText="1" indent="1"/>
    </xf>
    <xf numFmtId="0" fontId="134" fillId="0" borderId="906" xfId="0" applyFont="1" applyBorder="1" applyAlignment="1">
      <alignment horizontal="left" vertical="center" wrapText="1" indent="1"/>
    </xf>
    <xf numFmtId="0" fontId="15" fillId="0" borderId="199" xfId="0" applyFont="1" applyBorder="1"/>
    <xf numFmtId="0" fontId="132" fillId="12" borderId="466" xfId="0" applyFont="1" applyFill="1" applyBorder="1" applyAlignment="1">
      <alignment horizontal="left" vertical="center" indent="1"/>
    </xf>
    <xf numFmtId="0" fontId="24" fillId="12" borderId="469" xfId="0" applyFont="1" applyFill="1" applyBorder="1" applyAlignment="1">
      <alignment horizontal="center" vertical="center"/>
    </xf>
    <xf numFmtId="0" fontId="41" fillId="0" borderId="692" xfId="0" applyFont="1" applyBorder="1" applyAlignment="1">
      <alignment horizontal="center" vertical="center" wrapText="1"/>
    </xf>
    <xf numFmtId="0" fontId="41" fillId="0" borderId="678" xfId="0" applyFont="1" applyBorder="1" applyAlignment="1">
      <alignment horizontal="center" vertical="center" wrapText="1"/>
    </xf>
    <xf numFmtId="1" fontId="56" fillId="0" borderId="906" xfId="0" applyNumberFormat="1" applyFont="1" applyBorder="1" applyAlignment="1">
      <alignment horizontal="center" vertical="center" wrapText="1"/>
    </xf>
    <xf numFmtId="0" fontId="126" fillId="0" borderId="906" xfId="0" quotePrefix="1" applyFont="1" applyBorder="1" applyAlignment="1">
      <alignment horizontal="left" vertical="center" wrapText="1" indent="1"/>
    </xf>
    <xf numFmtId="0" fontId="126" fillId="0" borderId="906" xfId="0" applyFont="1" applyFill="1" applyBorder="1" applyAlignment="1">
      <alignment horizontal="left" vertical="center" wrapText="1" indent="1"/>
    </xf>
    <xf numFmtId="0" fontId="125" fillId="0" borderId="799" xfId="0" applyFont="1" applyFill="1" applyBorder="1" applyAlignment="1">
      <alignment horizontal="left" indent="1"/>
    </xf>
    <xf numFmtId="0" fontId="132" fillId="12" borderId="222" xfId="0" applyFont="1" applyFill="1" applyBorder="1" applyAlignment="1">
      <alignment horizontal="left" vertical="center" indent="1"/>
    </xf>
    <xf numFmtId="0" fontId="157" fillId="0" borderId="310" xfId="0" applyFont="1" applyBorder="1" applyAlignment="1">
      <alignment horizontal="left" indent="1"/>
    </xf>
    <xf numFmtId="0" fontId="24" fillId="12" borderId="378" xfId="0" applyFont="1" applyFill="1" applyBorder="1" applyAlignment="1">
      <alignment horizontal="center" vertical="center"/>
    </xf>
    <xf numFmtId="0" fontId="0" fillId="0" borderId="375" xfId="0" applyFont="1" applyBorder="1" applyAlignment="1"/>
    <xf numFmtId="0" fontId="24" fillId="12" borderId="310" xfId="0" applyFont="1" applyFill="1" applyBorder="1" applyAlignment="1">
      <alignment horizontal="center" vertical="center"/>
    </xf>
    <xf numFmtId="0" fontId="15" fillId="0" borderId="310" xfId="0" applyFont="1" applyBorder="1"/>
    <xf numFmtId="0" fontId="15" fillId="0" borderId="713" xfId="0" applyFont="1" applyBorder="1"/>
    <xf numFmtId="0" fontId="126" fillId="0" borderId="688" xfId="0" applyFont="1" applyBorder="1" applyAlignment="1">
      <alignment horizontal="left" vertical="center" wrapText="1" indent="1"/>
    </xf>
    <xf numFmtId="0" fontId="56" fillId="4" borderId="888" xfId="0" applyFont="1" applyFill="1" applyBorder="1" applyAlignment="1">
      <alignment horizontal="center" vertical="center" wrapText="1"/>
    </xf>
    <xf numFmtId="0" fontId="56" fillId="0" borderId="888" xfId="0" applyFont="1" applyBorder="1" applyAlignment="1">
      <alignment horizontal="center" vertical="center" wrapText="1"/>
    </xf>
    <xf numFmtId="0" fontId="68" fillId="0" borderId="0" xfId="0" applyFont="1" applyAlignment="1">
      <alignment horizontal="center" vertical="center"/>
    </xf>
    <xf numFmtId="0" fontId="134" fillId="0" borderId="888" xfId="0" applyFont="1" applyBorder="1" applyAlignment="1">
      <alignment horizontal="left" vertical="center" wrapText="1" indent="1"/>
    </xf>
    <xf numFmtId="0" fontId="152" fillId="2" borderId="540" xfId="0" applyFont="1" applyFill="1" applyBorder="1" applyAlignment="1">
      <alignment horizontal="center" vertical="center" textRotation="90" wrapText="1"/>
    </xf>
    <xf numFmtId="0" fontId="152" fillId="12" borderId="720" xfId="0" applyFont="1" applyFill="1" applyBorder="1" applyAlignment="1">
      <alignment horizontal="center" vertical="center" textRotation="90" wrapText="1"/>
    </xf>
    <xf numFmtId="0" fontId="134" fillId="0" borderId="887" xfId="0" applyFont="1" applyBorder="1" applyAlignment="1">
      <alignment horizontal="left" vertical="center" wrapText="1" indent="1"/>
    </xf>
    <xf numFmtId="0" fontId="126" fillId="0" borderId="909" xfId="0" applyFont="1" applyBorder="1" applyAlignment="1">
      <alignment horizontal="left" vertical="center" wrapText="1" indent="1"/>
    </xf>
    <xf numFmtId="0" fontId="126" fillId="0" borderId="890" xfId="0" applyFont="1" applyBorder="1" applyAlignment="1">
      <alignment horizontal="left" vertical="center" wrapText="1" indent="1"/>
    </xf>
    <xf numFmtId="0" fontId="126" fillId="0" borderId="908" xfId="0" applyFont="1" applyBorder="1" applyAlignment="1">
      <alignment horizontal="left" vertical="center" wrapText="1" indent="1"/>
    </xf>
    <xf numFmtId="0" fontId="126" fillId="4" borderId="908" xfId="0" applyFont="1" applyFill="1" applyBorder="1" applyAlignment="1">
      <alignment horizontal="left" vertical="center" wrapText="1" indent="1"/>
    </xf>
    <xf numFmtId="0" fontId="126" fillId="0" borderId="900" xfId="0" applyFont="1" applyBorder="1" applyAlignment="1">
      <alignment horizontal="left" vertical="center" wrapText="1" indent="1"/>
    </xf>
    <xf numFmtId="0" fontId="125" fillId="0" borderId="919" xfId="0" applyFont="1" applyBorder="1" applyAlignment="1">
      <alignment horizontal="left" indent="1"/>
    </xf>
    <xf numFmtId="0" fontId="126" fillId="0" borderId="918" xfId="0" applyFont="1" applyBorder="1" applyAlignment="1">
      <alignment horizontal="left" vertical="center" wrapText="1" indent="1"/>
    </xf>
    <xf numFmtId="0" fontId="125" fillId="0" borderId="918" xfId="0" applyFont="1" applyBorder="1" applyAlignment="1">
      <alignment horizontal="left" indent="1"/>
    </xf>
    <xf numFmtId="0" fontId="134" fillId="0" borderId="918" xfId="0" applyFont="1" applyBorder="1" applyAlignment="1">
      <alignment horizontal="left" vertical="center" wrapText="1" indent="1"/>
    </xf>
    <xf numFmtId="0" fontId="126" fillId="0" borderId="919" xfId="0" applyFont="1" applyBorder="1" applyAlignment="1">
      <alignment horizontal="left" vertical="center" wrapText="1" indent="1"/>
    </xf>
    <xf numFmtId="0" fontId="134" fillId="0" borderId="891" xfId="0" applyFont="1" applyBorder="1" applyAlignment="1">
      <alignment horizontal="left" vertical="center" wrapText="1" indent="1"/>
    </xf>
    <xf numFmtId="0" fontId="134" fillId="0" borderId="900" xfId="0" applyFont="1" applyBorder="1" applyAlignment="1">
      <alignment horizontal="left" vertical="center" wrapText="1" indent="1"/>
    </xf>
    <xf numFmtId="0" fontId="126" fillId="4" borderId="918" xfId="0" applyFont="1" applyFill="1" applyBorder="1" applyAlignment="1">
      <alignment horizontal="left" vertical="center" wrapText="1" indent="1"/>
    </xf>
    <xf numFmtId="0" fontId="125" fillId="0" borderId="921" xfId="0" applyFont="1" applyBorder="1" applyAlignment="1">
      <alignment horizontal="left" indent="1"/>
    </xf>
    <xf numFmtId="1" fontId="117" fillId="4" borderId="918" xfId="0" applyNumberFormat="1" applyFont="1" applyFill="1" applyBorder="1" applyAlignment="1">
      <alignment horizontal="center" vertical="center" wrapText="1"/>
    </xf>
    <xf numFmtId="0" fontId="118" fillId="0" borderId="918" xfId="0" applyFont="1" applyBorder="1"/>
    <xf numFmtId="0" fontId="118" fillId="0" borderId="921" xfId="0" applyFont="1" applyBorder="1"/>
    <xf numFmtId="0" fontId="114" fillId="4" borderId="918" xfId="0" applyFont="1" applyFill="1" applyBorder="1" applyAlignment="1">
      <alignment horizontal="left" vertical="center" wrapText="1" indent="1"/>
    </xf>
    <xf numFmtId="0" fontId="125" fillId="0" borderId="922" xfId="0" applyFont="1" applyBorder="1" applyAlignment="1">
      <alignment horizontal="left" indent="1"/>
    </xf>
    <xf numFmtId="1" fontId="117" fillId="0" borderId="918" xfId="0" applyNumberFormat="1" applyFont="1" applyBorder="1" applyAlignment="1">
      <alignment horizontal="center" vertical="center" wrapText="1"/>
    </xf>
    <xf numFmtId="0" fontId="152" fillId="12" borderId="601" xfId="0" applyFont="1" applyFill="1" applyBorder="1" applyAlignment="1">
      <alignment horizontal="center" vertical="center" textRotation="90" wrapText="1"/>
    </xf>
    <xf numFmtId="0" fontId="134" fillId="0" borderId="917" xfId="0" applyFont="1" applyBorder="1" applyAlignment="1">
      <alignment horizontal="left" vertical="center" wrapText="1" indent="1"/>
    </xf>
    <xf numFmtId="0" fontId="125" fillId="0" borderId="917" xfId="0" applyFont="1" applyBorder="1" applyAlignment="1">
      <alignment horizontal="left" indent="1"/>
    </xf>
    <xf numFmtId="0" fontId="125" fillId="0" borderId="920" xfId="0" applyFont="1" applyBorder="1" applyAlignment="1">
      <alignment horizontal="left" indent="1"/>
    </xf>
    <xf numFmtId="0" fontId="134" fillId="0" borderId="913" xfId="0" applyFont="1" applyBorder="1" applyAlignment="1">
      <alignment horizontal="left" vertical="center" wrapText="1" indent="1"/>
    </xf>
    <xf numFmtId="0" fontId="126" fillId="0" borderId="914" xfId="0" applyFont="1" applyBorder="1" applyAlignment="1">
      <alignment horizontal="left" vertical="center" wrapText="1" indent="1"/>
    </xf>
    <xf numFmtId="0" fontId="181" fillId="0" borderId="0" xfId="0" applyFont="1" applyAlignment="1"/>
    <xf numFmtId="0" fontId="181" fillId="0" borderId="76" xfId="0" applyFont="1" applyBorder="1"/>
    <xf numFmtId="0" fontId="181" fillId="0" borderId="66" xfId="0" applyFont="1" applyBorder="1"/>
    <xf numFmtId="0" fontId="181" fillId="0" borderId="67" xfId="0" applyFont="1" applyBorder="1"/>
    <xf numFmtId="0" fontId="125" fillId="0" borderId="909" xfId="0" applyFont="1" applyBorder="1" applyAlignment="1">
      <alignment horizontal="left" indent="1"/>
    </xf>
    <xf numFmtId="0" fontId="26" fillId="0" borderId="912" xfId="0" applyFont="1" applyBorder="1" applyAlignment="1">
      <alignment horizontal="left" vertical="center" wrapText="1"/>
    </xf>
    <xf numFmtId="0" fontId="26" fillId="0" borderId="688" xfId="0" applyFont="1" applyBorder="1" applyAlignment="1">
      <alignment horizontal="left" vertical="center" wrapText="1"/>
    </xf>
    <xf numFmtId="0" fontId="26" fillId="4" borderId="912" xfId="0" applyFont="1" applyFill="1" applyBorder="1" applyAlignment="1">
      <alignment horizontal="left" vertical="center" wrapText="1"/>
    </xf>
    <xf numFmtId="0" fontId="169" fillId="0" borderId="467" xfId="0" applyFont="1" applyBorder="1" applyAlignment="1">
      <alignment horizontal="left" indent="1"/>
    </xf>
    <xf numFmtId="0" fontId="12" fillId="12" borderId="467" xfId="0" applyFont="1" applyFill="1" applyBorder="1" applyAlignment="1">
      <alignment horizontal="center" vertical="center"/>
    </xf>
    <xf numFmtId="0" fontId="26" fillId="0" borderId="692" xfId="0" applyFont="1" applyBorder="1" applyAlignment="1">
      <alignment horizontal="left" vertical="center" wrapText="1"/>
    </xf>
    <xf numFmtId="1" fontId="117" fillId="0" borderId="914" xfId="0" applyNumberFormat="1" applyFont="1" applyBorder="1" applyAlignment="1">
      <alignment horizontal="center" vertical="center" wrapText="1"/>
    </xf>
    <xf numFmtId="0" fontId="126" fillId="4" borderId="914" xfId="0" applyFont="1" applyFill="1" applyBorder="1" applyAlignment="1">
      <alignment horizontal="left" vertical="center" wrapText="1" indent="1"/>
    </xf>
    <xf numFmtId="0" fontId="11" fillId="12" borderId="310" xfId="0" applyFont="1" applyFill="1" applyBorder="1" applyAlignment="1">
      <alignment horizontal="center" vertical="center"/>
    </xf>
    <xf numFmtId="1" fontId="117" fillId="4" borderId="914" xfId="0" applyNumberFormat="1" applyFont="1" applyFill="1" applyBorder="1" applyAlignment="1">
      <alignment horizontal="center" vertical="center" wrapText="1"/>
    </xf>
    <xf numFmtId="0" fontId="134" fillId="0" borderId="914" xfId="0" applyFont="1" applyBorder="1" applyAlignment="1">
      <alignment horizontal="left" vertical="center" wrapText="1" indent="1"/>
    </xf>
    <xf numFmtId="0" fontId="126" fillId="0" borderId="916" xfId="0" applyFont="1" applyBorder="1" applyAlignment="1">
      <alignment horizontal="left" vertical="center" wrapText="1" indent="1"/>
    </xf>
    <xf numFmtId="0" fontId="126" fillId="3" borderId="918" xfId="0" applyFont="1" applyFill="1" applyBorder="1" applyAlignment="1">
      <alignment horizontal="left" vertical="center" wrapText="1" indent="1"/>
    </xf>
    <xf numFmtId="0" fontId="26" fillId="0" borderId="688" xfId="0" applyFont="1" applyBorder="1" applyAlignment="1">
      <alignment horizontal="center" vertical="center" wrapText="1"/>
    </xf>
    <xf numFmtId="49" fontId="26" fillId="0" borderId="912" xfId="0" applyNumberFormat="1" applyFont="1" applyBorder="1" applyAlignment="1">
      <alignment horizontal="center" vertical="center"/>
    </xf>
    <xf numFmtId="0" fontId="15" fillId="0" borderId="912" xfId="0" applyFont="1" applyBorder="1"/>
    <xf numFmtId="49" fontId="126" fillId="0" borderId="918" xfId="0" applyNumberFormat="1" applyFont="1" applyBorder="1" applyAlignment="1">
      <alignment horizontal="left" vertical="center" wrapText="1" indent="1"/>
    </xf>
    <xf numFmtId="0" fontId="114" fillId="0" borderId="918" xfId="0" applyFont="1" applyBorder="1" applyAlignment="1">
      <alignment horizontal="left" indent="1"/>
    </xf>
    <xf numFmtId="0" fontId="26" fillId="0" borderId="912" xfId="0" applyFont="1" applyBorder="1" applyAlignment="1">
      <alignment horizontal="left" vertical="center" wrapText="1" indent="1"/>
    </xf>
    <xf numFmtId="1" fontId="117" fillId="0" borderId="798" xfId="0" applyNumberFormat="1" applyFont="1" applyBorder="1" applyAlignment="1">
      <alignment horizontal="center" vertical="center" wrapText="1"/>
    </xf>
    <xf numFmtId="1" fontId="117" fillId="0" borderId="900" xfId="0" applyNumberFormat="1" applyFont="1" applyBorder="1" applyAlignment="1">
      <alignment horizontal="center" vertical="center" wrapText="1"/>
    </xf>
    <xf numFmtId="9" fontId="117" fillId="0" borderId="914" xfId="0" applyNumberFormat="1" applyFont="1" applyBorder="1" applyAlignment="1">
      <alignment horizontal="center" vertical="center" wrapText="1"/>
    </xf>
    <xf numFmtId="9" fontId="117" fillId="0" borderId="915" xfId="0" applyNumberFormat="1" applyFont="1" applyBorder="1" applyAlignment="1">
      <alignment horizontal="center" vertical="center" wrapText="1"/>
    </xf>
    <xf numFmtId="1" fontId="117" fillId="4" borderId="900" xfId="0" applyNumberFormat="1" applyFont="1" applyFill="1" applyBorder="1" applyAlignment="1">
      <alignment horizontal="center" vertical="center" wrapText="1"/>
    </xf>
    <xf numFmtId="0" fontId="134" fillId="4" borderId="918" xfId="0" applyFont="1" applyFill="1" applyBorder="1" applyAlignment="1">
      <alignment horizontal="left" vertical="center" wrapText="1" indent="1"/>
    </xf>
    <xf numFmtId="0" fontId="26" fillId="0" borderId="780" xfId="0" applyFont="1" applyBorder="1" applyAlignment="1">
      <alignment horizontal="left" vertical="center" wrapText="1" indent="1"/>
    </xf>
    <xf numFmtId="0" fontId="15" fillId="0" borderId="778" xfId="0" applyFont="1" applyBorder="1" applyAlignment="1">
      <alignment horizontal="left" indent="1"/>
    </xf>
    <xf numFmtId="0" fontId="15" fillId="0" borderId="781" xfId="0" applyFont="1" applyBorder="1" applyAlignment="1">
      <alignment horizontal="left" indent="1"/>
    </xf>
    <xf numFmtId="0" fontId="38" fillId="0" borderId="774" xfId="0" applyFont="1" applyBorder="1" applyAlignment="1">
      <alignment horizontal="left" vertical="center" wrapText="1" indent="1"/>
    </xf>
    <xf numFmtId="0" fontId="26" fillId="0" borderId="782" xfId="0" applyFont="1" applyBorder="1" applyAlignment="1">
      <alignment horizontal="left" vertical="center" wrapText="1" indent="1"/>
    </xf>
    <xf numFmtId="0" fontId="38" fillId="0" borderId="771" xfId="0" applyFont="1" applyBorder="1" applyAlignment="1">
      <alignment horizontal="left" vertical="center" wrapText="1" indent="1"/>
    </xf>
    <xf numFmtId="0" fontId="15" fillId="0" borderId="767" xfId="0" applyFont="1" applyBorder="1" applyAlignment="1">
      <alignment horizontal="left" indent="1"/>
    </xf>
    <xf numFmtId="0" fontId="15" fillId="0" borderId="769" xfId="0" applyFont="1" applyBorder="1" applyAlignment="1">
      <alignment horizontal="left" indent="1"/>
    </xf>
    <xf numFmtId="0" fontId="26" fillId="0" borderId="771" xfId="0" applyFont="1" applyBorder="1" applyAlignment="1">
      <alignment horizontal="left" vertical="center" wrapText="1"/>
    </xf>
    <xf numFmtId="0" fontId="26" fillId="0" borderId="770" xfId="0" applyFont="1" applyBorder="1" applyAlignment="1">
      <alignment horizontal="left" vertical="center" wrapText="1"/>
    </xf>
    <xf numFmtId="0" fontId="26" fillId="0" borderId="775" xfId="0" applyFont="1" applyBorder="1" applyAlignment="1">
      <alignment horizontal="left" vertical="center" wrapText="1" indent="1"/>
    </xf>
    <xf numFmtId="0" fontId="26" fillId="0" borderId="770" xfId="0" applyFont="1" applyBorder="1" applyAlignment="1">
      <alignment horizontal="center" vertical="center" wrapText="1"/>
    </xf>
    <xf numFmtId="0" fontId="134" fillId="0" borderId="771" xfId="0" applyFont="1" applyBorder="1" applyAlignment="1">
      <alignment horizontal="left" vertical="center" wrapText="1" indent="1"/>
    </xf>
    <xf numFmtId="0" fontId="38" fillId="0" borderId="770" xfId="0" applyFont="1" applyBorder="1" applyAlignment="1">
      <alignment horizontal="left" vertical="center" wrapText="1" indent="1"/>
    </xf>
    <xf numFmtId="0" fontId="15" fillId="0" borderId="772" xfId="0" applyFont="1" applyBorder="1" applyAlignment="1">
      <alignment horizontal="left" indent="1"/>
    </xf>
    <xf numFmtId="0" fontId="15" fillId="0" borderId="779" xfId="0" applyFont="1" applyBorder="1" applyAlignment="1">
      <alignment horizontal="left" indent="1"/>
    </xf>
    <xf numFmtId="0" fontId="132" fillId="12" borderId="927" xfId="0" applyFont="1" applyFill="1" applyBorder="1" applyAlignment="1">
      <alignment horizontal="left" vertical="center" indent="1"/>
    </xf>
    <xf numFmtId="0" fontId="113" fillId="0" borderId="375" xfId="0" applyFont="1" applyBorder="1" applyAlignment="1">
      <alignment horizontal="left" indent="1"/>
    </xf>
    <xf numFmtId="0" fontId="157" fillId="0" borderId="375" xfId="0" applyFont="1" applyBorder="1" applyAlignment="1">
      <alignment horizontal="left" indent="1"/>
    </xf>
    <xf numFmtId="0" fontId="29" fillId="12" borderId="378" xfId="0" applyFont="1" applyFill="1" applyBorder="1" applyAlignment="1">
      <alignment horizontal="center" vertical="center"/>
    </xf>
    <xf numFmtId="1" fontId="115" fillId="0" borderId="72" xfId="0" applyNumberFormat="1" applyFont="1" applyBorder="1" applyAlignment="1">
      <alignment horizontal="left" vertical="center" wrapText="1" indent="1"/>
    </xf>
    <xf numFmtId="1" fontId="115" fillId="0" borderId="69" xfId="0" applyNumberFormat="1" applyFont="1" applyBorder="1" applyAlignment="1">
      <alignment horizontal="left" vertical="center" wrapText="1" indent="1"/>
    </xf>
    <xf numFmtId="0" fontId="15" fillId="0" borderId="783" xfId="0" applyFont="1" applyBorder="1" applyAlignment="1">
      <alignment horizontal="left" indent="1"/>
    </xf>
    <xf numFmtId="0" fontId="169" fillId="0" borderId="467" xfId="0" applyFont="1" applyBorder="1" applyAlignment="1">
      <alignment horizontal="left" vertical="center" indent="1"/>
    </xf>
    <xf numFmtId="0" fontId="26" fillId="0" borderId="784" xfId="0" applyFont="1" applyBorder="1" applyAlignment="1">
      <alignment horizontal="left" vertical="center" wrapText="1" indent="1"/>
    </xf>
    <xf numFmtId="1" fontId="117" fillId="0" borderId="774" xfId="0" applyNumberFormat="1" applyFont="1" applyBorder="1" applyAlignment="1">
      <alignment horizontal="center" vertical="center" wrapText="1"/>
    </xf>
    <xf numFmtId="0" fontId="26" fillId="4" borderId="771" xfId="0" applyFont="1" applyFill="1" applyBorder="1" applyAlignment="1">
      <alignment vertical="center" wrapText="1"/>
    </xf>
    <xf numFmtId="0" fontId="157" fillId="0" borderId="453" xfId="0" applyFont="1" applyBorder="1" applyAlignment="1">
      <alignment horizontal="left" indent="1"/>
    </xf>
    <xf numFmtId="0" fontId="29" fillId="12" borderId="448" xfId="0" applyFont="1" applyFill="1" applyBorder="1" applyAlignment="1">
      <alignment horizontal="center" vertical="center"/>
    </xf>
    <xf numFmtId="0" fontId="26" fillId="4" borderId="770" xfId="0" applyFont="1" applyFill="1" applyBorder="1" applyAlignment="1">
      <alignment vertical="center" wrapText="1"/>
    </xf>
    <xf numFmtId="0" fontId="126" fillId="0" borderId="771" xfId="0" applyFont="1" applyBorder="1" applyAlignment="1">
      <alignment horizontal="left" vertical="center" wrapText="1" indent="1"/>
    </xf>
    <xf numFmtId="0" fontId="26" fillId="0" borderId="775" xfId="0" applyFont="1" applyBorder="1" applyAlignment="1">
      <alignment horizontal="left" vertical="center" wrapText="1"/>
    </xf>
    <xf numFmtId="1" fontId="117" fillId="0" borderId="774" xfId="0" applyNumberFormat="1" applyFont="1" applyBorder="1" applyAlignment="1">
      <alignment horizontal="center" vertical="center"/>
    </xf>
    <xf numFmtId="0" fontId="38" fillId="0" borderId="773" xfId="0" applyFont="1" applyBorder="1" applyAlignment="1">
      <alignment horizontal="left" vertical="center" wrapText="1" indent="1"/>
    </xf>
    <xf numFmtId="0" fontId="152" fillId="12" borderId="656" xfId="0" applyFont="1" applyFill="1" applyBorder="1" applyAlignment="1">
      <alignment horizontal="center" vertical="center" textRotation="90"/>
    </xf>
    <xf numFmtId="0" fontId="26" fillId="4" borderId="774" xfId="0" applyFont="1" applyFill="1" applyBorder="1" applyAlignment="1">
      <alignment horizontal="left" vertical="center" wrapText="1" indent="1"/>
    </xf>
    <xf numFmtId="3" fontId="117" fillId="0" borderId="774" xfId="0" applyNumberFormat="1" applyFont="1" applyBorder="1" applyAlignment="1">
      <alignment horizontal="center" vertical="center" wrapText="1"/>
    </xf>
    <xf numFmtId="0" fontId="126" fillId="0" borderId="775" xfId="0" applyFont="1" applyBorder="1" applyAlignment="1">
      <alignment horizontal="left" vertical="center" wrapText="1" indent="1"/>
    </xf>
    <xf numFmtId="0" fontId="126" fillId="0" borderId="770" xfId="0" applyFont="1" applyBorder="1" applyAlignment="1">
      <alignment horizontal="left" vertical="center" wrapText="1" indent="1"/>
    </xf>
    <xf numFmtId="0" fontId="137" fillId="0" borderId="372" xfId="0" applyFont="1" applyBorder="1" applyAlignment="1">
      <alignment horizontal="left" vertical="center" wrapText="1" indent="1"/>
    </xf>
    <xf numFmtId="0" fontId="125" fillId="0" borderId="355" xfId="0" applyFont="1" applyBorder="1" applyAlignment="1">
      <alignment horizontal="left" indent="1"/>
    </xf>
    <xf numFmtId="0" fontId="137" fillId="0" borderId="491" xfId="0" applyFont="1" applyBorder="1" applyAlignment="1">
      <alignment horizontal="left" vertical="center" wrapText="1" indent="1"/>
    </xf>
    <xf numFmtId="0" fontId="125" fillId="0" borderId="375" xfId="0" applyFont="1" applyBorder="1" applyAlignment="1">
      <alignment horizontal="left" indent="1"/>
    </xf>
    <xf numFmtId="0" fontId="118" fillId="0" borderId="628" xfId="0" applyFont="1" applyBorder="1" applyAlignment="1">
      <alignment horizontal="center"/>
    </xf>
    <xf numFmtId="0" fontId="126" fillId="0" borderId="770" xfId="0" applyFont="1" applyBorder="1" applyAlignment="1">
      <alignment horizontal="left" vertical="center" indent="1"/>
    </xf>
    <xf numFmtId="0" fontId="125" fillId="0" borderId="767" xfId="0" applyFont="1" applyBorder="1" applyAlignment="1">
      <alignment horizontal="left" indent="1"/>
    </xf>
    <xf numFmtId="0" fontId="125" fillId="0" borderId="772" xfId="0" applyFont="1" applyBorder="1" applyAlignment="1">
      <alignment horizontal="left" indent="1"/>
    </xf>
    <xf numFmtId="0" fontId="126" fillId="0" borderId="771" xfId="0" applyFont="1" applyBorder="1" applyAlignment="1">
      <alignment horizontal="left" vertical="center" indent="1"/>
    </xf>
    <xf numFmtId="0" fontId="125" fillId="0" borderId="769" xfId="0" applyFont="1" applyBorder="1" applyAlignment="1">
      <alignment horizontal="left" indent="1"/>
    </xf>
    <xf numFmtId="0" fontId="140" fillId="0" borderId="581" xfId="0" applyFont="1" applyBorder="1" applyAlignment="1">
      <alignment horizontal="left" indent="1"/>
    </xf>
    <xf numFmtId="0" fontId="140" fillId="0" borderId="628" xfId="0" applyFont="1" applyBorder="1" applyAlignment="1">
      <alignment horizontal="left" indent="1"/>
    </xf>
    <xf numFmtId="0" fontId="140" fillId="0" borderId="778" xfId="0" applyFont="1" applyBorder="1" applyAlignment="1">
      <alignment horizontal="left" indent="1"/>
    </xf>
    <xf numFmtId="0" fontId="140" fillId="0" borderId="781" xfId="0" applyFont="1" applyBorder="1" applyAlignment="1">
      <alignment horizontal="left" indent="1"/>
    </xf>
    <xf numFmtId="0" fontId="125" fillId="0" borderId="768" xfId="0" applyFont="1" applyBorder="1" applyAlignment="1">
      <alignment horizontal="left" indent="1"/>
    </xf>
    <xf numFmtId="0" fontId="29" fillId="12" borderId="382" xfId="0" applyFont="1" applyFill="1" applyBorder="1" applyAlignment="1">
      <alignment horizontal="center" vertical="center"/>
    </xf>
    <xf numFmtId="0" fontId="14" fillId="2" borderId="673" xfId="0" applyFont="1" applyFill="1" applyBorder="1" applyAlignment="1">
      <alignment horizontal="left" vertical="center" wrapText="1"/>
    </xf>
    <xf numFmtId="0" fontId="118" fillId="0" borderId="622" xfId="0" applyFont="1" applyBorder="1" applyAlignment="1">
      <alignment horizontal="center"/>
    </xf>
    <xf numFmtId="0" fontId="134" fillId="0" borderId="624" xfId="0" applyFont="1" applyBorder="1" applyAlignment="1">
      <alignment horizontal="left" vertical="center" wrapText="1" indent="1"/>
    </xf>
    <xf numFmtId="0" fontId="134" fillId="0" borderId="773" xfId="0" applyFont="1" applyBorder="1" applyAlignment="1">
      <alignment horizontal="left" vertical="center" wrapText="1" indent="1"/>
    </xf>
    <xf numFmtId="0" fontId="140" fillId="0" borderId="631" xfId="0" applyFont="1" applyBorder="1" applyAlignment="1">
      <alignment horizontal="left" indent="1"/>
    </xf>
    <xf numFmtId="0" fontId="134" fillId="0" borderId="633" xfId="0" applyFont="1" applyBorder="1" applyAlignment="1">
      <alignment horizontal="left" vertical="center" wrapText="1" indent="1"/>
    </xf>
    <xf numFmtId="0" fontId="15" fillId="0" borderId="800" xfId="0" applyFont="1" applyBorder="1" applyAlignment="1">
      <alignment horizontal="left" indent="1"/>
    </xf>
    <xf numFmtId="0" fontId="26" fillId="0" borderId="890" xfId="0" applyFont="1" applyBorder="1" applyAlignment="1">
      <alignment horizontal="left" vertical="center" wrapText="1" indent="1"/>
    </xf>
    <xf numFmtId="0" fontId="15" fillId="0" borderId="904" xfId="0" applyFont="1" applyBorder="1" applyAlignment="1">
      <alignment horizontal="left" indent="1"/>
    </xf>
    <xf numFmtId="0" fontId="118" fillId="0" borderId="799" xfId="0" applyFont="1" applyBorder="1" applyAlignment="1">
      <alignment horizontal="center"/>
    </xf>
    <xf numFmtId="0" fontId="118" fillId="0" borderId="800" xfId="0" applyFont="1" applyBorder="1" applyAlignment="1">
      <alignment horizontal="center"/>
    </xf>
    <xf numFmtId="0" fontId="118" fillId="0" borderId="900" xfId="0" applyFont="1" applyBorder="1" applyAlignment="1">
      <alignment horizontal="center"/>
    </xf>
    <xf numFmtId="0" fontId="140" fillId="0" borderId="890" xfId="0" applyFont="1" applyBorder="1" applyAlignment="1">
      <alignment horizontal="left" indent="1"/>
    </xf>
    <xf numFmtId="0" fontId="140" fillId="0" borderId="908" xfId="0" applyFont="1" applyBorder="1" applyAlignment="1">
      <alignment horizontal="left" indent="1"/>
    </xf>
    <xf numFmtId="0" fontId="26" fillId="0" borderId="909" xfId="0" applyFont="1" applyBorder="1" applyAlignment="1">
      <alignment horizontal="left" vertical="center" wrapText="1" indent="1"/>
    </xf>
    <xf numFmtId="0" fontId="15" fillId="0" borderId="908" xfId="0" applyFont="1" applyBorder="1" applyAlignment="1">
      <alignment horizontal="left" indent="1"/>
    </xf>
    <xf numFmtId="1" fontId="117" fillId="0" borderId="906" xfId="0" applyNumberFormat="1" applyFont="1" applyBorder="1" applyAlignment="1">
      <alignment horizontal="center" vertical="center" wrapText="1"/>
    </xf>
    <xf numFmtId="0" fontId="126" fillId="0" borderId="907" xfId="0" applyFont="1" applyBorder="1" applyAlignment="1">
      <alignment horizontal="left" vertical="center" wrapText="1" indent="1"/>
    </xf>
    <xf numFmtId="0" fontId="126" fillId="4" borderId="906" xfId="0" applyFont="1" applyFill="1" applyBorder="1" applyAlignment="1">
      <alignment horizontal="left" vertical="center" wrapText="1" indent="1"/>
    </xf>
    <xf numFmtId="0" fontId="140" fillId="0" borderId="779" xfId="0" applyFont="1" applyBorder="1" applyAlignment="1">
      <alignment horizontal="left" indent="1"/>
    </xf>
    <xf numFmtId="0" fontId="26" fillId="0" borderId="798" xfId="0" applyFont="1" applyBorder="1" applyAlignment="1">
      <alignment horizontal="center" vertical="center" wrapText="1"/>
    </xf>
    <xf numFmtId="0" fontId="15" fillId="0" borderId="799" xfId="0" applyFont="1" applyBorder="1" applyAlignment="1">
      <alignment horizontal="center"/>
    </xf>
    <xf numFmtId="0" fontId="15" fillId="0" borderId="900" xfId="0" applyFont="1" applyBorder="1" applyAlignment="1">
      <alignment horizontal="center"/>
    </xf>
    <xf numFmtId="0" fontId="26" fillId="0" borderId="909" xfId="0" applyFont="1" applyBorder="1" applyAlignment="1">
      <alignment horizontal="center" vertical="center" wrapText="1"/>
    </xf>
    <xf numFmtId="0" fontId="15" fillId="0" borderId="890" xfId="0" applyFont="1" applyBorder="1" applyAlignment="1">
      <alignment horizontal="center"/>
    </xf>
    <xf numFmtId="0" fontId="15" fillId="0" borderId="908" xfId="0" applyFont="1" applyBorder="1" applyAlignment="1">
      <alignment horizontal="center"/>
    </xf>
    <xf numFmtId="0" fontId="126" fillId="0" borderId="798" xfId="0" applyFont="1" applyBorder="1" applyAlignment="1">
      <alignment horizontal="center" vertical="center" wrapText="1"/>
    </xf>
    <xf numFmtId="0" fontId="125" fillId="0" borderId="799" xfId="0" applyFont="1" applyBorder="1" applyAlignment="1">
      <alignment horizontal="center"/>
    </xf>
    <xf numFmtId="0" fontId="125" fillId="0" borderId="900" xfId="0" applyFont="1" applyBorder="1" applyAlignment="1">
      <alignment horizontal="center"/>
    </xf>
    <xf numFmtId="0" fontId="134" fillId="0" borderId="688" xfId="0" applyFont="1" applyBorder="1" applyAlignment="1">
      <alignment horizontal="left" vertical="center" wrapText="1" indent="1"/>
    </xf>
    <xf numFmtId="0" fontId="125" fillId="0" borderId="688" xfId="0" applyFont="1" applyBorder="1" applyAlignment="1">
      <alignment horizontal="left" indent="1"/>
    </xf>
    <xf numFmtId="0" fontId="125" fillId="0" borderId="807" xfId="0" applyFont="1" applyBorder="1" applyAlignment="1">
      <alignment horizontal="left" indent="1"/>
    </xf>
    <xf numFmtId="0" fontId="134" fillId="0" borderId="912" xfId="0" applyFont="1" applyBorder="1" applyAlignment="1">
      <alignment horizontal="left" vertical="center" wrapText="1" indent="1"/>
    </xf>
    <xf numFmtId="165" fontId="134" fillId="0" borderId="912" xfId="0" applyNumberFormat="1" applyFont="1" applyBorder="1" applyAlignment="1">
      <alignment horizontal="left" vertical="center" wrapText="1" indent="1"/>
    </xf>
    <xf numFmtId="0" fontId="140" fillId="0" borderId="900" xfId="0" applyFont="1" applyBorder="1" applyAlignment="1">
      <alignment horizontal="left" indent="1"/>
    </xf>
    <xf numFmtId="0" fontId="134" fillId="4" borderId="688" xfId="0" applyFont="1" applyFill="1" applyBorder="1" applyAlignment="1">
      <alignment horizontal="left" vertical="center" wrapText="1" indent="1"/>
    </xf>
    <xf numFmtId="0" fontId="125" fillId="0" borderId="694" xfId="0" applyFont="1" applyBorder="1" applyAlignment="1">
      <alignment horizontal="left" indent="1"/>
    </xf>
    <xf numFmtId="0" fontId="29" fillId="12" borderId="375" xfId="0" applyFont="1" applyFill="1" applyBorder="1" applyAlignment="1">
      <alignment horizontal="center" vertical="center"/>
    </xf>
    <xf numFmtId="0" fontId="126" fillId="4" borderId="688" xfId="0" applyFont="1" applyFill="1" applyBorder="1" applyAlignment="1">
      <alignment horizontal="left" vertical="center" wrapText="1" indent="1"/>
    </xf>
    <xf numFmtId="0" fontId="134" fillId="4" borderId="912" xfId="0" applyFont="1" applyFill="1" applyBorder="1" applyAlignment="1">
      <alignment horizontal="left" vertical="center" wrapText="1" indent="1"/>
    </xf>
    <xf numFmtId="0" fontId="26" fillId="0" borderId="799" xfId="0" applyFont="1" applyBorder="1" applyAlignment="1">
      <alignment horizontal="center" vertical="center" wrapText="1"/>
    </xf>
    <xf numFmtId="0" fontId="26" fillId="0" borderId="890" xfId="0" applyFont="1" applyBorder="1" applyAlignment="1">
      <alignment horizontal="center" vertical="center" wrapText="1"/>
    </xf>
    <xf numFmtId="0" fontId="126" fillId="0" borderId="799" xfId="0" applyFont="1" applyBorder="1" applyAlignment="1">
      <alignment horizontal="center" vertical="center" wrapText="1"/>
    </xf>
    <xf numFmtId="0" fontId="134" fillId="0" borderId="692" xfId="0" applyFont="1" applyBorder="1" applyAlignment="1">
      <alignment horizontal="left" vertical="center" wrapText="1" indent="1"/>
    </xf>
    <xf numFmtId="0" fontId="142" fillId="21" borderId="931" xfId="1" applyFont="1" applyFill="1" applyBorder="1" applyAlignment="1" applyProtection="1">
      <alignment horizontal="center" vertical="center" wrapText="1"/>
    </xf>
    <xf numFmtId="0" fontId="142" fillId="21" borderId="932" xfId="1" applyFont="1" applyFill="1" applyBorder="1" applyAlignment="1" applyProtection="1">
      <alignment horizontal="center" vertical="center" wrapText="1"/>
    </xf>
    <xf numFmtId="0" fontId="142" fillId="22" borderId="933" xfId="1" applyFont="1" applyFill="1" applyBorder="1" applyAlignment="1" applyProtection="1">
      <alignment horizontal="center" vertical="center" wrapText="1"/>
    </xf>
    <xf numFmtId="0" fontId="142" fillId="23" borderId="934" xfId="1" applyFont="1" applyFill="1" applyBorder="1" applyAlignment="1" applyProtection="1">
      <alignment horizontal="center" vertical="center" wrapText="1"/>
    </xf>
    <xf numFmtId="0" fontId="142" fillId="23" borderId="935" xfId="1" applyFont="1" applyFill="1" applyBorder="1" applyAlignment="1" applyProtection="1">
      <alignment horizontal="center" vertical="center" wrapText="1"/>
    </xf>
    <xf numFmtId="0" fontId="142" fillId="23" borderId="936" xfId="1" applyFont="1" applyFill="1" applyBorder="1" applyAlignment="1" applyProtection="1">
      <alignment horizontal="center" vertical="center" wrapText="1"/>
    </xf>
    <xf numFmtId="0" fontId="142" fillId="24" borderId="940" xfId="4" applyFont="1" applyFill="1" applyBorder="1" applyAlignment="1" applyProtection="1">
      <alignment horizontal="center" vertical="center" wrapText="1"/>
    </xf>
    <xf numFmtId="0" fontId="125" fillId="0" borderId="776" xfId="0" applyFont="1" applyBorder="1" applyAlignment="1">
      <alignment horizontal="left" indent="1"/>
    </xf>
    <xf numFmtId="0" fontId="134" fillId="0" borderId="615" xfId="0" applyFont="1" applyBorder="1" applyAlignment="1">
      <alignment horizontal="left" vertical="center" wrapText="1" indent="1"/>
    </xf>
    <xf numFmtId="0" fontId="125" fillId="0" borderId="942" xfId="0" applyFont="1" applyBorder="1" applyAlignment="1">
      <alignment horizontal="left" indent="1"/>
    </xf>
    <xf numFmtId="0" fontId="134" fillId="0" borderId="617" xfId="0" applyFont="1" applyBorder="1" applyAlignment="1">
      <alignment horizontal="left" vertical="center" wrapText="1" indent="1"/>
    </xf>
    <xf numFmtId="0" fontId="152" fillId="12" borderId="722" xfId="0" applyFont="1" applyFill="1" applyBorder="1" applyAlignment="1">
      <alignment horizontal="center" vertical="center" textRotation="90" wrapText="1"/>
    </xf>
    <xf numFmtId="0" fontId="126" fillId="0" borderId="777" xfId="0" applyFont="1" applyBorder="1" applyAlignment="1">
      <alignment horizontal="left" vertical="center" wrapText="1" indent="1"/>
    </xf>
    <xf numFmtId="0" fontId="150" fillId="0" borderId="723" xfId="0" applyFont="1" applyBorder="1"/>
    <xf numFmtId="0" fontId="38" fillId="12" borderId="376" xfId="0" applyFont="1" applyFill="1" applyBorder="1" applyAlignment="1">
      <alignment vertical="center" wrapText="1"/>
    </xf>
    <xf numFmtId="0" fontId="15" fillId="0" borderId="376" xfId="0" applyFont="1" applyBorder="1"/>
    <xf numFmtId="0" fontId="118" fillId="0" borderId="776" xfId="0" applyFont="1" applyBorder="1" applyAlignment="1">
      <alignment horizontal="center"/>
    </xf>
    <xf numFmtId="0" fontId="125" fillId="0" borderId="944" xfId="0" applyFont="1" applyBorder="1" applyAlignment="1">
      <alignment horizontal="left" indent="1"/>
    </xf>
    <xf numFmtId="0" fontId="163" fillId="4" borderId="540" xfId="0" applyFont="1" applyFill="1" applyBorder="1" applyAlignment="1">
      <alignment horizontal="left" vertical="center" wrapText="1" indent="1"/>
    </xf>
    <xf numFmtId="0" fontId="166" fillId="4" borderId="760" xfId="0" applyFont="1" applyFill="1" applyBorder="1" applyAlignment="1">
      <alignment horizontal="left" vertical="center" indent="1"/>
    </xf>
    <xf numFmtId="0" fontId="166" fillId="4" borderId="762" xfId="0" applyFont="1" applyFill="1" applyBorder="1" applyAlignment="1">
      <alignment horizontal="left" vertical="center" indent="1"/>
    </xf>
    <xf numFmtId="0" fontId="163" fillId="4" borderId="672" xfId="0" applyFont="1" applyFill="1" applyBorder="1" applyAlignment="1">
      <alignment horizontal="left" vertical="center" wrapText="1" indent="1"/>
    </xf>
    <xf numFmtId="0" fontId="125" fillId="0" borderId="673" xfId="0" applyFont="1" applyBorder="1" applyAlignment="1">
      <alignment horizontal="left" indent="1"/>
    </xf>
    <xf numFmtId="0" fontId="125" fillId="0" borderId="767" xfId="0" applyFont="1" applyBorder="1" applyAlignment="1">
      <alignment horizontal="left" vertical="center" indent="1"/>
    </xf>
    <xf numFmtId="0" fontId="125" fillId="0" borderId="769" xfId="0" applyFont="1" applyBorder="1" applyAlignment="1">
      <alignment horizontal="left" vertical="center" indent="1"/>
    </xf>
    <xf numFmtId="0" fontId="125" fillId="0" borderId="772" xfId="0" applyFont="1" applyBorder="1" applyAlignment="1">
      <alignment horizontal="left" vertical="center" indent="1"/>
    </xf>
    <xf numFmtId="0" fontId="125" fillId="0" borderId="943" xfId="0" applyFont="1" applyBorder="1" applyAlignment="1">
      <alignment horizontal="left" vertical="center" indent="1"/>
    </xf>
    <xf numFmtId="4" fontId="12" fillId="2" borderId="652" xfId="0" applyNumberFormat="1" applyFont="1" applyFill="1" applyBorder="1" applyAlignment="1">
      <alignment horizontal="center" vertical="center" wrapText="1"/>
    </xf>
    <xf numFmtId="0" fontId="15" fillId="0" borderId="652" xfId="0" applyFont="1" applyBorder="1"/>
    <xf numFmtId="0" fontId="15" fillId="0" borderId="714" xfId="0" applyFont="1" applyBorder="1"/>
    <xf numFmtId="0" fontId="144" fillId="4" borderId="0" xfId="0" applyFont="1" applyFill="1" applyAlignment="1">
      <alignment horizontal="center" vertical="center" wrapText="1"/>
    </xf>
    <xf numFmtId="0" fontId="180" fillId="0" borderId="0" xfId="0" applyFont="1" applyAlignment="1"/>
    <xf numFmtId="0" fontId="163" fillId="4" borderId="0" xfId="0" applyFont="1" applyFill="1" applyAlignment="1">
      <alignment horizontal="center" vertical="center" wrapText="1"/>
    </xf>
    <xf numFmtId="0" fontId="165" fillId="0" borderId="0" xfId="0" applyFont="1" applyAlignment="1"/>
    <xf numFmtId="0" fontId="179" fillId="4" borderId="527" xfId="0" applyFont="1" applyFill="1" applyBorder="1" applyAlignment="1">
      <alignment horizontal="center" vertical="center" wrapText="1"/>
    </xf>
    <xf numFmtId="0" fontId="181" fillId="0" borderId="751" xfId="0" applyFont="1" applyBorder="1" applyAlignment="1"/>
    <xf numFmtId="0" fontId="181" fillId="0" borderId="752" xfId="0" applyFont="1" applyBorder="1" applyAlignment="1"/>
    <xf numFmtId="0" fontId="166" fillId="4" borderId="760" xfId="0" applyFont="1" applyFill="1" applyBorder="1" applyAlignment="1">
      <alignment horizontal="left" vertical="center" wrapText="1" indent="1"/>
    </xf>
    <xf numFmtId="0" fontId="166" fillId="4" borderId="762" xfId="0" applyFont="1" applyFill="1" applyBorder="1" applyAlignment="1">
      <alignment horizontal="left" vertical="center" wrapText="1" indent="1"/>
    </xf>
    <xf numFmtId="170" fontId="179" fillId="4" borderId="540" xfId="0" applyNumberFormat="1" applyFont="1" applyFill="1" applyBorder="1" applyAlignment="1">
      <alignment horizontal="center" vertical="center"/>
    </xf>
    <xf numFmtId="0" fontId="181" fillId="0" borderId="375" xfId="0" applyFont="1" applyBorder="1" applyAlignment="1"/>
    <xf numFmtId="0" fontId="181" fillId="0" borderId="680" xfId="0" applyFont="1" applyBorder="1" applyAlignment="1"/>
    <xf numFmtId="2" fontId="117" fillId="0" borderId="625" xfId="0" applyNumberFormat="1" applyFont="1" applyBorder="1" applyAlignment="1">
      <alignment horizontal="center" vertical="center" wrapText="1"/>
    </xf>
    <xf numFmtId="0" fontId="126" fillId="0" borderId="766" xfId="0" applyFont="1" applyBorder="1" applyAlignment="1">
      <alignment horizontal="left" vertical="center" wrapText="1" indent="1"/>
    </xf>
    <xf numFmtId="2" fontId="117" fillId="0" borderId="634" xfId="0" applyNumberFormat="1" applyFont="1" applyBorder="1" applyAlignment="1">
      <alignment horizontal="center" vertical="center" wrapText="1"/>
    </xf>
    <xf numFmtId="0" fontId="38" fillId="12" borderId="375" xfId="0" applyFont="1" applyFill="1" applyBorder="1" applyAlignment="1">
      <alignment vertical="center" wrapText="1"/>
    </xf>
    <xf numFmtId="0" fontId="150" fillId="0" borderId="721" xfId="0" applyFont="1" applyBorder="1"/>
    <xf numFmtId="0" fontId="26" fillId="0" borderId="404" xfId="0" applyFont="1" applyBorder="1" applyAlignment="1">
      <alignment horizontal="left" vertical="center" wrapText="1"/>
    </xf>
    <xf numFmtId="0" fontId="15" fillId="0" borderId="398" xfId="0" applyFont="1" applyBorder="1"/>
    <xf numFmtId="0" fontId="15" fillId="0" borderId="401" xfId="0" applyFont="1" applyBorder="1"/>
    <xf numFmtId="0" fontId="38" fillId="0" borderId="404" xfId="0" applyFont="1" applyBorder="1" applyAlignment="1">
      <alignment horizontal="left" vertical="center" wrapText="1"/>
    </xf>
    <xf numFmtId="0" fontId="26" fillId="0" borderId="405" xfId="0" applyFont="1" applyBorder="1" applyAlignment="1">
      <alignment horizontal="left" vertical="center" wrapText="1"/>
    </xf>
    <xf numFmtId="0" fontId="15" fillId="0" borderId="399" xfId="0" applyFont="1" applyBorder="1"/>
    <xf numFmtId="0" fontId="15" fillId="0" borderId="402" xfId="0" applyFont="1" applyBorder="1"/>
    <xf numFmtId="1" fontId="56" fillId="0" borderId="404" xfId="0" applyNumberFormat="1" applyFont="1" applyBorder="1" applyAlignment="1">
      <alignment horizontal="center" vertical="center" wrapText="1"/>
    </xf>
    <xf numFmtId="0" fontId="38" fillId="0" borderId="154" xfId="0" applyFont="1" applyBorder="1" applyAlignment="1">
      <alignment horizontal="left" vertical="center" wrapText="1"/>
    </xf>
    <xf numFmtId="0" fontId="15" fillId="0" borderId="154" xfId="0" applyFont="1" applyBorder="1"/>
    <xf numFmtId="0" fontId="15" fillId="0" borderId="158" xfId="0" applyFont="1" applyBorder="1"/>
    <xf numFmtId="0" fontId="26" fillId="0" borderId="26" xfId="0" applyFont="1" applyBorder="1" applyAlignment="1">
      <alignment horizontal="left" vertical="center" wrapText="1"/>
    </xf>
    <xf numFmtId="0" fontId="15" fillId="0" borderId="26" xfId="0" applyFont="1" applyBorder="1"/>
    <xf numFmtId="0" fontId="15" fillId="0" borderId="31" xfId="0" applyFont="1" applyBorder="1"/>
    <xf numFmtId="0" fontId="38" fillId="0" borderId="412" xfId="0" applyFont="1" applyBorder="1" applyAlignment="1">
      <alignment horizontal="left" vertical="center" wrapText="1"/>
    </xf>
    <xf numFmtId="0" fontId="26" fillId="0" borderId="41" xfId="0" applyFont="1" applyBorder="1" applyAlignment="1">
      <alignment horizontal="left" vertical="center" wrapText="1"/>
    </xf>
    <xf numFmtId="0" fontId="38" fillId="0" borderId="26" xfId="0" applyFont="1" applyBorder="1" applyAlignment="1">
      <alignment horizontal="left" vertical="center" wrapText="1"/>
    </xf>
    <xf numFmtId="0" fontId="26" fillId="4" borderId="41" xfId="0" applyFont="1" applyFill="1" applyBorder="1" applyAlignment="1">
      <alignment horizontal="left" vertical="center" wrapText="1"/>
    </xf>
    <xf numFmtId="1" fontId="56" fillId="0" borderId="26" xfId="0" applyNumberFormat="1" applyFont="1" applyBorder="1" applyAlignment="1">
      <alignment horizontal="center" vertical="center" wrapText="1"/>
    </xf>
    <xf numFmtId="0" fontId="26" fillId="4" borderId="176" xfId="0" applyFont="1" applyFill="1" applyBorder="1" applyAlignment="1">
      <alignment horizontal="left" vertical="center" wrapText="1"/>
    </xf>
    <xf numFmtId="0" fontId="15" fillId="0" borderId="27" xfId="0" applyFont="1" applyBorder="1"/>
    <xf numFmtId="0" fontId="15" fillId="0" borderId="32" xfId="0" applyFont="1" applyBorder="1"/>
    <xf numFmtId="0" fontId="26" fillId="0" borderId="36" xfId="0" applyFont="1" applyBorder="1" applyAlignment="1">
      <alignment horizontal="left" vertical="center" wrapText="1"/>
    </xf>
    <xf numFmtId="0" fontId="38" fillId="0" borderId="403" xfId="0" applyFont="1" applyBorder="1" applyAlignment="1">
      <alignment horizontal="left" vertical="center" wrapText="1"/>
    </xf>
    <xf numFmtId="0" fontId="15" fillId="0" borderId="397" xfId="0" applyFont="1" applyBorder="1"/>
    <xf numFmtId="0" fontId="15" fillId="0" borderId="400" xfId="0" applyFont="1" applyBorder="1"/>
    <xf numFmtId="0" fontId="38" fillId="0" borderId="204" xfId="0" applyFont="1" applyBorder="1" applyAlignment="1">
      <alignment horizontal="left" vertical="center" wrapText="1"/>
    </xf>
    <xf numFmtId="0" fontId="38" fillId="0" borderId="162" xfId="0" applyFont="1" applyBorder="1" applyAlignment="1">
      <alignment horizontal="left" vertical="center" wrapText="1"/>
    </xf>
    <xf numFmtId="0" fontId="38" fillId="0" borderId="36" xfId="0" applyFont="1" applyBorder="1" applyAlignment="1">
      <alignment horizontal="left" vertical="center" wrapText="1"/>
    </xf>
    <xf numFmtId="0" fontId="38" fillId="4" borderId="41" xfId="0" applyFont="1" applyFill="1" applyBorder="1" applyAlignment="1">
      <alignment horizontal="left" vertical="center" wrapText="1"/>
    </xf>
    <xf numFmtId="0" fontId="26" fillId="0" borderId="21" xfId="0" applyFont="1" applyBorder="1" applyAlignment="1">
      <alignment horizontal="left" vertical="center" wrapText="1"/>
    </xf>
    <xf numFmtId="0" fontId="38" fillId="4" borderId="412" xfId="0" applyFont="1" applyFill="1" applyBorder="1" applyAlignment="1">
      <alignment horizontal="left" vertical="center" wrapText="1"/>
    </xf>
    <xf numFmtId="0" fontId="26" fillId="4" borderId="36" xfId="0" applyFont="1" applyFill="1" applyBorder="1" applyAlignment="1">
      <alignment horizontal="left" vertical="center" wrapText="1"/>
    </xf>
    <xf numFmtId="0" fontId="26" fillId="4" borderId="21" xfId="0" applyFont="1" applyFill="1" applyBorder="1" applyAlignment="1">
      <alignment horizontal="left" vertical="center" wrapText="1"/>
    </xf>
    <xf numFmtId="0" fontId="26" fillId="4" borderId="22" xfId="0" applyFont="1" applyFill="1" applyBorder="1" applyAlignment="1">
      <alignment horizontal="left" vertical="center" wrapText="1"/>
    </xf>
    <xf numFmtId="0" fontId="26" fillId="0" borderId="155" xfId="0" applyFont="1" applyBorder="1" applyAlignment="1">
      <alignment horizontal="left" vertical="center" wrapText="1"/>
    </xf>
    <xf numFmtId="0" fontId="15" fillId="0" borderId="156" xfId="0" applyFont="1" applyBorder="1"/>
    <xf numFmtId="0" fontId="15" fillId="0" borderId="159" xfId="0" applyFont="1" applyBorder="1"/>
    <xf numFmtId="1" fontId="56" fillId="0" borderId="21" xfId="0" applyNumberFormat="1" applyFont="1" applyBorder="1" applyAlignment="1">
      <alignment horizontal="center" vertical="center" wrapText="1"/>
    </xf>
    <xf numFmtId="0" fontId="38" fillId="0" borderId="21" xfId="0" applyFont="1" applyBorder="1" applyAlignment="1">
      <alignment horizontal="left" vertical="center" wrapText="1"/>
    </xf>
    <xf numFmtId="0" fontId="88" fillId="0" borderId="404" xfId="0" applyFont="1" applyBorder="1" applyAlignment="1">
      <alignment horizontal="left" vertical="center" wrapText="1"/>
    </xf>
    <xf numFmtId="0" fontId="152" fillId="2" borderId="19" xfId="0" applyFont="1" applyFill="1" applyBorder="1" applyAlignment="1">
      <alignment horizontal="center" vertical="center" textRotation="90" wrapText="1"/>
    </xf>
    <xf numFmtId="0" fontId="150" fillId="0" borderId="18" xfId="0" applyFont="1" applyBorder="1"/>
    <xf numFmtId="0" fontId="150" fillId="0" borderId="370" xfId="0" applyFont="1" applyBorder="1"/>
    <xf numFmtId="0" fontId="152" fillId="2" borderId="18" xfId="0" applyFont="1" applyFill="1" applyBorder="1" applyAlignment="1">
      <alignment horizontal="center" vertical="center" textRotation="90" wrapText="1"/>
    </xf>
    <xf numFmtId="0" fontId="26" fillId="0" borderId="27" xfId="0" applyFont="1" applyBorder="1" applyAlignment="1">
      <alignment horizontal="left" vertical="center" wrapText="1"/>
    </xf>
    <xf numFmtId="0" fontId="38" fillId="0" borderId="41" xfId="0" applyFont="1" applyBorder="1" applyAlignment="1">
      <alignment horizontal="left" vertical="center" wrapText="1"/>
    </xf>
    <xf numFmtId="0" fontId="88" fillId="0" borderId="26" xfId="0" applyFont="1" applyBorder="1" applyAlignment="1">
      <alignment horizontal="left" vertical="center" wrapText="1"/>
    </xf>
    <xf numFmtId="0" fontId="38" fillId="0" borderId="397" xfId="0" applyFont="1" applyBorder="1" applyAlignment="1">
      <alignment horizontal="left" vertical="center" wrapText="1"/>
    </xf>
    <xf numFmtId="0" fontId="38" fillId="4" borderId="403" xfId="0" applyFont="1" applyFill="1" applyBorder="1" applyAlignment="1">
      <alignment horizontal="left" vertical="center" wrapText="1"/>
    </xf>
    <xf numFmtId="0" fontId="26" fillId="4" borderId="404" xfId="0" applyFont="1" applyFill="1" applyBorder="1" applyAlignment="1">
      <alignment horizontal="left" vertical="center" wrapText="1"/>
    </xf>
    <xf numFmtId="0" fontId="38" fillId="4" borderId="404" xfId="0" applyFont="1" applyFill="1" applyBorder="1" applyAlignment="1">
      <alignment horizontal="left" vertical="center" wrapText="1"/>
    </xf>
    <xf numFmtId="0" fontId="26" fillId="0" borderId="426" xfId="0" applyFont="1" applyBorder="1" applyAlignment="1">
      <alignment horizontal="left" vertical="center" wrapText="1"/>
    </xf>
    <xf numFmtId="0" fontId="15" fillId="0" borderId="426" xfId="0" applyFont="1" applyBorder="1"/>
    <xf numFmtId="0" fontId="15" fillId="0" borderId="427" xfId="0" applyFont="1" applyBorder="1"/>
    <xf numFmtId="0" fontId="26" fillId="4" borderId="27" xfId="0" applyFont="1" applyFill="1" applyBorder="1" applyAlignment="1">
      <alignment horizontal="left" vertical="center" wrapText="1"/>
    </xf>
    <xf numFmtId="0" fontId="26" fillId="0" borderId="428" xfId="0" applyFont="1" applyBorder="1" applyAlignment="1">
      <alignment horizontal="left" vertical="center" wrapText="1"/>
    </xf>
    <xf numFmtId="0" fontId="15" fillId="0" borderId="428" xfId="0" applyFont="1" applyBorder="1"/>
    <xf numFmtId="0" fontId="15" fillId="0" borderId="429" xfId="0" applyFont="1" applyBorder="1"/>
    <xf numFmtId="0" fontId="38" fillId="0" borderId="426" xfId="0" applyFont="1" applyBorder="1" applyAlignment="1">
      <alignment horizontal="left" vertical="center" wrapText="1"/>
    </xf>
    <xf numFmtId="1" fontId="56" fillId="4" borderId="41" xfId="0" applyNumberFormat="1" applyFont="1" applyFill="1" applyBorder="1" applyAlignment="1">
      <alignment horizontal="center" vertical="center" wrapText="1"/>
    </xf>
    <xf numFmtId="0" fontId="91" fillId="0" borderId="26" xfId="0" applyFont="1" applyBorder="1" applyAlignment="1">
      <alignment horizontal="left" vertical="center" wrapText="1"/>
    </xf>
    <xf numFmtId="0" fontId="26" fillId="0" borderId="398" xfId="0" applyFont="1" applyBorder="1" applyAlignment="1">
      <alignment horizontal="left" vertical="center" wrapText="1"/>
    </xf>
    <xf numFmtId="0" fontId="26" fillId="4" borderId="425" xfId="0" applyFont="1" applyFill="1" applyBorder="1" applyAlignment="1">
      <alignment horizontal="left" vertical="center" wrapText="1"/>
    </xf>
    <xf numFmtId="0" fontId="26" fillId="4" borderId="37" xfId="0" applyFont="1" applyFill="1" applyBorder="1" applyAlignment="1">
      <alignment horizontal="left" vertical="center" wrapText="1"/>
    </xf>
    <xf numFmtId="1" fontId="56" fillId="4" borderId="21" xfId="0" applyNumberFormat="1" applyFont="1" applyFill="1" applyBorder="1" applyAlignment="1">
      <alignment horizontal="center" vertical="center" wrapText="1"/>
    </xf>
    <xf numFmtId="0" fontId="90" fillId="0" borderId="26" xfId="0" applyFont="1" applyBorder="1" applyAlignment="1">
      <alignment horizontal="left" vertical="center" wrapText="1"/>
    </xf>
    <xf numFmtId="0" fontId="26" fillId="0" borderId="22" xfId="0" applyFont="1" applyBorder="1" applyAlignment="1">
      <alignment horizontal="left" vertical="center" wrapText="1"/>
    </xf>
    <xf numFmtId="0" fontId="26" fillId="0" borderId="176" xfId="0" applyFont="1" applyBorder="1" applyAlignment="1">
      <alignment horizontal="left" vertical="center" wrapText="1"/>
    </xf>
    <xf numFmtId="0" fontId="26" fillId="0" borderId="37" xfId="0" applyFont="1" applyBorder="1" applyAlignment="1">
      <alignment horizontal="left" vertical="center" wrapText="1"/>
    </xf>
    <xf numFmtId="0" fontId="26" fillId="0" borderId="404" xfId="0" quotePrefix="1" applyFont="1" applyBorder="1" applyAlignment="1">
      <alignment horizontal="center" vertical="center" wrapText="1"/>
    </xf>
    <xf numFmtId="0" fontId="26" fillId="0" borderId="405" xfId="0" quotePrefix="1" applyFont="1" applyBorder="1" applyAlignment="1">
      <alignment horizontal="center" vertical="center" wrapText="1"/>
    </xf>
    <xf numFmtId="0" fontId="56" fillId="0" borderId="398" xfId="0" applyFont="1" applyBorder="1" applyAlignment="1">
      <alignment horizontal="center" vertical="center" wrapText="1"/>
    </xf>
    <xf numFmtId="0" fontId="56" fillId="0" borderId="404" xfId="0" applyFont="1" applyBorder="1" applyAlignment="1">
      <alignment horizontal="center" vertical="center" wrapText="1"/>
    </xf>
    <xf numFmtId="1" fontId="56" fillId="0" borderId="36" xfId="0" applyNumberFormat="1" applyFont="1" applyBorder="1" applyAlignment="1">
      <alignment horizontal="center" vertical="center" wrapText="1"/>
    </xf>
    <xf numFmtId="0" fontId="26" fillId="0" borderId="410" xfId="0" applyFont="1" applyBorder="1" applyAlignment="1">
      <alignment horizontal="left" vertical="center" wrapText="1"/>
    </xf>
    <xf numFmtId="0" fontId="56" fillId="0" borderId="410" xfId="0" applyFont="1" applyBorder="1" applyAlignment="1">
      <alignment horizontal="center" vertical="center" wrapText="1"/>
    </xf>
    <xf numFmtId="0" fontId="25" fillId="0" borderId="410" xfId="0" applyFont="1" applyBorder="1" applyAlignment="1">
      <alignment horizontal="left" vertical="center" wrapText="1"/>
    </xf>
    <xf numFmtId="0" fontId="150" fillId="0" borderId="366" xfId="0" applyFont="1" applyBorder="1"/>
    <xf numFmtId="0" fontId="152" fillId="2" borderId="321" xfId="0" applyFont="1" applyFill="1" applyBorder="1" applyAlignment="1">
      <alignment horizontal="center" vertical="center" textRotation="90" wrapText="1"/>
    </xf>
    <xf numFmtId="0" fontId="150" fillId="0" borderId="283" xfId="0" applyFont="1" applyBorder="1"/>
    <xf numFmtId="0" fontId="150" fillId="0" borderId="408" xfId="0" applyFont="1" applyBorder="1"/>
    <xf numFmtId="0" fontId="2" fillId="0" borderId="36" xfId="0" applyFont="1" applyBorder="1" applyAlignment="1">
      <alignment horizontal="center" vertical="center" wrapText="1"/>
    </xf>
    <xf numFmtId="0" fontId="8" fillId="10" borderId="86" xfId="0" applyFont="1" applyFill="1" applyBorder="1" applyAlignment="1">
      <alignment horizontal="center" vertical="center" wrapText="1"/>
    </xf>
    <xf numFmtId="0" fontId="15" fillId="0" borderId="100" xfId="0" applyFont="1" applyBorder="1"/>
    <xf numFmtId="0" fontId="38" fillId="0" borderId="398" xfId="0" applyFont="1" applyBorder="1" applyAlignment="1">
      <alignment horizontal="left" vertical="center" wrapText="1"/>
    </xf>
    <xf numFmtId="0" fontId="8" fillId="9" borderId="134" xfId="0" applyFont="1" applyFill="1" applyBorder="1" applyAlignment="1">
      <alignment horizontal="center" vertical="center" wrapText="1"/>
    </xf>
    <xf numFmtId="0" fontId="15" fillId="0" borderId="98" xfId="0" applyFont="1" applyBorder="1"/>
    <xf numFmtId="0" fontId="8" fillId="11" borderId="88" xfId="0" applyFont="1" applyFill="1" applyBorder="1" applyAlignment="1">
      <alignment horizontal="center" vertical="center" wrapText="1"/>
    </xf>
    <xf numFmtId="0" fontId="15" fillId="0" borderId="102" xfId="0" applyFont="1" applyBorder="1"/>
    <xf numFmtId="0" fontId="26" fillId="0" borderId="113" xfId="0" applyFont="1" applyBorder="1" applyAlignment="1">
      <alignment horizontal="left" vertical="center" wrapText="1"/>
    </xf>
    <xf numFmtId="0" fontId="15" fillId="0" borderId="113" xfId="0" applyFont="1" applyBorder="1"/>
    <xf numFmtId="0" fontId="15" fillId="0" borderId="120" xfId="0" applyFont="1" applyBorder="1"/>
    <xf numFmtId="0" fontId="26" fillId="0" borderId="123" xfId="0" applyFont="1" applyBorder="1" applyAlignment="1">
      <alignment horizontal="left" vertical="center" wrapText="1"/>
    </xf>
    <xf numFmtId="0" fontId="8" fillId="2" borderId="282" xfId="0" applyFont="1" applyFill="1" applyBorder="1" applyAlignment="1">
      <alignment horizontal="center" vertical="center" textRotation="90"/>
    </xf>
    <xf numFmtId="0" fontId="15" fillId="0" borderId="283" xfId="0" applyFont="1" applyBorder="1"/>
    <xf numFmtId="0" fontId="15" fillId="0" borderId="284" xfId="0" applyFont="1" applyBorder="1"/>
    <xf numFmtId="49" fontId="75" fillId="5" borderId="16" xfId="0" applyNumberFormat="1" applyFont="1" applyFill="1" applyBorder="1" applyAlignment="1">
      <alignment horizontal="center" vertical="center" wrapText="1"/>
    </xf>
    <xf numFmtId="0" fontId="15" fillId="0" borderId="17" xfId="0" applyFont="1" applyBorder="1"/>
    <xf numFmtId="0" fontId="75" fillId="6" borderId="133" xfId="0" applyFont="1" applyFill="1" applyBorder="1" applyAlignment="1">
      <alignment horizontal="center" vertical="center" wrapText="1"/>
    </xf>
    <xf numFmtId="0" fontId="15" fillId="0" borderId="78" xfId="0" applyFont="1" applyBorder="1"/>
    <xf numFmtId="0" fontId="15" fillId="0" borderId="79" xfId="0" applyFont="1" applyBorder="1"/>
    <xf numFmtId="0" fontId="26" fillId="0" borderId="399" xfId="0" applyFont="1" applyBorder="1" applyAlignment="1">
      <alignment horizontal="left" vertical="center" wrapText="1"/>
    </xf>
    <xf numFmtId="0" fontId="26" fillId="0" borderId="111" xfId="0" applyFont="1" applyBorder="1" applyAlignment="1">
      <alignment horizontal="left" vertical="center" wrapText="1"/>
    </xf>
    <xf numFmtId="1" fontId="56" fillId="0" borderId="398" xfId="0" applyNumberFormat="1" applyFont="1" applyBorder="1" applyAlignment="1">
      <alignment horizontal="center" vertical="center" wrapText="1"/>
    </xf>
    <xf numFmtId="0" fontId="8" fillId="11" borderId="87" xfId="0" applyFont="1" applyFill="1" applyBorder="1" applyAlignment="1">
      <alignment horizontal="center" vertical="center" wrapText="1"/>
    </xf>
    <xf numFmtId="0" fontId="15" fillId="0" borderId="101" xfId="0" applyFont="1" applyBorder="1"/>
    <xf numFmtId="0" fontId="8" fillId="11" borderId="89" xfId="0" applyFont="1" applyFill="1" applyBorder="1" applyAlignment="1">
      <alignment horizontal="center" vertical="center" wrapText="1"/>
    </xf>
    <xf numFmtId="0" fontId="15" fillId="0" borderId="90" xfId="0" applyFont="1" applyBorder="1"/>
    <xf numFmtId="0" fontId="15" fillId="0" borderId="91" xfId="0" applyFont="1" applyBorder="1"/>
    <xf numFmtId="0" fontId="8" fillId="11" borderId="92" xfId="0" applyFont="1" applyFill="1" applyBorder="1" applyAlignment="1">
      <alignment horizontal="center" vertical="center" wrapText="1"/>
    </xf>
    <xf numFmtId="0" fontId="15" fillId="0" borderId="104" xfId="0" applyFont="1" applyBorder="1"/>
    <xf numFmtId="0" fontId="8" fillId="9" borderId="135" xfId="0" applyFont="1" applyFill="1" applyBorder="1" applyAlignment="1">
      <alignment horizontal="center" vertical="center" wrapText="1"/>
    </xf>
    <xf numFmtId="0" fontId="15" fillId="0" borderId="99" xfId="0" applyFont="1" applyBorder="1"/>
    <xf numFmtId="0" fontId="150" fillId="0" borderId="406" xfId="0" applyFont="1" applyBorder="1"/>
    <xf numFmtId="4" fontId="132" fillId="2" borderId="418" xfId="0" applyNumberFormat="1" applyFont="1" applyFill="1" applyBorder="1" applyAlignment="1">
      <alignment horizontal="left" vertical="center" wrapText="1" indent="1"/>
    </xf>
    <xf numFmtId="0" fontId="159" fillId="0" borderId="236" xfId="0" applyFont="1" applyBorder="1" applyAlignment="1">
      <alignment horizontal="left" indent="1"/>
    </xf>
    <xf numFmtId="0" fontId="159" fillId="0" borderId="237" xfId="0" applyFont="1" applyBorder="1" applyAlignment="1">
      <alignment horizontal="left" indent="1"/>
    </xf>
    <xf numFmtId="4" fontId="38" fillId="2" borderId="238" xfId="0" applyNumberFormat="1" applyFont="1" applyFill="1" applyBorder="1" applyAlignment="1">
      <alignment horizontal="center" vertical="center" wrapText="1"/>
    </xf>
    <xf numFmtId="0" fontId="15" fillId="0" borderId="236" xfId="0" applyFont="1" applyBorder="1"/>
    <xf numFmtId="4" fontId="136" fillId="2" borderId="355" xfId="0" applyNumberFormat="1" applyFont="1" applyFill="1" applyBorder="1" applyAlignment="1">
      <alignment horizontal="left" vertical="center" wrapText="1" indent="1"/>
    </xf>
    <xf numFmtId="0" fontId="118" fillId="0" borderId="127" xfId="0" applyFont="1" applyBorder="1" applyAlignment="1">
      <alignment horizontal="left" indent="1"/>
    </xf>
    <xf numFmtId="0" fontId="118" fillId="0" borderId="125" xfId="0" applyFont="1" applyBorder="1" applyAlignment="1">
      <alignment horizontal="left" indent="1"/>
    </xf>
    <xf numFmtId="4" fontId="38" fillId="2" borderId="129" xfId="0" applyNumberFormat="1" applyFont="1" applyFill="1" applyBorder="1" applyAlignment="1">
      <alignment horizontal="center" vertical="center" wrapText="1"/>
    </xf>
    <xf numFmtId="0" fontId="15" fillId="0" borderId="127" xfId="0" applyFont="1" applyBorder="1"/>
    <xf numFmtId="0" fontId="15" fillId="0" borderId="130" xfId="0" applyFont="1" applyBorder="1"/>
    <xf numFmtId="0" fontId="30" fillId="0" borderId="0" xfId="0" applyFont="1" applyAlignment="1">
      <alignment horizontal="left" vertical="center" wrapText="1"/>
    </xf>
    <xf numFmtId="0" fontId="53" fillId="4" borderId="0" xfId="0" applyFont="1" applyFill="1" applyAlignment="1">
      <alignment horizontal="center" vertical="center" wrapText="1"/>
    </xf>
    <xf numFmtId="0" fontId="75" fillId="7" borderId="80" xfId="0" applyFont="1" applyFill="1" applyBorder="1" applyAlignment="1">
      <alignment horizontal="center" vertical="center" wrapText="1"/>
    </xf>
    <xf numFmtId="0" fontId="15" fillId="0" borderId="81" xfId="0" applyFont="1" applyBorder="1"/>
    <xf numFmtId="0" fontId="15" fillId="0" borderId="82" xfId="0" applyFont="1" applyBorder="1"/>
    <xf numFmtId="0" fontId="75" fillId="8" borderId="83" xfId="0" applyFont="1" applyFill="1" applyBorder="1" applyAlignment="1">
      <alignment horizontal="center" vertical="center" wrapText="1"/>
    </xf>
    <xf numFmtId="0" fontId="15" fillId="0" borderId="84" xfId="0" applyFont="1" applyBorder="1"/>
    <xf numFmtId="0" fontId="15" fillId="0" borderId="85" xfId="0" applyFont="1" applyBorder="1"/>
    <xf numFmtId="0" fontId="8" fillId="12" borderId="93" xfId="0" applyFont="1" applyFill="1" applyBorder="1" applyAlignment="1">
      <alignment horizontal="center" vertical="center" wrapText="1"/>
    </xf>
    <xf numFmtId="0" fontId="15" fillId="0" borderId="94" xfId="0" applyFont="1" applyBorder="1"/>
    <xf numFmtId="0" fontId="15" fillId="0" borderId="95" xfId="0" applyFont="1" applyBorder="1"/>
    <xf numFmtId="0" fontId="8" fillId="12" borderId="96" xfId="0" applyFont="1" applyFill="1" applyBorder="1" applyAlignment="1">
      <alignment horizontal="center" vertical="center" wrapText="1"/>
    </xf>
    <xf numFmtId="0" fontId="8" fillId="12" borderId="97" xfId="0" applyFont="1" applyFill="1" applyBorder="1" applyAlignment="1">
      <alignment horizontal="center" vertical="center" wrapText="1"/>
    </xf>
    <xf numFmtId="0" fontId="15" fillId="0" borderId="108" xfId="0" applyFont="1" applyBorder="1"/>
    <xf numFmtId="0" fontId="26" fillId="0" borderId="161" xfId="0" applyFont="1" applyBorder="1" applyAlignment="1">
      <alignment horizontal="left" vertical="center" wrapText="1"/>
    </xf>
    <xf numFmtId="0" fontId="15" fillId="0" borderId="157" xfId="0" applyFont="1" applyBorder="1"/>
    <xf numFmtId="0" fontId="15" fillId="0" borderId="160" xfId="0" applyFont="1" applyBorder="1"/>
    <xf numFmtId="0" fontId="87" fillId="2" borderId="420" xfId="0" applyFont="1" applyFill="1" applyBorder="1" applyAlignment="1">
      <alignment horizontal="center" vertical="center"/>
    </xf>
    <xf numFmtId="0" fontId="15" fillId="0" borderId="421" xfId="0" applyFont="1" applyBorder="1"/>
    <xf numFmtId="0" fontId="15" fillId="0" borderId="422" xfId="0" applyFont="1" applyBorder="1"/>
    <xf numFmtId="4" fontId="87" fillId="2" borderId="418" xfId="0" applyNumberFormat="1" applyFont="1" applyFill="1" applyBorder="1" applyAlignment="1">
      <alignment horizontal="left" vertical="center" wrapText="1"/>
    </xf>
    <xf numFmtId="0" fontId="15" fillId="0" borderId="237" xfId="0" applyFont="1" applyBorder="1"/>
    <xf numFmtId="4" fontId="87" fillId="2" borderId="165" xfId="0" applyNumberFormat="1" applyFont="1" applyFill="1" applyBorder="1" applyAlignment="1">
      <alignment horizontal="left" vertical="center" wrapText="1"/>
    </xf>
    <xf numFmtId="0" fontId="15" fillId="0" borderId="184" xfId="0" applyFont="1" applyBorder="1"/>
    <xf numFmtId="0" fontId="15" fillId="0" borderId="185" xfId="0" applyFont="1" applyBorder="1"/>
    <xf numFmtId="4" fontId="38" fillId="2" borderId="187" xfId="0" applyNumberFormat="1" applyFont="1" applyFill="1" applyBorder="1" applyAlignment="1">
      <alignment horizontal="center" vertical="center" wrapText="1"/>
    </xf>
    <xf numFmtId="0" fontId="15" fillId="0" borderId="188" xfId="0" applyFont="1" applyBorder="1"/>
    <xf numFmtId="0" fontId="14" fillId="4" borderId="113" xfId="0" applyFont="1" applyFill="1" applyBorder="1" applyAlignment="1">
      <alignment horizontal="left" vertical="center" wrapText="1"/>
    </xf>
    <xf numFmtId="0" fontId="25" fillId="3" borderId="261" xfId="0" applyFont="1" applyFill="1" applyBorder="1" applyAlignment="1">
      <alignment horizontal="left" vertical="center" wrapText="1"/>
    </xf>
    <xf numFmtId="0" fontId="15" fillId="0" borderId="249" xfId="0" applyFont="1" applyBorder="1"/>
    <xf numFmtId="0" fontId="15" fillId="0" borderId="250" xfId="0" applyFont="1" applyBorder="1"/>
    <xf numFmtId="0" fontId="89" fillId="0" borderId="404" xfId="0" applyFont="1" applyBorder="1" applyAlignment="1">
      <alignment horizontal="left" vertical="center" wrapText="1"/>
    </xf>
    <xf numFmtId="0" fontId="56" fillId="0" borderId="411" xfId="0" applyFont="1" applyBorder="1" applyAlignment="1">
      <alignment horizontal="center" vertical="center" wrapText="1"/>
    </xf>
    <xf numFmtId="4" fontId="45" fillId="2" borderId="467" xfId="0" applyNumberFormat="1" applyFont="1" applyFill="1" applyBorder="1" applyAlignment="1">
      <alignment horizontal="center" vertical="center" wrapText="1"/>
    </xf>
    <xf numFmtId="0" fontId="15" fillId="0" borderId="201" xfId="0" applyFont="1" applyBorder="1"/>
    <xf numFmtId="0" fontId="38" fillId="0" borderId="35" xfId="0" applyFont="1" applyBorder="1" applyAlignment="1">
      <alignment horizontal="center" vertical="center" wrapText="1"/>
    </xf>
    <xf numFmtId="0" fontId="15" fillId="0" borderId="25" xfId="0" applyFont="1" applyBorder="1"/>
    <xf numFmtId="0" fontId="15" fillId="0" borderId="30" xfId="0" applyFont="1" applyBorder="1"/>
    <xf numFmtId="0" fontId="26" fillId="0" borderId="179" xfId="0" applyFont="1" applyBorder="1" applyAlignment="1">
      <alignment horizontal="center" vertical="center" wrapText="1"/>
    </xf>
    <xf numFmtId="0" fontId="15" fillId="0" borderId="51" xfId="0" applyFont="1" applyBorder="1"/>
    <xf numFmtId="0" fontId="15" fillId="0" borderId="52" xfId="0" applyFont="1" applyBorder="1"/>
    <xf numFmtId="0" fontId="38" fillId="0" borderId="179" xfId="0" applyFont="1" applyBorder="1" applyAlignment="1">
      <alignment horizontal="center" vertical="center" wrapText="1"/>
    </xf>
    <xf numFmtId="0" fontId="26" fillId="0" borderId="193" xfId="0" applyFont="1" applyBorder="1" applyAlignment="1">
      <alignment horizontal="center" vertical="center" wrapText="1"/>
    </xf>
    <xf numFmtId="0" fontId="15" fillId="0" borderId="196" xfId="0" applyFont="1" applyBorder="1"/>
    <xf numFmtId="0" fontId="26" fillId="0" borderId="157" xfId="0" applyFont="1" applyBorder="1" applyAlignment="1">
      <alignment horizontal="center" vertical="center" wrapText="1"/>
    </xf>
    <xf numFmtId="0" fontId="26" fillId="0" borderId="161" xfId="0" applyFont="1" applyBorder="1" applyAlignment="1">
      <alignment vertical="center"/>
    </xf>
    <xf numFmtId="1" fontId="26" fillId="4" borderId="179" xfId="0" applyNumberFormat="1" applyFont="1" applyFill="1" applyBorder="1" applyAlignment="1">
      <alignment horizontal="center" vertical="center" wrapText="1"/>
    </xf>
    <xf numFmtId="0" fontId="26" fillId="4" borderId="179" xfId="0" applyFont="1" applyFill="1" applyBorder="1" applyAlignment="1">
      <alignment horizontal="center" vertical="center" wrapText="1"/>
    </xf>
    <xf numFmtId="0" fontId="26" fillId="4" borderId="446" xfId="0" applyFont="1" applyFill="1" applyBorder="1" applyAlignment="1">
      <alignment horizontal="center" vertical="center" wrapText="1"/>
    </xf>
    <xf numFmtId="0" fontId="15" fillId="0" borderId="419" xfId="0" applyFont="1" applyBorder="1"/>
    <xf numFmtId="0" fontId="15" fillId="0" borderId="463" xfId="0" applyFont="1" applyBorder="1"/>
    <xf numFmtId="1" fontId="26" fillId="4" borderId="474" xfId="0" applyNumberFormat="1" applyFont="1" applyFill="1" applyBorder="1" applyAlignment="1">
      <alignment horizontal="center" vertical="center" wrapText="1"/>
    </xf>
    <xf numFmtId="0" fontId="152" fillId="2" borderId="136" xfId="0" applyFont="1" applyFill="1" applyBorder="1" applyAlignment="1">
      <alignment horizontal="center" vertical="center" textRotation="90" wrapText="1"/>
    </xf>
    <xf numFmtId="0" fontId="150" fillId="0" borderId="140" xfId="0" applyFont="1" applyBorder="1"/>
    <xf numFmtId="0" fontId="150" fillId="0" borderId="465" xfId="0" applyFont="1" applyBorder="1"/>
    <xf numFmtId="0" fontId="26" fillId="0" borderId="443" xfId="0" applyFont="1" applyBorder="1" applyAlignment="1">
      <alignment horizontal="center" vertical="center" wrapText="1"/>
    </xf>
    <xf numFmtId="0" fontId="15" fillId="0" borderId="444" xfId="0" applyFont="1" applyBorder="1"/>
    <xf numFmtId="0" fontId="15" fillId="0" borderId="445" xfId="0" applyFont="1" applyBorder="1"/>
    <xf numFmtId="0" fontId="26" fillId="3" borderId="440" xfId="0" applyFont="1" applyFill="1" applyBorder="1" applyAlignment="1">
      <alignment horizontal="center" vertical="center" wrapText="1"/>
    </xf>
    <xf numFmtId="0" fontId="15" fillId="0" borderId="442" xfId="0" applyFont="1" applyBorder="1"/>
    <xf numFmtId="0" fontId="15" fillId="0" borderId="53" xfId="0" applyFont="1" applyBorder="1"/>
    <xf numFmtId="4" fontId="44" fillId="2" borderId="467" xfId="0" applyNumberFormat="1" applyFont="1" applyFill="1" applyBorder="1" applyAlignment="1">
      <alignment horizontal="center" vertical="center" wrapText="1"/>
    </xf>
    <xf numFmtId="0" fontId="15" fillId="0" borderId="468" xfId="0" applyFont="1" applyBorder="1"/>
    <xf numFmtId="0" fontId="26" fillId="0" borderId="440" xfId="0" applyFont="1" applyBorder="1" applyAlignment="1">
      <alignment horizontal="center" vertical="center" wrapText="1"/>
    </xf>
    <xf numFmtId="0" fontId="15" fillId="0" borderId="441" xfId="0" applyFont="1" applyBorder="1"/>
    <xf numFmtId="0" fontId="26" fillId="0" borderId="381" xfId="0" applyFont="1" applyBorder="1" applyAlignment="1">
      <alignment horizontal="center" vertical="center" wrapText="1"/>
    </xf>
    <xf numFmtId="0" fontId="15" fillId="0" borderId="194" xfId="0" applyFont="1" applyBorder="1"/>
    <xf numFmtId="0" fontId="15" fillId="0" borderId="387" xfId="0" applyFont="1" applyBorder="1"/>
    <xf numFmtId="1" fontId="56" fillId="4" borderId="440" xfId="0" applyNumberFormat="1" applyFont="1" applyFill="1" applyBorder="1" applyAlignment="1">
      <alignment horizontal="center" vertical="center" wrapText="1"/>
    </xf>
    <xf numFmtId="4" fontId="44" fillId="2" borderId="382" xfId="0" applyNumberFormat="1" applyFont="1" applyFill="1" applyBorder="1" applyAlignment="1">
      <alignment horizontal="left" vertical="center" wrapText="1"/>
    </xf>
    <xf numFmtId="4" fontId="45" fillId="2" borderId="187" xfId="0" applyNumberFormat="1" applyFont="1" applyFill="1" applyBorder="1" applyAlignment="1">
      <alignment horizontal="center" vertical="center" wrapText="1"/>
    </xf>
    <xf numFmtId="0" fontId="26" fillId="0" borderId="193" xfId="0" applyFont="1" applyBorder="1" applyAlignment="1">
      <alignment horizontal="left" vertical="center" wrapText="1"/>
    </xf>
    <xf numFmtId="0" fontId="26" fillId="0" borderId="474" xfId="0" applyFont="1" applyBorder="1" applyAlignment="1">
      <alignment horizontal="center" vertical="center" wrapText="1"/>
    </xf>
    <xf numFmtId="0" fontId="26" fillId="4" borderId="22" xfId="0" applyFont="1" applyFill="1" applyBorder="1" applyAlignment="1">
      <alignment horizontal="center" vertical="center" wrapText="1"/>
    </xf>
    <xf numFmtId="0" fontId="26" fillId="4" borderId="440" xfId="0" applyFont="1" applyFill="1" applyBorder="1" applyAlignment="1">
      <alignment horizontal="center" vertical="center" wrapText="1"/>
    </xf>
    <xf numFmtId="0" fontId="38" fillId="0" borderId="440" xfId="0" applyFont="1" applyBorder="1" applyAlignment="1">
      <alignment horizontal="center" vertical="center" wrapText="1"/>
    </xf>
    <xf numFmtId="0" fontId="38" fillId="0" borderId="438" xfId="0" applyFont="1" applyBorder="1" applyAlignment="1">
      <alignment horizontal="center" vertical="center" wrapText="1"/>
    </xf>
    <xf numFmtId="0" fontId="15" fillId="0" borderId="436" xfId="0" applyFont="1" applyBorder="1"/>
    <xf numFmtId="0" fontId="15" fillId="0" borderId="437" xfId="0" applyFont="1" applyBorder="1"/>
    <xf numFmtId="0" fontId="26" fillId="0" borderId="449" xfId="0" applyFont="1" applyBorder="1" applyAlignment="1">
      <alignment horizontal="center" vertical="center" wrapText="1"/>
    </xf>
    <xf numFmtId="0" fontId="15" fillId="0" borderId="450" xfId="0" applyFont="1" applyBorder="1"/>
    <xf numFmtId="0" fontId="15" fillId="0" borderId="270" xfId="0" applyFont="1" applyBorder="1"/>
    <xf numFmtId="1" fontId="26" fillId="4" borderId="440" xfId="0" applyNumberFormat="1" applyFont="1" applyFill="1" applyBorder="1" applyAlignment="1">
      <alignment horizontal="center" vertical="center" wrapText="1"/>
    </xf>
    <xf numFmtId="1" fontId="26" fillId="4" borderId="162" xfId="0" applyNumberFormat="1" applyFont="1" applyFill="1" applyBorder="1" applyAlignment="1">
      <alignment horizontal="center" vertical="center" wrapText="1"/>
    </xf>
    <xf numFmtId="0" fontId="15" fillId="0" borderId="412" xfId="0" applyFont="1" applyBorder="1"/>
    <xf numFmtId="0" fontId="15" fillId="0" borderId="152" xfId="0" applyFont="1" applyBorder="1"/>
    <xf numFmtId="1" fontId="26" fillId="4" borderId="138" xfId="0" applyNumberFormat="1" applyFont="1" applyFill="1" applyBorder="1" applyAlignment="1">
      <alignment horizontal="center" vertical="center" wrapText="1"/>
    </xf>
    <xf numFmtId="1" fontId="26" fillId="3" borderId="138" xfId="0" applyNumberFormat="1" applyFont="1" applyFill="1" applyBorder="1" applyAlignment="1">
      <alignment horizontal="center" vertical="center" wrapText="1"/>
    </xf>
    <xf numFmtId="1" fontId="26" fillId="0" borderId="474" xfId="0" applyNumberFormat="1" applyFont="1" applyBorder="1" applyAlignment="1">
      <alignment horizontal="center" vertical="center" wrapText="1"/>
    </xf>
    <xf numFmtId="0" fontId="26" fillId="3" borderId="22" xfId="0" applyFont="1" applyFill="1" applyBorder="1" applyAlignment="1">
      <alignment horizontal="center" vertical="center" wrapText="1"/>
    </xf>
    <xf numFmtId="0" fontId="26" fillId="0" borderId="138" xfId="0" applyFont="1" applyBorder="1" applyAlignment="1">
      <alignment horizontal="center" vertical="center" wrapText="1"/>
    </xf>
    <xf numFmtId="1" fontId="26" fillId="0" borderId="138" xfId="0" applyNumberFormat="1" applyFont="1" applyBorder="1" applyAlignment="1">
      <alignment horizontal="center" vertical="center" wrapText="1"/>
    </xf>
    <xf numFmtId="1" fontId="26" fillId="3" borderId="457" xfId="0" applyNumberFormat="1" applyFont="1" applyFill="1" applyBorder="1" applyAlignment="1">
      <alignment horizontal="center" vertical="center" wrapText="1"/>
    </xf>
    <xf numFmtId="0" fontId="15" fillId="0" borderId="458" xfId="0" applyFont="1" applyBorder="1"/>
    <xf numFmtId="0" fontId="14" fillId="0" borderId="138" xfId="0" applyFont="1" applyBorder="1" applyAlignment="1">
      <alignment horizontal="center" vertical="center" wrapText="1"/>
    </xf>
    <xf numFmtId="1" fontId="26" fillId="4" borderId="449" xfId="0" applyNumberFormat="1" applyFont="1" applyFill="1" applyBorder="1" applyAlignment="1">
      <alignment horizontal="center" vertical="center" wrapText="1"/>
    </xf>
    <xf numFmtId="0" fontId="26" fillId="4" borderId="452" xfId="0" applyFont="1" applyFill="1" applyBorder="1" applyAlignment="1">
      <alignment horizontal="center" vertical="center" wrapText="1"/>
    </xf>
    <xf numFmtId="0" fontId="15" fillId="0" borderId="453" xfId="0" applyFont="1" applyBorder="1"/>
    <xf numFmtId="0" fontId="15" fillId="0" borderId="456" xfId="0" applyFont="1" applyBorder="1"/>
    <xf numFmtId="0" fontId="26" fillId="4" borderId="443" xfId="0" applyFont="1" applyFill="1" applyBorder="1" applyAlignment="1">
      <alignment horizontal="center" vertical="center" wrapText="1"/>
    </xf>
    <xf numFmtId="0" fontId="26" fillId="3" borderId="443" xfId="0" applyFont="1" applyFill="1" applyBorder="1" applyAlignment="1">
      <alignment horizontal="center" vertical="center" wrapText="1"/>
    </xf>
    <xf numFmtId="0" fontId="38" fillId="0" borderId="474" xfId="0" applyFont="1" applyBorder="1" applyAlignment="1">
      <alignment horizontal="center" vertical="center" wrapText="1"/>
    </xf>
    <xf numFmtId="0" fontId="38" fillId="0" borderId="20" xfId="0" applyFont="1" applyBorder="1" applyAlignment="1">
      <alignment horizontal="center" vertical="center" wrapText="1"/>
    </xf>
    <xf numFmtId="0" fontId="152" fillId="2" borderId="470" xfId="0" applyFont="1" applyFill="1" applyBorder="1" applyAlignment="1">
      <alignment horizontal="center" vertical="center" textRotation="90" wrapText="1"/>
    </xf>
    <xf numFmtId="0" fontId="150" fillId="0" borderId="482" xfId="0" applyFont="1" applyBorder="1"/>
    <xf numFmtId="0" fontId="150" fillId="0" borderId="471" xfId="0" applyFont="1" applyBorder="1"/>
    <xf numFmtId="0" fontId="38" fillId="0" borderId="434" xfId="0" applyFont="1" applyBorder="1" applyAlignment="1">
      <alignment horizontal="center" vertical="center" wrapText="1"/>
    </xf>
    <xf numFmtId="0" fontId="26" fillId="0" borderId="162" xfId="0" applyFont="1" applyBorder="1" applyAlignment="1">
      <alignment horizontal="center" vertical="center" wrapText="1"/>
    </xf>
    <xf numFmtId="0" fontId="8" fillId="2" borderId="430" xfId="0" applyFont="1" applyFill="1" applyBorder="1" applyAlignment="1">
      <alignment horizontal="center" vertical="center" textRotation="90"/>
    </xf>
    <xf numFmtId="0" fontId="15" fillId="0" borderId="431" xfId="0" applyFont="1" applyBorder="1"/>
    <xf numFmtId="0" fontId="15" fillId="0" borderId="432" xfId="0" applyFont="1" applyBorder="1"/>
    <xf numFmtId="0" fontId="26" fillId="0" borderId="347" xfId="0" applyFont="1" applyBorder="1" applyAlignment="1">
      <alignment horizontal="center" vertical="center" wrapText="1"/>
    </xf>
    <xf numFmtId="0" fontId="15" fillId="0" borderId="448" xfId="0" applyFont="1" applyBorder="1"/>
    <xf numFmtId="0" fontId="15" fillId="0" borderId="148" xfId="0" applyFont="1" applyBorder="1"/>
    <xf numFmtId="1" fontId="56" fillId="4" borderId="138" xfId="0" applyNumberFormat="1" applyFont="1" applyFill="1" applyBorder="1" applyAlignment="1">
      <alignment horizontal="center" vertical="center" wrapText="1"/>
    </xf>
    <xf numFmtId="0" fontId="26" fillId="0" borderId="248" xfId="0" applyFont="1" applyBorder="1" applyAlignment="1">
      <alignment horizontal="left" vertical="center" wrapText="1"/>
    </xf>
    <xf numFmtId="0" fontId="38" fillId="0" borderId="248" xfId="0" applyFont="1" applyBorder="1" applyAlignment="1">
      <alignment horizontal="left" vertical="center" wrapText="1"/>
    </xf>
    <xf numFmtId="0" fontId="26" fillId="0" borderId="179" xfId="0" applyFont="1" applyBorder="1" applyAlignment="1">
      <alignment horizontal="left" vertical="center" wrapText="1"/>
    </xf>
    <xf numFmtId="0" fontId="26" fillId="0" borderId="248" xfId="0" applyFont="1" applyBorder="1" applyAlignment="1">
      <alignment horizontal="center" vertical="center" wrapText="1"/>
    </xf>
    <xf numFmtId="0" fontId="38" fillId="0" borderId="138" xfId="0" applyFont="1" applyBorder="1" applyAlignment="1">
      <alignment horizontal="center" vertical="center" wrapText="1"/>
    </xf>
    <xf numFmtId="0" fontId="56" fillId="4" borderId="440" xfId="0" applyFont="1" applyFill="1" applyBorder="1" applyAlignment="1">
      <alignment horizontal="center" vertical="center" wrapText="1"/>
    </xf>
    <xf numFmtId="0" fontId="38" fillId="0" borderId="170" xfId="0" applyFont="1" applyBorder="1" applyAlignment="1">
      <alignment horizontal="left" vertical="center" wrapText="1"/>
    </xf>
    <xf numFmtId="0" fontId="15" fillId="0" borderId="170" xfId="0" applyFont="1" applyBorder="1"/>
    <xf numFmtId="0" fontId="15" fillId="0" borderId="174" xfId="0" applyFont="1" applyBorder="1"/>
    <xf numFmtId="0" fontId="26" fillId="0" borderId="474" xfId="0" applyFont="1" applyBorder="1" applyAlignment="1">
      <alignment horizontal="left" vertical="center" wrapText="1"/>
    </xf>
    <xf numFmtId="0" fontId="38" fillId="0" borderId="299" xfId="0" applyFont="1" applyBorder="1" applyAlignment="1">
      <alignment horizontal="left" vertical="center" wrapText="1"/>
    </xf>
    <xf numFmtId="0" fontId="26" fillId="13" borderId="179" xfId="0" applyFont="1" applyFill="1" applyBorder="1" applyAlignment="1">
      <alignment horizontal="left" vertical="center" wrapText="1"/>
    </xf>
    <xf numFmtId="0" fontId="152" fillId="2" borderId="477" xfId="0" applyFont="1" applyFill="1" applyBorder="1" applyAlignment="1">
      <alignment horizontal="center" vertical="center" textRotation="90" wrapText="1"/>
    </xf>
    <xf numFmtId="1" fontId="34" fillId="0" borderId="474" xfId="0" applyNumberFormat="1" applyFont="1" applyBorder="1" applyAlignment="1">
      <alignment horizontal="center" vertical="center" wrapText="1"/>
    </xf>
    <xf numFmtId="0" fontId="38" fillId="0" borderId="474" xfId="0" applyFont="1" applyBorder="1" applyAlignment="1">
      <alignment horizontal="left" vertical="center" wrapText="1"/>
    </xf>
    <xf numFmtId="0" fontId="26" fillId="0" borderId="373" xfId="0" applyFont="1" applyBorder="1" applyAlignment="1">
      <alignment horizontal="left" vertical="center" wrapText="1"/>
    </xf>
    <xf numFmtId="0" fontId="26" fillId="0" borderId="440" xfId="0" applyFont="1" applyBorder="1" applyAlignment="1">
      <alignment horizontal="left" vertical="center" wrapText="1"/>
    </xf>
    <xf numFmtId="0" fontId="26" fillId="0" borderId="486" xfId="0" applyFont="1" applyBorder="1" applyAlignment="1">
      <alignment horizontal="left" vertical="center" wrapText="1"/>
    </xf>
    <xf numFmtId="0" fontId="15" fillId="0" borderId="415" xfId="0" applyFont="1" applyBorder="1"/>
    <xf numFmtId="0" fontId="15" fillId="0" borderId="497" xfId="0" applyFont="1" applyBorder="1"/>
    <xf numFmtId="0" fontId="26" fillId="0" borderId="446" xfId="0" applyFont="1" applyBorder="1" applyAlignment="1">
      <alignment horizontal="left" vertical="center" wrapText="1"/>
    </xf>
    <xf numFmtId="0" fontId="26" fillId="0" borderId="419" xfId="0" applyFont="1" applyBorder="1" applyAlignment="1">
      <alignment horizontal="left" vertical="center" wrapText="1"/>
    </xf>
    <xf numFmtId="0" fontId="38" fillId="0" borderId="440" xfId="0" applyFont="1" applyBorder="1" applyAlignment="1">
      <alignment horizontal="left" vertical="center" wrapText="1"/>
    </xf>
    <xf numFmtId="0" fontId="26" fillId="0" borderId="299" xfId="0" applyFont="1" applyBorder="1" applyAlignment="1">
      <alignment horizontal="left" vertical="center" wrapText="1"/>
    </xf>
    <xf numFmtId="0" fontId="26" fillId="13" borderId="474" xfId="0" applyFont="1" applyFill="1" applyBorder="1" applyAlignment="1">
      <alignment horizontal="left" vertical="center" wrapText="1"/>
    </xf>
    <xf numFmtId="0" fontId="38" fillId="0" borderId="178" xfId="0" applyFont="1" applyBorder="1" applyAlignment="1">
      <alignment horizontal="center" vertical="center" wrapText="1"/>
    </xf>
    <xf numFmtId="0" fontId="38" fillId="0" borderId="299" xfId="0" applyFont="1" applyBorder="1" applyAlignment="1">
      <alignment horizontal="center" vertical="center" wrapText="1"/>
    </xf>
    <xf numFmtId="0" fontId="26" fillId="13" borderId="179" xfId="0" applyFont="1" applyFill="1" applyBorder="1" applyAlignment="1">
      <alignment horizontal="center" vertical="center" wrapText="1"/>
    </xf>
    <xf numFmtId="0" fontId="26" fillId="0" borderId="446" xfId="0" applyFont="1" applyBorder="1" applyAlignment="1">
      <alignment horizontal="center" vertical="center" wrapText="1"/>
    </xf>
    <xf numFmtId="0" fontId="150" fillId="0" borderId="409" xfId="0" applyFont="1" applyBorder="1"/>
    <xf numFmtId="0" fontId="26" fillId="13" borderId="474" xfId="0" applyFont="1" applyFill="1" applyBorder="1" applyAlignment="1">
      <alignment horizontal="center" vertical="center" wrapText="1"/>
    </xf>
    <xf numFmtId="0" fontId="15" fillId="0" borderId="476" xfId="0" applyFont="1" applyBorder="1"/>
    <xf numFmtId="0" fontId="15" fillId="0" borderId="124" xfId="0" applyFont="1" applyBorder="1"/>
    <xf numFmtId="4" fontId="45" fillId="2" borderId="238" xfId="0" applyNumberFormat="1" applyFont="1" applyFill="1" applyBorder="1" applyAlignment="1">
      <alignment horizontal="center" vertical="center" wrapText="1"/>
    </xf>
    <xf numFmtId="0" fontId="160" fillId="0" borderId="355" xfId="0" applyFont="1" applyBorder="1" applyAlignment="1">
      <alignment horizontal="left" indent="1"/>
    </xf>
    <xf numFmtId="4" fontId="45" fillId="2" borderId="242" xfId="0" applyNumberFormat="1" applyFont="1" applyFill="1" applyBorder="1" applyAlignment="1">
      <alignment horizontal="center" vertical="center" wrapText="1"/>
    </xf>
    <xf numFmtId="4" fontId="132" fillId="2" borderId="382" xfId="0" applyNumberFormat="1" applyFont="1" applyFill="1" applyBorder="1" applyAlignment="1">
      <alignment horizontal="left" vertical="center" wrapText="1" indent="1"/>
    </xf>
    <xf numFmtId="0" fontId="156" fillId="0" borderId="382" xfId="0" applyFont="1" applyBorder="1" applyAlignment="1">
      <alignment horizontal="left" indent="1"/>
    </xf>
    <xf numFmtId="4" fontId="55" fillId="2" borderId="382" xfId="0" applyNumberFormat="1" applyFont="1" applyFill="1" applyBorder="1" applyAlignment="1">
      <alignment horizontal="left" vertical="center" wrapText="1"/>
    </xf>
    <xf numFmtId="1" fontId="56" fillId="0" borderId="440" xfId="0" applyNumberFormat="1" applyFont="1" applyBorder="1" applyAlignment="1">
      <alignment horizontal="center" vertical="center" wrapText="1"/>
    </xf>
    <xf numFmtId="1" fontId="56" fillId="0" borderId="443" xfId="0" applyNumberFormat="1" applyFont="1" applyBorder="1" applyAlignment="1">
      <alignment horizontal="center" vertical="center" wrapText="1"/>
    </xf>
    <xf numFmtId="1" fontId="56" fillId="0" borderId="474" xfId="0" applyNumberFormat="1" applyFont="1" applyBorder="1" applyAlignment="1">
      <alignment horizontal="center" vertical="center" wrapText="1"/>
    </xf>
    <xf numFmtId="0" fontId="26" fillId="0" borderId="22" xfId="0" applyFont="1" applyBorder="1" applyAlignment="1">
      <alignment horizontal="center" vertical="center" wrapText="1"/>
    </xf>
    <xf numFmtId="1" fontId="56" fillId="0" borderId="138" xfId="0" applyNumberFormat="1" applyFont="1" applyBorder="1" applyAlignment="1">
      <alignment horizontal="center" vertical="center" wrapText="1"/>
    </xf>
    <xf numFmtId="0" fontId="26" fillId="4" borderId="138" xfId="0" applyFont="1" applyFill="1" applyBorder="1" applyAlignment="1">
      <alignment horizontal="center" vertical="center" wrapText="1"/>
    </xf>
    <xf numFmtId="177" fontId="56" fillId="0" borderId="179" xfId="0" applyNumberFormat="1" applyFont="1" applyBorder="1" applyAlignment="1">
      <alignment horizontal="center" vertical="center" wrapText="1"/>
    </xf>
    <xf numFmtId="49" fontId="26" fillId="0" borderId="179" xfId="0" applyNumberFormat="1" applyFont="1" applyBorder="1" applyAlignment="1">
      <alignment horizontal="center" vertical="center" wrapText="1"/>
    </xf>
    <xf numFmtId="0" fontId="26" fillId="3" borderId="179" xfId="0" applyFont="1" applyFill="1" applyBorder="1" applyAlignment="1">
      <alignment horizontal="center" vertical="center" wrapText="1"/>
    </xf>
    <xf numFmtId="1" fontId="26" fillId="0" borderId="179" xfId="0" applyNumberFormat="1" applyFont="1" applyBorder="1" applyAlignment="1">
      <alignment horizontal="center" vertical="center" wrapText="1"/>
    </xf>
    <xf numFmtId="0" fontId="96" fillId="0" borderId="179" xfId="0" applyFont="1" applyBorder="1" applyAlignment="1">
      <alignment horizontal="center" vertical="center" wrapText="1"/>
    </xf>
    <xf numFmtId="0" fontId="25" fillId="0" borderId="179" xfId="0" applyFont="1" applyBorder="1" applyAlignment="1">
      <alignment horizontal="center" vertical="center" wrapText="1"/>
    </xf>
    <xf numFmtId="0" fontId="25" fillId="3" borderId="179" xfId="0" applyFont="1" applyFill="1" applyBorder="1" applyAlignment="1">
      <alignment horizontal="center" vertical="center" wrapText="1"/>
    </xf>
    <xf numFmtId="0" fontId="2" fillId="0" borderId="36" xfId="0" applyFont="1" applyBorder="1" applyAlignment="1">
      <alignment horizontal="left" vertical="center" wrapText="1"/>
    </xf>
    <xf numFmtId="0" fontId="2" fillId="0" borderId="36" xfId="0" applyFont="1" applyBorder="1" applyAlignment="1">
      <alignment horizontal="center" vertical="center"/>
    </xf>
    <xf numFmtId="0" fontId="2" fillId="0" borderId="37" xfId="0" applyFont="1" applyBorder="1" applyAlignment="1">
      <alignment horizontal="left" vertical="center" wrapText="1"/>
    </xf>
    <xf numFmtId="0" fontId="2" fillId="0" borderId="36" xfId="0" applyFont="1" applyBorder="1" applyAlignment="1">
      <alignment vertical="center" wrapText="1"/>
    </xf>
    <xf numFmtId="0" fontId="38" fillId="0" borderId="183" xfId="0" applyFont="1" applyBorder="1" applyAlignment="1">
      <alignment horizontal="left" vertical="center" wrapText="1"/>
    </xf>
    <xf numFmtId="0" fontId="26" fillId="13" borderId="36" xfId="0" applyFont="1" applyFill="1" applyBorder="1" applyAlignment="1">
      <alignment horizontal="left" vertical="center" wrapText="1"/>
    </xf>
    <xf numFmtId="0" fontId="26" fillId="0" borderId="183" xfId="0" applyFont="1" applyBorder="1" applyAlignment="1">
      <alignment horizontal="left" vertical="center" wrapText="1"/>
    </xf>
    <xf numFmtId="0" fontId="26" fillId="13" borderId="21" xfId="0" applyFont="1" applyFill="1" applyBorder="1" applyAlignment="1">
      <alignment horizontal="left" vertical="center" wrapText="1"/>
    </xf>
    <xf numFmtId="0" fontId="38" fillId="0" borderId="496" xfId="0" applyFont="1" applyBorder="1" applyAlignment="1">
      <alignment horizontal="left" vertical="center" wrapText="1"/>
    </xf>
    <xf numFmtId="0" fontId="38" fillId="0" borderId="178" xfId="0" applyFont="1" applyBorder="1" applyAlignment="1">
      <alignment horizontal="left" vertical="center" wrapText="1"/>
    </xf>
    <xf numFmtId="0" fontId="152" fillId="2" borderId="433" xfId="0" applyFont="1" applyFill="1" applyBorder="1" applyAlignment="1">
      <alignment horizontal="center" vertical="center" textRotation="90" wrapText="1"/>
    </xf>
    <xf numFmtId="0" fontId="150" fillId="0" borderId="435" xfId="0" applyFont="1" applyBorder="1"/>
    <xf numFmtId="0" fontId="26" fillId="0" borderId="36" xfId="0" applyFont="1" applyBorder="1" applyAlignment="1">
      <alignment vertical="center" wrapText="1"/>
    </xf>
    <xf numFmtId="1" fontId="56" fillId="13" borderId="36" xfId="0" applyNumberFormat="1" applyFont="1" applyFill="1" applyBorder="1" applyAlignment="1">
      <alignment horizontal="center" vertical="center" wrapText="1"/>
    </xf>
    <xf numFmtId="0" fontId="26" fillId="0" borderId="36" xfId="0" applyFont="1" applyBorder="1" applyAlignment="1">
      <alignment horizontal="center" vertical="center" wrapText="1"/>
    </xf>
    <xf numFmtId="0" fontId="38" fillId="0" borderId="26" xfId="0" applyFont="1" applyBorder="1" applyAlignment="1">
      <alignment horizontal="center" vertical="center" wrapText="1"/>
    </xf>
    <xf numFmtId="0" fontId="26" fillId="4" borderId="303" xfId="0" applyFont="1" applyFill="1" applyBorder="1" applyAlignment="1">
      <alignment horizontal="left" vertical="center" wrapText="1"/>
    </xf>
    <xf numFmtId="0" fontId="15" fillId="0" borderId="269" xfId="0" applyFont="1" applyBorder="1"/>
    <xf numFmtId="4" fontId="44" fillId="2" borderId="165" xfId="0" applyNumberFormat="1" applyFont="1" applyFill="1" applyBorder="1" applyAlignment="1">
      <alignment horizontal="left" vertical="center" wrapText="1"/>
    </xf>
    <xf numFmtId="0" fontId="26" fillId="0" borderId="485" xfId="0" applyFont="1" applyBorder="1" applyAlignment="1">
      <alignment horizontal="left" vertical="center" wrapText="1"/>
    </xf>
    <xf numFmtId="0" fontId="26" fillId="0" borderId="123" xfId="0" applyFont="1" applyBorder="1" applyAlignment="1">
      <alignment horizontal="center" vertical="center" wrapText="1"/>
    </xf>
    <xf numFmtId="0" fontId="26" fillId="0" borderId="113" xfId="0" applyFont="1" applyBorder="1" applyAlignment="1">
      <alignment horizontal="center" vertical="center" wrapText="1"/>
    </xf>
    <xf numFmtId="0" fontId="38" fillId="0" borderId="36" xfId="0" applyFont="1" applyBorder="1" applyAlignment="1">
      <alignment horizontal="center" vertical="center" wrapText="1"/>
    </xf>
    <xf numFmtId="0" fontId="26" fillId="0" borderId="26" xfId="0" applyFont="1" applyBorder="1" applyAlignment="1">
      <alignment vertical="center" wrapText="1"/>
    </xf>
    <xf numFmtId="4" fontId="55" fillId="2" borderId="165" xfId="0" applyNumberFormat="1" applyFont="1" applyFill="1" applyBorder="1" applyAlignment="1">
      <alignment horizontal="left" vertical="center" wrapText="1"/>
    </xf>
    <xf numFmtId="4" fontId="132" fillId="2" borderId="165" xfId="0" applyNumberFormat="1" applyFont="1" applyFill="1" applyBorder="1" applyAlignment="1">
      <alignment horizontal="left" vertical="center" wrapText="1" indent="1"/>
    </xf>
    <xf numFmtId="0" fontId="159" fillId="0" borderId="184" xfId="0" applyFont="1" applyBorder="1" applyAlignment="1">
      <alignment horizontal="left" indent="1"/>
    </xf>
    <xf numFmtId="0" fontId="159" fillId="0" borderId="185" xfId="0" applyFont="1" applyBorder="1" applyAlignment="1">
      <alignment horizontal="left" indent="1"/>
    </xf>
    <xf numFmtId="4" fontId="45" fillId="2" borderId="129" xfId="0" applyNumberFormat="1" applyFont="1" applyFill="1" applyBorder="1" applyAlignment="1">
      <alignment horizontal="center" vertical="center" wrapText="1"/>
    </xf>
    <xf numFmtId="1" fontId="56" fillId="4" borderId="36" xfId="0" applyNumberFormat="1" applyFont="1" applyFill="1" applyBorder="1" applyAlignment="1">
      <alignment horizontal="center" vertical="center" wrapText="1"/>
    </xf>
    <xf numFmtId="0" fontId="150" fillId="0" borderId="439" xfId="0" applyFont="1" applyBorder="1"/>
    <xf numFmtId="0" fontId="26" fillId="13" borderId="41" xfId="0" applyFont="1" applyFill="1" applyBorder="1" applyAlignment="1">
      <alignment horizontal="left" vertical="center" wrapText="1"/>
    </xf>
    <xf numFmtId="0" fontId="142" fillId="12" borderId="97" xfId="0" applyFont="1" applyFill="1" applyBorder="1" applyAlignment="1">
      <alignment horizontal="center" vertical="center" wrapText="1"/>
    </xf>
    <xf numFmtId="0" fontId="26" fillId="0" borderId="218" xfId="0" applyFont="1" applyBorder="1" applyAlignment="1">
      <alignment horizontal="left" vertical="center" wrapText="1"/>
    </xf>
    <xf numFmtId="0" fontId="15" fillId="0" borderId="218" xfId="0" applyFont="1" applyBorder="1"/>
    <xf numFmtId="0" fontId="15" fillId="0" borderId="213" xfId="0" applyFont="1" applyBorder="1"/>
    <xf numFmtId="1" fontId="56" fillId="0" borderId="218" xfId="0" applyNumberFormat="1" applyFont="1" applyBorder="1" applyAlignment="1">
      <alignment horizontal="center" vertical="center" wrapText="1"/>
    </xf>
    <xf numFmtId="0" fontId="14" fillId="0" borderId="279" xfId="0" applyFont="1" applyBorder="1" applyAlignment="1">
      <alignment horizontal="left" vertical="center" wrapText="1"/>
    </xf>
    <xf numFmtId="0" fontId="15" fillId="0" borderId="279" xfId="0" applyFont="1" applyBorder="1"/>
    <xf numFmtId="0" fontId="15" fillId="0" borderId="259" xfId="0" applyFont="1" applyBorder="1"/>
    <xf numFmtId="0" fontId="15" fillId="0" borderId="503" xfId="0" applyFont="1" applyBorder="1"/>
    <xf numFmtId="0" fontId="26" fillId="0" borderId="279" xfId="0" applyFont="1" applyBorder="1" applyAlignment="1">
      <alignment horizontal="left" vertical="center" wrapText="1"/>
    </xf>
    <xf numFmtId="0" fontId="15" fillId="0" borderId="504" xfId="0" applyFont="1" applyBorder="1"/>
    <xf numFmtId="0" fontId="26" fillId="0" borderId="513" xfId="0" applyFont="1" applyBorder="1" applyAlignment="1">
      <alignment horizontal="left" vertical="center" wrapText="1"/>
    </xf>
    <xf numFmtId="1" fontId="56" fillId="0" borderId="513" xfId="0" applyNumberFormat="1" applyFont="1" applyBorder="1" applyAlignment="1">
      <alignment horizontal="center" vertical="center" wrapText="1"/>
    </xf>
    <xf numFmtId="0" fontId="26" fillId="0" borderId="514" xfId="0" applyFont="1" applyBorder="1" applyAlignment="1">
      <alignment horizontal="left" vertical="center" wrapText="1"/>
    </xf>
    <xf numFmtId="0" fontId="38" fillId="0" borderId="218" xfId="0" applyFont="1" applyBorder="1" applyAlignment="1">
      <alignment horizontal="left" vertical="center" wrapText="1"/>
    </xf>
    <xf numFmtId="0" fontId="26" fillId="0" borderId="508" xfId="0" applyFont="1" applyBorder="1" applyAlignment="1">
      <alignment horizontal="left" vertical="center" wrapText="1"/>
    </xf>
    <xf numFmtId="0" fontId="38" fillId="0" borderId="513" xfId="0" applyFont="1" applyBorder="1" applyAlignment="1">
      <alignment horizontal="left" vertical="center" wrapText="1"/>
    </xf>
    <xf numFmtId="0" fontId="38" fillId="0" borderId="508" xfId="0" applyFont="1" applyBorder="1" applyAlignment="1">
      <alignment horizontal="left" vertical="center" wrapText="1"/>
    </xf>
    <xf numFmtId="1" fontId="56" fillId="0" borderId="508" xfId="0" applyNumberFormat="1" applyFont="1" applyBorder="1" applyAlignment="1">
      <alignment horizontal="center" vertical="center" wrapText="1"/>
    </xf>
    <xf numFmtId="0" fontId="56" fillId="0" borderId="218" xfId="0" applyFont="1" applyBorder="1" applyAlignment="1">
      <alignment horizontal="center" vertical="center" wrapText="1"/>
    </xf>
    <xf numFmtId="0" fontId="26" fillId="0" borderId="258" xfId="0" applyFont="1" applyBorder="1" applyAlignment="1">
      <alignment horizontal="left" vertical="center" wrapText="1"/>
    </xf>
    <xf numFmtId="0" fontId="26" fillId="4" borderId="218" xfId="0" applyFont="1" applyFill="1" applyBorder="1" applyAlignment="1">
      <alignment horizontal="left" vertical="center" wrapText="1"/>
    </xf>
    <xf numFmtId="0" fontId="56" fillId="0" borderId="218" xfId="0" applyFont="1" applyBorder="1" applyAlignment="1">
      <alignment horizontal="center" vertical="center"/>
    </xf>
    <xf numFmtId="0" fontId="11" fillId="12" borderId="467" xfId="0" applyFont="1" applyFill="1" applyBorder="1" applyAlignment="1">
      <alignment vertical="center" wrapText="1"/>
    </xf>
    <xf numFmtId="0" fontId="15" fillId="0" borderId="726" xfId="0" applyFont="1" applyBorder="1"/>
    <xf numFmtId="0" fontId="56" fillId="0" borderId="508" xfId="0" applyFont="1" applyBorder="1" applyAlignment="1">
      <alignment horizontal="center" vertical="center" wrapText="1"/>
    </xf>
    <xf numFmtId="0" fontId="26" fillId="4" borderId="513" xfId="0" applyFont="1" applyFill="1" applyBorder="1" applyAlignment="1">
      <alignment horizontal="left" vertical="center" wrapText="1"/>
    </xf>
    <xf numFmtId="0" fontId="56" fillId="4" borderId="218" xfId="0" applyFont="1" applyFill="1" applyBorder="1" applyAlignment="1">
      <alignment horizontal="center" vertical="center" wrapText="1"/>
    </xf>
    <xf numFmtId="0" fontId="56" fillId="4" borderId="218" xfId="0" applyFont="1" applyFill="1" applyBorder="1" applyAlignment="1">
      <alignment horizontal="center" vertical="center"/>
    </xf>
    <xf numFmtId="0" fontId="14" fillId="0" borderId="258" xfId="0" applyFont="1" applyBorder="1" applyAlignment="1">
      <alignment horizontal="left" vertical="center" wrapText="1"/>
    </xf>
    <xf numFmtId="0" fontId="14" fillId="0" borderId="218" xfId="0" applyFont="1" applyBorder="1" applyAlignment="1">
      <alignment horizontal="left" vertical="center" wrapText="1"/>
    </xf>
    <xf numFmtId="0" fontId="26" fillId="0" borderId="450" xfId="0" applyFont="1" applyBorder="1" applyAlignment="1">
      <alignment horizontal="left" vertical="center" wrapText="1"/>
    </xf>
    <xf numFmtId="0" fontId="26" fillId="0" borderId="450" xfId="0" applyFont="1" applyBorder="1" applyAlignment="1">
      <alignment horizontal="center" vertical="center" wrapText="1"/>
    </xf>
    <xf numFmtId="0" fontId="26" fillId="0" borderId="449" xfId="0" applyFont="1" applyBorder="1" applyAlignment="1">
      <alignment horizontal="left" vertical="center" wrapText="1"/>
    </xf>
    <xf numFmtId="0" fontId="26" fillId="0" borderId="680" xfId="0" applyFont="1" applyBorder="1" applyAlignment="1">
      <alignment horizontal="left" vertical="center" wrapText="1"/>
    </xf>
    <xf numFmtId="0" fontId="38" fillId="0" borderId="179" xfId="0" applyFont="1" applyBorder="1" applyAlignment="1">
      <alignment horizontal="left" vertical="center" wrapText="1"/>
    </xf>
    <xf numFmtId="4" fontId="11" fillId="12" borderId="375" xfId="0" applyNumberFormat="1" applyFont="1" applyFill="1" applyBorder="1" applyAlignment="1">
      <alignment horizontal="center" vertical="center" wrapText="1"/>
    </xf>
    <xf numFmtId="0" fontId="26" fillId="0" borderId="715" xfId="0" applyFont="1" applyBorder="1" applyAlignment="1">
      <alignment horizontal="left" vertical="center" wrapText="1"/>
    </xf>
    <xf numFmtId="0" fontId="15" fillId="0" borderId="685" xfId="0" applyFont="1" applyBorder="1"/>
    <xf numFmtId="0" fontId="15" fillId="0" borderId="686" xfId="0" applyFont="1" applyBorder="1"/>
    <xf numFmtId="0" fontId="26" fillId="0" borderId="685" xfId="0" applyFont="1" applyBorder="1" applyAlignment="1">
      <alignment horizontal="left" vertical="center" wrapText="1"/>
    </xf>
    <xf numFmtId="0" fontId="15" fillId="0" borderId="716" xfId="0" applyFont="1" applyBorder="1"/>
    <xf numFmtId="0" fontId="26" fillId="0" borderId="684" xfId="0" applyFont="1" applyBorder="1" applyAlignment="1">
      <alignment horizontal="left" vertical="center" wrapText="1"/>
    </xf>
    <xf numFmtId="0" fontId="26" fillId="0" borderId="713" xfId="0" applyFont="1" applyBorder="1" applyAlignment="1">
      <alignment horizontal="left" vertical="center" wrapText="1"/>
    </xf>
    <xf numFmtId="0" fontId="26" fillId="0" borderId="683" xfId="0" applyFont="1" applyBorder="1" applyAlignment="1">
      <alignment horizontal="left" vertical="center" wrapText="1"/>
    </xf>
    <xf numFmtId="0" fontId="26" fillId="0" borderId="337" xfId="0" applyFont="1" applyBorder="1" applyAlignment="1">
      <alignment horizontal="center" vertical="center" wrapText="1"/>
    </xf>
    <xf numFmtId="0" fontId="15" fillId="0" borderId="510" xfId="0" applyFont="1" applyBorder="1"/>
    <xf numFmtId="0" fontId="15" fillId="0" borderId="325" xfId="0" applyFont="1" applyBorder="1"/>
    <xf numFmtId="0" fontId="26" fillId="0" borderId="339" xfId="0" applyFont="1" applyBorder="1" applyAlignment="1">
      <alignment horizontal="center" vertical="center" wrapText="1"/>
    </xf>
    <xf numFmtId="0" fontId="15" fillId="0" borderId="511" xfId="0" applyFont="1" applyBorder="1"/>
    <xf numFmtId="0" fontId="15" fillId="0" borderId="323" xfId="0" applyFont="1" applyBorder="1"/>
    <xf numFmtId="0" fontId="15" fillId="0" borderId="374" xfId="0" applyFont="1" applyBorder="1"/>
    <xf numFmtId="0" fontId="14" fillId="0" borderId="514" xfId="0" applyFont="1" applyBorder="1" applyAlignment="1">
      <alignment horizontal="left" vertical="center" wrapText="1"/>
    </xf>
    <xf numFmtId="0" fontId="26" fillId="4" borderId="508" xfId="0" applyFont="1" applyFill="1" applyBorder="1" applyAlignment="1">
      <alignment horizontal="left" vertical="center" wrapText="1"/>
    </xf>
    <xf numFmtId="0" fontId="15" fillId="0" borderId="717" xfId="0" applyFont="1" applyBorder="1"/>
    <xf numFmtId="4" fontId="11" fillId="12" borderId="382" xfId="0" applyNumberFormat="1" applyFont="1" applyFill="1" applyBorder="1" applyAlignment="1">
      <alignment horizontal="center" vertical="center" wrapText="1"/>
    </xf>
    <xf numFmtId="0" fontId="26" fillId="4" borderId="713" xfId="0" applyFont="1" applyFill="1" applyBorder="1" applyAlignment="1">
      <alignment horizontal="left" vertical="center" wrapText="1"/>
    </xf>
    <xf numFmtId="4" fontId="11" fillId="12" borderId="396" xfId="0" applyNumberFormat="1" applyFont="1" applyFill="1" applyBorder="1" applyAlignment="1">
      <alignment horizontal="center" vertical="center" wrapText="1"/>
    </xf>
    <xf numFmtId="0" fontId="15" fillId="0" borderId="327" xfId="0" applyFont="1" applyBorder="1"/>
    <xf numFmtId="4" fontId="11" fillId="12" borderId="330" xfId="0" applyNumberFormat="1" applyFont="1" applyFill="1" applyBorder="1" applyAlignment="1">
      <alignment horizontal="center" vertical="center" wrapText="1"/>
    </xf>
    <xf numFmtId="4" fontId="132" fillId="12" borderId="382" xfId="0" applyNumberFormat="1" applyFont="1" applyFill="1" applyBorder="1" applyAlignment="1">
      <alignment horizontal="left" vertical="center" wrapText="1" indent="1"/>
    </xf>
    <xf numFmtId="0" fontId="101" fillId="0" borderId="0" xfId="0" applyFont="1" applyAlignment="1">
      <alignment vertical="center" wrapText="1"/>
    </xf>
    <xf numFmtId="0" fontId="26" fillId="0" borderId="680" xfId="0" applyFont="1" applyBorder="1" applyAlignment="1">
      <alignment vertical="center"/>
    </xf>
    <xf numFmtId="0" fontId="14" fillId="0" borderId="450" xfId="0" applyFont="1" applyBorder="1" applyAlignment="1">
      <alignment horizontal="left" vertical="center" wrapText="1"/>
    </xf>
    <xf numFmtId="0" fontId="14" fillId="0" borderId="248" xfId="0" applyFont="1" applyBorder="1" applyAlignment="1">
      <alignment horizontal="left" vertical="center" wrapText="1"/>
    </xf>
    <xf numFmtId="0" fontId="38" fillId="0" borderId="415" xfId="0" applyFont="1" applyBorder="1" applyAlignment="1">
      <alignment horizontal="left" vertical="center" wrapText="1"/>
    </xf>
    <xf numFmtId="0" fontId="38" fillId="0" borderId="351" xfId="0" applyFont="1" applyBorder="1" applyAlignment="1">
      <alignment horizontal="left" vertical="center" wrapText="1"/>
    </xf>
    <xf numFmtId="0" fontId="15" fillId="0" borderId="351" xfId="0" applyFont="1" applyBorder="1"/>
    <xf numFmtId="0" fontId="15" fillId="0" borderId="352" xfId="0" applyFont="1" applyBorder="1"/>
    <xf numFmtId="0" fontId="15" fillId="0" borderId="727" xfId="0" applyFont="1" applyBorder="1"/>
    <xf numFmtId="0" fontId="15" fillId="0" borderId="724" xfId="0" applyFont="1" applyBorder="1"/>
    <xf numFmtId="0" fontId="38" fillId="0" borderId="163" xfId="0" applyFont="1" applyBorder="1" applyAlignment="1">
      <alignment horizontal="left" vertical="center" wrapText="1"/>
    </xf>
    <xf numFmtId="0" fontId="15" fillId="0" borderId="285" xfId="0" applyFont="1" applyBorder="1"/>
    <xf numFmtId="0" fontId="38" fillId="0" borderId="486" xfId="0" applyFont="1" applyBorder="1" applyAlignment="1">
      <alignment horizontal="left" vertical="center" wrapText="1"/>
    </xf>
    <xf numFmtId="0" fontId="38" fillId="0" borderId="350" xfId="0" applyFont="1" applyBorder="1" applyAlignment="1">
      <alignment horizontal="left" vertical="center" wrapText="1"/>
    </xf>
    <xf numFmtId="0" fontId="38" fillId="0" borderId="348" xfId="0" applyFont="1" applyBorder="1" applyAlignment="1">
      <alignment horizontal="left" vertical="center" wrapText="1"/>
    </xf>
    <xf numFmtId="0" fontId="150" fillId="0" borderId="376" xfId="0" applyFont="1" applyBorder="1"/>
    <xf numFmtId="0" fontId="152" fillId="12" borderId="725" xfId="0" applyFont="1" applyFill="1" applyBorder="1" applyAlignment="1">
      <alignment horizontal="center" vertical="center" textRotation="90" wrapText="1"/>
    </xf>
    <xf numFmtId="0" fontId="11" fillId="0" borderId="351" xfId="0" applyFont="1" applyBorder="1" applyAlignment="1">
      <alignment horizontal="left" vertical="center" wrapText="1"/>
    </xf>
  </cellXfs>
  <cellStyles count="6">
    <cellStyle name="Normal" xfId="0" builtinId="0"/>
    <cellStyle name="Normal 10 2" xfId="4"/>
    <cellStyle name="Normal 13" xfId="2"/>
    <cellStyle name="Normal 14" xfId="3"/>
    <cellStyle name="Normal 2 2" xfId="5"/>
    <cellStyle name="Normal_POA FCS" xfId="1"/>
  </cellStyles>
  <dxfs count="3">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a:solidFill>
                  <a:srgbClr val="757575"/>
                </a:solidFill>
                <a:latin typeface="+mn-lt"/>
              </a:defRPr>
            </a:pPr>
            <a:r>
              <a:rPr lang="en-US" b="0">
                <a:solidFill>
                  <a:srgbClr val="757575"/>
                </a:solidFill>
                <a:latin typeface="+mn-lt"/>
              </a:rPr>
              <a:t>Por fuente de financiamiento</a:t>
            </a:r>
          </a:p>
        </c:rich>
      </c:tx>
      <c:layout/>
      <c:overlay val="0"/>
    </c:title>
    <c:autoTitleDeleted val="0"/>
    <c:plotArea>
      <c:layout/>
      <c:pieChart>
        <c:varyColors val="1"/>
        <c:ser>
          <c:idx val="0"/>
          <c:order val="0"/>
          <c:tx>
            <c:strRef>
              <c:f>Resumen!$C$319</c:f>
              <c:strCache>
                <c:ptCount val="1"/>
              </c:strCache>
            </c:strRef>
          </c:tx>
          <c:dPt>
            <c:idx val="0"/>
            <c:bubble3D val="0"/>
            <c:spPr>
              <a:solidFill>
                <a:srgbClr val="4285F4"/>
              </a:solidFill>
            </c:spPr>
            <c:extLst>
              <c:ext xmlns:c16="http://schemas.microsoft.com/office/drawing/2014/chart" uri="{C3380CC4-5D6E-409C-BE32-E72D297353CC}">
                <c16:uniqueId val="{00000001-0F01-47CF-AA2F-DC0369A482C2}"/>
              </c:ext>
            </c:extLst>
          </c:dPt>
          <c:dPt>
            <c:idx val="1"/>
            <c:bubble3D val="0"/>
            <c:spPr>
              <a:solidFill>
                <a:srgbClr val="EA4335"/>
              </a:solidFill>
            </c:spPr>
            <c:extLst>
              <c:ext xmlns:c16="http://schemas.microsoft.com/office/drawing/2014/chart" uri="{C3380CC4-5D6E-409C-BE32-E72D297353CC}">
                <c16:uniqueId val="{00000003-0F01-47CF-AA2F-DC0369A482C2}"/>
              </c:ext>
            </c:extLst>
          </c:dPt>
          <c:dPt>
            <c:idx val="2"/>
            <c:bubble3D val="0"/>
            <c:spPr>
              <a:solidFill>
                <a:srgbClr val="FBBC04"/>
              </a:solidFill>
            </c:spPr>
            <c:extLst>
              <c:ext xmlns:c16="http://schemas.microsoft.com/office/drawing/2014/chart" uri="{C3380CC4-5D6E-409C-BE32-E72D297353CC}">
                <c16:uniqueId val="{00000005-0F01-47CF-AA2F-DC0369A482C2}"/>
              </c:ext>
            </c:extLst>
          </c:dPt>
          <c:dPt>
            <c:idx val="3"/>
            <c:bubble3D val="0"/>
            <c:spPr>
              <a:solidFill>
                <a:srgbClr val="34A853"/>
              </a:solidFill>
            </c:spPr>
            <c:extLst>
              <c:ext xmlns:c16="http://schemas.microsoft.com/office/drawing/2014/chart" uri="{C3380CC4-5D6E-409C-BE32-E72D297353CC}">
                <c16:uniqueId val="{00000007-0F01-47CF-AA2F-DC0369A482C2}"/>
              </c:ext>
            </c:extLst>
          </c:dPt>
          <c:cat>
            <c:strRef>
              <c:f>Resumen!$B$320:$B$323</c:f>
              <c:strCache>
                <c:ptCount val="4"/>
                <c:pt idx="0">
                  <c:v>FUENTE 1: Recursos fiscales</c:v>
                </c:pt>
                <c:pt idx="1">
                  <c:v>FUENTE 2: Recursos fiscales generados por las Instituciones</c:v>
                </c:pt>
                <c:pt idx="2">
                  <c:v>FUENTE 3: Recursos Provenientes de Preasignaciones</c:v>
                </c:pt>
                <c:pt idx="3">
                  <c:v>FUENTE 202: Préstamos Externos</c:v>
                </c:pt>
              </c:strCache>
            </c:strRef>
          </c:cat>
          <c:val>
            <c:numRef>
              <c:f>Resumen!$C$320:$C$323</c:f>
              <c:numCache>
                <c:formatCode>[$USD $]#,##0.00</c:formatCode>
                <c:ptCount val="4"/>
                <c:pt idx="0">
                  <c:v>5516680.2902140981</c:v>
                </c:pt>
                <c:pt idx="1">
                  <c:v>770168.2500040849</c:v>
                </c:pt>
                <c:pt idx="2">
                  <c:v>26206733.589781817</c:v>
                </c:pt>
                <c:pt idx="3">
                  <c:v>1205992.1499999997</c:v>
                </c:pt>
              </c:numCache>
            </c:numRef>
          </c:val>
          <c:extLst>
            <c:ext xmlns:c16="http://schemas.microsoft.com/office/drawing/2014/chart" uri="{C3380CC4-5D6E-409C-BE32-E72D297353CC}">
              <c16:uniqueId val="{00000008-0F01-47CF-AA2F-DC0369A482C2}"/>
            </c:ext>
          </c:extLst>
        </c:ser>
        <c:dLbls>
          <c:showLegendKey val="0"/>
          <c:showVal val="0"/>
          <c:showCatName val="0"/>
          <c:showSerName val="0"/>
          <c:showPercent val="0"/>
          <c:showBubbleSize val="0"/>
          <c:showLeaderLines val="1"/>
        </c:dLbls>
        <c:firstSliceAng val="0"/>
      </c:pieChart>
    </c:plotArea>
    <c:legend>
      <c:legendPos val="r"/>
      <c:layout/>
      <c:overlay val="0"/>
      <c:txPr>
        <a:bodyPr/>
        <a:lstStyle/>
        <a:p>
          <a:pPr lvl="0">
            <a:defRPr b="0">
              <a:solidFill>
                <a:srgbClr val="1A1A1A"/>
              </a:solidFill>
              <a:latin typeface="+mn-lt"/>
            </a:defRPr>
          </a:pPr>
          <a:endParaRPr lang="es-EC"/>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a:solidFill>
                  <a:srgbClr val="757575"/>
                </a:solidFill>
                <a:latin typeface="+mn-lt"/>
              </a:defRPr>
            </a:pPr>
            <a:r>
              <a:rPr lang="en-US" b="0">
                <a:solidFill>
                  <a:srgbClr val="757575"/>
                </a:solidFill>
                <a:latin typeface="+mn-lt"/>
              </a:rPr>
              <a:t>Por grupo de gasto</a:t>
            </a:r>
          </a:p>
        </c:rich>
      </c:tx>
      <c:layout/>
      <c:overlay val="0"/>
    </c:title>
    <c:autoTitleDeleted val="0"/>
    <c:plotArea>
      <c:layout/>
      <c:pieChart>
        <c:varyColors val="1"/>
        <c:ser>
          <c:idx val="0"/>
          <c:order val="0"/>
          <c:tx>
            <c:strRef>
              <c:f>Resumen!$C$326</c:f>
              <c:strCache>
                <c:ptCount val="1"/>
              </c:strCache>
            </c:strRef>
          </c:tx>
          <c:dPt>
            <c:idx val="0"/>
            <c:bubble3D val="0"/>
            <c:spPr>
              <a:solidFill>
                <a:srgbClr val="4285F4"/>
              </a:solidFill>
            </c:spPr>
            <c:extLst>
              <c:ext xmlns:c16="http://schemas.microsoft.com/office/drawing/2014/chart" uri="{C3380CC4-5D6E-409C-BE32-E72D297353CC}">
                <c16:uniqueId val="{00000001-F52A-4E89-809E-3694D2193BF6}"/>
              </c:ext>
            </c:extLst>
          </c:dPt>
          <c:dPt>
            <c:idx val="1"/>
            <c:bubble3D val="0"/>
            <c:spPr>
              <a:solidFill>
                <a:srgbClr val="EA4335"/>
              </a:solidFill>
            </c:spPr>
            <c:extLst>
              <c:ext xmlns:c16="http://schemas.microsoft.com/office/drawing/2014/chart" uri="{C3380CC4-5D6E-409C-BE32-E72D297353CC}">
                <c16:uniqueId val="{00000003-F52A-4E89-809E-3694D2193BF6}"/>
              </c:ext>
            </c:extLst>
          </c:dPt>
          <c:dPt>
            <c:idx val="2"/>
            <c:bubble3D val="0"/>
            <c:spPr>
              <a:solidFill>
                <a:srgbClr val="FBBC04"/>
              </a:solidFill>
            </c:spPr>
            <c:extLst>
              <c:ext xmlns:c16="http://schemas.microsoft.com/office/drawing/2014/chart" uri="{C3380CC4-5D6E-409C-BE32-E72D297353CC}">
                <c16:uniqueId val="{00000005-F52A-4E89-809E-3694D2193BF6}"/>
              </c:ext>
            </c:extLst>
          </c:dPt>
          <c:dPt>
            <c:idx val="3"/>
            <c:bubble3D val="0"/>
            <c:spPr>
              <a:solidFill>
                <a:srgbClr val="34A853"/>
              </a:solidFill>
            </c:spPr>
            <c:extLst>
              <c:ext xmlns:c16="http://schemas.microsoft.com/office/drawing/2014/chart" uri="{C3380CC4-5D6E-409C-BE32-E72D297353CC}">
                <c16:uniqueId val="{00000007-F52A-4E89-809E-3694D2193BF6}"/>
              </c:ext>
            </c:extLst>
          </c:dPt>
          <c:dPt>
            <c:idx val="4"/>
            <c:bubble3D val="0"/>
            <c:spPr>
              <a:solidFill>
                <a:srgbClr val="FF6D01"/>
              </a:solidFill>
            </c:spPr>
            <c:extLst>
              <c:ext xmlns:c16="http://schemas.microsoft.com/office/drawing/2014/chart" uri="{C3380CC4-5D6E-409C-BE32-E72D297353CC}">
                <c16:uniqueId val="{00000009-F52A-4E89-809E-3694D2193BF6}"/>
              </c:ext>
            </c:extLst>
          </c:dPt>
          <c:dPt>
            <c:idx val="5"/>
            <c:bubble3D val="0"/>
            <c:spPr>
              <a:solidFill>
                <a:srgbClr val="46BDC6"/>
              </a:solidFill>
            </c:spPr>
            <c:extLst>
              <c:ext xmlns:c16="http://schemas.microsoft.com/office/drawing/2014/chart" uri="{C3380CC4-5D6E-409C-BE32-E72D297353CC}">
                <c16:uniqueId val="{0000000B-F52A-4E89-809E-3694D2193BF6}"/>
              </c:ext>
            </c:extLst>
          </c:dPt>
          <c:dPt>
            <c:idx val="6"/>
            <c:bubble3D val="0"/>
            <c:spPr>
              <a:solidFill>
                <a:srgbClr val="7BAAF7"/>
              </a:solidFill>
            </c:spPr>
            <c:extLst>
              <c:ext xmlns:c16="http://schemas.microsoft.com/office/drawing/2014/chart" uri="{C3380CC4-5D6E-409C-BE32-E72D297353CC}">
                <c16:uniqueId val="{0000000D-F52A-4E89-809E-3694D2193BF6}"/>
              </c:ext>
            </c:extLst>
          </c:dPt>
          <c:dPt>
            <c:idx val="7"/>
            <c:bubble3D val="0"/>
            <c:spPr>
              <a:solidFill>
                <a:srgbClr val="F07B72"/>
              </a:solidFill>
            </c:spPr>
            <c:extLst>
              <c:ext xmlns:c16="http://schemas.microsoft.com/office/drawing/2014/chart" uri="{C3380CC4-5D6E-409C-BE32-E72D297353CC}">
                <c16:uniqueId val="{0000000F-F52A-4E89-809E-3694D2193BF6}"/>
              </c:ext>
            </c:extLst>
          </c:dPt>
          <c:cat>
            <c:strRef>
              <c:f>Resumen!$B$327:$B$334</c:f>
              <c:strCache>
                <c:ptCount val="8"/>
                <c:pt idx="0">
                  <c:v>51 Egresos en Personal</c:v>
                </c:pt>
                <c:pt idx="1">
                  <c:v>53 Bienes y Servicios de Consumo</c:v>
                </c:pt>
                <c:pt idx="2">
                  <c:v>57 Otros Egresos Corrientes</c:v>
                </c:pt>
                <c:pt idx="3">
                  <c:v>58 Transferencias o Donaciones Corrientes </c:v>
                </c:pt>
                <c:pt idx="4">
                  <c:v>71 Egresos en Personal para Inversión </c:v>
                </c:pt>
                <c:pt idx="5">
                  <c:v>73 Bienes y Servicios para Inversión </c:v>
                </c:pt>
                <c:pt idx="6">
                  <c:v>84 Bienes de Larga Duración</c:v>
                </c:pt>
                <c:pt idx="7">
                  <c:v>99 Otros Pasivos</c:v>
                </c:pt>
              </c:strCache>
            </c:strRef>
          </c:cat>
          <c:val>
            <c:numRef>
              <c:f>Resumen!$C$327:$C$334</c:f>
              <c:numCache>
                <c:formatCode>[$USD $]#,##0.00</c:formatCode>
                <c:ptCount val="8"/>
                <c:pt idx="0">
                  <c:v>25485951.82</c:v>
                </c:pt>
                <c:pt idx="1">
                  <c:v>3689982.0099999965</c:v>
                </c:pt>
                <c:pt idx="2">
                  <c:v>332522.07</c:v>
                </c:pt>
                <c:pt idx="3">
                  <c:v>1507035.82</c:v>
                </c:pt>
                <c:pt idx="4">
                  <c:v>0</c:v>
                </c:pt>
                <c:pt idx="5">
                  <c:v>0</c:v>
                </c:pt>
                <c:pt idx="6">
                  <c:v>2684082.56</c:v>
                </c:pt>
                <c:pt idx="7">
                  <c:v>0</c:v>
                </c:pt>
              </c:numCache>
            </c:numRef>
          </c:val>
          <c:extLst>
            <c:ext xmlns:c16="http://schemas.microsoft.com/office/drawing/2014/chart" uri="{C3380CC4-5D6E-409C-BE32-E72D297353CC}">
              <c16:uniqueId val="{00000010-F52A-4E89-809E-3694D2193BF6}"/>
            </c:ext>
          </c:extLst>
        </c:ser>
        <c:dLbls>
          <c:showLegendKey val="0"/>
          <c:showVal val="0"/>
          <c:showCatName val="0"/>
          <c:showSerName val="0"/>
          <c:showPercent val="0"/>
          <c:showBubbleSize val="0"/>
          <c:showLeaderLines val="1"/>
        </c:dLbls>
        <c:firstSliceAng val="0"/>
      </c:pieChart>
    </c:plotArea>
    <c:legend>
      <c:legendPos val="r"/>
      <c:layout/>
      <c:overlay val="0"/>
      <c:txPr>
        <a:bodyPr/>
        <a:lstStyle/>
        <a:p>
          <a:pPr lvl="0">
            <a:defRPr b="0">
              <a:solidFill>
                <a:srgbClr val="1A1A1A"/>
              </a:solidFill>
              <a:latin typeface="+mn-lt"/>
            </a:defRPr>
          </a:pPr>
          <a:endParaRPr lang="es-EC"/>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a:solidFill>
                  <a:srgbClr val="757575"/>
                </a:solidFill>
                <a:latin typeface="+mn-lt"/>
              </a:defRPr>
            </a:pPr>
            <a:r>
              <a:rPr lang="en-US" b="0">
                <a:solidFill>
                  <a:srgbClr val="757575"/>
                </a:solidFill>
                <a:latin typeface="+mn-lt"/>
              </a:rPr>
              <a:t>Por programa presupuestario</a:t>
            </a:r>
          </a:p>
        </c:rich>
      </c:tx>
      <c:layout/>
      <c:overlay val="0"/>
    </c:title>
    <c:autoTitleDeleted val="0"/>
    <c:plotArea>
      <c:layout/>
      <c:pieChart>
        <c:varyColors val="1"/>
        <c:ser>
          <c:idx val="0"/>
          <c:order val="0"/>
          <c:tx>
            <c:strRef>
              <c:f>Resumen!$C$337</c:f>
              <c:strCache>
                <c:ptCount val="1"/>
              </c:strCache>
            </c:strRef>
          </c:tx>
          <c:dPt>
            <c:idx val="0"/>
            <c:bubble3D val="0"/>
            <c:spPr>
              <a:solidFill>
                <a:srgbClr val="4285F4"/>
              </a:solidFill>
            </c:spPr>
            <c:extLst>
              <c:ext xmlns:c16="http://schemas.microsoft.com/office/drawing/2014/chart" uri="{C3380CC4-5D6E-409C-BE32-E72D297353CC}">
                <c16:uniqueId val="{00000001-E97E-4FD2-B957-8AD0B4955F37}"/>
              </c:ext>
            </c:extLst>
          </c:dPt>
          <c:dPt>
            <c:idx val="1"/>
            <c:bubble3D val="0"/>
            <c:spPr>
              <a:solidFill>
                <a:srgbClr val="EA4335"/>
              </a:solidFill>
            </c:spPr>
            <c:extLst>
              <c:ext xmlns:c16="http://schemas.microsoft.com/office/drawing/2014/chart" uri="{C3380CC4-5D6E-409C-BE32-E72D297353CC}">
                <c16:uniqueId val="{00000003-E97E-4FD2-B957-8AD0B4955F37}"/>
              </c:ext>
            </c:extLst>
          </c:dPt>
          <c:dPt>
            <c:idx val="2"/>
            <c:bubble3D val="0"/>
            <c:spPr>
              <a:solidFill>
                <a:srgbClr val="FBBC04"/>
              </a:solidFill>
            </c:spPr>
            <c:extLst>
              <c:ext xmlns:c16="http://schemas.microsoft.com/office/drawing/2014/chart" uri="{C3380CC4-5D6E-409C-BE32-E72D297353CC}">
                <c16:uniqueId val="{00000005-E97E-4FD2-B957-8AD0B4955F37}"/>
              </c:ext>
            </c:extLst>
          </c:dPt>
          <c:dPt>
            <c:idx val="3"/>
            <c:bubble3D val="0"/>
            <c:spPr>
              <a:solidFill>
                <a:srgbClr val="34A853"/>
              </a:solidFill>
            </c:spPr>
            <c:extLst>
              <c:ext xmlns:c16="http://schemas.microsoft.com/office/drawing/2014/chart" uri="{C3380CC4-5D6E-409C-BE32-E72D297353CC}">
                <c16:uniqueId val="{00000007-E97E-4FD2-B957-8AD0B4955F37}"/>
              </c:ext>
            </c:extLst>
          </c:dPt>
          <c:cat>
            <c:strRef>
              <c:f>Resumen!$B$338:$B$341</c:f>
              <c:strCache>
                <c:ptCount val="4"/>
                <c:pt idx="0">
                  <c:v>01 - Administración central</c:v>
                </c:pt>
                <c:pt idx="1">
                  <c:v>82 - Formación y gestión académica</c:v>
                </c:pt>
                <c:pt idx="2">
                  <c:v>83 - Gestión de la investigación</c:v>
                </c:pt>
                <c:pt idx="3">
                  <c:v>84 - Gestión de la vinculación con la colectividad</c:v>
                </c:pt>
              </c:strCache>
            </c:strRef>
          </c:cat>
          <c:val>
            <c:numRef>
              <c:f>Resumen!$C$338:$C$341</c:f>
              <c:numCache>
                <c:formatCode>[$USD $]#,##0.00</c:formatCode>
                <c:ptCount val="4"/>
                <c:pt idx="0">
                  <c:v>11327270.885459915</c:v>
                </c:pt>
                <c:pt idx="1">
                  <c:v>18927418.6243232</c:v>
                </c:pt>
                <c:pt idx="2">
                  <c:v>3122933.8863999997</c:v>
                </c:pt>
                <c:pt idx="3">
                  <c:v>321950.88381688477</c:v>
                </c:pt>
              </c:numCache>
            </c:numRef>
          </c:val>
          <c:extLst>
            <c:ext xmlns:c16="http://schemas.microsoft.com/office/drawing/2014/chart" uri="{C3380CC4-5D6E-409C-BE32-E72D297353CC}">
              <c16:uniqueId val="{00000008-E97E-4FD2-B957-8AD0B4955F37}"/>
            </c:ext>
          </c:extLst>
        </c:ser>
        <c:dLbls>
          <c:showLegendKey val="0"/>
          <c:showVal val="0"/>
          <c:showCatName val="0"/>
          <c:showSerName val="0"/>
          <c:showPercent val="0"/>
          <c:showBubbleSize val="0"/>
          <c:showLeaderLines val="1"/>
        </c:dLbls>
        <c:firstSliceAng val="0"/>
      </c:pieChart>
    </c:plotArea>
    <c:legend>
      <c:legendPos val="r"/>
      <c:layout/>
      <c:overlay val="0"/>
      <c:txPr>
        <a:bodyPr/>
        <a:lstStyle/>
        <a:p>
          <a:pPr lvl="0">
            <a:defRPr b="0">
              <a:solidFill>
                <a:srgbClr val="1A1A1A"/>
              </a:solidFill>
              <a:latin typeface="+mn-lt"/>
            </a:defRPr>
          </a:pPr>
          <a:endParaRPr lang="es-EC"/>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a:solidFill>
                  <a:srgbClr val="757575"/>
                </a:solidFill>
                <a:latin typeface="+mn-lt"/>
              </a:defRPr>
            </a:pPr>
            <a:r>
              <a:rPr lang="en-US" b="0">
                <a:solidFill>
                  <a:srgbClr val="757575"/>
                </a:solidFill>
                <a:latin typeface="+mn-lt"/>
              </a:rPr>
              <a:t>Por dependencia</a:t>
            </a:r>
          </a:p>
        </c:rich>
      </c:tx>
      <c:layout/>
      <c:overlay val="0"/>
    </c:title>
    <c:autoTitleDeleted val="0"/>
    <c:plotArea>
      <c:layout/>
      <c:barChart>
        <c:barDir val="col"/>
        <c:grouping val="clustered"/>
        <c:varyColors val="1"/>
        <c:ser>
          <c:idx val="0"/>
          <c:order val="0"/>
          <c:tx>
            <c:strRef>
              <c:f>Resumen!$D$344</c:f>
              <c:strCache>
                <c:ptCount val="1"/>
              </c:strCache>
            </c:strRef>
          </c:tx>
          <c:spPr>
            <a:solidFill>
              <a:srgbClr val="4285F4"/>
            </a:solidFill>
            <a:ln cmpd="sng">
              <a:solidFill>
                <a:srgbClr val="000000"/>
              </a:solidFill>
            </a:ln>
          </c:spPr>
          <c:invertIfNegative val="1"/>
          <c:cat>
            <c:strRef>
              <c:f>Resumen!$B$345:$B$369</c:f>
              <c:strCache>
                <c:ptCount val="25"/>
                <c:pt idx="0">
                  <c:v>1. Rectorado</c:v>
                </c:pt>
                <c:pt idx="1">
                  <c:v>2. Procuraduría General</c:v>
                </c:pt>
                <c:pt idx="2">
                  <c:v>3. Dirección de Comunicación</c:v>
                </c:pt>
                <c:pt idx="3">
                  <c:v>4. Secretaría General</c:v>
                </c:pt>
                <c:pt idx="4">
                  <c:v>5. Dirección de Planificación</c:v>
                </c:pt>
                <c:pt idx="5">
                  <c:v>6. Dirección de Bienestar Universitario, Arte y Cultura</c:v>
                </c:pt>
                <c:pt idx="6">
                  <c:v>7. Directora de Evaluación Interna y Gestión de la Calidad</c:v>
                </c:pt>
                <c:pt idx="7">
                  <c:v>8. Vicerrectorado de Investigación, Vinculación y Posgrado</c:v>
                </c:pt>
                <c:pt idx="8">
                  <c:v>9. Dirección de Investigación, Desarrollo e Innovación</c:v>
                </c:pt>
                <c:pt idx="9">
                  <c:v>10. Dirección de Posgrado</c:v>
                </c:pt>
                <c:pt idx="10">
                  <c:v>11. Dirección de Vinculación</c:v>
                </c:pt>
                <c:pt idx="11">
                  <c:v>12. Vicerrectorado Académico</c:v>
                </c:pt>
                <c:pt idx="12">
                  <c:v>13. Dirección Académica</c:v>
                </c:pt>
                <c:pt idx="13">
                  <c:v>14. Dirección de Formación Profesional</c:v>
                </c:pt>
                <c:pt idx="14">
                  <c:v>15. Dirección de Educación Continua</c:v>
                </c:pt>
                <c:pt idx="15">
                  <c:v>16. Vicerrectorado Administrativo</c:v>
                </c:pt>
                <c:pt idx="16">
                  <c:v>17. Dirección de Tecnologías de la Información y Comunicación</c:v>
                </c:pt>
                <c:pt idx="17">
                  <c:v>18. Dirección de Talento Humano</c:v>
                </c:pt>
                <c:pt idx="18">
                  <c:v>19. Dirección Financiera</c:v>
                </c:pt>
                <c:pt idx="19">
                  <c:v>20. Dirección Administrativa</c:v>
                </c:pt>
                <c:pt idx="20">
                  <c:v>21.1. Facultad de Ciencias Agropecuarias</c:v>
                </c:pt>
                <c:pt idx="21">
                  <c:v>21.2. Facultad de Ciencias Empresariales</c:v>
                </c:pt>
                <c:pt idx="22">
                  <c:v>21.3. Facultad de Ciencias Químicas y de la Salud</c:v>
                </c:pt>
                <c:pt idx="23">
                  <c:v>21.4. Facultad de Ciencias Sociales</c:v>
                </c:pt>
                <c:pt idx="24">
                  <c:v>21.5. Facultad de Ingeniería Civil</c:v>
                </c:pt>
              </c:strCache>
            </c:strRef>
          </c:cat>
          <c:val>
            <c:numRef>
              <c:f>Resumen!$D$345:$D$369</c:f>
              <c:numCache>
                <c:formatCode>0.00%</c:formatCode>
                <c:ptCount val="25"/>
                <c:pt idx="0">
                  <c:v>2.9754705999185632E-3</c:v>
                </c:pt>
                <c:pt idx="1">
                  <c:v>4.0579741115946233E-4</c:v>
                </c:pt>
                <c:pt idx="2">
                  <c:v>3.3362994163023E-3</c:v>
                </c:pt>
                <c:pt idx="3">
                  <c:v>1.288441677014562E-3</c:v>
                </c:pt>
                <c:pt idx="4">
                  <c:v>2.0476977764361241E-2</c:v>
                </c:pt>
                <c:pt idx="5">
                  <c:v>1.5823400223677841E-2</c:v>
                </c:pt>
                <c:pt idx="6">
                  <c:v>9.3337193338574132E-4</c:v>
                </c:pt>
                <c:pt idx="7">
                  <c:v>1.9772517078812191E-3</c:v>
                </c:pt>
                <c:pt idx="8">
                  <c:v>9.6333507747801746E-3</c:v>
                </c:pt>
                <c:pt idx="9">
                  <c:v>2.6650795741743708E-4</c:v>
                </c:pt>
                <c:pt idx="10">
                  <c:v>1.4504643766081432E-3</c:v>
                </c:pt>
                <c:pt idx="11">
                  <c:v>1.3975533224451168E-3</c:v>
                </c:pt>
                <c:pt idx="12">
                  <c:v>6.6469682417602343E-4</c:v>
                </c:pt>
                <c:pt idx="13">
                  <c:v>1.8148644695579223E-3</c:v>
                </c:pt>
                <c:pt idx="14">
                  <c:v>1.0446830789129125E-3</c:v>
                </c:pt>
                <c:pt idx="15">
                  <c:v>1.6686881422526981E-3</c:v>
                </c:pt>
                <c:pt idx="16">
                  <c:v>2.8791905937394533E-2</c:v>
                </c:pt>
                <c:pt idx="17">
                  <c:v>0.8174832053219635</c:v>
                </c:pt>
                <c:pt idx="18">
                  <c:v>2.8431945093402525E-3</c:v>
                </c:pt>
                <c:pt idx="19">
                  <c:v>2.7678311133846171E-2</c:v>
                </c:pt>
                <c:pt idx="20">
                  <c:v>5.9676450298469467E-3</c:v>
                </c:pt>
                <c:pt idx="21">
                  <c:v>4.8456680313885558E-3</c:v>
                </c:pt>
                <c:pt idx="22">
                  <c:v>6.0659900091770526E-3</c:v>
                </c:pt>
                <c:pt idx="23">
                  <c:v>5.4172728024147613E-3</c:v>
                </c:pt>
                <c:pt idx="24">
                  <c:v>3.5748987544776782E-2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037-4608-BB84-4AE8A7BCBFC5}"/>
            </c:ext>
          </c:extLst>
        </c:ser>
        <c:dLbls>
          <c:showLegendKey val="0"/>
          <c:showVal val="0"/>
          <c:showCatName val="0"/>
          <c:showSerName val="0"/>
          <c:showPercent val="0"/>
          <c:showBubbleSize val="0"/>
        </c:dLbls>
        <c:gapWidth val="150"/>
        <c:axId val="1275188943"/>
        <c:axId val="1742395084"/>
      </c:barChart>
      <c:catAx>
        <c:axId val="1275188943"/>
        <c:scaling>
          <c:orientation val="minMax"/>
        </c:scaling>
        <c:delete val="0"/>
        <c:axPos val="b"/>
        <c:title>
          <c:tx>
            <c:rich>
              <a:bodyPr/>
              <a:lstStyle/>
              <a:p>
                <a:pPr lvl="0">
                  <a:defRPr b="0">
                    <a:solidFill>
                      <a:srgbClr val="000000"/>
                    </a:solidFill>
                    <a:latin typeface="+mn-lt"/>
                  </a:defRPr>
                </a:pPr>
                <a:r>
                  <a:rPr lang="en-US" b="0">
                    <a:solidFill>
                      <a:srgbClr val="000000"/>
                    </a:solidFill>
                    <a:latin typeface="+mn-lt"/>
                  </a:rPr>
                  <a:t>RESUMEN DE PRESUPUESTO ESTIMADO POR DEPENDENCIA</a:t>
                </a:r>
              </a:p>
            </c:rich>
          </c:tx>
          <c:layout/>
          <c:overlay val="0"/>
        </c:title>
        <c:numFmt formatCode="General" sourceLinked="1"/>
        <c:majorTickMark val="none"/>
        <c:minorTickMark val="none"/>
        <c:tickLblPos val="nextTo"/>
        <c:spPr>
          <a:ln>
            <a:solidFill/>
          </a:ln>
        </c:spPr>
        <c:txPr>
          <a:bodyPr/>
          <a:lstStyle/>
          <a:p>
            <a:pPr lvl="0">
              <a:defRPr b="0">
                <a:solidFill>
                  <a:srgbClr val="000000"/>
                </a:solidFill>
                <a:latin typeface="+mn-lt"/>
              </a:defRPr>
            </a:pPr>
            <a:endParaRPr lang="es-EC"/>
          </a:p>
        </c:txPr>
        <c:crossAx val="1742395084"/>
        <c:crosses val="autoZero"/>
        <c:auto val="1"/>
        <c:lblAlgn val="ctr"/>
        <c:lblOffset val="100"/>
        <c:noMultiLvlLbl val="1"/>
      </c:catAx>
      <c:valAx>
        <c:axId val="1742395084"/>
        <c:scaling>
          <c:orientation val="minMax"/>
          <c:min val="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layout/>
          <c:overlay val="0"/>
        </c:title>
        <c:numFmt formatCode="0.00%" sourceLinked="0"/>
        <c:majorTickMark val="none"/>
        <c:minorTickMark val="none"/>
        <c:tickLblPos val="nextTo"/>
        <c:spPr>
          <a:ln/>
        </c:spPr>
        <c:txPr>
          <a:bodyPr/>
          <a:lstStyle/>
          <a:p>
            <a:pPr lvl="0">
              <a:defRPr b="0">
                <a:solidFill>
                  <a:srgbClr val="000000"/>
                </a:solidFill>
                <a:latin typeface="+mn-lt"/>
              </a:defRPr>
            </a:pPr>
            <a:endParaRPr lang="es-EC"/>
          </a:p>
        </c:txPr>
        <c:crossAx val="1275188943"/>
        <c:crosses val="autoZero"/>
        <c:crossBetween val="between"/>
      </c:valAx>
    </c:plotArea>
    <c:legend>
      <c:legendPos val="r"/>
      <c:layout/>
      <c:overlay val="0"/>
      <c:txPr>
        <a:bodyPr/>
        <a:lstStyle/>
        <a:p>
          <a:pPr lvl="0">
            <a:defRPr b="0">
              <a:solidFill>
                <a:srgbClr val="1A1A1A"/>
              </a:solidFill>
              <a:latin typeface="+mn-lt"/>
            </a:defRPr>
          </a:pPr>
          <a:endParaRPr lang="es-EC"/>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1.jpg"/><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jp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4</xdr:col>
      <xdr:colOff>523875</xdr:colOff>
      <xdr:row>318</xdr:row>
      <xdr:rowOff>28575</xdr:rowOff>
    </xdr:from>
    <xdr:ext cx="4562475" cy="2819400"/>
    <xdr:graphicFrame macro="">
      <xdr:nvGraphicFramePr>
        <xdr:cNvPr id="2" name="Chart 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523875</xdr:colOff>
      <xdr:row>331</xdr:row>
      <xdr:rowOff>114300</xdr:rowOff>
    </xdr:from>
    <xdr:ext cx="4562475" cy="2819400"/>
    <xdr:graphicFrame macro="">
      <xdr:nvGraphicFramePr>
        <xdr:cNvPr id="3" name="Chart 2"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523875</xdr:colOff>
      <xdr:row>344</xdr:row>
      <xdr:rowOff>219075</xdr:rowOff>
    </xdr:from>
    <xdr:ext cx="4562475" cy="2819400"/>
    <xdr:graphicFrame macro="">
      <xdr:nvGraphicFramePr>
        <xdr:cNvPr id="4" name="Chart 3"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523875</xdr:colOff>
      <xdr:row>359</xdr:row>
      <xdr:rowOff>19050</xdr:rowOff>
    </xdr:from>
    <xdr:ext cx="4562475" cy="2819400"/>
    <xdr:graphicFrame macro="">
      <xdr:nvGraphicFramePr>
        <xdr:cNvPr id="5" name="Chart 4"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523875</xdr:colOff>
      <xdr:row>0</xdr:row>
      <xdr:rowOff>209550</xdr:rowOff>
    </xdr:from>
    <xdr:ext cx="1304925" cy="1285875"/>
    <xdr:pic>
      <xdr:nvPicPr>
        <xdr:cNvPr id="6" name="image7.jp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twoCellAnchor editAs="oneCell">
    <xdr:from>
      <xdr:col>4</xdr:col>
      <xdr:colOff>523875</xdr:colOff>
      <xdr:row>1</xdr:row>
      <xdr:rowOff>0</xdr:rowOff>
    </xdr:from>
    <xdr:to>
      <xdr:col>5</xdr:col>
      <xdr:colOff>619125</xdr:colOff>
      <xdr:row>5</xdr:row>
      <xdr:rowOff>38100</xdr:rowOff>
    </xdr:to>
    <xdr:pic>
      <xdr:nvPicPr>
        <xdr:cNvPr id="1025" name="image7.jpg"/>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63175" y="209550"/>
          <a:ext cx="1304925" cy="12858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523875</xdr:colOff>
      <xdr:row>1</xdr:row>
      <xdr:rowOff>0</xdr:rowOff>
    </xdr:from>
    <xdr:to>
      <xdr:col>5</xdr:col>
      <xdr:colOff>619125</xdr:colOff>
      <xdr:row>5</xdr:row>
      <xdr:rowOff>38100</xdr:rowOff>
    </xdr:to>
    <xdr:pic>
      <xdr:nvPicPr>
        <xdr:cNvPr id="1026" name="Picture 2"/>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63175" y="209550"/>
          <a:ext cx="1304925" cy="12858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523875</xdr:colOff>
      <xdr:row>1</xdr:row>
      <xdr:rowOff>0</xdr:rowOff>
    </xdr:from>
    <xdr:to>
      <xdr:col>5</xdr:col>
      <xdr:colOff>619125</xdr:colOff>
      <xdr:row>5</xdr:row>
      <xdr:rowOff>38100</xdr:rowOff>
    </xdr:to>
    <xdr:pic>
      <xdr:nvPicPr>
        <xdr:cNvPr id="1027" name="Picture 3"/>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63175" y="209550"/>
          <a:ext cx="1304925" cy="12858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523875</xdr:colOff>
      <xdr:row>1</xdr:row>
      <xdr:rowOff>0</xdr:rowOff>
    </xdr:from>
    <xdr:to>
      <xdr:col>5</xdr:col>
      <xdr:colOff>619125</xdr:colOff>
      <xdr:row>5</xdr:row>
      <xdr:rowOff>38100</xdr:rowOff>
    </xdr:to>
    <xdr:pic>
      <xdr:nvPicPr>
        <xdr:cNvPr id="1028" name="Picture 4"/>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63175" y="209550"/>
          <a:ext cx="1304925" cy="12858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523875</xdr:colOff>
      <xdr:row>1</xdr:row>
      <xdr:rowOff>0</xdr:rowOff>
    </xdr:from>
    <xdr:to>
      <xdr:col>5</xdr:col>
      <xdr:colOff>619125</xdr:colOff>
      <xdr:row>5</xdr:row>
      <xdr:rowOff>38100</xdr:rowOff>
    </xdr:to>
    <xdr:pic>
      <xdr:nvPicPr>
        <xdr:cNvPr id="1029" name="Picture 5"/>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63175" y="209550"/>
          <a:ext cx="1304925" cy="12858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xdr:col>
      <xdr:colOff>523875</xdr:colOff>
      <xdr:row>1</xdr:row>
      <xdr:rowOff>0</xdr:rowOff>
    </xdr:from>
    <xdr:to>
      <xdr:col>5</xdr:col>
      <xdr:colOff>619125</xdr:colOff>
      <xdr:row>5</xdr:row>
      <xdr:rowOff>38100</xdr:rowOff>
    </xdr:to>
    <xdr:pic>
      <xdr:nvPicPr>
        <xdr:cNvPr id="1030" name="Picture 6"/>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63175" y="209550"/>
          <a:ext cx="1304925" cy="12858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10.xml><?xml version="1.0" encoding="utf-8"?>
<xdr:wsDr xmlns:xdr="http://schemas.openxmlformats.org/drawingml/2006/spreadsheetDrawing" xmlns:a="http://schemas.openxmlformats.org/drawingml/2006/main">
  <xdr:oneCellAnchor>
    <xdr:from>
      <xdr:col>28</xdr:col>
      <xdr:colOff>209550</xdr:colOff>
      <xdr:row>0</xdr:row>
      <xdr:rowOff>266700</xdr:rowOff>
    </xdr:from>
    <xdr:ext cx="1276350" cy="1295400"/>
    <xdr:pic>
      <xdr:nvPicPr>
        <xdr:cNvPr id="2" name="image10.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29</xdr:col>
      <xdr:colOff>247650</xdr:colOff>
      <xdr:row>0</xdr:row>
      <xdr:rowOff>342900</xdr:rowOff>
    </xdr:from>
    <xdr:ext cx="1304925" cy="1323975"/>
    <xdr:pic>
      <xdr:nvPicPr>
        <xdr:cNvPr id="2" name="image1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28</xdr:col>
      <xdr:colOff>304800</xdr:colOff>
      <xdr:row>0</xdr:row>
      <xdr:rowOff>400050</xdr:rowOff>
    </xdr:from>
    <xdr:ext cx="1257300" cy="1219200"/>
    <xdr:pic>
      <xdr:nvPicPr>
        <xdr:cNvPr id="2" name="image12.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28</xdr:col>
      <xdr:colOff>304800</xdr:colOff>
      <xdr:row>0</xdr:row>
      <xdr:rowOff>400050</xdr:rowOff>
    </xdr:from>
    <xdr:ext cx="1304925" cy="1323975"/>
    <xdr:pic>
      <xdr:nvPicPr>
        <xdr:cNvPr id="2" name="image14.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28</xdr:col>
      <xdr:colOff>266700</xdr:colOff>
      <xdr:row>1</xdr:row>
      <xdr:rowOff>57150</xdr:rowOff>
    </xdr:from>
    <xdr:ext cx="1304925" cy="1323975"/>
    <xdr:pic>
      <xdr:nvPicPr>
        <xdr:cNvPr id="2" name="image13.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28</xdr:col>
      <xdr:colOff>209550</xdr:colOff>
      <xdr:row>0</xdr:row>
      <xdr:rowOff>304800</xdr:rowOff>
    </xdr:from>
    <xdr:ext cx="1304925" cy="1323975"/>
    <xdr:pic>
      <xdr:nvPicPr>
        <xdr:cNvPr id="2" name="image15.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27</xdr:col>
      <xdr:colOff>304800</xdr:colOff>
      <xdr:row>0</xdr:row>
      <xdr:rowOff>400050</xdr:rowOff>
    </xdr:from>
    <xdr:ext cx="1304925" cy="1323975"/>
    <xdr:pic>
      <xdr:nvPicPr>
        <xdr:cNvPr id="2" name="image17.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28</xdr:col>
      <xdr:colOff>152400</xdr:colOff>
      <xdr:row>0</xdr:row>
      <xdr:rowOff>342900</xdr:rowOff>
    </xdr:from>
    <xdr:ext cx="1304925" cy="1323975"/>
    <xdr:pic>
      <xdr:nvPicPr>
        <xdr:cNvPr id="2" name="image18.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28</xdr:col>
      <xdr:colOff>704850</xdr:colOff>
      <xdr:row>0</xdr:row>
      <xdr:rowOff>228600</xdr:rowOff>
    </xdr:from>
    <xdr:ext cx="1304925" cy="1323975"/>
    <xdr:pic>
      <xdr:nvPicPr>
        <xdr:cNvPr id="2" name="image16.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28</xdr:col>
      <xdr:colOff>857250</xdr:colOff>
      <xdr:row>0</xdr:row>
      <xdr:rowOff>209550</xdr:rowOff>
    </xdr:from>
    <xdr:ext cx="1304925" cy="1323975"/>
    <xdr:pic>
      <xdr:nvPicPr>
        <xdr:cNvPr id="2" name="image19.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28</xdr:col>
      <xdr:colOff>133350</xdr:colOff>
      <xdr:row>0</xdr:row>
      <xdr:rowOff>276225</xdr:rowOff>
    </xdr:from>
    <xdr:ext cx="1219200" cy="1323975"/>
    <xdr:pic>
      <xdr:nvPicPr>
        <xdr:cNvPr id="2" name="image1.jpg" descr="Imagen 5" title="Imagen"/>
        <xdr:cNvPicPr preferRelativeResize="0"/>
      </xdr:nvPicPr>
      <xdr:blipFill>
        <a:blip xmlns:r="http://schemas.openxmlformats.org/officeDocument/2006/relationships" r:embed="rId1" cstate="print"/>
        <a:stretch>
          <a:fillRect/>
        </a:stretch>
      </xdr:blipFill>
      <xdr:spPr>
        <a:xfrm>
          <a:off x="36461700" y="276225"/>
          <a:ext cx="1219200" cy="1323975"/>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28</xdr:col>
      <xdr:colOff>781050</xdr:colOff>
      <xdr:row>0</xdr:row>
      <xdr:rowOff>190500</xdr:rowOff>
    </xdr:from>
    <xdr:ext cx="1304925" cy="1323975"/>
    <xdr:pic>
      <xdr:nvPicPr>
        <xdr:cNvPr id="2" name="image20.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28</xdr:col>
      <xdr:colOff>876300</xdr:colOff>
      <xdr:row>0</xdr:row>
      <xdr:rowOff>323850</xdr:rowOff>
    </xdr:from>
    <xdr:ext cx="1304925" cy="1323975"/>
    <xdr:pic>
      <xdr:nvPicPr>
        <xdr:cNvPr id="2" name="image2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28</xdr:col>
      <xdr:colOff>247651</xdr:colOff>
      <xdr:row>0</xdr:row>
      <xdr:rowOff>238125</xdr:rowOff>
    </xdr:from>
    <xdr:ext cx="1219200" cy="1323975"/>
    <xdr:pic>
      <xdr:nvPicPr>
        <xdr:cNvPr id="2" name="image22.jpg" title="Imagen"/>
        <xdr:cNvPicPr preferRelativeResize="0"/>
      </xdr:nvPicPr>
      <xdr:blipFill>
        <a:blip xmlns:r="http://schemas.openxmlformats.org/officeDocument/2006/relationships" r:embed="rId1" cstate="print"/>
        <a:stretch>
          <a:fillRect/>
        </a:stretch>
      </xdr:blipFill>
      <xdr:spPr>
        <a:xfrm>
          <a:off x="36785551" y="238125"/>
          <a:ext cx="1219200" cy="1323975"/>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27</xdr:col>
      <xdr:colOff>133350</xdr:colOff>
      <xdr:row>0</xdr:row>
      <xdr:rowOff>228600</xdr:rowOff>
    </xdr:from>
    <xdr:ext cx="1304925" cy="1323975"/>
    <xdr:pic>
      <xdr:nvPicPr>
        <xdr:cNvPr id="2" name="image22.jpg" title="Imagen"/>
        <xdr:cNvPicPr preferRelativeResize="0"/>
      </xdr:nvPicPr>
      <xdr:blipFill>
        <a:blip xmlns:r="http://schemas.openxmlformats.org/officeDocument/2006/relationships" r:embed="rId1" cstate="print"/>
        <a:stretch>
          <a:fillRect/>
        </a:stretch>
      </xdr:blipFill>
      <xdr:spPr>
        <a:xfrm>
          <a:off x="38433375" y="228600"/>
          <a:ext cx="1304925" cy="1323975"/>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27</xdr:col>
      <xdr:colOff>190500</xdr:colOff>
      <xdr:row>0</xdr:row>
      <xdr:rowOff>533400</xdr:rowOff>
    </xdr:from>
    <xdr:ext cx="1304925" cy="1323975"/>
    <xdr:pic>
      <xdr:nvPicPr>
        <xdr:cNvPr id="2" name="image23.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27</xdr:col>
      <xdr:colOff>104775</xdr:colOff>
      <xdr:row>0</xdr:row>
      <xdr:rowOff>314325</xdr:rowOff>
    </xdr:from>
    <xdr:ext cx="1304925" cy="1323975"/>
    <xdr:pic>
      <xdr:nvPicPr>
        <xdr:cNvPr id="2" name="image24.jpg" title="Imagen"/>
        <xdr:cNvPicPr preferRelativeResize="0"/>
      </xdr:nvPicPr>
      <xdr:blipFill>
        <a:blip xmlns:r="http://schemas.openxmlformats.org/officeDocument/2006/relationships" r:embed="rId1" cstate="print"/>
        <a:stretch>
          <a:fillRect/>
        </a:stretch>
      </xdr:blipFill>
      <xdr:spPr>
        <a:xfrm>
          <a:off x="38280975" y="314325"/>
          <a:ext cx="1304925" cy="1323975"/>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28</xdr:col>
      <xdr:colOff>133350</xdr:colOff>
      <xdr:row>0</xdr:row>
      <xdr:rowOff>247650</xdr:rowOff>
    </xdr:from>
    <xdr:ext cx="1304925" cy="1323975"/>
    <xdr:pic>
      <xdr:nvPicPr>
        <xdr:cNvPr id="2" name="image25.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28</xdr:col>
      <xdr:colOff>142875</xdr:colOff>
      <xdr:row>0</xdr:row>
      <xdr:rowOff>276225</xdr:rowOff>
    </xdr:from>
    <xdr:ext cx="1304925" cy="1323975"/>
    <xdr:pic>
      <xdr:nvPicPr>
        <xdr:cNvPr id="2" name="image2.jpg" title="Imagen"/>
        <xdr:cNvPicPr preferRelativeResize="0"/>
      </xdr:nvPicPr>
      <xdr:blipFill>
        <a:blip xmlns:r="http://schemas.openxmlformats.org/officeDocument/2006/relationships" r:embed="rId1" cstate="print"/>
        <a:stretch>
          <a:fillRect/>
        </a:stretch>
      </xdr:blipFill>
      <xdr:spPr>
        <a:xfrm>
          <a:off x="34899600" y="276225"/>
          <a:ext cx="1304925" cy="13239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28</xdr:col>
      <xdr:colOff>95250</xdr:colOff>
      <xdr:row>0</xdr:row>
      <xdr:rowOff>323850</xdr:rowOff>
    </xdr:from>
    <xdr:ext cx="1304925" cy="1323975"/>
    <xdr:pic>
      <xdr:nvPicPr>
        <xdr:cNvPr id="2" name="image3.jpg" title="Imagen"/>
        <xdr:cNvPicPr preferRelativeResize="0"/>
      </xdr:nvPicPr>
      <xdr:blipFill>
        <a:blip xmlns:r="http://schemas.openxmlformats.org/officeDocument/2006/relationships" r:embed="rId1" cstate="print"/>
        <a:stretch>
          <a:fillRect/>
        </a:stretch>
      </xdr:blipFill>
      <xdr:spPr>
        <a:xfrm>
          <a:off x="34547175" y="323850"/>
          <a:ext cx="1304925" cy="13239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28</xdr:col>
      <xdr:colOff>161925</xdr:colOff>
      <xdr:row>0</xdr:row>
      <xdr:rowOff>266700</xdr:rowOff>
    </xdr:from>
    <xdr:ext cx="1304925" cy="1323975"/>
    <xdr:pic>
      <xdr:nvPicPr>
        <xdr:cNvPr id="2" name="image4.jpg"/>
        <xdr:cNvPicPr preferRelativeResize="0"/>
      </xdr:nvPicPr>
      <xdr:blipFill>
        <a:blip xmlns:r="http://schemas.openxmlformats.org/officeDocument/2006/relationships" r:embed="rId1" cstate="print"/>
        <a:stretch>
          <a:fillRect/>
        </a:stretch>
      </xdr:blipFill>
      <xdr:spPr>
        <a:xfrm>
          <a:off x="36852225" y="266700"/>
          <a:ext cx="1304925" cy="13239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28</xdr:col>
      <xdr:colOff>266700</xdr:colOff>
      <xdr:row>0</xdr:row>
      <xdr:rowOff>438150</xdr:rowOff>
    </xdr:from>
    <xdr:ext cx="1304925" cy="1323975"/>
    <xdr:pic>
      <xdr:nvPicPr>
        <xdr:cNvPr id="2" name="image5.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29</xdr:col>
      <xdr:colOff>19050</xdr:colOff>
      <xdr:row>0</xdr:row>
      <xdr:rowOff>152400</xdr:rowOff>
    </xdr:from>
    <xdr:ext cx="1304925" cy="1323975"/>
    <xdr:pic>
      <xdr:nvPicPr>
        <xdr:cNvPr id="2" name="image6.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28</xdr:col>
      <xdr:colOff>247650</xdr:colOff>
      <xdr:row>0</xdr:row>
      <xdr:rowOff>190500</xdr:rowOff>
    </xdr:from>
    <xdr:ext cx="1304925" cy="1323975"/>
    <xdr:pic>
      <xdr:nvPicPr>
        <xdr:cNvPr id="2" name="image9.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29</xdr:col>
      <xdr:colOff>381000</xdr:colOff>
      <xdr:row>0</xdr:row>
      <xdr:rowOff>342900</xdr:rowOff>
    </xdr:from>
    <xdr:ext cx="1304925" cy="1323975"/>
    <xdr:pic>
      <xdr:nvPicPr>
        <xdr:cNvPr id="2" name="image8.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ND"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EDI"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strategias%20DAFO"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D"/>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s DAFO"/>
    </sheetNames>
    <sheetDataSet>
      <sheetData sheetId="0" refreshError="1"/>
    </sheetDataSet>
  </externalBook>
</externalLink>
</file>

<file path=xl/theme/theme1.xml><?xml version="1.0" encoding="utf-8"?>
<a:theme xmlns:a="http://schemas.openxmlformats.org/drawingml/2006/main" name="Shee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5"/>
  <sheetViews>
    <sheetView showGridLines="0" tabSelected="1" topLeftCell="A344" workbookViewId="0">
      <selection activeCell="C365" sqref="C365"/>
    </sheetView>
  </sheetViews>
  <sheetFormatPr baseColWidth="10" defaultColWidth="12.5703125" defaultRowHeight="15.75" customHeight="1"/>
  <cols>
    <col min="1" max="1" width="5" customWidth="1"/>
    <col min="2" max="2" width="47.140625" customWidth="1"/>
    <col min="3" max="3" width="39.5703125" customWidth="1"/>
    <col min="4" max="4" width="52.85546875" customWidth="1"/>
    <col min="5" max="5" width="18.140625" customWidth="1"/>
    <col min="6" max="6" width="19.140625" customWidth="1"/>
    <col min="7" max="7" width="14.5703125" customWidth="1"/>
    <col min="8" max="8" width="18.140625" customWidth="1"/>
    <col min="9" max="9" width="5.140625" customWidth="1"/>
  </cols>
  <sheetData>
    <row r="1" spans="1:9" ht="16.5" customHeight="1">
      <c r="A1" s="1"/>
      <c r="B1" s="2"/>
      <c r="C1" s="3"/>
      <c r="D1" s="3"/>
      <c r="E1" s="1"/>
      <c r="F1" s="4"/>
      <c r="G1" s="1"/>
      <c r="H1" s="1697"/>
      <c r="I1" s="1"/>
    </row>
    <row r="2" spans="1:9" ht="37.5" customHeight="1">
      <c r="A2" s="5"/>
      <c r="B2" s="4154" t="s">
        <v>0</v>
      </c>
      <c r="C2" s="4154"/>
      <c r="D2" s="4154"/>
      <c r="E2" s="4154"/>
      <c r="F2" s="4154"/>
      <c r="G2" s="4154"/>
      <c r="H2" s="4154"/>
      <c r="I2" s="5"/>
    </row>
    <row r="3" spans="1:9" ht="26.25" customHeight="1">
      <c r="A3" s="6"/>
      <c r="B3" s="4155" t="s">
        <v>1</v>
      </c>
      <c r="C3" s="4155"/>
      <c r="D3" s="4155"/>
      <c r="E3" s="4155"/>
      <c r="F3" s="4155"/>
      <c r="G3" s="4155"/>
      <c r="H3" s="4155"/>
      <c r="I3" s="6"/>
    </row>
    <row r="4" spans="1:9" ht="9.75" customHeight="1">
      <c r="A4" s="7"/>
      <c r="B4" s="8"/>
      <c r="C4" s="8"/>
      <c r="D4" s="8"/>
      <c r="E4" s="8"/>
      <c r="F4" s="9"/>
      <c r="G4" s="10"/>
      <c r="H4" s="1697"/>
      <c r="I4" s="7"/>
    </row>
    <row r="5" spans="1:9" ht="24.75" customHeight="1">
      <c r="A5" s="11"/>
      <c r="B5" s="4156" t="s">
        <v>2</v>
      </c>
      <c r="C5" s="4156"/>
      <c r="D5" s="4156"/>
      <c r="E5" s="4156"/>
      <c r="F5" s="4156"/>
      <c r="G5" s="4156"/>
      <c r="H5" s="4156"/>
      <c r="I5" s="11"/>
    </row>
    <row r="6" spans="1:9" ht="16.5" customHeight="1">
      <c r="A6" s="12"/>
      <c r="B6" s="13"/>
      <c r="C6" s="2"/>
      <c r="D6" s="3"/>
      <c r="E6" s="3"/>
      <c r="F6" s="1"/>
      <c r="G6" s="4"/>
      <c r="H6" s="1"/>
      <c r="I6" s="1"/>
    </row>
    <row r="7" spans="1:9" ht="31.5">
      <c r="A7" s="14"/>
      <c r="B7" s="15" t="s">
        <v>3</v>
      </c>
      <c r="C7" s="16" t="s">
        <v>4</v>
      </c>
      <c r="D7" s="16" t="s">
        <v>5</v>
      </c>
      <c r="E7" s="16" t="s">
        <v>6</v>
      </c>
      <c r="F7" s="16" t="s">
        <v>7</v>
      </c>
      <c r="G7" s="17" t="s">
        <v>8</v>
      </c>
      <c r="H7" s="18" t="s">
        <v>9</v>
      </c>
      <c r="I7" s="19"/>
    </row>
    <row r="8" spans="1:9">
      <c r="A8" s="1"/>
      <c r="B8" s="3760" t="s">
        <v>10</v>
      </c>
      <c r="C8" s="3761" t="s">
        <v>11</v>
      </c>
      <c r="D8" s="3762" t="s">
        <v>12</v>
      </c>
      <c r="E8" s="20">
        <v>530304</v>
      </c>
      <c r="F8" s="21" t="s">
        <v>13</v>
      </c>
      <c r="G8" s="21" t="s">
        <v>14</v>
      </c>
      <c r="H8" s="22">
        <f>'1. REC'!Z95</f>
        <v>8400</v>
      </c>
      <c r="I8" s="1"/>
    </row>
    <row r="9" spans="1:9" ht="47.25">
      <c r="A9" s="1"/>
      <c r="B9" s="3760" t="s">
        <v>10</v>
      </c>
      <c r="C9" s="3761" t="s">
        <v>11</v>
      </c>
      <c r="D9" s="3762" t="s">
        <v>15</v>
      </c>
      <c r="E9" s="20">
        <v>530307</v>
      </c>
      <c r="F9" s="21" t="s">
        <v>13</v>
      </c>
      <c r="G9" s="21" t="s">
        <v>14</v>
      </c>
      <c r="H9" s="22">
        <f>'1. REC'!Z96</f>
        <v>7120.0192000000006</v>
      </c>
      <c r="I9" s="1"/>
    </row>
    <row r="10" spans="1:9" ht="31.5">
      <c r="A10" s="1"/>
      <c r="B10" s="3760" t="s">
        <v>10</v>
      </c>
      <c r="C10" s="3761" t="s">
        <v>11</v>
      </c>
      <c r="D10" s="3762" t="s">
        <v>16</v>
      </c>
      <c r="E10" s="20">
        <v>530402</v>
      </c>
      <c r="F10" s="21" t="s">
        <v>13</v>
      </c>
      <c r="G10" s="21" t="s">
        <v>14</v>
      </c>
      <c r="H10" s="22">
        <f>'1. REC'!Z97</f>
        <v>4393.87</v>
      </c>
      <c r="I10" s="1"/>
    </row>
    <row r="11" spans="1:9" ht="31.5">
      <c r="A11" s="1"/>
      <c r="B11" s="3760" t="s">
        <v>10</v>
      </c>
      <c r="C11" s="3765" t="s">
        <v>17</v>
      </c>
      <c r="D11" s="3762" t="s">
        <v>16</v>
      </c>
      <c r="E11" s="23">
        <v>530402</v>
      </c>
      <c r="F11" s="21" t="s">
        <v>13</v>
      </c>
      <c r="G11" s="24" t="s">
        <v>18</v>
      </c>
      <c r="H11" s="22">
        <f>'1. REC'!Z98</f>
        <v>29680.000000000004</v>
      </c>
      <c r="I11" s="1"/>
    </row>
    <row r="12" spans="1:9" ht="31.5">
      <c r="A12" s="1"/>
      <c r="B12" s="3760" t="s">
        <v>10</v>
      </c>
      <c r="C12" s="3761" t="s">
        <v>11</v>
      </c>
      <c r="D12" s="3762" t="s">
        <v>16</v>
      </c>
      <c r="E12" s="20">
        <v>530402</v>
      </c>
      <c r="F12" s="21" t="s">
        <v>13</v>
      </c>
      <c r="G12" s="21" t="s">
        <v>14</v>
      </c>
      <c r="H12" s="22">
        <f>'1. REC'!Z99</f>
        <v>18037.804499911999</v>
      </c>
      <c r="I12" s="1"/>
    </row>
    <row r="13" spans="1:9" ht="31.5">
      <c r="A13" s="1"/>
      <c r="B13" s="3760" t="s">
        <v>10</v>
      </c>
      <c r="C13" s="3761" t="s">
        <v>11</v>
      </c>
      <c r="D13" s="3762" t="s">
        <v>19</v>
      </c>
      <c r="E13" s="20">
        <v>530704</v>
      </c>
      <c r="F13" s="21" t="s">
        <v>13</v>
      </c>
      <c r="G13" s="21" t="s">
        <v>14</v>
      </c>
      <c r="H13" s="22">
        <f>'1. REC'!Z100</f>
        <v>672.00000000000011</v>
      </c>
      <c r="I13" s="1"/>
    </row>
    <row r="14" spans="1:9">
      <c r="A14" s="1"/>
      <c r="B14" s="3760" t="s">
        <v>10</v>
      </c>
      <c r="C14" s="3761" t="s">
        <v>11</v>
      </c>
      <c r="D14" s="3762" t="s">
        <v>20</v>
      </c>
      <c r="E14" s="3774">
        <v>531407</v>
      </c>
      <c r="F14" s="36" t="s">
        <v>13</v>
      </c>
      <c r="G14" s="36" t="s">
        <v>14</v>
      </c>
      <c r="H14" s="22">
        <f>'1. REC'!Z101</f>
        <v>564.48</v>
      </c>
      <c r="I14" s="1"/>
    </row>
    <row r="15" spans="1:9">
      <c r="A15" s="25"/>
      <c r="B15" s="3760" t="s">
        <v>10</v>
      </c>
      <c r="C15" s="3887" t="s">
        <v>17</v>
      </c>
      <c r="D15" s="3888" t="s">
        <v>22</v>
      </c>
      <c r="E15" s="26">
        <v>840103</v>
      </c>
      <c r="F15" s="21" t="s">
        <v>13</v>
      </c>
      <c r="G15" s="27" t="s">
        <v>23</v>
      </c>
      <c r="H15" s="28">
        <f>'1. REC'!Z102</f>
        <v>3505.7872928000006</v>
      </c>
      <c r="I15" s="1"/>
    </row>
    <row r="16" spans="1:9">
      <c r="A16" s="25"/>
      <c r="B16" s="3760" t="s">
        <v>10</v>
      </c>
      <c r="C16" s="3887" t="s">
        <v>17</v>
      </c>
      <c r="D16" s="3888" t="s">
        <v>24</v>
      </c>
      <c r="E16" s="29">
        <v>840104</v>
      </c>
      <c r="F16" s="21" t="s">
        <v>13</v>
      </c>
      <c r="G16" s="27" t="s">
        <v>23</v>
      </c>
      <c r="H16" s="28">
        <f>'1. REC'!Z103</f>
        <v>400</v>
      </c>
      <c r="I16" s="1"/>
    </row>
    <row r="17" spans="1:9">
      <c r="A17" s="25"/>
      <c r="B17" s="3760" t="s">
        <v>10</v>
      </c>
      <c r="C17" s="3761" t="s">
        <v>11</v>
      </c>
      <c r="D17" s="3762" t="s">
        <v>20</v>
      </c>
      <c r="E17" s="24">
        <v>840107</v>
      </c>
      <c r="F17" s="36" t="s">
        <v>13</v>
      </c>
      <c r="G17" s="24" t="s">
        <v>14</v>
      </c>
      <c r="H17" s="22">
        <f>'1. REC'!Z104</f>
        <v>6548.3488000000007</v>
      </c>
      <c r="I17" s="1"/>
    </row>
    <row r="18" spans="1:9">
      <c r="A18" s="25"/>
      <c r="B18" s="3760" t="s">
        <v>10</v>
      </c>
      <c r="C18" s="3765" t="s">
        <v>17</v>
      </c>
      <c r="D18" s="3888" t="s">
        <v>20</v>
      </c>
      <c r="E18" s="26">
        <v>840107</v>
      </c>
      <c r="F18" s="21" t="s">
        <v>13</v>
      </c>
      <c r="G18" s="27" t="s">
        <v>23</v>
      </c>
      <c r="H18" s="28">
        <f>'1. REC'!Z105</f>
        <v>20949.782707199771</v>
      </c>
      <c r="I18" s="1"/>
    </row>
    <row r="19" spans="1:9" ht="63">
      <c r="A19" s="1"/>
      <c r="B19" s="3760" t="s">
        <v>25</v>
      </c>
      <c r="C19" s="3764" t="s">
        <v>11</v>
      </c>
      <c r="D19" s="3764" t="s">
        <v>26</v>
      </c>
      <c r="E19" s="30">
        <v>530204</v>
      </c>
      <c r="F19" s="21" t="s">
        <v>13</v>
      </c>
      <c r="G19" s="21" t="s">
        <v>14</v>
      </c>
      <c r="H19" s="31">
        <f>'2. PG'!Z60</f>
        <v>3595.2000000000003</v>
      </c>
      <c r="I19" s="1"/>
    </row>
    <row r="20" spans="1:9">
      <c r="A20" s="1"/>
      <c r="B20" s="3760" t="s">
        <v>25</v>
      </c>
      <c r="C20" s="3764" t="s">
        <v>11</v>
      </c>
      <c r="D20" s="3764" t="s">
        <v>27</v>
      </c>
      <c r="E20" s="32">
        <v>530239</v>
      </c>
      <c r="F20" s="21" t="s">
        <v>13</v>
      </c>
      <c r="G20" s="21" t="s">
        <v>14</v>
      </c>
      <c r="H20" s="31">
        <f>'2. PG'!Z61</f>
        <v>10080.000000000002</v>
      </c>
      <c r="I20" s="1"/>
    </row>
    <row r="21" spans="1:9" ht="63">
      <c r="A21" s="1"/>
      <c r="B21" s="3760" t="s">
        <v>28</v>
      </c>
      <c r="C21" s="3763" t="s">
        <v>29</v>
      </c>
      <c r="D21" s="3764" t="s">
        <v>26</v>
      </c>
      <c r="E21" s="30">
        <v>530204</v>
      </c>
      <c r="F21" s="21" t="s">
        <v>13</v>
      </c>
      <c r="G21" s="21" t="s">
        <v>30</v>
      </c>
      <c r="H21" s="31">
        <f>'3. DIRCOM'!Z62</f>
        <v>24640.000000000004</v>
      </c>
      <c r="I21" s="1"/>
    </row>
    <row r="22" spans="1:9" ht="63">
      <c r="A22" s="1"/>
      <c r="B22" s="3760" t="s">
        <v>28</v>
      </c>
      <c r="C22" s="3763" t="s">
        <v>11</v>
      </c>
      <c r="D22" s="3764" t="s">
        <v>26</v>
      </c>
      <c r="E22" s="30">
        <v>530204</v>
      </c>
      <c r="F22" s="21" t="s">
        <v>13</v>
      </c>
      <c r="G22" s="21" t="s">
        <v>14</v>
      </c>
      <c r="H22" s="31">
        <f>'3. DIRCOM'!Z63</f>
        <v>9670.0800000000017</v>
      </c>
      <c r="I22" s="1"/>
    </row>
    <row r="23" spans="1:9">
      <c r="A23" s="1"/>
      <c r="B23" s="3760" t="s">
        <v>28</v>
      </c>
      <c r="C23" s="3763" t="s">
        <v>11</v>
      </c>
      <c r="D23" s="3764" t="s">
        <v>31</v>
      </c>
      <c r="E23" s="30">
        <v>530207</v>
      </c>
      <c r="F23" s="21" t="s">
        <v>13</v>
      </c>
      <c r="G23" s="21" t="s">
        <v>14</v>
      </c>
      <c r="H23" s="31">
        <f>'3. DIRCOM'!Z64</f>
        <v>45920.000000000007</v>
      </c>
      <c r="I23" s="1"/>
    </row>
    <row r="24" spans="1:9" ht="31.5">
      <c r="A24" s="1"/>
      <c r="B24" s="3760" t="s">
        <v>28</v>
      </c>
      <c r="C24" s="3763" t="s">
        <v>11</v>
      </c>
      <c r="D24" s="3764" t="s">
        <v>32</v>
      </c>
      <c r="E24" s="30">
        <v>530404</v>
      </c>
      <c r="F24" s="21" t="s">
        <v>13</v>
      </c>
      <c r="G24" s="21" t="s">
        <v>14</v>
      </c>
      <c r="H24" s="31">
        <f>'3. DIRCOM'!Z65</f>
        <v>7816.0300000000007</v>
      </c>
      <c r="I24" s="1"/>
    </row>
    <row r="25" spans="1:9">
      <c r="A25" s="1"/>
      <c r="B25" s="3760" t="s">
        <v>28</v>
      </c>
      <c r="C25" s="3763" t="s">
        <v>11</v>
      </c>
      <c r="D25" s="3764" t="s">
        <v>24</v>
      </c>
      <c r="E25" s="33">
        <v>531404</v>
      </c>
      <c r="F25" s="21" t="s">
        <v>13</v>
      </c>
      <c r="G25" s="21" t="s">
        <v>14</v>
      </c>
      <c r="H25" s="31">
        <f>'3. DIRCOM'!Z66</f>
        <v>896.00000000000011</v>
      </c>
      <c r="I25" s="1"/>
    </row>
    <row r="26" spans="1:9">
      <c r="A26" s="25"/>
      <c r="B26" s="3760" t="s">
        <v>28</v>
      </c>
      <c r="C26" s="3763" t="s">
        <v>11</v>
      </c>
      <c r="D26" s="3764" t="s">
        <v>24</v>
      </c>
      <c r="E26" s="30">
        <v>840104</v>
      </c>
      <c r="F26" s="21" t="s">
        <v>13</v>
      </c>
      <c r="G26" s="27" t="s">
        <v>14</v>
      </c>
      <c r="H26" s="31">
        <f>'3. DIRCOM'!Z67</f>
        <v>19554.080000000002</v>
      </c>
      <c r="I26" s="1"/>
    </row>
    <row r="27" spans="1:9">
      <c r="A27" s="25"/>
      <c r="B27" s="3760" t="s">
        <v>28</v>
      </c>
      <c r="C27" s="3763" t="s">
        <v>11</v>
      </c>
      <c r="D27" s="3763" t="s">
        <v>24</v>
      </c>
      <c r="E27" s="30">
        <v>840104</v>
      </c>
      <c r="F27" s="21" t="s">
        <v>13</v>
      </c>
      <c r="G27" s="27" t="s">
        <v>14</v>
      </c>
      <c r="H27" s="31">
        <f>'3. DIRCOM'!Z68</f>
        <v>1135.68</v>
      </c>
      <c r="I27" s="1"/>
    </row>
    <row r="28" spans="1:9">
      <c r="A28" s="25"/>
      <c r="B28" s="3760" t="s">
        <v>28</v>
      </c>
      <c r="C28" s="3763" t="s">
        <v>11</v>
      </c>
      <c r="D28" s="3764" t="s">
        <v>20</v>
      </c>
      <c r="E28" s="33">
        <v>840107</v>
      </c>
      <c r="F28" s="36" t="s">
        <v>13</v>
      </c>
      <c r="G28" s="24" t="s">
        <v>14</v>
      </c>
      <c r="H28" s="31">
        <f>'3. DIRCOM'!Z69</f>
        <v>2800.0000000000005</v>
      </c>
      <c r="I28" s="1"/>
    </row>
    <row r="29" spans="1:9">
      <c r="A29" s="1"/>
      <c r="B29" s="3760" t="s">
        <v>33</v>
      </c>
      <c r="C29" s="3765" t="s">
        <v>11</v>
      </c>
      <c r="D29" s="3764" t="s">
        <v>34</v>
      </c>
      <c r="E29" s="30">
        <v>530106</v>
      </c>
      <c r="F29" s="21" t="s">
        <v>13</v>
      </c>
      <c r="G29" s="21" t="s">
        <v>14</v>
      </c>
      <c r="H29" s="31">
        <f>SUM('4. SG'!Z119)</f>
        <v>3360.0000000000005</v>
      </c>
      <c r="I29" s="1"/>
    </row>
    <row r="30" spans="1:9" ht="31.5">
      <c r="A30" s="1"/>
      <c r="B30" s="3760" t="s">
        <v>33</v>
      </c>
      <c r="C30" s="3765" t="s">
        <v>11</v>
      </c>
      <c r="D30" s="3764" t="s">
        <v>35</v>
      </c>
      <c r="E30" s="23">
        <v>530402</v>
      </c>
      <c r="F30" s="21" t="s">
        <v>13</v>
      </c>
      <c r="G30" s="21" t="s">
        <v>14</v>
      </c>
      <c r="H30" s="31">
        <f>SUM('4. SG'!Z120)</f>
        <v>3584.0000000000005</v>
      </c>
      <c r="I30" s="1"/>
    </row>
    <row r="31" spans="1:9">
      <c r="A31" s="1"/>
      <c r="B31" s="3760" t="s">
        <v>33</v>
      </c>
      <c r="C31" s="3765" t="s">
        <v>11</v>
      </c>
      <c r="D31" s="3764" t="s">
        <v>36</v>
      </c>
      <c r="E31" s="30">
        <v>530605</v>
      </c>
      <c r="F31" s="21" t="s">
        <v>13</v>
      </c>
      <c r="G31" s="21" t="s">
        <v>14</v>
      </c>
      <c r="H31" s="31">
        <f>SUM('4. SG'!Z121)</f>
        <v>30016.000000000004</v>
      </c>
      <c r="I31" s="1"/>
    </row>
    <row r="32" spans="1:9">
      <c r="A32" s="1"/>
      <c r="B32" s="3760" t="s">
        <v>33</v>
      </c>
      <c r="C32" s="3765" t="s">
        <v>11</v>
      </c>
      <c r="D32" s="3764" t="s">
        <v>20</v>
      </c>
      <c r="E32" s="46">
        <v>531407</v>
      </c>
      <c r="F32" s="36" t="s">
        <v>13</v>
      </c>
      <c r="G32" s="36" t="s">
        <v>14</v>
      </c>
      <c r="H32" s="31">
        <f>SUM('4. SG'!Z122)</f>
        <v>235.20000000000002</v>
      </c>
      <c r="I32" s="1"/>
    </row>
    <row r="33" spans="1:9">
      <c r="A33" s="25"/>
      <c r="B33" s="3760" t="s">
        <v>33</v>
      </c>
      <c r="C33" s="3765" t="s">
        <v>11</v>
      </c>
      <c r="D33" s="3764" t="s">
        <v>22</v>
      </c>
      <c r="E33" s="23">
        <v>840103</v>
      </c>
      <c r="F33" s="21" t="s">
        <v>13</v>
      </c>
      <c r="G33" s="27" t="s">
        <v>14</v>
      </c>
      <c r="H33" s="31">
        <f>SUM('4. SG'!Z123)</f>
        <v>235.20000000000002</v>
      </c>
      <c r="I33" s="1"/>
    </row>
    <row r="34" spans="1:9">
      <c r="A34" s="25"/>
      <c r="B34" s="3760" t="s">
        <v>33</v>
      </c>
      <c r="C34" s="3765" t="s">
        <v>11</v>
      </c>
      <c r="D34" s="3764" t="s">
        <v>22</v>
      </c>
      <c r="E34" s="23">
        <v>840103</v>
      </c>
      <c r="F34" s="21" t="s">
        <v>13</v>
      </c>
      <c r="G34" s="27" t="s">
        <v>14</v>
      </c>
      <c r="H34" s="31">
        <f>SUM('4. SG'!Z124)</f>
        <v>761.3760000000002</v>
      </c>
      <c r="I34" s="1"/>
    </row>
    <row r="35" spans="1:9">
      <c r="A35" s="25"/>
      <c r="B35" s="3760" t="s">
        <v>33</v>
      </c>
      <c r="C35" s="3765" t="s">
        <v>11</v>
      </c>
      <c r="D35" s="3763" t="s">
        <v>37</v>
      </c>
      <c r="E35" s="30">
        <v>840104</v>
      </c>
      <c r="F35" s="21" t="s">
        <v>13</v>
      </c>
      <c r="G35" s="27" t="s">
        <v>14</v>
      </c>
      <c r="H35" s="31">
        <f>SUM('4. SG'!Z125)</f>
        <v>3360</v>
      </c>
      <c r="I35" s="1"/>
    </row>
    <row r="36" spans="1:9">
      <c r="A36" s="25"/>
      <c r="B36" s="3760" t="s">
        <v>33</v>
      </c>
      <c r="C36" s="3765" t="s">
        <v>11</v>
      </c>
      <c r="D36" s="3764" t="s">
        <v>20</v>
      </c>
      <c r="E36" s="46">
        <v>840107</v>
      </c>
      <c r="F36" s="36" t="s">
        <v>13</v>
      </c>
      <c r="G36" s="24" t="s">
        <v>14</v>
      </c>
      <c r="H36" s="31">
        <f>SUM('4. SG'!Z126)</f>
        <v>1868.1600000000003</v>
      </c>
      <c r="I36" s="1"/>
    </row>
    <row r="37" spans="1:9" ht="31.5">
      <c r="A37" s="1"/>
      <c r="B37" s="3760" t="s">
        <v>38</v>
      </c>
      <c r="C37" s="3763" t="s">
        <v>39</v>
      </c>
      <c r="D37" s="3889" t="s">
        <v>40</v>
      </c>
      <c r="E37" s="30">
        <v>530402</v>
      </c>
      <c r="F37" s="21" t="s">
        <v>13</v>
      </c>
      <c r="G37" s="21" t="s">
        <v>18</v>
      </c>
      <c r="H37" s="31">
        <f>'5. DPLAN'!Z123</f>
        <v>669241.99</v>
      </c>
      <c r="I37" s="1"/>
    </row>
    <row r="38" spans="1:9">
      <c r="A38" s="1"/>
      <c r="B38" s="3760" t="s">
        <v>38</v>
      </c>
      <c r="C38" s="3773" t="s">
        <v>11</v>
      </c>
      <c r="D38" s="3889" t="s">
        <v>41</v>
      </c>
      <c r="E38" s="30">
        <v>530601</v>
      </c>
      <c r="F38" s="21" t="s">
        <v>13</v>
      </c>
      <c r="G38" s="21" t="s">
        <v>14</v>
      </c>
      <c r="H38" s="31">
        <f>'5. DPLAN'!Z124</f>
        <v>15008.000000000002</v>
      </c>
      <c r="I38" s="1"/>
    </row>
    <row r="39" spans="1:9">
      <c r="A39" s="25"/>
      <c r="B39" s="3760" t="s">
        <v>38</v>
      </c>
      <c r="C39" s="3773" t="s">
        <v>11</v>
      </c>
      <c r="D39" s="3889" t="s">
        <v>22</v>
      </c>
      <c r="E39" s="30">
        <v>840103</v>
      </c>
      <c r="F39" s="21" t="s">
        <v>13</v>
      </c>
      <c r="G39" s="27" t="s">
        <v>14</v>
      </c>
      <c r="H39" s="31">
        <f>'5. DPLAN'!Z125</f>
        <v>5815.4431999999997</v>
      </c>
      <c r="I39" s="1"/>
    </row>
    <row r="40" spans="1:9" ht="31.5">
      <c r="A40" s="1"/>
      <c r="B40" s="3760" t="s">
        <v>42</v>
      </c>
      <c r="C40" s="3765" t="s">
        <v>11</v>
      </c>
      <c r="D40" s="3766" t="s">
        <v>43</v>
      </c>
      <c r="E40" s="46">
        <v>530105</v>
      </c>
      <c r="F40" s="36" t="s">
        <v>13</v>
      </c>
      <c r="G40" s="36" t="s">
        <v>14</v>
      </c>
      <c r="H40" s="31">
        <f>'6. DBUAC'!Z225</f>
        <v>28000.000000000004</v>
      </c>
      <c r="I40" s="1"/>
    </row>
    <row r="41" spans="1:9" ht="31.5">
      <c r="A41" s="1"/>
      <c r="B41" s="3760" t="s">
        <v>42</v>
      </c>
      <c r="C41" s="3765" t="s">
        <v>11</v>
      </c>
      <c r="D41" s="3766" t="s">
        <v>32</v>
      </c>
      <c r="E41" s="34">
        <v>530404</v>
      </c>
      <c r="F41" s="21" t="s">
        <v>13</v>
      </c>
      <c r="G41" s="21" t="s">
        <v>14</v>
      </c>
      <c r="H41" s="31">
        <f>'6. DBUAC'!Z226</f>
        <v>1982.4</v>
      </c>
      <c r="I41" s="1"/>
    </row>
    <row r="42" spans="1:9" ht="31.5">
      <c r="A42" s="1"/>
      <c r="B42" s="3760" t="s">
        <v>42</v>
      </c>
      <c r="C42" s="3765" t="s">
        <v>11</v>
      </c>
      <c r="D42" s="3766" t="s">
        <v>44</v>
      </c>
      <c r="E42" s="45">
        <v>530807</v>
      </c>
      <c r="F42" s="36" t="s">
        <v>13</v>
      </c>
      <c r="G42" s="36" t="s">
        <v>14</v>
      </c>
      <c r="H42" s="31">
        <f>'6. DBUAC'!Z227</f>
        <v>26320.000000000004</v>
      </c>
      <c r="I42" s="1"/>
    </row>
    <row r="43" spans="1:9" ht="31.5">
      <c r="A43" s="1"/>
      <c r="B43" s="3760" t="s">
        <v>42</v>
      </c>
      <c r="C43" s="3765" t="s">
        <v>11</v>
      </c>
      <c r="D43" s="3766" t="s">
        <v>44</v>
      </c>
      <c r="E43" s="46">
        <v>530807</v>
      </c>
      <c r="F43" s="36" t="s">
        <v>13</v>
      </c>
      <c r="G43" s="36" t="s">
        <v>14</v>
      </c>
      <c r="H43" s="31">
        <f>'6. DBUAC'!Z228</f>
        <v>425.6</v>
      </c>
      <c r="I43" s="1"/>
    </row>
    <row r="44" spans="1:9" ht="31.5">
      <c r="A44" s="1"/>
      <c r="B44" s="3760" t="s">
        <v>42</v>
      </c>
      <c r="C44" s="3765" t="s">
        <v>11</v>
      </c>
      <c r="D44" s="3765" t="s">
        <v>44</v>
      </c>
      <c r="E44" s="46">
        <v>530807</v>
      </c>
      <c r="F44" s="36" t="s">
        <v>13</v>
      </c>
      <c r="G44" s="36" t="s">
        <v>14</v>
      </c>
      <c r="H44" s="31">
        <f>'6. DBUAC'!Z229</f>
        <v>127.68</v>
      </c>
      <c r="I44" s="1"/>
    </row>
    <row r="45" spans="1:9" ht="31.5">
      <c r="A45" s="1"/>
      <c r="B45" s="3760" t="s">
        <v>42</v>
      </c>
      <c r="C45" s="3765" t="s">
        <v>11</v>
      </c>
      <c r="D45" s="3766" t="s">
        <v>45</v>
      </c>
      <c r="E45" s="3774">
        <v>530812</v>
      </c>
      <c r="F45" s="36" t="s">
        <v>13</v>
      </c>
      <c r="G45" s="36" t="s">
        <v>14</v>
      </c>
      <c r="H45" s="31">
        <f>'6. DBUAC'!Z230</f>
        <v>1567.9440000000002</v>
      </c>
      <c r="I45" s="1"/>
    </row>
    <row r="46" spans="1:9" ht="31.5">
      <c r="A46" s="1"/>
      <c r="B46" s="3760" t="s">
        <v>42</v>
      </c>
      <c r="C46" s="3765" t="s">
        <v>11</v>
      </c>
      <c r="D46" s="3766" t="s">
        <v>24</v>
      </c>
      <c r="E46" s="23">
        <v>531404</v>
      </c>
      <c r="F46" s="21" t="s">
        <v>13</v>
      </c>
      <c r="G46" s="21" t="s">
        <v>14</v>
      </c>
      <c r="H46" s="31">
        <f>'6. DBUAC'!Z231</f>
        <v>34363.672000000006</v>
      </c>
      <c r="I46" s="1"/>
    </row>
    <row r="47" spans="1:9" ht="31.5">
      <c r="A47" s="1"/>
      <c r="B47" s="3760" t="s">
        <v>42</v>
      </c>
      <c r="C47" s="3766" t="s">
        <v>29</v>
      </c>
      <c r="D47" s="3766" t="s">
        <v>24</v>
      </c>
      <c r="E47" s="23">
        <v>531404</v>
      </c>
      <c r="F47" s="21" t="s">
        <v>13</v>
      </c>
      <c r="G47" s="21" t="s">
        <v>30</v>
      </c>
      <c r="H47" s="31">
        <f>'6. DBUAC'!Z232</f>
        <v>37159.046400000007</v>
      </c>
      <c r="I47" s="1"/>
    </row>
    <row r="48" spans="1:9" ht="31.5">
      <c r="A48" s="1"/>
      <c r="B48" s="3760" t="s">
        <v>42</v>
      </c>
      <c r="C48" s="3765" t="s">
        <v>11</v>
      </c>
      <c r="D48" s="3766" t="s">
        <v>47</v>
      </c>
      <c r="E48" s="23">
        <v>531408</v>
      </c>
      <c r="F48" s="21" t="s">
        <v>13</v>
      </c>
      <c r="G48" s="21" t="s">
        <v>14</v>
      </c>
      <c r="H48" s="31">
        <f>'6. DBUAC'!Z233</f>
        <v>7078.4000000000005</v>
      </c>
      <c r="I48" s="1"/>
    </row>
    <row r="49" spans="1:9" ht="31.5">
      <c r="A49" s="25"/>
      <c r="B49" s="3760" t="s">
        <v>42</v>
      </c>
      <c r="C49" s="3766" t="s">
        <v>39</v>
      </c>
      <c r="D49" s="3766" t="s">
        <v>48</v>
      </c>
      <c r="E49" s="23">
        <v>570201</v>
      </c>
      <c r="F49" s="21" t="s">
        <v>13</v>
      </c>
      <c r="G49" s="21" t="s">
        <v>18</v>
      </c>
      <c r="H49" s="31">
        <f>'6. DBUAC'!Z234</f>
        <v>139000</v>
      </c>
      <c r="I49" s="1"/>
    </row>
    <row r="50" spans="1:9" ht="31.5">
      <c r="A50" s="25"/>
      <c r="B50" s="3760" t="s">
        <v>42</v>
      </c>
      <c r="C50" s="3766" t="s">
        <v>39</v>
      </c>
      <c r="D50" s="3765" t="s">
        <v>49</v>
      </c>
      <c r="E50" s="35">
        <v>580208</v>
      </c>
      <c r="F50" s="21" t="s">
        <v>13</v>
      </c>
      <c r="G50" s="21" t="s">
        <v>18</v>
      </c>
      <c r="H50" s="31">
        <f>'6. DBUAC'!Z235</f>
        <v>133400</v>
      </c>
      <c r="I50" s="1"/>
    </row>
    <row r="51" spans="1:9" ht="31.5">
      <c r="A51" s="1"/>
      <c r="B51" s="3760" t="s">
        <v>42</v>
      </c>
      <c r="C51" s="3766" t="s">
        <v>29</v>
      </c>
      <c r="D51" s="3766" t="s">
        <v>22</v>
      </c>
      <c r="E51" s="34">
        <v>840103</v>
      </c>
      <c r="F51" s="21" t="s">
        <v>13</v>
      </c>
      <c r="G51" s="24" t="s">
        <v>14</v>
      </c>
      <c r="H51" s="31">
        <f>'6. DBUAC'!Z236</f>
        <v>2811.2000000000003</v>
      </c>
      <c r="I51" s="1"/>
    </row>
    <row r="52" spans="1:9" ht="31.5">
      <c r="A52" s="1"/>
      <c r="B52" s="3760" t="s">
        <v>42</v>
      </c>
      <c r="C52" s="3766" t="s">
        <v>29</v>
      </c>
      <c r="D52" s="3766" t="s">
        <v>22</v>
      </c>
      <c r="E52" s="23">
        <v>840103</v>
      </c>
      <c r="F52" s="21" t="s">
        <v>13</v>
      </c>
      <c r="G52" s="24" t="s">
        <v>14</v>
      </c>
      <c r="H52" s="31">
        <f>'6. DBUAC'!Z237</f>
        <v>8359.5344000000005</v>
      </c>
      <c r="I52" s="1"/>
    </row>
    <row r="53" spans="1:9" ht="31.5">
      <c r="A53" s="1"/>
      <c r="B53" s="3760" t="s">
        <v>42</v>
      </c>
      <c r="C53" s="3766" t="s">
        <v>29</v>
      </c>
      <c r="D53" s="3766" t="s">
        <v>24</v>
      </c>
      <c r="E53" s="34">
        <v>840104</v>
      </c>
      <c r="F53" s="21" t="s">
        <v>13</v>
      </c>
      <c r="G53" s="24" t="s">
        <v>14</v>
      </c>
      <c r="H53" s="31">
        <f>'6. DBUAC'!Z238</f>
        <v>2938.4320000000002</v>
      </c>
      <c r="I53" s="1"/>
    </row>
    <row r="54" spans="1:9" ht="31.5">
      <c r="A54" s="25"/>
      <c r="B54" s="3760" t="s">
        <v>42</v>
      </c>
      <c r="C54" s="3765" t="s">
        <v>11</v>
      </c>
      <c r="D54" s="3766" t="s">
        <v>24</v>
      </c>
      <c r="E54" s="34">
        <v>840104</v>
      </c>
      <c r="F54" s="21" t="s">
        <v>13</v>
      </c>
      <c r="G54" s="27" t="s">
        <v>14</v>
      </c>
      <c r="H54" s="31">
        <f>'6. DBUAC'!Z239</f>
        <v>34910.400000000001</v>
      </c>
      <c r="I54" s="1"/>
    </row>
    <row r="55" spans="1:9" ht="31.5">
      <c r="A55" s="1"/>
      <c r="B55" s="3760" t="s">
        <v>42</v>
      </c>
      <c r="C55" s="3766" t="s">
        <v>29</v>
      </c>
      <c r="D55" s="3766" t="s">
        <v>24</v>
      </c>
      <c r="E55" s="23">
        <v>840104</v>
      </c>
      <c r="F55" s="21" t="s">
        <v>13</v>
      </c>
      <c r="G55" s="24" t="s">
        <v>14</v>
      </c>
      <c r="H55" s="31">
        <f>'6. DBUAC'!Z240</f>
        <v>1747.2000000000003</v>
      </c>
      <c r="I55" s="1"/>
    </row>
    <row r="56" spans="1:9" ht="31.5">
      <c r="A56" s="25"/>
      <c r="B56" s="3760" t="s">
        <v>42</v>
      </c>
      <c r="C56" s="3765" t="s">
        <v>11</v>
      </c>
      <c r="D56" s="3766" t="s">
        <v>20</v>
      </c>
      <c r="E56" s="45">
        <v>840107</v>
      </c>
      <c r="F56" s="36" t="s">
        <v>13</v>
      </c>
      <c r="G56" s="24" t="s">
        <v>14</v>
      </c>
      <c r="H56" s="31">
        <f>'6. DBUAC'!Z241</f>
        <v>64051.142400000004</v>
      </c>
      <c r="I56" s="1"/>
    </row>
    <row r="57" spans="1:9" ht="31.5">
      <c r="A57" s="25"/>
      <c r="B57" s="3760" t="s">
        <v>42</v>
      </c>
      <c r="C57" s="3765" t="s">
        <v>11</v>
      </c>
      <c r="D57" s="3766" t="s">
        <v>50</v>
      </c>
      <c r="E57" s="34">
        <v>840113</v>
      </c>
      <c r="F57" s="21" t="s">
        <v>13</v>
      </c>
      <c r="G57" s="27" t="s">
        <v>14</v>
      </c>
      <c r="H57" s="31">
        <f>'6. DBUAC'!Z242</f>
        <v>8999.2000000000007</v>
      </c>
      <c r="I57" s="1"/>
    </row>
    <row r="58" spans="1:9" ht="31.5">
      <c r="A58" s="1"/>
      <c r="B58" s="3760" t="s">
        <v>51</v>
      </c>
      <c r="C58" s="3762" t="s">
        <v>39</v>
      </c>
      <c r="D58" s="3764" t="s">
        <v>16</v>
      </c>
      <c r="E58" s="3774">
        <v>530402</v>
      </c>
      <c r="F58" s="21" t="s">
        <v>13</v>
      </c>
      <c r="G58" s="21" t="s">
        <v>18</v>
      </c>
      <c r="H58" s="31">
        <f>'7. DAC'!Z69</f>
        <v>6720.0000000000009</v>
      </c>
      <c r="I58" s="1"/>
    </row>
    <row r="59" spans="1:9" ht="31.5">
      <c r="A59" s="1"/>
      <c r="B59" s="3760" t="s">
        <v>51</v>
      </c>
      <c r="C59" s="3762" t="s">
        <v>11</v>
      </c>
      <c r="D59" s="3764" t="s">
        <v>16</v>
      </c>
      <c r="E59" s="3774">
        <v>530402</v>
      </c>
      <c r="F59" s="21" t="s">
        <v>13</v>
      </c>
      <c r="G59" s="21" t="s">
        <v>14</v>
      </c>
      <c r="H59" s="31">
        <f>'7. DAC'!Z70</f>
        <v>6720.0000000000009</v>
      </c>
      <c r="I59" s="1"/>
    </row>
    <row r="60" spans="1:9" ht="31.5">
      <c r="A60" s="1"/>
      <c r="B60" s="3760" t="s">
        <v>51</v>
      </c>
      <c r="C60" s="3762" t="s">
        <v>11</v>
      </c>
      <c r="D60" s="3764" t="s">
        <v>41</v>
      </c>
      <c r="E60" s="3774">
        <v>530601</v>
      </c>
      <c r="F60" s="21" t="s">
        <v>13</v>
      </c>
      <c r="G60" s="21" t="s">
        <v>14</v>
      </c>
      <c r="H60" s="31">
        <f>'7. DAC'!Z71</f>
        <v>8960</v>
      </c>
      <c r="I60" s="1"/>
    </row>
    <row r="61" spans="1:9" ht="31.5">
      <c r="A61" s="1"/>
      <c r="B61" s="3760" t="s">
        <v>51</v>
      </c>
      <c r="C61" s="3762" t="s">
        <v>11</v>
      </c>
      <c r="D61" s="3764" t="s">
        <v>54</v>
      </c>
      <c r="E61" s="3775">
        <v>530702</v>
      </c>
      <c r="F61" s="21" t="s">
        <v>13</v>
      </c>
      <c r="G61" s="21" t="s">
        <v>14</v>
      </c>
      <c r="H61" s="31">
        <f>'7. DAC'!Z72</f>
        <v>1008.0000000000001</v>
      </c>
      <c r="I61" s="1"/>
    </row>
    <row r="62" spans="1:9" ht="31.5">
      <c r="A62" s="1"/>
      <c r="B62" s="3760" t="s">
        <v>51</v>
      </c>
      <c r="C62" s="3762" t="s">
        <v>11</v>
      </c>
      <c r="D62" s="3764" t="s">
        <v>56</v>
      </c>
      <c r="E62" s="3775">
        <v>530804</v>
      </c>
      <c r="F62" s="36" t="s">
        <v>13</v>
      </c>
      <c r="G62" s="36" t="s">
        <v>14</v>
      </c>
      <c r="H62" s="31">
        <f>'7. DAC'!Z73</f>
        <v>77.28</v>
      </c>
      <c r="I62" s="1"/>
    </row>
    <row r="63" spans="1:9" ht="31.5">
      <c r="A63" s="1"/>
      <c r="B63" s="3760" t="s">
        <v>51</v>
      </c>
      <c r="C63" s="3762" t="s">
        <v>11</v>
      </c>
      <c r="D63" s="3764" t="s">
        <v>58</v>
      </c>
      <c r="E63" s="3775">
        <v>531406</v>
      </c>
      <c r="F63" s="21" t="s">
        <v>13</v>
      </c>
      <c r="G63" s="21" t="s">
        <v>14</v>
      </c>
      <c r="H63" s="31">
        <f>'7. DAC'!Z74</f>
        <v>94.080000000000013</v>
      </c>
      <c r="I63" s="1"/>
    </row>
    <row r="64" spans="1:9" ht="31.5">
      <c r="A64" s="1"/>
      <c r="B64" s="3760" t="s">
        <v>51</v>
      </c>
      <c r="C64" s="3762" t="s">
        <v>11</v>
      </c>
      <c r="D64" s="3764" t="s">
        <v>20</v>
      </c>
      <c r="E64" s="3774">
        <v>531407</v>
      </c>
      <c r="F64" s="36" t="s">
        <v>13</v>
      </c>
      <c r="G64" s="36" t="s">
        <v>14</v>
      </c>
      <c r="H64" s="31">
        <f>'7. DAC'!Z75</f>
        <v>985.60000000000014</v>
      </c>
      <c r="I64" s="1"/>
    </row>
    <row r="65" spans="1:9" ht="31.5">
      <c r="A65" s="25"/>
      <c r="B65" s="3760" t="s">
        <v>51</v>
      </c>
      <c r="C65" s="3762" t="s">
        <v>11</v>
      </c>
      <c r="D65" s="3764" t="s">
        <v>22</v>
      </c>
      <c r="E65" s="3774">
        <v>840103</v>
      </c>
      <c r="F65" s="21" t="s">
        <v>13</v>
      </c>
      <c r="G65" s="27" t="s">
        <v>14</v>
      </c>
      <c r="H65" s="31">
        <f>'7. DAC'!Z76</f>
        <v>1071.9968000000001</v>
      </c>
      <c r="I65" s="1"/>
    </row>
    <row r="66" spans="1:9" ht="31.5">
      <c r="A66" s="25"/>
      <c r="B66" s="3760" t="s">
        <v>51</v>
      </c>
      <c r="C66" s="3762" t="s">
        <v>11</v>
      </c>
      <c r="D66" s="3765" t="s">
        <v>24</v>
      </c>
      <c r="E66" s="3774">
        <v>840104</v>
      </c>
      <c r="F66" s="21" t="s">
        <v>13</v>
      </c>
      <c r="G66" s="27" t="s">
        <v>14</v>
      </c>
      <c r="H66" s="31">
        <f>'7. DAC'!Z77</f>
        <v>2882.88</v>
      </c>
      <c r="I66" s="1"/>
    </row>
    <row r="67" spans="1:9" ht="31.5">
      <c r="A67" s="25"/>
      <c r="B67" s="3760" t="s">
        <v>51</v>
      </c>
      <c r="C67" s="3762" t="s">
        <v>11</v>
      </c>
      <c r="D67" s="3764" t="s">
        <v>62</v>
      </c>
      <c r="E67" s="3774">
        <v>840107</v>
      </c>
      <c r="F67" s="36" t="s">
        <v>13</v>
      </c>
      <c r="G67" s="24" t="s">
        <v>14</v>
      </c>
      <c r="H67" s="31">
        <f>'7. DAC'!Z78</f>
        <v>2934.4</v>
      </c>
      <c r="I67" s="1"/>
    </row>
    <row r="68" spans="1:9" ht="63">
      <c r="A68" s="1"/>
      <c r="B68" s="3760" t="s">
        <v>64</v>
      </c>
      <c r="C68" s="3765" t="s">
        <v>17</v>
      </c>
      <c r="D68" s="3890" t="s">
        <v>26</v>
      </c>
      <c r="E68" s="23">
        <v>530204</v>
      </c>
      <c r="F68" s="21" t="s">
        <v>13</v>
      </c>
      <c r="G68" s="21" t="s">
        <v>18</v>
      </c>
      <c r="H68" s="31">
        <f>'8. VIVP'!Z168</f>
        <v>7280.0000000000009</v>
      </c>
      <c r="I68" s="1"/>
    </row>
    <row r="69" spans="1:9" ht="63">
      <c r="A69" s="1"/>
      <c r="B69" s="3760" t="s">
        <v>64</v>
      </c>
      <c r="C69" s="3765" t="s">
        <v>29</v>
      </c>
      <c r="D69" s="3890" t="s">
        <v>26</v>
      </c>
      <c r="E69" s="23">
        <v>530204</v>
      </c>
      <c r="F69" s="21" t="s">
        <v>13</v>
      </c>
      <c r="G69" s="21" t="s">
        <v>30</v>
      </c>
      <c r="H69" s="31">
        <f>'8. VIVP'!Z169</f>
        <v>8960</v>
      </c>
      <c r="I69" s="1"/>
    </row>
    <row r="70" spans="1:9" ht="31.5">
      <c r="A70" s="1"/>
      <c r="B70" s="3760" t="s">
        <v>64</v>
      </c>
      <c r="C70" s="3765" t="s">
        <v>29</v>
      </c>
      <c r="D70" s="3890" t="s">
        <v>27</v>
      </c>
      <c r="E70" s="23">
        <v>530239</v>
      </c>
      <c r="F70" s="21" t="s">
        <v>13</v>
      </c>
      <c r="G70" s="21" t="s">
        <v>30</v>
      </c>
      <c r="H70" s="31">
        <f>'8. VIVP'!Z170</f>
        <v>560</v>
      </c>
      <c r="I70" s="1"/>
    </row>
    <row r="71" spans="1:9" ht="31.5">
      <c r="A71" s="1"/>
      <c r="B71" s="3760" t="s">
        <v>64</v>
      </c>
      <c r="C71" s="3765" t="s">
        <v>17</v>
      </c>
      <c r="D71" s="3890" t="s">
        <v>65</v>
      </c>
      <c r="E71" s="23">
        <v>530302</v>
      </c>
      <c r="F71" s="21" t="s">
        <v>13</v>
      </c>
      <c r="G71" s="21" t="s">
        <v>18</v>
      </c>
      <c r="H71" s="31">
        <f>'8. VIVP'!Z171</f>
        <v>5040.0000000000009</v>
      </c>
      <c r="I71" s="1"/>
    </row>
    <row r="72" spans="1:9" ht="31.5">
      <c r="A72" s="1"/>
      <c r="B72" s="3760" t="s">
        <v>64</v>
      </c>
      <c r="C72" s="3765" t="s">
        <v>17</v>
      </c>
      <c r="D72" s="3890" t="s">
        <v>12</v>
      </c>
      <c r="E72" s="23">
        <v>530304</v>
      </c>
      <c r="F72" s="21" t="s">
        <v>13</v>
      </c>
      <c r="G72" s="21" t="s">
        <v>18</v>
      </c>
      <c r="H72" s="31">
        <f>'8. VIVP'!Z172</f>
        <v>3920.0000000000005</v>
      </c>
      <c r="I72" s="1"/>
    </row>
    <row r="73" spans="1:9" ht="31.5">
      <c r="A73" s="1"/>
      <c r="B73" s="3760" t="s">
        <v>64</v>
      </c>
      <c r="C73" s="3765" t="s">
        <v>17</v>
      </c>
      <c r="D73" s="3766" t="s">
        <v>66</v>
      </c>
      <c r="E73" s="23">
        <v>530612</v>
      </c>
      <c r="F73" s="21" t="s">
        <v>13</v>
      </c>
      <c r="G73" s="21" t="s">
        <v>30</v>
      </c>
      <c r="H73" s="31">
        <f>'8. VIVP'!Z173</f>
        <v>12320.000000000002</v>
      </c>
      <c r="I73" s="37"/>
    </row>
    <row r="74" spans="1:9" ht="31.5">
      <c r="A74" s="1"/>
      <c r="B74" s="3760" t="s">
        <v>64</v>
      </c>
      <c r="C74" s="3765" t="s">
        <v>17</v>
      </c>
      <c r="D74" s="3890" t="s">
        <v>67</v>
      </c>
      <c r="E74" s="23">
        <v>530702</v>
      </c>
      <c r="F74" s="21" t="s">
        <v>13</v>
      </c>
      <c r="G74" s="21" t="s">
        <v>30</v>
      </c>
      <c r="H74" s="31">
        <f>'8. VIVP'!Z174</f>
        <v>8232.0000000000018</v>
      </c>
      <c r="I74" s="1"/>
    </row>
    <row r="75" spans="1:9" ht="31.5">
      <c r="A75" s="1"/>
      <c r="B75" s="3760" t="s">
        <v>64</v>
      </c>
      <c r="C75" s="3765" t="s">
        <v>29</v>
      </c>
      <c r="D75" s="3890" t="s">
        <v>67</v>
      </c>
      <c r="E75" s="23">
        <v>530702</v>
      </c>
      <c r="F75" s="21" t="s">
        <v>13</v>
      </c>
      <c r="G75" s="21" t="s">
        <v>18</v>
      </c>
      <c r="H75" s="31">
        <f>'8. VIVP'!Z175</f>
        <v>1398.88</v>
      </c>
      <c r="I75" s="1"/>
    </row>
    <row r="76" spans="1:9" ht="31.5">
      <c r="A76" s="1"/>
      <c r="B76" s="3760" t="s">
        <v>64</v>
      </c>
      <c r="C76" s="3765" t="s">
        <v>29</v>
      </c>
      <c r="D76" s="3766" t="s">
        <v>68</v>
      </c>
      <c r="E76" s="23">
        <v>570102</v>
      </c>
      <c r="F76" s="21" t="s">
        <v>13</v>
      </c>
      <c r="G76" s="21" t="s">
        <v>14</v>
      </c>
      <c r="H76" s="31">
        <f>'8. VIVP'!Z176</f>
        <v>1120</v>
      </c>
      <c r="I76" s="1"/>
    </row>
    <row r="77" spans="1:9" ht="31.5">
      <c r="A77" s="25"/>
      <c r="B77" s="3760" t="s">
        <v>64</v>
      </c>
      <c r="C77" s="3765" t="s">
        <v>17</v>
      </c>
      <c r="D77" s="3766" t="s">
        <v>24</v>
      </c>
      <c r="E77" s="23">
        <v>840104</v>
      </c>
      <c r="F77" s="21" t="s">
        <v>13</v>
      </c>
      <c r="G77" s="27" t="s">
        <v>14</v>
      </c>
      <c r="H77" s="31">
        <f>'8. VIVP'!Z177</f>
        <v>4278.4000000000005</v>
      </c>
      <c r="I77" s="1"/>
    </row>
    <row r="78" spans="1:9" ht="31.5">
      <c r="A78" s="25"/>
      <c r="B78" s="3760" t="s">
        <v>64</v>
      </c>
      <c r="C78" s="3765" t="s">
        <v>17</v>
      </c>
      <c r="D78" s="3766" t="s">
        <v>20</v>
      </c>
      <c r="E78" s="23">
        <v>840107</v>
      </c>
      <c r="F78" s="21" t="s">
        <v>13</v>
      </c>
      <c r="G78" s="27" t="s">
        <v>14</v>
      </c>
      <c r="H78" s="31">
        <f>'8. VIVP'!Z178</f>
        <v>13523.260800000002</v>
      </c>
      <c r="I78" s="1"/>
    </row>
    <row r="79" spans="1:9" ht="63">
      <c r="A79" s="1"/>
      <c r="B79" s="3891" t="s">
        <v>69</v>
      </c>
      <c r="C79" s="3766" t="s">
        <v>17</v>
      </c>
      <c r="D79" s="3890" t="s">
        <v>26</v>
      </c>
      <c r="E79" s="23">
        <v>530204</v>
      </c>
      <c r="F79" s="21" t="s">
        <v>13</v>
      </c>
      <c r="G79" s="21" t="s">
        <v>18</v>
      </c>
      <c r="H79" s="31">
        <f>SUM('9. DIDI'!Z228)</f>
        <v>168000.00000000003</v>
      </c>
      <c r="I79" s="1"/>
    </row>
    <row r="80" spans="1:9" ht="31.5">
      <c r="A80" s="1"/>
      <c r="B80" s="3891" t="s">
        <v>69</v>
      </c>
      <c r="C80" s="3766" t="s">
        <v>17</v>
      </c>
      <c r="D80" s="3890" t="s">
        <v>70</v>
      </c>
      <c r="E80" s="38">
        <v>530303</v>
      </c>
      <c r="F80" s="21" t="s">
        <v>13</v>
      </c>
      <c r="G80" s="21" t="s">
        <v>18</v>
      </c>
      <c r="H80" s="31">
        <f>SUM('9. DIDI'!Z229)</f>
        <v>1120</v>
      </c>
      <c r="I80" s="1"/>
    </row>
    <row r="81" spans="1:9" ht="31.5">
      <c r="A81" s="1"/>
      <c r="B81" s="3891" t="s">
        <v>69</v>
      </c>
      <c r="C81" s="3766" t="s">
        <v>17</v>
      </c>
      <c r="D81" s="3890" t="s">
        <v>12</v>
      </c>
      <c r="E81" s="38">
        <v>530304</v>
      </c>
      <c r="F81" s="21" t="s">
        <v>13</v>
      </c>
      <c r="G81" s="21" t="s">
        <v>18</v>
      </c>
      <c r="H81" s="31">
        <f>SUM('9. DIDI'!Z230)</f>
        <v>1680.0000000000002</v>
      </c>
      <c r="I81" s="1"/>
    </row>
    <row r="82" spans="1:9" ht="31.5">
      <c r="A82" s="1"/>
      <c r="B82" s="3891" t="s">
        <v>69</v>
      </c>
      <c r="C82" s="3766" t="s">
        <v>17</v>
      </c>
      <c r="D82" s="3766" t="s">
        <v>71</v>
      </c>
      <c r="E82" s="38">
        <v>530609</v>
      </c>
      <c r="F82" s="21" t="s">
        <v>13</v>
      </c>
      <c r="G82" s="21" t="s">
        <v>18</v>
      </c>
      <c r="H82" s="31">
        <f>SUM('9. DIDI'!Z231)</f>
        <v>3360.0000000000005</v>
      </c>
      <c r="I82" s="1"/>
    </row>
    <row r="83" spans="1:9" ht="31.5">
      <c r="A83" s="1"/>
      <c r="B83" s="3891" t="s">
        <v>69</v>
      </c>
      <c r="C83" s="3766" t="s">
        <v>17</v>
      </c>
      <c r="D83" s="3890" t="s">
        <v>67</v>
      </c>
      <c r="E83" s="38">
        <v>530702</v>
      </c>
      <c r="F83" s="21" t="s">
        <v>13</v>
      </c>
      <c r="G83" s="21" t="s">
        <v>30</v>
      </c>
      <c r="H83" s="31">
        <f>SUM('9. DIDI'!Z232)</f>
        <v>20720.000000000004</v>
      </c>
      <c r="I83" s="1"/>
    </row>
    <row r="84" spans="1:9" ht="31.5">
      <c r="A84" s="1"/>
      <c r="B84" s="3891" t="s">
        <v>69</v>
      </c>
      <c r="C84" s="3766" t="s">
        <v>17</v>
      </c>
      <c r="D84" s="3766" t="s">
        <v>72</v>
      </c>
      <c r="E84" s="38">
        <v>530810</v>
      </c>
      <c r="F84" s="21" t="s">
        <v>13</v>
      </c>
      <c r="G84" s="21" t="s">
        <v>18</v>
      </c>
      <c r="H84" s="31">
        <f>SUM('9. DIDI'!Z233)</f>
        <v>1120</v>
      </c>
      <c r="I84" s="1"/>
    </row>
    <row r="85" spans="1:9" ht="31.5">
      <c r="A85" s="1"/>
      <c r="B85" s="3891" t="s">
        <v>69</v>
      </c>
      <c r="C85" s="3766" t="s">
        <v>17</v>
      </c>
      <c r="D85" s="3766" t="s">
        <v>73</v>
      </c>
      <c r="E85" s="38">
        <v>530829</v>
      </c>
      <c r="F85" s="21" t="s">
        <v>13</v>
      </c>
      <c r="G85" s="21" t="s">
        <v>30</v>
      </c>
      <c r="H85" s="31">
        <f>SUM('9. DIDI'!Z234)</f>
        <v>3360.0000000000005</v>
      </c>
      <c r="I85" s="1"/>
    </row>
    <row r="86" spans="1:9" ht="31.5">
      <c r="A86" s="1"/>
      <c r="B86" s="3891" t="s">
        <v>69</v>
      </c>
      <c r="C86" s="3766" t="s">
        <v>17</v>
      </c>
      <c r="D86" s="3766" t="s">
        <v>24</v>
      </c>
      <c r="E86" s="38">
        <v>531404</v>
      </c>
      <c r="F86" s="21" t="s">
        <v>13</v>
      </c>
      <c r="G86" s="21" t="s">
        <v>30</v>
      </c>
      <c r="H86" s="31">
        <f>SUM('9. DIDI'!Z235)</f>
        <v>2240</v>
      </c>
      <c r="I86" s="1"/>
    </row>
    <row r="87" spans="1:9" ht="31.5">
      <c r="A87" s="1"/>
      <c r="B87" s="3891" t="s">
        <v>69</v>
      </c>
      <c r="C87" s="3766" t="s">
        <v>17</v>
      </c>
      <c r="D87" s="3766" t="s">
        <v>74</v>
      </c>
      <c r="E87" s="38">
        <v>531406</v>
      </c>
      <c r="F87" s="21" t="s">
        <v>13</v>
      </c>
      <c r="G87" s="21" t="s">
        <v>30</v>
      </c>
      <c r="H87" s="31">
        <f>SUM('9. DIDI'!Z236)</f>
        <v>1680.0000000000002</v>
      </c>
      <c r="I87" s="1"/>
    </row>
    <row r="88" spans="1:9" ht="31.5">
      <c r="A88" s="1"/>
      <c r="B88" s="3891" t="s">
        <v>69</v>
      </c>
      <c r="C88" s="3766" t="s">
        <v>17</v>
      </c>
      <c r="D88" s="3766" t="s">
        <v>20</v>
      </c>
      <c r="E88" s="38">
        <v>531407</v>
      </c>
      <c r="F88" s="21" t="s">
        <v>13</v>
      </c>
      <c r="G88" s="21" t="s">
        <v>30</v>
      </c>
      <c r="H88" s="31">
        <f>SUM('9. DIDI'!Z237)</f>
        <v>784.00000000000011</v>
      </c>
      <c r="I88" s="1"/>
    </row>
    <row r="89" spans="1:9" ht="31.5">
      <c r="A89" s="1"/>
      <c r="B89" s="3891" t="s">
        <v>69</v>
      </c>
      <c r="C89" s="3766" t="s">
        <v>17</v>
      </c>
      <c r="D89" s="3766" t="s">
        <v>75</v>
      </c>
      <c r="E89" s="23">
        <v>531409</v>
      </c>
      <c r="F89" s="21" t="s">
        <v>13</v>
      </c>
      <c r="G89" s="21" t="s">
        <v>30</v>
      </c>
      <c r="H89" s="31">
        <f>SUM('9. DIDI'!Z238)</f>
        <v>28000.000000000004</v>
      </c>
      <c r="I89" s="1"/>
    </row>
    <row r="90" spans="1:9" ht="31.5">
      <c r="A90" s="25"/>
      <c r="B90" s="3891" t="s">
        <v>69</v>
      </c>
      <c r="C90" s="3766" t="s">
        <v>17</v>
      </c>
      <c r="D90" s="3890" t="s">
        <v>49</v>
      </c>
      <c r="E90" s="38">
        <v>580208</v>
      </c>
      <c r="F90" s="21" t="s">
        <v>13</v>
      </c>
      <c r="G90" s="21" t="s">
        <v>18</v>
      </c>
      <c r="H90" s="31">
        <f>SUM('9. DIDI'!Z239)</f>
        <v>88655.82</v>
      </c>
      <c r="I90" s="1"/>
    </row>
    <row r="91" spans="1:9" ht="31.5">
      <c r="A91" s="25"/>
      <c r="B91" s="3891" t="s">
        <v>69</v>
      </c>
      <c r="C91" s="3766" t="s">
        <v>17</v>
      </c>
      <c r="D91" s="3766" t="s">
        <v>24</v>
      </c>
      <c r="E91" s="38">
        <v>840104</v>
      </c>
      <c r="F91" s="21" t="s">
        <v>13</v>
      </c>
      <c r="G91" s="27" t="s">
        <v>14</v>
      </c>
      <c r="H91" s="31">
        <f>SUM('9. DIDI'!Z240)</f>
        <v>1680.0000000000002</v>
      </c>
      <c r="I91" s="1"/>
    </row>
    <row r="92" spans="1:9" ht="31.5">
      <c r="A92" s="25"/>
      <c r="B92" s="3891" t="s">
        <v>69</v>
      </c>
      <c r="C92" s="3766" t="s">
        <v>17</v>
      </c>
      <c r="D92" s="3766" t="s">
        <v>20</v>
      </c>
      <c r="E92" s="38">
        <v>840107</v>
      </c>
      <c r="F92" s="21" t="s">
        <v>13</v>
      </c>
      <c r="G92" s="27" t="s">
        <v>14</v>
      </c>
      <c r="H92" s="31">
        <f>SUM('9. DIDI'!Z241)</f>
        <v>2240</v>
      </c>
      <c r="I92" s="1"/>
    </row>
    <row r="93" spans="1:9">
      <c r="A93" s="1"/>
      <c r="B93" s="3891" t="s">
        <v>76</v>
      </c>
      <c r="C93" s="3765" t="s">
        <v>39</v>
      </c>
      <c r="D93" s="3766" t="s">
        <v>31</v>
      </c>
      <c r="E93" s="23">
        <v>530207</v>
      </c>
      <c r="F93" s="21" t="s">
        <v>13</v>
      </c>
      <c r="G93" s="21" t="s">
        <v>18</v>
      </c>
      <c r="H93" s="31">
        <f>'10. DPOS'!Y53</f>
        <v>2710.4</v>
      </c>
      <c r="I93" s="1"/>
    </row>
    <row r="94" spans="1:9" ht="31.5">
      <c r="A94" s="1"/>
      <c r="B94" s="3891" t="s">
        <v>76</v>
      </c>
      <c r="C94" s="3765" t="s">
        <v>39</v>
      </c>
      <c r="D94" s="3766" t="s">
        <v>44</v>
      </c>
      <c r="E94" s="23">
        <v>530807</v>
      </c>
      <c r="F94" s="21" t="s">
        <v>77</v>
      </c>
      <c r="G94" s="21" t="s">
        <v>18</v>
      </c>
      <c r="H94" s="31">
        <f>'10. DPOS'!Y54</f>
        <v>1509.8720000000001</v>
      </c>
      <c r="I94" s="1"/>
    </row>
    <row r="95" spans="1:9">
      <c r="A95" s="25"/>
      <c r="B95" s="3891" t="s">
        <v>76</v>
      </c>
      <c r="C95" s="3765" t="s">
        <v>39</v>
      </c>
      <c r="D95" s="3766" t="s">
        <v>22</v>
      </c>
      <c r="E95" s="23">
        <v>840103</v>
      </c>
      <c r="F95" s="21" t="s">
        <v>13</v>
      </c>
      <c r="G95" s="27" t="s">
        <v>14</v>
      </c>
      <c r="H95" s="31">
        <f>'10. DPOS'!Y55</f>
        <v>1145.2447999999999</v>
      </c>
      <c r="I95" s="1"/>
    </row>
    <row r="96" spans="1:9">
      <c r="A96" s="25"/>
      <c r="B96" s="3891" t="s">
        <v>76</v>
      </c>
      <c r="C96" s="3765" t="s">
        <v>39</v>
      </c>
      <c r="D96" s="3766" t="s">
        <v>22</v>
      </c>
      <c r="E96" s="23">
        <v>840103</v>
      </c>
      <c r="F96" s="21" t="s">
        <v>13</v>
      </c>
      <c r="G96" s="27" t="s">
        <v>14</v>
      </c>
      <c r="H96" s="31">
        <f>'10. DPOS'!Y56</f>
        <v>1304.576</v>
      </c>
      <c r="I96" s="1"/>
    </row>
    <row r="97" spans="1:9">
      <c r="A97" s="25"/>
      <c r="B97" s="3891" t="s">
        <v>76</v>
      </c>
      <c r="C97" s="3765" t="s">
        <v>39</v>
      </c>
      <c r="D97" s="3766" t="s">
        <v>22</v>
      </c>
      <c r="E97" s="23">
        <v>840103</v>
      </c>
      <c r="F97" s="21" t="s">
        <v>13</v>
      </c>
      <c r="G97" s="27" t="s">
        <v>14</v>
      </c>
      <c r="H97" s="31">
        <f>'10. DPOS'!Y57</f>
        <v>443.34390719999999</v>
      </c>
      <c r="I97" s="1"/>
    </row>
    <row r="98" spans="1:9">
      <c r="A98" s="25"/>
      <c r="B98" s="3891" t="s">
        <v>76</v>
      </c>
      <c r="C98" s="3765" t="s">
        <v>39</v>
      </c>
      <c r="D98" s="3766" t="s">
        <v>20</v>
      </c>
      <c r="E98" s="23">
        <v>840107</v>
      </c>
      <c r="F98" s="21" t="s">
        <v>13</v>
      </c>
      <c r="G98" s="27" t="s">
        <v>14</v>
      </c>
      <c r="H98" s="31">
        <f>'10. DPOS'!Y58</f>
        <v>1487.3040000000001</v>
      </c>
      <c r="I98" s="1"/>
    </row>
    <row r="99" spans="1:9">
      <c r="A99" s="25"/>
      <c r="B99" s="3891" t="s">
        <v>76</v>
      </c>
      <c r="C99" s="3765" t="s">
        <v>39</v>
      </c>
      <c r="D99" s="3766" t="s">
        <v>20</v>
      </c>
      <c r="E99" s="23">
        <v>840107</v>
      </c>
      <c r="F99" s="21" t="s">
        <v>13</v>
      </c>
      <c r="G99" s="27" t="s">
        <v>14</v>
      </c>
      <c r="H99" s="31">
        <f>'10. DPOS'!Y59</f>
        <v>380.464</v>
      </c>
      <c r="I99" s="1"/>
    </row>
    <row r="100" spans="1:9">
      <c r="A100" s="1"/>
      <c r="B100" s="3891" t="s">
        <v>78</v>
      </c>
      <c r="C100" s="3763" t="s">
        <v>29</v>
      </c>
      <c r="D100" s="3764" t="s">
        <v>27</v>
      </c>
      <c r="E100" s="30">
        <v>530239</v>
      </c>
      <c r="F100" s="21" t="s">
        <v>13</v>
      </c>
      <c r="G100" s="21" t="s">
        <v>30</v>
      </c>
      <c r="H100" s="31">
        <f>'11. DV'!Z250</f>
        <v>3334.9120000000003</v>
      </c>
      <c r="I100" s="1"/>
    </row>
    <row r="101" spans="1:9">
      <c r="A101" s="1"/>
      <c r="B101" s="3891" t="s">
        <v>78</v>
      </c>
      <c r="C101" s="3763" t="s">
        <v>29</v>
      </c>
      <c r="D101" s="3764" t="s">
        <v>79</v>
      </c>
      <c r="E101" s="30">
        <v>530301</v>
      </c>
      <c r="F101" s="21" t="s">
        <v>13</v>
      </c>
      <c r="G101" s="21" t="s">
        <v>30</v>
      </c>
      <c r="H101" s="31">
        <f>'11. DV'!Z251</f>
        <v>1344.0000000000002</v>
      </c>
      <c r="I101" s="1"/>
    </row>
    <row r="102" spans="1:9">
      <c r="A102" s="1"/>
      <c r="B102" s="3891" t="s">
        <v>78</v>
      </c>
      <c r="C102" s="3763" t="s">
        <v>29</v>
      </c>
      <c r="D102" s="3766" t="s">
        <v>80</v>
      </c>
      <c r="E102" s="30">
        <v>530302</v>
      </c>
      <c r="F102" s="21" t="s">
        <v>13</v>
      </c>
      <c r="G102" s="21" t="s">
        <v>30</v>
      </c>
      <c r="H102" s="31">
        <f>'11. DV'!Z252</f>
        <v>3584.0000000000005</v>
      </c>
      <c r="I102" s="1"/>
    </row>
    <row r="103" spans="1:9">
      <c r="A103" s="1"/>
      <c r="B103" s="3891" t="s">
        <v>78</v>
      </c>
      <c r="C103" s="3763" t="s">
        <v>29</v>
      </c>
      <c r="D103" s="3766" t="s">
        <v>80</v>
      </c>
      <c r="E103" s="30">
        <v>530302</v>
      </c>
      <c r="F103" s="21" t="s">
        <v>13</v>
      </c>
      <c r="G103" s="21" t="s">
        <v>30</v>
      </c>
      <c r="H103" s="31">
        <f>'11. DV'!Z253</f>
        <v>1120</v>
      </c>
      <c r="I103" s="1"/>
    </row>
    <row r="104" spans="1:9" ht="16.5">
      <c r="A104" s="1"/>
      <c r="B104" s="3891" t="s">
        <v>78</v>
      </c>
      <c r="C104" s="3763" t="s">
        <v>29</v>
      </c>
      <c r="D104" s="3766" t="s">
        <v>80</v>
      </c>
      <c r="E104" s="39">
        <v>530302</v>
      </c>
      <c r="F104" s="21" t="s">
        <v>13</v>
      </c>
      <c r="G104" s="21" t="s">
        <v>30</v>
      </c>
      <c r="H104" s="31">
        <f>'11. DV'!Z254</f>
        <v>3360.0000000000005</v>
      </c>
      <c r="I104" s="37"/>
    </row>
    <row r="105" spans="1:9" ht="47.25">
      <c r="A105" s="1"/>
      <c r="B105" s="3891" t="s">
        <v>78</v>
      </c>
      <c r="C105" s="3763" t="s">
        <v>29</v>
      </c>
      <c r="D105" s="3764" t="s">
        <v>81</v>
      </c>
      <c r="E105" s="30">
        <v>530307</v>
      </c>
      <c r="F105" s="21" t="s">
        <v>13</v>
      </c>
      <c r="G105" s="21" t="s">
        <v>30</v>
      </c>
      <c r="H105" s="31">
        <f>'11. DV'!Z255</f>
        <v>2121.2800000000002</v>
      </c>
      <c r="I105" s="1"/>
    </row>
    <row r="106" spans="1:9">
      <c r="A106" s="1"/>
      <c r="B106" s="3891" t="s">
        <v>78</v>
      </c>
      <c r="C106" s="3763" t="s">
        <v>29</v>
      </c>
      <c r="D106" s="3764" t="s">
        <v>66</v>
      </c>
      <c r="E106" s="30">
        <v>530612</v>
      </c>
      <c r="F106" s="21" t="s">
        <v>13</v>
      </c>
      <c r="G106" s="21" t="s">
        <v>30</v>
      </c>
      <c r="H106" s="31">
        <f>'11. DV'!Z256</f>
        <v>5600.0000000000009</v>
      </c>
      <c r="I106" s="1"/>
    </row>
    <row r="107" spans="1:9">
      <c r="A107" s="1"/>
      <c r="B107" s="3891" t="s">
        <v>78</v>
      </c>
      <c r="C107" s="3763" t="s">
        <v>29</v>
      </c>
      <c r="D107" s="3764" t="s">
        <v>66</v>
      </c>
      <c r="E107" s="30">
        <v>530612</v>
      </c>
      <c r="F107" s="21" t="s">
        <v>13</v>
      </c>
      <c r="G107" s="21" t="s">
        <v>30</v>
      </c>
      <c r="H107" s="31">
        <f>'11. DV'!Z257</f>
        <v>12320</v>
      </c>
      <c r="I107" s="1"/>
    </row>
    <row r="108" spans="1:9" ht="31.5">
      <c r="A108" s="1"/>
      <c r="B108" s="3891" t="s">
        <v>78</v>
      </c>
      <c r="C108" s="3763" t="s">
        <v>29</v>
      </c>
      <c r="D108" s="3766" t="s">
        <v>19</v>
      </c>
      <c r="E108" s="30">
        <v>530704</v>
      </c>
      <c r="F108" s="21" t="s">
        <v>13</v>
      </c>
      <c r="G108" s="21" t="s">
        <v>30</v>
      </c>
      <c r="H108" s="31">
        <f>'11. DV'!Z258</f>
        <v>3584.0000000000005</v>
      </c>
      <c r="I108" s="1"/>
    </row>
    <row r="109" spans="1:9">
      <c r="A109" s="1"/>
      <c r="B109" s="3891" t="s">
        <v>78</v>
      </c>
      <c r="C109" s="3763" t="s">
        <v>29</v>
      </c>
      <c r="D109" s="3764" t="s">
        <v>20</v>
      </c>
      <c r="E109" s="30">
        <v>531407</v>
      </c>
      <c r="F109" s="21" t="s">
        <v>13</v>
      </c>
      <c r="G109" s="21" t="s">
        <v>18</v>
      </c>
      <c r="H109" s="40">
        <v>56.95</v>
      </c>
      <c r="I109" s="1"/>
    </row>
    <row r="110" spans="1:9">
      <c r="A110" s="1"/>
      <c r="B110" s="3891" t="s">
        <v>78</v>
      </c>
      <c r="C110" s="3765" t="s">
        <v>29</v>
      </c>
      <c r="D110" s="3764" t="s">
        <v>20</v>
      </c>
      <c r="E110" s="30">
        <v>531407</v>
      </c>
      <c r="F110" s="21" t="s">
        <v>13</v>
      </c>
      <c r="G110" s="21" t="s">
        <v>30</v>
      </c>
      <c r="H110" s="41">
        <v>1037.1410000000001</v>
      </c>
      <c r="I110" s="1"/>
    </row>
    <row r="111" spans="1:9">
      <c r="A111" s="1"/>
      <c r="B111" s="3891" t="s">
        <v>78</v>
      </c>
      <c r="C111" s="3765" t="s">
        <v>29</v>
      </c>
      <c r="D111" s="3764" t="s">
        <v>20</v>
      </c>
      <c r="E111" s="30">
        <v>531407</v>
      </c>
      <c r="F111" s="21" t="s">
        <v>13</v>
      </c>
      <c r="G111" s="21" t="s">
        <v>14</v>
      </c>
      <c r="H111" s="40">
        <v>171.50899999999999</v>
      </c>
      <c r="I111" s="1"/>
    </row>
    <row r="112" spans="1:9">
      <c r="A112" s="1"/>
      <c r="B112" s="3891" t="s">
        <v>78</v>
      </c>
      <c r="C112" s="3763" t="s">
        <v>29</v>
      </c>
      <c r="D112" s="3766" t="s">
        <v>22</v>
      </c>
      <c r="E112" s="30">
        <v>840103</v>
      </c>
      <c r="F112" s="21" t="s">
        <v>13</v>
      </c>
      <c r="G112" s="24" t="s">
        <v>14</v>
      </c>
      <c r="H112" s="31">
        <f>'11. DV'!Z260</f>
        <v>533.12</v>
      </c>
      <c r="I112" s="1"/>
    </row>
    <row r="113" spans="1:9">
      <c r="A113" s="1"/>
      <c r="B113" s="3891" t="s">
        <v>78</v>
      </c>
      <c r="C113" s="3763" t="s">
        <v>29</v>
      </c>
      <c r="D113" s="3764" t="s">
        <v>22</v>
      </c>
      <c r="E113" s="30">
        <v>840103</v>
      </c>
      <c r="F113" s="21" t="s">
        <v>13</v>
      </c>
      <c r="G113" s="24" t="s">
        <v>14</v>
      </c>
      <c r="H113" s="31">
        <f>'11. DV'!Z261</f>
        <v>533.12</v>
      </c>
      <c r="I113" s="1"/>
    </row>
    <row r="114" spans="1:9">
      <c r="A114" s="1"/>
      <c r="B114" s="3891" t="s">
        <v>78</v>
      </c>
      <c r="C114" s="3763" t="s">
        <v>29</v>
      </c>
      <c r="D114" s="3764" t="s">
        <v>22</v>
      </c>
      <c r="E114" s="30">
        <v>840103</v>
      </c>
      <c r="F114" s="21" t="s">
        <v>13</v>
      </c>
      <c r="G114" s="24" t="s">
        <v>14</v>
      </c>
      <c r="H114" s="31">
        <f>'11. DV'!Z262</f>
        <v>1066.24</v>
      </c>
      <c r="I114" s="1"/>
    </row>
    <row r="115" spans="1:9">
      <c r="A115" s="1"/>
      <c r="B115" s="3891" t="s">
        <v>78</v>
      </c>
      <c r="C115" s="3763" t="s">
        <v>29</v>
      </c>
      <c r="D115" s="3766" t="s">
        <v>24</v>
      </c>
      <c r="E115" s="30">
        <v>840104</v>
      </c>
      <c r="F115" s="21" t="s">
        <v>13</v>
      </c>
      <c r="G115" s="24" t="s">
        <v>14</v>
      </c>
      <c r="H115" s="31">
        <f>'11. DV'!Z263</f>
        <v>1581.44</v>
      </c>
      <c r="I115" s="1"/>
    </row>
    <row r="116" spans="1:9" ht="16.5">
      <c r="A116" s="1"/>
      <c r="B116" s="3891" t="s">
        <v>78</v>
      </c>
      <c r="C116" s="3763" t="s">
        <v>29</v>
      </c>
      <c r="D116" s="3766" t="s">
        <v>24</v>
      </c>
      <c r="E116" s="30">
        <v>840104</v>
      </c>
      <c r="F116" s="21" t="s">
        <v>13</v>
      </c>
      <c r="G116" s="24" t="s">
        <v>14</v>
      </c>
      <c r="H116" s="31">
        <f>'11. DV'!Z264</f>
        <v>1581.44</v>
      </c>
      <c r="I116" s="37"/>
    </row>
    <row r="117" spans="1:9">
      <c r="A117" s="1"/>
      <c r="B117" s="3891" t="s">
        <v>78</v>
      </c>
      <c r="C117" s="3763" t="s">
        <v>29</v>
      </c>
      <c r="D117" s="3764" t="s">
        <v>20</v>
      </c>
      <c r="E117" s="30">
        <v>840107</v>
      </c>
      <c r="F117" s="21" t="s">
        <v>13</v>
      </c>
      <c r="G117" s="24" t="s">
        <v>14</v>
      </c>
      <c r="H117" s="31">
        <f>'11. DV'!Z265</f>
        <v>996</v>
      </c>
      <c r="I117" s="1"/>
    </row>
    <row r="118" spans="1:9">
      <c r="A118" s="1"/>
      <c r="B118" s="3891" t="s">
        <v>78</v>
      </c>
      <c r="C118" s="3763" t="s">
        <v>29</v>
      </c>
      <c r="D118" s="3766" t="s">
        <v>20</v>
      </c>
      <c r="E118" s="30">
        <v>840107</v>
      </c>
      <c r="F118" s="21" t="s">
        <v>13</v>
      </c>
      <c r="G118" s="24" t="s">
        <v>14</v>
      </c>
      <c r="H118" s="31">
        <f>'11. DV'!Z266</f>
        <v>1581.44</v>
      </c>
      <c r="I118" s="1"/>
    </row>
    <row r="119" spans="1:9">
      <c r="A119" s="1"/>
      <c r="B119" s="3891" t="s">
        <v>78</v>
      </c>
      <c r="C119" s="3763" t="s">
        <v>29</v>
      </c>
      <c r="D119" s="3764" t="s">
        <v>20</v>
      </c>
      <c r="E119" s="30">
        <v>840107</v>
      </c>
      <c r="F119" s="21" t="s">
        <v>13</v>
      </c>
      <c r="G119" s="24" t="s">
        <v>14</v>
      </c>
      <c r="H119" s="31">
        <f>'11. DV'!Z267</f>
        <v>1581.44</v>
      </c>
      <c r="I119" s="1"/>
    </row>
    <row r="120" spans="1:9">
      <c r="A120" s="1"/>
      <c r="B120" s="3891" t="s">
        <v>78</v>
      </c>
      <c r="C120" s="3763" t="s">
        <v>29</v>
      </c>
      <c r="D120" s="3764" t="s">
        <v>20</v>
      </c>
      <c r="E120" s="30">
        <v>840107</v>
      </c>
      <c r="F120" s="21" t="s">
        <v>13</v>
      </c>
      <c r="G120" s="24" t="s">
        <v>14</v>
      </c>
      <c r="H120" s="31">
        <f>'11. DV'!Z268</f>
        <v>1792.0000000000002</v>
      </c>
      <c r="I120" s="1"/>
    </row>
    <row r="121" spans="1:9">
      <c r="A121" s="1"/>
      <c r="B121" s="3760" t="s">
        <v>82</v>
      </c>
      <c r="C121" s="3766" t="s">
        <v>39</v>
      </c>
      <c r="D121" s="3765" t="s">
        <v>66</v>
      </c>
      <c r="E121" s="23">
        <v>530612</v>
      </c>
      <c r="F121" s="21" t="s">
        <v>13</v>
      </c>
      <c r="G121" s="21" t="s">
        <v>14</v>
      </c>
      <c r="H121" s="31">
        <f>'12. VAC'!Z50</f>
        <v>22400.000000000004</v>
      </c>
      <c r="I121" s="1"/>
    </row>
    <row r="122" spans="1:9" ht="47.25">
      <c r="A122" s="1"/>
      <c r="B122" s="3760" t="s">
        <v>82</v>
      </c>
      <c r="C122" s="3766" t="s">
        <v>11</v>
      </c>
      <c r="D122" s="3766" t="s">
        <v>83</v>
      </c>
      <c r="E122" s="23">
        <v>530811</v>
      </c>
      <c r="F122" s="21" t="s">
        <v>13</v>
      </c>
      <c r="G122" s="21" t="s">
        <v>14</v>
      </c>
      <c r="H122" s="31">
        <f>'12. VAC'!Z51</f>
        <v>61.667200000000008</v>
      </c>
      <c r="I122" s="1"/>
    </row>
    <row r="123" spans="1:9">
      <c r="A123" s="25"/>
      <c r="B123" s="3760" t="s">
        <v>82</v>
      </c>
      <c r="C123" s="3766" t="s">
        <v>11</v>
      </c>
      <c r="D123" s="3766" t="s">
        <v>22</v>
      </c>
      <c r="E123" s="23">
        <v>840103</v>
      </c>
      <c r="F123" s="21" t="s">
        <v>13</v>
      </c>
      <c r="G123" s="27" t="s">
        <v>14</v>
      </c>
      <c r="H123" s="31">
        <f>'12. VAC'!Z52</f>
        <v>2338.3248000000003</v>
      </c>
      <c r="I123" s="1"/>
    </row>
    <row r="124" spans="1:9">
      <c r="A124" s="25"/>
      <c r="B124" s="3760" t="s">
        <v>82</v>
      </c>
      <c r="C124" s="3766" t="s">
        <v>39</v>
      </c>
      <c r="D124" s="3766" t="s">
        <v>24</v>
      </c>
      <c r="E124" s="23">
        <v>840104</v>
      </c>
      <c r="F124" s="21" t="s">
        <v>13</v>
      </c>
      <c r="G124" s="27" t="s">
        <v>14</v>
      </c>
      <c r="H124" s="42">
        <f>'12. VAC'!Z53</f>
        <v>22296.960000000003</v>
      </c>
      <c r="I124" s="1"/>
    </row>
    <row r="125" spans="1:9">
      <c r="A125" s="1"/>
      <c r="B125" s="3760" t="s">
        <v>84</v>
      </c>
      <c r="C125" s="3763" t="s">
        <v>11</v>
      </c>
      <c r="D125" s="3766" t="s">
        <v>85</v>
      </c>
      <c r="E125" s="23">
        <v>530601</v>
      </c>
      <c r="F125" s="21" t="s">
        <v>13</v>
      </c>
      <c r="G125" s="21" t="s">
        <v>14</v>
      </c>
      <c r="H125" s="31">
        <f>'13. DA'!Z128</f>
        <v>22400.000000000004</v>
      </c>
      <c r="I125" s="1"/>
    </row>
    <row r="126" spans="1:9">
      <c r="A126" s="1"/>
      <c r="B126" s="3760" t="s">
        <v>86</v>
      </c>
      <c r="C126" s="3766" t="s">
        <v>39</v>
      </c>
      <c r="D126" s="3764" t="s">
        <v>31</v>
      </c>
      <c r="E126" s="30">
        <v>530207</v>
      </c>
      <c r="F126" s="21" t="s">
        <v>13</v>
      </c>
      <c r="G126" s="21" t="s">
        <v>18</v>
      </c>
      <c r="H126" s="43">
        <f>'14. DFP'!Z138</f>
        <v>1000.1600000000001</v>
      </c>
      <c r="I126" s="1"/>
    </row>
    <row r="127" spans="1:9">
      <c r="A127" s="1"/>
      <c r="B127" s="3760" t="s">
        <v>86</v>
      </c>
      <c r="C127" s="3766" t="s">
        <v>39</v>
      </c>
      <c r="D127" s="3764" t="s">
        <v>87</v>
      </c>
      <c r="E127" s="39">
        <v>530612</v>
      </c>
      <c r="F127" s="21" t="s">
        <v>13</v>
      </c>
      <c r="G127" s="21" t="s">
        <v>18</v>
      </c>
      <c r="H127" s="43">
        <f>'14. DFP'!Z139</f>
        <v>40000</v>
      </c>
      <c r="I127" s="1"/>
    </row>
    <row r="128" spans="1:9" ht="16.5">
      <c r="A128" s="1"/>
      <c r="B128" s="3760" t="s">
        <v>86</v>
      </c>
      <c r="C128" s="3766" t="s">
        <v>39</v>
      </c>
      <c r="D128" s="3763" t="s">
        <v>88</v>
      </c>
      <c r="E128" s="30">
        <v>530613</v>
      </c>
      <c r="F128" s="21" t="s">
        <v>13</v>
      </c>
      <c r="G128" s="21" t="s">
        <v>18</v>
      </c>
      <c r="H128" s="43">
        <f>'14. DFP'!Z140</f>
        <v>20160.000000000004</v>
      </c>
      <c r="I128" s="44"/>
    </row>
    <row r="129" spans="1:9" ht="31.5">
      <c r="A129" s="1"/>
      <c r="B129" s="3760" t="s">
        <v>89</v>
      </c>
      <c r="C129" s="3765" t="s">
        <v>29</v>
      </c>
      <c r="D129" s="3766" t="s">
        <v>16</v>
      </c>
      <c r="E129" s="23">
        <v>530402</v>
      </c>
      <c r="F129" s="21" t="s">
        <v>13</v>
      </c>
      <c r="G129" s="21" t="s">
        <v>30</v>
      </c>
      <c r="H129" s="31">
        <f>'15. DEC'!Y88</f>
        <v>5600.0000000000009</v>
      </c>
      <c r="I129" s="1"/>
    </row>
    <row r="130" spans="1:9">
      <c r="A130" s="1"/>
      <c r="B130" s="3760" t="s">
        <v>89</v>
      </c>
      <c r="C130" s="3765" t="s">
        <v>29</v>
      </c>
      <c r="D130" s="3766" t="s">
        <v>88</v>
      </c>
      <c r="E130" s="45">
        <v>530613</v>
      </c>
      <c r="F130" s="21" t="s">
        <v>13</v>
      </c>
      <c r="G130" s="21" t="s">
        <v>30</v>
      </c>
      <c r="H130" s="31">
        <f>'15. DEC'!Y89</f>
        <v>16800</v>
      </c>
      <c r="I130" s="1"/>
    </row>
    <row r="131" spans="1:9">
      <c r="A131" s="1"/>
      <c r="B131" s="3760" t="s">
        <v>89</v>
      </c>
      <c r="C131" s="3765" t="s">
        <v>29</v>
      </c>
      <c r="D131" s="3766" t="s">
        <v>90</v>
      </c>
      <c r="E131" s="34">
        <v>530802</v>
      </c>
      <c r="F131" s="21" t="s">
        <v>13</v>
      </c>
      <c r="G131" s="21" t="s">
        <v>30</v>
      </c>
      <c r="H131" s="31">
        <f>'15. DEC'!Y90</f>
        <v>1120</v>
      </c>
      <c r="I131" s="1"/>
    </row>
    <row r="132" spans="1:9">
      <c r="A132" s="1"/>
      <c r="B132" s="3760" t="s">
        <v>89</v>
      </c>
      <c r="C132" s="3765" t="s">
        <v>29</v>
      </c>
      <c r="D132" s="3765" t="s">
        <v>91</v>
      </c>
      <c r="E132" s="23">
        <v>530805</v>
      </c>
      <c r="F132" s="21" t="s">
        <v>13</v>
      </c>
      <c r="G132" s="21" t="s">
        <v>30</v>
      </c>
      <c r="H132" s="31">
        <f>'15. DEC'!Y91</f>
        <v>1261.3750002448003</v>
      </c>
      <c r="I132" s="1"/>
    </row>
    <row r="133" spans="1:9">
      <c r="A133" s="1"/>
      <c r="B133" s="3760" t="s">
        <v>89</v>
      </c>
      <c r="C133" s="3765" t="s">
        <v>29</v>
      </c>
      <c r="D133" s="3765" t="s">
        <v>44</v>
      </c>
      <c r="E133" s="23">
        <v>530807</v>
      </c>
      <c r="F133" s="21" t="s">
        <v>13</v>
      </c>
      <c r="G133" s="21" t="s">
        <v>30</v>
      </c>
      <c r="H133" s="31">
        <f>'15. DEC'!Y92</f>
        <v>1040.0000038400001</v>
      </c>
      <c r="I133" s="1"/>
    </row>
    <row r="134" spans="1:9">
      <c r="A134" s="1"/>
      <c r="B134" s="3760" t="s">
        <v>89</v>
      </c>
      <c r="C134" s="3765" t="s">
        <v>29</v>
      </c>
      <c r="D134" s="3766" t="s">
        <v>24</v>
      </c>
      <c r="E134" s="34">
        <v>840104</v>
      </c>
      <c r="F134" s="21" t="s">
        <v>13</v>
      </c>
      <c r="G134" s="24" t="s">
        <v>14</v>
      </c>
      <c r="H134" s="31">
        <f>'15. DEC'!Y93</f>
        <v>3528.0000000000005</v>
      </c>
      <c r="I134" s="1"/>
    </row>
    <row r="135" spans="1:9">
      <c r="A135" s="1"/>
      <c r="B135" s="3760" t="s">
        <v>89</v>
      </c>
      <c r="C135" s="3765" t="s">
        <v>29</v>
      </c>
      <c r="D135" s="3766" t="s">
        <v>20</v>
      </c>
      <c r="E135" s="23">
        <v>840107</v>
      </c>
      <c r="F135" s="21" t="s">
        <v>13</v>
      </c>
      <c r="G135" s="24" t="s">
        <v>14</v>
      </c>
      <c r="H135" s="31">
        <f>'15. DEC'!Y94</f>
        <v>5856.0000128000001</v>
      </c>
      <c r="I135" s="1"/>
    </row>
    <row r="136" spans="1:9" ht="63">
      <c r="A136" s="1"/>
      <c r="B136" s="3760" t="s">
        <v>92</v>
      </c>
      <c r="C136" s="3765" t="s">
        <v>11</v>
      </c>
      <c r="D136" s="3766" t="s">
        <v>26</v>
      </c>
      <c r="E136" s="46">
        <v>530204</v>
      </c>
      <c r="F136" s="21" t="s">
        <v>13</v>
      </c>
      <c r="G136" s="21" t="s">
        <v>14</v>
      </c>
      <c r="H136" s="31">
        <f>'16. VAD'!Z60</f>
        <v>234.08</v>
      </c>
      <c r="I136" s="1"/>
    </row>
    <row r="137" spans="1:9">
      <c r="A137" s="1"/>
      <c r="B137" s="3760" t="s">
        <v>92</v>
      </c>
      <c r="C137" s="3765" t="s">
        <v>11</v>
      </c>
      <c r="D137" s="3766" t="s">
        <v>24</v>
      </c>
      <c r="E137" s="45">
        <v>531404</v>
      </c>
      <c r="F137" s="21" t="s">
        <v>13</v>
      </c>
      <c r="G137" s="21" t="s">
        <v>14</v>
      </c>
      <c r="H137" s="31">
        <f>'16. VAD'!Z61</f>
        <v>56000.000000000007</v>
      </c>
      <c r="I137" s="1"/>
    </row>
    <row r="138" spans="1:9" ht="31.5">
      <c r="A138" s="1"/>
      <c r="B138" s="3760" t="s">
        <v>93</v>
      </c>
      <c r="C138" s="3766" t="s">
        <v>17</v>
      </c>
      <c r="D138" s="3766" t="s">
        <v>43</v>
      </c>
      <c r="E138" s="38">
        <v>530105</v>
      </c>
      <c r="F138" s="21" t="s">
        <v>13</v>
      </c>
      <c r="G138" s="21" t="s">
        <v>18</v>
      </c>
      <c r="H138" s="31">
        <f>'17. DTIC'!Z283</f>
        <v>264442.25920000003</v>
      </c>
      <c r="I138" s="1"/>
    </row>
    <row r="139" spans="1:9" ht="31.5">
      <c r="A139" s="1"/>
      <c r="B139" s="3760" t="s">
        <v>93</v>
      </c>
      <c r="C139" s="3767" t="s">
        <v>11</v>
      </c>
      <c r="D139" s="3766" t="s">
        <v>94</v>
      </c>
      <c r="E139" s="33">
        <v>530243</v>
      </c>
      <c r="F139" s="21" t="s">
        <v>13</v>
      </c>
      <c r="G139" s="21" t="s">
        <v>14</v>
      </c>
      <c r="H139" s="31">
        <f>'17. DTIC'!Z284</f>
        <v>59844.680000000008</v>
      </c>
      <c r="I139" s="1"/>
    </row>
    <row r="140" spans="1:9" ht="31.5">
      <c r="A140" s="1"/>
      <c r="B140" s="3760" t="s">
        <v>93</v>
      </c>
      <c r="C140" s="3767" t="s">
        <v>11</v>
      </c>
      <c r="D140" s="3764" t="s">
        <v>16</v>
      </c>
      <c r="E140" s="33">
        <v>530402</v>
      </c>
      <c r="F140" s="21" t="s">
        <v>13</v>
      </c>
      <c r="G140" s="21" t="s">
        <v>14</v>
      </c>
      <c r="H140" s="31">
        <f>'17. DTIC'!Z285</f>
        <v>2240</v>
      </c>
      <c r="I140" s="1"/>
    </row>
    <row r="141" spans="1:9" ht="31.5">
      <c r="A141" s="1"/>
      <c r="B141" s="3760" t="s">
        <v>93</v>
      </c>
      <c r="C141" s="3766" t="s">
        <v>17</v>
      </c>
      <c r="D141" s="3765" t="s">
        <v>67</v>
      </c>
      <c r="E141" s="33">
        <v>530702</v>
      </c>
      <c r="F141" s="21" t="s">
        <v>13</v>
      </c>
      <c r="G141" s="21" t="s">
        <v>30</v>
      </c>
      <c r="H141" s="47">
        <f>'17. DTIC'!Z286</f>
        <v>33640.320000000007</v>
      </c>
      <c r="I141" s="1"/>
    </row>
    <row r="142" spans="1:9" ht="31.5">
      <c r="A142" s="1"/>
      <c r="B142" s="3760" t="s">
        <v>93</v>
      </c>
      <c r="C142" s="3767" t="s">
        <v>39</v>
      </c>
      <c r="D142" s="3764" t="s">
        <v>19</v>
      </c>
      <c r="E142" s="33">
        <v>530704</v>
      </c>
      <c r="F142" s="21" t="s">
        <v>13</v>
      </c>
      <c r="G142" s="21" t="s">
        <v>18</v>
      </c>
      <c r="H142" s="31">
        <f>'17. DTIC'!Z287</f>
        <v>13878.793600000001</v>
      </c>
      <c r="I142" s="1"/>
    </row>
    <row r="143" spans="1:9" ht="31.5">
      <c r="A143" s="1"/>
      <c r="B143" s="3760" t="s">
        <v>93</v>
      </c>
      <c r="C143" s="3767" t="s">
        <v>39</v>
      </c>
      <c r="D143" s="3763" t="s">
        <v>19</v>
      </c>
      <c r="E143" s="33">
        <v>530704</v>
      </c>
      <c r="F143" s="21" t="s">
        <v>13</v>
      </c>
      <c r="G143" s="21" t="s">
        <v>18</v>
      </c>
      <c r="H143" s="47">
        <f>'17. DTIC'!Z288</f>
        <v>10640.000000000002</v>
      </c>
      <c r="I143" s="1"/>
    </row>
    <row r="144" spans="1:9" ht="47.25">
      <c r="A144" s="1"/>
      <c r="B144" s="3760" t="s">
        <v>93</v>
      </c>
      <c r="C144" s="3767" t="s">
        <v>11</v>
      </c>
      <c r="D144" s="3764" t="s">
        <v>83</v>
      </c>
      <c r="E144" s="33">
        <v>530811</v>
      </c>
      <c r="F144" s="21" t="s">
        <v>13</v>
      </c>
      <c r="G144" s="21" t="s">
        <v>14</v>
      </c>
      <c r="H144" s="31">
        <f>'17. DTIC'!Z289</f>
        <v>1120</v>
      </c>
      <c r="I144" s="1"/>
    </row>
    <row r="145" spans="1:9" ht="31.5">
      <c r="A145" s="1"/>
      <c r="B145" s="3760" t="s">
        <v>93</v>
      </c>
      <c r="C145" s="3767" t="s">
        <v>11</v>
      </c>
      <c r="D145" s="3764" t="s">
        <v>20</v>
      </c>
      <c r="E145" s="33">
        <v>531407</v>
      </c>
      <c r="F145" s="36" t="s">
        <v>13</v>
      </c>
      <c r="G145" s="36" t="s">
        <v>14</v>
      </c>
      <c r="H145" s="31">
        <f>'17. DTIC'!Z290</f>
        <v>88.524800000000013</v>
      </c>
      <c r="I145" s="37"/>
    </row>
    <row r="146" spans="1:9" ht="31.5">
      <c r="A146" s="1"/>
      <c r="B146" s="3760" t="s">
        <v>93</v>
      </c>
      <c r="C146" s="3767" t="s">
        <v>11</v>
      </c>
      <c r="D146" s="3764" t="s">
        <v>20</v>
      </c>
      <c r="E146" s="33">
        <v>531407</v>
      </c>
      <c r="F146" s="36" t="s">
        <v>13</v>
      </c>
      <c r="G146" s="36" t="s">
        <v>14</v>
      </c>
      <c r="H146" s="31">
        <f>'17. DTIC'!Z291</f>
        <v>70</v>
      </c>
      <c r="I146" s="1"/>
    </row>
    <row r="147" spans="1:9" ht="31.5">
      <c r="A147" s="25"/>
      <c r="B147" s="3760" t="s">
        <v>93</v>
      </c>
      <c r="C147" s="3767" t="s">
        <v>39</v>
      </c>
      <c r="D147" s="3766" t="s">
        <v>24</v>
      </c>
      <c r="E147" s="38">
        <v>840104</v>
      </c>
      <c r="F147" s="21" t="s">
        <v>13</v>
      </c>
      <c r="G147" s="27" t="s">
        <v>14</v>
      </c>
      <c r="H147" s="31">
        <f>'17. DTIC'!Z292</f>
        <v>2251.1999999999998</v>
      </c>
      <c r="I147" s="1"/>
    </row>
    <row r="148" spans="1:9" ht="31.5">
      <c r="A148" s="25"/>
      <c r="B148" s="3760" t="s">
        <v>93</v>
      </c>
      <c r="C148" s="3767" t="s">
        <v>11</v>
      </c>
      <c r="D148" s="3766" t="s">
        <v>24</v>
      </c>
      <c r="E148" s="38">
        <v>840104</v>
      </c>
      <c r="F148" s="21" t="s">
        <v>13</v>
      </c>
      <c r="G148" s="27" t="s">
        <v>14</v>
      </c>
      <c r="H148" s="31">
        <f>'17. DTIC'!Z293</f>
        <v>53704.13440000001</v>
      </c>
      <c r="I148" s="1"/>
    </row>
    <row r="149" spans="1:9" ht="31.5">
      <c r="A149" s="25"/>
      <c r="B149" s="3760" t="s">
        <v>93</v>
      </c>
      <c r="C149" s="3766" t="s">
        <v>17</v>
      </c>
      <c r="D149" s="3764" t="s">
        <v>20</v>
      </c>
      <c r="E149" s="33">
        <v>840107</v>
      </c>
      <c r="F149" s="21" t="s">
        <v>13</v>
      </c>
      <c r="G149" s="27" t="s">
        <v>14</v>
      </c>
      <c r="H149" s="31">
        <f>'17. DTIC'!Z294</f>
        <v>113435.99679999999</v>
      </c>
      <c r="I149" s="1"/>
    </row>
    <row r="150" spans="1:9" ht="31.5">
      <c r="A150" s="25"/>
      <c r="B150" s="3760" t="s">
        <v>93</v>
      </c>
      <c r="C150" s="3766" t="s">
        <v>17</v>
      </c>
      <c r="D150" s="3766" t="s">
        <v>20</v>
      </c>
      <c r="E150" s="38">
        <v>840107</v>
      </c>
      <c r="F150" s="21" t="s">
        <v>13</v>
      </c>
      <c r="G150" s="27" t="s">
        <v>14</v>
      </c>
      <c r="H150" s="31">
        <f>'17. DTIC'!Z295</f>
        <v>414919.06400000007</v>
      </c>
      <c r="I150" s="48"/>
    </row>
    <row r="151" spans="1:9">
      <c r="A151" s="25"/>
      <c r="B151" s="3760" t="s">
        <v>95</v>
      </c>
      <c r="C151" s="3763" t="s">
        <v>11</v>
      </c>
      <c r="D151" s="3773" t="s">
        <v>96</v>
      </c>
      <c r="E151" s="3775">
        <v>510105</v>
      </c>
      <c r="F151" s="21" t="s">
        <v>98</v>
      </c>
      <c r="G151" s="21" t="s">
        <v>14</v>
      </c>
      <c r="H151" s="31">
        <f>'18. DTH'!Z387</f>
        <v>3497244.8</v>
      </c>
      <c r="I151" s="1"/>
    </row>
    <row r="152" spans="1:9">
      <c r="A152" s="25"/>
      <c r="B152" s="3760" t="s">
        <v>95</v>
      </c>
      <c r="C152" s="3763" t="s">
        <v>11</v>
      </c>
      <c r="D152" s="3773" t="s">
        <v>99</v>
      </c>
      <c r="E152" s="3775">
        <v>510106</v>
      </c>
      <c r="F152" s="21" t="s">
        <v>98</v>
      </c>
      <c r="G152" s="21" t="s">
        <v>14</v>
      </c>
      <c r="H152" s="31">
        <f>'18. DTH'!Z388</f>
        <v>1006663.08</v>
      </c>
      <c r="I152" s="1"/>
    </row>
    <row r="153" spans="1:9" ht="31.5">
      <c r="A153" s="25"/>
      <c r="B153" s="3760" t="s">
        <v>95</v>
      </c>
      <c r="C153" s="3763" t="s">
        <v>11</v>
      </c>
      <c r="D153" s="3767" t="s">
        <v>101</v>
      </c>
      <c r="E153" s="3775">
        <v>510108</v>
      </c>
      <c r="F153" s="21" t="s">
        <v>98</v>
      </c>
      <c r="G153" s="21" t="s">
        <v>14</v>
      </c>
      <c r="H153" s="31">
        <f>'18. DTH'!Z389</f>
        <v>828020.16</v>
      </c>
      <c r="I153" s="1"/>
    </row>
    <row r="154" spans="1:9">
      <c r="A154" s="25"/>
      <c r="B154" s="3760" t="s">
        <v>95</v>
      </c>
      <c r="C154" s="3763" t="s">
        <v>11</v>
      </c>
      <c r="D154" s="3773" t="s">
        <v>103</v>
      </c>
      <c r="E154" s="3775">
        <v>510203</v>
      </c>
      <c r="F154" s="21" t="s">
        <v>98</v>
      </c>
      <c r="G154" s="21" t="s">
        <v>14</v>
      </c>
      <c r="H154" s="31">
        <f>'18. DTH'!Z390</f>
        <v>491904.66999999993</v>
      </c>
      <c r="I154" s="1"/>
    </row>
    <row r="155" spans="1:9" ht="16.5">
      <c r="A155" s="25"/>
      <c r="B155" s="3760" t="s">
        <v>95</v>
      </c>
      <c r="C155" s="3763" t="s">
        <v>11</v>
      </c>
      <c r="D155" s="3773" t="s">
        <v>105</v>
      </c>
      <c r="E155" s="3775">
        <v>510204</v>
      </c>
      <c r="F155" s="21" t="s">
        <v>98</v>
      </c>
      <c r="G155" s="21" t="s">
        <v>14</v>
      </c>
      <c r="H155" s="31">
        <f>'18. DTH'!Z391</f>
        <v>165218.75</v>
      </c>
      <c r="I155" s="49"/>
    </row>
    <row r="156" spans="1:9">
      <c r="A156" s="25"/>
      <c r="B156" s="3760" t="s">
        <v>95</v>
      </c>
      <c r="C156" s="3763" t="s">
        <v>11</v>
      </c>
      <c r="D156" s="3773" t="s">
        <v>107</v>
      </c>
      <c r="E156" s="3775">
        <v>510304</v>
      </c>
      <c r="F156" s="21" t="s">
        <v>98</v>
      </c>
      <c r="G156" s="21" t="s">
        <v>14</v>
      </c>
      <c r="H156" s="31">
        <f>'18. DTH'!Z392</f>
        <v>15000</v>
      </c>
      <c r="I156" s="1"/>
    </row>
    <row r="157" spans="1:9">
      <c r="A157" s="25"/>
      <c r="B157" s="3760" t="s">
        <v>95</v>
      </c>
      <c r="C157" s="3763" t="s">
        <v>11</v>
      </c>
      <c r="D157" s="3773" t="s">
        <v>109</v>
      </c>
      <c r="E157" s="3775">
        <v>510306</v>
      </c>
      <c r="F157" s="21" t="s">
        <v>98</v>
      </c>
      <c r="G157" s="21" t="s">
        <v>14</v>
      </c>
      <c r="H157" s="31">
        <f>'18. DTH'!Z393</f>
        <v>95000</v>
      </c>
      <c r="I157" s="1"/>
    </row>
    <row r="158" spans="1:9">
      <c r="A158" s="25"/>
      <c r="B158" s="3760" t="s">
        <v>95</v>
      </c>
      <c r="C158" s="3763" t="s">
        <v>11</v>
      </c>
      <c r="D158" s="3773" t="s">
        <v>111</v>
      </c>
      <c r="E158" s="3775">
        <v>510401</v>
      </c>
      <c r="F158" s="21" t="s">
        <v>98</v>
      </c>
      <c r="G158" s="21" t="s">
        <v>14</v>
      </c>
      <c r="H158" s="31">
        <f>'18. DTH'!Z394</f>
        <v>5000</v>
      </c>
      <c r="I158" s="1"/>
    </row>
    <row r="159" spans="1:9">
      <c r="A159" s="25"/>
      <c r="B159" s="3760" t="s">
        <v>95</v>
      </c>
      <c r="C159" s="3763" t="s">
        <v>11</v>
      </c>
      <c r="D159" s="3773" t="s">
        <v>113</v>
      </c>
      <c r="E159" s="3775">
        <v>510408</v>
      </c>
      <c r="F159" s="21" t="s">
        <v>98</v>
      </c>
      <c r="G159" s="21" t="s">
        <v>14</v>
      </c>
      <c r="H159" s="31">
        <f>'18. DTH'!Z395</f>
        <v>24000</v>
      </c>
      <c r="I159" s="1"/>
    </row>
    <row r="160" spans="1:9">
      <c r="A160" s="25"/>
      <c r="B160" s="3760" t="s">
        <v>95</v>
      </c>
      <c r="C160" s="3763" t="s">
        <v>11</v>
      </c>
      <c r="D160" s="3773" t="s">
        <v>115</v>
      </c>
      <c r="E160" s="3775">
        <v>510509</v>
      </c>
      <c r="F160" s="21" t="s">
        <v>98</v>
      </c>
      <c r="G160" s="21" t="s">
        <v>14</v>
      </c>
      <c r="H160" s="31">
        <f>'18. DTH'!Z396</f>
        <v>20000</v>
      </c>
      <c r="I160" s="1"/>
    </row>
    <row r="161" spans="1:9">
      <c r="A161" s="25"/>
      <c r="B161" s="3760" t="s">
        <v>95</v>
      </c>
      <c r="C161" s="3763" t="s">
        <v>11</v>
      </c>
      <c r="D161" s="3773" t="s">
        <v>117</v>
      </c>
      <c r="E161" s="3775">
        <v>510510</v>
      </c>
      <c r="F161" s="21" t="s">
        <v>98</v>
      </c>
      <c r="G161" s="21" t="s">
        <v>14</v>
      </c>
      <c r="H161" s="31">
        <f>'18. DTH'!Z397</f>
        <v>569128</v>
      </c>
      <c r="I161" s="1"/>
    </row>
    <row r="162" spans="1:9">
      <c r="A162" s="25"/>
      <c r="B162" s="3760" t="s">
        <v>95</v>
      </c>
      <c r="C162" s="3763" t="s">
        <v>11</v>
      </c>
      <c r="D162" s="3773" t="s">
        <v>119</v>
      </c>
      <c r="E162" s="3775">
        <v>510512</v>
      </c>
      <c r="F162" s="21" t="s">
        <v>98</v>
      </c>
      <c r="G162" s="21" t="s">
        <v>14</v>
      </c>
      <c r="H162" s="31">
        <f>'18. DTH'!Z398</f>
        <v>10000</v>
      </c>
      <c r="I162" s="1"/>
    </row>
    <row r="163" spans="1:9">
      <c r="A163" s="25"/>
      <c r="B163" s="3760" t="s">
        <v>95</v>
      </c>
      <c r="C163" s="3763" t="s">
        <v>11</v>
      </c>
      <c r="D163" s="3773" t="s">
        <v>121</v>
      </c>
      <c r="E163" s="3775">
        <v>510513</v>
      </c>
      <c r="F163" s="21" t="s">
        <v>98</v>
      </c>
      <c r="G163" s="21" t="s">
        <v>14</v>
      </c>
      <c r="H163" s="31">
        <f>'18. DTH'!Z399</f>
        <v>4800</v>
      </c>
      <c r="I163" s="1"/>
    </row>
    <row r="164" spans="1:9">
      <c r="A164" s="25"/>
      <c r="B164" s="3760" t="s">
        <v>95</v>
      </c>
      <c r="C164" s="3763" t="s">
        <v>11</v>
      </c>
      <c r="D164" s="3773" t="s">
        <v>123</v>
      </c>
      <c r="E164" s="3775">
        <v>510601</v>
      </c>
      <c r="F164" s="21" t="s">
        <v>98</v>
      </c>
      <c r="G164" s="21" t="s">
        <v>14</v>
      </c>
      <c r="H164" s="31">
        <f>'18. DTH'!Z400</f>
        <v>590108.61</v>
      </c>
      <c r="I164" s="1"/>
    </row>
    <row r="165" spans="1:9">
      <c r="A165" s="25"/>
      <c r="B165" s="3760" t="s">
        <v>95</v>
      </c>
      <c r="C165" s="3763" t="s">
        <v>11</v>
      </c>
      <c r="D165" s="3773" t="s">
        <v>125</v>
      </c>
      <c r="E165" s="3775">
        <v>510602</v>
      </c>
      <c r="F165" s="21" t="s">
        <v>98</v>
      </c>
      <c r="G165" s="21" t="s">
        <v>14</v>
      </c>
      <c r="H165" s="31">
        <f>'18. DTH'!Z401</f>
        <v>491708.1599999998</v>
      </c>
      <c r="I165" s="1"/>
    </row>
    <row r="166" spans="1:9">
      <c r="A166" s="25"/>
      <c r="B166" s="3760" t="s">
        <v>95</v>
      </c>
      <c r="C166" s="3763" t="s">
        <v>11</v>
      </c>
      <c r="D166" s="3773" t="s">
        <v>127</v>
      </c>
      <c r="E166" s="3775">
        <v>510707</v>
      </c>
      <c r="F166" s="21" t="s">
        <v>98</v>
      </c>
      <c r="G166" s="21" t="s">
        <v>14</v>
      </c>
      <c r="H166" s="31">
        <f>'18. DTH'!Z403</f>
        <v>2000</v>
      </c>
      <c r="I166" s="1"/>
    </row>
    <row r="167" spans="1:9">
      <c r="A167" s="25"/>
      <c r="B167" s="3760" t="s">
        <v>95</v>
      </c>
      <c r="C167" s="3767" t="s">
        <v>39</v>
      </c>
      <c r="D167" s="3773" t="s">
        <v>103</v>
      </c>
      <c r="E167" s="3775">
        <v>510203</v>
      </c>
      <c r="F167" s="21" t="s">
        <v>98</v>
      </c>
      <c r="G167" s="21" t="s">
        <v>18</v>
      </c>
      <c r="H167" s="31">
        <f>'18. DTH'!Z415</f>
        <v>146650.99998940158</v>
      </c>
      <c r="I167" s="1"/>
    </row>
    <row r="168" spans="1:9">
      <c r="A168" s="25"/>
      <c r="B168" s="3760" t="s">
        <v>95</v>
      </c>
      <c r="C168" s="3767" t="s">
        <v>39</v>
      </c>
      <c r="D168" s="3773" t="s">
        <v>103</v>
      </c>
      <c r="E168" s="3775">
        <v>510203</v>
      </c>
      <c r="F168" s="21" t="s">
        <v>98</v>
      </c>
      <c r="G168" s="21" t="s">
        <v>14</v>
      </c>
      <c r="H168" s="31">
        <f>'18. DTH'!Z416</f>
        <v>965722.17001059849</v>
      </c>
      <c r="I168" s="1"/>
    </row>
    <row r="169" spans="1:9">
      <c r="A169" s="25"/>
      <c r="B169" s="3760" t="s">
        <v>95</v>
      </c>
      <c r="C169" s="3767" t="s">
        <v>39</v>
      </c>
      <c r="D169" s="3773" t="s">
        <v>105</v>
      </c>
      <c r="E169" s="3775">
        <v>510204</v>
      </c>
      <c r="F169" s="21" t="s">
        <v>98</v>
      </c>
      <c r="G169" s="21" t="s">
        <v>18</v>
      </c>
      <c r="H169" s="31">
        <f>'18. DTH'!Z417</f>
        <v>44625.000011687502</v>
      </c>
      <c r="I169" s="1"/>
    </row>
    <row r="170" spans="1:9">
      <c r="A170" s="25"/>
      <c r="B170" s="3760" t="s">
        <v>95</v>
      </c>
      <c r="C170" s="3767" t="s">
        <v>39</v>
      </c>
      <c r="D170" s="3773" t="s">
        <v>105</v>
      </c>
      <c r="E170" s="3775">
        <v>510204</v>
      </c>
      <c r="F170" s="21" t="s">
        <v>98</v>
      </c>
      <c r="G170" s="21" t="s">
        <v>14</v>
      </c>
      <c r="H170" s="31">
        <f>'18. DTH'!Z418</f>
        <v>199749.99998831248</v>
      </c>
      <c r="I170" s="1"/>
    </row>
    <row r="171" spans="1:9">
      <c r="A171" s="25"/>
      <c r="B171" s="3760" t="s">
        <v>95</v>
      </c>
      <c r="C171" s="3767" t="s">
        <v>39</v>
      </c>
      <c r="D171" s="3773" t="s">
        <v>125</v>
      </c>
      <c r="E171" s="3775">
        <v>510602</v>
      </c>
      <c r="F171" s="21" t="s">
        <v>98</v>
      </c>
      <c r="G171" s="21" t="s">
        <v>18</v>
      </c>
      <c r="H171" s="31">
        <f>'18. DTH'!Z419</f>
        <v>146592.00002416442</v>
      </c>
      <c r="I171" s="1"/>
    </row>
    <row r="172" spans="1:9">
      <c r="A172" s="25"/>
      <c r="B172" s="3760" t="s">
        <v>95</v>
      </c>
      <c r="C172" s="3767" t="s">
        <v>39</v>
      </c>
      <c r="D172" s="3773" t="s">
        <v>125</v>
      </c>
      <c r="E172" s="3775">
        <v>510602</v>
      </c>
      <c r="F172" s="21" t="s">
        <v>98</v>
      </c>
      <c r="G172" s="21" t="s">
        <v>14</v>
      </c>
      <c r="H172" s="31">
        <f>'18. DTH'!Z420</f>
        <v>965335.79997583572</v>
      </c>
      <c r="I172" s="1"/>
    </row>
    <row r="173" spans="1:9" ht="31.5">
      <c r="A173" s="25"/>
      <c r="B173" s="3760" t="s">
        <v>95</v>
      </c>
      <c r="C173" s="3767" t="s">
        <v>39</v>
      </c>
      <c r="D173" s="3767" t="s">
        <v>101</v>
      </c>
      <c r="E173" s="3775">
        <v>510108</v>
      </c>
      <c r="F173" s="21" t="s">
        <v>98</v>
      </c>
      <c r="G173" s="21" t="s">
        <v>14</v>
      </c>
      <c r="H173" s="31">
        <f>'18. DTH'!Z421</f>
        <v>9354765.1400000006</v>
      </c>
      <c r="I173" s="1"/>
    </row>
    <row r="174" spans="1:9" ht="31.5">
      <c r="A174" s="25"/>
      <c r="B174" s="3760" t="s">
        <v>95</v>
      </c>
      <c r="C174" s="3767" t="s">
        <v>39</v>
      </c>
      <c r="D174" s="3767" t="s">
        <v>129</v>
      </c>
      <c r="E174" s="3775">
        <v>510518</v>
      </c>
      <c r="F174" s="21" t="s">
        <v>98</v>
      </c>
      <c r="G174" s="21" t="s">
        <v>18</v>
      </c>
      <c r="H174" s="31">
        <f>'18. DTH'!Z422</f>
        <v>1764832.5401302234</v>
      </c>
      <c r="I174" s="1"/>
    </row>
    <row r="175" spans="1:9" ht="31.5">
      <c r="A175" s="25"/>
      <c r="B175" s="3760" t="s">
        <v>95</v>
      </c>
      <c r="C175" s="3767" t="s">
        <v>39</v>
      </c>
      <c r="D175" s="3767" t="s">
        <v>129</v>
      </c>
      <c r="E175" s="3775">
        <v>510518</v>
      </c>
      <c r="F175" s="21" t="s">
        <v>98</v>
      </c>
      <c r="G175" s="21" t="s">
        <v>14</v>
      </c>
      <c r="H175" s="31">
        <f>'18. DTH'!Z423</f>
        <v>2857496.5198697769</v>
      </c>
      <c r="I175" s="1"/>
    </row>
    <row r="176" spans="1:9">
      <c r="A176" s="25"/>
      <c r="B176" s="3760" t="s">
        <v>95</v>
      </c>
      <c r="C176" s="3767" t="s">
        <v>39</v>
      </c>
      <c r="D176" s="3773" t="s">
        <v>123</v>
      </c>
      <c r="E176" s="3775">
        <v>510601</v>
      </c>
      <c r="F176" s="21" t="s">
        <v>98</v>
      </c>
      <c r="G176" s="21" t="s">
        <v>18</v>
      </c>
      <c r="H176" s="31">
        <f>'18. DTH'!Z424</f>
        <v>161022.00004262262</v>
      </c>
      <c r="I176" s="1"/>
    </row>
    <row r="177" spans="1:9">
      <c r="A177" s="25"/>
      <c r="B177" s="3760" t="s">
        <v>95</v>
      </c>
      <c r="C177" s="3767" t="s">
        <v>39</v>
      </c>
      <c r="D177" s="3773" t="s">
        <v>123</v>
      </c>
      <c r="E177" s="3775">
        <v>510601</v>
      </c>
      <c r="F177" s="21" t="s">
        <v>98</v>
      </c>
      <c r="G177" s="21" t="s">
        <v>14</v>
      </c>
      <c r="H177" s="31">
        <f>'18. DTH'!Z425</f>
        <v>1060363.4199573772</v>
      </c>
      <c r="I177" s="1"/>
    </row>
    <row r="178" spans="1:9">
      <c r="A178" s="25"/>
      <c r="B178" s="3760" t="s">
        <v>95</v>
      </c>
      <c r="C178" s="3767" t="s">
        <v>39</v>
      </c>
      <c r="D178" s="3773" t="s">
        <v>127</v>
      </c>
      <c r="E178" s="3775">
        <v>510707</v>
      </c>
      <c r="F178" s="21" t="s">
        <v>98</v>
      </c>
      <c r="G178" s="21" t="s">
        <v>18</v>
      </c>
      <c r="H178" s="31">
        <f>'18. DTH'!Z426</f>
        <v>1500</v>
      </c>
      <c r="I178" s="1"/>
    </row>
    <row r="179" spans="1:9">
      <c r="A179" s="25"/>
      <c r="B179" s="3760" t="s">
        <v>95</v>
      </c>
      <c r="C179" s="3767" t="s">
        <v>39</v>
      </c>
      <c r="D179" s="3773" t="s">
        <v>127</v>
      </c>
      <c r="E179" s="3775">
        <v>510707</v>
      </c>
      <c r="F179" s="21" t="s">
        <v>98</v>
      </c>
      <c r="G179" s="21" t="s">
        <v>14</v>
      </c>
      <c r="H179" s="31">
        <f>'18. DTH'!Z427</f>
        <v>1500</v>
      </c>
      <c r="I179" s="1"/>
    </row>
    <row r="180" spans="1:9" ht="31.5">
      <c r="A180" s="1"/>
      <c r="B180" s="3760" t="s">
        <v>95</v>
      </c>
      <c r="C180" s="3763" t="s">
        <v>11</v>
      </c>
      <c r="D180" s="3767" t="s">
        <v>131</v>
      </c>
      <c r="E180" s="50">
        <v>530203</v>
      </c>
      <c r="F180" s="21" t="s">
        <v>13</v>
      </c>
      <c r="G180" s="21" t="s">
        <v>14</v>
      </c>
      <c r="H180" s="31">
        <f>'18. DTH'!Z404</f>
        <v>2564.8000000000002</v>
      </c>
      <c r="I180" s="1"/>
    </row>
    <row r="181" spans="1:9">
      <c r="A181" s="1"/>
      <c r="B181" s="3760" t="s">
        <v>95</v>
      </c>
      <c r="C181" s="3763" t="s">
        <v>11</v>
      </c>
      <c r="D181" s="3773" t="s">
        <v>66</v>
      </c>
      <c r="E181" s="3775">
        <v>530612</v>
      </c>
      <c r="F181" s="21" t="s">
        <v>13</v>
      </c>
      <c r="G181" s="21" t="s">
        <v>14</v>
      </c>
      <c r="H181" s="31">
        <f>'18. DTH'!Z406</f>
        <v>96884.726799999975</v>
      </c>
      <c r="I181" s="1"/>
    </row>
    <row r="182" spans="1:9" ht="47.25">
      <c r="A182" s="1"/>
      <c r="B182" s="3760" t="s">
        <v>95</v>
      </c>
      <c r="C182" s="3763" t="s">
        <v>11</v>
      </c>
      <c r="D182" s="3767" t="s">
        <v>133</v>
      </c>
      <c r="E182" s="3775">
        <v>530802</v>
      </c>
      <c r="F182" s="36" t="s">
        <v>13</v>
      </c>
      <c r="G182" s="36" t="s">
        <v>14</v>
      </c>
      <c r="H182" s="31">
        <f>'18. DTH'!Z407</f>
        <v>25466.000000000004</v>
      </c>
      <c r="I182" s="1"/>
    </row>
    <row r="183" spans="1:9" ht="31.5">
      <c r="A183" s="1"/>
      <c r="B183" s="3760" t="s">
        <v>95</v>
      </c>
      <c r="C183" s="3763" t="s">
        <v>11</v>
      </c>
      <c r="D183" s="3767" t="s">
        <v>44</v>
      </c>
      <c r="E183" s="3775">
        <v>530807</v>
      </c>
      <c r="F183" s="36" t="s">
        <v>13</v>
      </c>
      <c r="G183" s="36" t="s">
        <v>14</v>
      </c>
      <c r="H183" s="31">
        <f>'18. DTH'!Z408</f>
        <v>426.72</v>
      </c>
      <c r="I183" s="1"/>
    </row>
    <row r="184" spans="1:9">
      <c r="A184" s="1"/>
      <c r="B184" s="3760" t="s">
        <v>95</v>
      </c>
      <c r="C184" s="3763" t="s">
        <v>11</v>
      </c>
      <c r="D184" s="3763" t="s">
        <v>136</v>
      </c>
      <c r="E184" s="3775">
        <v>530809</v>
      </c>
      <c r="F184" s="21" t="s">
        <v>13</v>
      </c>
      <c r="G184" s="21" t="s">
        <v>14</v>
      </c>
      <c r="H184" s="31">
        <f>'18. DTH'!Z409</f>
        <v>13767.935999999998</v>
      </c>
      <c r="I184" s="1"/>
    </row>
    <row r="185" spans="1:9">
      <c r="A185" s="1"/>
      <c r="B185" s="3760" t="s">
        <v>95</v>
      </c>
      <c r="C185" s="3763" t="s">
        <v>11</v>
      </c>
      <c r="D185" s="3767" t="s">
        <v>138</v>
      </c>
      <c r="E185" s="3774">
        <v>530826</v>
      </c>
      <c r="F185" s="21" t="s">
        <v>13</v>
      </c>
      <c r="G185" s="21" t="s">
        <v>14</v>
      </c>
      <c r="H185" s="31">
        <f>'18. DTH'!Z410</f>
        <v>869.12</v>
      </c>
      <c r="I185" s="1"/>
    </row>
    <row r="186" spans="1:9">
      <c r="A186" s="1"/>
      <c r="B186" s="3760" t="s">
        <v>95</v>
      </c>
      <c r="C186" s="3763" t="s">
        <v>11</v>
      </c>
      <c r="D186" s="3764" t="s">
        <v>20</v>
      </c>
      <c r="E186" s="33">
        <v>531407</v>
      </c>
      <c r="F186" s="36" t="s">
        <v>13</v>
      </c>
      <c r="G186" s="36" t="s">
        <v>14</v>
      </c>
      <c r="H186" s="31">
        <f>'18. DTH'!Z411</f>
        <v>35</v>
      </c>
      <c r="I186" s="1"/>
    </row>
    <row r="187" spans="1:9">
      <c r="A187" s="1"/>
      <c r="B187" s="3760" t="s">
        <v>95</v>
      </c>
      <c r="C187" s="3767" t="s">
        <v>39</v>
      </c>
      <c r="D187" s="3773" t="s">
        <v>140</v>
      </c>
      <c r="E187" s="3775">
        <v>530606</v>
      </c>
      <c r="F187" s="21" t="s">
        <v>13</v>
      </c>
      <c r="G187" s="21" t="s">
        <v>18</v>
      </c>
      <c r="H187" s="31">
        <f>'18. DTH'!Z428</f>
        <v>100000.32000000001</v>
      </c>
      <c r="I187" s="1"/>
    </row>
    <row r="188" spans="1:9">
      <c r="A188" s="1"/>
      <c r="B188" s="3760" t="s">
        <v>95</v>
      </c>
      <c r="C188" s="3763" t="s">
        <v>17</v>
      </c>
      <c r="D188" s="3773" t="s">
        <v>140</v>
      </c>
      <c r="E188" s="3775">
        <v>530606</v>
      </c>
      <c r="F188" s="21" t="s">
        <v>13</v>
      </c>
      <c r="G188" s="21" t="s">
        <v>30</v>
      </c>
      <c r="H188" s="31">
        <f>'18. DTH'!Z429</f>
        <v>50064.000000000007</v>
      </c>
      <c r="I188" s="1"/>
    </row>
    <row r="189" spans="1:9">
      <c r="A189" s="1"/>
      <c r="B189" s="3760" t="s">
        <v>95</v>
      </c>
      <c r="C189" s="3773" t="s">
        <v>29</v>
      </c>
      <c r="D189" s="3773" t="s">
        <v>140</v>
      </c>
      <c r="E189" s="3775">
        <v>530606</v>
      </c>
      <c r="F189" s="21" t="s">
        <v>13</v>
      </c>
      <c r="G189" s="21" t="s">
        <v>30</v>
      </c>
      <c r="H189" s="41">
        <f>'18. DTH'!Z431</f>
        <v>50064.000000000007</v>
      </c>
      <c r="I189" s="1"/>
    </row>
    <row r="190" spans="1:9">
      <c r="A190" s="25"/>
      <c r="B190" s="3760" t="s">
        <v>95</v>
      </c>
      <c r="C190" s="3763" t="s">
        <v>11</v>
      </c>
      <c r="D190" s="3767" t="s">
        <v>48</v>
      </c>
      <c r="E190" s="3775">
        <v>570201</v>
      </c>
      <c r="F190" s="21" t="s">
        <v>13</v>
      </c>
      <c r="G190" s="21" t="s">
        <v>18</v>
      </c>
      <c r="H190" s="31">
        <f>'18. DTH'!Z412</f>
        <v>2429.96</v>
      </c>
      <c r="I190" s="1"/>
    </row>
    <row r="191" spans="1:9">
      <c r="A191" s="25"/>
      <c r="B191" s="3760" t="s">
        <v>95</v>
      </c>
      <c r="C191" s="3763" t="s">
        <v>11</v>
      </c>
      <c r="D191" s="3767" t="s">
        <v>143</v>
      </c>
      <c r="E191" s="3775">
        <v>580209</v>
      </c>
      <c r="F191" s="21" t="s">
        <v>13</v>
      </c>
      <c r="G191" s="21" t="s">
        <v>18</v>
      </c>
      <c r="H191" s="31">
        <f>'18. DTH'!Z405</f>
        <v>1280000</v>
      </c>
      <c r="I191" s="1"/>
    </row>
    <row r="192" spans="1:9">
      <c r="A192" s="25"/>
      <c r="B192" s="3760" t="s">
        <v>95</v>
      </c>
      <c r="C192" s="3763" t="s">
        <v>11</v>
      </c>
      <c r="D192" s="3773" t="s">
        <v>49</v>
      </c>
      <c r="E192" s="3775">
        <v>580208</v>
      </c>
      <c r="F192" s="21" t="s">
        <v>13</v>
      </c>
      <c r="G192" s="21" t="s">
        <v>18</v>
      </c>
      <c r="H192" s="31">
        <f>'18. DTH'!Z413</f>
        <v>4980.0000000000009</v>
      </c>
      <c r="I192" s="1"/>
    </row>
    <row r="193" spans="1:9">
      <c r="A193" s="25"/>
      <c r="B193" s="3760" t="s">
        <v>95</v>
      </c>
      <c r="C193" s="3768" t="s">
        <v>11</v>
      </c>
      <c r="D193" s="3769" t="s">
        <v>20</v>
      </c>
      <c r="E193" s="3776">
        <v>840107</v>
      </c>
      <c r="F193" s="51" t="s">
        <v>13</v>
      </c>
      <c r="G193" s="24" t="s">
        <v>14</v>
      </c>
      <c r="H193" s="31">
        <f>'18. DTH'!Z402</f>
        <v>423188.3</v>
      </c>
      <c r="I193" s="1"/>
    </row>
    <row r="194" spans="1:9">
      <c r="A194" s="25"/>
      <c r="B194" s="3760" t="s">
        <v>95</v>
      </c>
      <c r="C194" s="3763" t="s">
        <v>11</v>
      </c>
      <c r="D194" s="3764" t="s">
        <v>22</v>
      </c>
      <c r="E194" s="32">
        <v>840103</v>
      </c>
      <c r="F194" s="21" t="s">
        <v>13</v>
      </c>
      <c r="G194" s="27" t="s">
        <v>14</v>
      </c>
      <c r="H194" s="31">
        <f>'18. DTH'!Z414</f>
        <v>3407.2975999999999</v>
      </c>
      <c r="I194" s="1"/>
    </row>
    <row r="195" spans="1:9">
      <c r="A195" s="25"/>
      <c r="B195" s="3760" t="s">
        <v>95</v>
      </c>
      <c r="C195" s="3763" t="s">
        <v>17</v>
      </c>
      <c r="D195" s="3773" t="s">
        <v>20</v>
      </c>
      <c r="E195" s="3775">
        <v>840107</v>
      </c>
      <c r="F195" s="21" t="s">
        <v>13</v>
      </c>
      <c r="G195" s="27" t="s">
        <v>14</v>
      </c>
      <c r="H195" s="31">
        <f>'18. DTH'!Z430</f>
        <v>8736</v>
      </c>
      <c r="I195" s="1"/>
    </row>
    <row r="196" spans="1:9" ht="63">
      <c r="A196" s="1"/>
      <c r="B196" s="3760" t="s">
        <v>146</v>
      </c>
      <c r="C196" s="3770" t="s">
        <v>11</v>
      </c>
      <c r="D196" s="3766" t="s">
        <v>26</v>
      </c>
      <c r="E196" s="30">
        <v>530204</v>
      </c>
      <c r="F196" s="21" t="s">
        <v>13</v>
      </c>
      <c r="G196" s="21" t="s">
        <v>14</v>
      </c>
      <c r="H196" s="31">
        <f>'19. DFIN'!Z287</f>
        <v>30.004800000000003</v>
      </c>
      <c r="I196" s="1"/>
    </row>
    <row r="197" spans="1:9">
      <c r="A197" s="1"/>
      <c r="B197" s="3760" t="s">
        <v>146</v>
      </c>
      <c r="C197" s="3770" t="s">
        <v>11</v>
      </c>
      <c r="D197" s="3773" t="s">
        <v>31</v>
      </c>
      <c r="E197" s="30">
        <v>530207</v>
      </c>
      <c r="F197" s="21" t="s">
        <v>13</v>
      </c>
      <c r="G197" s="21" t="s">
        <v>14</v>
      </c>
      <c r="H197" s="31">
        <f>'19. DFIN'!Z288</f>
        <v>299.99760000000003</v>
      </c>
      <c r="I197" s="1"/>
    </row>
    <row r="198" spans="1:9">
      <c r="A198" s="1"/>
      <c r="B198" s="3760" t="s">
        <v>146</v>
      </c>
      <c r="C198" s="3770" t="s">
        <v>11</v>
      </c>
      <c r="D198" s="3763" t="s">
        <v>32</v>
      </c>
      <c r="E198" s="30">
        <v>530404</v>
      </c>
      <c r="F198" s="21" t="s">
        <v>13</v>
      </c>
      <c r="G198" s="21" t="s">
        <v>14</v>
      </c>
      <c r="H198" s="31">
        <f>'19. DFIN'!Z289</f>
        <v>92610.11</v>
      </c>
      <c r="I198" s="1"/>
    </row>
    <row r="199" spans="1:9">
      <c r="A199" s="1"/>
      <c r="B199" s="3760" t="s">
        <v>146</v>
      </c>
      <c r="C199" s="3770" t="s">
        <v>11</v>
      </c>
      <c r="D199" s="3764" t="s">
        <v>20</v>
      </c>
      <c r="E199" s="33">
        <v>531407</v>
      </c>
      <c r="F199" s="36" t="s">
        <v>13</v>
      </c>
      <c r="G199" s="36" t="s">
        <v>14</v>
      </c>
      <c r="H199" s="31">
        <f>'19. DFIN'!Z290</f>
        <v>1275.2924800000001</v>
      </c>
      <c r="I199" s="1"/>
    </row>
    <row r="200" spans="1:9">
      <c r="A200" s="25"/>
      <c r="B200" s="3760" t="s">
        <v>146</v>
      </c>
      <c r="C200" s="3770" t="s">
        <v>11</v>
      </c>
      <c r="D200" s="3764" t="s">
        <v>147</v>
      </c>
      <c r="E200" s="30">
        <v>570203</v>
      </c>
      <c r="F200" s="21" t="s">
        <v>13</v>
      </c>
      <c r="G200" s="21" t="s">
        <v>30</v>
      </c>
      <c r="H200" s="31">
        <f>'19. DFIN'!Z291</f>
        <v>159.04</v>
      </c>
      <c r="I200" s="1"/>
    </row>
    <row r="201" spans="1:9">
      <c r="A201" s="25"/>
      <c r="B201" s="3760" t="s">
        <v>146</v>
      </c>
      <c r="C201" s="3770" t="s">
        <v>11</v>
      </c>
      <c r="D201" s="3773" t="s">
        <v>22</v>
      </c>
      <c r="E201" s="30">
        <v>840103</v>
      </c>
      <c r="F201" s="21" t="s">
        <v>13</v>
      </c>
      <c r="G201" s="27" t="s">
        <v>14</v>
      </c>
      <c r="H201" s="31">
        <f>'19. DFIN'!Z293</f>
        <v>1079.99584</v>
      </c>
      <c r="I201" s="1"/>
    </row>
    <row r="202" spans="1:9">
      <c r="A202" s="25"/>
      <c r="B202" s="3760" t="s">
        <v>146</v>
      </c>
      <c r="C202" s="3770" t="s">
        <v>11</v>
      </c>
      <c r="D202" s="3763" t="s">
        <v>148</v>
      </c>
      <c r="E202" s="23">
        <v>840104</v>
      </c>
      <c r="F202" s="21" t="s">
        <v>13</v>
      </c>
      <c r="G202" s="27" t="s">
        <v>14</v>
      </c>
      <c r="H202" s="31">
        <f>'19. DFIN'!Z294</f>
        <v>360.00384000000003</v>
      </c>
      <c r="I202" s="1"/>
    </row>
    <row r="203" spans="1:9">
      <c r="A203" s="1"/>
      <c r="B203" s="3760" t="s">
        <v>149</v>
      </c>
      <c r="C203" s="3771" t="s">
        <v>11</v>
      </c>
      <c r="D203" s="3772" t="s">
        <v>150</v>
      </c>
      <c r="E203" s="1485">
        <v>530101</v>
      </c>
      <c r="F203" s="51" t="s">
        <v>13</v>
      </c>
      <c r="G203" s="36" t="s">
        <v>14</v>
      </c>
      <c r="H203" s="31">
        <f>SUM('20. DADM'!Z345)</f>
        <v>61600.000000000007</v>
      </c>
      <c r="I203" s="1"/>
    </row>
    <row r="204" spans="1:9">
      <c r="A204" s="1"/>
      <c r="B204" s="3760" t="s">
        <v>149</v>
      </c>
      <c r="C204" s="3771" t="s">
        <v>11</v>
      </c>
      <c r="D204" s="3772" t="s">
        <v>151</v>
      </c>
      <c r="E204" s="52">
        <v>530104</v>
      </c>
      <c r="F204" s="51" t="s">
        <v>13</v>
      </c>
      <c r="G204" s="21" t="s">
        <v>14</v>
      </c>
      <c r="H204" s="31">
        <f>'20. DADM'!Z346</f>
        <v>200000</v>
      </c>
      <c r="I204" s="1"/>
    </row>
    <row r="205" spans="1:9">
      <c r="A205" s="1"/>
      <c r="B205" s="3760" t="s">
        <v>149</v>
      </c>
      <c r="C205" s="3771" t="s">
        <v>11</v>
      </c>
      <c r="D205" s="3772" t="s">
        <v>43</v>
      </c>
      <c r="E205" s="1485">
        <v>530105</v>
      </c>
      <c r="F205" s="51" t="s">
        <v>13</v>
      </c>
      <c r="G205" s="36" t="s">
        <v>14</v>
      </c>
      <c r="H205" s="31">
        <f>'20. DADM'!Z347</f>
        <v>30000</v>
      </c>
      <c r="I205" s="1"/>
    </row>
    <row r="206" spans="1:9">
      <c r="A206" s="1"/>
      <c r="B206" s="3760" t="s">
        <v>149</v>
      </c>
      <c r="C206" s="3771" t="s">
        <v>11</v>
      </c>
      <c r="D206" s="3772" t="s">
        <v>152</v>
      </c>
      <c r="E206" s="1485">
        <v>530804</v>
      </c>
      <c r="F206" s="51" t="s">
        <v>13</v>
      </c>
      <c r="G206" s="36" t="s">
        <v>14</v>
      </c>
      <c r="H206" s="31">
        <f>'20. DADM'!Z349</f>
        <v>16800</v>
      </c>
      <c r="I206" s="1"/>
    </row>
    <row r="207" spans="1:9">
      <c r="A207" s="1"/>
      <c r="B207" s="3760" t="s">
        <v>149</v>
      </c>
      <c r="C207" s="3771" t="s">
        <v>11</v>
      </c>
      <c r="D207" s="3772" t="s">
        <v>91</v>
      </c>
      <c r="E207" s="1485">
        <v>530805</v>
      </c>
      <c r="F207" s="51" t="s">
        <v>13</v>
      </c>
      <c r="G207" s="36" t="s">
        <v>14</v>
      </c>
      <c r="H207" s="31">
        <f>'20. DADM'!Z350</f>
        <v>14560.000000000002</v>
      </c>
      <c r="I207" s="1"/>
    </row>
    <row r="208" spans="1:9" ht="31.5">
      <c r="A208" s="1"/>
      <c r="B208" s="3760" t="s">
        <v>149</v>
      </c>
      <c r="C208" s="3771" t="s">
        <v>11</v>
      </c>
      <c r="D208" s="3772" t="s">
        <v>44</v>
      </c>
      <c r="E208" s="1485">
        <v>530807</v>
      </c>
      <c r="F208" s="51" t="s">
        <v>13</v>
      </c>
      <c r="G208" s="36" t="s">
        <v>14</v>
      </c>
      <c r="H208" s="31">
        <f>'20. DADM'!Z351</f>
        <v>22400.000000000004</v>
      </c>
      <c r="I208" s="1"/>
    </row>
    <row r="209" spans="1:9">
      <c r="A209" s="1"/>
      <c r="B209" s="3760" t="s">
        <v>149</v>
      </c>
      <c r="C209" s="3771" t="s">
        <v>11</v>
      </c>
      <c r="D209" s="3772" t="s">
        <v>20</v>
      </c>
      <c r="E209" s="1485">
        <v>531407</v>
      </c>
      <c r="F209" s="51" t="s">
        <v>13</v>
      </c>
      <c r="G209" s="36" t="s">
        <v>14</v>
      </c>
      <c r="H209" s="31">
        <f>'20. DADM'!Z352</f>
        <v>996.80000000000007</v>
      </c>
      <c r="I209" s="1"/>
    </row>
    <row r="210" spans="1:9">
      <c r="A210" s="1"/>
      <c r="B210" s="3760" t="s">
        <v>149</v>
      </c>
      <c r="C210" s="3771" t="s">
        <v>11</v>
      </c>
      <c r="D210" s="3772" t="s">
        <v>153</v>
      </c>
      <c r="E210" s="52">
        <v>530405</v>
      </c>
      <c r="F210" s="51" t="s">
        <v>13</v>
      </c>
      <c r="G210" s="21" t="s">
        <v>14</v>
      </c>
      <c r="H210" s="31">
        <f>'20. DADM'!Z355</f>
        <v>56000.000000000007</v>
      </c>
      <c r="I210" s="1"/>
    </row>
    <row r="211" spans="1:9">
      <c r="A211" s="1"/>
      <c r="B211" s="3760" t="s">
        <v>149</v>
      </c>
      <c r="C211" s="3771" t="s">
        <v>11</v>
      </c>
      <c r="D211" s="3772" t="s">
        <v>154</v>
      </c>
      <c r="E211" s="52">
        <v>530803</v>
      </c>
      <c r="F211" s="51" t="s">
        <v>13</v>
      </c>
      <c r="G211" s="21" t="s">
        <v>14</v>
      </c>
      <c r="H211" s="31">
        <f>'20. DADM'!Z356</f>
        <v>47040.000000000007</v>
      </c>
      <c r="I211" s="1"/>
    </row>
    <row r="212" spans="1:9">
      <c r="A212" s="1"/>
      <c r="B212" s="3760" t="s">
        <v>149</v>
      </c>
      <c r="C212" s="3771" t="s">
        <v>11</v>
      </c>
      <c r="D212" s="3772" t="s">
        <v>155</v>
      </c>
      <c r="E212" s="52">
        <v>530208</v>
      </c>
      <c r="F212" s="51" t="s">
        <v>13</v>
      </c>
      <c r="G212" s="21" t="s">
        <v>14</v>
      </c>
      <c r="H212" s="31">
        <f>'20. DADM'!Z357</f>
        <v>142671.24000000002</v>
      </c>
      <c r="I212" s="1"/>
    </row>
    <row r="213" spans="1:9">
      <c r="A213" s="1"/>
      <c r="B213" s="3760" t="s">
        <v>149</v>
      </c>
      <c r="C213" s="3771" t="s">
        <v>11</v>
      </c>
      <c r="D213" s="3772" t="s">
        <v>156</v>
      </c>
      <c r="E213" s="52">
        <v>531002</v>
      </c>
      <c r="F213" s="51" t="s">
        <v>13</v>
      </c>
      <c r="G213" s="21" t="s">
        <v>14</v>
      </c>
      <c r="H213" s="31">
        <f>'20. DADM'!Z359</f>
        <v>2340.5984000000003</v>
      </c>
      <c r="I213" s="1"/>
    </row>
    <row r="214" spans="1:9">
      <c r="A214" s="1"/>
      <c r="B214" s="3760" t="s">
        <v>149</v>
      </c>
      <c r="C214" s="3771" t="s">
        <v>11</v>
      </c>
      <c r="D214" s="3772" t="s">
        <v>24</v>
      </c>
      <c r="E214" s="52">
        <v>531404</v>
      </c>
      <c r="F214" s="51" t="s">
        <v>13</v>
      </c>
      <c r="G214" s="21" t="s">
        <v>14</v>
      </c>
      <c r="H214" s="31">
        <f>'20. DADM'!Z360</f>
        <v>750.22080000000005</v>
      </c>
      <c r="I214" s="1"/>
    </row>
    <row r="215" spans="1:9">
      <c r="A215" s="1"/>
      <c r="B215" s="3760" t="s">
        <v>149</v>
      </c>
      <c r="C215" s="3771" t="s">
        <v>11</v>
      </c>
      <c r="D215" s="3772" t="s">
        <v>157</v>
      </c>
      <c r="E215" s="52">
        <v>530813</v>
      </c>
      <c r="F215" s="51" t="s">
        <v>13</v>
      </c>
      <c r="G215" s="21" t="s">
        <v>14</v>
      </c>
      <c r="H215" s="31">
        <f>'20. DADM'!Z361</f>
        <v>2898.7200000000003</v>
      </c>
      <c r="I215" s="1"/>
    </row>
    <row r="216" spans="1:9">
      <c r="A216" s="1"/>
      <c r="B216" s="3760" t="s">
        <v>149</v>
      </c>
      <c r="C216" s="3771" t="s">
        <v>11</v>
      </c>
      <c r="D216" s="3772" t="s">
        <v>79</v>
      </c>
      <c r="E216" s="52">
        <v>530301</v>
      </c>
      <c r="F216" s="51" t="s">
        <v>13</v>
      </c>
      <c r="G216" s="21" t="s">
        <v>14</v>
      </c>
      <c r="H216" s="31">
        <f>'20. DADM'!Z362</f>
        <v>6000</v>
      </c>
      <c r="I216" s="1"/>
    </row>
    <row r="217" spans="1:9">
      <c r="A217" s="1"/>
      <c r="B217" s="3760" t="s">
        <v>149</v>
      </c>
      <c r="C217" s="3771" t="s">
        <v>11</v>
      </c>
      <c r="D217" s="3772" t="s">
        <v>158</v>
      </c>
      <c r="E217" s="52">
        <v>530302</v>
      </c>
      <c r="F217" s="51" t="s">
        <v>13</v>
      </c>
      <c r="G217" s="21" t="s">
        <v>14</v>
      </c>
      <c r="H217" s="31">
        <f>'20. DADM'!Z363</f>
        <v>4000</v>
      </c>
      <c r="I217" s="1"/>
    </row>
    <row r="218" spans="1:9">
      <c r="A218" s="1"/>
      <c r="B218" s="3760" t="s">
        <v>149</v>
      </c>
      <c r="C218" s="3771" t="s">
        <v>11</v>
      </c>
      <c r="D218" s="3772" t="s">
        <v>70</v>
      </c>
      <c r="E218" s="52">
        <v>530303</v>
      </c>
      <c r="F218" s="51" t="s">
        <v>13</v>
      </c>
      <c r="G218" s="21" t="s">
        <v>14</v>
      </c>
      <c r="H218" s="31">
        <f>'20. DADM'!Z364</f>
        <v>10000</v>
      </c>
      <c r="I218" s="1"/>
    </row>
    <row r="219" spans="1:9" ht="47.25">
      <c r="A219" s="1"/>
      <c r="B219" s="3760" t="s">
        <v>149</v>
      </c>
      <c r="C219" s="3771" t="s">
        <v>11</v>
      </c>
      <c r="D219" s="3772" t="s">
        <v>83</v>
      </c>
      <c r="E219" s="52">
        <v>530811</v>
      </c>
      <c r="F219" s="51" t="s">
        <v>13</v>
      </c>
      <c r="G219" s="21" t="s">
        <v>14</v>
      </c>
      <c r="H219" s="31">
        <f>'20. DADM'!Z367</f>
        <v>20024.64</v>
      </c>
      <c r="I219" s="1"/>
    </row>
    <row r="220" spans="1:9" ht="31.5">
      <c r="A220" s="1"/>
      <c r="B220" s="3760" t="s">
        <v>149</v>
      </c>
      <c r="C220" s="3771" t="s">
        <v>11</v>
      </c>
      <c r="D220" s="3772" t="s">
        <v>16</v>
      </c>
      <c r="E220" s="52">
        <v>530402</v>
      </c>
      <c r="F220" s="51" t="s">
        <v>13</v>
      </c>
      <c r="G220" s="21" t="s">
        <v>14</v>
      </c>
      <c r="H220" s="31">
        <f>'20. DADM'!Z368</f>
        <v>70560</v>
      </c>
      <c r="I220" s="1"/>
    </row>
    <row r="221" spans="1:9" ht="31.5">
      <c r="A221" s="1"/>
      <c r="B221" s="3760" t="s">
        <v>149</v>
      </c>
      <c r="C221" s="3771" t="s">
        <v>11</v>
      </c>
      <c r="D221" s="3772" t="s">
        <v>32</v>
      </c>
      <c r="E221" s="52">
        <v>530404</v>
      </c>
      <c r="F221" s="51" t="s">
        <v>13</v>
      </c>
      <c r="G221" s="21" t="s">
        <v>14</v>
      </c>
      <c r="H221" s="31">
        <f>'20. DADM'!Z369</f>
        <v>16300.003199999999</v>
      </c>
      <c r="I221" s="1"/>
    </row>
    <row r="222" spans="1:9" ht="31.5">
      <c r="A222" s="1"/>
      <c r="B222" s="3760" t="s">
        <v>149</v>
      </c>
      <c r="C222" s="3771" t="s">
        <v>39</v>
      </c>
      <c r="D222" s="3772" t="s">
        <v>32</v>
      </c>
      <c r="E222" s="52">
        <v>530404</v>
      </c>
      <c r="F222" s="51" t="s">
        <v>13</v>
      </c>
      <c r="G222" s="21" t="s">
        <v>18</v>
      </c>
      <c r="H222" s="31">
        <f>'20. DADM'!Z370</f>
        <v>9200.0031999999992</v>
      </c>
      <c r="I222" s="1"/>
    </row>
    <row r="223" spans="1:9">
      <c r="A223" s="1"/>
      <c r="B223" s="3760" t="s">
        <v>149</v>
      </c>
      <c r="C223" s="3771" t="s">
        <v>11</v>
      </c>
      <c r="D223" s="3772" t="s">
        <v>159</v>
      </c>
      <c r="E223" s="52">
        <v>531601</v>
      </c>
      <c r="F223" s="51" t="s">
        <v>13</v>
      </c>
      <c r="G223" s="21" t="s">
        <v>14</v>
      </c>
      <c r="H223" s="31">
        <f>'20. DADM'!Z371</f>
        <v>3599.9999999999995</v>
      </c>
      <c r="I223" s="1"/>
    </row>
    <row r="224" spans="1:9" ht="31.5">
      <c r="A224" s="25"/>
      <c r="B224" s="3760" t="s">
        <v>149</v>
      </c>
      <c r="C224" s="3773" t="s">
        <v>11</v>
      </c>
      <c r="D224" s="3764" t="s">
        <v>68</v>
      </c>
      <c r="E224" s="33">
        <v>570102</v>
      </c>
      <c r="F224" s="36" t="s">
        <v>13</v>
      </c>
      <c r="G224" s="36" t="s">
        <v>30</v>
      </c>
      <c r="H224" s="31">
        <f>'20. DADM'!Z348</f>
        <v>49163.640000000007</v>
      </c>
      <c r="I224" s="1"/>
    </row>
    <row r="225" spans="1:9">
      <c r="A225" s="25"/>
      <c r="B225" s="3760" t="s">
        <v>149</v>
      </c>
      <c r="C225" s="3892" t="s">
        <v>11</v>
      </c>
      <c r="D225" s="3893" t="s">
        <v>48</v>
      </c>
      <c r="E225" s="53">
        <v>570201</v>
      </c>
      <c r="F225" s="54" t="s">
        <v>13</v>
      </c>
      <c r="G225" s="21" t="s">
        <v>30</v>
      </c>
      <c r="H225" s="31">
        <f>'20. DADM'!Z353</f>
        <v>110320.00000000001</v>
      </c>
      <c r="I225" s="1"/>
    </row>
    <row r="226" spans="1:9">
      <c r="A226" s="25"/>
      <c r="B226" s="3760" t="s">
        <v>149</v>
      </c>
      <c r="C226" s="3892" t="s">
        <v>11</v>
      </c>
      <c r="D226" s="3893" t="s">
        <v>48</v>
      </c>
      <c r="E226" s="53">
        <v>570201</v>
      </c>
      <c r="F226" s="54" t="s">
        <v>13</v>
      </c>
      <c r="G226" s="21" t="s">
        <v>14</v>
      </c>
      <c r="H226" s="31">
        <f>'20. DADM'!Z354</f>
        <v>24379.446</v>
      </c>
      <c r="I226" s="1"/>
    </row>
    <row r="227" spans="1:9" ht="31.5">
      <c r="A227" s="25"/>
      <c r="B227" s="3760" t="s">
        <v>149</v>
      </c>
      <c r="C227" s="3773" t="s">
        <v>11</v>
      </c>
      <c r="D227" s="3764" t="s">
        <v>68</v>
      </c>
      <c r="E227" s="33">
        <v>570102</v>
      </c>
      <c r="F227" s="36" t="s">
        <v>13</v>
      </c>
      <c r="G227" s="36" t="s">
        <v>14</v>
      </c>
      <c r="H227" s="31">
        <f>'20. DADM'!Z358</f>
        <v>5949.9840000000004</v>
      </c>
      <c r="I227" s="1"/>
    </row>
    <row r="228" spans="1:9">
      <c r="A228" s="25"/>
      <c r="B228" s="3760" t="s">
        <v>149</v>
      </c>
      <c r="C228" s="3892" t="s">
        <v>11</v>
      </c>
      <c r="D228" s="3893" t="s">
        <v>22</v>
      </c>
      <c r="E228" s="53">
        <v>840103</v>
      </c>
      <c r="F228" s="54" t="s">
        <v>13</v>
      </c>
      <c r="G228" s="27" t="s">
        <v>14</v>
      </c>
      <c r="H228" s="31">
        <f>'20. DADM'!Z365</f>
        <v>1176</v>
      </c>
      <c r="I228" s="1"/>
    </row>
    <row r="229" spans="1:9">
      <c r="A229" s="25"/>
      <c r="B229" s="3760" t="s">
        <v>149</v>
      </c>
      <c r="C229" s="3892" t="s">
        <v>39</v>
      </c>
      <c r="D229" s="3893" t="s">
        <v>160</v>
      </c>
      <c r="E229" s="53">
        <v>840104</v>
      </c>
      <c r="F229" s="54" t="s">
        <v>13</v>
      </c>
      <c r="G229" s="27" t="s">
        <v>14</v>
      </c>
      <c r="H229" s="31">
        <f>'20. DADM'!Z366</f>
        <v>4016.0064000000002</v>
      </c>
      <c r="I229" s="1"/>
    </row>
    <row r="230" spans="1:9" ht="31.5">
      <c r="A230" s="1"/>
      <c r="B230" s="3760" t="s">
        <v>161</v>
      </c>
      <c r="C230" s="3763" t="s">
        <v>17</v>
      </c>
      <c r="D230" s="3766" t="s">
        <v>162</v>
      </c>
      <c r="E230" s="23">
        <v>530204</v>
      </c>
      <c r="F230" s="21" t="s">
        <v>13</v>
      </c>
      <c r="G230" s="21" t="s">
        <v>18</v>
      </c>
      <c r="H230" s="31">
        <f>'21.1. FCA'!Z715</f>
        <v>2240</v>
      </c>
      <c r="I230" s="1"/>
    </row>
    <row r="231" spans="1:9" ht="31.5">
      <c r="A231" s="1"/>
      <c r="B231" s="3760" t="s">
        <v>161</v>
      </c>
      <c r="C231" s="3763" t="s">
        <v>17</v>
      </c>
      <c r="D231" s="3766" t="s">
        <v>16</v>
      </c>
      <c r="E231" s="23">
        <v>530402</v>
      </c>
      <c r="F231" s="21" t="s">
        <v>13</v>
      </c>
      <c r="G231" s="21" t="s">
        <v>18</v>
      </c>
      <c r="H231" s="31">
        <f>'21.1. FCA'!Z716</f>
        <v>16800</v>
      </c>
      <c r="I231" s="1"/>
    </row>
    <row r="232" spans="1:9" ht="31.5">
      <c r="A232" s="1"/>
      <c r="B232" s="3760" t="s">
        <v>161</v>
      </c>
      <c r="C232" s="3763" t="s">
        <v>17</v>
      </c>
      <c r="D232" s="3764" t="s">
        <v>32</v>
      </c>
      <c r="E232" s="30">
        <v>530404</v>
      </c>
      <c r="F232" s="21" t="s">
        <v>13</v>
      </c>
      <c r="G232" s="21" t="s">
        <v>14</v>
      </c>
      <c r="H232" s="31">
        <f>'21.1. FCA'!Z717</f>
        <v>12768.000000000002</v>
      </c>
      <c r="I232" s="1"/>
    </row>
    <row r="233" spans="1:9">
      <c r="A233" s="1"/>
      <c r="B233" s="3760" t="s">
        <v>161</v>
      </c>
      <c r="C233" s="3763" t="s">
        <v>17</v>
      </c>
      <c r="D233" s="3766" t="s">
        <v>36</v>
      </c>
      <c r="E233" s="23">
        <v>530605</v>
      </c>
      <c r="F233" s="21" t="s">
        <v>13</v>
      </c>
      <c r="G233" s="21" t="s">
        <v>18</v>
      </c>
      <c r="H233" s="31">
        <f>'21.1. FCA'!Z718</f>
        <v>25760</v>
      </c>
      <c r="I233" s="1"/>
    </row>
    <row r="234" spans="1:9">
      <c r="A234" s="1"/>
      <c r="B234" s="3760" t="s">
        <v>161</v>
      </c>
      <c r="C234" s="3765" t="s">
        <v>29</v>
      </c>
      <c r="D234" s="3764" t="s">
        <v>36</v>
      </c>
      <c r="E234" s="30">
        <v>530605</v>
      </c>
      <c r="F234" s="21" t="s">
        <v>13</v>
      </c>
      <c r="G234" s="21" t="s">
        <v>30</v>
      </c>
      <c r="H234" s="31">
        <f>'21.1. FCA'!Z719</f>
        <v>22400.000000000004</v>
      </c>
      <c r="I234" s="1"/>
    </row>
    <row r="235" spans="1:9" ht="31.5">
      <c r="A235" s="1"/>
      <c r="B235" s="3760" t="s">
        <v>161</v>
      </c>
      <c r="C235" s="3763" t="s">
        <v>17</v>
      </c>
      <c r="D235" s="3766" t="s">
        <v>72</v>
      </c>
      <c r="E235" s="30">
        <v>530810</v>
      </c>
      <c r="F235" s="21" t="s">
        <v>13</v>
      </c>
      <c r="G235" s="21" t="s">
        <v>18</v>
      </c>
      <c r="H235" s="31">
        <f>'21.1. FCA'!Z720</f>
        <v>473.76000000000005</v>
      </c>
      <c r="I235" s="1"/>
    </row>
    <row r="236" spans="1:9" ht="47.25">
      <c r="A236" s="1"/>
      <c r="B236" s="3760" t="s">
        <v>161</v>
      </c>
      <c r="C236" s="3763" t="s">
        <v>39</v>
      </c>
      <c r="D236" s="3764" t="s">
        <v>83</v>
      </c>
      <c r="E236" s="30">
        <v>530811</v>
      </c>
      <c r="F236" s="21" t="s">
        <v>13</v>
      </c>
      <c r="G236" s="21" t="s">
        <v>18</v>
      </c>
      <c r="H236" s="31">
        <f>'21.1. FCA'!Z721</f>
        <v>7494.0521600000002</v>
      </c>
      <c r="I236" s="1"/>
    </row>
    <row r="237" spans="1:9">
      <c r="A237" s="1"/>
      <c r="B237" s="3760" t="s">
        <v>161</v>
      </c>
      <c r="C237" s="3765" t="s">
        <v>29</v>
      </c>
      <c r="D237" s="3766" t="s">
        <v>163</v>
      </c>
      <c r="E237" s="23">
        <v>530812</v>
      </c>
      <c r="F237" s="21" t="s">
        <v>13</v>
      </c>
      <c r="G237" s="21" t="s">
        <v>30</v>
      </c>
      <c r="H237" s="31">
        <f>'21.1. FCA'!Z722</f>
        <v>1344.0000000000002</v>
      </c>
      <c r="I237" s="1"/>
    </row>
    <row r="238" spans="1:9">
      <c r="A238" s="1"/>
      <c r="B238" s="3760" t="s">
        <v>161</v>
      </c>
      <c r="C238" s="3763" t="s">
        <v>39</v>
      </c>
      <c r="D238" s="3764" t="s">
        <v>157</v>
      </c>
      <c r="E238" s="30">
        <v>530813</v>
      </c>
      <c r="F238" s="21" t="s">
        <v>13</v>
      </c>
      <c r="G238" s="21" t="s">
        <v>18</v>
      </c>
      <c r="H238" s="31">
        <f>'21.1. FCA'!Z723</f>
        <v>497.28000000000003</v>
      </c>
      <c r="I238" s="1"/>
    </row>
    <row r="239" spans="1:9" ht="31.5">
      <c r="A239" s="1"/>
      <c r="B239" s="3760" t="s">
        <v>161</v>
      </c>
      <c r="C239" s="3763" t="s">
        <v>17</v>
      </c>
      <c r="D239" s="3764" t="s">
        <v>164</v>
      </c>
      <c r="E239" s="30">
        <v>530814</v>
      </c>
      <c r="F239" s="21" t="s">
        <v>13</v>
      </c>
      <c r="G239" s="21" t="s">
        <v>14</v>
      </c>
      <c r="H239" s="31">
        <f>'21.1. FCA'!Z724</f>
        <v>190.39999999999998</v>
      </c>
      <c r="I239" s="1"/>
    </row>
    <row r="240" spans="1:9">
      <c r="A240" s="1"/>
      <c r="B240" s="3760" t="s">
        <v>161</v>
      </c>
      <c r="C240" s="3763" t="s">
        <v>17</v>
      </c>
      <c r="D240" s="3766" t="s">
        <v>165</v>
      </c>
      <c r="E240" s="33">
        <v>530823</v>
      </c>
      <c r="F240" s="21" t="s">
        <v>13</v>
      </c>
      <c r="G240" s="21" t="s">
        <v>14</v>
      </c>
      <c r="H240" s="31">
        <f>'21.1. FCA'!Z725</f>
        <v>194.88</v>
      </c>
      <c r="I240" s="1"/>
    </row>
    <row r="241" spans="1:9" ht="31.5">
      <c r="A241" s="1"/>
      <c r="B241" s="3760" t="s">
        <v>161</v>
      </c>
      <c r="C241" s="3763" t="s">
        <v>17</v>
      </c>
      <c r="D241" s="3766" t="s">
        <v>73</v>
      </c>
      <c r="E241" s="30">
        <v>530829</v>
      </c>
      <c r="F241" s="21" t="s">
        <v>13</v>
      </c>
      <c r="G241" s="21" t="s">
        <v>30</v>
      </c>
      <c r="H241" s="31">
        <f>'21.1. FCA'!Z726</f>
        <v>22400.000000000004</v>
      </c>
      <c r="I241" s="1"/>
    </row>
    <row r="242" spans="1:9">
      <c r="A242" s="1"/>
      <c r="B242" s="3760" t="s">
        <v>161</v>
      </c>
      <c r="C242" s="3763" t="s">
        <v>39</v>
      </c>
      <c r="D242" s="3894" t="s">
        <v>24</v>
      </c>
      <c r="E242" s="30">
        <v>531404</v>
      </c>
      <c r="F242" s="21" t="s">
        <v>13</v>
      </c>
      <c r="G242" s="21" t="s">
        <v>18</v>
      </c>
      <c r="H242" s="31">
        <f>'21.1. FCA'!Z727</f>
        <v>156.80000000000001</v>
      </c>
      <c r="I242" s="1"/>
    </row>
    <row r="243" spans="1:9">
      <c r="A243" s="1"/>
      <c r="B243" s="3760" t="s">
        <v>161</v>
      </c>
      <c r="C243" s="3763" t="s">
        <v>17</v>
      </c>
      <c r="D243" s="3766" t="s">
        <v>24</v>
      </c>
      <c r="E243" s="23">
        <v>531404</v>
      </c>
      <c r="F243" s="21" t="s">
        <v>13</v>
      </c>
      <c r="G243" s="21" t="s">
        <v>30</v>
      </c>
      <c r="H243" s="31">
        <f>'21.1. FCA'!Z728</f>
        <v>67.2</v>
      </c>
      <c r="I243" s="1"/>
    </row>
    <row r="244" spans="1:9">
      <c r="A244" s="1"/>
      <c r="B244" s="3760" t="s">
        <v>161</v>
      </c>
      <c r="C244" s="3763" t="s">
        <v>17</v>
      </c>
      <c r="D244" s="3764" t="s">
        <v>24</v>
      </c>
      <c r="E244" s="30">
        <v>531404</v>
      </c>
      <c r="F244" s="21" t="s">
        <v>13</v>
      </c>
      <c r="G244" s="21" t="s">
        <v>30</v>
      </c>
      <c r="H244" s="31">
        <f>'21.1. FCA'!Z729</f>
        <v>50.4</v>
      </c>
      <c r="I244" s="1"/>
    </row>
    <row r="245" spans="1:9">
      <c r="A245" s="1"/>
      <c r="B245" s="3760" t="s">
        <v>161</v>
      </c>
      <c r="C245" s="3763" t="s">
        <v>17</v>
      </c>
      <c r="D245" s="3764" t="s">
        <v>24</v>
      </c>
      <c r="E245" s="33">
        <v>531404</v>
      </c>
      <c r="F245" s="21" t="s">
        <v>13</v>
      </c>
      <c r="G245" s="21" t="s">
        <v>30</v>
      </c>
      <c r="H245" s="31">
        <f>'21.1. FCA'!Z730</f>
        <v>100.8</v>
      </c>
      <c r="I245" s="1"/>
    </row>
    <row r="246" spans="1:9">
      <c r="A246" s="1"/>
      <c r="B246" s="3760" t="s">
        <v>161</v>
      </c>
      <c r="C246" s="3763" t="s">
        <v>17</v>
      </c>
      <c r="D246" s="3764" t="s">
        <v>24</v>
      </c>
      <c r="E246" s="33">
        <v>531404</v>
      </c>
      <c r="F246" s="21" t="s">
        <v>13</v>
      </c>
      <c r="G246" s="21" t="s">
        <v>30</v>
      </c>
      <c r="H246" s="31">
        <f>'21.1. FCA'!Z731</f>
        <v>647.08000000000004</v>
      </c>
      <c r="I246" s="1"/>
    </row>
    <row r="247" spans="1:9">
      <c r="A247" s="1"/>
      <c r="B247" s="3760" t="s">
        <v>161</v>
      </c>
      <c r="C247" s="3763" t="s">
        <v>39</v>
      </c>
      <c r="D247" s="3764" t="s">
        <v>74</v>
      </c>
      <c r="E247" s="30">
        <v>531406</v>
      </c>
      <c r="F247" s="21" t="s">
        <v>13</v>
      </c>
      <c r="G247" s="21" t="s">
        <v>18</v>
      </c>
      <c r="H247" s="31">
        <f>'21.1. FCA'!Z732</f>
        <v>588</v>
      </c>
      <c r="I247" s="1"/>
    </row>
    <row r="248" spans="1:9">
      <c r="A248" s="1"/>
      <c r="B248" s="3760" t="s">
        <v>161</v>
      </c>
      <c r="C248" s="3763" t="s">
        <v>39</v>
      </c>
      <c r="D248" s="3764" t="s">
        <v>20</v>
      </c>
      <c r="E248" s="30">
        <v>531407</v>
      </c>
      <c r="F248" s="21" t="s">
        <v>13</v>
      </c>
      <c r="G248" s="21" t="s">
        <v>18</v>
      </c>
      <c r="H248" s="31">
        <f>'21.1. FCA'!Z733</f>
        <v>109.76</v>
      </c>
      <c r="I248" s="1"/>
    </row>
    <row r="249" spans="1:9">
      <c r="A249" s="1"/>
      <c r="B249" s="3760" t="s">
        <v>161</v>
      </c>
      <c r="C249" s="3763" t="s">
        <v>39</v>
      </c>
      <c r="D249" s="3764" t="s">
        <v>20</v>
      </c>
      <c r="E249" s="30">
        <v>531407</v>
      </c>
      <c r="F249" s="21" t="s">
        <v>13</v>
      </c>
      <c r="G249" s="21" t="s">
        <v>18</v>
      </c>
      <c r="H249" s="31">
        <f>'21.1. FCA'!Z734</f>
        <v>109.76</v>
      </c>
      <c r="I249" s="1"/>
    </row>
    <row r="250" spans="1:9">
      <c r="A250" s="1"/>
      <c r="B250" s="3760" t="s">
        <v>161</v>
      </c>
      <c r="C250" s="3763" t="s">
        <v>39</v>
      </c>
      <c r="D250" s="3764" t="s">
        <v>20</v>
      </c>
      <c r="E250" s="30">
        <v>531407</v>
      </c>
      <c r="F250" s="21" t="s">
        <v>13</v>
      </c>
      <c r="G250" s="21" t="s">
        <v>18</v>
      </c>
      <c r="H250" s="31">
        <f>'21.1. FCA'!Z735</f>
        <v>70.56</v>
      </c>
      <c r="I250" s="1"/>
    </row>
    <row r="251" spans="1:9">
      <c r="A251" s="1"/>
      <c r="B251" s="3760" t="s">
        <v>161</v>
      </c>
      <c r="C251" s="3763" t="s">
        <v>17</v>
      </c>
      <c r="D251" s="3766" t="s">
        <v>20</v>
      </c>
      <c r="E251" s="23">
        <v>531407</v>
      </c>
      <c r="F251" s="21" t="s">
        <v>13</v>
      </c>
      <c r="G251" s="21" t="s">
        <v>30</v>
      </c>
      <c r="H251" s="31">
        <f>'21.1. FCA'!Z736</f>
        <v>2456.3616000000002</v>
      </c>
      <c r="I251" s="1"/>
    </row>
    <row r="252" spans="1:9">
      <c r="A252" s="1"/>
      <c r="B252" s="3760" t="s">
        <v>161</v>
      </c>
      <c r="C252" s="3763" t="s">
        <v>39</v>
      </c>
      <c r="D252" s="3764" t="s">
        <v>20</v>
      </c>
      <c r="E252" s="30">
        <v>531407</v>
      </c>
      <c r="F252" s="21" t="s">
        <v>13</v>
      </c>
      <c r="G252" s="21" t="s">
        <v>18</v>
      </c>
      <c r="H252" s="31">
        <f>'21.1. FCA'!Z737</f>
        <v>70.56</v>
      </c>
      <c r="I252" s="1"/>
    </row>
    <row r="253" spans="1:9">
      <c r="A253" s="1"/>
      <c r="B253" s="3760" t="s">
        <v>161</v>
      </c>
      <c r="C253" s="3763" t="s">
        <v>39</v>
      </c>
      <c r="D253" s="3764" t="s">
        <v>20</v>
      </c>
      <c r="E253" s="30">
        <v>531407</v>
      </c>
      <c r="F253" s="21" t="s">
        <v>13</v>
      </c>
      <c r="G253" s="21" t="s">
        <v>18</v>
      </c>
      <c r="H253" s="31">
        <f>'21.1. FCA'!Z738</f>
        <v>70.56</v>
      </c>
      <c r="I253" s="1"/>
    </row>
    <row r="254" spans="1:9">
      <c r="A254" s="1"/>
      <c r="B254" s="3760" t="s">
        <v>161</v>
      </c>
      <c r="C254" s="3763" t="s">
        <v>39</v>
      </c>
      <c r="D254" s="3764" t="s">
        <v>20</v>
      </c>
      <c r="E254" s="33">
        <v>531407</v>
      </c>
      <c r="F254" s="21" t="s">
        <v>13</v>
      </c>
      <c r="G254" s="21" t="s">
        <v>18</v>
      </c>
      <c r="H254" s="31">
        <f>'21.1. FCA'!Z739</f>
        <v>67.2</v>
      </c>
      <c r="I254" s="1"/>
    </row>
    <row r="255" spans="1:9">
      <c r="A255" s="1"/>
      <c r="B255" s="3760" t="s">
        <v>161</v>
      </c>
      <c r="C255" s="3763" t="s">
        <v>39</v>
      </c>
      <c r="D255" s="3764" t="s">
        <v>20</v>
      </c>
      <c r="E255" s="33">
        <v>531407</v>
      </c>
      <c r="F255" s="21" t="s">
        <v>13</v>
      </c>
      <c r="G255" s="21" t="s">
        <v>18</v>
      </c>
      <c r="H255" s="31">
        <f>'21.1. FCA'!Z740</f>
        <v>85.12</v>
      </c>
      <c r="I255" s="1"/>
    </row>
    <row r="256" spans="1:9">
      <c r="A256" s="1"/>
      <c r="B256" s="3760" t="s">
        <v>161</v>
      </c>
      <c r="C256" s="3763" t="s">
        <v>39</v>
      </c>
      <c r="D256" s="3764" t="s">
        <v>20</v>
      </c>
      <c r="E256" s="33">
        <v>531407</v>
      </c>
      <c r="F256" s="21" t="s">
        <v>13</v>
      </c>
      <c r="G256" s="21" t="s">
        <v>18</v>
      </c>
      <c r="H256" s="31">
        <f>'21.1. FCA'!Z741</f>
        <v>282.24</v>
      </c>
      <c r="I256" s="1"/>
    </row>
    <row r="257" spans="1:9">
      <c r="A257" s="1"/>
      <c r="B257" s="3760" t="s">
        <v>161</v>
      </c>
      <c r="C257" s="3763" t="s">
        <v>39</v>
      </c>
      <c r="D257" s="3764" t="s">
        <v>166</v>
      </c>
      <c r="E257" s="30">
        <v>531601</v>
      </c>
      <c r="F257" s="21" t="s">
        <v>13</v>
      </c>
      <c r="G257" s="21" t="s">
        <v>18</v>
      </c>
      <c r="H257" s="31">
        <f>'21.1. FCA'!Z742</f>
        <v>672</v>
      </c>
      <c r="I257" s="1"/>
    </row>
    <row r="258" spans="1:9">
      <c r="A258" s="25"/>
      <c r="B258" s="3760" t="s">
        <v>161</v>
      </c>
      <c r="C258" s="3763" t="s">
        <v>17</v>
      </c>
      <c r="D258" s="3766" t="s">
        <v>24</v>
      </c>
      <c r="E258" s="23">
        <v>840104</v>
      </c>
      <c r="F258" s="21" t="s">
        <v>13</v>
      </c>
      <c r="G258" s="27" t="s">
        <v>14</v>
      </c>
      <c r="H258" s="31">
        <f>'21.1. FCA'!Z743</f>
        <v>22400.000000000004</v>
      </c>
      <c r="I258" s="1"/>
    </row>
    <row r="259" spans="1:9">
      <c r="A259" s="25"/>
      <c r="B259" s="3760" t="s">
        <v>161</v>
      </c>
      <c r="C259" s="3763" t="s">
        <v>17</v>
      </c>
      <c r="D259" s="3766" t="s">
        <v>24</v>
      </c>
      <c r="E259" s="30">
        <v>840104</v>
      </c>
      <c r="F259" s="21" t="s">
        <v>13</v>
      </c>
      <c r="G259" s="27" t="s">
        <v>14</v>
      </c>
      <c r="H259" s="31">
        <f>'21.1. FCA'!Z744</f>
        <v>40320.000000000007</v>
      </c>
      <c r="I259" s="1"/>
    </row>
    <row r="260" spans="1:9">
      <c r="A260" s="25"/>
      <c r="B260" s="3760" t="s">
        <v>161</v>
      </c>
      <c r="C260" s="3763" t="s">
        <v>17</v>
      </c>
      <c r="D260" s="3766" t="s">
        <v>24</v>
      </c>
      <c r="E260" s="23">
        <v>840104</v>
      </c>
      <c r="F260" s="21" t="s">
        <v>13</v>
      </c>
      <c r="G260" s="27" t="s">
        <v>14</v>
      </c>
      <c r="H260" s="31">
        <f>'21.1. FCA'!Z745</f>
        <v>10584.000000000002</v>
      </c>
      <c r="I260" s="1"/>
    </row>
    <row r="261" spans="1:9">
      <c r="A261" s="25"/>
      <c r="B261" s="3760" t="s">
        <v>161</v>
      </c>
      <c r="C261" s="3763" t="s">
        <v>17</v>
      </c>
      <c r="D261" s="3764" t="s">
        <v>24</v>
      </c>
      <c r="E261" s="33">
        <v>840104</v>
      </c>
      <c r="F261" s="21" t="s">
        <v>13</v>
      </c>
      <c r="G261" s="27" t="s">
        <v>14</v>
      </c>
      <c r="H261" s="31">
        <f>'21.1. FCA'!Z746</f>
        <v>1461.6</v>
      </c>
      <c r="I261" s="1"/>
    </row>
    <row r="262" spans="1:9">
      <c r="A262" s="25"/>
      <c r="B262" s="3760" t="s">
        <v>161</v>
      </c>
      <c r="C262" s="3763" t="s">
        <v>17</v>
      </c>
      <c r="D262" s="3764" t="s">
        <v>24</v>
      </c>
      <c r="E262" s="33">
        <v>840104</v>
      </c>
      <c r="F262" s="21" t="s">
        <v>13</v>
      </c>
      <c r="G262" s="27" t="s">
        <v>14</v>
      </c>
      <c r="H262" s="31">
        <f>'21.1. FCA'!Z747</f>
        <v>6696.524800000002</v>
      </c>
      <c r="I262" s="1"/>
    </row>
    <row r="263" spans="1:9">
      <c r="A263" s="1"/>
      <c r="B263" s="3760" t="s">
        <v>161</v>
      </c>
      <c r="C263" s="3765" t="s">
        <v>29</v>
      </c>
      <c r="D263" s="3766" t="s">
        <v>20</v>
      </c>
      <c r="E263" s="23">
        <v>840107</v>
      </c>
      <c r="F263" s="21" t="s">
        <v>13</v>
      </c>
      <c r="G263" s="24" t="s">
        <v>14</v>
      </c>
      <c r="H263" s="31">
        <f>'21.1. FCA'!Z748</f>
        <v>448.00000000000006</v>
      </c>
      <c r="I263" s="1"/>
    </row>
    <row r="264" spans="1:9">
      <c r="A264" s="25"/>
      <c r="B264" s="3760" t="s">
        <v>161</v>
      </c>
      <c r="C264" s="3763" t="s">
        <v>39</v>
      </c>
      <c r="D264" s="3764" t="s">
        <v>20</v>
      </c>
      <c r="E264" s="33">
        <v>840107</v>
      </c>
      <c r="F264" s="21" t="s">
        <v>13</v>
      </c>
      <c r="G264" s="27" t="s">
        <v>14</v>
      </c>
      <c r="H264" s="31">
        <f>'21.1. FCA'!Z749</f>
        <v>1030.1984000000002</v>
      </c>
      <c r="I264" s="1"/>
    </row>
    <row r="265" spans="1:9" ht="63">
      <c r="A265" s="1"/>
      <c r="B265" s="3760" t="s">
        <v>167</v>
      </c>
      <c r="C265" s="3764" t="s">
        <v>17</v>
      </c>
      <c r="D265" s="3764" t="s">
        <v>26</v>
      </c>
      <c r="E265" s="33">
        <v>530204</v>
      </c>
      <c r="F265" s="21" t="s">
        <v>13</v>
      </c>
      <c r="G265" s="21" t="s">
        <v>18</v>
      </c>
      <c r="H265" s="31">
        <f>SUM('21.2. FCE'!Y851)</f>
        <v>33600</v>
      </c>
      <c r="I265" s="1"/>
    </row>
    <row r="266" spans="1:9" ht="31.5">
      <c r="A266" s="1"/>
      <c r="B266" s="3760" t="s">
        <v>167</v>
      </c>
      <c r="C266" s="3764" t="s">
        <v>39</v>
      </c>
      <c r="D266" s="3764" t="s">
        <v>16</v>
      </c>
      <c r="E266" s="33">
        <v>530402</v>
      </c>
      <c r="F266" s="21" t="s">
        <v>13</v>
      </c>
      <c r="G266" s="21" t="s">
        <v>18</v>
      </c>
      <c r="H266" s="31">
        <f>SUM('21.2. FCE'!Y852)</f>
        <v>8736.9497600000013</v>
      </c>
      <c r="I266" s="1"/>
    </row>
    <row r="267" spans="1:9" ht="31.5">
      <c r="A267" s="1"/>
      <c r="B267" s="3760" t="s">
        <v>167</v>
      </c>
      <c r="C267" s="3764" t="s">
        <v>17</v>
      </c>
      <c r="D267" s="3764" t="s">
        <v>32</v>
      </c>
      <c r="E267" s="33">
        <v>530404</v>
      </c>
      <c r="F267" s="21" t="s">
        <v>13</v>
      </c>
      <c r="G267" s="21" t="s">
        <v>14</v>
      </c>
      <c r="H267" s="31">
        <f>SUM('21.2. FCE'!Y853)</f>
        <v>22400.000000000004</v>
      </c>
      <c r="I267" s="1"/>
    </row>
    <row r="268" spans="1:9" ht="31.5">
      <c r="A268" s="1"/>
      <c r="B268" s="3760" t="s">
        <v>167</v>
      </c>
      <c r="C268" s="3764" t="s">
        <v>29</v>
      </c>
      <c r="D268" s="3764" t="s">
        <v>168</v>
      </c>
      <c r="E268" s="33">
        <v>530611</v>
      </c>
      <c r="F268" s="21" t="s">
        <v>13</v>
      </c>
      <c r="G268" s="21" t="s">
        <v>30</v>
      </c>
      <c r="H268" s="31">
        <f>SUM('21.2. FCE'!Y854)</f>
        <v>20160.000000000004</v>
      </c>
      <c r="I268" s="1"/>
    </row>
    <row r="269" spans="1:9" ht="31.5">
      <c r="A269" s="1"/>
      <c r="B269" s="3760" t="s">
        <v>167</v>
      </c>
      <c r="C269" s="3764" t="s">
        <v>17</v>
      </c>
      <c r="D269" s="3764" t="s">
        <v>73</v>
      </c>
      <c r="E269" s="33">
        <v>530829</v>
      </c>
      <c r="F269" s="21" t="s">
        <v>13</v>
      </c>
      <c r="G269" s="21" t="s">
        <v>30</v>
      </c>
      <c r="H269" s="31">
        <f>SUM('21.2. FCE'!Y855)</f>
        <v>56000.000000000007</v>
      </c>
      <c r="I269" s="1"/>
    </row>
    <row r="270" spans="1:9">
      <c r="A270" s="25"/>
      <c r="B270" s="3760" t="s">
        <v>167</v>
      </c>
      <c r="C270" s="3764" t="s">
        <v>17</v>
      </c>
      <c r="D270" s="3764" t="s">
        <v>20</v>
      </c>
      <c r="E270" s="33">
        <v>840107</v>
      </c>
      <c r="F270" s="21" t="s">
        <v>13</v>
      </c>
      <c r="G270" s="27" t="s">
        <v>14</v>
      </c>
      <c r="H270" s="31">
        <f>SUM('21.2. FCE'!Y856)</f>
        <v>22400.000000000004</v>
      </c>
      <c r="I270" s="1"/>
    </row>
    <row r="271" spans="1:9" ht="63">
      <c r="A271" s="1"/>
      <c r="B271" s="3760" t="s">
        <v>169</v>
      </c>
      <c r="C271" s="3764" t="s">
        <v>17</v>
      </c>
      <c r="D271" s="3764" t="s">
        <v>26</v>
      </c>
      <c r="E271" s="30">
        <v>530204</v>
      </c>
      <c r="F271" s="21" t="s">
        <v>13</v>
      </c>
      <c r="G271" s="21" t="s">
        <v>18</v>
      </c>
      <c r="H271" s="31">
        <f>'21.3. FCQS'!Y660</f>
        <v>33600</v>
      </c>
      <c r="I271" s="1"/>
    </row>
    <row r="272" spans="1:9" ht="31.5">
      <c r="A272" s="1"/>
      <c r="B272" s="3760" t="s">
        <v>169</v>
      </c>
      <c r="C272" s="3764" t="s">
        <v>39</v>
      </c>
      <c r="D272" s="3764" t="s">
        <v>16</v>
      </c>
      <c r="E272" s="30">
        <v>530402</v>
      </c>
      <c r="F272" s="21" t="s">
        <v>13</v>
      </c>
      <c r="G272" s="21" t="s">
        <v>18</v>
      </c>
      <c r="H272" s="31">
        <f>'21.3. FCQS'!Y661</f>
        <v>8085.2808960000002</v>
      </c>
      <c r="I272" s="1"/>
    </row>
    <row r="273" spans="1:9" ht="31.5">
      <c r="A273" s="1"/>
      <c r="B273" s="3760" t="s">
        <v>169</v>
      </c>
      <c r="C273" s="3764" t="s">
        <v>17</v>
      </c>
      <c r="D273" s="3764" t="s">
        <v>16</v>
      </c>
      <c r="E273" s="30">
        <v>530402</v>
      </c>
      <c r="F273" s="21" t="s">
        <v>13</v>
      </c>
      <c r="G273" s="21" t="s">
        <v>18</v>
      </c>
      <c r="H273" s="31">
        <f>'21.3. FCQS'!Y662</f>
        <v>13440.000000000002</v>
      </c>
      <c r="I273" s="1"/>
    </row>
    <row r="274" spans="1:9" ht="31.5">
      <c r="A274" s="1"/>
      <c r="B274" s="3760" t="s">
        <v>169</v>
      </c>
      <c r="C274" s="3764" t="s">
        <v>17</v>
      </c>
      <c r="D274" s="3764" t="s">
        <v>32</v>
      </c>
      <c r="E274" s="30">
        <v>530404</v>
      </c>
      <c r="F274" s="21" t="s">
        <v>13</v>
      </c>
      <c r="G274" s="21" t="s">
        <v>14</v>
      </c>
      <c r="H274" s="31">
        <f>'21.3. FCQS'!Y663</f>
        <v>22400.000000000004</v>
      </c>
      <c r="I274" s="1"/>
    </row>
    <row r="275" spans="1:9" ht="31.5">
      <c r="A275" s="1"/>
      <c r="B275" s="3760" t="s">
        <v>169</v>
      </c>
      <c r="C275" s="3764" t="s">
        <v>29</v>
      </c>
      <c r="D275" s="3764" t="s">
        <v>72</v>
      </c>
      <c r="E275" s="30">
        <v>530810</v>
      </c>
      <c r="F275" s="21" t="s">
        <v>13</v>
      </c>
      <c r="G275" s="21" t="s">
        <v>30</v>
      </c>
      <c r="H275" s="31">
        <f>'21.3. FCQS'!Y664</f>
        <v>26096.000000000004</v>
      </c>
      <c r="I275" s="1"/>
    </row>
    <row r="276" spans="1:9" ht="31.5">
      <c r="A276" s="1"/>
      <c r="B276" s="3760" t="s">
        <v>169</v>
      </c>
      <c r="C276" s="3764" t="s">
        <v>17</v>
      </c>
      <c r="D276" s="3764" t="s">
        <v>73</v>
      </c>
      <c r="E276" s="30">
        <v>530829</v>
      </c>
      <c r="F276" s="21" t="s">
        <v>13</v>
      </c>
      <c r="G276" s="21" t="s">
        <v>30</v>
      </c>
      <c r="H276" s="31">
        <f>'21.3. FCQS'!Y665</f>
        <v>67200</v>
      </c>
      <c r="I276" s="1"/>
    </row>
    <row r="277" spans="1:9">
      <c r="A277" s="25"/>
      <c r="B277" s="3760" t="s">
        <v>169</v>
      </c>
      <c r="C277" s="3764" t="s">
        <v>17</v>
      </c>
      <c r="D277" s="3764" t="s">
        <v>20</v>
      </c>
      <c r="E277" s="30">
        <v>840107</v>
      </c>
      <c r="F277" s="21" t="s">
        <v>13</v>
      </c>
      <c r="G277" s="27" t="s">
        <v>14</v>
      </c>
      <c r="H277" s="31">
        <f>'21.3. FCQS'!Y666</f>
        <v>33600</v>
      </c>
      <c r="I277" s="1"/>
    </row>
    <row r="278" spans="1:9" ht="31.5">
      <c r="A278" s="1"/>
      <c r="B278" s="3760" t="s">
        <v>170</v>
      </c>
      <c r="C278" s="3763" t="s">
        <v>29</v>
      </c>
      <c r="D278" s="3766" t="s">
        <v>16</v>
      </c>
      <c r="E278" s="30">
        <v>530402</v>
      </c>
      <c r="F278" s="21" t="s">
        <v>13</v>
      </c>
      <c r="G278" s="21" t="s">
        <v>30</v>
      </c>
      <c r="H278" s="31">
        <f>'21.4. FCS'!Y1285</f>
        <v>5756.8</v>
      </c>
      <c r="I278" s="1"/>
    </row>
    <row r="279" spans="1:9" ht="31.5">
      <c r="A279" s="1"/>
      <c r="B279" s="3760" t="s">
        <v>170</v>
      </c>
      <c r="C279" s="3763" t="s">
        <v>17</v>
      </c>
      <c r="D279" s="3766" t="s">
        <v>16</v>
      </c>
      <c r="E279" s="23">
        <v>530402</v>
      </c>
      <c r="F279" s="21" t="s">
        <v>13</v>
      </c>
      <c r="G279" s="21" t="s">
        <v>18</v>
      </c>
      <c r="H279" s="31">
        <f>'21.4. FCS'!Y1286</f>
        <v>64512.000000000007</v>
      </c>
      <c r="I279" s="1"/>
    </row>
    <row r="280" spans="1:9" ht="31.5">
      <c r="A280" s="1"/>
      <c r="B280" s="3760" t="s">
        <v>170</v>
      </c>
      <c r="C280" s="3763" t="s">
        <v>29</v>
      </c>
      <c r="D280" s="3766" t="s">
        <v>67</v>
      </c>
      <c r="E280" s="23">
        <v>530702</v>
      </c>
      <c r="F280" s="21" t="s">
        <v>13</v>
      </c>
      <c r="G280" s="21" t="s">
        <v>18</v>
      </c>
      <c r="H280" s="31">
        <f>'21.4. FCS'!Y1287</f>
        <v>249.98400000000001</v>
      </c>
      <c r="I280" s="1"/>
    </row>
    <row r="281" spans="1:9" ht="31.5">
      <c r="A281" s="1"/>
      <c r="B281" s="3760" t="s">
        <v>170</v>
      </c>
      <c r="C281" s="3763" t="s">
        <v>17</v>
      </c>
      <c r="D281" s="3766" t="s">
        <v>67</v>
      </c>
      <c r="E281" s="23">
        <v>530702</v>
      </c>
      <c r="F281" s="21" t="s">
        <v>13</v>
      </c>
      <c r="G281" s="21" t="s">
        <v>30</v>
      </c>
      <c r="H281" s="31">
        <f>'21.4. FCS'!Y1288</f>
        <v>11200.000000000002</v>
      </c>
      <c r="I281" s="1"/>
    </row>
    <row r="282" spans="1:9">
      <c r="A282" s="1"/>
      <c r="B282" s="3760" t="s">
        <v>170</v>
      </c>
      <c r="C282" s="3763" t="s">
        <v>29</v>
      </c>
      <c r="D282" s="3766" t="s">
        <v>152</v>
      </c>
      <c r="E282" s="30">
        <v>530804</v>
      </c>
      <c r="F282" s="21" t="s">
        <v>13</v>
      </c>
      <c r="G282" s="21" t="s">
        <v>30</v>
      </c>
      <c r="H282" s="31">
        <f>'21.4. FCS'!Y1289</f>
        <v>287.20159999999998</v>
      </c>
      <c r="I282" s="1"/>
    </row>
    <row r="283" spans="1:9">
      <c r="A283" s="1"/>
      <c r="B283" s="3760" t="s">
        <v>170</v>
      </c>
      <c r="C283" s="3763" t="s">
        <v>29</v>
      </c>
      <c r="D283" s="3766" t="s">
        <v>152</v>
      </c>
      <c r="E283" s="30">
        <v>530804</v>
      </c>
      <c r="F283" s="21" t="s">
        <v>13</v>
      </c>
      <c r="G283" s="21" t="s">
        <v>30</v>
      </c>
      <c r="H283" s="31">
        <f>'21.4. FCS'!Y1290</f>
        <v>109.20000000000002</v>
      </c>
      <c r="I283" s="1"/>
    </row>
    <row r="284" spans="1:9" ht="31.5">
      <c r="A284" s="1"/>
      <c r="B284" s="3760" t="s">
        <v>170</v>
      </c>
      <c r="C284" s="3763" t="s">
        <v>29</v>
      </c>
      <c r="D284" s="3766" t="s">
        <v>44</v>
      </c>
      <c r="E284" s="30">
        <v>530807</v>
      </c>
      <c r="F284" s="21" t="s">
        <v>13</v>
      </c>
      <c r="G284" s="21" t="s">
        <v>30</v>
      </c>
      <c r="H284" s="31">
        <f>'21.4. FCS'!Y1291</f>
        <v>332.64000000000004</v>
      </c>
      <c r="I284" s="1"/>
    </row>
    <row r="285" spans="1:9" ht="47.25">
      <c r="A285" s="1"/>
      <c r="B285" s="3760" t="s">
        <v>170</v>
      </c>
      <c r="C285" s="3763" t="s">
        <v>39</v>
      </c>
      <c r="D285" s="3764" t="s">
        <v>83</v>
      </c>
      <c r="E285" s="30">
        <v>530811</v>
      </c>
      <c r="F285" s="21" t="s">
        <v>13</v>
      </c>
      <c r="G285" s="21" t="s">
        <v>18</v>
      </c>
      <c r="H285" s="31">
        <f>'21.4. FCS'!Y1292</f>
        <v>7260.9600000000009</v>
      </c>
      <c r="I285" s="1"/>
    </row>
    <row r="286" spans="1:9">
      <c r="A286" s="1"/>
      <c r="B286" s="3760" t="s">
        <v>170</v>
      </c>
      <c r="C286" s="3763" t="s">
        <v>17</v>
      </c>
      <c r="D286" s="3765" t="s">
        <v>45</v>
      </c>
      <c r="E286" s="30">
        <v>530812</v>
      </c>
      <c r="F286" s="21" t="s">
        <v>13</v>
      </c>
      <c r="G286" s="21" t="s">
        <v>14</v>
      </c>
      <c r="H286" s="31">
        <f>'21.4. FCS'!Y1293</f>
        <v>2779.4591999999998</v>
      </c>
      <c r="I286" s="1"/>
    </row>
    <row r="287" spans="1:9" ht="31.5">
      <c r="A287" s="1"/>
      <c r="B287" s="3760" t="s">
        <v>170</v>
      </c>
      <c r="C287" s="3763" t="s">
        <v>17</v>
      </c>
      <c r="D287" s="3766" t="s">
        <v>73</v>
      </c>
      <c r="E287" s="23">
        <v>530829</v>
      </c>
      <c r="F287" s="21" t="s">
        <v>13</v>
      </c>
      <c r="G287" s="21" t="s">
        <v>30</v>
      </c>
      <c r="H287" s="31">
        <f>'21.4. FCS'!Y1294</f>
        <v>16800</v>
      </c>
      <c r="I287" s="1"/>
    </row>
    <row r="288" spans="1:9">
      <c r="A288" s="1"/>
      <c r="B288" s="3760" t="s">
        <v>170</v>
      </c>
      <c r="C288" s="3763" t="s">
        <v>29</v>
      </c>
      <c r="D288" s="3765" t="s">
        <v>171</v>
      </c>
      <c r="E288" s="30">
        <v>531403</v>
      </c>
      <c r="F288" s="21" t="s">
        <v>13</v>
      </c>
      <c r="G288" s="21" t="s">
        <v>30</v>
      </c>
      <c r="H288" s="31">
        <f>'21.4. FCS'!Y1295</f>
        <v>993.18240000000014</v>
      </c>
      <c r="I288" s="1"/>
    </row>
    <row r="289" spans="1:9">
      <c r="A289" s="1"/>
      <c r="B289" s="3760" t="s">
        <v>170</v>
      </c>
      <c r="C289" s="3763" t="s">
        <v>39</v>
      </c>
      <c r="D289" s="3763" t="s">
        <v>47</v>
      </c>
      <c r="E289" s="30">
        <v>531408</v>
      </c>
      <c r="F289" s="21" t="s">
        <v>13</v>
      </c>
      <c r="G289" s="21" t="s">
        <v>18</v>
      </c>
      <c r="H289" s="31">
        <f>'21.4. FCS'!Y1296</f>
        <v>3935.0640000000003</v>
      </c>
      <c r="I289" s="1"/>
    </row>
    <row r="290" spans="1:9">
      <c r="A290" s="1"/>
      <c r="B290" s="3760" t="s">
        <v>170</v>
      </c>
      <c r="C290" s="3763" t="s">
        <v>29</v>
      </c>
      <c r="D290" s="3765" t="s">
        <v>22</v>
      </c>
      <c r="E290" s="30">
        <v>840103</v>
      </c>
      <c r="F290" s="21" t="s">
        <v>13</v>
      </c>
      <c r="G290" s="24" t="s">
        <v>14</v>
      </c>
      <c r="H290" s="31">
        <f>'21.4. FCS'!Y1297</f>
        <v>1436.5567999999998</v>
      </c>
      <c r="I290" s="1"/>
    </row>
    <row r="291" spans="1:9">
      <c r="A291" s="25"/>
      <c r="B291" s="3760" t="s">
        <v>170</v>
      </c>
      <c r="C291" s="3763" t="s">
        <v>39</v>
      </c>
      <c r="D291" s="3763" t="s">
        <v>24</v>
      </c>
      <c r="E291" s="30">
        <v>840104</v>
      </c>
      <c r="F291" s="21" t="s">
        <v>13</v>
      </c>
      <c r="G291" s="27" t="s">
        <v>14</v>
      </c>
      <c r="H291" s="31">
        <f>'21.4. FCS'!Y1298</f>
        <v>4009.6000000000004</v>
      </c>
      <c r="I291" s="1"/>
    </row>
    <row r="292" spans="1:9">
      <c r="A292" s="25"/>
      <c r="B292" s="3760" t="s">
        <v>170</v>
      </c>
      <c r="C292" s="3763" t="s">
        <v>17</v>
      </c>
      <c r="D292" s="3766" t="s">
        <v>24</v>
      </c>
      <c r="E292" s="23">
        <v>840104</v>
      </c>
      <c r="F292" s="21" t="s">
        <v>13</v>
      </c>
      <c r="G292" s="27" t="s">
        <v>14</v>
      </c>
      <c r="H292" s="31">
        <f>'21.4. FCS'!Y1299</f>
        <v>4009.6000000000004</v>
      </c>
      <c r="I292" s="1"/>
    </row>
    <row r="293" spans="1:9">
      <c r="A293" s="25"/>
      <c r="B293" s="3760" t="s">
        <v>170</v>
      </c>
      <c r="C293" s="3763" t="s">
        <v>17</v>
      </c>
      <c r="D293" s="3766" t="s">
        <v>24</v>
      </c>
      <c r="E293" s="30">
        <v>840104</v>
      </c>
      <c r="F293" s="21" t="s">
        <v>13</v>
      </c>
      <c r="G293" s="27" t="s">
        <v>14</v>
      </c>
      <c r="H293" s="31">
        <f>'21.4. FCS'!Y1300</f>
        <v>11200.000000000002</v>
      </c>
      <c r="I293" s="1"/>
    </row>
    <row r="294" spans="1:9">
      <c r="A294" s="1"/>
      <c r="B294" s="3760" t="s">
        <v>170</v>
      </c>
      <c r="C294" s="3763" t="s">
        <v>29</v>
      </c>
      <c r="D294" s="3766" t="s">
        <v>24</v>
      </c>
      <c r="E294" s="30">
        <v>840104</v>
      </c>
      <c r="F294" s="21" t="s">
        <v>13</v>
      </c>
      <c r="G294" s="24" t="s">
        <v>14</v>
      </c>
      <c r="H294" s="31">
        <f>'21.4. FCS'!Y1301</f>
        <v>5292.0000000000009</v>
      </c>
      <c r="I294" s="1"/>
    </row>
    <row r="295" spans="1:9">
      <c r="A295" s="25"/>
      <c r="B295" s="3760" t="s">
        <v>170</v>
      </c>
      <c r="C295" s="3763" t="s">
        <v>17</v>
      </c>
      <c r="D295" s="3766" t="s">
        <v>24</v>
      </c>
      <c r="E295" s="30">
        <v>840104</v>
      </c>
      <c r="F295" s="21" t="s">
        <v>13</v>
      </c>
      <c r="G295" s="27" t="s">
        <v>14</v>
      </c>
      <c r="H295" s="31">
        <f>'21.4. FCS'!Y1302</f>
        <v>12028.800000000001</v>
      </c>
      <c r="I295" s="1"/>
    </row>
    <row r="296" spans="1:9">
      <c r="A296" s="25"/>
      <c r="B296" s="3760" t="s">
        <v>170</v>
      </c>
      <c r="C296" s="3763" t="s">
        <v>17</v>
      </c>
      <c r="D296" s="3766" t="s">
        <v>24</v>
      </c>
      <c r="E296" s="23">
        <v>840104</v>
      </c>
      <c r="F296" s="21" t="s">
        <v>13</v>
      </c>
      <c r="G296" s="27" t="s">
        <v>14</v>
      </c>
      <c r="H296" s="55">
        <f>'21.4. FCS'!Y1303</f>
        <v>6014.4000000000005</v>
      </c>
      <c r="I296" s="1"/>
    </row>
    <row r="297" spans="1:9">
      <c r="A297" s="1"/>
      <c r="B297" s="3760" t="s">
        <v>170</v>
      </c>
      <c r="C297" s="3763" t="s">
        <v>29</v>
      </c>
      <c r="D297" s="3766" t="s">
        <v>24</v>
      </c>
      <c r="E297" s="30">
        <v>840104</v>
      </c>
      <c r="F297" s="21" t="s">
        <v>13</v>
      </c>
      <c r="G297" s="24" t="s">
        <v>14</v>
      </c>
      <c r="H297" s="31">
        <f>'21.4. FCS'!Y1304</f>
        <v>4009.6000000000004</v>
      </c>
      <c r="I297" s="1"/>
    </row>
    <row r="298" spans="1:9">
      <c r="A298" s="1"/>
      <c r="B298" s="3760" t="s">
        <v>170</v>
      </c>
      <c r="C298" s="3763" t="s">
        <v>29</v>
      </c>
      <c r="D298" s="3766" t="s">
        <v>20</v>
      </c>
      <c r="E298" s="3774">
        <v>840107</v>
      </c>
      <c r="F298" s="21" t="s">
        <v>13</v>
      </c>
      <c r="G298" s="24" t="s">
        <v>14</v>
      </c>
      <c r="H298" s="31">
        <f>'21.4. FCS'!Y1305</f>
        <v>5328.0192000000006</v>
      </c>
      <c r="I298" s="1"/>
    </row>
    <row r="299" spans="1:9">
      <c r="A299" s="25"/>
      <c r="B299" s="3760" t="s">
        <v>170</v>
      </c>
      <c r="C299" s="3763" t="s">
        <v>17</v>
      </c>
      <c r="D299" s="3766" t="s">
        <v>20</v>
      </c>
      <c r="E299" s="3774">
        <v>840107</v>
      </c>
      <c r="F299" s="21" t="s">
        <v>13</v>
      </c>
      <c r="G299" s="27" t="s">
        <v>14</v>
      </c>
      <c r="H299" s="31">
        <f>'21.4. FCS'!Y1306</f>
        <v>7781.7600000000011</v>
      </c>
      <c r="I299" s="1"/>
    </row>
    <row r="300" spans="1:9">
      <c r="A300" s="25"/>
      <c r="B300" s="3760" t="s">
        <v>170</v>
      </c>
      <c r="C300" s="3763" t="s">
        <v>17</v>
      </c>
      <c r="D300" s="3765" t="s">
        <v>20</v>
      </c>
      <c r="E300" s="3774">
        <v>840107</v>
      </c>
      <c r="F300" s="21" t="s">
        <v>13</v>
      </c>
      <c r="G300" s="27" t="s">
        <v>14</v>
      </c>
      <c r="H300" s="55">
        <f>'21.4. FCS'!Y1307</f>
        <v>2024.96</v>
      </c>
      <c r="I300" s="1"/>
    </row>
    <row r="301" spans="1:9">
      <c r="A301" s="1"/>
      <c r="B301" s="3760" t="s">
        <v>170</v>
      </c>
      <c r="C301" s="3763" t="s">
        <v>29</v>
      </c>
      <c r="D301" s="3765" t="s">
        <v>20</v>
      </c>
      <c r="E301" s="3774">
        <v>840107</v>
      </c>
      <c r="F301" s="21" t="s">
        <v>13</v>
      </c>
      <c r="G301" s="24" t="s">
        <v>14</v>
      </c>
      <c r="H301" s="31">
        <f>'21.4. FCS'!Y1308</f>
        <v>3864.0000000000005</v>
      </c>
      <c r="I301" s="1"/>
    </row>
    <row r="302" spans="1:9">
      <c r="A302" s="25"/>
      <c r="B302" s="3760" t="s">
        <v>170</v>
      </c>
      <c r="C302" s="3763" t="s">
        <v>17</v>
      </c>
      <c r="D302" s="3764" t="s">
        <v>20</v>
      </c>
      <c r="E302" s="3774">
        <v>840107</v>
      </c>
      <c r="F302" s="21" t="s">
        <v>13</v>
      </c>
      <c r="G302" s="27" t="s">
        <v>14</v>
      </c>
      <c r="H302" s="31">
        <f>'21.4. FCS'!Y1309</f>
        <v>1344.0000000000002</v>
      </c>
      <c r="I302" s="1"/>
    </row>
    <row r="303" spans="1:9" ht="31.5">
      <c r="A303" s="25"/>
      <c r="B303" s="3760" t="s">
        <v>172</v>
      </c>
      <c r="C303" s="3763" t="s">
        <v>39</v>
      </c>
      <c r="D303" s="3764" t="s">
        <v>16</v>
      </c>
      <c r="E303" s="30">
        <v>530402</v>
      </c>
      <c r="F303" s="21" t="s">
        <v>13</v>
      </c>
      <c r="G303" s="21" t="s">
        <v>18</v>
      </c>
      <c r="H303" s="31">
        <f>'21.5. FIC'!Z425</f>
        <v>6720.0000000000009</v>
      </c>
      <c r="I303" s="1"/>
    </row>
    <row r="304" spans="1:9" ht="31.5">
      <c r="A304" s="25"/>
      <c r="B304" s="3760" t="s">
        <v>172</v>
      </c>
      <c r="C304" s="3763" t="s">
        <v>39</v>
      </c>
      <c r="D304" s="3767" t="s">
        <v>32</v>
      </c>
      <c r="E304" s="30">
        <v>530404</v>
      </c>
      <c r="F304" s="21" t="s">
        <v>13</v>
      </c>
      <c r="G304" s="21" t="s">
        <v>18</v>
      </c>
      <c r="H304" s="31">
        <f>'21.5. FIC'!Z426</f>
        <v>4024.4512</v>
      </c>
      <c r="I304" s="1"/>
    </row>
    <row r="305" spans="1:9" ht="31.5">
      <c r="A305" s="25"/>
      <c r="B305" s="3760" t="s">
        <v>172</v>
      </c>
      <c r="C305" s="3763" t="s">
        <v>17</v>
      </c>
      <c r="D305" s="3764" t="s">
        <v>162</v>
      </c>
      <c r="E305" s="56">
        <v>530204</v>
      </c>
      <c r="F305" s="21" t="s">
        <v>13</v>
      </c>
      <c r="G305" s="21" t="s">
        <v>18</v>
      </c>
      <c r="H305" s="31">
        <f>'21.5. FIC'!Z427</f>
        <v>1120</v>
      </c>
      <c r="I305" s="1"/>
    </row>
    <row r="306" spans="1:9" ht="31.5">
      <c r="A306" s="25"/>
      <c r="B306" s="3760" t="s">
        <v>172</v>
      </c>
      <c r="C306" s="3763" t="s">
        <v>17</v>
      </c>
      <c r="D306" s="3764" t="s">
        <v>32</v>
      </c>
      <c r="E306" s="30">
        <v>530404</v>
      </c>
      <c r="F306" s="21" t="s">
        <v>13</v>
      </c>
      <c r="G306" s="21" t="s">
        <v>14</v>
      </c>
      <c r="H306" s="31">
        <f>'21.5. FIC'!Z428</f>
        <v>1250</v>
      </c>
      <c r="I306" s="1"/>
    </row>
    <row r="307" spans="1:9" ht="31.5">
      <c r="A307" s="25"/>
      <c r="B307" s="3760" t="s">
        <v>172</v>
      </c>
      <c r="C307" s="3763" t="s">
        <v>17</v>
      </c>
      <c r="D307" s="3764" t="s">
        <v>73</v>
      </c>
      <c r="E307" s="56">
        <v>530829</v>
      </c>
      <c r="F307" s="21" t="s">
        <v>13</v>
      </c>
      <c r="G307" s="21" t="s">
        <v>30</v>
      </c>
      <c r="H307" s="31">
        <f>'21.5. FIC'!Z429</f>
        <v>10080.000000000002</v>
      </c>
      <c r="I307" s="1"/>
    </row>
    <row r="308" spans="1:9">
      <c r="A308" s="25"/>
      <c r="B308" s="3760" t="s">
        <v>172</v>
      </c>
      <c r="C308" s="3763" t="s">
        <v>17</v>
      </c>
      <c r="D308" s="3767" t="s">
        <v>24</v>
      </c>
      <c r="E308" s="30">
        <v>531404</v>
      </c>
      <c r="F308" s="21" t="s">
        <v>13</v>
      </c>
      <c r="G308" s="21" t="s">
        <v>30</v>
      </c>
      <c r="H308" s="31">
        <f>'21.5. FIC'!Z430</f>
        <v>394.63</v>
      </c>
      <c r="I308" s="1"/>
    </row>
    <row r="309" spans="1:9">
      <c r="A309" s="25"/>
      <c r="B309" s="3760" t="s">
        <v>172</v>
      </c>
      <c r="C309" s="3763" t="s">
        <v>17</v>
      </c>
      <c r="D309" s="3767" t="s">
        <v>22</v>
      </c>
      <c r="E309" s="30">
        <v>840103</v>
      </c>
      <c r="F309" s="21" t="s">
        <v>13</v>
      </c>
      <c r="G309" s="21" t="s">
        <v>23</v>
      </c>
      <c r="H309" s="31">
        <f>'21.5. FIC'!Z431</f>
        <v>6370</v>
      </c>
      <c r="I309" s="1"/>
    </row>
    <row r="310" spans="1:9">
      <c r="A310" s="25"/>
      <c r="B310" s="3760" t="s">
        <v>172</v>
      </c>
      <c r="C310" s="3763" t="s">
        <v>17</v>
      </c>
      <c r="D310" s="3767" t="s">
        <v>24</v>
      </c>
      <c r="E310" s="30">
        <v>840104</v>
      </c>
      <c r="F310" s="21" t="s">
        <v>13</v>
      </c>
      <c r="G310" s="21" t="s">
        <v>23</v>
      </c>
      <c r="H310" s="31">
        <f>'21.5. FIC'!Z432</f>
        <v>924169.72</v>
      </c>
      <c r="I310" s="1"/>
    </row>
    <row r="311" spans="1:9">
      <c r="A311" s="25"/>
      <c r="B311" s="3760" t="s">
        <v>172</v>
      </c>
      <c r="C311" s="3763" t="s">
        <v>17</v>
      </c>
      <c r="D311" s="3767" t="s">
        <v>20</v>
      </c>
      <c r="E311" s="30">
        <v>840107</v>
      </c>
      <c r="F311" s="21" t="s">
        <v>13</v>
      </c>
      <c r="G311" s="21" t="s">
        <v>23</v>
      </c>
      <c r="H311" s="31">
        <f>'21.5. FIC'!Z433</f>
        <v>244548.86000000002</v>
      </c>
      <c r="I311" s="1"/>
    </row>
    <row r="312" spans="1:9">
      <c r="A312" s="25"/>
      <c r="B312" s="3760" t="s">
        <v>172</v>
      </c>
      <c r="C312" s="3762" t="s">
        <v>17</v>
      </c>
      <c r="D312" s="3764" t="s">
        <v>24</v>
      </c>
      <c r="E312" s="56">
        <v>840104</v>
      </c>
      <c r="F312" s="21" t="s">
        <v>13</v>
      </c>
      <c r="G312" s="21" t="s">
        <v>23</v>
      </c>
      <c r="H312" s="31">
        <f>'21.5. FIC'!Z435</f>
        <v>6048.0000000000009</v>
      </c>
      <c r="I312" s="1"/>
    </row>
    <row r="313" spans="1:9" ht="16.5" customHeight="1">
      <c r="A313" s="1"/>
      <c r="B313" s="57"/>
      <c r="C313" s="4151" t="s">
        <v>173</v>
      </c>
      <c r="D313" s="4152"/>
      <c r="E313" s="4152"/>
      <c r="F313" s="4153"/>
      <c r="G313" s="58" t="s">
        <v>174</v>
      </c>
      <c r="H313" s="59">
        <f>SUM(H8:H312)</f>
        <v>33699574.280000001</v>
      </c>
      <c r="I313" s="60"/>
    </row>
    <row r="314" spans="1:9" ht="16.5" customHeight="1">
      <c r="A314" s="1"/>
      <c r="B314" s="61" t="s">
        <v>175</v>
      </c>
      <c r="C314" s="62"/>
      <c r="D314" s="7"/>
      <c r="E314" s="7"/>
      <c r="F314" s="7"/>
      <c r="G314" s="63"/>
      <c r="H314" s="7"/>
      <c r="I314" s="1"/>
    </row>
    <row r="315" spans="1:9" ht="16.5" customHeight="1">
      <c r="A315" s="1"/>
      <c r="B315" s="64" t="s">
        <v>176</v>
      </c>
      <c r="C315" s="62"/>
      <c r="D315" s="7"/>
      <c r="E315" s="65"/>
      <c r="F315" s="65"/>
      <c r="G315" s="66"/>
      <c r="H315" s="65"/>
      <c r="I315" s="67"/>
    </row>
    <row r="316" spans="1:9" ht="16.5" customHeight="1">
      <c r="A316" s="1"/>
      <c r="B316" s="61" t="s">
        <v>177</v>
      </c>
      <c r="C316" s="62"/>
      <c r="D316" s="7"/>
      <c r="E316" s="65"/>
      <c r="F316" s="65"/>
      <c r="G316" s="66"/>
      <c r="H316" s="65"/>
      <c r="I316" s="67"/>
    </row>
    <row r="317" spans="1:9" ht="16.5" customHeight="1">
      <c r="A317" s="1"/>
      <c r="B317" s="68"/>
      <c r="C317" s="62"/>
      <c r="D317" s="7"/>
      <c r="E317" s="65"/>
      <c r="F317" s="65"/>
      <c r="G317" s="66"/>
      <c r="H317" s="65"/>
      <c r="I317" s="67"/>
    </row>
    <row r="318" spans="1:9" ht="16.5" customHeight="1">
      <c r="A318" s="1"/>
      <c r="B318" s="69"/>
      <c r="C318" s="70"/>
      <c r="D318" s="71"/>
      <c r="E318" s="71"/>
      <c r="F318" s="72"/>
      <c r="G318" s="73"/>
      <c r="H318" s="74"/>
      <c r="I318" s="67"/>
    </row>
    <row r="319" spans="1:9" ht="25.5" customHeight="1">
      <c r="A319" s="1"/>
      <c r="B319" s="4149" t="s">
        <v>178</v>
      </c>
      <c r="C319" s="4150"/>
      <c r="D319" s="4150"/>
      <c r="F319" s="75"/>
      <c r="G319" s="76"/>
      <c r="H319" s="74"/>
      <c r="I319" s="77"/>
    </row>
    <row r="320" spans="1:9">
      <c r="A320" s="1"/>
      <c r="B320" s="78" t="s">
        <v>179</v>
      </c>
      <c r="C320" s="79">
        <f>SUM(H11,H37,H49,H50,H58,H68,H71,H72,H75,H79,H80,H81,H82,H84,H90,H93,H94,H109,H126,H127,H128,H138,H142,H143,H167,H169,H171,H174,H176,H178,H187,H190,H191,H192,H222,H230,H231,H233,H235,H236,H238,H242,H247,H248,H249,H250,H252,H253,H254,H255,H256,H257,H265,H266,H271,H272,H273,H279,H280,H285,H289,H303,H304,H305)</f>
        <v>5516680.2902140981</v>
      </c>
      <c r="D320" s="80">
        <f t="shared" ref="D320:D323" si="0">C320/$C$324</f>
        <v>0.16370177986159704</v>
      </c>
      <c r="F320" s="81"/>
      <c r="G320" s="76"/>
      <c r="H320" s="74"/>
      <c r="I320" s="67"/>
    </row>
    <row r="321" spans="1:9" ht="31.5">
      <c r="A321" s="1"/>
      <c r="B321" s="78" t="s">
        <v>180</v>
      </c>
      <c r="C321" s="79">
        <f>SUM(H21,H47,H69,H70,H73,H74,H83,H85,H86,H87,H88,H89,H100,H101,H102,H103,H104,H105,H106,H107,H108,H110,H129,H130,H131,H132,H133,H141,H188,H189,H200,H224,H225,H234,H237,H241,H243,H244,H245,H246,H251,H268,H269,H275,H276,H278,H281,H282,H283,H284,H287,H288,H307,H308)</f>
        <v>770168.2500040849</v>
      </c>
      <c r="D321" s="80">
        <f t="shared" si="0"/>
        <v>2.285394597584468E-2</v>
      </c>
      <c r="F321" s="81"/>
      <c r="G321" s="76"/>
      <c r="H321" s="74"/>
      <c r="I321" s="67"/>
    </row>
    <row r="322" spans="1:9" ht="31.5">
      <c r="A322" s="1"/>
      <c r="B322" s="78" t="s">
        <v>181</v>
      </c>
      <c r="C322" s="79">
        <f>SUM(H8,H9,H10,H12,H13,H14,H17,H19,H20,H22,H23,H24,H25,H26,H27,H28,H29,H30,H31,H32,H33,H34,H35,H36,H38,H39,H40,H41,H42,H43,H44,H45,H46,H48,H51,H52,H53,H54,H55,H56,H57,H59,H60,H61,H62,H63,H64,H65,H66,H67,H76,H77,H78,H91,H92,H95,H96,H97,H98,H99,H111,H112,H113,H114,H115,H116,H117,H118,H119,H120,H121,H122,H123,H124,H125,H134,H135,H136,H137,H139,H140,H144,H145,H146,H147,H148,H149,H150,H151,H152,H153,H154,H155,H156,H157,H158,H159,H160,H161,H162,H163,H164,H165,H166,H168,H170,H172,H173,H175,H177,H179,H180,H181,H182,H183,H184,H185,H186,H193,H194,H195,H196,H197,H198,H199,H201,H202,H203,H204,H205,H206,H207,H208,H209,H210,H211,H212,H213,H214,H215,H216,H217,H218,H219,H220,H221,H223,H226,H227,H228,H229,H232,H239,H240,H258,H259,H260,H261,H262,H263,H264,H267,H270,H274,H277,H286,H290,H291,H292,H293,H294,H295,H296,H297,H298,H299,H300,H301,H302,H306)</f>
        <v>26206733.589781817</v>
      </c>
      <c r="D322" s="80">
        <f t="shared" si="0"/>
        <v>0.77765770487299513</v>
      </c>
      <c r="F322" s="81"/>
      <c r="G322" s="76"/>
      <c r="H322" s="74"/>
      <c r="I322" s="67"/>
    </row>
    <row r="323" spans="1:9" ht="16.5" customHeight="1">
      <c r="A323" s="1"/>
      <c r="B323" s="78" t="s">
        <v>182</v>
      </c>
      <c r="C323" s="79">
        <f>SUM(H15,H16,H18,H309,H310,H311,H312)</f>
        <v>1205992.1499999997</v>
      </c>
      <c r="D323" s="80">
        <f t="shared" si="0"/>
        <v>3.5786569289563135E-2</v>
      </c>
      <c r="F323" s="81"/>
      <c r="G323" s="76"/>
      <c r="H323" s="74"/>
      <c r="I323" s="67"/>
    </row>
    <row r="324" spans="1:9" ht="16.5" customHeight="1">
      <c r="A324" s="1"/>
      <c r="B324" s="82" t="s">
        <v>183</v>
      </c>
      <c r="C324" s="83">
        <f t="shared" ref="C324:D324" si="1">SUM(C320:C323)</f>
        <v>33699574.280000001</v>
      </c>
      <c r="D324" s="4063">
        <f t="shared" si="1"/>
        <v>1</v>
      </c>
      <c r="F324" s="84"/>
      <c r="G324" s="76"/>
      <c r="H324" s="74"/>
      <c r="I324" s="67"/>
    </row>
    <row r="325" spans="1:9" ht="16.5" customHeight="1">
      <c r="A325" s="1"/>
      <c r="B325" s="85"/>
      <c r="C325" s="85"/>
      <c r="D325" s="86"/>
      <c r="F325" s="84"/>
      <c r="G325" s="87"/>
      <c r="H325" s="74"/>
      <c r="I325" s="67"/>
    </row>
    <row r="326" spans="1:9" ht="25.5" customHeight="1">
      <c r="A326" s="1"/>
      <c r="B326" s="4157" t="s">
        <v>6014</v>
      </c>
      <c r="C326" s="4150"/>
      <c r="D326" s="4150"/>
      <c r="F326" s="75"/>
      <c r="G326" s="75"/>
      <c r="H326" s="74"/>
      <c r="I326" s="67"/>
    </row>
    <row r="327" spans="1:9" ht="16.5" customHeight="1">
      <c r="A327" s="1"/>
      <c r="B327" s="88" t="s">
        <v>184</v>
      </c>
      <c r="C327" s="89">
        <f>SUM(H151,H152,H153,H154,H155,H156,H157,H158,H159,H160,H161,H162,H163,H164,H165,H166,H167,H168,H169,H170,H171,H172,H173,H174,H175,H176,H177,H178,H179)</f>
        <v>25485951.82</v>
      </c>
      <c r="D327" s="80">
        <f t="shared" ref="D327:D334" si="2">C327/$C$335</f>
        <v>0.7562692516007653</v>
      </c>
      <c r="F327" s="90"/>
      <c r="G327" s="76"/>
      <c r="H327" s="74"/>
      <c r="I327" s="67"/>
    </row>
    <row r="328" spans="1:9" ht="16.5" customHeight="1">
      <c r="A328" s="1"/>
      <c r="B328" s="88" t="s">
        <v>185</v>
      </c>
      <c r="C328" s="89">
        <f>SUM(H8,H9,H10,H11,H12,H13,H14,H19,H20,H21,H22,H23,H24,H25,H29,H30,H31,H32,H37,H38,H40,H41,H42,H43,H44,H45,H46,H47,H48,H58,H59,H60,H61,H62,H63,H64,H68,H69,H70,H71,H72,H73,H74,H75,H79,H80,H81,H82,H83,H84,H85,H86,H87,H88,H89,H93,H94,H100,H101,H102,H103,H104,H105,H106,H107,H108,H109,H110,H111,H121,H122,H125,H126,H127,H128,H129,H130,H131,H132,H133,H136,H137,H138,H139,H140,H141,H142,H143,H144,H145,H146,H180,H181,H182,H183,H184,H185,H186,H187,H188,H189,H196,H197,H198,H199,H203,H204,H205,H206,H207,H208,H209,H210,H211,H212,H213,H214,H215,H216,H217,H218,H219,H220,H221,H222,H223,H230,H231,H232,H233,H234,H235,H236,H237,H238,H239,H240,H241,H242,H243,H244,H245,H246,H247,H248,H249,H250,H251,H252,H253,H254,H255,H256,H257,H265,H266,H267,H268,H269,H271,H272,H273,H274,H275,H276,H278,H279,H280,H281,H282,H283,H284,H285,H286,H287,H288,H289,H303,H304,H305,H306,H307,H308)</f>
        <v>3689982.0099999965</v>
      </c>
      <c r="D328" s="80">
        <f t="shared" si="2"/>
        <v>0.10949639836221683</v>
      </c>
      <c r="F328" s="90"/>
      <c r="G328" s="76"/>
      <c r="H328" s="74"/>
      <c r="I328" s="67"/>
    </row>
    <row r="329" spans="1:9" ht="16.5" customHeight="1">
      <c r="A329" s="1"/>
      <c r="B329" s="91" t="s">
        <v>186</v>
      </c>
      <c r="C329" s="92">
        <f>SUM(H49,H76,H190,H200,H224,H225,H226,H227)</f>
        <v>332522.07</v>
      </c>
      <c r="D329" s="80">
        <f t="shared" si="2"/>
        <v>9.8672483882784531E-3</v>
      </c>
      <c r="F329" s="90"/>
      <c r="G329" s="76"/>
      <c r="H329" s="74"/>
      <c r="I329" s="67"/>
    </row>
    <row r="330" spans="1:9" ht="16.5" customHeight="1">
      <c r="A330" s="1"/>
      <c r="B330" s="91" t="s">
        <v>187</v>
      </c>
      <c r="C330" s="92">
        <f>SUM(H50,H90,H191,H192)</f>
        <v>1507035.82</v>
      </c>
      <c r="D330" s="80">
        <f t="shared" si="2"/>
        <v>4.4719728726495947E-2</v>
      </c>
      <c r="F330" s="90"/>
      <c r="G330" s="76"/>
      <c r="H330" s="74"/>
      <c r="I330" s="67"/>
    </row>
    <row r="331" spans="1:9" ht="16.5" customHeight="1">
      <c r="A331" s="1"/>
      <c r="B331" s="91" t="s">
        <v>188</v>
      </c>
      <c r="C331" s="93">
        <v>0</v>
      </c>
      <c r="D331" s="80">
        <f t="shared" si="2"/>
        <v>0</v>
      </c>
      <c r="F331" s="90"/>
      <c r="G331" s="76"/>
      <c r="H331" s="74"/>
      <c r="I331" s="67"/>
    </row>
    <row r="332" spans="1:9" ht="16.5" customHeight="1">
      <c r="A332" s="1"/>
      <c r="B332" s="91" t="s">
        <v>189</v>
      </c>
      <c r="C332" s="93">
        <v>0</v>
      </c>
      <c r="D332" s="80">
        <f t="shared" si="2"/>
        <v>0</v>
      </c>
      <c r="F332" s="90"/>
      <c r="G332" s="76"/>
      <c r="H332" s="74"/>
      <c r="I332" s="67"/>
    </row>
    <row r="333" spans="1:9" ht="16.5" customHeight="1">
      <c r="A333" s="1"/>
      <c r="B333" s="91" t="s">
        <v>190</v>
      </c>
      <c r="C333" s="92">
        <f>SUM(H15,H16,H17,H18,H26,H27,H28,H33,H34,H35,H36,H39,H51,H52,H53,H54,H55,H56,H57,H65,H66,H67,H77,H78,H91,H92,H95,H96,H97,H98,H99,H112,H113,H114,H115,H116,H117,H118,H119,H120,H123,H124,H134,H135,H147,H148,H149,H150,H193,H194,H195,H201,H202,H228,H229,H258,H259,H260,H261,H262,H263,H264,H270,H277,H290,H291,H292,H293,H294,H295,H296,H297,H298,H299,H300,H301,H302,H309,H310,H311,H312)</f>
        <v>2684082.56</v>
      </c>
      <c r="D333" s="80">
        <f t="shared" si="2"/>
        <v>7.9647372922243331E-2</v>
      </c>
      <c r="F333" s="90"/>
      <c r="G333" s="76"/>
      <c r="H333" s="74"/>
      <c r="I333" s="67"/>
    </row>
    <row r="334" spans="1:9" ht="16.5" customHeight="1">
      <c r="A334" s="1"/>
      <c r="B334" s="91" t="s">
        <v>191</v>
      </c>
      <c r="C334" s="93">
        <v>0</v>
      </c>
      <c r="D334" s="80">
        <f t="shared" si="2"/>
        <v>0</v>
      </c>
      <c r="F334" s="90"/>
      <c r="G334" s="76"/>
      <c r="H334" s="74"/>
      <c r="I334" s="67"/>
    </row>
    <row r="335" spans="1:9" ht="16.5" customHeight="1">
      <c r="A335" s="1"/>
      <c r="B335" s="82" t="s">
        <v>183</v>
      </c>
      <c r="C335" s="94">
        <f t="shared" ref="C335:D335" si="3">SUM(C327:C334)</f>
        <v>33699574.280000001</v>
      </c>
      <c r="D335" s="4063">
        <f t="shared" si="3"/>
        <v>0.99999999999999989</v>
      </c>
      <c r="F335" s="84"/>
      <c r="G335" s="76"/>
      <c r="H335" s="74"/>
      <c r="I335" s="67"/>
    </row>
    <row r="336" spans="1:9" ht="16.5" customHeight="1">
      <c r="A336" s="1"/>
      <c r="B336" s="85"/>
      <c r="C336" s="85"/>
      <c r="D336" s="85"/>
      <c r="F336" s="84"/>
      <c r="G336" s="95"/>
      <c r="H336" s="74"/>
      <c r="I336" s="67"/>
    </row>
    <row r="337" spans="1:9" ht="25.5" customHeight="1">
      <c r="A337" s="1"/>
      <c r="B337" s="4149" t="s">
        <v>192</v>
      </c>
      <c r="C337" s="4150"/>
      <c r="D337" s="4150"/>
      <c r="F337" s="84"/>
      <c r="G337" s="95"/>
      <c r="H337" s="74"/>
      <c r="I337" s="67"/>
    </row>
    <row r="338" spans="1:9" ht="16.5" customHeight="1">
      <c r="A338" s="1"/>
      <c r="B338" s="78" t="s">
        <v>11</v>
      </c>
      <c r="C338" s="79">
        <f>SUM(H8,H9,H10,H12,H13,H14,H17,H19,H20,H22,H23,H24,H25,H26,H27,H28,H29,H30,H31,H32,H33,H34,H35,H36,H38,H39,H40,H41,H42,H43,H44,H45,H46,H48,H54,H56,H57,H59,H60,H61,H62,H63,H64,H65,H66,H67,H122,H123,H125,H136,H137,H139,H140,H144,H145,H146,H148,H151,H152,H153,H154,H155,H156,H157,H158,H159,H160,H161,H162,H163,H164,H165,H166,H180,H181,H182,H183,H184,H185,H186,H190,H191,H192,H193,H194,H196,H197,H198,H199,H200,H201,H202,H203,H204,H205,H206,H207,H208,H209,H210,H211,H212,H213,H214,H215,H216,H217,H218,H219,H220,H221,H223,H224,H225,H226,H227,H228)</f>
        <v>11327270.885459915</v>
      </c>
      <c r="D338" s="80">
        <f t="shared" ref="D338:D341" si="4">C338/$C$324</f>
        <v>0.33612504393512221</v>
      </c>
      <c r="F338" s="84"/>
      <c r="G338" s="95"/>
      <c r="H338" s="74"/>
      <c r="I338" s="67"/>
    </row>
    <row r="339" spans="1:9" ht="16.5" customHeight="1">
      <c r="A339" s="1"/>
      <c r="B339" s="78" t="s">
        <v>39</v>
      </c>
      <c r="C339" s="79">
        <f>SUM(H37,H49,H50,H58,H93,H94,H95,H96,H97,H98,H99,H121,H124,H126,H127,H128,H142,H143,H147,H167,H168,H169,H170,H171,H172,H173,H174,H175,H176,H177,H178,H179,H187,H222,H229,H236,H238,H242,H247,H248,H249,H250,H252,H253,H254,H255,H256,H257,H264,H266,H272,H285,H289,H291,H303,H304)</f>
        <v>18927418.6243232</v>
      </c>
      <c r="D339" s="80">
        <f t="shared" si="4"/>
        <v>0.56165156470704236</v>
      </c>
      <c r="F339" s="84"/>
      <c r="G339" s="95"/>
      <c r="H339" s="74"/>
      <c r="I339" s="67"/>
    </row>
    <row r="340" spans="1:9" ht="16.5" customHeight="1">
      <c r="A340" s="1"/>
      <c r="B340" s="78" t="s">
        <v>17</v>
      </c>
      <c r="C340" s="79">
        <f>SUM(H11,H15,H16,H18,H68,H71,H72,H73,H74,H77,H78,H79,H80,H81,H82,H83,H84,H85,H86,H87,H88,H89,H90,H91,H92,H138,H141,H149,H150,H188,H195,H230,H231,H232,H233,H235,H239,H240,H241,H243,H244,H245,H246,H251,H258,H259,H260,H261,H262,H265,H267,H269,H270,H271,H273,H274,H276,H277,H279,H281,H286,H287,H292,H293,H295,H296,H299,H300,H302,H305,H306,H307,H308,H309,H310,H311,H312)</f>
        <v>3122933.8863999997</v>
      </c>
      <c r="D340" s="80">
        <f t="shared" si="4"/>
        <v>9.2669831982221701E-2</v>
      </c>
      <c r="F340" s="84"/>
      <c r="G340" s="95"/>
      <c r="H340" s="74"/>
      <c r="I340" s="67"/>
    </row>
    <row r="341" spans="1:9" ht="16.5" customHeight="1">
      <c r="A341" s="1"/>
      <c r="B341" s="78" t="s">
        <v>29</v>
      </c>
      <c r="C341" s="79">
        <f>SUM(H21,H47,H51,H52,H53,H55,H69,H70,H75,H76,H100,H101,H102,H103,H104,H105,H106,H107,H108,H109,H110,H111,H112,H113,H114,H115,H116,H117,H118,H119,H120,H129,H130,H131,H132,H133,H134,H135,H189,H234,H237,H263,H268,H275,H278,H280,H282,H283,H284,H288,H290,H294,H297,H298,H301)</f>
        <v>321950.88381688477</v>
      </c>
      <c r="D341" s="80">
        <f t="shared" si="4"/>
        <v>9.5535593756137134E-3</v>
      </c>
      <c r="F341" s="84"/>
      <c r="G341" s="95"/>
      <c r="H341" s="74"/>
      <c r="I341" s="67"/>
    </row>
    <row r="342" spans="1:9" ht="16.5" customHeight="1">
      <c r="A342" s="1"/>
      <c r="B342" s="82" t="s">
        <v>183</v>
      </c>
      <c r="C342" s="83">
        <f t="shared" ref="C342:D342" si="5">SUM(C338:C341)</f>
        <v>33699574.280000001</v>
      </c>
      <c r="D342" s="4063">
        <f t="shared" si="5"/>
        <v>1</v>
      </c>
      <c r="F342" s="84"/>
      <c r="G342" s="95"/>
      <c r="H342" s="74"/>
      <c r="I342" s="67"/>
    </row>
    <row r="343" spans="1:9" ht="16.5" customHeight="1">
      <c r="A343" s="1"/>
      <c r="B343" s="85"/>
      <c r="C343" s="85"/>
      <c r="D343" s="85"/>
      <c r="F343" s="84"/>
      <c r="G343" s="95"/>
      <c r="H343" s="74"/>
      <c r="I343" s="67"/>
    </row>
    <row r="344" spans="1:9" ht="25.5" customHeight="1">
      <c r="A344" s="1"/>
      <c r="B344" s="4149" t="s">
        <v>193</v>
      </c>
      <c r="C344" s="4150"/>
      <c r="D344" s="4150"/>
      <c r="F344" s="84"/>
      <c r="G344" s="95"/>
      <c r="H344" s="74"/>
      <c r="I344" s="67"/>
    </row>
    <row r="345" spans="1:9" ht="16.5" customHeight="1">
      <c r="A345" s="1"/>
      <c r="B345" s="78" t="s">
        <v>10</v>
      </c>
      <c r="C345" s="79">
        <f>SUM(H8,H9,H10,H11,H12,H13,H14,H15,H16,H17,H18)</f>
        <v>100272.09249991179</v>
      </c>
      <c r="D345" s="80">
        <f t="shared" ref="D345:D369" si="6">C345/$C$370</f>
        <v>2.9754705999185632E-3</v>
      </c>
      <c r="F345" s="84"/>
      <c r="G345" s="95"/>
      <c r="H345" s="74"/>
      <c r="I345" s="67"/>
    </row>
    <row r="346" spans="1:9" ht="16.5" customHeight="1">
      <c r="A346" s="1"/>
      <c r="B346" s="78" t="s">
        <v>194</v>
      </c>
      <c r="C346" s="79">
        <f>SUM(H19,H20)</f>
        <v>13675.200000000003</v>
      </c>
      <c r="D346" s="80">
        <f t="shared" si="6"/>
        <v>4.0579741115946233E-4</v>
      </c>
      <c r="F346" s="84"/>
      <c r="G346" s="95"/>
      <c r="H346" s="74"/>
      <c r="I346" s="67"/>
    </row>
    <row r="347" spans="1:9" ht="16.5" customHeight="1">
      <c r="A347" s="1"/>
      <c r="B347" s="78" t="s">
        <v>28</v>
      </c>
      <c r="C347" s="79">
        <f>SUM(H21,H22,H23,H24,H25,H26,H27,H28)</f>
        <v>112431.87000000001</v>
      </c>
      <c r="D347" s="80">
        <f t="shared" si="6"/>
        <v>3.3362994163023E-3</v>
      </c>
      <c r="F347" s="84"/>
      <c r="G347" s="95"/>
      <c r="H347" s="74"/>
      <c r="I347" s="67"/>
    </row>
    <row r="348" spans="1:9" ht="16.5" customHeight="1">
      <c r="A348" s="1"/>
      <c r="B348" s="78" t="s">
        <v>33</v>
      </c>
      <c r="C348" s="79">
        <f>SUM(H29,H30,H31,H32,H33,H34,H35,H36)</f>
        <v>43419.936000000002</v>
      </c>
      <c r="D348" s="80">
        <f t="shared" si="6"/>
        <v>1.288441677014562E-3</v>
      </c>
      <c r="F348" s="84"/>
      <c r="G348" s="95"/>
      <c r="H348" s="74"/>
      <c r="I348" s="67"/>
    </row>
    <row r="349" spans="1:9" ht="16.5" customHeight="1">
      <c r="A349" s="1"/>
      <c r="B349" s="78" t="s">
        <v>38</v>
      </c>
      <c r="C349" s="79">
        <f>SUM(H39,H38,H37)</f>
        <v>690065.43319999997</v>
      </c>
      <c r="D349" s="80">
        <f t="shared" si="6"/>
        <v>2.0476977764361241E-2</v>
      </c>
      <c r="F349" s="84"/>
      <c r="G349" s="95"/>
      <c r="H349" s="74"/>
      <c r="I349" s="67"/>
    </row>
    <row r="350" spans="1:9" ht="16.5" customHeight="1">
      <c r="A350" s="1"/>
      <c r="B350" s="78" t="s">
        <v>42</v>
      </c>
      <c r="C350" s="79">
        <f>SUM(H40,H41,H42,H43,H44,H45,H46,H47,H48,H49,H50,H51,H52,H53,H54,H55,H56,H57)</f>
        <v>533241.85120000003</v>
      </c>
      <c r="D350" s="80">
        <f t="shared" si="6"/>
        <v>1.5823400223677841E-2</v>
      </c>
      <c r="F350" s="84"/>
      <c r="G350" s="95"/>
      <c r="H350" s="74"/>
      <c r="I350" s="67"/>
    </row>
    <row r="351" spans="1:9" ht="31.5">
      <c r="A351" s="1"/>
      <c r="B351" s="78" t="s">
        <v>51</v>
      </c>
      <c r="C351" s="79">
        <f>SUM(H58,H59,H60,H61,H62,H63,H64,H65,H66,H67)</f>
        <v>31454.236800000002</v>
      </c>
      <c r="D351" s="80">
        <f t="shared" si="6"/>
        <v>9.3337193338574132E-4</v>
      </c>
      <c r="F351" s="84"/>
      <c r="G351" s="95"/>
      <c r="H351" s="74"/>
      <c r="I351" s="67"/>
    </row>
    <row r="352" spans="1:9" ht="31.5">
      <c r="A352" s="1"/>
      <c r="B352" s="78" t="s">
        <v>64</v>
      </c>
      <c r="C352" s="79">
        <f>SUM(H68,H69,H70,H71,H72,H73,H74,H75,H76,H77,H78)</f>
        <v>66632.540800000002</v>
      </c>
      <c r="D352" s="80">
        <f t="shared" si="6"/>
        <v>1.9772517078812191E-3</v>
      </c>
      <c r="F352" s="84"/>
      <c r="G352" s="95"/>
      <c r="H352" s="74"/>
      <c r="I352" s="67"/>
    </row>
    <row r="353" spans="1:9" ht="16.5" customHeight="1">
      <c r="A353" s="1"/>
      <c r="B353" s="96" t="s">
        <v>69</v>
      </c>
      <c r="C353" s="79">
        <f>SUM(H79,H80,H81,H82,H83,H84,H85,H86,H87,H88,H89,H90,H91,H92)</f>
        <v>324639.82000000007</v>
      </c>
      <c r="D353" s="80">
        <f t="shared" si="6"/>
        <v>9.6333507747801746E-3</v>
      </c>
      <c r="F353" s="84"/>
      <c r="G353" s="95"/>
      <c r="H353" s="74"/>
      <c r="I353" s="67"/>
    </row>
    <row r="354" spans="1:9" ht="16.5" customHeight="1">
      <c r="A354" s="1"/>
      <c r="B354" s="78" t="s">
        <v>76</v>
      </c>
      <c r="C354" s="79">
        <f>SUM(H93,H94,H95,H96,H97,H98,H99)</f>
        <v>8981.2047071999987</v>
      </c>
      <c r="D354" s="80">
        <f t="shared" si="6"/>
        <v>2.6650795741743708E-4</v>
      </c>
      <c r="F354" s="84"/>
      <c r="G354" s="95"/>
      <c r="H354" s="74"/>
      <c r="I354" s="67"/>
    </row>
    <row r="355" spans="1:9" ht="16.5" customHeight="1">
      <c r="A355" s="1"/>
      <c r="B355" s="78" t="s">
        <v>78</v>
      </c>
      <c r="C355" s="79">
        <f>SUM(H100,H101,H102,H103,H104,H105,H106,H107,H108,H109,H110,H111,H112,H113,H114,H115,H116,H117,H118,H119,H120)</f>
        <v>48880.032000000014</v>
      </c>
      <c r="D355" s="80">
        <f t="shared" si="6"/>
        <v>1.4504643766081432E-3</v>
      </c>
      <c r="F355" s="84"/>
      <c r="G355" s="95"/>
      <c r="H355" s="74"/>
      <c r="I355" s="67"/>
    </row>
    <row r="356" spans="1:9" ht="16.5" customHeight="1">
      <c r="A356" s="1"/>
      <c r="B356" s="78" t="s">
        <v>82</v>
      </c>
      <c r="C356" s="79">
        <f>SUM(H121,H122,H123,H124)</f>
        <v>47096.952000000005</v>
      </c>
      <c r="D356" s="80">
        <f t="shared" si="6"/>
        <v>1.3975533224451168E-3</v>
      </c>
      <c r="F356" s="84"/>
      <c r="G356" s="95"/>
      <c r="H356" s="74"/>
      <c r="I356" s="67"/>
    </row>
    <row r="357" spans="1:9" ht="16.5" customHeight="1">
      <c r="A357" s="1"/>
      <c r="B357" s="78" t="s">
        <v>84</v>
      </c>
      <c r="C357" s="79">
        <f>SUM(H125)</f>
        <v>22400.000000000004</v>
      </c>
      <c r="D357" s="80">
        <f t="shared" si="6"/>
        <v>6.6469682417602343E-4</v>
      </c>
      <c r="F357" s="84"/>
      <c r="G357" s="95"/>
      <c r="H357" s="74"/>
      <c r="I357" s="67"/>
    </row>
    <row r="358" spans="1:9" ht="16.5" customHeight="1">
      <c r="A358" s="1"/>
      <c r="B358" s="78" t="s">
        <v>86</v>
      </c>
      <c r="C358" s="79">
        <f>SUM(H126,H127,H128)</f>
        <v>61160.160000000003</v>
      </c>
      <c r="D358" s="80">
        <f t="shared" si="6"/>
        <v>1.8148644695579223E-3</v>
      </c>
      <c r="F358" s="84"/>
      <c r="G358" s="95"/>
      <c r="H358" s="74"/>
      <c r="I358" s="67"/>
    </row>
    <row r="359" spans="1:9" ht="16.5" customHeight="1">
      <c r="A359" s="1"/>
      <c r="B359" s="78" t="s">
        <v>89</v>
      </c>
      <c r="C359" s="79">
        <f>SUM(H129,H130,H131,H132,H133,H134,H135)</f>
        <v>35205.375016884798</v>
      </c>
      <c r="D359" s="80">
        <f t="shared" si="6"/>
        <v>1.0446830789129125E-3</v>
      </c>
      <c r="F359" s="84"/>
      <c r="G359" s="95"/>
      <c r="H359" s="74"/>
      <c r="I359" s="67"/>
    </row>
    <row r="360" spans="1:9" ht="16.5" customHeight="1">
      <c r="A360" s="1"/>
      <c r="B360" s="78" t="s">
        <v>92</v>
      </c>
      <c r="C360" s="79">
        <f>SUM(H136,H137)</f>
        <v>56234.080000000009</v>
      </c>
      <c r="D360" s="80">
        <f t="shared" si="6"/>
        <v>1.6686881422526981E-3</v>
      </c>
      <c r="F360" s="84"/>
      <c r="G360" s="95"/>
      <c r="H360" s="74"/>
      <c r="I360" s="67"/>
    </row>
    <row r="361" spans="1:9" ht="31.5">
      <c r="A361" s="1"/>
      <c r="B361" s="78" t="s">
        <v>93</v>
      </c>
      <c r="C361" s="79">
        <f>SUM(H138,H139,H140,H141,H142,H143,H144,H145,H146,H147,H148,H149,H150)</f>
        <v>970274.97280000011</v>
      </c>
      <c r="D361" s="80">
        <f t="shared" si="6"/>
        <v>2.8791905937394533E-2</v>
      </c>
      <c r="F361" s="84"/>
      <c r="G361" s="95"/>
      <c r="H361" s="74"/>
      <c r="I361" s="67"/>
    </row>
    <row r="362" spans="1:9" ht="16.5" customHeight="1">
      <c r="A362" s="1"/>
      <c r="B362" s="78" t="s">
        <v>95</v>
      </c>
      <c r="C362" s="79">
        <f>SUM(H151,H152,H153,H154,H155,H156,H157,H158,H159,H160,H161,H162,H163,H164,H165,H166,H167,H168,H169,H170,H171,H172,H173,H174,H175,H176,H177,H178,H179,H180,H181,H182,H183,H184,H185,H186,H187,H188,H189,H190,H191,H192,H193,H194,H195)</f>
        <v>27548836.000400003</v>
      </c>
      <c r="D362" s="80">
        <f t="shared" si="6"/>
        <v>0.8174832053219635</v>
      </c>
      <c r="F362" s="84"/>
      <c r="G362" s="95"/>
      <c r="H362" s="74"/>
      <c r="I362" s="67"/>
    </row>
    <row r="363" spans="1:9" ht="16.5" customHeight="1">
      <c r="A363" s="1"/>
      <c r="B363" s="78" t="s">
        <v>146</v>
      </c>
      <c r="C363" s="79">
        <f>SUM(H196,H197,H198,H199,H200,H201,H202)</f>
        <v>95814.444560000004</v>
      </c>
      <c r="D363" s="80">
        <f t="shared" si="6"/>
        <v>2.8431945093402525E-3</v>
      </c>
      <c r="F363" s="84"/>
      <c r="G363" s="95"/>
      <c r="H363" s="74"/>
      <c r="I363" s="67"/>
    </row>
    <row r="364" spans="1:9" ht="16.5" customHeight="1">
      <c r="A364" s="1"/>
      <c r="B364" s="78" t="s">
        <v>149</v>
      </c>
      <c r="C364" s="79">
        <f>SUM(H203,H204,H205,H206,H207,H208,H209,H210,H211,H212,H213,H214,H215,H216,H217,H218,H219,H220,H221,H222,H223,H224,H225,H226,H227,H228,H229)</f>
        <v>932747.30200000014</v>
      </c>
      <c r="D364" s="80">
        <f t="shared" si="6"/>
        <v>2.7678311133846171E-2</v>
      </c>
      <c r="F364" s="84"/>
      <c r="G364" s="95"/>
      <c r="H364" s="74"/>
      <c r="I364" s="67"/>
    </row>
    <row r="365" spans="1:9" ht="16.5" customHeight="1">
      <c r="A365" s="1"/>
      <c r="B365" s="78" t="s">
        <v>161</v>
      </c>
      <c r="C365" s="79">
        <f>SUM(H230,H231,H232,H233,H234,H235,H236,H237,H238,H239,H240,H241,H242,H243,H244,H245,H246,H247,H248,H249,H250,H251,H252,H253,H254,H255,H256,H257,H258,H259,H260,H261,H262,H263,H264)</f>
        <v>201107.09696</v>
      </c>
      <c r="D365" s="80">
        <f t="shared" si="6"/>
        <v>5.9676450298469467E-3</v>
      </c>
      <c r="F365" s="84"/>
      <c r="G365" s="95"/>
      <c r="H365" s="74"/>
      <c r="I365" s="67"/>
    </row>
    <row r="366" spans="1:9" ht="16.5" customHeight="1">
      <c r="A366" s="1"/>
      <c r="B366" s="78" t="s">
        <v>167</v>
      </c>
      <c r="C366" s="79">
        <f>SUM(H265,H266,H267,H268,H269,H270)</f>
        <v>163296.94976000002</v>
      </c>
      <c r="D366" s="80">
        <f t="shared" si="6"/>
        <v>4.8456680313885558E-3</v>
      </c>
      <c r="F366" s="84"/>
      <c r="G366" s="95"/>
      <c r="H366" s="74"/>
      <c r="I366" s="67"/>
    </row>
    <row r="367" spans="1:9" ht="16.5" customHeight="1">
      <c r="A367" s="1"/>
      <c r="B367" s="78" t="s">
        <v>169</v>
      </c>
      <c r="C367" s="79">
        <f>SUM(H271,H272,H273,H274,H275,H276,H277)</f>
        <v>204421.28089599998</v>
      </c>
      <c r="D367" s="80">
        <f t="shared" si="6"/>
        <v>6.0659900091770526E-3</v>
      </c>
      <c r="F367" s="84"/>
      <c r="G367" s="95"/>
      <c r="H367" s="74"/>
      <c r="I367" s="67"/>
    </row>
    <row r="368" spans="1:9" ht="16.5" customHeight="1">
      <c r="A368" s="1"/>
      <c r="B368" s="78" t="s">
        <v>170</v>
      </c>
      <c r="C368" s="79">
        <f>SUM(H278,H279,H280,H281,H282,H283,H284,H285,H286,H287,H288,H289,H290,H291,H292,H293,H294,H295,H296,H297,H298,H299,H300,H301,H302)</f>
        <v>182559.78720000002</v>
      </c>
      <c r="D368" s="80">
        <f t="shared" si="6"/>
        <v>5.4172728024147613E-3</v>
      </c>
      <c r="F368" s="84"/>
      <c r="G368" s="95"/>
      <c r="H368" s="74"/>
      <c r="I368" s="67"/>
    </row>
    <row r="369" spans="1:9" ht="16.5" customHeight="1">
      <c r="A369" s="1"/>
      <c r="B369" s="78" t="s">
        <v>172</v>
      </c>
      <c r="C369" s="79">
        <f>SUM(H303,H304,H305,H306,H307,H308,H309,H310,H311,H312)</f>
        <v>1204725.6612</v>
      </c>
      <c r="D369" s="80">
        <f t="shared" si="6"/>
        <v>3.5748987544776782E-2</v>
      </c>
      <c r="F369" s="84"/>
      <c r="G369" s="95"/>
      <c r="H369" s="74"/>
      <c r="I369" s="67"/>
    </row>
    <row r="370" spans="1:9" ht="16.5" customHeight="1">
      <c r="A370" s="1"/>
      <c r="B370" s="82" t="s">
        <v>183</v>
      </c>
      <c r="C370" s="83">
        <f t="shared" ref="C370:D370" si="7">SUM(C345:C369)</f>
        <v>33699574.280000001</v>
      </c>
      <c r="D370" s="4062">
        <f t="shared" si="7"/>
        <v>0.99999999999999989</v>
      </c>
      <c r="F370" s="84"/>
      <c r="G370" s="95"/>
      <c r="H370" s="74"/>
      <c r="I370" s="67"/>
    </row>
    <row r="371" spans="1:9" ht="16.5" customHeight="1">
      <c r="A371" s="1"/>
      <c r="B371" s="85"/>
      <c r="C371" s="85"/>
      <c r="D371" s="85"/>
      <c r="F371" s="84"/>
      <c r="G371" s="95"/>
      <c r="H371" s="74"/>
      <c r="I371" s="67"/>
    </row>
    <row r="372" spans="1:9" ht="16.5" customHeight="1">
      <c r="A372" s="1"/>
      <c r="B372" s="64" t="s">
        <v>195</v>
      </c>
      <c r="C372" s="97"/>
      <c r="D372" s="97"/>
      <c r="F372" s="98"/>
      <c r="G372" s="99"/>
      <c r="H372" s="74"/>
      <c r="I372" s="67"/>
    </row>
    <row r="373" spans="1:9" ht="16.5" customHeight="1">
      <c r="A373" s="1"/>
      <c r="B373" s="64" t="s">
        <v>196</v>
      </c>
      <c r="C373" s="97"/>
      <c r="D373" s="97"/>
      <c r="F373" s="98"/>
      <c r="G373" s="99"/>
      <c r="H373" s="74"/>
      <c r="I373" s="67"/>
    </row>
    <row r="374" spans="1:9" ht="16.5" customHeight="1">
      <c r="A374" s="1"/>
      <c r="B374" s="61" t="s">
        <v>197</v>
      </c>
      <c r="C374" s="100"/>
      <c r="D374" s="101"/>
      <c r="F374" s="98"/>
      <c r="G374" s="99"/>
      <c r="H374" s="74"/>
      <c r="I374" s="67"/>
    </row>
    <row r="375" spans="1:9" ht="16.5" customHeight="1">
      <c r="A375" s="1"/>
      <c r="B375" s="71"/>
      <c r="C375" s="102"/>
      <c r="D375" s="100"/>
      <c r="F375" s="98"/>
      <c r="G375" s="98"/>
      <c r="H375" s="66"/>
      <c r="I375" s="67"/>
    </row>
  </sheetData>
  <mergeCells count="8">
    <mergeCell ref="B344:D344"/>
    <mergeCell ref="C313:F313"/>
    <mergeCell ref="B319:D319"/>
    <mergeCell ref="B2:H2"/>
    <mergeCell ref="B3:H3"/>
    <mergeCell ref="B5:H5"/>
    <mergeCell ref="B326:D326"/>
    <mergeCell ref="B337:D337"/>
  </mergeCells>
  <printOptions horizontalCentered="1"/>
  <pageMargins left="0.25" right="0.25" top="0.75" bottom="0.75" header="0" footer="0"/>
  <pageSetup paperSize="9" fitToHeight="0" pageOrder="overThenDown" orientation="landscape" r:id="rId1"/>
  <headerFooter>
    <oddHeader>&amp;L&amp;F&amp;C002060&amp;R&amp;A</oddHeader>
    <oddFooter>&amp;L&amp;D&amp;R&amp;P</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pageSetUpPr fitToPage="1"/>
  </sheetPr>
  <dimension ref="A1:AF261"/>
  <sheetViews>
    <sheetView showGridLines="0" topLeftCell="R235" zoomScaleNormal="100" workbookViewId="0">
      <selection activeCell="AF261" sqref="AF261"/>
    </sheetView>
  </sheetViews>
  <sheetFormatPr baseColWidth="10" defaultColWidth="12.5703125" defaultRowHeight="15.75" customHeight="1"/>
  <cols>
    <col min="1" max="1" width="7.85546875" customWidth="1"/>
    <col min="2" max="2" width="4.7109375" customWidth="1"/>
    <col min="3" max="3" width="25.7109375" customWidth="1"/>
    <col min="4" max="4" width="21.28515625" customWidth="1"/>
    <col min="5" max="5" width="17.42578125" customWidth="1"/>
    <col min="6" max="6" width="19.42578125" customWidth="1"/>
    <col min="7" max="7" width="21.28515625" customWidth="1"/>
    <col min="8" max="8" width="18.28515625" customWidth="1"/>
    <col min="9" max="9" width="16" customWidth="1"/>
    <col min="10" max="10" width="24.140625" customWidth="1"/>
    <col min="11" max="11" width="23.42578125" customWidth="1"/>
    <col min="12" max="12" width="18.42578125" customWidth="1"/>
    <col min="13" max="15" width="8.7109375" customWidth="1"/>
    <col min="16" max="16" width="34.42578125" customWidth="1"/>
    <col min="17" max="17" width="24.85546875" customWidth="1"/>
    <col min="18" max="18" width="29.42578125" customWidth="1"/>
    <col min="19" max="19" width="16.7109375" customWidth="1"/>
    <col min="20" max="20" width="14.7109375" customWidth="1"/>
    <col min="21" max="21" width="17.7109375" customWidth="1"/>
    <col min="22" max="22" width="53.42578125" customWidth="1"/>
    <col min="23" max="23" width="13.7109375" customWidth="1"/>
    <col min="24" max="24" width="12" customWidth="1"/>
    <col min="25" max="25" width="13" customWidth="1"/>
    <col min="26" max="26" width="13.28515625" bestFit="1" customWidth="1"/>
    <col min="27" max="27" width="15.140625" customWidth="1"/>
    <col min="28" max="28" width="16.42578125" customWidth="1"/>
    <col min="29" max="31" width="7.7109375" customWidth="1"/>
    <col min="32" max="32" width="19.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254" t="s">
        <v>746</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68"/>
      <c r="B5" s="14"/>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28.5" customHeight="1">
      <c r="A9" s="4669" t="s">
        <v>746</v>
      </c>
      <c r="B9" s="4668" t="s">
        <v>746</v>
      </c>
      <c r="C9" s="4674" t="s">
        <v>272</v>
      </c>
      <c r="D9" s="4670" t="s">
        <v>302</v>
      </c>
      <c r="E9" s="4737"/>
      <c r="F9" s="4737"/>
      <c r="G9" s="4738" t="s">
        <v>305</v>
      </c>
      <c r="H9" s="4670" t="s">
        <v>262</v>
      </c>
      <c r="I9" s="4328" t="s">
        <v>241</v>
      </c>
      <c r="J9" s="4732" t="s">
        <v>4473</v>
      </c>
      <c r="K9" s="4256" t="s">
        <v>4474</v>
      </c>
      <c r="L9" s="4670" t="s">
        <v>747</v>
      </c>
      <c r="M9" s="4733">
        <v>0</v>
      </c>
      <c r="N9" s="4733">
        <v>0</v>
      </c>
      <c r="O9" s="4733">
        <v>0</v>
      </c>
      <c r="P9" s="4368" t="s">
        <v>4396</v>
      </c>
      <c r="Q9" s="4730" t="s">
        <v>4395</v>
      </c>
      <c r="R9" s="4711" t="s">
        <v>4358</v>
      </c>
      <c r="S9" s="2894"/>
      <c r="T9" s="2895"/>
      <c r="U9" s="2895"/>
      <c r="V9" s="2896"/>
      <c r="W9" s="2897"/>
      <c r="X9" s="2898"/>
      <c r="Y9" s="2897"/>
      <c r="Z9" s="2899"/>
      <c r="AA9" s="2899"/>
      <c r="AB9" s="2900"/>
      <c r="AC9" s="2901"/>
      <c r="AD9" s="2902"/>
      <c r="AE9" s="2902"/>
      <c r="AF9" s="4731"/>
    </row>
    <row r="10" spans="1:32" ht="28.5" customHeight="1">
      <c r="A10" s="4564"/>
      <c r="B10" s="4623"/>
      <c r="C10" s="4331"/>
      <c r="D10" s="4215"/>
      <c r="E10" s="4676"/>
      <c r="F10" s="4676"/>
      <c r="G10" s="4215"/>
      <c r="H10" s="4215"/>
      <c r="I10" s="4215"/>
      <c r="J10" s="4215"/>
      <c r="K10" s="4215"/>
      <c r="L10" s="4215"/>
      <c r="M10" s="4734"/>
      <c r="N10" s="4734"/>
      <c r="O10" s="4734"/>
      <c r="P10" s="4215"/>
      <c r="Q10" s="4449"/>
      <c r="R10" s="4693"/>
      <c r="S10" s="2903"/>
      <c r="T10" s="1806"/>
      <c r="U10" s="1806"/>
      <c r="V10" s="2904"/>
      <c r="W10" s="2905"/>
      <c r="X10" s="1804"/>
      <c r="Y10" s="2906"/>
      <c r="Z10" s="2906"/>
      <c r="AA10" s="2907"/>
      <c r="AB10" s="1803"/>
      <c r="AC10" s="1804"/>
      <c r="AD10" s="1809"/>
      <c r="AE10" s="1809"/>
      <c r="AF10" s="4521"/>
    </row>
    <row r="11" spans="1:32" s="2294" customFormat="1" ht="28.5" customHeight="1">
      <c r="A11" s="4564"/>
      <c r="B11" s="4623"/>
      <c r="C11" s="4331"/>
      <c r="D11" s="4215"/>
      <c r="E11" s="4676"/>
      <c r="F11" s="4676"/>
      <c r="G11" s="4215"/>
      <c r="H11" s="4215"/>
      <c r="I11" s="4215"/>
      <c r="J11" s="4215"/>
      <c r="K11" s="4215"/>
      <c r="L11" s="4215"/>
      <c r="M11" s="4734"/>
      <c r="N11" s="4734"/>
      <c r="O11" s="4734"/>
      <c r="P11" s="4215"/>
      <c r="Q11" s="4449"/>
      <c r="R11" s="4693"/>
      <c r="S11" s="2903"/>
      <c r="T11" s="1806"/>
      <c r="U11" s="1806"/>
      <c r="V11" s="2904"/>
      <c r="W11" s="2905"/>
      <c r="X11" s="1804"/>
      <c r="Y11" s="2906"/>
      <c r="Z11" s="2906"/>
      <c r="AA11" s="2907"/>
      <c r="AB11" s="1803"/>
      <c r="AC11" s="1804"/>
      <c r="AD11" s="1809"/>
      <c r="AE11" s="1809"/>
      <c r="AF11" s="4521"/>
    </row>
    <row r="12" spans="1:32" ht="28.5" customHeight="1">
      <c r="A12" s="4564"/>
      <c r="B12" s="4623"/>
      <c r="C12" s="4331"/>
      <c r="D12" s="4215"/>
      <c r="E12" s="4676"/>
      <c r="F12" s="4676"/>
      <c r="G12" s="4215"/>
      <c r="H12" s="4215"/>
      <c r="I12" s="4215"/>
      <c r="J12" s="4215"/>
      <c r="K12" s="4215"/>
      <c r="L12" s="4215"/>
      <c r="M12" s="4734"/>
      <c r="N12" s="4734"/>
      <c r="O12" s="4734"/>
      <c r="P12" s="4215"/>
      <c r="Q12" s="4449"/>
      <c r="R12" s="4693"/>
      <c r="S12" s="2908"/>
      <c r="T12" s="1806"/>
      <c r="U12" s="1806"/>
      <c r="V12" s="2909"/>
      <c r="W12" s="2905"/>
      <c r="X12" s="1804"/>
      <c r="Y12" s="2906"/>
      <c r="Z12" s="2906"/>
      <c r="AA12" s="2907"/>
      <c r="AB12" s="1803"/>
      <c r="AC12" s="1804"/>
      <c r="AD12" s="1809"/>
      <c r="AE12" s="1809"/>
      <c r="AF12" s="4521"/>
    </row>
    <row r="13" spans="1:32" ht="28.5" customHeight="1">
      <c r="A13" s="4564"/>
      <c r="B13" s="4623"/>
      <c r="C13" s="4332"/>
      <c r="D13" s="4216"/>
      <c r="E13" s="4677"/>
      <c r="F13" s="4677"/>
      <c r="G13" s="4216"/>
      <c r="H13" s="4216"/>
      <c r="I13" s="4216"/>
      <c r="J13" s="4216"/>
      <c r="K13" s="4216"/>
      <c r="L13" s="4216"/>
      <c r="M13" s="4735"/>
      <c r="N13" s="4735"/>
      <c r="O13" s="4735"/>
      <c r="P13" s="4216"/>
      <c r="Q13" s="4450"/>
      <c r="R13" s="4693"/>
      <c r="S13" s="2934"/>
      <c r="T13" s="2935"/>
      <c r="U13" s="2935"/>
      <c r="V13" s="2936"/>
      <c r="W13" s="2549"/>
      <c r="X13" s="2937"/>
      <c r="Y13" s="2938"/>
      <c r="Z13" s="2938"/>
      <c r="AA13" s="2938"/>
      <c r="AB13" s="2939"/>
      <c r="AC13" s="2937"/>
      <c r="AD13" s="2940"/>
      <c r="AE13" s="2940"/>
      <c r="AF13" s="4530"/>
    </row>
    <row r="14" spans="1:32" ht="28.5" customHeight="1">
      <c r="A14" s="4564"/>
      <c r="B14" s="4623"/>
      <c r="C14" s="4625" t="s">
        <v>272</v>
      </c>
      <c r="D14" s="4328" t="s">
        <v>679</v>
      </c>
      <c r="E14" s="4328" t="s">
        <v>680</v>
      </c>
      <c r="F14" s="4273" t="s">
        <v>681</v>
      </c>
      <c r="G14" s="4329" t="s">
        <v>682</v>
      </c>
      <c r="H14" s="4328" t="s">
        <v>686</v>
      </c>
      <c r="I14" s="4328" t="s">
        <v>278</v>
      </c>
      <c r="J14" s="4345" t="s">
        <v>4472</v>
      </c>
      <c r="K14" s="4328" t="s">
        <v>748</v>
      </c>
      <c r="L14" s="4482" t="s">
        <v>749</v>
      </c>
      <c r="M14" s="4246">
        <v>0</v>
      </c>
      <c r="N14" s="4336">
        <v>8</v>
      </c>
      <c r="O14" s="4336">
        <v>3</v>
      </c>
      <c r="P14" s="4368" t="s">
        <v>4397</v>
      </c>
      <c r="Q14" s="4730" t="s">
        <v>4394</v>
      </c>
      <c r="R14" s="4727" t="s">
        <v>4358</v>
      </c>
      <c r="S14" s="2941"/>
      <c r="T14" s="2538"/>
      <c r="U14" s="2538"/>
      <c r="V14" s="2942"/>
      <c r="W14" s="2551"/>
      <c r="X14" s="2943"/>
      <c r="Y14" s="2944"/>
      <c r="Z14" s="2944"/>
      <c r="AA14" s="2944"/>
      <c r="AB14" s="2945"/>
      <c r="AC14" s="2943"/>
      <c r="AD14" s="2946"/>
      <c r="AE14" s="2946"/>
      <c r="AF14" s="4729"/>
    </row>
    <row r="15" spans="1:32" ht="28.5" customHeight="1">
      <c r="A15" s="4564"/>
      <c r="B15" s="4623"/>
      <c r="C15" s="4331"/>
      <c r="D15" s="4215"/>
      <c r="E15" s="4215"/>
      <c r="F15" s="4215"/>
      <c r="G15" s="4215"/>
      <c r="H15" s="4215"/>
      <c r="I15" s="4215"/>
      <c r="J15" s="4215"/>
      <c r="K15" s="4215"/>
      <c r="L15" s="4215"/>
      <c r="M15" s="4226"/>
      <c r="N15" s="4226"/>
      <c r="O15" s="4226"/>
      <c r="P15" s="4215"/>
      <c r="Q15" s="4449"/>
      <c r="R15" s="4693"/>
      <c r="S15" s="2910"/>
      <c r="T15" s="1797"/>
      <c r="U15" s="1797"/>
      <c r="V15" s="2904"/>
      <c r="W15" s="1800"/>
      <c r="X15" s="1804"/>
      <c r="Y15" s="1802"/>
      <c r="Z15" s="1802"/>
      <c r="AA15" s="1802"/>
      <c r="AB15" s="1803"/>
      <c r="AC15" s="1804"/>
      <c r="AD15" s="1804"/>
      <c r="AE15" s="1809"/>
      <c r="AF15" s="4521"/>
    </row>
    <row r="16" spans="1:32" ht="28.5" customHeight="1">
      <c r="A16" s="4564"/>
      <c r="B16" s="4623"/>
      <c r="C16" s="4331"/>
      <c r="D16" s="4215"/>
      <c r="E16" s="4215"/>
      <c r="F16" s="4215"/>
      <c r="G16" s="4215"/>
      <c r="H16" s="4215"/>
      <c r="I16" s="4215"/>
      <c r="J16" s="4215"/>
      <c r="K16" s="4215"/>
      <c r="L16" s="4215"/>
      <c r="M16" s="4226"/>
      <c r="N16" s="4226"/>
      <c r="O16" s="4226"/>
      <c r="P16" s="4215"/>
      <c r="Q16" s="4449"/>
      <c r="R16" s="4693"/>
      <c r="S16" s="2910"/>
      <c r="T16" s="1797"/>
      <c r="U16" s="1797"/>
      <c r="V16" s="2904"/>
      <c r="W16" s="1800"/>
      <c r="X16" s="1804"/>
      <c r="Y16" s="1802"/>
      <c r="Z16" s="1802"/>
      <c r="AA16" s="1802"/>
      <c r="AB16" s="1803"/>
      <c r="AC16" s="1804"/>
      <c r="AD16" s="1804"/>
      <c r="AE16" s="1809"/>
      <c r="AF16" s="4521"/>
    </row>
    <row r="17" spans="1:32" ht="28.5" customHeight="1">
      <c r="A17" s="4564"/>
      <c r="B17" s="4623"/>
      <c r="C17" s="4331"/>
      <c r="D17" s="4215"/>
      <c r="E17" s="4215"/>
      <c r="F17" s="4215"/>
      <c r="G17" s="4215"/>
      <c r="H17" s="4215"/>
      <c r="I17" s="4215"/>
      <c r="J17" s="4215"/>
      <c r="K17" s="4215"/>
      <c r="L17" s="4215"/>
      <c r="M17" s="4226"/>
      <c r="N17" s="4226"/>
      <c r="O17" s="4226"/>
      <c r="P17" s="4215"/>
      <c r="Q17" s="4449"/>
      <c r="R17" s="4693"/>
      <c r="S17" s="2910"/>
      <c r="T17" s="1797"/>
      <c r="U17" s="1797"/>
      <c r="V17" s="2904"/>
      <c r="W17" s="1800"/>
      <c r="X17" s="1804"/>
      <c r="Y17" s="1802"/>
      <c r="Z17" s="1802"/>
      <c r="AA17" s="1802"/>
      <c r="AB17" s="1803"/>
      <c r="AC17" s="1804"/>
      <c r="AD17" s="1804"/>
      <c r="AE17" s="1809"/>
      <c r="AF17" s="4521"/>
    </row>
    <row r="18" spans="1:32" ht="28.5" customHeight="1">
      <c r="A18" s="4564"/>
      <c r="B18" s="4623"/>
      <c r="C18" s="4332"/>
      <c r="D18" s="4216"/>
      <c r="E18" s="4216"/>
      <c r="F18" s="4216"/>
      <c r="G18" s="4216"/>
      <c r="H18" s="4216"/>
      <c r="I18" s="4216"/>
      <c r="J18" s="4216"/>
      <c r="K18" s="4215"/>
      <c r="L18" s="4216"/>
      <c r="M18" s="4226"/>
      <c r="N18" s="4247"/>
      <c r="O18" s="4226"/>
      <c r="P18" s="4215"/>
      <c r="Q18" s="4449"/>
      <c r="R18" s="4728"/>
      <c r="S18" s="2928"/>
      <c r="T18" s="2548"/>
      <c r="U18" s="2548"/>
      <c r="V18" s="2929"/>
      <c r="W18" s="2540"/>
      <c r="X18" s="2930"/>
      <c r="Y18" s="2931"/>
      <c r="Z18" s="2931"/>
      <c r="AA18" s="2931"/>
      <c r="AB18" s="2932"/>
      <c r="AC18" s="2930"/>
      <c r="AD18" s="2930"/>
      <c r="AE18" s="2933"/>
      <c r="AF18" s="4522"/>
    </row>
    <row r="19" spans="1:32" ht="27" customHeight="1">
      <c r="A19" s="4564"/>
      <c r="B19" s="4623"/>
      <c r="C19" s="4625" t="s">
        <v>272</v>
      </c>
      <c r="D19" s="4328" t="s">
        <v>679</v>
      </c>
      <c r="E19" s="4328" t="s">
        <v>680</v>
      </c>
      <c r="F19" s="4328" t="s">
        <v>681</v>
      </c>
      <c r="G19" s="4329" t="s">
        <v>682</v>
      </c>
      <c r="H19" s="4328" t="s">
        <v>686</v>
      </c>
      <c r="I19" s="4328" t="s">
        <v>278</v>
      </c>
      <c r="J19" s="4345" t="s">
        <v>4471</v>
      </c>
      <c r="K19" s="4228" t="s">
        <v>4475</v>
      </c>
      <c r="L19" s="4328" t="s">
        <v>750</v>
      </c>
      <c r="M19" s="4246">
        <v>0</v>
      </c>
      <c r="N19" s="4336">
        <v>5</v>
      </c>
      <c r="O19" s="4336">
        <v>0</v>
      </c>
      <c r="P19" s="4228" t="s">
        <v>4398</v>
      </c>
      <c r="Q19" s="4458" t="s">
        <v>4393</v>
      </c>
      <c r="R19" s="4711" t="s">
        <v>4358</v>
      </c>
      <c r="S19" s="2921"/>
      <c r="T19" s="2539"/>
      <c r="U19" s="2539"/>
      <c r="V19" s="2922"/>
      <c r="W19" s="2923"/>
      <c r="X19" s="2924"/>
      <c r="Y19" s="2925"/>
      <c r="Z19" s="2925"/>
      <c r="AA19" s="2925"/>
      <c r="AB19" s="2926"/>
      <c r="AC19" s="2924"/>
      <c r="AD19" s="2927"/>
      <c r="AE19" s="2927"/>
      <c r="AF19" s="4719"/>
    </row>
    <row r="20" spans="1:32" ht="27" customHeight="1">
      <c r="A20" s="4564"/>
      <c r="B20" s="4623"/>
      <c r="C20" s="4331"/>
      <c r="D20" s="4215"/>
      <c r="E20" s="4215"/>
      <c r="F20" s="4215"/>
      <c r="G20" s="4215"/>
      <c r="H20" s="4215"/>
      <c r="I20" s="4215"/>
      <c r="J20" s="4215"/>
      <c r="K20" s="4215"/>
      <c r="L20" s="4215"/>
      <c r="M20" s="4226"/>
      <c r="N20" s="4226"/>
      <c r="O20" s="4226"/>
      <c r="P20" s="4215"/>
      <c r="Q20" s="4449"/>
      <c r="R20" s="4693"/>
      <c r="S20" s="2912"/>
      <c r="T20" s="2913"/>
      <c r="U20" s="2913"/>
      <c r="V20" s="2904"/>
      <c r="W20" s="1800"/>
      <c r="X20" s="1804"/>
      <c r="Y20" s="1802"/>
      <c r="Z20" s="1802"/>
      <c r="AA20" s="1802"/>
      <c r="AB20" s="1803"/>
      <c r="AC20" s="1804"/>
      <c r="AD20" s="1809"/>
      <c r="AE20" s="1809"/>
      <c r="AF20" s="4521"/>
    </row>
    <row r="21" spans="1:32" ht="27" customHeight="1">
      <c r="A21" s="4564"/>
      <c r="B21" s="4623"/>
      <c r="C21" s="4331"/>
      <c r="D21" s="4215"/>
      <c r="E21" s="4215"/>
      <c r="F21" s="4215"/>
      <c r="G21" s="4215"/>
      <c r="H21" s="4215"/>
      <c r="I21" s="4215"/>
      <c r="J21" s="4215"/>
      <c r="K21" s="4215"/>
      <c r="L21" s="4215"/>
      <c r="M21" s="4226"/>
      <c r="N21" s="4226"/>
      <c r="O21" s="4226"/>
      <c r="P21" s="4215"/>
      <c r="Q21" s="4449"/>
      <c r="R21" s="4693"/>
      <c r="S21" s="2912"/>
      <c r="T21" s="2913"/>
      <c r="U21" s="2913"/>
      <c r="V21" s="2904"/>
      <c r="W21" s="1800"/>
      <c r="X21" s="1804"/>
      <c r="Y21" s="1802"/>
      <c r="Z21" s="1802"/>
      <c r="AA21" s="1802"/>
      <c r="AB21" s="1803"/>
      <c r="AC21" s="1804"/>
      <c r="AD21" s="1809"/>
      <c r="AE21" s="1809"/>
      <c r="AF21" s="4521"/>
    </row>
    <row r="22" spans="1:32" ht="27" customHeight="1">
      <c r="A22" s="4564"/>
      <c r="B22" s="4623"/>
      <c r="C22" s="4331"/>
      <c r="D22" s="4215"/>
      <c r="E22" s="4215"/>
      <c r="F22" s="4215"/>
      <c r="G22" s="4215"/>
      <c r="H22" s="4215"/>
      <c r="I22" s="4215"/>
      <c r="J22" s="4215"/>
      <c r="K22" s="4215"/>
      <c r="L22" s="4215"/>
      <c r="M22" s="4226"/>
      <c r="N22" s="4226"/>
      <c r="O22" s="4226"/>
      <c r="P22" s="4215"/>
      <c r="Q22" s="4449"/>
      <c r="R22" s="4693"/>
      <c r="S22" s="2903"/>
      <c r="T22" s="1806"/>
      <c r="U22" s="1806"/>
      <c r="V22" s="2909"/>
      <c r="W22" s="1800"/>
      <c r="X22" s="1804"/>
      <c r="Y22" s="1802"/>
      <c r="Z22" s="1802"/>
      <c r="AA22" s="1802"/>
      <c r="AB22" s="1803"/>
      <c r="AC22" s="1804"/>
      <c r="AD22" s="1809"/>
      <c r="AE22" s="1809"/>
      <c r="AF22" s="4521"/>
    </row>
    <row r="23" spans="1:32" ht="27" customHeight="1">
      <c r="A23" s="4564"/>
      <c r="B23" s="4623"/>
      <c r="C23" s="4332"/>
      <c r="D23" s="4216"/>
      <c r="E23" s="4216"/>
      <c r="F23" s="4216"/>
      <c r="G23" s="4216"/>
      <c r="H23" s="4216"/>
      <c r="I23" s="4216"/>
      <c r="J23" s="4216"/>
      <c r="K23" s="4216"/>
      <c r="L23" s="4216"/>
      <c r="M23" s="4247"/>
      <c r="N23" s="4247"/>
      <c r="O23" s="4247"/>
      <c r="P23" s="4216"/>
      <c r="Q23" s="4450"/>
      <c r="R23" s="4693"/>
      <c r="S23" s="2934"/>
      <c r="T23" s="2935"/>
      <c r="U23" s="2935"/>
      <c r="V23" s="2947"/>
      <c r="W23" s="2549"/>
      <c r="X23" s="2937"/>
      <c r="Y23" s="2938"/>
      <c r="Z23" s="2938"/>
      <c r="AA23" s="2938"/>
      <c r="AB23" s="2939"/>
      <c r="AC23" s="2937"/>
      <c r="AD23" s="2940"/>
      <c r="AE23" s="2940"/>
      <c r="AF23" s="4530"/>
    </row>
    <row r="24" spans="1:32" ht="30" customHeight="1">
      <c r="A24" s="4564"/>
      <c r="B24" s="4623"/>
      <c r="C24" s="4625" t="s">
        <v>272</v>
      </c>
      <c r="D24" s="4328" t="s">
        <v>679</v>
      </c>
      <c r="E24" s="4328" t="s">
        <v>680</v>
      </c>
      <c r="F24" s="4328" t="s">
        <v>688</v>
      </c>
      <c r="G24" s="4329" t="s">
        <v>682</v>
      </c>
      <c r="H24" s="4328" t="s">
        <v>686</v>
      </c>
      <c r="I24" s="4328" t="s">
        <v>241</v>
      </c>
      <c r="J24" s="4345" t="s">
        <v>4470</v>
      </c>
      <c r="K24" s="4273" t="s">
        <v>751</v>
      </c>
      <c r="L24" s="4328" t="s">
        <v>752</v>
      </c>
      <c r="M24" s="4739">
        <v>0</v>
      </c>
      <c r="N24" s="4739">
        <v>0</v>
      </c>
      <c r="O24" s="4739">
        <v>0</v>
      </c>
      <c r="P24" s="4368" t="s">
        <v>4399</v>
      </c>
      <c r="Q24" s="4730" t="s">
        <v>4392</v>
      </c>
      <c r="R24" s="4727" t="s">
        <v>4358</v>
      </c>
      <c r="S24" s="2941" t="s">
        <v>17</v>
      </c>
      <c r="T24" s="2538">
        <v>530303</v>
      </c>
      <c r="U24" s="2538"/>
      <c r="V24" s="2942" t="s">
        <v>70</v>
      </c>
      <c r="W24" s="2551"/>
      <c r="X24" s="2943"/>
      <c r="Y24" s="2944"/>
      <c r="Z24" s="2944"/>
      <c r="AA24" s="2944"/>
      <c r="AB24" s="2945">
        <f>SUM($AA$25:$AA$25)</f>
        <v>1120</v>
      </c>
      <c r="AC24" s="2943"/>
      <c r="AD24" s="2946"/>
      <c r="AE24" s="2946"/>
      <c r="AF24" s="4729"/>
    </row>
    <row r="25" spans="1:32" ht="30" customHeight="1">
      <c r="A25" s="4564"/>
      <c r="B25" s="4623"/>
      <c r="C25" s="4331"/>
      <c r="D25" s="4215"/>
      <c r="E25" s="4215"/>
      <c r="F25" s="4215"/>
      <c r="G25" s="4215"/>
      <c r="H25" s="4215"/>
      <c r="I25" s="4215"/>
      <c r="J25" s="4215"/>
      <c r="K25" s="4215"/>
      <c r="L25" s="4215"/>
      <c r="M25" s="4688"/>
      <c r="N25" s="4688"/>
      <c r="O25" s="4688"/>
      <c r="P25" s="4215"/>
      <c r="Q25" s="4449"/>
      <c r="R25" s="4693"/>
      <c r="S25" s="2912"/>
      <c r="T25" s="2913"/>
      <c r="U25" s="1806"/>
      <c r="V25" s="2970" t="s">
        <v>4357</v>
      </c>
      <c r="W25" s="1800">
        <v>1</v>
      </c>
      <c r="X25" s="1804" t="s">
        <v>269</v>
      </c>
      <c r="Y25" s="1802">
        <v>1000</v>
      </c>
      <c r="Z25" s="2977">
        <f t="shared" ref="Z25" si="0">+W25*Y25</f>
        <v>1000</v>
      </c>
      <c r="AA25" s="2977">
        <f t="shared" ref="AA25" si="1">+Z25*1.12</f>
        <v>1120</v>
      </c>
      <c r="AB25" s="1803"/>
      <c r="AC25" s="1804" t="s">
        <v>251</v>
      </c>
      <c r="AD25" s="1804" t="s">
        <v>251</v>
      </c>
      <c r="AE25" s="1804" t="s">
        <v>251</v>
      </c>
      <c r="AF25" s="4521"/>
    </row>
    <row r="26" spans="1:32" ht="30" customHeight="1">
      <c r="A26" s="4564"/>
      <c r="B26" s="4623"/>
      <c r="C26" s="4331"/>
      <c r="D26" s="4215"/>
      <c r="E26" s="4215"/>
      <c r="F26" s="4215"/>
      <c r="G26" s="4215"/>
      <c r="H26" s="4215"/>
      <c r="I26" s="4215"/>
      <c r="J26" s="4215"/>
      <c r="K26" s="4215"/>
      <c r="L26" s="4215"/>
      <c r="M26" s="4688"/>
      <c r="N26" s="4688"/>
      <c r="O26" s="4688"/>
      <c r="P26" s="4215"/>
      <c r="Q26" s="4449"/>
      <c r="R26" s="4693"/>
      <c r="S26" s="2908" t="s">
        <v>17</v>
      </c>
      <c r="T26" s="1806">
        <v>530304</v>
      </c>
      <c r="U26" s="1806"/>
      <c r="V26" s="2909" t="s">
        <v>12</v>
      </c>
      <c r="W26" s="1800"/>
      <c r="X26" s="1804"/>
      <c r="Y26" s="1802"/>
      <c r="Z26" s="1802"/>
      <c r="AA26" s="1802"/>
      <c r="AB26" s="1803">
        <f>SUM($AA$27:$AA$27)</f>
        <v>1680.0000000000002</v>
      </c>
      <c r="AC26" s="1804"/>
      <c r="AD26" s="1809"/>
      <c r="AE26" s="1809"/>
      <c r="AF26" s="4521"/>
    </row>
    <row r="27" spans="1:32" ht="30" customHeight="1">
      <c r="A27" s="4564"/>
      <c r="B27" s="4623"/>
      <c r="C27" s="4331"/>
      <c r="D27" s="4215"/>
      <c r="E27" s="4215"/>
      <c r="F27" s="4215"/>
      <c r="G27" s="4215"/>
      <c r="H27" s="4215"/>
      <c r="I27" s="4215"/>
      <c r="J27" s="4215"/>
      <c r="K27" s="4215"/>
      <c r="L27" s="4215"/>
      <c r="M27" s="4688"/>
      <c r="N27" s="4688"/>
      <c r="O27" s="4688"/>
      <c r="P27" s="4215"/>
      <c r="Q27" s="4449"/>
      <c r="R27" s="4693"/>
      <c r="S27" s="2912"/>
      <c r="T27" s="2913"/>
      <c r="U27" s="1806"/>
      <c r="V27" s="2970" t="s">
        <v>4357</v>
      </c>
      <c r="W27" s="1800">
        <v>1</v>
      </c>
      <c r="X27" s="1804" t="s">
        <v>269</v>
      </c>
      <c r="Y27" s="1802">
        <v>1500</v>
      </c>
      <c r="Z27" s="2977">
        <f t="shared" ref="Z27" si="2">+W27*Y27</f>
        <v>1500</v>
      </c>
      <c r="AA27" s="2977">
        <f t="shared" ref="AA27" si="3">+Z27*1.12</f>
        <v>1680.0000000000002</v>
      </c>
      <c r="AB27" s="1803"/>
      <c r="AC27" s="1804" t="s">
        <v>251</v>
      </c>
      <c r="AD27" s="1804" t="s">
        <v>251</v>
      </c>
      <c r="AE27" s="1804" t="s">
        <v>251</v>
      </c>
      <c r="AF27" s="4521"/>
    </row>
    <row r="28" spans="1:32" ht="30" customHeight="1">
      <c r="A28" s="4564"/>
      <c r="B28" s="4623"/>
      <c r="C28" s="4332"/>
      <c r="D28" s="4216"/>
      <c r="E28" s="4216"/>
      <c r="F28" s="4216"/>
      <c r="G28" s="4216"/>
      <c r="H28" s="4216"/>
      <c r="I28" s="4216"/>
      <c r="J28" s="4216"/>
      <c r="K28" s="4216"/>
      <c r="L28" s="4216"/>
      <c r="M28" s="4689"/>
      <c r="N28" s="4689"/>
      <c r="O28" s="4689"/>
      <c r="P28" s="4216"/>
      <c r="Q28" s="4450"/>
      <c r="R28" s="4728"/>
      <c r="S28" s="2949"/>
      <c r="T28" s="2950"/>
      <c r="U28" s="2950"/>
      <c r="V28" s="2951"/>
      <c r="W28" s="2540"/>
      <c r="X28" s="2930"/>
      <c r="Y28" s="2931"/>
      <c r="Z28" s="2931"/>
      <c r="AA28" s="2931"/>
      <c r="AB28" s="2932"/>
      <c r="AC28" s="2930"/>
      <c r="AD28" s="2933"/>
      <c r="AE28" s="2933"/>
      <c r="AF28" s="4522"/>
    </row>
    <row r="29" spans="1:32" ht="33.950000000000003" customHeight="1">
      <c r="A29" s="4564"/>
      <c r="B29" s="4623"/>
      <c r="C29" s="4625" t="s">
        <v>272</v>
      </c>
      <c r="D29" s="4328" t="s">
        <v>679</v>
      </c>
      <c r="E29" s="4328" t="s">
        <v>680</v>
      </c>
      <c r="F29" s="4328" t="s">
        <v>688</v>
      </c>
      <c r="G29" s="4329" t="s">
        <v>682</v>
      </c>
      <c r="H29" s="4328" t="s">
        <v>686</v>
      </c>
      <c r="I29" s="4328" t="s">
        <v>241</v>
      </c>
      <c r="J29" s="4345" t="s">
        <v>4469</v>
      </c>
      <c r="K29" s="4345" t="s">
        <v>4481</v>
      </c>
      <c r="L29" s="4328" t="s">
        <v>753</v>
      </c>
      <c r="M29" s="4739">
        <v>0</v>
      </c>
      <c r="N29" s="4739">
        <v>0</v>
      </c>
      <c r="O29" s="4739">
        <v>0</v>
      </c>
      <c r="P29" s="4368" t="s">
        <v>4400</v>
      </c>
      <c r="Q29" s="4730" t="s">
        <v>4391</v>
      </c>
      <c r="R29" s="4711" t="s">
        <v>4358</v>
      </c>
      <c r="S29" s="2921" t="s">
        <v>17</v>
      </c>
      <c r="T29" s="2539">
        <v>530609</v>
      </c>
      <c r="U29" s="2539"/>
      <c r="V29" s="2948" t="s">
        <v>71</v>
      </c>
      <c r="W29" s="2923"/>
      <c r="X29" s="2924"/>
      <c r="Y29" s="2925"/>
      <c r="Z29" s="2925"/>
      <c r="AA29" s="2925"/>
      <c r="AB29" s="2926">
        <f>SUM($AA$30:$AA$31)</f>
        <v>3360.0000000000005</v>
      </c>
      <c r="AC29" s="2924"/>
      <c r="AD29" s="2927"/>
      <c r="AE29" s="2927"/>
      <c r="AF29" s="4719"/>
    </row>
    <row r="30" spans="1:32" ht="45" customHeight="1">
      <c r="A30" s="4564"/>
      <c r="B30" s="4623"/>
      <c r="C30" s="4331"/>
      <c r="D30" s="4215"/>
      <c r="E30" s="4215"/>
      <c r="F30" s="4215"/>
      <c r="G30" s="4215"/>
      <c r="H30" s="4215"/>
      <c r="I30" s="4215"/>
      <c r="J30" s="4215"/>
      <c r="K30" s="4215"/>
      <c r="L30" s="4215"/>
      <c r="M30" s="4688"/>
      <c r="N30" s="4688"/>
      <c r="O30" s="4688"/>
      <c r="P30" s="4215"/>
      <c r="Q30" s="4449"/>
      <c r="R30" s="4693"/>
      <c r="S30" s="2903"/>
      <c r="T30" s="1806"/>
      <c r="U30" s="1806"/>
      <c r="V30" s="2518" t="s">
        <v>4482</v>
      </c>
      <c r="W30" s="1800">
        <v>1</v>
      </c>
      <c r="X30" s="1804" t="s">
        <v>269</v>
      </c>
      <c r="Y30" s="1802">
        <v>3000</v>
      </c>
      <c r="Z30" s="2977">
        <f t="shared" ref="Z30" si="4">+W30*Y30</f>
        <v>3000</v>
      </c>
      <c r="AA30" s="2977">
        <f t="shared" ref="AA30" si="5">+Z30*1.12</f>
        <v>3360.0000000000005</v>
      </c>
      <c r="AB30" s="1803"/>
      <c r="AC30" s="1804" t="s">
        <v>251</v>
      </c>
      <c r="AD30" s="1804" t="s">
        <v>251</v>
      </c>
      <c r="AE30" s="1804" t="s">
        <v>251</v>
      </c>
      <c r="AF30" s="4521"/>
    </row>
    <row r="31" spans="1:32" ht="24" customHeight="1">
      <c r="A31" s="4564"/>
      <c r="B31" s="4623"/>
      <c r="C31" s="4331"/>
      <c r="D31" s="4215"/>
      <c r="E31" s="4215"/>
      <c r="F31" s="4215"/>
      <c r="G31" s="4215"/>
      <c r="H31" s="4215"/>
      <c r="I31" s="4215"/>
      <c r="J31" s="4215"/>
      <c r="K31" s="4215"/>
      <c r="L31" s="4215"/>
      <c r="M31" s="4688"/>
      <c r="N31" s="4688"/>
      <c r="O31" s="4688"/>
      <c r="P31" s="4215"/>
      <c r="Q31" s="4449"/>
      <c r="R31" s="4693"/>
      <c r="S31" s="2915"/>
      <c r="T31" s="2543"/>
      <c r="U31" s="2543"/>
      <c r="V31" s="2916"/>
      <c r="W31" s="2545"/>
      <c r="X31" s="2917"/>
      <c r="Y31" s="2978"/>
      <c r="Z31" s="2977"/>
      <c r="AA31" s="2977"/>
      <c r="AB31" s="2545"/>
      <c r="AC31" s="2917"/>
      <c r="AD31" s="2917"/>
      <c r="AE31" s="2917"/>
      <c r="AF31" s="4521"/>
    </row>
    <row r="32" spans="1:32" s="2294" customFormat="1" ht="24" customHeight="1">
      <c r="A32" s="4564"/>
      <c r="B32" s="4623"/>
      <c r="C32" s="4331"/>
      <c r="D32" s="4215"/>
      <c r="E32" s="4215"/>
      <c r="F32" s="4215"/>
      <c r="G32" s="4215"/>
      <c r="H32" s="4215"/>
      <c r="I32" s="4215"/>
      <c r="J32" s="4215"/>
      <c r="K32" s="4215"/>
      <c r="L32" s="4215"/>
      <c r="M32" s="4688"/>
      <c r="N32" s="4688"/>
      <c r="O32" s="4688"/>
      <c r="P32" s="4215"/>
      <c r="Q32" s="4449"/>
      <c r="R32" s="4693"/>
      <c r="S32" s="2915"/>
      <c r="T32" s="2543"/>
      <c r="U32" s="2543"/>
      <c r="V32" s="2916"/>
      <c r="W32" s="2545"/>
      <c r="X32" s="2917"/>
      <c r="Y32" s="2978"/>
      <c r="Z32" s="2977"/>
      <c r="AA32" s="2977"/>
      <c r="AB32" s="2545"/>
      <c r="AC32" s="2917"/>
      <c r="AD32" s="2917"/>
      <c r="AE32" s="2917"/>
      <c r="AF32" s="4521"/>
    </row>
    <row r="33" spans="1:32" ht="24" customHeight="1">
      <c r="A33" s="4564"/>
      <c r="B33" s="4623"/>
      <c r="C33" s="4332"/>
      <c r="D33" s="4216"/>
      <c r="E33" s="4216"/>
      <c r="F33" s="4216"/>
      <c r="G33" s="4216"/>
      <c r="H33" s="4216"/>
      <c r="I33" s="4216"/>
      <c r="J33" s="4216"/>
      <c r="K33" s="4215"/>
      <c r="L33" s="4216"/>
      <c r="M33" s="4689"/>
      <c r="N33" s="4689"/>
      <c r="O33" s="4689"/>
      <c r="P33" s="4216"/>
      <c r="Q33" s="4450"/>
      <c r="R33" s="4693"/>
      <c r="S33" s="2952"/>
      <c r="T33" s="2558"/>
      <c r="U33" s="2558"/>
      <c r="V33" s="2953"/>
      <c r="W33" s="2560"/>
      <c r="X33" s="2954"/>
      <c r="Y33" s="2979"/>
      <c r="Z33" s="2979"/>
      <c r="AA33" s="2979"/>
      <c r="AB33" s="2560"/>
      <c r="AC33" s="2954"/>
      <c r="AD33" s="2954"/>
      <c r="AE33" s="2954"/>
      <c r="AF33" s="4530"/>
    </row>
    <row r="34" spans="1:32" ht="27" customHeight="1">
      <c r="A34" s="4564"/>
      <c r="B34" s="4623"/>
      <c r="C34" s="4625" t="s">
        <v>272</v>
      </c>
      <c r="D34" s="4328" t="s">
        <v>679</v>
      </c>
      <c r="E34" s="4328" t="s">
        <v>680</v>
      </c>
      <c r="F34" s="4328" t="s">
        <v>681</v>
      </c>
      <c r="G34" s="4329" t="s">
        <v>682</v>
      </c>
      <c r="H34" s="4328" t="s">
        <v>686</v>
      </c>
      <c r="I34" s="4328" t="s">
        <v>278</v>
      </c>
      <c r="J34" s="4458" t="s">
        <v>4468</v>
      </c>
      <c r="K34" s="4273" t="s">
        <v>754</v>
      </c>
      <c r="L34" s="4345" t="s">
        <v>4480</v>
      </c>
      <c r="M34" s="4344">
        <v>1</v>
      </c>
      <c r="N34" s="4336">
        <v>2</v>
      </c>
      <c r="O34" s="4344">
        <v>3</v>
      </c>
      <c r="P34" s="4345" t="s">
        <v>4401</v>
      </c>
      <c r="Q34" s="4712" t="s">
        <v>4390</v>
      </c>
      <c r="R34" s="4727" t="s">
        <v>4358</v>
      </c>
      <c r="S34" s="2941"/>
      <c r="T34" s="2538"/>
      <c r="U34" s="2538"/>
      <c r="V34" s="2942"/>
      <c r="W34" s="2551"/>
      <c r="X34" s="2943"/>
      <c r="Y34" s="2944"/>
      <c r="Z34" s="2944"/>
      <c r="AA34" s="2944"/>
      <c r="AB34" s="2945"/>
      <c r="AC34" s="2943"/>
      <c r="AD34" s="2946"/>
      <c r="AE34" s="2946"/>
      <c r="AF34" s="4729"/>
    </row>
    <row r="35" spans="1:32" ht="27" customHeight="1">
      <c r="A35" s="4564"/>
      <c r="B35" s="4623"/>
      <c r="C35" s="4331"/>
      <c r="D35" s="4215"/>
      <c r="E35" s="4215"/>
      <c r="F35" s="4215"/>
      <c r="G35" s="4215"/>
      <c r="H35" s="4215"/>
      <c r="I35" s="4215"/>
      <c r="J35" s="4449"/>
      <c r="K35" s="4215"/>
      <c r="L35" s="4215"/>
      <c r="M35" s="4226"/>
      <c r="N35" s="4226"/>
      <c r="O35" s="4226"/>
      <c r="P35" s="4215"/>
      <c r="Q35" s="4449"/>
      <c r="R35" s="4693"/>
      <c r="S35" s="2910"/>
      <c r="T35" s="1797"/>
      <c r="U35" s="1806"/>
      <c r="V35" s="2904"/>
      <c r="W35" s="1800"/>
      <c r="X35" s="1804"/>
      <c r="Y35" s="1802"/>
      <c r="Z35" s="1802"/>
      <c r="AA35" s="1802"/>
      <c r="AB35" s="1803"/>
      <c r="AC35" s="1804"/>
      <c r="AD35" s="1804"/>
      <c r="AE35" s="1809"/>
      <c r="AF35" s="4521"/>
    </row>
    <row r="36" spans="1:32" ht="27" customHeight="1">
      <c r="A36" s="4564"/>
      <c r="B36" s="4623"/>
      <c r="C36" s="4331"/>
      <c r="D36" s="4215"/>
      <c r="E36" s="4215"/>
      <c r="F36" s="4215"/>
      <c r="G36" s="4215"/>
      <c r="H36" s="4215"/>
      <c r="I36" s="4215"/>
      <c r="J36" s="4449"/>
      <c r="K36" s="4215"/>
      <c r="L36" s="4215"/>
      <c r="M36" s="4226"/>
      <c r="N36" s="4226"/>
      <c r="O36" s="4226"/>
      <c r="P36" s="4215"/>
      <c r="Q36" s="4449"/>
      <c r="R36" s="4693"/>
      <c r="S36" s="2910"/>
      <c r="T36" s="1797"/>
      <c r="U36" s="1806"/>
      <c r="V36" s="2904"/>
      <c r="W36" s="1800"/>
      <c r="X36" s="1804"/>
      <c r="Y36" s="1802"/>
      <c r="Z36" s="1802"/>
      <c r="AA36" s="1802"/>
      <c r="AB36" s="1803"/>
      <c r="AC36" s="1804"/>
      <c r="AD36" s="1804"/>
      <c r="AE36" s="1809"/>
      <c r="AF36" s="4521"/>
    </row>
    <row r="37" spans="1:32" ht="27" customHeight="1">
      <c r="A37" s="4564"/>
      <c r="B37" s="4623"/>
      <c r="C37" s="4331"/>
      <c r="D37" s="4215"/>
      <c r="E37" s="4215"/>
      <c r="F37" s="4215"/>
      <c r="G37" s="4215"/>
      <c r="H37" s="4215"/>
      <c r="I37" s="4215"/>
      <c r="J37" s="4449"/>
      <c r="K37" s="4215"/>
      <c r="L37" s="4215"/>
      <c r="M37" s="4226"/>
      <c r="N37" s="4226"/>
      <c r="O37" s="4226"/>
      <c r="P37" s="4215"/>
      <c r="Q37" s="4449"/>
      <c r="R37" s="4693"/>
      <c r="S37" s="2910"/>
      <c r="T37" s="1797"/>
      <c r="U37" s="1797"/>
      <c r="V37" s="2904"/>
      <c r="W37" s="1800"/>
      <c r="X37" s="1804"/>
      <c r="Y37" s="1802"/>
      <c r="Z37" s="1802"/>
      <c r="AA37" s="1802"/>
      <c r="AB37" s="1803"/>
      <c r="AC37" s="1804"/>
      <c r="AD37" s="1804"/>
      <c r="AE37" s="1809"/>
      <c r="AF37" s="4521"/>
    </row>
    <row r="38" spans="1:32" ht="27" customHeight="1">
      <c r="A38" s="4564"/>
      <c r="B38" s="4623"/>
      <c r="C38" s="4332"/>
      <c r="D38" s="4216"/>
      <c r="E38" s="4216"/>
      <c r="F38" s="4216"/>
      <c r="G38" s="4216"/>
      <c r="H38" s="4216"/>
      <c r="I38" s="4216"/>
      <c r="J38" s="4450"/>
      <c r="K38" s="4216"/>
      <c r="L38" s="4216"/>
      <c r="M38" s="4247"/>
      <c r="N38" s="4247"/>
      <c r="O38" s="4247"/>
      <c r="P38" s="4216"/>
      <c r="Q38" s="4450"/>
      <c r="R38" s="4728"/>
      <c r="S38" s="2928"/>
      <c r="T38" s="2548"/>
      <c r="U38" s="2548"/>
      <c r="V38" s="2929"/>
      <c r="W38" s="2540"/>
      <c r="X38" s="2930"/>
      <c r="Y38" s="2931"/>
      <c r="Z38" s="2931"/>
      <c r="AA38" s="2931"/>
      <c r="AB38" s="2932"/>
      <c r="AC38" s="2930"/>
      <c r="AD38" s="2933"/>
      <c r="AE38" s="2933"/>
      <c r="AF38" s="4522"/>
    </row>
    <row r="39" spans="1:32" ht="33.950000000000003" customHeight="1">
      <c r="A39" s="4564"/>
      <c r="B39" s="4623"/>
      <c r="C39" s="4625" t="s">
        <v>272</v>
      </c>
      <c r="D39" s="4328" t="s">
        <v>679</v>
      </c>
      <c r="E39" s="4328" t="s">
        <v>680</v>
      </c>
      <c r="F39" s="4328" t="s">
        <v>681</v>
      </c>
      <c r="G39" s="4329" t="s">
        <v>682</v>
      </c>
      <c r="H39" s="4328" t="s">
        <v>686</v>
      </c>
      <c r="I39" s="4273" t="s">
        <v>278</v>
      </c>
      <c r="J39" s="4458" t="s">
        <v>4467</v>
      </c>
      <c r="K39" s="4328" t="s">
        <v>748</v>
      </c>
      <c r="L39" s="4482" t="s">
        <v>755</v>
      </c>
      <c r="M39" s="4336">
        <v>2</v>
      </c>
      <c r="N39" s="4336">
        <v>3</v>
      </c>
      <c r="O39" s="4336">
        <v>3</v>
      </c>
      <c r="P39" s="4368" t="s">
        <v>4402</v>
      </c>
      <c r="Q39" s="4730" t="s">
        <v>4389</v>
      </c>
      <c r="R39" s="4692" t="s">
        <v>4358</v>
      </c>
      <c r="S39" s="2921" t="s">
        <v>17</v>
      </c>
      <c r="T39" s="2539">
        <v>530702</v>
      </c>
      <c r="U39" s="2539"/>
      <c r="V39" s="2922" t="s">
        <v>67</v>
      </c>
      <c r="W39" s="2923"/>
      <c r="X39" s="2924"/>
      <c r="Y39" s="2925"/>
      <c r="Z39" s="2925"/>
      <c r="AA39" s="2925"/>
      <c r="AB39" s="2926">
        <f>SUM($AA$40:$AA$43)</f>
        <v>20720.000000000004</v>
      </c>
      <c r="AC39" s="2924"/>
      <c r="AD39" s="2927"/>
      <c r="AE39" s="2927"/>
      <c r="AF39" s="4719"/>
    </row>
    <row r="40" spans="1:32" ht="33.950000000000003" customHeight="1">
      <c r="A40" s="4564"/>
      <c r="B40" s="4623"/>
      <c r="C40" s="4331"/>
      <c r="D40" s="4215"/>
      <c r="E40" s="4215"/>
      <c r="F40" s="4215"/>
      <c r="G40" s="4215"/>
      <c r="H40" s="4215"/>
      <c r="I40" s="4215"/>
      <c r="J40" s="4449"/>
      <c r="K40" s="4215"/>
      <c r="L40" s="4215"/>
      <c r="M40" s="4226"/>
      <c r="N40" s="4226"/>
      <c r="O40" s="4226"/>
      <c r="P40" s="4215"/>
      <c r="Q40" s="4449"/>
      <c r="R40" s="4693"/>
      <c r="S40" s="2910"/>
      <c r="T40" s="1797"/>
      <c r="U40" s="1848">
        <v>512900021</v>
      </c>
      <c r="V40" s="2904" t="s">
        <v>756</v>
      </c>
      <c r="W40" s="1800">
        <v>1</v>
      </c>
      <c r="X40" s="1804" t="s">
        <v>269</v>
      </c>
      <c r="Y40" s="1802">
        <v>5000</v>
      </c>
      <c r="Z40" s="2977">
        <f t="shared" ref="Z40:Z43" si="6">+W40*Y40</f>
        <v>5000</v>
      </c>
      <c r="AA40" s="2977">
        <f t="shared" ref="AA40:AA43" si="7">+Z40*1.12</f>
        <v>5600.0000000000009</v>
      </c>
      <c r="AB40" s="1803"/>
      <c r="AC40" s="1804" t="s">
        <v>251</v>
      </c>
      <c r="AD40" s="1804" t="s">
        <v>251</v>
      </c>
      <c r="AE40" s="1809"/>
      <c r="AF40" s="4521"/>
    </row>
    <row r="41" spans="1:32" ht="24.75" customHeight="1">
      <c r="A41" s="4564"/>
      <c r="B41" s="4623"/>
      <c r="C41" s="4331"/>
      <c r="D41" s="4215"/>
      <c r="E41" s="4215"/>
      <c r="F41" s="4215"/>
      <c r="G41" s="4215"/>
      <c r="H41" s="4215"/>
      <c r="I41" s="4215"/>
      <c r="J41" s="4449"/>
      <c r="K41" s="4215"/>
      <c r="L41" s="4215"/>
      <c r="M41" s="4226"/>
      <c r="N41" s="4226"/>
      <c r="O41" s="4226"/>
      <c r="P41" s="4215"/>
      <c r="Q41" s="4449"/>
      <c r="R41" s="4693"/>
      <c r="S41" s="2910"/>
      <c r="T41" s="1797"/>
      <c r="U41" s="1848">
        <v>512900021</v>
      </c>
      <c r="V41" s="2904" t="s">
        <v>757</v>
      </c>
      <c r="W41" s="1800">
        <v>1</v>
      </c>
      <c r="X41" s="1804" t="s">
        <v>269</v>
      </c>
      <c r="Y41" s="1802">
        <v>10000</v>
      </c>
      <c r="Z41" s="2977">
        <f t="shared" si="6"/>
        <v>10000</v>
      </c>
      <c r="AA41" s="2977">
        <f t="shared" si="7"/>
        <v>11200.000000000002</v>
      </c>
      <c r="AB41" s="1803"/>
      <c r="AC41" s="1804" t="s">
        <v>251</v>
      </c>
      <c r="AD41" s="1804" t="s">
        <v>251</v>
      </c>
      <c r="AE41" s="1809"/>
      <c r="AF41" s="4521"/>
    </row>
    <row r="42" spans="1:32" ht="24.75" customHeight="1">
      <c r="A42" s="4564"/>
      <c r="B42" s="4623"/>
      <c r="C42" s="4331"/>
      <c r="D42" s="4215"/>
      <c r="E42" s="4215"/>
      <c r="F42" s="4215"/>
      <c r="G42" s="4215"/>
      <c r="H42" s="4215"/>
      <c r="I42" s="4215"/>
      <c r="J42" s="4449"/>
      <c r="K42" s="4215"/>
      <c r="L42" s="4215"/>
      <c r="M42" s="4226"/>
      <c r="N42" s="4226"/>
      <c r="O42" s="4226"/>
      <c r="P42" s="4215"/>
      <c r="Q42" s="4449"/>
      <c r="R42" s="4693"/>
      <c r="S42" s="2910"/>
      <c r="T42" s="1797"/>
      <c r="U42" s="1848">
        <v>512900021</v>
      </c>
      <c r="V42" s="2904" t="s">
        <v>758</v>
      </c>
      <c r="W42" s="1800">
        <v>1</v>
      </c>
      <c r="X42" s="1804" t="s">
        <v>269</v>
      </c>
      <c r="Y42" s="1802">
        <v>2000</v>
      </c>
      <c r="Z42" s="2977">
        <f t="shared" si="6"/>
        <v>2000</v>
      </c>
      <c r="AA42" s="2977">
        <f t="shared" si="7"/>
        <v>2240</v>
      </c>
      <c r="AB42" s="1803"/>
      <c r="AC42" s="1804" t="s">
        <v>251</v>
      </c>
      <c r="AD42" s="1804" t="s">
        <v>251</v>
      </c>
      <c r="AE42" s="1809"/>
      <c r="AF42" s="4521"/>
    </row>
    <row r="43" spans="1:32" ht="33.950000000000003" customHeight="1">
      <c r="A43" s="4564"/>
      <c r="B43" s="4623"/>
      <c r="C43" s="4332"/>
      <c r="D43" s="4216"/>
      <c r="E43" s="4216"/>
      <c r="F43" s="4216"/>
      <c r="G43" s="4216"/>
      <c r="H43" s="4216"/>
      <c r="I43" s="4216"/>
      <c r="J43" s="4450"/>
      <c r="K43" s="4216"/>
      <c r="L43" s="4216"/>
      <c r="M43" s="4247"/>
      <c r="N43" s="4247"/>
      <c r="O43" s="4247"/>
      <c r="P43" s="4216"/>
      <c r="Q43" s="4450"/>
      <c r="R43" s="4693"/>
      <c r="S43" s="2934"/>
      <c r="T43" s="2935"/>
      <c r="U43" s="2495">
        <v>512900021</v>
      </c>
      <c r="V43" s="2947" t="s">
        <v>759</v>
      </c>
      <c r="W43" s="2549">
        <v>1</v>
      </c>
      <c r="X43" s="2937" t="s">
        <v>269</v>
      </c>
      <c r="Y43" s="2938">
        <v>1500</v>
      </c>
      <c r="Z43" s="2980">
        <f t="shared" si="6"/>
        <v>1500</v>
      </c>
      <c r="AA43" s="2980">
        <f t="shared" si="7"/>
        <v>1680.0000000000002</v>
      </c>
      <c r="AB43" s="2939"/>
      <c r="AC43" s="2937" t="s">
        <v>251</v>
      </c>
      <c r="AD43" s="2937" t="s">
        <v>251</v>
      </c>
      <c r="AE43" s="2940"/>
      <c r="AF43" s="4530"/>
    </row>
    <row r="44" spans="1:32" ht="30" customHeight="1">
      <c r="A44" s="4564"/>
      <c r="B44" s="4623"/>
      <c r="C44" s="4625" t="s">
        <v>272</v>
      </c>
      <c r="D44" s="4328" t="s">
        <v>679</v>
      </c>
      <c r="E44" s="4328" t="s">
        <v>680</v>
      </c>
      <c r="F44" s="4273" t="s">
        <v>760</v>
      </c>
      <c r="G44" s="4329" t="s">
        <v>682</v>
      </c>
      <c r="H44" s="4328" t="s">
        <v>686</v>
      </c>
      <c r="I44" s="4273" t="s">
        <v>257</v>
      </c>
      <c r="J44" s="4458" t="s">
        <v>4466</v>
      </c>
      <c r="K44" s="4273" t="s">
        <v>761</v>
      </c>
      <c r="L44" s="4273" t="s">
        <v>762</v>
      </c>
      <c r="M44" s="4336">
        <v>0</v>
      </c>
      <c r="N44" s="4336">
        <v>4</v>
      </c>
      <c r="O44" s="4336">
        <v>4</v>
      </c>
      <c r="P44" s="4228" t="s">
        <v>4403</v>
      </c>
      <c r="Q44" s="4458" t="s">
        <v>4388</v>
      </c>
      <c r="R44" s="4727" t="s">
        <v>4358</v>
      </c>
      <c r="S44" s="2955"/>
      <c r="T44" s="2538"/>
      <c r="U44" s="2538"/>
      <c r="V44" s="2956"/>
      <c r="W44" s="2551"/>
      <c r="X44" s="2943"/>
      <c r="Y44" s="2944"/>
      <c r="Z44" s="2944"/>
      <c r="AA44" s="2944"/>
      <c r="AB44" s="2945"/>
      <c r="AC44" s="2943"/>
      <c r="AD44" s="2946"/>
      <c r="AE44" s="2946"/>
      <c r="AF44" s="4729"/>
    </row>
    <row r="45" spans="1:32" ht="30" customHeight="1">
      <c r="A45" s="4564"/>
      <c r="B45" s="4623"/>
      <c r="C45" s="4331"/>
      <c r="D45" s="4215"/>
      <c r="E45" s="4215"/>
      <c r="F45" s="4215"/>
      <c r="G45" s="4215"/>
      <c r="H45" s="4215"/>
      <c r="I45" s="4215"/>
      <c r="J45" s="4449"/>
      <c r="K45" s="4215"/>
      <c r="L45" s="4215"/>
      <c r="M45" s="4226"/>
      <c r="N45" s="4226"/>
      <c r="O45" s="4226"/>
      <c r="P45" s="4215"/>
      <c r="Q45" s="4449"/>
      <c r="R45" s="4693"/>
      <c r="S45" s="2903"/>
      <c r="T45" s="1806"/>
      <c r="U45" s="1806"/>
      <c r="V45" s="2911"/>
      <c r="W45" s="1800"/>
      <c r="X45" s="1804"/>
      <c r="Y45" s="1802"/>
      <c r="Z45" s="1802"/>
      <c r="AA45" s="1802"/>
      <c r="AB45" s="1803"/>
      <c r="AC45" s="1804"/>
      <c r="AD45" s="1809"/>
      <c r="AE45" s="1809"/>
      <c r="AF45" s="4521"/>
    </row>
    <row r="46" spans="1:32" ht="30" customHeight="1">
      <c r="A46" s="4564"/>
      <c r="B46" s="4623"/>
      <c r="C46" s="4331"/>
      <c r="D46" s="4215"/>
      <c r="E46" s="4215"/>
      <c r="F46" s="4215"/>
      <c r="G46" s="4215"/>
      <c r="H46" s="4215"/>
      <c r="I46" s="4215"/>
      <c r="J46" s="4449"/>
      <c r="K46" s="4215"/>
      <c r="L46" s="4215"/>
      <c r="M46" s="4226"/>
      <c r="N46" s="4226"/>
      <c r="O46" s="4226"/>
      <c r="P46" s="4215"/>
      <c r="Q46" s="4449"/>
      <c r="R46" s="4693"/>
      <c r="S46" s="2903"/>
      <c r="T46" s="1806"/>
      <c r="U46" s="1806"/>
      <c r="V46" s="2911"/>
      <c r="W46" s="1800"/>
      <c r="X46" s="1804"/>
      <c r="Y46" s="1802"/>
      <c r="Z46" s="1802"/>
      <c r="AA46" s="1802"/>
      <c r="AB46" s="1803"/>
      <c r="AC46" s="1804"/>
      <c r="AD46" s="1809"/>
      <c r="AE46" s="1809"/>
      <c r="AF46" s="4521"/>
    </row>
    <row r="47" spans="1:32" ht="30" customHeight="1">
      <c r="A47" s="4564"/>
      <c r="B47" s="4623"/>
      <c r="C47" s="4331"/>
      <c r="D47" s="4215"/>
      <c r="E47" s="4215"/>
      <c r="F47" s="4215"/>
      <c r="G47" s="4215"/>
      <c r="H47" s="4215"/>
      <c r="I47" s="4215"/>
      <c r="J47" s="4449"/>
      <c r="K47" s="4215"/>
      <c r="L47" s="4215"/>
      <c r="M47" s="4226"/>
      <c r="N47" s="4226"/>
      <c r="O47" s="4226"/>
      <c r="P47" s="4215"/>
      <c r="Q47" s="4449"/>
      <c r="R47" s="4693"/>
      <c r="S47" s="2910"/>
      <c r="T47" s="1797"/>
      <c r="U47" s="1797"/>
      <c r="V47" s="2911"/>
      <c r="W47" s="1800"/>
      <c r="X47" s="1804"/>
      <c r="Y47" s="1802"/>
      <c r="Z47" s="1802"/>
      <c r="AA47" s="1802"/>
      <c r="AB47" s="1803"/>
      <c r="AC47" s="1804"/>
      <c r="AD47" s="1809"/>
      <c r="AE47" s="1809"/>
      <c r="AF47" s="4521"/>
    </row>
    <row r="48" spans="1:32" ht="30" customHeight="1">
      <c r="A48" s="4564"/>
      <c r="B48" s="4623"/>
      <c r="C48" s="4332"/>
      <c r="D48" s="4216"/>
      <c r="E48" s="4216"/>
      <c r="F48" s="4216"/>
      <c r="G48" s="4216"/>
      <c r="H48" s="4216"/>
      <c r="I48" s="4216"/>
      <c r="J48" s="4450"/>
      <c r="K48" s="4216"/>
      <c r="L48" s="4216"/>
      <c r="M48" s="4247"/>
      <c r="N48" s="4247"/>
      <c r="O48" s="4247"/>
      <c r="P48" s="4216"/>
      <c r="Q48" s="4450"/>
      <c r="R48" s="4728"/>
      <c r="S48" s="2949"/>
      <c r="T48" s="2950"/>
      <c r="U48" s="2950"/>
      <c r="V48" s="2951"/>
      <c r="W48" s="2540"/>
      <c r="X48" s="2930"/>
      <c r="Y48" s="2931"/>
      <c r="Z48" s="2931"/>
      <c r="AA48" s="2931"/>
      <c r="AB48" s="2932"/>
      <c r="AC48" s="2930"/>
      <c r="AD48" s="2933"/>
      <c r="AE48" s="2933"/>
      <c r="AF48" s="4522"/>
    </row>
    <row r="49" spans="1:32" ht="28.5" customHeight="1">
      <c r="A49" s="4564"/>
      <c r="B49" s="4623"/>
      <c r="C49" s="4625" t="s">
        <v>272</v>
      </c>
      <c r="D49" s="4328" t="s">
        <v>679</v>
      </c>
      <c r="E49" s="4328" t="s">
        <v>680</v>
      </c>
      <c r="F49" s="4273" t="s">
        <v>763</v>
      </c>
      <c r="G49" s="4329" t="s">
        <v>682</v>
      </c>
      <c r="H49" s="4328" t="s">
        <v>686</v>
      </c>
      <c r="I49" s="4273" t="s">
        <v>257</v>
      </c>
      <c r="J49" s="4458" t="s">
        <v>4465</v>
      </c>
      <c r="K49" s="4273" t="s">
        <v>764</v>
      </c>
      <c r="L49" s="4273" t="s">
        <v>765</v>
      </c>
      <c r="M49" s="4336">
        <v>3</v>
      </c>
      <c r="N49" s="4336">
        <v>3</v>
      </c>
      <c r="O49" s="4336">
        <v>3</v>
      </c>
      <c r="P49" s="4228" t="s">
        <v>4404</v>
      </c>
      <c r="Q49" s="4458" t="s">
        <v>4387</v>
      </c>
      <c r="R49" s="4711" t="s">
        <v>4358</v>
      </c>
      <c r="S49" s="2957"/>
      <c r="T49" s="2539"/>
      <c r="U49" s="2539"/>
      <c r="V49" s="2948"/>
      <c r="W49" s="2923"/>
      <c r="X49" s="2924"/>
      <c r="Y49" s="2925"/>
      <c r="Z49" s="2925"/>
      <c r="AA49" s="2925"/>
      <c r="AB49" s="2926"/>
      <c r="AC49" s="2924"/>
      <c r="AD49" s="2927"/>
      <c r="AE49" s="2927"/>
      <c r="AF49" s="4719"/>
    </row>
    <row r="50" spans="1:32" ht="28.5" customHeight="1">
      <c r="A50" s="4564"/>
      <c r="B50" s="4623"/>
      <c r="C50" s="4331"/>
      <c r="D50" s="4215"/>
      <c r="E50" s="4215"/>
      <c r="F50" s="4215"/>
      <c r="G50" s="4215"/>
      <c r="H50" s="4215"/>
      <c r="I50" s="4215"/>
      <c r="J50" s="4449"/>
      <c r="K50" s="4215"/>
      <c r="L50" s="4215"/>
      <c r="M50" s="4226"/>
      <c r="N50" s="4226"/>
      <c r="O50" s="4226"/>
      <c r="P50" s="4215"/>
      <c r="Q50" s="4449"/>
      <c r="R50" s="4693"/>
      <c r="S50" s="2903"/>
      <c r="T50" s="1806"/>
      <c r="U50" s="1806"/>
      <c r="V50" s="2911"/>
      <c r="W50" s="1800"/>
      <c r="X50" s="1804"/>
      <c r="Y50" s="1802"/>
      <c r="Z50" s="1802"/>
      <c r="AA50" s="1802"/>
      <c r="AB50" s="1800"/>
      <c r="AC50" s="1804"/>
      <c r="AD50" s="1809"/>
      <c r="AE50" s="1809"/>
      <c r="AF50" s="4521"/>
    </row>
    <row r="51" spans="1:32" ht="28.5" customHeight="1">
      <c r="A51" s="4564"/>
      <c r="B51" s="4623"/>
      <c r="C51" s="4331"/>
      <c r="D51" s="4215"/>
      <c r="E51" s="4215"/>
      <c r="F51" s="4215"/>
      <c r="G51" s="4215"/>
      <c r="H51" s="4215"/>
      <c r="I51" s="4215"/>
      <c r="J51" s="4449"/>
      <c r="K51" s="4215"/>
      <c r="L51" s="4215"/>
      <c r="M51" s="4226"/>
      <c r="N51" s="4226"/>
      <c r="O51" s="4226"/>
      <c r="P51" s="4215"/>
      <c r="Q51" s="4449"/>
      <c r="R51" s="4693"/>
      <c r="S51" s="2910"/>
      <c r="T51" s="1797"/>
      <c r="U51" s="1797"/>
      <c r="V51" s="2911"/>
      <c r="W51" s="1800"/>
      <c r="X51" s="1804"/>
      <c r="Y51" s="1802"/>
      <c r="Z51" s="1802"/>
      <c r="AA51" s="1802"/>
      <c r="AB51" s="1803"/>
      <c r="AC51" s="1804"/>
      <c r="AD51" s="1809"/>
      <c r="AE51" s="1809"/>
      <c r="AF51" s="4521"/>
    </row>
    <row r="52" spans="1:32" ht="28.5" customHeight="1">
      <c r="A52" s="4564"/>
      <c r="B52" s="4623"/>
      <c r="C52" s="4331"/>
      <c r="D52" s="4215"/>
      <c r="E52" s="4215"/>
      <c r="F52" s="4215"/>
      <c r="G52" s="4215"/>
      <c r="H52" s="4215"/>
      <c r="I52" s="4215"/>
      <c r="J52" s="4449"/>
      <c r="K52" s="4215"/>
      <c r="L52" s="4215"/>
      <c r="M52" s="4226"/>
      <c r="N52" s="4226"/>
      <c r="O52" s="4226"/>
      <c r="P52" s="4215"/>
      <c r="Q52" s="4449"/>
      <c r="R52" s="4693"/>
      <c r="S52" s="2910"/>
      <c r="T52" s="1797"/>
      <c r="U52" s="1797"/>
      <c r="V52" s="2911"/>
      <c r="W52" s="1800"/>
      <c r="X52" s="1804"/>
      <c r="Y52" s="1802"/>
      <c r="Z52" s="1802"/>
      <c r="AA52" s="1802"/>
      <c r="AB52" s="1803"/>
      <c r="AC52" s="1804"/>
      <c r="AD52" s="1809"/>
      <c r="AE52" s="1809"/>
      <c r="AF52" s="4521"/>
    </row>
    <row r="53" spans="1:32" ht="28.5" customHeight="1">
      <c r="A53" s="4564"/>
      <c r="B53" s="4623"/>
      <c r="C53" s="4332"/>
      <c r="D53" s="4216"/>
      <c r="E53" s="4216"/>
      <c r="F53" s="4216"/>
      <c r="G53" s="4216"/>
      <c r="H53" s="4216"/>
      <c r="I53" s="4216"/>
      <c r="J53" s="4450"/>
      <c r="K53" s="4216"/>
      <c r="L53" s="4216"/>
      <c r="M53" s="4247"/>
      <c r="N53" s="4247"/>
      <c r="O53" s="4247"/>
      <c r="P53" s="4216"/>
      <c r="Q53" s="4450"/>
      <c r="R53" s="4693"/>
      <c r="S53" s="2934"/>
      <c r="T53" s="2935"/>
      <c r="U53" s="2935"/>
      <c r="V53" s="2936"/>
      <c r="W53" s="2549"/>
      <c r="X53" s="2937"/>
      <c r="Y53" s="2938"/>
      <c r="Z53" s="2938"/>
      <c r="AA53" s="2938"/>
      <c r="AB53" s="2939"/>
      <c r="AC53" s="2937"/>
      <c r="AD53" s="2940"/>
      <c r="AE53" s="2940"/>
      <c r="AF53" s="4530"/>
    </row>
    <row r="54" spans="1:32" ht="27.75" customHeight="1">
      <c r="A54" s="4564"/>
      <c r="B54" s="4623"/>
      <c r="C54" s="4625" t="s">
        <v>272</v>
      </c>
      <c r="D54" s="4328" t="s">
        <v>679</v>
      </c>
      <c r="E54" s="4328" t="s">
        <v>680</v>
      </c>
      <c r="F54" s="4273" t="s">
        <v>698</v>
      </c>
      <c r="G54" s="4329" t="s">
        <v>682</v>
      </c>
      <c r="H54" s="4328" t="s">
        <v>686</v>
      </c>
      <c r="I54" s="4273" t="s">
        <v>257</v>
      </c>
      <c r="J54" s="4458" t="s">
        <v>4464</v>
      </c>
      <c r="K54" s="4273" t="s">
        <v>766</v>
      </c>
      <c r="L54" s="4482" t="s">
        <v>767</v>
      </c>
      <c r="M54" s="4336">
        <v>0</v>
      </c>
      <c r="N54" s="4336">
        <v>0</v>
      </c>
      <c r="O54" s="4336">
        <v>2</v>
      </c>
      <c r="P54" s="4228" t="s">
        <v>4405</v>
      </c>
      <c r="Q54" s="4458" t="s">
        <v>4386</v>
      </c>
      <c r="R54" s="4727" t="s">
        <v>4358</v>
      </c>
      <c r="S54" s="2955"/>
      <c r="T54" s="2538"/>
      <c r="U54" s="2538"/>
      <c r="V54" s="2958"/>
      <c r="W54" s="2551"/>
      <c r="X54" s="2943"/>
      <c r="Y54" s="2944"/>
      <c r="Z54" s="2944"/>
      <c r="AA54" s="2944"/>
      <c r="AB54" s="2945"/>
      <c r="AC54" s="2943"/>
      <c r="AD54" s="2946"/>
      <c r="AE54" s="2946"/>
      <c r="AF54" s="4729"/>
    </row>
    <row r="55" spans="1:32" ht="27.75" customHeight="1">
      <c r="A55" s="4564"/>
      <c r="B55" s="4623"/>
      <c r="C55" s="4331"/>
      <c r="D55" s="4215"/>
      <c r="E55" s="4215"/>
      <c r="F55" s="4215"/>
      <c r="G55" s="4215"/>
      <c r="H55" s="4215"/>
      <c r="I55" s="4215"/>
      <c r="J55" s="4449"/>
      <c r="K55" s="4215"/>
      <c r="L55" s="4215"/>
      <c r="M55" s="4226"/>
      <c r="N55" s="4226"/>
      <c r="O55" s="4226"/>
      <c r="P55" s="4215"/>
      <c r="Q55" s="4449"/>
      <c r="R55" s="4693"/>
      <c r="S55" s="2903"/>
      <c r="T55" s="1806"/>
      <c r="U55" s="1806"/>
      <c r="V55" s="2911"/>
      <c r="W55" s="1800"/>
      <c r="X55" s="1804"/>
      <c r="Y55" s="1802"/>
      <c r="Z55" s="1802"/>
      <c r="AA55" s="1802"/>
      <c r="AB55" s="1803"/>
      <c r="AC55" s="1804"/>
      <c r="AD55" s="1809"/>
      <c r="AE55" s="1809"/>
      <c r="AF55" s="4521"/>
    </row>
    <row r="56" spans="1:32" s="2294" customFormat="1" ht="27.75" customHeight="1">
      <c r="A56" s="4564"/>
      <c r="B56" s="4623"/>
      <c r="C56" s="4331"/>
      <c r="D56" s="4215"/>
      <c r="E56" s="4215"/>
      <c r="F56" s="4215"/>
      <c r="G56" s="4215"/>
      <c r="H56" s="4215"/>
      <c r="I56" s="4215"/>
      <c r="J56" s="4449"/>
      <c r="K56" s="4215"/>
      <c r="L56" s="4215"/>
      <c r="M56" s="4226"/>
      <c r="N56" s="4226"/>
      <c r="O56" s="4226"/>
      <c r="P56" s="4215"/>
      <c r="Q56" s="4449"/>
      <c r="R56" s="4693"/>
      <c r="S56" s="2903"/>
      <c r="T56" s="1806"/>
      <c r="U56" s="1806"/>
      <c r="V56" s="2911"/>
      <c r="W56" s="1800"/>
      <c r="X56" s="1804"/>
      <c r="Y56" s="1802"/>
      <c r="Z56" s="1802"/>
      <c r="AA56" s="1802"/>
      <c r="AB56" s="1803"/>
      <c r="AC56" s="1804"/>
      <c r="AD56" s="1809"/>
      <c r="AE56" s="1809"/>
      <c r="AF56" s="4521"/>
    </row>
    <row r="57" spans="1:32" ht="27.75" customHeight="1">
      <c r="A57" s="4564"/>
      <c r="B57" s="4623"/>
      <c r="C57" s="4331"/>
      <c r="D57" s="4215"/>
      <c r="E57" s="4215"/>
      <c r="F57" s="4215"/>
      <c r="G57" s="4215"/>
      <c r="H57" s="4215"/>
      <c r="I57" s="4215"/>
      <c r="J57" s="4449"/>
      <c r="K57" s="4215"/>
      <c r="L57" s="4215"/>
      <c r="M57" s="4226"/>
      <c r="N57" s="4226"/>
      <c r="O57" s="4226"/>
      <c r="P57" s="4215"/>
      <c r="Q57" s="4449"/>
      <c r="R57" s="4693"/>
      <c r="S57" s="2910"/>
      <c r="T57" s="1797"/>
      <c r="U57" s="1797"/>
      <c r="V57" s="2911"/>
      <c r="W57" s="1800"/>
      <c r="X57" s="1804"/>
      <c r="Y57" s="1802"/>
      <c r="Z57" s="1802"/>
      <c r="AA57" s="1802"/>
      <c r="AB57" s="1803"/>
      <c r="AC57" s="1804"/>
      <c r="AD57" s="1809"/>
      <c r="AE57" s="1809"/>
      <c r="AF57" s="4521"/>
    </row>
    <row r="58" spans="1:32" ht="27.75" customHeight="1">
      <c r="A58" s="4564"/>
      <c r="B58" s="4623"/>
      <c r="C58" s="4332"/>
      <c r="D58" s="4216"/>
      <c r="E58" s="4216"/>
      <c r="F58" s="4216"/>
      <c r="G58" s="4216"/>
      <c r="H58" s="4216"/>
      <c r="I58" s="4216"/>
      <c r="J58" s="4450"/>
      <c r="K58" s="4216"/>
      <c r="L58" s="4216"/>
      <c r="M58" s="4247"/>
      <c r="N58" s="4247"/>
      <c r="O58" s="4247"/>
      <c r="P58" s="4216"/>
      <c r="Q58" s="4450"/>
      <c r="R58" s="4728"/>
      <c r="S58" s="2949"/>
      <c r="T58" s="2950"/>
      <c r="U58" s="2950"/>
      <c r="V58" s="2951"/>
      <c r="W58" s="2540"/>
      <c r="X58" s="2930"/>
      <c r="Y58" s="2931"/>
      <c r="Z58" s="2931"/>
      <c r="AA58" s="2931"/>
      <c r="AB58" s="2932"/>
      <c r="AC58" s="2930"/>
      <c r="AD58" s="2933"/>
      <c r="AE58" s="2933"/>
      <c r="AF58" s="4522"/>
    </row>
    <row r="59" spans="1:32" ht="27.75" customHeight="1">
      <c r="A59" s="4564"/>
      <c r="B59" s="4623"/>
      <c r="C59" s="4625" t="s">
        <v>272</v>
      </c>
      <c r="D59" s="4328" t="s">
        <v>679</v>
      </c>
      <c r="E59" s="4328" t="s">
        <v>680</v>
      </c>
      <c r="F59" s="4273" t="s">
        <v>688</v>
      </c>
      <c r="G59" s="4329" t="s">
        <v>682</v>
      </c>
      <c r="H59" s="4328" t="s">
        <v>686</v>
      </c>
      <c r="I59" s="4328" t="s">
        <v>241</v>
      </c>
      <c r="J59" s="4458" t="s">
        <v>4463</v>
      </c>
      <c r="K59" s="4482" t="s">
        <v>768</v>
      </c>
      <c r="L59" s="4482" t="s">
        <v>769</v>
      </c>
      <c r="M59" s="4336">
        <v>0</v>
      </c>
      <c r="N59" s="4336">
        <v>0</v>
      </c>
      <c r="O59" s="4336">
        <v>1</v>
      </c>
      <c r="P59" s="4368" t="s">
        <v>4406</v>
      </c>
      <c r="Q59" s="4730" t="s">
        <v>4375</v>
      </c>
      <c r="R59" s="4711" t="s">
        <v>4358</v>
      </c>
      <c r="S59" s="2921"/>
      <c r="T59" s="2539"/>
      <c r="U59" s="2539"/>
      <c r="V59" s="2948"/>
      <c r="W59" s="2923"/>
      <c r="X59" s="2924"/>
      <c r="Y59" s="2925"/>
      <c r="Z59" s="2925"/>
      <c r="AA59" s="2925"/>
      <c r="AB59" s="2926"/>
      <c r="AC59" s="2924"/>
      <c r="AD59" s="2927"/>
      <c r="AE59" s="2927"/>
      <c r="AF59" s="4719"/>
    </row>
    <row r="60" spans="1:32" ht="27.75" customHeight="1">
      <c r="A60" s="4564"/>
      <c r="B60" s="4623"/>
      <c r="C60" s="4331"/>
      <c r="D60" s="4215"/>
      <c r="E60" s="4215"/>
      <c r="F60" s="4215"/>
      <c r="G60" s="4215"/>
      <c r="H60" s="4215"/>
      <c r="I60" s="4215"/>
      <c r="J60" s="4449"/>
      <c r="K60" s="4215"/>
      <c r="L60" s="4215"/>
      <c r="M60" s="4226"/>
      <c r="N60" s="4226"/>
      <c r="O60" s="4226"/>
      <c r="P60" s="4215"/>
      <c r="Q60" s="4449"/>
      <c r="R60" s="4693"/>
      <c r="S60" s="2910"/>
      <c r="T60" s="1797"/>
      <c r="U60" s="1797"/>
      <c r="V60" s="2911"/>
      <c r="W60" s="1800"/>
      <c r="X60" s="1804"/>
      <c r="Y60" s="1802"/>
      <c r="Z60" s="1802"/>
      <c r="AA60" s="1802"/>
      <c r="AB60" s="1803"/>
      <c r="AC60" s="1804"/>
      <c r="AD60" s="1804"/>
      <c r="AE60" s="1809"/>
      <c r="AF60" s="4521"/>
    </row>
    <row r="61" spans="1:32" ht="27.75" customHeight="1">
      <c r="A61" s="4564"/>
      <c r="B61" s="4623"/>
      <c r="C61" s="4331"/>
      <c r="D61" s="4215"/>
      <c r="E61" s="4215"/>
      <c r="F61" s="4215"/>
      <c r="G61" s="4215"/>
      <c r="H61" s="4215"/>
      <c r="I61" s="4215"/>
      <c r="J61" s="4449"/>
      <c r="K61" s="4215"/>
      <c r="L61" s="4215"/>
      <c r="M61" s="4226"/>
      <c r="N61" s="4226"/>
      <c r="O61" s="4226"/>
      <c r="P61" s="4215"/>
      <c r="Q61" s="4449"/>
      <c r="R61" s="4693"/>
      <c r="S61" s="2910"/>
      <c r="T61" s="1797"/>
      <c r="U61" s="1797"/>
      <c r="V61" s="2911"/>
      <c r="W61" s="1800"/>
      <c r="X61" s="1804"/>
      <c r="Y61" s="1802"/>
      <c r="Z61" s="1802"/>
      <c r="AA61" s="1802"/>
      <c r="AB61" s="1803"/>
      <c r="AC61" s="1804"/>
      <c r="AD61" s="1804"/>
      <c r="AE61" s="1809"/>
      <c r="AF61" s="4521"/>
    </row>
    <row r="62" spans="1:32" ht="27.75" customHeight="1">
      <c r="A62" s="4564"/>
      <c r="B62" s="4623"/>
      <c r="C62" s="4331"/>
      <c r="D62" s="4215"/>
      <c r="E62" s="4215"/>
      <c r="F62" s="4215"/>
      <c r="G62" s="4215"/>
      <c r="H62" s="4215"/>
      <c r="I62" s="4215"/>
      <c r="J62" s="4449"/>
      <c r="K62" s="4215"/>
      <c r="L62" s="4215"/>
      <c r="M62" s="4226"/>
      <c r="N62" s="4226"/>
      <c r="O62" s="4226"/>
      <c r="P62" s="4215"/>
      <c r="Q62" s="4449"/>
      <c r="R62" s="4693"/>
      <c r="S62" s="2910"/>
      <c r="T62" s="1797"/>
      <c r="U62" s="1797"/>
      <c r="V62" s="2911"/>
      <c r="W62" s="1800"/>
      <c r="X62" s="1804"/>
      <c r="Y62" s="1802"/>
      <c r="Z62" s="1802"/>
      <c r="AA62" s="1802"/>
      <c r="AB62" s="1803"/>
      <c r="AC62" s="1804"/>
      <c r="AD62" s="1804"/>
      <c r="AE62" s="1809"/>
      <c r="AF62" s="4521"/>
    </row>
    <row r="63" spans="1:32" ht="27.75" customHeight="1">
      <c r="A63" s="4564"/>
      <c r="B63" s="4623"/>
      <c r="C63" s="4332"/>
      <c r="D63" s="4216"/>
      <c r="E63" s="4216"/>
      <c r="F63" s="4216"/>
      <c r="G63" s="4216"/>
      <c r="H63" s="4216"/>
      <c r="I63" s="4216"/>
      <c r="J63" s="4450"/>
      <c r="K63" s="4216"/>
      <c r="L63" s="4216"/>
      <c r="M63" s="4247"/>
      <c r="N63" s="4247"/>
      <c r="O63" s="4247"/>
      <c r="P63" s="4216"/>
      <c r="Q63" s="4450"/>
      <c r="R63" s="4693"/>
      <c r="S63" s="2934"/>
      <c r="T63" s="2935"/>
      <c r="U63" s="2935"/>
      <c r="V63" s="2936"/>
      <c r="W63" s="2549"/>
      <c r="X63" s="2937"/>
      <c r="Y63" s="2938"/>
      <c r="Z63" s="2938"/>
      <c r="AA63" s="2938"/>
      <c r="AB63" s="2939"/>
      <c r="AC63" s="2937"/>
      <c r="AD63" s="2937"/>
      <c r="AE63" s="2940"/>
      <c r="AF63" s="4530"/>
    </row>
    <row r="64" spans="1:32" ht="33.950000000000003" customHeight="1">
      <c r="A64" s="4564"/>
      <c r="B64" s="4623"/>
      <c r="C64" s="4626" t="s">
        <v>272</v>
      </c>
      <c r="D64" s="4273" t="s">
        <v>679</v>
      </c>
      <c r="E64" s="4273" t="s">
        <v>680</v>
      </c>
      <c r="F64" s="4273" t="s">
        <v>688</v>
      </c>
      <c r="G64" s="4338" t="s">
        <v>682</v>
      </c>
      <c r="H64" s="4273" t="s">
        <v>686</v>
      </c>
      <c r="I64" s="4273" t="s">
        <v>257</v>
      </c>
      <c r="J64" s="4458" t="s">
        <v>4462</v>
      </c>
      <c r="K64" s="4228" t="s">
        <v>4476</v>
      </c>
      <c r="L64" s="4482" t="s">
        <v>770</v>
      </c>
      <c r="M64" s="4336">
        <v>0</v>
      </c>
      <c r="N64" s="4336">
        <v>0</v>
      </c>
      <c r="O64" s="4336">
        <v>2</v>
      </c>
      <c r="P64" s="4368" t="s">
        <v>4407</v>
      </c>
      <c r="Q64" s="4730" t="s">
        <v>4385</v>
      </c>
      <c r="R64" s="4727" t="s">
        <v>4358</v>
      </c>
      <c r="S64" s="2941" t="s">
        <v>17</v>
      </c>
      <c r="T64" s="2538">
        <v>530810</v>
      </c>
      <c r="U64" s="2538"/>
      <c r="V64" s="2958" t="s">
        <v>72</v>
      </c>
      <c r="W64" s="2551"/>
      <c r="X64" s="2943"/>
      <c r="Y64" s="2944"/>
      <c r="Z64" s="2944"/>
      <c r="AA64" s="2944"/>
      <c r="AB64" s="2945">
        <f>SUM($AA$65:$AA$65)</f>
        <v>1120</v>
      </c>
      <c r="AC64" s="2943"/>
      <c r="AD64" s="2946"/>
      <c r="AE64" s="2946"/>
      <c r="AF64" s="4729"/>
    </row>
    <row r="65" spans="1:32" ht="82.5" customHeight="1">
      <c r="A65" s="4564"/>
      <c r="B65" s="4623"/>
      <c r="C65" s="4331"/>
      <c r="D65" s="4215"/>
      <c r="E65" s="4215"/>
      <c r="F65" s="4215"/>
      <c r="G65" s="4215"/>
      <c r="H65" s="4215"/>
      <c r="I65" s="4215"/>
      <c r="J65" s="4449"/>
      <c r="K65" s="4215"/>
      <c r="L65" s="4215"/>
      <c r="M65" s="4226"/>
      <c r="N65" s="4226"/>
      <c r="O65" s="4226"/>
      <c r="P65" s="4215"/>
      <c r="Q65" s="4449"/>
      <c r="R65" s="4693"/>
      <c r="S65" s="2910"/>
      <c r="T65" s="2918"/>
      <c r="U65" s="1806"/>
      <c r="V65" s="2518" t="s">
        <v>4356</v>
      </c>
      <c r="W65" s="1800">
        <v>1</v>
      </c>
      <c r="X65" s="1804" t="s">
        <v>269</v>
      </c>
      <c r="Y65" s="1802">
        <v>1000</v>
      </c>
      <c r="Z65" s="2977">
        <f t="shared" ref="Z65" si="8">+W65*Y65</f>
        <v>1000</v>
      </c>
      <c r="AA65" s="2977">
        <f t="shared" ref="AA65" si="9">+Z65*1.12</f>
        <v>1120</v>
      </c>
      <c r="AB65" s="1803"/>
      <c r="AC65" s="1804" t="s">
        <v>251</v>
      </c>
      <c r="AD65" s="1804" t="s">
        <v>251</v>
      </c>
      <c r="AE65" s="1804" t="s">
        <v>251</v>
      </c>
      <c r="AF65" s="4521"/>
    </row>
    <row r="66" spans="1:32" ht="33.950000000000003" customHeight="1">
      <c r="A66" s="4564"/>
      <c r="B66" s="4623"/>
      <c r="C66" s="4331"/>
      <c r="D66" s="4215"/>
      <c r="E66" s="4215"/>
      <c r="F66" s="4215"/>
      <c r="G66" s="4215"/>
      <c r="H66" s="4215"/>
      <c r="I66" s="4215"/>
      <c r="J66" s="4449"/>
      <c r="K66" s="4215"/>
      <c r="L66" s="4215"/>
      <c r="M66" s="4226"/>
      <c r="N66" s="4226"/>
      <c r="O66" s="4226"/>
      <c r="P66" s="4215"/>
      <c r="Q66" s="4449"/>
      <c r="R66" s="4693"/>
      <c r="S66" s="2908" t="s">
        <v>17</v>
      </c>
      <c r="T66" s="1806">
        <v>530829</v>
      </c>
      <c r="U66" s="1806"/>
      <c r="V66" s="2914" t="s">
        <v>73</v>
      </c>
      <c r="W66" s="1800"/>
      <c r="X66" s="1804"/>
      <c r="Y66" s="1802"/>
      <c r="Z66" s="1802"/>
      <c r="AA66" s="1802"/>
      <c r="AB66" s="1803">
        <f>SUM($AA$67:$AA$67)</f>
        <v>3360.0000000000005</v>
      </c>
      <c r="AC66" s="1804"/>
      <c r="AD66" s="1809"/>
      <c r="AE66" s="1809"/>
      <c r="AF66" s="4521"/>
    </row>
    <row r="67" spans="1:32" ht="82.5" customHeight="1">
      <c r="A67" s="4564"/>
      <c r="B67" s="4623"/>
      <c r="C67" s="4331"/>
      <c r="D67" s="4215"/>
      <c r="E67" s="4215"/>
      <c r="F67" s="4215"/>
      <c r="G67" s="4215"/>
      <c r="H67" s="4215"/>
      <c r="I67" s="4215"/>
      <c r="J67" s="4449"/>
      <c r="K67" s="4215"/>
      <c r="L67" s="4215"/>
      <c r="M67" s="4226"/>
      <c r="N67" s="4226"/>
      <c r="O67" s="4226"/>
      <c r="P67" s="4215"/>
      <c r="Q67" s="4449"/>
      <c r="R67" s="4693"/>
      <c r="S67" s="2910"/>
      <c r="T67" s="2918"/>
      <c r="U67" s="1806"/>
      <c r="V67" s="2518" t="s">
        <v>4355</v>
      </c>
      <c r="W67" s="1800">
        <v>1</v>
      </c>
      <c r="X67" s="1804" t="s">
        <v>269</v>
      </c>
      <c r="Y67" s="1802">
        <v>3000</v>
      </c>
      <c r="Z67" s="2977">
        <f>+W67*Y67</f>
        <v>3000</v>
      </c>
      <c r="AA67" s="2977">
        <f t="shared" ref="AA67" si="10">+Z67*1.12</f>
        <v>3360.0000000000005</v>
      </c>
      <c r="AB67" s="1803"/>
      <c r="AC67" s="1804" t="s">
        <v>251</v>
      </c>
      <c r="AD67" s="1804" t="s">
        <v>251</v>
      </c>
      <c r="AE67" s="1804" t="s">
        <v>251</v>
      </c>
      <c r="AF67" s="4521"/>
    </row>
    <row r="68" spans="1:32" ht="18" customHeight="1">
      <c r="A68" s="4564"/>
      <c r="B68" s="4623"/>
      <c r="C68" s="4332"/>
      <c r="D68" s="4216"/>
      <c r="E68" s="4216"/>
      <c r="F68" s="4216"/>
      <c r="G68" s="4216"/>
      <c r="H68" s="4216"/>
      <c r="I68" s="4216"/>
      <c r="J68" s="4449"/>
      <c r="K68" s="4215"/>
      <c r="L68" s="4215"/>
      <c r="M68" s="4226"/>
      <c r="N68" s="4247"/>
      <c r="O68" s="4226"/>
      <c r="P68" s="4215"/>
      <c r="Q68" s="4449"/>
      <c r="R68" s="4728"/>
      <c r="S68" s="2949"/>
      <c r="T68" s="2959"/>
      <c r="U68" s="2548"/>
      <c r="V68" s="2960"/>
      <c r="W68" s="2961"/>
      <c r="X68" s="2962"/>
      <c r="Y68" s="2981"/>
      <c r="Z68" s="2981"/>
      <c r="AA68" s="2981"/>
      <c r="AB68" s="2961"/>
      <c r="AC68" s="2962"/>
      <c r="AD68" s="2962"/>
      <c r="AE68" s="2962"/>
      <c r="AF68" s="4522"/>
    </row>
    <row r="69" spans="1:32" ht="33.950000000000003" customHeight="1">
      <c r="A69" s="4564"/>
      <c r="B69" s="4623"/>
      <c r="C69" s="4625" t="s">
        <v>272</v>
      </c>
      <c r="D69" s="4328" t="s">
        <v>679</v>
      </c>
      <c r="E69" s="4328" t="s">
        <v>680</v>
      </c>
      <c r="F69" s="4328" t="s">
        <v>681</v>
      </c>
      <c r="G69" s="4329" t="s">
        <v>682</v>
      </c>
      <c r="H69" s="4328" t="s">
        <v>686</v>
      </c>
      <c r="I69" s="4328" t="s">
        <v>241</v>
      </c>
      <c r="J69" s="4458" t="s">
        <v>4461</v>
      </c>
      <c r="K69" s="4273" t="s">
        <v>771</v>
      </c>
      <c r="L69" s="4273" t="s">
        <v>772</v>
      </c>
      <c r="M69" s="4336">
        <v>0</v>
      </c>
      <c r="N69" s="4336">
        <v>1</v>
      </c>
      <c r="O69" s="4336">
        <v>1</v>
      </c>
      <c r="P69" s="4368" t="s">
        <v>4408</v>
      </c>
      <c r="Q69" s="4730" t="s">
        <v>4384</v>
      </c>
      <c r="R69" s="4711" t="s">
        <v>4358</v>
      </c>
      <c r="S69" s="2921" t="s">
        <v>17</v>
      </c>
      <c r="T69" s="2539">
        <v>531404</v>
      </c>
      <c r="U69" s="2539"/>
      <c r="V69" s="2948" t="s">
        <v>24</v>
      </c>
      <c r="W69" s="2923"/>
      <c r="X69" s="2924"/>
      <c r="Y69" s="2925"/>
      <c r="Z69" s="2925"/>
      <c r="AA69" s="2925"/>
      <c r="AB69" s="2926">
        <f>SUM($AA$70:$AA$72)</f>
        <v>2240</v>
      </c>
      <c r="AC69" s="2924"/>
      <c r="AD69" s="2927"/>
      <c r="AE69" s="2927"/>
      <c r="AF69" s="4719"/>
    </row>
    <row r="70" spans="1:32" ht="63" customHeight="1">
      <c r="A70" s="4564"/>
      <c r="B70" s="4623"/>
      <c r="C70" s="4331"/>
      <c r="D70" s="4215"/>
      <c r="E70" s="4215"/>
      <c r="F70" s="4215"/>
      <c r="G70" s="4215"/>
      <c r="H70" s="4215"/>
      <c r="I70" s="4215"/>
      <c r="J70" s="4449"/>
      <c r="K70" s="4215"/>
      <c r="L70" s="4215"/>
      <c r="M70" s="4226"/>
      <c r="N70" s="4226"/>
      <c r="O70" s="4226"/>
      <c r="P70" s="4215"/>
      <c r="Q70" s="4449"/>
      <c r="R70" s="4693"/>
      <c r="S70" s="2910"/>
      <c r="T70" s="1797"/>
      <c r="U70" s="1806"/>
      <c r="V70" s="2518" t="s">
        <v>4354</v>
      </c>
      <c r="W70" s="1800">
        <v>1</v>
      </c>
      <c r="X70" s="1804" t="s">
        <v>269</v>
      </c>
      <c r="Y70" s="1802">
        <v>2000</v>
      </c>
      <c r="Z70" s="2977">
        <f t="shared" ref="Z70" si="11">+W70*Y70</f>
        <v>2000</v>
      </c>
      <c r="AA70" s="2977">
        <f t="shared" ref="AA70" si="12">+Z70*1.12</f>
        <v>2240</v>
      </c>
      <c r="AB70" s="1803"/>
      <c r="AC70" s="1804"/>
      <c r="AD70" s="1809"/>
      <c r="AE70" s="1809" t="s">
        <v>251</v>
      </c>
      <c r="AF70" s="4521"/>
    </row>
    <row r="71" spans="1:32" ht="18" customHeight="1">
      <c r="A71" s="4564"/>
      <c r="B71" s="4623"/>
      <c r="C71" s="4331"/>
      <c r="D71" s="4215"/>
      <c r="E71" s="4215"/>
      <c r="F71" s="4215"/>
      <c r="G71" s="4215"/>
      <c r="H71" s="4215"/>
      <c r="I71" s="4215"/>
      <c r="J71" s="4449"/>
      <c r="K71" s="4215"/>
      <c r="L71" s="4215"/>
      <c r="M71" s="4226"/>
      <c r="N71" s="4226"/>
      <c r="O71" s="4226"/>
      <c r="P71" s="4215"/>
      <c r="Q71" s="4449"/>
      <c r="R71" s="4693"/>
      <c r="S71" s="2910"/>
      <c r="T71" s="1797"/>
      <c r="U71" s="1797"/>
      <c r="V71" s="2911"/>
      <c r="W71" s="1800"/>
      <c r="X71" s="1804"/>
      <c r="Y71" s="1802"/>
      <c r="Z71" s="2977"/>
      <c r="AA71" s="2977"/>
      <c r="AB71" s="1803"/>
      <c r="AC71" s="1804"/>
      <c r="AD71" s="1809"/>
      <c r="AE71" s="1809"/>
      <c r="AF71" s="4521"/>
    </row>
    <row r="72" spans="1:32" ht="18" customHeight="1">
      <c r="A72" s="4564"/>
      <c r="B72" s="4623"/>
      <c r="C72" s="4331"/>
      <c r="D72" s="4215"/>
      <c r="E72" s="4215"/>
      <c r="F72" s="4215"/>
      <c r="G72" s="4215"/>
      <c r="H72" s="4215"/>
      <c r="I72" s="4215"/>
      <c r="J72" s="4449"/>
      <c r="K72" s="4215"/>
      <c r="L72" s="4215"/>
      <c r="M72" s="4226"/>
      <c r="N72" s="4226"/>
      <c r="O72" s="4226"/>
      <c r="P72" s="4215"/>
      <c r="Q72" s="4449"/>
      <c r="R72" s="4693"/>
      <c r="S72" s="2910"/>
      <c r="T72" s="1797"/>
      <c r="U72" s="1797"/>
      <c r="V72" s="2911"/>
      <c r="W72" s="1800"/>
      <c r="X72" s="1804"/>
      <c r="Y72" s="1802"/>
      <c r="Z72" s="2977"/>
      <c r="AA72" s="2977"/>
      <c r="AB72" s="1803"/>
      <c r="AC72" s="1804"/>
      <c r="AD72" s="1809"/>
      <c r="AE72" s="1809"/>
      <c r="AF72" s="4521"/>
    </row>
    <row r="73" spans="1:32" ht="18" customHeight="1">
      <c r="A73" s="4564"/>
      <c r="B73" s="4623"/>
      <c r="C73" s="4331"/>
      <c r="D73" s="4215"/>
      <c r="E73" s="4215"/>
      <c r="F73" s="4215"/>
      <c r="G73" s="4215"/>
      <c r="H73" s="4215"/>
      <c r="I73" s="4215"/>
      <c r="J73" s="4449"/>
      <c r="K73" s="4215"/>
      <c r="L73" s="4215"/>
      <c r="M73" s="4247"/>
      <c r="N73" s="4247"/>
      <c r="O73" s="4247"/>
      <c r="P73" s="4216"/>
      <c r="Q73" s="4450"/>
      <c r="R73" s="4693"/>
      <c r="S73" s="2934"/>
      <c r="T73" s="2935"/>
      <c r="U73" s="2935"/>
      <c r="V73" s="2936"/>
      <c r="W73" s="2549"/>
      <c r="X73" s="2937"/>
      <c r="Y73" s="2938"/>
      <c r="Z73" s="2938"/>
      <c r="AA73" s="2938"/>
      <c r="AB73" s="2939"/>
      <c r="AC73" s="2937"/>
      <c r="AD73" s="2940"/>
      <c r="AE73" s="2940"/>
      <c r="AF73" s="4530"/>
    </row>
    <row r="74" spans="1:32" ht="33.950000000000003" customHeight="1">
      <c r="A74" s="4564"/>
      <c r="B74" s="4623"/>
      <c r="C74" s="4626" t="s">
        <v>272</v>
      </c>
      <c r="D74" s="4273" t="s">
        <v>679</v>
      </c>
      <c r="E74" s="4273" t="s">
        <v>680</v>
      </c>
      <c r="F74" s="4273" t="s">
        <v>773</v>
      </c>
      <c r="G74" s="4338" t="s">
        <v>682</v>
      </c>
      <c r="H74" s="4273" t="s">
        <v>686</v>
      </c>
      <c r="I74" s="4273" t="s">
        <v>241</v>
      </c>
      <c r="J74" s="4458" t="s">
        <v>4460</v>
      </c>
      <c r="K74" s="4273" t="s">
        <v>774</v>
      </c>
      <c r="L74" s="4273" t="s">
        <v>775</v>
      </c>
      <c r="M74" s="4336">
        <v>0</v>
      </c>
      <c r="N74" s="4336">
        <v>0</v>
      </c>
      <c r="O74" s="4336">
        <v>1</v>
      </c>
      <c r="P74" s="4368" t="s">
        <v>4409</v>
      </c>
      <c r="Q74" s="4730" t="s">
        <v>4383</v>
      </c>
      <c r="R74" s="4727" t="s">
        <v>4358</v>
      </c>
      <c r="S74" s="2941" t="s">
        <v>17</v>
      </c>
      <c r="T74" s="2538">
        <v>531406</v>
      </c>
      <c r="U74" s="2538"/>
      <c r="V74" s="2958" t="s">
        <v>74</v>
      </c>
      <c r="W74" s="2551"/>
      <c r="X74" s="2943"/>
      <c r="Y74" s="2944"/>
      <c r="Z74" s="2944"/>
      <c r="AA74" s="2944"/>
      <c r="AB74" s="2945">
        <f>SUM($AA$75:$AA$76)</f>
        <v>1680.0000000000002</v>
      </c>
      <c r="AC74" s="2943"/>
      <c r="AD74" s="2946"/>
      <c r="AE74" s="2946"/>
      <c r="AF74" s="4729"/>
    </row>
    <row r="75" spans="1:32" ht="74.25" customHeight="1">
      <c r="A75" s="4564"/>
      <c r="B75" s="4623"/>
      <c r="C75" s="4331"/>
      <c r="D75" s="4215"/>
      <c r="E75" s="4215"/>
      <c r="F75" s="4215"/>
      <c r="G75" s="4215"/>
      <c r="H75" s="4215"/>
      <c r="I75" s="4215"/>
      <c r="J75" s="4449"/>
      <c r="K75" s="4215"/>
      <c r="L75" s="4215"/>
      <c r="M75" s="4226"/>
      <c r="N75" s="4226"/>
      <c r="O75" s="4226"/>
      <c r="P75" s="4215"/>
      <c r="Q75" s="4449"/>
      <c r="R75" s="4693"/>
      <c r="S75" s="2910"/>
      <c r="T75" s="1797"/>
      <c r="U75" s="1806"/>
      <c r="V75" s="2518" t="s">
        <v>4353</v>
      </c>
      <c r="W75" s="1800">
        <v>1</v>
      </c>
      <c r="X75" s="1804" t="s">
        <v>269</v>
      </c>
      <c r="Y75" s="1802">
        <v>1500</v>
      </c>
      <c r="Z75" s="2977">
        <f t="shared" ref="Z75" si="13">+W75*Y75</f>
        <v>1500</v>
      </c>
      <c r="AA75" s="2977">
        <f t="shared" ref="AA75" si="14">+Z75*1.12</f>
        <v>1680.0000000000002</v>
      </c>
      <c r="AB75" s="1803"/>
      <c r="AC75" s="1804"/>
      <c r="AD75" s="1809"/>
      <c r="AE75" s="1809" t="s">
        <v>251</v>
      </c>
      <c r="AF75" s="4521"/>
    </row>
    <row r="76" spans="1:32" ht="18" customHeight="1">
      <c r="A76" s="4564"/>
      <c r="B76" s="4623"/>
      <c r="C76" s="4331"/>
      <c r="D76" s="4215"/>
      <c r="E76" s="4215"/>
      <c r="F76" s="4215"/>
      <c r="G76" s="4215"/>
      <c r="H76" s="4215"/>
      <c r="I76" s="4215"/>
      <c r="J76" s="4449"/>
      <c r="K76" s="4215"/>
      <c r="L76" s="4215"/>
      <c r="M76" s="4226"/>
      <c r="N76" s="4226"/>
      <c r="O76" s="4226"/>
      <c r="P76" s="4215"/>
      <c r="Q76" s="4449"/>
      <c r="R76" s="4693"/>
      <c r="S76" s="2910"/>
      <c r="T76" s="1797"/>
      <c r="U76" s="1797"/>
      <c r="V76" s="2911"/>
      <c r="W76" s="1800"/>
      <c r="X76" s="1804"/>
      <c r="Y76" s="1802"/>
      <c r="Z76" s="2977"/>
      <c r="AA76" s="2977"/>
      <c r="AB76" s="1803"/>
      <c r="AC76" s="1804"/>
      <c r="AD76" s="1809"/>
      <c r="AE76" s="1809"/>
      <c r="AF76" s="4521"/>
    </row>
    <row r="77" spans="1:32" ht="18" customHeight="1">
      <c r="A77" s="4564"/>
      <c r="B77" s="4623"/>
      <c r="C77" s="4331"/>
      <c r="D77" s="4215"/>
      <c r="E77" s="4215"/>
      <c r="F77" s="4215"/>
      <c r="G77" s="4215"/>
      <c r="H77" s="4215"/>
      <c r="I77" s="4215"/>
      <c r="J77" s="4449"/>
      <c r="K77" s="4215"/>
      <c r="L77" s="4215"/>
      <c r="M77" s="4226"/>
      <c r="N77" s="4226"/>
      <c r="O77" s="4226"/>
      <c r="P77" s="4215"/>
      <c r="Q77" s="4449"/>
      <c r="R77" s="4693"/>
      <c r="S77" s="2910"/>
      <c r="T77" s="1797"/>
      <c r="U77" s="1797"/>
      <c r="V77" s="2911"/>
      <c r="W77" s="1800"/>
      <c r="X77" s="1804"/>
      <c r="Y77" s="1802"/>
      <c r="Z77" s="1802"/>
      <c r="AA77" s="1802"/>
      <c r="AB77" s="1803"/>
      <c r="AC77" s="1804"/>
      <c r="AD77" s="1809"/>
      <c r="AE77" s="1809"/>
      <c r="AF77" s="4521"/>
    </row>
    <row r="78" spans="1:32" ht="21.75" customHeight="1">
      <c r="A78" s="4564"/>
      <c r="B78" s="4623"/>
      <c r="C78" s="4331"/>
      <c r="D78" s="4215"/>
      <c r="E78" s="4215"/>
      <c r="F78" s="4215"/>
      <c r="G78" s="4215"/>
      <c r="H78" s="4215"/>
      <c r="I78" s="4215"/>
      <c r="J78" s="4449"/>
      <c r="K78" s="4215"/>
      <c r="L78" s="4215"/>
      <c r="M78" s="4226"/>
      <c r="N78" s="4226"/>
      <c r="O78" s="4226"/>
      <c r="P78" s="4215"/>
      <c r="Q78" s="4449"/>
      <c r="R78" s="4728"/>
      <c r="S78" s="2949"/>
      <c r="T78" s="2950"/>
      <c r="U78" s="2950"/>
      <c r="V78" s="2951"/>
      <c r="W78" s="2540"/>
      <c r="X78" s="2930"/>
      <c r="Y78" s="2931"/>
      <c r="Z78" s="2931"/>
      <c r="AA78" s="2931"/>
      <c r="AB78" s="2932"/>
      <c r="AC78" s="2930"/>
      <c r="AD78" s="2933"/>
      <c r="AE78" s="2933"/>
      <c r="AF78" s="4522"/>
    </row>
    <row r="79" spans="1:32" ht="35.25" customHeight="1">
      <c r="A79" s="4564"/>
      <c r="B79" s="4623"/>
      <c r="C79" s="4626" t="s">
        <v>272</v>
      </c>
      <c r="D79" s="4273" t="s">
        <v>679</v>
      </c>
      <c r="E79" s="4273" t="s">
        <v>680</v>
      </c>
      <c r="F79" s="4273" t="s">
        <v>773</v>
      </c>
      <c r="G79" s="4338" t="s">
        <v>682</v>
      </c>
      <c r="H79" s="4273" t="s">
        <v>686</v>
      </c>
      <c r="I79" s="4273" t="s">
        <v>241</v>
      </c>
      <c r="J79" s="4458" t="s">
        <v>4459</v>
      </c>
      <c r="K79" s="4228" t="s">
        <v>960</v>
      </c>
      <c r="L79" s="4471" t="s">
        <v>776</v>
      </c>
      <c r="M79" s="4724">
        <v>0</v>
      </c>
      <c r="N79" s="4336">
        <v>5</v>
      </c>
      <c r="O79" s="4336">
        <v>5</v>
      </c>
      <c r="P79" s="4228" t="s">
        <v>4410</v>
      </c>
      <c r="Q79" s="4458" t="s">
        <v>4382</v>
      </c>
      <c r="R79" s="4723" t="s">
        <v>4358</v>
      </c>
      <c r="S79" s="2963"/>
      <c r="T79" s="2964"/>
      <c r="U79" s="2964"/>
      <c r="V79" s="2965"/>
      <c r="W79" s="2923"/>
      <c r="X79" s="2924"/>
      <c r="Y79" s="2925"/>
      <c r="Z79" s="2925"/>
      <c r="AA79" s="2925"/>
      <c r="AB79" s="2926"/>
      <c r="AC79" s="2924"/>
      <c r="AD79" s="2927"/>
      <c r="AE79" s="2927"/>
      <c r="AF79" s="4743"/>
    </row>
    <row r="80" spans="1:32" ht="35.25" customHeight="1">
      <c r="A80" s="4564"/>
      <c r="B80" s="4623"/>
      <c r="C80" s="4331"/>
      <c r="D80" s="4215"/>
      <c r="E80" s="4215"/>
      <c r="F80" s="4215"/>
      <c r="G80" s="4215"/>
      <c r="H80" s="4215"/>
      <c r="I80" s="4215"/>
      <c r="J80" s="4449"/>
      <c r="K80" s="4215"/>
      <c r="L80" s="4449"/>
      <c r="M80" s="4725"/>
      <c r="N80" s="4226"/>
      <c r="O80" s="4226"/>
      <c r="P80" s="4215"/>
      <c r="Q80" s="4449"/>
      <c r="R80" s="4708"/>
      <c r="S80" s="2910"/>
      <c r="T80" s="1797"/>
      <c r="U80" s="1797"/>
      <c r="V80" s="2911"/>
      <c r="W80" s="1800"/>
      <c r="X80" s="1804"/>
      <c r="Y80" s="1802"/>
      <c r="Z80" s="1802"/>
      <c r="AA80" s="1802"/>
      <c r="AB80" s="1803"/>
      <c r="AC80" s="1804"/>
      <c r="AD80" s="1809"/>
      <c r="AE80" s="1809"/>
      <c r="AF80" s="4744"/>
    </row>
    <row r="81" spans="1:32" ht="35.25" customHeight="1">
      <c r="A81" s="4564"/>
      <c r="B81" s="4623"/>
      <c r="C81" s="4331"/>
      <c r="D81" s="4215"/>
      <c r="E81" s="4215"/>
      <c r="F81" s="4215"/>
      <c r="G81" s="4215"/>
      <c r="H81" s="4215"/>
      <c r="I81" s="4215"/>
      <c r="J81" s="4449"/>
      <c r="K81" s="4215"/>
      <c r="L81" s="4449"/>
      <c r="M81" s="4725"/>
      <c r="N81" s="4226"/>
      <c r="O81" s="4226"/>
      <c r="P81" s="4215"/>
      <c r="Q81" s="4449"/>
      <c r="R81" s="4708"/>
      <c r="S81" s="2910"/>
      <c r="T81" s="1797"/>
      <c r="U81" s="1797"/>
      <c r="V81" s="2911"/>
      <c r="W81" s="1800"/>
      <c r="X81" s="1804"/>
      <c r="Y81" s="1802"/>
      <c r="Z81" s="1802"/>
      <c r="AA81" s="1802"/>
      <c r="AB81" s="1803"/>
      <c r="AC81" s="1804"/>
      <c r="AD81" s="1809"/>
      <c r="AE81" s="1809"/>
      <c r="AF81" s="4744"/>
    </row>
    <row r="82" spans="1:32" ht="35.25" customHeight="1">
      <c r="A82" s="4564"/>
      <c r="B82" s="4623"/>
      <c r="C82" s="4332"/>
      <c r="D82" s="4216"/>
      <c r="E82" s="4216"/>
      <c r="F82" s="4216"/>
      <c r="G82" s="4216"/>
      <c r="H82" s="4216"/>
      <c r="I82" s="4216"/>
      <c r="J82" s="4450"/>
      <c r="K82" s="4216"/>
      <c r="L82" s="4450"/>
      <c r="M82" s="4726"/>
      <c r="N82" s="4247"/>
      <c r="O82" s="4247"/>
      <c r="P82" s="4216"/>
      <c r="Q82" s="4450"/>
      <c r="R82" s="4708"/>
      <c r="S82" s="2934"/>
      <c r="T82" s="2935"/>
      <c r="U82" s="2935"/>
      <c r="V82" s="2936"/>
      <c r="W82" s="2549"/>
      <c r="X82" s="2937"/>
      <c r="Y82" s="2938"/>
      <c r="Z82" s="2938"/>
      <c r="AA82" s="2938"/>
      <c r="AB82" s="2939"/>
      <c r="AC82" s="2937"/>
      <c r="AD82" s="2940"/>
      <c r="AE82" s="2940"/>
      <c r="AF82" s="4745"/>
    </row>
    <row r="83" spans="1:32" ht="34.5" customHeight="1">
      <c r="A83" s="4564"/>
      <c r="B83" s="4623"/>
      <c r="C83" s="4671" t="s">
        <v>235</v>
      </c>
      <c r="D83" s="4475" t="s">
        <v>236</v>
      </c>
      <c r="E83" s="4675"/>
      <c r="F83" s="4675"/>
      <c r="G83" s="4672" t="s">
        <v>239</v>
      </c>
      <c r="H83" s="4475" t="s">
        <v>240</v>
      </c>
      <c r="I83" s="4328" t="s">
        <v>257</v>
      </c>
      <c r="J83" s="4712" t="s">
        <v>4458</v>
      </c>
      <c r="K83" s="4475" t="s">
        <v>777</v>
      </c>
      <c r="L83" s="4475" t="s">
        <v>778</v>
      </c>
      <c r="M83" s="4344">
        <v>0</v>
      </c>
      <c r="N83" s="4344">
        <v>1</v>
      </c>
      <c r="O83" s="4344">
        <v>1</v>
      </c>
      <c r="P83" s="4447" t="s">
        <v>4411</v>
      </c>
      <c r="Q83" s="4736" t="s">
        <v>4381</v>
      </c>
      <c r="R83" s="4727" t="s">
        <v>4358</v>
      </c>
      <c r="S83" s="2966"/>
      <c r="T83" s="2967"/>
      <c r="U83" s="2967"/>
      <c r="V83" s="2956"/>
      <c r="W83" s="2551"/>
      <c r="X83" s="2943"/>
      <c r="Y83" s="2944"/>
      <c r="Z83" s="2944"/>
      <c r="AA83" s="2944"/>
      <c r="AB83" s="2945"/>
      <c r="AC83" s="2943"/>
      <c r="AD83" s="2946"/>
      <c r="AE83" s="2946"/>
      <c r="AF83" s="4729"/>
    </row>
    <row r="84" spans="1:32" ht="34.5" customHeight="1">
      <c r="A84" s="4564"/>
      <c r="B84" s="4623"/>
      <c r="C84" s="4331"/>
      <c r="D84" s="4215"/>
      <c r="E84" s="4676"/>
      <c r="F84" s="4676"/>
      <c r="G84" s="4215"/>
      <c r="H84" s="4215"/>
      <c r="I84" s="4215"/>
      <c r="J84" s="4449"/>
      <c r="K84" s="4215"/>
      <c r="L84" s="4215"/>
      <c r="M84" s="4226"/>
      <c r="N84" s="4226"/>
      <c r="O84" s="4226"/>
      <c r="P84" s="4215"/>
      <c r="Q84" s="4697"/>
      <c r="R84" s="4693"/>
      <c r="S84" s="2910"/>
      <c r="T84" s="1797"/>
      <c r="U84" s="1797"/>
      <c r="V84" s="2911"/>
      <c r="W84" s="1800"/>
      <c r="X84" s="1804"/>
      <c r="Y84" s="1802"/>
      <c r="Z84" s="1802"/>
      <c r="AA84" s="1802"/>
      <c r="AB84" s="1803"/>
      <c r="AC84" s="1804"/>
      <c r="AD84" s="1809"/>
      <c r="AE84" s="1809"/>
      <c r="AF84" s="4521"/>
    </row>
    <row r="85" spans="1:32" ht="34.5" customHeight="1">
      <c r="A85" s="4564"/>
      <c r="B85" s="4623"/>
      <c r="C85" s="4331"/>
      <c r="D85" s="4215"/>
      <c r="E85" s="4676"/>
      <c r="F85" s="4676"/>
      <c r="G85" s="4215"/>
      <c r="H85" s="4215"/>
      <c r="I85" s="4215"/>
      <c r="J85" s="4449"/>
      <c r="K85" s="4215"/>
      <c r="L85" s="4215"/>
      <c r="M85" s="4226"/>
      <c r="N85" s="4226"/>
      <c r="O85" s="4226"/>
      <c r="P85" s="4215"/>
      <c r="Q85" s="4697"/>
      <c r="R85" s="4693"/>
      <c r="S85" s="2910"/>
      <c r="T85" s="1797"/>
      <c r="U85" s="1797"/>
      <c r="V85" s="2911"/>
      <c r="W85" s="1800"/>
      <c r="X85" s="1804"/>
      <c r="Y85" s="1802"/>
      <c r="Z85" s="1802"/>
      <c r="AA85" s="1802"/>
      <c r="AB85" s="1803"/>
      <c r="AC85" s="1804"/>
      <c r="AD85" s="1809"/>
      <c r="AE85" s="1809"/>
      <c r="AF85" s="4521"/>
    </row>
    <row r="86" spans="1:32" ht="34.5" customHeight="1">
      <c r="A86" s="4564"/>
      <c r="B86" s="4623"/>
      <c r="C86" s="4332"/>
      <c r="D86" s="4216"/>
      <c r="E86" s="4677"/>
      <c r="F86" s="4677"/>
      <c r="G86" s="4216"/>
      <c r="H86" s="4216"/>
      <c r="I86" s="4216"/>
      <c r="J86" s="4450"/>
      <c r="K86" s="4216"/>
      <c r="L86" s="4216"/>
      <c r="M86" s="4247"/>
      <c r="N86" s="4247"/>
      <c r="O86" s="4247"/>
      <c r="P86" s="4216"/>
      <c r="Q86" s="4698"/>
      <c r="R86" s="4728"/>
      <c r="S86" s="2949"/>
      <c r="T86" s="2950"/>
      <c r="U86" s="2950"/>
      <c r="V86" s="2951"/>
      <c r="W86" s="2540"/>
      <c r="X86" s="2930"/>
      <c r="Y86" s="2931"/>
      <c r="Z86" s="2931"/>
      <c r="AA86" s="2931"/>
      <c r="AB86" s="2932"/>
      <c r="AC86" s="2930"/>
      <c r="AD86" s="2933"/>
      <c r="AE86" s="2933"/>
      <c r="AF86" s="4522"/>
    </row>
    <row r="87" spans="1:32" ht="33.950000000000003" customHeight="1">
      <c r="A87" s="4564"/>
      <c r="B87" s="4623"/>
      <c r="C87" s="4671" t="s">
        <v>235</v>
      </c>
      <c r="D87" s="4475" t="s">
        <v>236</v>
      </c>
      <c r="E87" s="4675"/>
      <c r="F87" s="4679"/>
      <c r="G87" s="4672" t="s">
        <v>239</v>
      </c>
      <c r="H87" s="4475" t="s">
        <v>240</v>
      </c>
      <c r="I87" s="4273" t="s">
        <v>257</v>
      </c>
      <c r="J87" s="4458" t="s">
        <v>3975</v>
      </c>
      <c r="K87" s="4273" t="s">
        <v>371</v>
      </c>
      <c r="L87" s="4273" t="s">
        <v>779</v>
      </c>
      <c r="M87" s="4336">
        <v>0</v>
      </c>
      <c r="N87" s="4336">
        <v>0</v>
      </c>
      <c r="O87" s="4336">
        <v>2</v>
      </c>
      <c r="P87" s="4228" t="s">
        <v>4281</v>
      </c>
      <c r="Q87" s="4458" t="s">
        <v>3911</v>
      </c>
      <c r="R87" s="4711" t="s">
        <v>4358</v>
      </c>
      <c r="S87" s="2921" t="s">
        <v>17</v>
      </c>
      <c r="T87" s="2539">
        <v>531407</v>
      </c>
      <c r="U87" s="2539"/>
      <c r="V87" s="2948" t="s">
        <v>20</v>
      </c>
      <c r="W87" s="2923"/>
      <c r="X87" s="2924"/>
      <c r="Y87" s="2925"/>
      <c r="Z87" s="2925"/>
      <c r="AA87" s="2925"/>
      <c r="AB87" s="2926">
        <f>SUM($AA$88:$AA$89)</f>
        <v>784.00000000000011</v>
      </c>
      <c r="AC87" s="2924"/>
      <c r="AD87" s="2927"/>
      <c r="AE87" s="2927"/>
      <c r="AF87" s="4719"/>
    </row>
    <row r="88" spans="1:32" ht="62.25" customHeight="1">
      <c r="A88" s="4564"/>
      <c r="B88" s="4623"/>
      <c r="C88" s="4331"/>
      <c r="D88" s="4215"/>
      <c r="E88" s="4676"/>
      <c r="F88" s="4676"/>
      <c r="G88" s="4215"/>
      <c r="H88" s="4215"/>
      <c r="I88" s="4215"/>
      <c r="J88" s="4449"/>
      <c r="K88" s="4215"/>
      <c r="L88" s="4215"/>
      <c r="M88" s="4226"/>
      <c r="N88" s="4226"/>
      <c r="O88" s="4226"/>
      <c r="P88" s="4215"/>
      <c r="Q88" s="4449"/>
      <c r="R88" s="4693"/>
      <c r="S88" s="2910"/>
      <c r="T88" s="1797"/>
      <c r="U88" s="1797"/>
      <c r="V88" s="2518" t="s">
        <v>4351</v>
      </c>
      <c r="W88" s="1800">
        <v>1</v>
      </c>
      <c r="X88" s="1804" t="s">
        <v>269</v>
      </c>
      <c r="Y88" s="1802">
        <v>700</v>
      </c>
      <c r="Z88" s="2977">
        <f t="shared" ref="Z88" si="15">+W88*Y88</f>
        <v>700</v>
      </c>
      <c r="AA88" s="2977">
        <f t="shared" ref="AA88" si="16">+Z88*1.12</f>
        <v>784.00000000000011</v>
      </c>
      <c r="AB88" s="1803"/>
      <c r="AC88" s="1804"/>
      <c r="AD88" s="1809"/>
      <c r="AE88" s="1809" t="s">
        <v>251</v>
      </c>
      <c r="AF88" s="4521"/>
    </row>
    <row r="89" spans="1:32" ht="18" customHeight="1">
      <c r="A89" s="4564"/>
      <c r="B89" s="4623"/>
      <c r="C89" s="4331"/>
      <c r="D89" s="4215"/>
      <c r="E89" s="4676"/>
      <c r="F89" s="4676"/>
      <c r="G89" s="4215"/>
      <c r="H89" s="4215"/>
      <c r="I89" s="4215"/>
      <c r="J89" s="4449"/>
      <c r="K89" s="4215"/>
      <c r="L89" s="4215"/>
      <c r="M89" s="4226"/>
      <c r="N89" s="4226"/>
      <c r="O89" s="4226"/>
      <c r="P89" s="4215"/>
      <c r="Q89" s="4449"/>
      <c r="R89" s="4693"/>
      <c r="S89" s="2910"/>
      <c r="T89" s="1797"/>
      <c r="U89" s="1806"/>
      <c r="V89" s="2911"/>
      <c r="W89" s="1800"/>
      <c r="X89" s="1804"/>
      <c r="Y89" s="1802"/>
      <c r="Z89" s="2977"/>
      <c r="AA89" s="2977"/>
      <c r="AB89" s="1803"/>
      <c r="AC89" s="1804"/>
      <c r="AD89" s="1809"/>
      <c r="AE89" s="1809"/>
      <c r="AF89" s="4521"/>
    </row>
    <row r="90" spans="1:32" s="2294" customFormat="1" ht="18" customHeight="1">
      <c r="A90" s="4564"/>
      <c r="B90" s="4623"/>
      <c r="C90" s="4331"/>
      <c r="D90" s="4215"/>
      <c r="E90" s="4676"/>
      <c r="F90" s="4676"/>
      <c r="G90" s="4215"/>
      <c r="H90" s="4215"/>
      <c r="I90" s="4215"/>
      <c r="J90" s="4449"/>
      <c r="K90" s="4215"/>
      <c r="L90" s="4215"/>
      <c r="M90" s="4226"/>
      <c r="N90" s="4226"/>
      <c r="O90" s="4226"/>
      <c r="P90" s="4215"/>
      <c r="Q90" s="4449"/>
      <c r="R90" s="4693"/>
      <c r="S90" s="2910"/>
      <c r="T90" s="1797"/>
      <c r="U90" s="1806"/>
      <c r="V90" s="2911"/>
      <c r="W90" s="1800"/>
      <c r="X90" s="1804"/>
      <c r="Y90" s="1802"/>
      <c r="Z90" s="2977"/>
      <c r="AA90" s="2977"/>
      <c r="AB90" s="1803"/>
      <c r="AC90" s="1804"/>
      <c r="AD90" s="1809"/>
      <c r="AE90" s="1809"/>
      <c r="AF90" s="4521"/>
    </row>
    <row r="91" spans="1:32" ht="18" customHeight="1">
      <c r="A91" s="4564"/>
      <c r="B91" s="4623"/>
      <c r="C91" s="4332"/>
      <c r="D91" s="4216"/>
      <c r="E91" s="4677"/>
      <c r="F91" s="4677"/>
      <c r="G91" s="4216"/>
      <c r="H91" s="4216"/>
      <c r="I91" s="4216"/>
      <c r="J91" s="4450"/>
      <c r="K91" s="4216"/>
      <c r="L91" s="4216"/>
      <c r="M91" s="4247"/>
      <c r="N91" s="4247"/>
      <c r="O91" s="4247"/>
      <c r="P91" s="4216"/>
      <c r="Q91" s="4450"/>
      <c r="R91" s="4694"/>
      <c r="S91" s="2919"/>
      <c r="T91" s="1811"/>
      <c r="U91" s="2920"/>
      <c r="V91" s="1813"/>
      <c r="W91" s="1814"/>
      <c r="X91" s="1815"/>
      <c r="Y91" s="1816"/>
      <c r="Z91" s="1816"/>
      <c r="AA91" s="1816"/>
      <c r="AB91" s="1817"/>
      <c r="AC91" s="1815"/>
      <c r="AD91" s="1812"/>
      <c r="AE91" s="1812"/>
      <c r="AF91" s="4720"/>
    </row>
    <row r="92" spans="1:32" ht="34.5" customHeight="1" thickBot="1">
      <c r="A92" s="4564"/>
      <c r="B92" s="4620"/>
      <c r="C92" s="2846"/>
      <c r="D92" s="1980"/>
      <c r="E92" s="1980"/>
      <c r="F92" s="1980"/>
      <c r="G92" s="1980"/>
      <c r="H92" s="1980"/>
      <c r="I92" s="1980"/>
      <c r="J92" s="1980"/>
      <c r="K92" s="1980"/>
      <c r="L92" s="1980"/>
      <c r="M92" s="1981"/>
      <c r="N92" s="1981"/>
      <c r="O92" s="1981"/>
      <c r="P92" s="1980"/>
      <c r="Q92" s="1980"/>
      <c r="R92" s="2846"/>
      <c r="S92" s="4721" t="s">
        <v>780</v>
      </c>
      <c r="T92" s="4722"/>
      <c r="U92" s="4722"/>
      <c r="V92" s="4722"/>
      <c r="W92" s="4722"/>
      <c r="X92" s="4722"/>
      <c r="Y92" s="4722"/>
      <c r="Z92" s="4722"/>
      <c r="AA92" s="2985" t="s">
        <v>340</v>
      </c>
      <c r="AB92" s="2986">
        <f>SUM(AB9:AB91)</f>
        <v>36064</v>
      </c>
      <c r="AC92" s="4641"/>
      <c r="AD92" s="4642"/>
      <c r="AE92" s="4642"/>
      <c r="AF92" s="4643"/>
    </row>
    <row r="93" spans="1:32" ht="28.5" customHeight="1">
      <c r="A93" s="4564"/>
      <c r="B93" s="4571" t="s">
        <v>781</v>
      </c>
      <c r="C93" s="4674" t="s">
        <v>272</v>
      </c>
      <c r="D93" s="4670" t="s">
        <v>679</v>
      </c>
      <c r="E93" s="4328" t="s">
        <v>680</v>
      </c>
      <c r="F93" s="4670" t="s">
        <v>681</v>
      </c>
      <c r="G93" s="4329" t="s">
        <v>682</v>
      </c>
      <c r="H93" s="4328" t="s">
        <v>686</v>
      </c>
      <c r="I93" s="4670" t="s">
        <v>257</v>
      </c>
      <c r="J93" s="4458" t="s">
        <v>4457</v>
      </c>
      <c r="K93" s="4273" t="s">
        <v>782</v>
      </c>
      <c r="L93" s="4328" t="s">
        <v>783</v>
      </c>
      <c r="M93" s="4344">
        <v>0</v>
      </c>
      <c r="N93" s="4714">
        <v>1</v>
      </c>
      <c r="O93" s="4344">
        <v>1</v>
      </c>
      <c r="P93" s="4228" t="s">
        <v>4412</v>
      </c>
      <c r="Q93" s="4458" t="s">
        <v>4380</v>
      </c>
      <c r="R93" s="4711" t="s">
        <v>4358</v>
      </c>
      <c r="S93" s="2850"/>
      <c r="T93" s="2864"/>
      <c r="U93" s="2864"/>
      <c r="V93" s="2874"/>
      <c r="W93" s="2815"/>
      <c r="X93" s="381"/>
      <c r="Y93" s="2816"/>
      <c r="Z93" s="2816"/>
      <c r="AA93" s="2816"/>
      <c r="AB93" s="2818"/>
      <c r="AC93" s="381"/>
      <c r="AD93" s="382"/>
      <c r="AE93" s="382"/>
      <c r="AF93" s="4715"/>
    </row>
    <row r="94" spans="1:32" ht="28.5" customHeight="1">
      <c r="A94" s="4564"/>
      <c r="B94" s="4570"/>
      <c r="C94" s="4331"/>
      <c r="D94" s="4215"/>
      <c r="E94" s="4215"/>
      <c r="F94" s="4215"/>
      <c r="G94" s="4215"/>
      <c r="H94" s="4215"/>
      <c r="I94" s="4215"/>
      <c r="J94" s="4449"/>
      <c r="K94" s="4215"/>
      <c r="L94" s="4215"/>
      <c r="M94" s="4226"/>
      <c r="N94" s="4226"/>
      <c r="O94" s="4226"/>
      <c r="P94" s="4215"/>
      <c r="Q94" s="4449"/>
      <c r="R94" s="4693"/>
      <c r="S94" s="2847"/>
      <c r="T94" s="2698"/>
      <c r="U94" s="2698"/>
      <c r="V94" s="2868"/>
      <c r="W94" s="2881"/>
      <c r="X94" s="390"/>
      <c r="Y94" s="2886"/>
      <c r="Z94" s="2886"/>
      <c r="AA94" s="2886"/>
      <c r="AB94" s="2883"/>
      <c r="AC94" s="390"/>
      <c r="AD94" s="390"/>
      <c r="AE94" s="390"/>
      <c r="AF94" s="4650"/>
    </row>
    <row r="95" spans="1:32" s="2294" customFormat="1" ht="28.5" customHeight="1">
      <c r="A95" s="4564"/>
      <c r="B95" s="4570"/>
      <c r="C95" s="4331"/>
      <c r="D95" s="4215"/>
      <c r="E95" s="4215"/>
      <c r="F95" s="4215"/>
      <c r="G95" s="4215"/>
      <c r="H95" s="4215"/>
      <c r="I95" s="4215"/>
      <c r="J95" s="4449"/>
      <c r="K95" s="4215"/>
      <c r="L95" s="4215"/>
      <c r="M95" s="4226"/>
      <c r="N95" s="4226"/>
      <c r="O95" s="4226"/>
      <c r="P95" s="4215"/>
      <c r="Q95" s="4449"/>
      <c r="R95" s="4693"/>
      <c r="S95" s="2847"/>
      <c r="T95" s="2698"/>
      <c r="U95" s="2698"/>
      <c r="V95" s="2868"/>
      <c r="W95" s="2881"/>
      <c r="X95" s="390"/>
      <c r="Y95" s="2886"/>
      <c r="Z95" s="2886"/>
      <c r="AA95" s="2886"/>
      <c r="AB95" s="2883"/>
      <c r="AC95" s="390"/>
      <c r="AD95" s="390"/>
      <c r="AE95" s="390"/>
      <c r="AF95" s="4650"/>
    </row>
    <row r="96" spans="1:32" ht="28.5" customHeight="1">
      <c r="A96" s="4564"/>
      <c r="B96" s="4570"/>
      <c r="C96" s="4331"/>
      <c r="D96" s="4215"/>
      <c r="E96" s="4215"/>
      <c r="F96" s="4215"/>
      <c r="G96" s="4215"/>
      <c r="H96" s="4215"/>
      <c r="I96" s="4215"/>
      <c r="J96" s="4449"/>
      <c r="K96" s="4215"/>
      <c r="L96" s="4215"/>
      <c r="M96" s="4226"/>
      <c r="N96" s="4226"/>
      <c r="O96" s="4226"/>
      <c r="P96" s="4215"/>
      <c r="Q96" s="4449"/>
      <c r="R96" s="4693"/>
      <c r="S96" s="2851"/>
      <c r="T96" s="2860"/>
      <c r="U96" s="2860"/>
      <c r="V96" s="2873"/>
      <c r="W96" s="2881"/>
      <c r="X96" s="390"/>
      <c r="Y96" s="2886"/>
      <c r="Z96" s="2886"/>
      <c r="AA96" s="2886"/>
      <c r="AB96" s="2883"/>
      <c r="AC96" s="390"/>
      <c r="AD96" s="389"/>
      <c r="AE96" s="389"/>
      <c r="AF96" s="4650"/>
    </row>
    <row r="97" spans="1:32" ht="28.5" customHeight="1">
      <c r="A97" s="4564"/>
      <c r="B97" s="4570"/>
      <c r="C97" s="4332"/>
      <c r="D97" s="4216"/>
      <c r="E97" s="4216"/>
      <c r="F97" s="4216"/>
      <c r="G97" s="4216"/>
      <c r="H97" s="4216"/>
      <c r="I97" s="4216"/>
      <c r="J97" s="4450"/>
      <c r="K97" s="4216"/>
      <c r="L97" s="4216"/>
      <c r="M97" s="4247"/>
      <c r="N97" s="4247"/>
      <c r="O97" s="4247"/>
      <c r="P97" s="4216"/>
      <c r="Q97" s="4450"/>
      <c r="R97" s="4694"/>
      <c r="S97" s="2849"/>
      <c r="T97" s="2858"/>
      <c r="U97" s="2858"/>
      <c r="V97" s="2869"/>
      <c r="W97" s="2880"/>
      <c r="X97" s="384"/>
      <c r="Y97" s="2884"/>
      <c r="Z97" s="2884"/>
      <c r="AA97" s="2884"/>
      <c r="AB97" s="2885"/>
      <c r="AC97" s="384"/>
      <c r="AD97" s="385"/>
      <c r="AE97" s="385"/>
      <c r="AF97" s="4651"/>
    </row>
    <row r="98" spans="1:32" ht="27" customHeight="1">
      <c r="A98" s="4564"/>
      <c r="B98" s="4570"/>
      <c r="C98" s="4626" t="s">
        <v>272</v>
      </c>
      <c r="D98" s="4273" t="s">
        <v>679</v>
      </c>
      <c r="E98" s="4328" t="s">
        <v>680</v>
      </c>
      <c r="F98" s="4273" t="s">
        <v>681</v>
      </c>
      <c r="G98" s="4329" t="s">
        <v>682</v>
      </c>
      <c r="H98" s="4328" t="s">
        <v>686</v>
      </c>
      <c r="I98" s="4273" t="s">
        <v>257</v>
      </c>
      <c r="J98" s="4458" t="s">
        <v>4456</v>
      </c>
      <c r="K98" s="4273" t="s">
        <v>784</v>
      </c>
      <c r="L98" s="4273" t="s">
        <v>785</v>
      </c>
      <c r="M98" s="4336">
        <v>0</v>
      </c>
      <c r="N98" s="4336">
        <v>1</v>
      </c>
      <c r="O98" s="4336">
        <v>0</v>
      </c>
      <c r="P98" s="4228" t="s">
        <v>4413</v>
      </c>
      <c r="Q98" s="4458" t="s">
        <v>4379</v>
      </c>
      <c r="R98" s="4713" t="s">
        <v>4358</v>
      </c>
      <c r="S98" s="2850"/>
      <c r="T98" s="2859"/>
      <c r="U98" s="2859"/>
      <c r="V98" s="2875"/>
      <c r="W98" s="2743"/>
      <c r="X98" s="254"/>
      <c r="Y98" s="2789"/>
      <c r="Z98" s="2789"/>
      <c r="AA98" s="2789"/>
      <c r="AB98" s="2790"/>
      <c r="AC98" s="254"/>
      <c r="AD98" s="372"/>
      <c r="AE98" s="372"/>
      <c r="AF98" s="4702"/>
    </row>
    <row r="99" spans="1:32" ht="34.5" customHeight="1">
      <c r="A99" s="4564"/>
      <c r="B99" s="4570"/>
      <c r="C99" s="4331"/>
      <c r="D99" s="4215"/>
      <c r="E99" s="4215"/>
      <c r="F99" s="4215"/>
      <c r="G99" s="4215"/>
      <c r="H99" s="4215"/>
      <c r="I99" s="4215"/>
      <c r="J99" s="4449"/>
      <c r="K99" s="4215"/>
      <c r="L99" s="4215"/>
      <c r="M99" s="4226"/>
      <c r="N99" s="4226"/>
      <c r="O99" s="4226"/>
      <c r="P99" s="4215"/>
      <c r="Q99" s="4449"/>
      <c r="R99" s="4693"/>
      <c r="S99" s="2847"/>
      <c r="T99" s="2698"/>
      <c r="U99" s="2860"/>
      <c r="V99" s="2868"/>
      <c r="W99" s="2881"/>
      <c r="X99" s="390"/>
      <c r="Y99" s="2886"/>
      <c r="Z99" s="2886"/>
      <c r="AA99" s="2886"/>
      <c r="AB99" s="2883"/>
      <c r="AC99" s="390"/>
      <c r="AD99" s="390"/>
      <c r="AE99" s="390"/>
      <c r="AF99" s="4650"/>
    </row>
    <row r="100" spans="1:32" s="2294" customFormat="1" ht="34.5" customHeight="1">
      <c r="A100" s="4564"/>
      <c r="B100" s="4570"/>
      <c r="C100" s="4331"/>
      <c r="D100" s="4215"/>
      <c r="E100" s="4215"/>
      <c r="F100" s="4215"/>
      <c r="G100" s="4215"/>
      <c r="H100" s="4215"/>
      <c r="I100" s="4215"/>
      <c r="J100" s="4449"/>
      <c r="K100" s="4215"/>
      <c r="L100" s="4215"/>
      <c r="M100" s="4226"/>
      <c r="N100" s="4226"/>
      <c r="O100" s="4226"/>
      <c r="P100" s="4215"/>
      <c r="Q100" s="4449"/>
      <c r="R100" s="4693"/>
      <c r="S100" s="2847"/>
      <c r="T100" s="2698"/>
      <c r="U100" s="2860"/>
      <c r="V100" s="2868"/>
      <c r="W100" s="2881"/>
      <c r="X100" s="390"/>
      <c r="Y100" s="2886"/>
      <c r="Z100" s="2886"/>
      <c r="AA100" s="2886"/>
      <c r="AB100" s="2883"/>
      <c r="AC100" s="390"/>
      <c r="AD100" s="390"/>
      <c r="AE100" s="390"/>
      <c r="AF100" s="4650"/>
    </row>
    <row r="101" spans="1:32" ht="20.25" customHeight="1">
      <c r="A101" s="4564"/>
      <c r="B101" s="4570"/>
      <c r="C101" s="4331"/>
      <c r="D101" s="4215"/>
      <c r="E101" s="4215"/>
      <c r="F101" s="4215"/>
      <c r="G101" s="4215"/>
      <c r="H101" s="4215"/>
      <c r="I101" s="4215"/>
      <c r="J101" s="4449"/>
      <c r="K101" s="4215"/>
      <c r="L101" s="4215"/>
      <c r="M101" s="4226"/>
      <c r="N101" s="4226"/>
      <c r="O101" s="4226"/>
      <c r="P101" s="4215"/>
      <c r="Q101" s="4449"/>
      <c r="R101" s="4693"/>
      <c r="S101" s="2851"/>
      <c r="T101" s="2860"/>
      <c r="U101" s="2860"/>
      <c r="V101" s="2873"/>
      <c r="W101" s="2881"/>
      <c r="X101" s="390"/>
      <c r="Y101" s="2886"/>
      <c r="Z101" s="2886"/>
      <c r="AA101" s="2886"/>
      <c r="AB101" s="2883"/>
      <c r="AC101" s="390"/>
      <c r="AD101" s="389"/>
      <c r="AE101" s="389"/>
      <c r="AF101" s="4650"/>
    </row>
    <row r="102" spans="1:32" ht="20.25" customHeight="1">
      <c r="A102" s="4564"/>
      <c r="B102" s="4570"/>
      <c r="C102" s="4332"/>
      <c r="D102" s="4216"/>
      <c r="E102" s="4216"/>
      <c r="F102" s="4216"/>
      <c r="G102" s="4216"/>
      <c r="H102" s="4216"/>
      <c r="I102" s="4216"/>
      <c r="J102" s="4450"/>
      <c r="K102" s="4216"/>
      <c r="L102" s="4216"/>
      <c r="M102" s="4247"/>
      <c r="N102" s="4247"/>
      <c r="O102" s="4247"/>
      <c r="P102" s="4216"/>
      <c r="Q102" s="4450"/>
      <c r="R102" s="4694"/>
      <c r="S102" s="2849"/>
      <c r="T102" s="2858"/>
      <c r="U102" s="2858"/>
      <c r="V102" s="2869"/>
      <c r="W102" s="2880"/>
      <c r="X102" s="384"/>
      <c r="Y102" s="2884"/>
      <c r="Z102" s="2884"/>
      <c r="AA102" s="2884"/>
      <c r="AB102" s="2885"/>
      <c r="AC102" s="384"/>
      <c r="AD102" s="385"/>
      <c r="AE102" s="385"/>
      <c r="AF102" s="4651"/>
    </row>
    <row r="103" spans="1:32" ht="30" customHeight="1">
      <c r="A103" s="4564"/>
      <c r="B103" s="4570"/>
      <c r="C103" s="4625" t="s">
        <v>272</v>
      </c>
      <c r="D103" s="4328" t="s">
        <v>679</v>
      </c>
      <c r="E103" s="4328" t="s">
        <v>680</v>
      </c>
      <c r="F103" s="4273" t="s">
        <v>681</v>
      </c>
      <c r="G103" s="4329" t="s">
        <v>682</v>
      </c>
      <c r="H103" s="4328" t="s">
        <v>686</v>
      </c>
      <c r="I103" s="4273" t="s">
        <v>278</v>
      </c>
      <c r="J103" s="4458" t="s">
        <v>4455</v>
      </c>
      <c r="K103" s="4345" t="s">
        <v>786</v>
      </c>
      <c r="L103" s="4273" t="s">
        <v>787</v>
      </c>
      <c r="M103" s="4336">
        <v>0</v>
      </c>
      <c r="N103" s="4336">
        <v>8</v>
      </c>
      <c r="O103" s="4336">
        <v>8</v>
      </c>
      <c r="P103" s="4228" t="s">
        <v>4414</v>
      </c>
      <c r="Q103" s="4458" t="s">
        <v>4245</v>
      </c>
      <c r="R103" s="4713" t="s">
        <v>4358</v>
      </c>
      <c r="S103" s="2850" t="s">
        <v>17</v>
      </c>
      <c r="T103" s="2859">
        <v>580208</v>
      </c>
      <c r="U103" s="2859"/>
      <c r="V103" s="2870" t="s">
        <v>49</v>
      </c>
      <c r="W103" s="2743"/>
      <c r="X103" s="254"/>
      <c r="Y103" s="2789"/>
      <c r="Z103" s="2789"/>
      <c r="AA103" s="2789"/>
      <c r="AB103" s="2790">
        <f>SUM($AA$104:$AA$105)</f>
        <v>88655.82</v>
      </c>
      <c r="AC103" s="254"/>
      <c r="AD103" s="372"/>
      <c r="AE103" s="372"/>
      <c r="AF103" s="4702"/>
    </row>
    <row r="104" spans="1:32" ht="30" customHeight="1">
      <c r="A104" s="4564"/>
      <c r="B104" s="4570"/>
      <c r="C104" s="4331"/>
      <c r="D104" s="4215"/>
      <c r="E104" s="4215"/>
      <c r="F104" s="4215"/>
      <c r="G104" s="4215"/>
      <c r="H104" s="4215"/>
      <c r="I104" s="4215"/>
      <c r="J104" s="4449"/>
      <c r="K104" s="4215"/>
      <c r="L104" s="4215"/>
      <c r="M104" s="4226"/>
      <c r="N104" s="4226"/>
      <c r="O104" s="4226"/>
      <c r="P104" s="4215"/>
      <c r="Q104" s="4449"/>
      <c r="R104" s="4693"/>
      <c r="S104" s="2847"/>
      <c r="T104" s="2698"/>
      <c r="U104" s="2860"/>
      <c r="V104" s="2868" t="s">
        <v>788</v>
      </c>
      <c r="W104" s="2881">
        <v>1</v>
      </c>
      <c r="X104" s="390" t="s">
        <v>269</v>
      </c>
      <c r="Y104" s="2746">
        <f>88655.82/1.12</f>
        <v>79156.982142857145</v>
      </c>
      <c r="Z104" s="2746">
        <f t="shared" ref="Z104:Z105" si="17">W104*Y104</f>
        <v>79156.982142857145</v>
      </c>
      <c r="AA104" s="2758">
        <f>Z104*12%+Z104-AA105</f>
        <v>86655.820320000013</v>
      </c>
      <c r="AB104" s="2883"/>
      <c r="AC104" s="390" t="s">
        <v>251</v>
      </c>
      <c r="AD104" s="389" t="s">
        <v>251</v>
      </c>
      <c r="AE104" s="389" t="s">
        <v>251</v>
      </c>
      <c r="AF104" s="4650"/>
    </row>
    <row r="105" spans="1:32" ht="30" customHeight="1">
      <c r="A105" s="4564"/>
      <c r="B105" s="4570"/>
      <c r="C105" s="4331"/>
      <c r="D105" s="4215"/>
      <c r="E105" s="4215"/>
      <c r="F105" s="4215"/>
      <c r="G105" s="4215"/>
      <c r="H105" s="4215"/>
      <c r="I105" s="4215"/>
      <c r="J105" s="4449"/>
      <c r="K105" s="4215"/>
      <c r="L105" s="4215"/>
      <c r="M105" s="4226"/>
      <c r="N105" s="4226"/>
      <c r="O105" s="4226"/>
      <c r="P105" s="4215"/>
      <c r="Q105" s="4449"/>
      <c r="R105" s="4693"/>
      <c r="S105" s="2851"/>
      <c r="T105" s="2860"/>
      <c r="U105" s="2860"/>
      <c r="V105" s="2710" t="s">
        <v>789</v>
      </c>
      <c r="W105" s="2728">
        <v>1</v>
      </c>
      <c r="X105" s="395" t="s">
        <v>269</v>
      </c>
      <c r="Y105" s="2746">
        <v>1785.7139999999999</v>
      </c>
      <c r="Z105" s="2746">
        <f t="shared" si="17"/>
        <v>1785.7139999999999</v>
      </c>
      <c r="AA105" s="2758">
        <f>Z105*12%+Z105</f>
        <v>1999.9996799999999</v>
      </c>
      <c r="AB105" s="2887"/>
      <c r="AC105" s="395"/>
      <c r="AD105" s="336" t="s">
        <v>251</v>
      </c>
      <c r="AE105" s="389" t="s">
        <v>251</v>
      </c>
      <c r="AF105" s="4650"/>
    </row>
    <row r="106" spans="1:32" s="2294" customFormat="1" ht="30" customHeight="1">
      <c r="A106" s="4564"/>
      <c r="B106" s="4570"/>
      <c r="C106" s="4331"/>
      <c r="D106" s="4215"/>
      <c r="E106" s="4215"/>
      <c r="F106" s="4215"/>
      <c r="G106" s="4215"/>
      <c r="H106" s="4215"/>
      <c r="I106" s="4215"/>
      <c r="J106" s="4449"/>
      <c r="K106" s="4215"/>
      <c r="L106" s="4215"/>
      <c r="M106" s="4226"/>
      <c r="N106" s="4226"/>
      <c r="O106" s="4226"/>
      <c r="P106" s="4215"/>
      <c r="Q106" s="4449"/>
      <c r="R106" s="4693"/>
      <c r="S106" s="2853"/>
      <c r="T106" s="2862"/>
      <c r="U106" s="2862"/>
      <c r="V106" s="2725"/>
      <c r="W106" s="2890"/>
      <c r="X106" s="1905"/>
      <c r="Y106" s="2891"/>
      <c r="Z106" s="2891"/>
      <c r="AA106" s="2892"/>
      <c r="AB106" s="2893"/>
      <c r="AC106" s="1905"/>
      <c r="AD106" s="1906"/>
      <c r="AE106" s="388"/>
      <c r="AF106" s="4650"/>
    </row>
    <row r="107" spans="1:32" ht="30" customHeight="1">
      <c r="A107" s="4564"/>
      <c r="B107" s="4570"/>
      <c r="C107" s="4332"/>
      <c r="D107" s="4216"/>
      <c r="E107" s="4216"/>
      <c r="F107" s="4216"/>
      <c r="G107" s="4216"/>
      <c r="H107" s="4216"/>
      <c r="I107" s="4216"/>
      <c r="J107" s="4450"/>
      <c r="K107" s="4216"/>
      <c r="L107" s="4216"/>
      <c r="M107" s="4247"/>
      <c r="N107" s="4247"/>
      <c r="O107" s="4247"/>
      <c r="P107" s="4216"/>
      <c r="Q107" s="4450"/>
      <c r="R107" s="4694"/>
      <c r="S107" s="2849"/>
      <c r="T107" s="2858"/>
      <c r="U107" s="2858"/>
      <c r="V107" s="2869"/>
      <c r="W107" s="2880"/>
      <c r="X107" s="384"/>
      <c r="Y107" s="2884"/>
      <c r="Z107" s="2884"/>
      <c r="AA107" s="2884"/>
      <c r="AB107" s="2885"/>
      <c r="AC107" s="384"/>
      <c r="AD107" s="385"/>
      <c r="AE107" s="385"/>
      <c r="AF107" s="4651"/>
    </row>
    <row r="108" spans="1:32" ht="33.950000000000003" customHeight="1">
      <c r="A108" s="4564"/>
      <c r="B108" s="4570"/>
      <c r="C108" s="4625" t="s">
        <v>272</v>
      </c>
      <c r="D108" s="4328" t="s">
        <v>679</v>
      </c>
      <c r="E108" s="4328" t="s">
        <v>680</v>
      </c>
      <c r="F108" s="4273" t="s">
        <v>681</v>
      </c>
      <c r="G108" s="4329" t="s">
        <v>682</v>
      </c>
      <c r="H108" s="4328" t="s">
        <v>686</v>
      </c>
      <c r="I108" s="4273" t="s">
        <v>278</v>
      </c>
      <c r="J108" s="4458" t="s">
        <v>4454</v>
      </c>
      <c r="K108" s="4273" t="s">
        <v>790</v>
      </c>
      <c r="L108" s="4482" t="s">
        <v>791</v>
      </c>
      <c r="M108" s="4336">
        <v>0</v>
      </c>
      <c r="N108" s="4344">
        <v>15</v>
      </c>
      <c r="O108" s="4336">
        <v>4</v>
      </c>
      <c r="P108" s="4228" t="s">
        <v>4415</v>
      </c>
      <c r="Q108" s="4458" t="s">
        <v>4243</v>
      </c>
      <c r="R108" s="4706" t="s">
        <v>4358</v>
      </c>
      <c r="S108" s="2850" t="s">
        <v>17</v>
      </c>
      <c r="T108" s="2859">
        <v>840104</v>
      </c>
      <c r="U108" s="2859"/>
      <c r="V108" s="2875" t="s">
        <v>24</v>
      </c>
      <c r="W108" s="2743"/>
      <c r="X108" s="254"/>
      <c r="Y108" s="2789"/>
      <c r="Z108" s="2789"/>
      <c r="AA108" s="2789"/>
      <c r="AB108" s="2790">
        <f>SUM($AA$109:$AA$110)</f>
        <v>1680.0000000000002</v>
      </c>
      <c r="AC108" s="254"/>
      <c r="AD108" s="372"/>
      <c r="AE108" s="372"/>
      <c r="AF108" s="4702"/>
    </row>
    <row r="109" spans="1:32" ht="74.25" customHeight="1">
      <c r="A109" s="4564"/>
      <c r="B109" s="4570"/>
      <c r="C109" s="4331"/>
      <c r="D109" s="4215"/>
      <c r="E109" s="4215"/>
      <c r="F109" s="4215"/>
      <c r="G109" s="4215"/>
      <c r="H109" s="4215"/>
      <c r="I109" s="4215"/>
      <c r="J109" s="4449"/>
      <c r="K109" s="4215"/>
      <c r="L109" s="4215"/>
      <c r="M109" s="4226"/>
      <c r="N109" s="4226"/>
      <c r="O109" s="4226"/>
      <c r="P109" s="4215"/>
      <c r="Q109" s="4449"/>
      <c r="R109" s="4693"/>
      <c r="S109" s="2847"/>
      <c r="T109" s="2698"/>
      <c r="U109" s="2860"/>
      <c r="V109" s="2969" t="s">
        <v>4352</v>
      </c>
      <c r="W109" s="2881">
        <v>1</v>
      </c>
      <c r="X109" s="390" t="s">
        <v>269</v>
      </c>
      <c r="Y109" s="2886">
        <v>1500</v>
      </c>
      <c r="Z109" s="2982">
        <f t="shared" ref="Z109" si="18">+W109*Y109</f>
        <v>1500</v>
      </c>
      <c r="AA109" s="2982">
        <f t="shared" ref="AA109" si="19">+Z109*1.12</f>
        <v>1680.0000000000002</v>
      </c>
      <c r="AB109" s="2883"/>
      <c r="AC109" s="390" t="s">
        <v>251</v>
      </c>
      <c r="AD109" s="389" t="s">
        <v>251</v>
      </c>
      <c r="AE109" s="389"/>
      <c r="AF109" s="4650"/>
    </row>
    <row r="110" spans="1:32" ht="17.25" customHeight="1">
      <c r="A110" s="4564"/>
      <c r="B110" s="4570"/>
      <c r="C110" s="4331"/>
      <c r="D110" s="4215"/>
      <c r="E110" s="4215"/>
      <c r="F110" s="4215"/>
      <c r="G110" s="4215"/>
      <c r="H110" s="4215"/>
      <c r="I110" s="4215"/>
      <c r="J110" s="4449"/>
      <c r="K110" s="4215"/>
      <c r="L110" s="4215"/>
      <c r="M110" s="4226"/>
      <c r="N110" s="4226"/>
      <c r="O110" s="4226"/>
      <c r="P110" s="4215"/>
      <c r="Q110" s="4449"/>
      <c r="R110" s="4693"/>
      <c r="S110" s="2847"/>
      <c r="T110" s="2698"/>
      <c r="U110" s="2698"/>
      <c r="V110" s="2868"/>
      <c r="W110" s="2881"/>
      <c r="X110" s="390"/>
      <c r="Y110" s="2886"/>
      <c r="Z110" s="2982"/>
      <c r="AA110" s="2982"/>
      <c r="AB110" s="2883"/>
      <c r="AC110" s="390"/>
      <c r="AD110" s="389"/>
      <c r="AE110" s="389"/>
      <c r="AF110" s="4650"/>
    </row>
    <row r="111" spans="1:32" s="2294" customFormat="1" ht="17.25" customHeight="1">
      <c r="A111" s="4564"/>
      <c r="B111" s="4570"/>
      <c r="C111" s="4331"/>
      <c r="D111" s="4215"/>
      <c r="E111" s="4215"/>
      <c r="F111" s="4215"/>
      <c r="G111" s="4215"/>
      <c r="H111" s="4215"/>
      <c r="I111" s="4215"/>
      <c r="J111" s="4449"/>
      <c r="K111" s="4215"/>
      <c r="L111" s="4215"/>
      <c r="M111" s="4226"/>
      <c r="N111" s="4226"/>
      <c r="O111" s="4226"/>
      <c r="P111" s="4215"/>
      <c r="Q111" s="4449"/>
      <c r="R111" s="4693"/>
      <c r="S111" s="2855"/>
      <c r="T111" s="2866"/>
      <c r="U111" s="2866"/>
      <c r="V111" s="2872"/>
      <c r="W111" s="2882"/>
      <c r="X111" s="387"/>
      <c r="Y111" s="2888"/>
      <c r="Z111" s="2983"/>
      <c r="AA111" s="2983"/>
      <c r="AB111" s="2889"/>
      <c r="AC111" s="387"/>
      <c r="AD111" s="388"/>
      <c r="AE111" s="388"/>
      <c r="AF111" s="4650"/>
    </row>
    <row r="112" spans="1:32" ht="18" customHeight="1">
      <c r="A112" s="4564"/>
      <c r="B112" s="4570"/>
      <c r="C112" s="4332"/>
      <c r="D112" s="4216"/>
      <c r="E112" s="4216"/>
      <c r="F112" s="4216"/>
      <c r="G112" s="4216"/>
      <c r="H112" s="4216"/>
      <c r="I112" s="4216"/>
      <c r="J112" s="4450"/>
      <c r="K112" s="4216"/>
      <c r="L112" s="4216"/>
      <c r="M112" s="4247"/>
      <c r="N112" s="4247"/>
      <c r="O112" s="4247"/>
      <c r="P112" s="4216"/>
      <c r="Q112" s="4450"/>
      <c r="R112" s="4694"/>
      <c r="S112" s="2849"/>
      <c r="T112" s="2858"/>
      <c r="U112" s="2858"/>
      <c r="V112" s="2871"/>
      <c r="W112" s="2880"/>
      <c r="X112" s="384"/>
      <c r="Y112" s="2884"/>
      <c r="Z112" s="2884"/>
      <c r="AA112" s="2884"/>
      <c r="AB112" s="2885"/>
      <c r="AC112" s="384"/>
      <c r="AD112" s="385"/>
      <c r="AE112" s="385"/>
      <c r="AF112" s="4651"/>
    </row>
    <row r="113" spans="1:32" ht="30" customHeight="1">
      <c r="A113" s="4564"/>
      <c r="B113" s="4570"/>
      <c r="C113" s="4625" t="s">
        <v>272</v>
      </c>
      <c r="D113" s="4328" t="s">
        <v>679</v>
      </c>
      <c r="E113" s="4328" t="s">
        <v>680</v>
      </c>
      <c r="F113" s="4273" t="s">
        <v>763</v>
      </c>
      <c r="G113" s="4329" t="s">
        <v>682</v>
      </c>
      <c r="H113" s="4328" t="s">
        <v>686</v>
      </c>
      <c r="I113" s="4273" t="s">
        <v>257</v>
      </c>
      <c r="J113" s="4369" t="s">
        <v>4453</v>
      </c>
      <c r="K113" s="4368" t="s">
        <v>4477</v>
      </c>
      <c r="L113" s="4482" t="s">
        <v>792</v>
      </c>
      <c r="M113" s="4336">
        <v>3</v>
      </c>
      <c r="N113" s="4344">
        <v>5</v>
      </c>
      <c r="O113" s="4336">
        <v>5</v>
      </c>
      <c r="P113" s="4228" t="s">
        <v>4404</v>
      </c>
      <c r="Q113" s="4458" t="s">
        <v>4378</v>
      </c>
      <c r="R113" s="4713" t="s">
        <v>4358</v>
      </c>
      <c r="S113" s="2850"/>
      <c r="T113" s="2859"/>
      <c r="U113" s="2859"/>
      <c r="V113" s="2875"/>
      <c r="W113" s="2743"/>
      <c r="X113" s="254"/>
      <c r="Y113" s="2789"/>
      <c r="Z113" s="2789"/>
      <c r="AA113" s="2789"/>
      <c r="AB113" s="2790"/>
      <c r="AC113" s="254"/>
      <c r="AD113" s="372"/>
      <c r="AE113" s="372"/>
      <c r="AF113" s="4716"/>
    </row>
    <row r="114" spans="1:32" ht="30" customHeight="1">
      <c r="A114" s="4564"/>
      <c r="B114" s="4570"/>
      <c r="C114" s="4331"/>
      <c r="D114" s="4215"/>
      <c r="E114" s="4215"/>
      <c r="F114" s="4215"/>
      <c r="G114" s="4215"/>
      <c r="H114" s="4215"/>
      <c r="I114" s="4215"/>
      <c r="J114" s="4340"/>
      <c r="K114" s="4215"/>
      <c r="L114" s="4215"/>
      <c r="M114" s="4226"/>
      <c r="N114" s="4226"/>
      <c r="O114" s="4226"/>
      <c r="P114" s="4215"/>
      <c r="Q114" s="4449"/>
      <c r="R114" s="4693"/>
      <c r="S114" s="2848"/>
      <c r="T114" s="2698"/>
      <c r="U114" s="2860"/>
      <c r="V114" s="2873"/>
      <c r="W114" s="2881"/>
      <c r="X114" s="390"/>
      <c r="Y114" s="2886"/>
      <c r="Z114" s="2886"/>
      <c r="AA114" s="2886"/>
      <c r="AB114" s="2818"/>
      <c r="AC114" s="390"/>
      <c r="AD114" s="389"/>
      <c r="AE114" s="382"/>
      <c r="AF114" s="4717"/>
    </row>
    <row r="115" spans="1:32" s="2294" customFormat="1" ht="30" customHeight="1">
      <c r="A115" s="4564"/>
      <c r="B115" s="4570"/>
      <c r="C115" s="4331"/>
      <c r="D115" s="4215"/>
      <c r="E115" s="4215"/>
      <c r="F115" s="4215"/>
      <c r="G115" s="4215"/>
      <c r="H115" s="4215"/>
      <c r="I115" s="4215"/>
      <c r="J115" s="4340"/>
      <c r="K115" s="4215"/>
      <c r="L115" s="4215"/>
      <c r="M115" s="4226"/>
      <c r="N115" s="4226"/>
      <c r="O115" s="4226"/>
      <c r="P115" s="4215"/>
      <c r="Q115" s="4449"/>
      <c r="R115" s="4693"/>
      <c r="S115" s="2848"/>
      <c r="T115" s="2698"/>
      <c r="U115" s="2860"/>
      <c r="V115" s="2873"/>
      <c r="W115" s="2881"/>
      <c r="X115" s="390"/>
      <c r="Y115" s="2886"/>
      <c r="Z115" s="2886"/>
      <c r="AA115" s="2886"/>
      <c r="AB115" s="2818"/>
      <c r="AC115" s="390"/>
      <c r="AD115" s="389"/>
      <c r="AE115" s="382"/>
      <c r="AF115" s="4717"/>
    </row>
    <row r="116" spans="1:32" ht="30" customHeight="1">
      <c r="A116" s="4564"/>
      <c r="B116" s="4570"/>
      <c r="C116" s="4331"/>
      <c r="D116" s="4215"/>
      <c r="E116" s="4215"/>
      <c r="F116" s="4215"/>
      <c r="G116" s="4215"/>
      <c r="H116" s="4215"/>
      <c r="I116" s="4215"/>
      <c r="J116" s="4340"/>
      <c r="K116" s="4215"/>
      <c r="L116" s="4215"/>
      <c r="M116" s="4226"/>
      <c r="N116" s="4226"/>
      <c r="O116" s="4226"/>
      <c r="P116" s="4215"/>
      <c r="Q116" s="4449"/>
      <c r="R116" s="4693"/>
      <c r="S116" s="2847"/>
      <c r="T116" s="2698"/>
      <c r="U116" s="2698"/>
      <c r="V116" s="2868"/>
      <c r="W116" s="2881"/>
      <c r="X116" s="390"/>
      <c r="Y116" s="2886"/>
      <c r="Z116" s="2886"/>
      <c r="AA116" s="2886"/>
      <c r="AB116" s="2883"/>
      <c r="AC116" s="390"/>
      <c r="AD116" s="389"/>
      <c r="AE116" s="389"/>
      <c r="AF116" s="4717"/>
    </row>
    <row r="117" spans="1:32" ht="30" customHeight="1">
      <c r="A117" s="4564"/>
      <c r="B117" s="4570"/>
      <c r="C117" s="4332"/>
      <c r="D117" s="4216"/>
      <c r="E117" s="4216"/>
      <c r="F117" s="4216"/>
      <c r="G117" s="4216"/>
      <c r="H117" s="4216"/>
      <c r="I117" s="4216"/>
      <c r="J117" s="4341"/>
      <c r="K117" s="4216"/>
      <c r="L117" s="4216"/>
      <c r="M117" s="4247"/>
      <c r="N117" s="4247"/>
      <c r="O117" s="4247"/>
      <c r="P117" s="4216"/>
      <c r="Q117" s="4450"/>
      <c r="R117" s="4694"/>
      <c r="S117" s="2852"/>
      <c r="T117" s="2861"/>
      <c r="U117" s="2861"/>
      <c r="V117" s="2871"/>
      <c r="W117" s="2880"/>
      <c r="X117" s="384"/>
      <c r="Y117" s="2884"/>
      <c r="Z117" s="2884"/>
      <c r="AA117" s="2884"/>
      <c r="AB117" s="2885"/>
      <c r="AC117" s="384"/>
      <c r="AD117" s="385"/>
      <c r="AE117" s="385"/>
      <c r="AF117" s="4718"/>
    </row>
    <row r="118" spans="1:32" ht="28.5" customHeight="1">
      <c r="A118" s="4564"/>
      <c r="B118" s="4570"/>
      <c r="C118" s="4625" t="s">
        <v>272</v>
      </c>
      <c r="D118" s="4328" t="s">
        <v>679</v>
      </c>
      <c r="E118" s="4328" t="s">
        <v>680</v>
      </c>
      <c r="F118" s="4273" t="s">
        <v>688</v>
      </c>
      <c r="G118" s="4329" t="s">
        <v>682</v>
      </c>
      <c r="H118" s="4328" t="s">
        <v>686</v>
      </c>
      <c r="I118" s="4328" t="s">
        <v>241</v>
      </c>
      <c r="J118" s="4458" t="s">
        <v>4452</v>
      </c>
      <c r="K118" s="4482" t="s">
        <v>793</v>
      </c>
      <c r="L118" s="4482" t="s">
        <v>794</v>
      </c>
      <c r="M118" s="4336">
        <v>0</v>
      </c>
      <c r="N118" s="4336">
        <v>3</v>
      </c>
      <c r="O118" s="4336">
        <v>3</v>
      </c>
      <c r="P118" s="4228" t="s">
        <v>4416</v>
      </c>
      <c r="Q118" s="4458" t="s">
        <v>4377</v>
      </c>
      <c r="R118" s="4713" t="s">
        <v>4358</v>
      </c>
      <c r="S118" s="2850"/>
      <c r="T118" s="2859"/>
      <c r="U118" s="2859"/>
      <c r="V118" s="2875"/>
      <c r="W118" s="2743"/>
      <c r="X118" s="254"/>
      <c r="Y118" s="2789"/>
      <c r="Z118" s="2789"/>
      <c r="AA118" s="2789"/>
      <c r="AB118" s="2790"/>
      <c r="AC118" s="254"/>
      <c r="AD118" s="372"/>
      <c r="AE118" s="372"/>
      <c r="AF118" s="4702"/>
    </row>
    <row r="119" spans="1:32" ht="28.5" customHeight="1">
      <c r="A119" s="4564"/>
      <c r="B119" s="4570"/>
      <c r="C119" s="4331"/>
      <c r="D119" s="4215"/>
      <c r="E119" s="4215"/>
      <c r="F119" s="4215"/>
      <c r="G119" s="4215"/>
      <c r="H119" s="4215"/>
      <c r="I119" s="4215"/>
      <c r="J119" s="4449"/>
      <c r="K119" s="4215"/>
      <c r="L119" s="4215"/>
      <c r="M119" s="4226"/>
      <c r="N119" s="4226"/>
      <c r="O119" s="4226"/>
      <c r="P119" s="4215"/>
      <c r="Q119" s="4449"/>
      <c r="R119" s="4693"/>
      <c r="S119" s="2847"/>
      <c r="T119" s="2698"/>
      <c r="U119" s="2860"/>
      <c r="V119" s="2873"/>
      <c r="W119" s="2881"/>
      <c r="X119" s="390"/>
      <c r="Y119" s="2886"/>
      <c r="Z119" s="2886"/>
      <c r="AA119" s="2886"/>
      <c r="AB119" s="2883"/>
      <c r="AC119" s="390"/>
      <c r="AD119" s="389"/>
      <c r="AE119" s="389"/>
      <c r="AF119" s="4650"/>
    </row>
    <row r="120" spans="1:32" ht="28.5" customHeight="1">
      <c r="A120" s="4564"/>
      <c r="B120" s="4570"/>
      <c r="C120" s="4331"/>
      <c r="D120" s="4215"/>
      <c r="E120" s="4215"/>
      <c r="F120" s="4215"/>
      <c r="G120" s="4215"/>
      <c r="H120" s="4215"/>
      <c r="I120" s="4215"/>
      <c r="J120" s="4449"/>
      <c r="K120" s="4215"/>
      <c r="L120" s="4215"/>
      <c r="M120" s="4226"/>
      <c r="N120" s="4226"/>
      <c r="O120" s="4226"/>
      <c r="P120" s="4215"/>
      <c r="Q120" s="4449"/>
      <c r="R120" s="4693"/>
      <c r="S120" s="2851"/>
      <c r="T120" s="2860"/>
      <c r="U120" s="2860"/>
      <c r="V120" s="2868"/>
      <c r="W120" s="2881"/>
      <c r="X120" s="390"/>
      <c r="Y120" s="2886"/>
      <c r="Z120" s="2886"/>
      <c r="AA120" s="2886"/>
      <c r="AB120" s="2883"/>
      <c r="AC120" s="390"/>
      <c r="AD120" s="389"/>
      <c r="AE120" s="389"/>
      <c r="AF120" s="4650"/>
    </row>
    <row r="121" spans="1:32" s="2294" customFormat="1" ht="28.5" customHeight="1">
      <c r="A121" s="4564"/>
      <c r="B121" s="4570"/>
      <c r="C121" s="4331"/>
      <c r="D121" s="4215"/>
      <c r="E121" s="4215"/>
      <c r="F121" s="4215"/>
      <c r="G121" s="4215"/>
      <c r="H121" s="4215"/>
      <c r="I121" s="4215"/>
      <c r="J121" s="4449"/>
      <c r="K121" s="4215"/>
      <c r="L121" s="4215"/>
      <c r="M121" s="4226"/>
      <c r="N121" s="4226"/>
      <c r="O121" s="4226"/>
      <c r="P121" s="4215"/>
      <c r="Q121" s="4449"/>
      <c r="R121" s="4693"/>
      <c r="S121" s="2853"/>
      <c r="T121" s="2862"/>
      <c r="U121" s="2862"/>
      <c r="V121" s="2872"/>
      <c r="W121" s="2882"/>
      <c r="X121" s="387"/>
      <c r="Y121" s="2888"/>
      <c r="Z121" s="2888"/>
      <c r="AA121" s="2888"/>
      <c r="AB121" s="2889"/>
      <c r="AC121" s="387"/>
      <c r="AD121" s="388"/>
      <c r="AE121" s="388"/>
      <c r="AF121" s="4650"/>
    </row>
    <row r="122" spans="1:32" ht="28.5" customHeight="1">
      <c r="A122" s="4564"/>
      <c r="B122" s="4570"/>
      <c r="C122" s="4331"/>
      <c r="D122" s="4215"/>
      <c r="E122" s="4215"/>
      <c r="F122" s="4215"/>
      <c r="G122" s="4215"/>
      <c r="H122" s="4215"/>
      <c r="I122" s="4215"/>
      <c r="J122" s="4449"/>
      <c r="K122" s="4215"/>
      <c r="L122" s="4215"/>
      <c r="M122" s="4226"/>
      <c r="N122" s="4226"/>
      <c r="O122" s="4226"/>
      <c r="P122" s="4215"/>
      <c r="Q122" s="4449"/>
      <c r="R122" s="4693"/>
      <c r="S122" s="2849"/>
      <c r="T122" s="2858"/>
      <c r="U122" s="2858"/>
      <c r="V122" s="2871"/>
      <c r="W122" s="2880"/>
      <c r="X122" s="384"/>
      <c r="Y122" s="2884"/>
      <c r="Z122" s="2884"/>
      <c r="AA122" s="2884"/>
      <c r="AB122" s="2885"/>
      <c r="AC122" s="384"/>
      <c r="AD122" s="385"/>
      <c r="AE122" s="385"/>
      <c r="AF122" s="4651"/>
    </row>
    <row r="123" spans="1:32" ht="28.5" customHeight="1">
      <c r="A123" s="4564"/>
      <c r="B123" s="4570"/>
      <c r="C123" s="4626" t="s">
        <v>272</v>
      </c>
      <c r="D123" s="4273" t="s">
        <v>795</v>
      </c>
      <c r="E123" s="4273" t="s">
        <v>680</v>
      </c>
      <c r="F123" s="4273" t="s">
        <v>688</v>
      </c>
      <c r="G123" s="4338" t="s">
        <v>682</v>
      </c>
      <c r="H123" s="4710" t="s">
        <v>686</v>
      </c>
      <c r="I123" s="4273" t="s">
        <v>241</v>
      </c>
      <c r="J123" s="4228" t="s">
        <v>4451</v>
      </c>
      <c r="K123" s="4228" t="s">
        <v>4478</v>
      </c>
      <c r="L123" s="4273" t="s">
        <v>796</v>
      </c>
      <c r="M123" s="4336">
        <v>0</v>
      </c>
      <c r="N123" s="4336">
        <v>0</v>
      </c>
      <c r="O123" s="4336">
        <v>1</v>
      </c>
      <c r="P123" s="4228" t="s">
        <v>4417</v>
      </c>
      <c r="Q123" s="4458" t="s">
        <v>4375</v>
      </c>
      <c r="R123" s="4707" t="s">
        <v>4358</v>
      </c>
      <c r="S123" s="2847"/>
      <c r="T123" s="2698"/>
      <c r="U123" s="2860"/>
      <c r="V123" s="2873"/>
      <c r="W123" s="2881"/>
      <c r="X123" s="390"/>
      <c r="Y123" s="2886"/>
      <c r="Z123" s="2886"/>
      <c r="AA123" s="2886"/>
      <c r="AB123" s="2883"/>
      <c r="AC123" s="390"/>
      <c r="AD123" s="389"/>
      <c r="AE123" s="389"/>
      <c r="AF123" s="1962"/>
    </row>
    <row r="124" spans="1:32" ht="28.5" customHeight="1">
      <c r="A124" s="4564"/>
      <c r="B124" s="4570"/>
      <c r="C124" s="4331"/>
      <c r="D124" s="4215"/>
      <c r="E124" s="4215"/>
      <c r="F124" s="4215"/>
      <c r="G124" s="4215"/>
      <c r="H124" s="4215"/>
      <c r="I124" s="4215"/>
      <c r="J124" s="4215"/>
      <c r="K124" s="4215"/>
      <c r="L124" s="4215"/>
      <c r="M124" s="4226"/>
      <c r="N124" s="4226"/>
      <c r="O124" s="4226"/>
      <c r="P124" s="4215"/>
      <c r="Q124" s="4449"/>
      <c r="R124" s="4708"/>
      <c r="S124" s="2847"/>
      <c r="T124" s="2698"/>
      <c r="U124" s="2860"/>
      <c r="V124" s="2873"/>
      <c r="W124" s="2881"/>
      <c r="X124" s="390"/>
      <c r="Y124" s="2886"/>
      <c r="Z124" s="2886"/>
      <c r="AA124" s="2886"/>
      <c r="AB124" s="2883"/>
      <c r="AC124" s="390"/>
      <c r="AD124" s="389"/>
      <c r="AE124" s="389"/>
      <c r="AF124" s="1962"/>
    </row>
    <row r="125" spans="1:32" ht="28.5" customHeight="1">
      <c r="A125" s="4564"/>
      <c r="B125" s="4570"/>
      <c r="C125" s="4331"/>
      <c r="D125" s="4215"/>
      <c r="E125" s="4215"/>
      <c r="F125" s="4215"/>
      <c r="G125" s="4215"/>
      <c r="H125" s="4215"/>
      <c r="I125" s="4215"/>
      <c r="J125" s="4215"/>
      <c r="K125" s="4215"/>
      <c r="L125" s="4215"/>
      <c r="M125" s="4226"/>
      <c r="N125" s="4226"/>
      <c r="O125" s="4226"/>
      <c r="P125" s="4215"/>
      <c r="Q125" s="4449"/>
      <c r="R125" s="4708"/>
      <c r="S125" s="2847"/>
      <c r="T125" s="2698"/>
      <c r="U125" s="2860"/>
      <c r="V125" s="2873"/>
      <c r="W125" s="2881"/>
      <c r="X125" s="390"/>
      <c r="Y125" s="2886"/>
      <c r="Z125" s="2886"/>
      <c r="AA125" s="2886"/>
      <c r="AB125" s="2883"/>
      <c r="AC125" s="390"/>
      <c r="AD125" s="389"/>
      <c r="AE125" s="389"/>
      <c r="AF125" s="1962"/>
    </row>
    <row r="126" spans="1:32" ht="28.5" customHeight="1">
      <c r="A126" s="4564"/>
      <c r="B126" s="4570"/>
      <c r="C126" s="4331"/>
      <c r="D126" s="4215"/>
      <c r="E126" s="4215"/>
      <c r="F126" s="4215"/>
      <c r="G126" s="4215"/>
      <c r="H126" s="4215"/>
      <c r="I126" s="4215"/>
      <c r="J126" s="4215"/>
      <c r="K126" s="4215"/>
      <c r="L126" s="4215"/>
      <c r="M126" s="4226"/>
      <c r="N126" s="4226"/>
      <c r="O126" s="4226"/>
      <c r="P126" s="4215"/>
      <c r="Q126" s="4449"/>
      <c r="R126" s="4708"/>
      <c r="S126" s="2847"/>
      <c r="T126" s="2698"/>
      <c r="U126" s="2860"/>
      <c r="V126" s="2873"/>
      <c r="W126" s="2881"/>
      <c r="X126" s="390"/>
      <c r="Y126" s="2886"/>
      <c r="Z126" s="2886"/>
      <c r="AA126" s="2886"/>
      <c r="AB126" s="2883"/>
      <c r="AC126" s="390"/>
      <c r="AD126" s="389"/>
      <c r="AE126" s="389"/>
      <c r="AF126" s="1962"/>
    </row>
    <row r="127" spans="1:32" ht="28.5" customHeight="1">
      <c r="A127" s="4564"/>
      <c r="B127" s="4570"/>
      <c r="C127" s="4332"/>
      <c r="D127" s="4216"/>
      <c r="E127" s="4216"/>
      <c r="F127" s="4216"/>
      <c r="G127" s="4216"/>
      <c r="H127" s="4216"/>
      <c r="I127" s="4216"/>
      <c r="J127" s="4216"/>
      <c r="K127" s="4216"/>
      <c r="L127" s="4216"/>
      <c r="M127" s="4226"/>
      <c r="N127" s="4226"/>
      <c r="O127" s="4226"/>
      <c r="P127" s="4216"/>
      <c r="Q127" s="4450"/>
      <c r="R127" s="4709"/>
      <c r="S127" s="2852"/>
      <c r="T127" s="2861"/>
      <c r="U127" s="2858"/>
      <c r="V127" s="2869"/>
      <c r="W127" s="2880"/>
      <c r="X127" s="384"/>
      <c r="Y127" s="2884"/>
      <c r="Z127" s="2884"/>
      <c r="AA127" s="2884"/>
      <c r="AB127" s="2885"/>
      <c r="AC127" s="384"/>
      <c r="AD127" s="385"/>
      <c r="AE127" s="385"/>
      <c r="AF127" s="1963"/>
    </row>
    <row r="128" spans="1:32" ht="24" customHeight="1">
      <c r="A128" s="4564"/>
      <c r="B128" s="4570"/>
      <c r="C128" s="4625" t="s">
        <v>272</v>
      </c>
      <c r="D128" s="4328" t="s">
        <v>795</v>
      </c>
      <c r="E128" s="4273" t="s">
        <v>680</v>
      </c>
      <c r="F128" s="4273" t="s">
        <v>688</v>
      </c>
      <c r="G128" s="4338" t="s">
        <v>682</v>
      </c>
      <c r="H128" s="4710" t="s">
        <v>686</v>
      </c>
      <c r="I128" s="4273" t="s">
        <v>241</v>
      </c>
      <c r="J128" s="4345" t="s">
        <v>4450</v>
      </c>
      <c r="K128" s="4345" t="s">
        <v>4479</v>
      </c>
      <c r="L128" s="4273" t="s">
        <v>797</v>
      </c>
      <c r="M128" s="4695">
        <v>3</v>
      </c>
      <c r="N128" s="4695">
        <v>3</v>
      </c>
      <c r="O128" s="4695">
        <v>3</v>
      </c>
      <c r="P128" s="4228" t="s">
        <v>4404</v>
      </c>
      <c r="Q128" s="4458" t="s">
        <v>4376</v>
      </c>
      <c r="R128" s="4707" t="s">
        <v>4358</v>
      </c>
      <c r="S128" s="2854"/>
      <c r="T128" s="2863"/>
      <c r="U128" s="2865"/>
      <c r="V128" s="2814"/>
      <c r="W128" s="2815"/>
      <c r="X128" s="381"/>
      <c r="Y128" s="2816"/>
      <c r="Z128" s="2816"/>
      <c r="AA128" s="2816"/>
      <c r="AB128" s="2818"/>
      <c r="AC128" s="381"/>
      <c r="AD128" s="382"/>
      <c r="AE128" s="382"/>
      <c r="AF128" s="1962"/>
    </row>
    <row r="129" spans="1:32" ht="24" customHeight="1">
      <c r="A129" s="4564"/>
      <c r="B129" s="4570"/>
      <c r="C129" s="4331"/>
      <c r="D129" s="4215"/>
      <c r="E129" s="4215"/>
      <c r="F129" s="4215"/>
      <c r="G129" s="4215"/>
      <c r="H129" s="4215"/>
      <c r="I129" s="4215"/>
      <c r="J129" s="4215"/>
      <c r="K129" s="4215"/>
      <c r="L129" s="4215"/>
      <c r="M129" s="4226"/>
      <c r="N129" s="4226"/>
      <c r="O129" s="4226"/>
      <c r="P129" s="4215"/>
      <c r="Q129" s="4449"/>
      <c r="R129" s="4708"/>
      <c r="S129" s="2847"/>
      <c r="T129" s="2698"/>
      <c r="U129" s="2860"/>
      <c r="V129" s="2873"/>
      <c r="W129" s="2881"/>
      <c r="X129" s="390"/>
      <c r="Y129" s="2886"/>
      <c r="Z129" s="2886"/>
      <c r="AA129" s="2886"/>
      <c r="AB129" s="2883"/>
      <c r="AC129" s="390"/>
      <c r="AD129" s="389"/>
      <c r="AE129" s="389"/>
      <c r="AF129" s="1962"/>
    </row>
    <row r="130" spans="1:32" ht="24" customHeight="1">
      <c r="A130" s="4564"/>
      <c r="B130" s="4570"/>
      <c r="C130" s="4331"/>
      <c r="D130" s="4215"/>
      <c r="E130" s="4215"/>
      <c r="F130" s="4215"/>
      <c r="G130" s="4215"/>
      <c r="H130" s="4215"/>
      <c r="I130" s="4215"/>
      <c r="J130" s="4215"/>
      <c r="K130" s="4215"/>
      <c r="L130" s="4215"/>
      <c r="M130" s="4226"/>
      <c r="N130" s="4226"/>
      <c r="O130" s="4226"/>
      <c r="P130" s="4215"/>
      <c r="Q130" s="4449"/>
      <c r="R130" s="4708"/>
      <c r="S130" s="2847"/>
      <c r="T130" s="2698"/>
      <c r="U130" s="2860"/>
      <c r="V130" s="2873"/>
      <c r="W130" s="2881"/>
      <c r="X130" s="390"/>
      <c r="Y130" s="2886"/>
      <c r="Z130" s="2886"/>
      <c r="AA130" s="2886"/>
      <c r="AB130" s="2883"/>
      <c r="AC130" s="390"/>
      <c r="AD130" s="389"/>
      <c r="AE130" s="389"/>
      <c r="AF130" s="1962"/>
    </row>
    <row r="131" spans="1:32" ht="24" customHeight="1">
      <c r="A131" s="4564"/>
      <c r="B131" s="4570"/>
      <c r="C131" s="4331"/>
      <c r="D131" s="4215"/>
      <c r="E131" s="4215"/>
      <c r="F131" s="4215"/>
      <c r="G131" s="4215"/>
      <c r="H131" s="4215"/>
      <c r="I131" s="4215"/>
      <c r="J131" s="4215"/>
      <c r="K131" s="4215"/>
      <c r="L131" s="4215"/>
      <c r="M131" s="4226"/>
      <c r="N131" s="4226"/>
      <c r="O131" s="4226"/>
      <c r="P131" s="4215"/>
      <c r="Q131" s="4449"/>
      <c r="R131" s="4708"/>
      <c r="S131" s="2847"/>
      <c r="T131" s="2698"/>
      <c r="U131" s="2860"/>
      <c r="V131" s="2873"/>
      <c r="W131" s="2881"/>
      <c r="X131" s="390"/>
      <c r="Y131" s="2886"/>
      <c r="Z131" s="2886"/>
      <c r="AA131" s="2886"/>
      <c r="AB131" s="2883"/>
      <c r="AC131" s="390"/>
      <c r="AD131" s="389"/>
      <c r="AE131" s="389"/>
      <c r="AF131" s="1962"/>
    </row>
    <row r="132" spans="1:32" ht="24" customHeight="1">
      <c r="A132" s="4564"/>
      <c r="B132" s="4570"/>
      <c r="C132" s="4331"/>
      <c r="D132" s="4215"/>
      <c r="E132" s="4215"/>
      <c r="F132" s="4215"/>
      <c r="G132" s="4215"/>
      <c r="H132" s="4215"/>
      <c r="I132" s="4215"/>
      <c r="J132" s="4215"/>
      <c r="K132" s="4215"/>
      <c r="L132" s="4215"/>
      <c r="M132" s="4226"/>
      <c r="N132" s="4226"/>
      <c r="O132" s="4226"/>
      <c r="P132" s="4215"/>
      <c r="Q132" s="4449"/>
      <c r="R132" s="4708"/>
      <c r="S132" s="2847"/>
      <c r="T132" s="2698"/>
      <c r="U132" s="2860"/>
      <c r="V132" s="2873"/>
      <c r="W132" s="2881"/>
      <c r="X132" s="390"/>
      <c r="Y132" s="2886"/>
      <c r="Z132" s="2886"/>
      <c r="AA132" s="2886"/>
      <c r="AB132" s="2883"/>
      <c r="AC132" s="390"/>
      <c r="AD132" s="389"/>
      <c r="AE132" s="389"/>
      <c r="AF132" s="1962"/>
    </row>
    <row r="133" spans="1:32" ht="24" customHeight="1">
      <c r="A133" s="4564"/>
      <c r="B133" s="4570"/>
      <c r="C133" s="4331"/>
      <c r="D133" s="4215"/>
      <c r="E133" s="4215"/>
      <c r="F133" s="4215"/>
      <c r="G133" s="4215"/>
      <c r="H133" s="4215"/>
      <c r="I133" s="4216"/>
      <c r="J133" s="4215"/>
      <c r="K133" s="4215"/>
      <c r="L133" s="4216"/>
      <c r="M133" s="4247"/>
      <c r="N133" s="4247"/>
      <c r="O133" s="4247"/>
      <c r="P133" s="4216"/>
      <c r="Q133" s="4450"/>
      <c r="R133" s="4709"/>
      <c r="S133" s="2852"/>
      <c r="T133" s="2861"/>
      <c r="U133" s="2858"/>
      <c r="V133" s="2869"/>
      <c r="W133" s="2880"/>
      <c r="X133" s="384"/>
      <c r="Y133" s="2884"/>
      <c r="Z133" s="2884"/>
      <c r="AA133" s="2884"/>
      <c r="AB133" s="2885"/>
      <c r="AC133" s="384"/>
      <c r="AD133" s="385"/>
      <c r="AE133" s="385"/>
      <c r="AF133" s="1963"/>
    </row>
    <row r="134" spans="1:32" ht="27" customHeight="1">
      <c r="A134" s="4564"/>
      <c r="B134" s="4570"/>
      <c r="C134" s="4626" t="s">
        <v>272</v>
      </c>
      <c r="D134" s="4273" t="s">
        <v>795</v>
      </c>
      <c r="E134" s="4273" t="s">
        <v>680</v>
      </c>
      <c r="F134" s="4273" t="s">
        <v>688</v>
      </c>
      <c r="G134" s="4338" t="s">
        <v>682</v>
      </c>
      <c r="H134" s="4710" t="s">
        <v>686</v>
      </c>
      <c r="I134" s="4273" t="s">
        <v>241</v>
      </c>
      <c r="J134" s="4228" t="s">
        <v>4449</v>
      </c>
      <c r="K134" s="4273" t="s">
        <v>798</v>
      </c>
      <c r="L134" s="4273" t="s">
        <v>799</v>
      </c>
      <c r="M134" s="4695">
        <v>0</v>
      </c>
      <c r="N134" s="4695">
        <v>0</v>
      </c>
      <c r="O134" s="4695">
        <v>1</v>
      </c>
      <c r="P134" s="4228" t="s">
        <v>4418</v>
      </c>
      <c r="Q134" s="4458" t="s">
        <v>4375</v>
      </c>
      <c r="R134" s="4707" t="s">
        <v>4358</v>
      </c>
      <c r="S134" s="2854"/>
      <c r="T134" s="2863"/>
      <c r="U134" s="2865"/>
      <c r="V134" s="2814"/>
      <c r="W134" s="2815"/>
      <c r="X134" s="381"/>
      <c r="Y134" s="2816"/>
      <c r="Z134" s="2816"/>
      <c r="AA134" s="2816"/>
      <c r="AB134" s="2818"/>
      <c r="AC134" s="381"/>
      <c r="AD134" s="382"/>
      <c r="AE134" s="382"/>
      <c r="AF134" s="1962"/>
    </row>
    <row r="135" spans="1:32" ht="27" customHeight="1">
      <c r="A135" s="4564"/>
      <c r="B135" s="4570"/>
      <c r="C135" s="4331"/>
      <c r="D135" s="4215"/>
      <c r="E135" s="4215"/>
      <c r="F135" s="4215"/>
      <c r="G135" s="4215"/>
      <c r="H135" s="4215"/>
      <c r="I135" s="4215"/>
      <c r="J135" s="4215"/>
      <c r="K135" s="4215"/>
      <c r="L135" s="4215"/>
      <c r="M135" s="4226"/>
      <c r="N135" s="4226"/>
      <c r="O135" s="4226"/>
      <c r="P135" s="4215"/>
      <c r="Q135" s="4449"/>
      <c r="R135" s="4708"/>
      <c r="S135" s="2847"/>
      <c r="T135" s="2698"/>
      <c r="U135" s="2860"/>
      <c r="V135" s="2873"/>
      <c r="W135" s="2881"/>
      <c r="X135" s="390"/>
      <c r="Y135" s="2886"/>
      <c r="Z135" s="2886"/>
      <c r="AA135" s="2886"/>
      <c r="AB135" s="2883"/>
      <c r="AC135" s="390"/>
      <c r="AD135" s="389"/>
      <c r="AE135" s="389"/>
      <c r="AF135" s="1962"/>
    </row>
    <row r="136" spans="1:32" ht="27" customHeight="1">
      <c r="A136" s="4564"/>
      <c r="B136" s="4570"/>
      <c r="C136" s="4331"/>
      <c r="D136" s="4215"/>
      <c r="E136" s="4215"/>
      <c r="F136" s="4215"/>
      <c r="G136" s="4215"/>
      <c r="H136" s="4215"/>
      <c r="I136" s="4215"/>
      <c r="J136" s="4215"/>
      <c r="K136" s="4215"/>
      <c r="L136" s="4215"/>
      <c r="M136" s="4226"/>
      <c r="N136" s="4226"/>
      <c r="O136" s="4226"/>
      <c r="P136" s="4215"/>
      <c r="Q136" s="4449"/>
      <c r="R136" s="4708"/>
      <c r="S136" s="2847"/>
      <c r="T136" s="2698"/>
      <c r="U136" s="2860"/>
      <c r="V136" s="2873"/>
      <c r="W136" s="2881"/>
      <c r="X136" s="390"/>
      <c r="Y136" s="2886"/>
      <c r="Z136" s="2886"/>
      <c r="AA136" s="2886"/>
      <c r="AB136" s="2883"/>
      <c r="AC136" s="390"/>
      <c r="AD136" s="389"/>
      <c r="AE136" s="389"/>
      <c r="AF136" s="1962"/>
    </row>
    <row r="137" spans="1:32" ht="27" customHeight="1">
      <c r="A137" s="4564"/>
      <c r="B137" s="4570"/>
      <c r="C137" s="4331"/>
      <c r="D137" s="4215"/>
      <c r="E137" s="4215"/>
      <c r="F137" s="4215"/>
      <c r="G137" s="4215"/>
      <c r="H137" s="4215"/>
      <c r="I137" s="4215"/>
      <c r="J137" s="4215"/>
      <c r="K137" s="4215"/>
      <c r="L137" s="4215"/>
      <c r="M137" s="4226"/>
      <c r="N137" s="4226"/>
      <c r="O137" s="4226"/>
      <c r="P137" s="4215"/>
      <c r="Q137" s="4449"/>
      <c r="R137" s="4708"/>
      <c r="S137" s="2847"/>
      <c r="T137" s="2698"/>
      <c r="U137" s="2860"/>
      <c r="V137" s="2873"/>
      <c r="W137" s="2881"/>
      <c r="X137" s="390"/>
      <c r="Y137" s="2886"/>
      <c r="Z137" s="2886"/>
      <c r="AA137" s="2886"/>
      <c r="AB137" s="2883"/>
      <c r="AC137" s="390"/>
      <c r="AD137" s="389"/>
      <c r="AE137" s="389"/>
      <c r="AF137" s="1962"/>
    </row>
    <row r="138" spans="1:32" ht="27" customHeight="1">
      <c r="A138" s="4564"/>
      <c r="B138" s="4570"/>
      <c r="C138" s="4332"/>
      <c r="D138" s="4216"/>
      <c r="E138" s="4216"/>
      <c r="F138" s="4216"/>
      <c r="G138" s="4216"/>
      <c r="H138" s="4216"/>
      <c r="I138" s="4216"/>
      <c r="J138" s="4216"/>
      <c r="K138" s="4216"/>
      <c r="L138" s="4216"/>
      <c r="M138" s="4247"/>
      <c r="N138" s="4247"/>
      <c r="O138" s="4247"/>
      <c r="P138" s="4216"/>
      <c r="Q138" s="4450"/>
      <c r="R138" s="4709"/>
      <c r="S138" s="2847"/>
      <c r="T138" s="2698"/>
      <c r="U138" s="2860"/>
      <c r="V138" s="2873"/>
      <c r="W138" s="2881"/>
      <c r="X138" s="390"/>
      <c r="Y138" s="2886"/>
      <c r="Z138" s="2886"/>
      <c r="AA138" s="2886"/>
      <c r="AB138" s="2883"/>
      <c r="AC138" s="390"/>
      <c r="AD138" s="389"/>
      <c r="AE138" s="389"/>
      <c r="AF138" s="1962"/>
    </row>
    <row r="139" spans="1:32" ht="35.25" customHeight="1">
      <c r="A139" s="4564"/>
      <c r="B139" s="4570"/>
      <c r="C139" s="4625" t="s">
        <v>235</v>
      </c>
      <c r="D139" s="4328" t="s">
        <v>236</v>
      </c>
      <c r="E139" s="4675"/>
      <c r="F139" s="4675"/>
      <c r="G139" s="4329" t="s">
        <v>239</v>
      </c>
      <c r="H139" s="4328" t="s">
        <v>240</v>
      </c>
      <c r="I139" s="4328" t="s">
        <v>278</v>
      </c>
      <c r="J139" s="4712" t="s">
        <v>4448</v>
      </c>
      <c r="K139" s="4475" t="s">
        <v>800</v>
      </c>
      <c r="L139" s="4475" t="s">
        <v>801</v>
      </c>
      <c r="M139" s="4344">
        <v>1</v>
      </c>
      <c r="N139" s="4344">
        <v>0</v>
      </c>
      <c r="O139" s="4344">
        <v>0</v>
      </c>
      <c r="P139" s="4345" t="s">
        <v>4419</v>
      </c>
      <c r="Q139" s="4459" t="s">
        <v>4374</v>
      </c>
      <c r="R139" s="4711" t="s">
        <v>4358</v>
      </c>
      <c r="S139" s="2850"/>
      <c r="T139" s="2859"/>
      <c r="U139" s="2859"/>
      <c r="V139" s="2875"/>
      <c r="W139" s="2743"/>
      <c r="X139" s="254"/>
      <c r="Y139" s="2789"/>
      <c r="Z139" s="2789"/>
      <c r="AA139" s="2789"/>
      <c r="AB139" s="2790"/>
      <c r="AC139" s="254"/>
      <c r="AD139" s="372"/>
      <c r="AE139" s="372"/>
      <c r="AF139" s="4702"/>
    </row>
    <row r="140" spans="1:32" ht="35.25" customHeight="1">
      <c r="A140" s="4564"/>
      <c r="B140" s="4570"/>
      <c r="C140" s="4331"/>
      <c r="D140" s="4215"/>
      <c r="E140" s="4676"/>
      <c r="F140" s="4676"/>
      <c r="G140" s="4215"/>
      <c r="H140" s="4215"/>
      <c r="I140" s="4215"/>
      <c r="J140" s="4449"/>
      <c r="K140" s="4215"/>
      <c r="L140" s="4215"/>
      <c r="M140" s="4226"/>
      <c r="N140" s="4226"/>
      <c r="O140" s="4226"/>
      <c r="P140" s="4215"/>
      <c r="Q140" s="4449"/>
      <c r="R140" s="4693"/>
      <c r="S140" s="2847"/>
      <c r="T140" s="2698"/>
      <c r="U140" s="2698"/>
      <c r="V140" s="2868"/>
      <c r="W140" s="2881"/>
      <c r="X140" s="390"/>
      <c r="Y140" s="2886"/>
      <c r="Z140" s="2886"/>
      <c r="AA140" s="2886"/>
      <c r="AB140" s="2883"/>
      <c r="AC140" s="390"/>
      <c r="AD140" s="389"/>
      <c r="AE140" s="389"/>
      <c r="AF140" s="4650"/>
    </row>
    <row r="141" spans="1:32" ht="35.25" customHeight="1">
      <c r="A141" s="4564"/>
      <c r="B141" s="4570"/>
      <c r="C141" s="4331"/>
      <c r="D141" s="4215"/>
      <c r="E141" s="4676"/>
      <c r="F141" s="4676"/>
      <c r="G141" s="4215"/>
      <c r="H141" s="4215"/>
      <c r="I141" s="4215"/>
      <c r="J141" s="4449"/>
      <c r="K141" s="4215"/>
      <c r="L141" s="4215"/>
      <c r="M141" s="4226"/>
      <c r="N141" s="4226"/>
      <c r="O141" s="4226"/>
      <c r="P141" s="4215"/>
      <c r="Q141" s="4449"/>
      <c r="R141" s="4693"/>
      <c r="S141" s="2851"/>
      <c r="T141" s="2860"/>
      <c r="U141" s="2860"/>
      <c r="V141" s="2868"/>
      <c r="W141" s="2881"/>
      <c r="X141" s="390"/>
      <c r="Y141" s="2886"/>
      <c r="Z141" s="2886"/>
      <c r="AA141" s="2886"/>
      <c r="AB141" s="2883"/>
      <c r="AC141" s="390"/>
      <c r="AD141" s="389"/>
      <c r="AE141" s="389"/>
      <c r="AF141" s="4650"/>
    </row>
    <row r="142" spans="1:32" ht="35.25" customHeight="1">
      <c r="A142" s="4564"/>
      <c r="B142" s="4570"/>
      <c r="C142" s="4332"/>
      <c r="D142" s="4216"/>
      <c r="E142" s="4677"/>
      <c r="F142" s="4677"/>
      <c r="G142" s="4216"/>
      <c r="H142" s="4216"/>
      <c r="I142" s="4216"/>
      <c r="J142" s="4450"/>
      <c r="K142" s="4216"/>
      <c r="L142" s="4216"/>
      <c r="M142" s="4247"/>
      <c r="N142" s="4247"/>
      <c r="O142" s="4247"/>
      <c r="P142" s="4216"/>
      <c r="Q142" s="4450"/>
      <c r="R142" s="4694"/>
      <c r="S142" s="2849"/>
      <c r="T142" s="2858"/>
      <c r="U142" s="2858"/>
      <c r="V142" s="2871"/>
      <c r="W142" s="2880"/>
      <c r="X142" s="384"/>
      <c r="Y142" s="2884"/>
      <c r="Z142" s="2884"/>
      <c r="AA142" s="2884"/>
      <c r="AB142" s="2885"/>
      <c r="AC142" s="384"/>
      <c r="AD142" s="385"/>
      <c r="AE142" s="385"/>
      <c r="AF142" s="4651"/>
    </row>
    <row r="143" spans="1:32" ht="27" customHeight="1">
      <c r="A143" s="4564"/>
      <c r="B143" s="4570"/>
      <c r="C143" s="4626" t="s">
        <v>235</v>
      </c>
      <c r="D143" s="4273" t="s">
        <v>236</v>
      </c>
      <c r="E143" s="4678"/>
      <c r="F143" s="4678"/>
      <c r="G143" s="4338" t="s">
        <v>239</v>
      </c>
      <c r="H143" s="4273" t="s">
        <v>240</v>
      </c>
      <c r="I143" s="4273" t="s">
        <v>257</v>
      </c>
      <c r="J143" s="4228" t="s">
        <v>4447</v>
      </c>
      <c r="K143" s="4273" t="s">
        <v>802</v>
      </c>
      <c r="L143" s="4273" t="s">
        <v>803</v>
      </c>
      <c r="M143" s="4705">
        <v>0</v>
      </c>
      <c r="N143" s="4695">
        <v>1</v>
      </c>
      <c r="O143" s="4695">
        <v>1</v>
      </c>
      <c r="P143" s="4228" t="s">
        <v>4420</v>
      </c>
      <c r="Q143" s="4696" t="s">
        <v>4373</v>
      </c>
      <c r="R143" s="4699" t="s">
        <v>4358</v>
      </c>
      <c r="S143" s="2847"/>
      <c r="T143" s="2698"/>
      <c r="U143" s="2698"/>
      <c r="V143" s="2868"/>
      <c r="W143" s="2881"/>
      <c r="X143" s="390"/>
      <c r="Y143" s="2886"/>
      <c r="Z143" s="2886"/>
      <c r="AA143" s="2886"/>
      <c r="AB143" s="2886"/>
      <c r="AC143" s="383"/>
      <c r="AD143" s="390"/>
      <c r="AE143" s="389"/>
      <c r="AF143" s="1962"/>
    </row>
    <row r="144" spans="1:32" ht="27" customHeight="1">
      <c r="A144" s="4564"/>
      <c r="B144" s="4570"/>
      <c r="C144" s="4331"/>
      <c r="D144" s="4215"/>
      <c r="E144" s="4676"/>
      <c r="F144" s="4676"/>
      <c r="G144" s="4215"/>
      <c r="H144" s="4215"/>
      <c r="I144" s="4215"/>
      <c r="J144" s="4215"/>
      <c r="K144" s="4215"/>
      <c r="L144" s="4215"/>
      <c r="M144" s="4226"/>
      <c r="N144" s="4226"/>
      <c r="O144" s="4226"/>
      <c r="P144" s="4215"/>
      <c r="Q144" s="4697"/>
      <c r="R144" s="4700"/>
      <c r="S144" s="2847"/>
      <c r="T144" s="2698"/>
      <c r="U144" s="2698"/>
      <c r="V144" s="2868"/>
      <c r="W144" s="2881"/>
      <c r="X144" s="390"/>
      <c r="Y144" s="2886"/>
      <c r="Z144" s="2886"/>
      <c r="AA144" s="2886"/>
      <c r="AB144" s="2886"/>
      <c r="AC144" s="383"/>
      <c r="AD144" s="390"/>
      <c r="AE144" s="389"/>
      <c r="AF144" s="1962"/>
    </row>
    <row r="145" spans="1:32" s="2294" customFormat="1" ht="27" customHeight="1">
      <c r="A145" s="4564"/>
      <c r="B145" s="4570"/>
      <c r="C145" s="4331"/>
      <c r="D145" s="4215"/>
      <c r="E145" s="4676"/>
      <c r="F145" s="4676"/>
      <c r="G145" s="4215"/>
      <c r="H145" s="4215"/>
      <c r="I145" s="4215"/>
      <c r="J145" s="4215"/>
      <c r="K145" s="4215"/>
      <c r="L145" s="4215"/>
      <c r="M145" s="4226"/>
      <c r="N145" s="4226"/>
      <c r="O145" s="4226"/>
      <c r="P145" s="4215"/>
      <c r="Q145" s="4697"/>
      <c r="R145" s="4700"/>
      <c r="S145" s="2847"/>
      <c r="T145" s="2698"/>
      <c r="U145" s="2698"/>
      <c r="V145" s="2868"/>
      <c r="W145" s="2881"/>
      <c r="X145" s="390"/>
      <c r="Y145" s="2886"/>
      <c r="Z145" s="2886"/>
      <c r="AA145" s="2886"/>
      <c r="AB145" s="2886"/>
      <c r="AC145" s="383"/>
      <c r="AD145" s="390"/>
      <c r="AE145" s="389"/>
      <c r="AF145" s="1962"/>
    </row>
    <row r="146" spans="1:32" ht="27" customHeight="1">
      <c r="A146" s="4564"/>
      <c r="B146" s="4570"/>
      <c r="C146" s="4331"/>
      <c r="D146" s="4215"/>
      <c r="E146" s="4676"/>
      <c r="F146" s="4676"/>
      <c r="G146" s="4215"/>
      <c r="H146" s="4215"/>
      <c r="I146" s="4215"/>
      <c r="J146" s="4215"/>
      <c r="K146" s="4215"/>
      <c r="L146" s="4215"/>
      <c r="M146" s="4226"/>
      <c r="N146" s="4226"/>
      <c r="O146" s="4226"/>
      <c r="P146" s="4215"/>
      <c r="Q146" s="4697"/>
      <c r="R146" s="4700"/>
      <c r="S146" s="2847"/>
      <c r="T146" s="2698"/>
      <c r="U146" s="2698"/>
      <c r="V146" s="2868"/>
      <c r="W146" s="2881"/>
      <c r="X146" s="390"/>
      <c r="Y146" s="2886"/>
      <c r="Z146" s="2886"/>
      <c r="AA146" s="2886"/>
      <c r="AB146" s="2886"/>
      <c r="AC146" s="383"/>
      <c r="AD146" s="390"/>
      <c r="AE146" s="389"/>
      <c r="AF146" s="1962"/>
    </row>
    <row r="147" spans="1:32" ht="27" customHeight="1">
      <c r="A147" s="4564"/>
      <c r="B147" s="4570"/>
      <c r="C147" s="4332"/>
      <c r="D147" s="4216"/>
      <c r="E147" s="4677"/>
      <c r="F147" s="4677"/>
      <c r="G147" s="4216"/>
      <c r="H147" s="4215"/>
      <c r="I147" s="4215"/>
      <c r="J147" s="4216"/>
      <c r="K147" s="4215"/>
      <c r="L147" s="4215"/>
      <c r="M147" s="4247"/>
      <c r="N147" s="4247"/>
      <c r="O147" s="4247"/>
      <c r="P147" s="4216"/>
      <c r="Q147" s="4698"/>
      <c r="R147" s="4701"/>
      <c r="S147" s="2847"/>
      <c r="T147" s="2698"/>
      <c r="U147" s="2698"/>
      <c r="V147" s="2868"/>
      <c r="W147" s="2881"/>
      <c r="X147" s="390"/>
      <c r="Y147" s="2886"/>
      <c r="Z147" s="2886"/>
      <c r="AA147" s="2886"/>
      <c r="AB147" s="2886"/>
      <c r="AC147" s="383"/>
      <c r="AD147" s="390"/>
      <c r="AE147" s="389"/>
      <c r="AF147" s="1962"/>
    </row>
    <row r="148" spans="1:32" ht="33.950000000000003" customHeight="1">
      <c r="A148" s="4564"/>
      <c r="B148" s="4570"/>
      <c r="C148" s="4667" t="s">
        <v>235</v>
      </c>
      <c r="D148" s="4482" t="s">
        <v>236</v>
      </c>
      <c r="E148" s="4679"/>
      <c r="F148" s="4679"/>
      <c r="G148" s="4666" t="s">
        <v>239</v>
      </c>
      <c r="H148" s="4482" t="s">
        <v>240</v>
      </c>
      <c r="I148" s="4273" t="s">
        <v>257</v>
      </c>
      <c r="J148" s="4445" t="s">
        <v>4446</v>
      </c>
      <c r="K148" s="4482" t="s">
        <v>804</v>
      </c>
      <c r="L148" s="4482" t="s">
        <v>805</v>
      </c>
      <c r="M148" s="4336">
        <v>0</v>
      </c>
      <c r="N148" s="4336">
        <v>0</v>
      </c>
      <c r="O148" s="4336">
        <v>1</v>
      </c>
      <c r="P148" s="4368" t="s">
        <v>4421</v>
      </c>
      <c r="Q148" s="4696" t="s">
        <v>4372</v>
      </c>
      <c r="R148" s="4706" t="s">
        <v>4358</v>
      </c>
      <c r="S148" s="2850" t="s">
        <v>17</v>
      </c>
      <c r="T148" s="2859">
        <v>840107</v>
      </c>
      <c r="U148" s="2859"/>
      <c r="V148" s="2875" t="s">
        <v>20</v>
      </c>
      <c r="W148" s="2743"/>
      <c r="X148" s="254"/>
      <c r="Y148" s="2789"/>
      <c r="Z148" s="2789"/>
      <c r="AA148" s="2789"/>
      <c r="AB148" s="2790">
        <f>SUM($AA$149:$AA$151)</f>
        <v>2240</v>
      </c>
      <c r="AC148" s="254"/>
      <c r="AD148" s="372"/>
      <c r="AE148" s="372"/>
      <c r="AF148" s="4702"/>
    </row>
    <row r="149" spans="1:32" ht="60.75" customHeight="1">
      <c r="A149" s="4564"/>
      <c r="B149" s="4570"/>
      <c r="C149" s="4331"/>
      <c r="D149" s="4215"/>
      <c r="E149" s="4676"/>
      <c r="F149" s="4676"/>
      <c r="G149" s="4215"/>
      <c r="H149" s="4215"/>
      <c r="I149" s="4215"/>
      <c r="J149" s="4446"/>
      <c r="K149" s="4215"/>
      <c r="L149" s="4215"/>
      <c r="M149" s="4226"/>
      <c r="N149" s="4226"/>
      <c r="O149" s="4226"/>
      <c r="P149" s="4215"/>
      <c r="Q149" s="4697"/>
      <c r="R149" s="4693"/>
      <c r="S149" s="2847"/>
      <c r="T149" s="2698"/>
      <c r="U149" s="2860"/>
      <c r="V149" s="2969" t="s">
        <v>4351</v>
      </c>
      <c r="W149" s="2881">
        <v>1</v>
      </c>
      <c r="X149" s="390" t="s">
        <v>269</v>
      </c>
      <c r="Y149" s="2886">
        <v>2000</v>
      </c>
      <c r="Z149" s="2982">
        <f t="shared" ref="Z149" si="20">+W149*Y149</f>
        <v>2000</v>
      </c>
      <c r="AA149" s="2982">
        <f t="shared" ref="AA149" si="21">+Z149*1.12</f>
        <v>2240</v>
      </c>
      <c r="AB149" s="2883"/>
      <c r="AC149" s="390" t="s">
        <v>251</v>
      </c>
      <c r="AD149" s="389" t="s">
        <v>251</v>
      </c>
      <c r="AE149" s="389"/>
      <c r="AF149" s="4650"/>
    </row>
    <row r="150" spans="1:32" ht="18" customHeight="1">
      <c r="A150" s="4564"/>
      <c r="B150" s="4570"/>
      <c r="C150" s="4331"/>
      <c r="D150" s="4215"/>
      <c r="E150" s="4676"/>
      <c r="F150" s="4676"/>
      <c r="G150" s="4215"/>
      <c r="H150" s="4215"/>
      <c r="I150" s="4215"/>
      <c r="J150" s="4446"/>
      <c r="K150" s="4215"/>
      <c r="L150" s="4215"/>
      <c r="M150" s="4226"/>
      <c r="N150" s="4226"/>
      <c r="O150" s="4226"/>
      <c r="P150" s="4215"/>
      <c r="Q150" s="4697"/>
      <c r="R150" s="4693"/>
      <c r="S150" s="2851"/>
      <c r="T150" s="2860"/>
      <c r="U150" s="2860"/>
      <c r="V150" s="2868"/>
      <c r="W150" s="2881"/>
      <c r="X150" s="390"/>
      <c r="Y150" s="2886"/>
      <c r="Z150" s="2982"/>
      <c r="AA150" s="2982"/>
      <c r="AB150" s="2883"/>
      <c r="AC150" s="390"/>
      <c r="AD150" s="389"/>
      <c r="AE150" s="389"/>
      <c r="AF150" s="4650"/>
    </row>
    <row r="151" spans="1:32" ht="18" customHeight="1">
      <c r="A151" s="4564"/>
      <c r="B151" s="4570"/>
      <c r="C151" s="4331"/>
      <c r="D151" s="4215"/>
      <c r="E151" s="4676"/>
      <c r="F151" s="4676"/>
      <c r="G151" s="4215"/>
      <c r="H151" s="4215"/>
      <c r="I151" s="4215"/>
      <c r="J151" s="4446"/>
      <c r="K151" s="4215"/>
      <c r="L151" s="4215"/>
      <c r="M151" s="4226"/>
      <c r="N151" s="4226"/>
      <c r="O151" s="4226"/>
      <c r="P151" s="4215"/>
      <c r="Q151" s="4697"/>
      <c r="R151" s="4693"/>
      <c r="S151" s="2851"/>
      <c r="T151" s="2860"/>
      <c r="U151" s="2860"/>
      <c r="V151" s="2868"/>
      <c r="W151" s="2881"/>
      <c r="X151" s="390"/>
      <c r="Y151" s="2886"/>
      <c r="Z151" s="2982"/>
      <c r="AA151" s="2982"/>
      <c r="AB151" s="2883"/>
      <c r="AC151" s="390"/>
      <c r="AD151" s="389"/>
      <c r="AE151" s="389"/>
      <c r="AF151" s="4650"/>
    </row>
    <row r="152" spans="1:32" ht="18" customHeight="1">
      <c r="A152" s="4564"/>
      <c r="B152" s="4570"/>
      <c r="C152" s="4332"/>
      <c r="D152" s="4216"/>
      <c r="E152" s="4677"/>
      <c r="F152" s="4677"/>
      <c r="G152" s="4216"/>
      <c r="H152" s="4216"/>
      <c r="I152" s="4216"/>
      <c r="J152" s="4341"/>
      <c r="K152" s="4216"/>
      <c r="L152" s="4216"/>
      <c r="M152" s="4247"/>
      <c r="N152" s="4247"/>
      <c r="O152" s="4247"/>
      <c r="P152" s="4216"/>
      <c r="Q152" s="4698"/>
      <c r="R152" s="4694"/>
      <c r="S152" s="2849"/>
      <c r="T152" s="2858"/>
      <c r="U152" s="2858"/>
      <c r="V152" s="2869"/>
      <c r="W152" s="2880"/>
      <c r="X152" s="384"/>
      <c r="Y152" s="2884"/>
      <c r="Z152" s="2884"/>
      <c r="AA152" s="2884"/>
      <c r="AB152" s="2885"/>
      <c r="AC152" s="384"/>
      <c r="AD152" s="385"/>
      <c r="AE152" s="385"/>
      <c r="AF152" s="4651"/>
    </row>
    <row r="153" spans="1:32" ht="28.5" customHeight="1">
      <c r="A153" s="4564"/>
      <c r="B153" s="4570"/>
      <c r="C153" s="4671" t="s">
        <v>235</v>
      </c>
      <c r="D153" s="4475" t="s">
        <v>236</v>
      </c>
      <c r="E153" s="4675"/>
      <c r="F153" s="4675"/>
      <c r="G153" s="4672" t="s">
        <v>239</v>
      </c>
      <c r="H153" s="4475" t="s">
        <v>240</v>
      </c>
      <c r="I153" s="4328" t="s">
        <v>257</v>
      </c>
      <c r="J153" s="4339" t="s">
        <v>4434</v>
      </c>
      <c r="K153" s="4475" t="s">
        <v>371</v>
      </c>
      <c r="L153" s="4475" t="s">
        <v>779</v>
      </c>
      <c r="M153" s="4344">
        <v>0</v>
      </c>
      <c r="N153" s="4336">
        <v>0</v>
      </c>
      <c r="O153" s="4344">
        <v>2</v>
      </c>
      <c r="P153" s="4345" t="s">
        <v>4281</v>
      </c>
      <c r="Q153" s="4459" t="s">
        <v>3911</v>
      </c>
      <c r="R153" s="4692" t="s">
        <v>4358</v>
      </c>
      <c r="S153" s="2850"/>
      <c r="T153" s="2859"/>
      <c r="U153" s="2859"/>
      <c r="V153" s="2875"/>
      <c r="W153" s="2743"/>
      <c r="X153" s="254"/>
      <c r="Y153" s="2789"/>
      <c r="Z153" s="2789"/>
      <c r="AA153" s="2789"/>
      <c r="AB153" s="2790"/>
      <c r="AC153" s="254"/>
      <c r="AD153" s="372"/>
      <c r="AE153" s="372"/>
      <c r="AF153" s="4702"/>
    </row>
    <row r="154" spans="1:32" ht="28.5" customHeight="1">
      <c r="A154" s="4564"/>
      <c r="B154" s="4570"/>
      <c r="C154" s="4331"/>
      <c r="D154" s="4215"/>
      <c r="E154" s="4676"/>
      <c r="F154" s="4676"/>
      <c r="G154" s="4215"/>
      <c r="H154" s="4215"/>
      <c r="I154" s="4215"/>
      <c r="J154" s="4340"/>
      <c r="K154" s="4215"/>
      <c r="L154" s="4215"/>
      <c r="M154" s="4226"/>
      <c r="N154" s="4226"/>
      <c r="O154" s="4226"/>
      <c r="P154" s="4215"/>
      <c r="Q154" s="4449"/>
      <c r="R154" s="4693"/>
      <c r="S154" s="2847"/>
      <c r="T154" s="2698"/>
      <c r="U154" s="2698"/>
      <c r="V154" s="2873"/>
      <c r="W154" s="2881"/>
      <c r="X154" s="390"/>
      <c r="Y154" s="2886"/>
      <c r="Z154" s="2886"/>
      <c r="AA154" s="2886"/>
      <c r="AB154" s="2883"/>
      <c r="AC154" s="390"/>
      <c r="AD154" s="389"/>
      <c r="AE154" s="389"/>
      <c r="AF154" s="4650"/>
    </row>
    <row r="155" spans="1:32" ht="28.5" customHeight="1">
      <c r="A155" s="4564"/>
      <c r="B155" s="4570"/>
      <c r="C155" s="4331"/>
      <c r="D155" s="4215"/>
      <c r="E155" s="4676"/>
      <c r="F155" s="4676"/>
      <c r="G155" s="4215"/>
      <c r="H155" s="4215"/>
      <c r="I155" s="4215"/>
      <c r="J155" s="4340"/>
      <c r="K155" s="4215"/>
      <c r="L155" s="4215"/>
      <c r="M155" s="4226"/>
      <c r="N155" s="4226"/>
      <c r="O155" s="4226"/>
      <c r="P155" s="4215"/>
      <c r="Q155" s="4449"/>
      <c r="R155" s="4693"/>
      <c r="S155" s="2847"/>
      <c r="T155" s="2698"/>
      <c r="U155" s="2698"/>
      <c r="V155" s="2873"/>
      <c r="W155" s="2881"/>
      <c r="X155" s="390"/>
      <c r="Y155" s="2886"/>
      <c r="Z155" s="2886"/>
      <c r="AA155" s="2886"/>
      <c r="AB155" s="2883"/>
      <c r="AC155" s="390"/>
      <c r="AD155" s="389"/>
      <c r="AE155" s="389"/>
      <c r="AF155" s="4650"/>
    </row>
    <row r="156" spans="1:32" ht="28.5" customHeight="1">
      <c r="A156" s="4564"/>
      <c r="B156" s="4570"/>
      <c r="C156" s="4331"/>
      <c r="D156" s="4215"/>
      <c r="E156" s="4676"/>
      <c r="F156" s="4676"/>
      <c r="G156" s="4215"/>
      <c r="H156" s="4215"/>
      <c r="I156" s="4215"/>
      <c r="J156" s="4340"/>
      <c r="K156" s="4215"/>
      <c r="L156" s="4215"/>
      <c r="M156" s="4226"/>
      <c r="N156" s="4226"/>
      <c r="O156" s="4226"/>
      <c r="P156" s="4215"/>
      <c r="Q156" s="4449"/>
      <c r="R156" s="4693"/>
      <c r="S156" s="2847"/>
      <c r="T156" s="2698"/>
      <c r="U156" s="2698"/>
      <c r="V156" s="2873"/>
      <c r="W156" s="2881"/>
      <c r="X156" s="390"/>
      <c r="Y156" s="2886"/>
      <c r="Z156" s="2886"/>
      <c r="AA156" s="2886"/>
      <c r="AB156" s="2883"/>
      <c r="AC156" s="390"/>
      <c r="AD156" s="389"/>
      <c r="AE156" s="389"/>
      <c r="AF156" s="4650"/>
    </row>
    <row r="157" spans="1:32" ht="28.5" customHeight="1">
      <c r="A157" s="4564"/>
      <c r="B157" s="4570"/>
      <c r="C157" s="4332"/>
      <c r="D157" s="4216"/>
      <c r="E157" s="4677"/>
      <c r="F157" s="4677"/>
      <c r="G157" s="4216"/>
      <c r="H157" s="4216"/>
      <c r="I157" s="4216"/>
      <c r="J157" s="4341"/>
      <c r="K157" s="4216"/>
      <c r="L157" s="4216"/>
      <c r="M157" s="4247"/>
      <c r="N157" s="4247"/>
      <c r="O157" s="4247"/>
      <c r="P157" s="4216"/>
      <c r="Q157" s="4450"/>
      <c r="R157" s="4694"/>
      <c r="S157" s="2849"/>
      <c r="T157" s="2858"/>
      <c r="U157" s="2858"/>
      <c r="V157" s="2869"/>
      <c r="W157" s="2880"/>
      <c r="X157" s="384"/>
      <c r="Y157" s="2884"/>
      <c r="Z157" s="2884"/>
      <c r="AA157" s="2884"/>
      <c r="AB157" s="2885"/>
      <c r="AC157" s="384"/>
      <c r="AD157" s="385"/>
      <c r="AE157" s="385"/>
      <c r="AF157" s="4651"/>
    </row>
    <row r="158" spans="1:32" ht="34.5" customHeight="1" thickBot="1">
      <c r="A158" s="4564"/>
      <c r="B158" s="4479"/>
      <c r="C158" s="2846"/>
      <c r="D158" s="1980"/>
      <c r="E158" s="1980"/>
      <c r="F158" s="1980"/>
      <c r="G158" s="1980"/>
      <c r="H158" s="1980"/>
      <c r="I158" s="1980"/>
      <c r="J158" s="1980"/>
      <c r="K158" s="1980"/>
      <c r="L158" s="1980"/>
      <c r="M158" s="1981"/>
      <c r="N158" s="1981"/>
      <c r="O158" s="1981"/>
      <c r="P158" s="1980"/>
      <c r="Q158" s="1980"/>
      <c r="R158" s="1980"/>
      <c r="S158" s="4703" t="s">
        <v>806</v>
      </c>
      <c r="T158" s="4704"/>
      <c r="U158" s="4704"/>
      <c r="V158" s="4704"/>
      <c r="W158" s="4704"/>
      <c r="X158" s="4704"/>
      <c r="Y158" s="4704"/>
      <c r="Z158" s="4704"/>
      <c r="AA158" s="2235" t="s">
        <v>340</v>
      </c>
      <c r="AB158" s="2984">
        <f>SUM(AB93:AB157)</f>
        <v>92575.82</v>
      </c>
      <c r="AC158" s="4641"/>
      <c r="AD158" s="4642"/>
      <c r="AE158" s="4642"/>
      <c r="AF158" s="4643"/>
    </row>
    <row r="159" spans="1:32" ht="34.5" customHeight="1">
      <c r="A159" s="4564"/>
      <c r="B159" s="4571" t="s">
        <v>807</v>
      </c>
      <c r="C159" s="4671" t="s">
        <v>235</v>
      </c>
      <c r="D159" s="4475" t="s">
        <v>236</v>
      </c>
      <c r="E159" s="4475" t="s">
        <v>244</v>
      </c>
      <c r="F159" s="4475" t="s">
        <v>808</v>
      </c>
      <c r="G159" s="4672" t="s">
        <v>239</v>
      </c>
      <c r="H159" s="4328" t="s">
        <v>240</v>
      </c>
      <c r="I159" s="4328" t="s">
        <v>257</v>
      </c>
      <c r="J159" s="4339" t="s">
        <v>4445</v>
      </c>
      <c r="K159" s="4682" t="s">
        <v>809</v>
      </c>
      <c r="L159" s="4475" t="s">
        <v>810</v>
      </c>
      <c r="M159" s="4344">
        <v>0</v>
      </c>
      <c r="N159" s="4344">
        <v>4</v>
      </c>
      <c r="O159" s="4344">
        <v>4</v>
      </c>
      <c r="P159" s="4345" t="s">
        <v>4422</v>
      </c>
      <c r="Q159" s="4345" t="s">
        <v>4371</v>
      </c>
      <c r="R159" s="4691" t="s">
        <v>4359</v>
      </c>
      <c r="S159" s="2850"/>
      <c r="T159" s="2863"/>
      <c r="U159" s="2863"/>
      <c r="V159" s="2874"/>
      <c r="W159" s="2815"/>
      <c r="X159" s="381"/>
      <c r="Y159" s="2816"/>
      <c r="Z159" s="2816"/>
      <c r="AA159" s="2886"/>
      <c r="AB159" s="2883"/>
      <c r="AC159" s="390"/>
      <c r="AD159" s="389"/>
      <c r="AE159" s="389"/>
      <c r="AF159" s="1964"/>
    </row>
    <row r="160" spans="1:32" ht="34.5" customHeight="1">
      <c r="A160" s="4564"/>
      <c r="B160" s="4570"/>
      <c r="C160" s="4331"/>
      <c r="D160" s="4215"/>
      <c r="E160" s="4215"/>
      <c r="F160" s="4215"/>
      <c r="G160" s="4215"/>
      <c r="H160" s="4215"/>
      <c r="I160" s="4215"/>
      <c r="J160" s="4340"/>
      <c r="K160" s="4676"/>
      <c r="L160" s="4215"/>
      <c r="M160" s="4226"/>
      <c r="N160" s="4226"/>
      <c r="O160" s="4226"/>
      <c r="P160" s="4215"/>
      <c r="Q160" s="4215"/>
      <c r="R160" s="4233"/>
      <c r="S160" s="2847"/>
      <c r="T160" s="2698"/>
      <c r="U160" s="2698"/>
      <c r="V160" s="2873"/>
      <c r="W160" s="2881"/>
      <c r="X160" s="390"/>
      <c r="Y160" s="2886"/>
      <c r="Z160" s="2982"/>
      <c r="AA160" s="2982"/>
      <c r="AB160" s="2883"/>
      <c r="AC160" s="390"/>
      <c r="AD160" s="389"/>
      <c r="AE160" s="389"/>
      <c r="AF160" s="1964"/>
    </row>
    <row r="161" spans="1:32" ht="34.5" customHeight="1">
      <c r="A161" s="4564"/>
      <c r="B161" s="4570"/>
      <c r="C161" s="4331"/>
      <c r="D161" s="4215"/>
      <c r="E161" s="4215"/>
      <c r="F161" s="4215"/>
      <c r="G161" s="4215"/>
      <c r="H161" s="4215"/>
      <c r="I161" s="4215"/>
      <c r="J161" s="4340"/>
      <c r="K161" s="4676"/>
      <c r="L161" s="4215"/>
      <c r="M161" s="4226"/>
      <c r="N161" s="4226"/>
      <c r="O161" s="4226"/>
      <c r="P161" s="4215"/>
      <c r="Q161" s="4215"/>
      <c r="R161" s="4233"/>
      <c r="S161" s="2847"/>
      <c r="T161" s="2698"/>
      <c r="U161" s="2698"/>
      <c r="V161" s="2873"/>
      <c r="W161" s="2881"/>
      <c r="X161" s="390"/>
      <c r="Y161" s="2886"/>
      <c r="Z161" s="2982"/>
      <c r="AA161" s="2982"/>
      <c r="AB161" s="2883"/>
      <c r="AC161" s="390"/>
      <c r="AD161" s="389"/>
      <c r="AE161" s="389"/>
      <c r="AF161" s="1964"/>
    </row>
    <row r="162" spans="1:32" ht="34.5" customHeight="1">
      <c r="A162" s="4564"/>
      <c r="B162" s="4570"/>
      <c r="C162" s="4331"/>
      <c r="D162" s="4215"/>
      <c r="E162" s="4215"/>
      <c r="F162" s="4215"/>
      <c r="G162" s="4215"/>
      <c r="H162" s="4215"/>
      <c r="I162" s="4215"/>
      <c r="J162" s="4340"/>
      <c r="K162" s="4676"/>
      <c r="L162" s="4215"/>
      <c r="M162" s="4226"/>
      <c r="N162" s="4226"/>
      <c r="O162" s="4226"/>
      <c r="P162" s="4215"/>
      <c r="Q162" s="4215"/>
      <c r="R162" s="4233"/>
      <c r="S162" s="2847"/>
      <c r="T162" s="2698"/>
      <c r="U162" s="2698"/>
      <c r="V162" s="2873"/>
      <c r="W162" s="2881"/>
      <c r="X162" s="390"/>
      <c r="Y162" s="2886"/>
      <c r="Z162" s="2982"/>
      <c r="AA162" s="2982"/>
      <c r="AB162" s="2883"/>
      <c r="AC162" s="390"/>
      <c r="AD162" s="389"/>
      <c r="AE162" s="389"/>
      <c r="AF162" s="1964"/>
    </row>
    <row r="163" spans="1:32" ht="34.5" customHeight="1">
      <c r="A163" s="4564"/>
      <c r="B163" s="4570"/>
      <c r="C163" s="4332"/>
      <c r="D163" s="4216"/>
      <c r="E163" s="4216"/>
      <c r="F163" s="4216"/>
      <c r="G163" s="4216"/>
      <c r="H163" s="4216"/>
      <c r="I163" s="4216"/>
      <c r="J163" s="4341"/>
      <c r="K163" s="4677"/>
      <c r="L163" s="4216"/>
      <c r="M163" s="4247"/>
      <c r="N163" s="4247"/>
      <c r="O163" s="4247"/>
      <c r="P163" s="4216"/>
      <c r="Q163" s="4216"/>
      <c r="R163" s="4258"/>
      <c r="S163" s="2852"/>
      <c r="T163" s="2861"/>
      <c r="U163" s="2861"/>
      <c r="V163" s="2869"/>
      <c r="W163" s="2880"/>
      <c r="X163" s="384"/>
      <c r="Y163" s="2884"/>
      <c r="Z163" s="2884"/>
      <c r="AA163" s="2884"/>
      <c r="AB163" s="2885"/>
      <c r="AC163" s="384"/>
      <c r="AD163" s="385"/>
      <c r="AE163" s="385"/>
      <c r="AF163" s="1965"/>
    </row>
    <row r="164" spans="1:32" ht="42.75" customHeight="1">
      <c r="A164" s="4564"/>
      <c r="B164" s="4570"/>
      <c r="C164" s="4671" t="s">
        <v>235</v>
      </c>
      <c r="D164" s="4475" t="s">
        <v>236</v>
      </c>
      <c r="E164" s="4475" t="s">
        <v>244</v>
      </c>
      <c r="F164" s="4475" t="s">
        <v>808</v>
      </c>
      <c r="G164" s="4672" t="s">
        <v>239</v>
      </c>
      <c r="H164" s="4328" t="s">
        <v>240</v>
      </c>
      <c r="I164" s="4328" t="s">
        <v>257</v>
      </c>
      <c r="J164" s="4483" t="s">
        <v>4444</v>
      </c>
      <c r="K164" s="4682" t="s">
        <v>811</v>
      </c>
      <c r="L164" s="4328" t="s">
        <v>812</v>
      </c>
      <c r="M164" s="4344">
        <v>0</v>
      </c>
      <c r="N164" s="4249">
        <v>4</v>
      </c>
      <c r="O164" s="4344">
        <v>0</v>
      </c>
      <c r="P164" s="4345" t="s">
        <v>4423</v>
      </c>
      <c r="Q164" s="4345" t="s">
        <v>4370</v>
      </c>
      <c r="R164" s="4690" t="s">
        <v>813</v>
      </c>
      <c r="S164" s="2854"/>
      <c r="T164" s="2863"/>
      <c r="U164" s="2863"/>
      <c r="V164" s="2814"/>
      <c r="W164" s="2815"/>
      <c r="X164" s="381"/>
      <c r="Y164" s="2816"/>
      <c r="Z164" s="2816"/>
      <c r="AA164" s="2816"/>
      <c r="AB164" s="2818"/>
      <c r="AC164" s="381"/>
      <c r="AD164" s="382"/>
      <c r="AE164" s="382"/>
      <c r="AF164" s="1964"/>
    </row>
    <row r="165" spans="1:32" ht="42.75" customHeight="1">
      <c r="A165" s="4564"/>
      <c r="B165" s="4570"/>
      <c r="C165" s="4331"/>
      <c r="D165" s="4215"/>
      <c r="E165" s="4215"/>
      <c r="F165" s="4215"/>
      <c r="G165" s="4215"/>
      <c r="H165" s="4215"/>
      <c r="I165" s="4215"/>
      <c r="J165" s="4340"/>
      <c r="K165" s="4676"/>
      <c r="L165" s="4215"/>
      <c r="M165" s="4226"/>
      <c r="N165" s="4226"/>
      <c r="O165" s="4226"/>
      <c r="P165" s="4215"/>
      <c r="Q165" s="4215"/>
      <c r="R165" s="4233"/>
      <c r="S165" s="2847"/>
      <c r="T165" s="2698"/>
      <c r="U165" s="2698"/>
      <c r="V165" s="2873"/>
      <c r="W165" s="2881"/>
      <c r="X165" s="390"/>
      <c r="Y165" s="2886"/>
      <c r="Z165" s="2886"/>
      <c r="AA165" s="2886"/>
      <c r="AB165" s="2883"/>
      <c r="AC165" s="390"/>
      <c r="AD165" s="389"/>
      <c r="AE165" s="389"/>
      <c r="AF165" s="1964"/>
    </row>
    <row r="166" spans="1:32" ht="42.75" customHeight="1">
      <c r="A166" s="4564"/>
      <c r="B166" s="4570"/>
      <c r="C166" s="4331"/>
      <c r="D166" s="4215"/>
      <c r="E166" s="4215"/>
      <c r="F166" s="4215"/>
      <c r="G166" s="4215"/>
      <c r="H166" s="4215"/>
      <c r="I166" s="4215"/>
      <c r="J166" s="4340"/>
      <c r="K166" s="4676"/>
      <c r="L166" s="4215"/>
      <c r="M166" s="4226"/>
      <c r="N166" s="4226"/>
      <c r="O166" s="4226"/>
      <c r="P166" s="4215"/>
      <c r="Q166" s="4215"/>
      <c r="R166" s="4233"/>
      <c r="S166" s="2847"/>
      <c r="T166" s="2698"/>
      <c r="U166" s="2698"/>
      <c r="V166" s="2873"/>
      <c r="W166" s="2881"/>
      <c r="X166" s="390"/>
      <c r="Y166" s="2886"/>
      <c r="Z166" s="2886"/>
      <c r="AA166" s="2886"/>
      <c r="AB166" s="2883"/>
      <c r="AC166" s="390"/>
      <c r="AD166" s="389"/>
      <c r="AE166" s="389"/>
      <c r="AF166" s="1964"/>
    </row>
    <row r="167" spans="1:32" ht="42.75" customHeight="1">
      <c r="A167" s="4564"/>
      <c r="B167" s="4570"/>
      <c r="C167" s="4331"/>
      <c r="D167" s="4215"/>
      <c r="E167" s="4215"/>
      <c r="F167" s="4215"/>
      <c r="G167" s="4215"/>
      <c r="H167" s="4215"/>
      <c r="I167" s="4215"/>
      <c r="J167" s="4340"/>
      <c r="K167" s="4676"/>
      <c r="L167" s="4215"/>
      <c r="M167" s="4226"/>
      <c r="N167" s="4226"/>
      <c r="O167" s="4226"/>
      <c r="P167" s="4215"/>
      <c r="Q167" s="4215"/>
      <c r="R167" s="4233"/>
      <c r="S167" s="2847"/>
      <c r="T167" s="2698"/>
      <c r="U167" s="2698"/>
      <c r="V167" s="2873"/>
      <c r="W167" s="2881"/>
      <c r="X167" s="390"/>
      <c r="Y167" s="2886"/>
      <c r="Z167" s="2886"/>
      <c r="AA167" s="2886"/>
      <c r="AB167" s="2883"/>
      <c r="AC167" s="390"/>
      <c r="AD167" s="389"/>
      <c r="AE167" s="389"/>
      <c r="AF167" s="1964"/>
    </row>
    <row r="168" spans="1:32" ht="42.75" customHeight="1">
      <c r="A168" s="4564"/>
      <c r="B168" s="4570"/>
      <c r="C168" s="4332"/>
      <c r="D168" s="4216"/>
      <c r="E168" s="4216"/>
      <c r="F168" s="4216"/>
      <c r="G168" s="4216"/>
      <c r="H168" s="4216"/>
      <c r="I168" s="4216"/>
      <c r="J168" s="4341"/>
      <c r="K168" s="4677"/>
      <c r="L168" s="4216"/>
      <c r="M168" s="4247"/>
      <c r="N168" s="4247"/>
      <c r="O168" s="4247"/>
      <c r="P168" s="4216"/>
      <c r="Q168" s="4216"/>
      <c r="R168" s="4258"/>
      <c r="S168" s="2852"/>
      <c r="T168" s="2861"/>
      <c r="U168" s="2861"/>
      <c r="V168" s="2869"/>
      <c r="W168" s="2880"/>
      <c r="X168" s="384"/>
      <c r="Y168" s="2884"/>
      <c r="Z168" s="2884"/>
      <c r="AA168" s="2884"/>
      <c r="AB168" s="2885"/>
      <c r="AC168" s="384"/>
      <c r="AD168" s="385"/>
      <c r="AE168" s="385"/>
      <c r="AF168" s="1965"/>
    </row>
    <row r="169" spans="1:32" ht="24.75" customHeight="1">
      <c r="A169" s="4564"/>
      <c r="B169" s="4570"/>
      <c r="C169" s="4673" t="s">
        <v>235</v>
      </c>
      <c r="D169" s="4482" t="s">
        <v>236</v>
      </c>
      <c r="E169" s="4482" t="s">
        <v>237</v>
      </c>
      <c r="F169" s="4482" t="s">
        <v>370</v>
      </c>
      <c r="G169" s="4666" t="s">
        <v>239</v>
      </c>
      <c r="H169" s="4273" t="s">
        <v>240</v>
      </c>
      <c r="I169" s="4273" t="s">
        <v>257</v>
      </c>
      <c r="J169" s="4483" t="s">
        <v>4443</v>
      </c>
      <c r="K169" s="4682" t="s">
        <v>814</v>
      </c>
      <c r="L169" s="4273" t="s">
        <v>815</v>
      </c>
      <c r="M169" s="4336">
        <v>0</v>
      </c>
      <c r="N169" s="4246">
        <v>1</v>
      </c>
      <c r="O169" s="4336">
        <v>0</v>
      </c>
      <c r="P169" s="4228" t="s">
        <v>4424</v>
      </c>
      <c r="Q169" s="4228" t="s">
        <v>4369</v>
      </c>
      <c r="R169" s="4690" t="s">
        <v>816</v>
      </c>
      <c r="S169" s="2854"/>
      <c r="T169" s="2863"/>
      <c r="U169" s="2863"/>
      <c r="V169" s="2814"/>
      <c r="W169" s="2815"/>
      <c r="X169" s="381"/>
      <c r="Y169" s="2816"/>
      <c r="Z169" s="2816"/>
      <c r="AA169" s="2816"/>
      <c r="AB169" s="2818"/>
      <c r="AC169" s="381"/>
      <c r="AD169" s="382"/>
      <c r="AE169" s="382"/>
      <c r="AF169" s="1964"/>
    </row>
    <row r="170" spans="1:32" ht="24.75" customHeight="1">
      <c r="A170" s="4564"/>
      <c r="B170" s="4570"/>
      <c r="C170" s="4331"/>
      <c r="D170" s="4215"/>
      <c r="E170" s="4215"/>
      <c r="F170" s="4215"/>
      <c r="G170" s="4215"/>
      <c r="H170" s="4215"/>
      <c r="I170" s="4215"/>
      <c r="J170" s="4340"/>
      <c r="K170" s="4676"/>
      <c r="L170" s="4215"/>
      <c r="M170" s="4226"/>
      <c r="N170" s="4226"/>
      <c r="O170" s="4226"/>
      <c r="P170" s="4215"/>
      <c r="Q170" s="4215"/>
      <c r="R170" s="4233"/>
      <c r="S170" s="2847"/>
      <c r="T170" s="2698"/>
      <c r="U170" s="2698"/>
      <c r="V170" s="2873"/>
      <c r="W170" s="2881"/>
      <c r="X170" s="390"/>
      <c r="Y170" s="2886"/>
      <c r="Z170" s="2886"/>
      <c r="AA170" s="2886"/>
      <c r="AB170" s="2883"/>
      <c r="AC170" s="390"/>
      <c r="AD170" s="389"/>
      <c r="AE170" s="389"/>
      <c r="AF170" s="1964"/>
    </row>
    <row r="171" spans="1:32" ht="24.75" customHeight="1">
      <c r="A171" s="4564"/>
      <c r="B171" s="4570"/>
      <c r="C171" s="4331"/>
      <c r="D171" s="4215"/>
      <c r="E171" s="4215"/>
      <c r="F171" s="4215"/>
      <c r="G171" s="4215"/>
      <c r="H171" s="4215"/>
      <c r="I171" s="4215"/>
      <c r="J171" s="4340"/>
      <c r="K171" s="4676"/>
      <c r="L171" s="4215"/>
      <c r="M171" s="4226"/>
      <c r="N171" s="4226"/>
      <c r="O171" s="4226"/>
      <c r="P171" s="4215"/>
      <c r="Q171" s="4215"/>
      <c r="R171" s="4233"/>
      <c r="S171" s="2847"/>
      <c r="T171" s="2698"/>
      <c r="U171" s="2698"/>
      <c r="V171" s="2873"/>
      <c r="W171" s="2881"/>
      <c r="X171" s="390"/>
      <c r="Y171" s="2886"/>
      <c r="Z171" s="2886"/>
      <c r="AA171" s="2886"/>
      <c r="AB171" s="2883"/>
      <c r="AC171" s="390"/>
      <c r="AD171" s="389"/>
      <c r="AE171" s="389"/>
      <c r="AF171" s="1964"/>
    </row>
    <row r="172" spans="1:32" ht="24.75" customHeight="1">
      <c r="A172" s="4564"/>
      <c r="B172" s="4570"/>
      <c r="C172" s="4331"/>
      <c r="D172" s="4215"/>
      <c r="E172" s="4215"/>
      <c r="F172" s="4215"/>
      <c r="G172" s="4215"/>
      <c r="H172" s="4215"/>
      <c r="I172" s="4215"/>
      <c r="J172" s="4340"/>
      <c r="K172" s="4676"/>
      <c r="L172" s="4215"/>
      <c r="M172" s="4226"/>
      <c r="N172" s="4226"/>
      <c r="O172" s="4226"/>
      <c r="P172" s="4215"/>
      <c r="Q172" s="4215"/>
      <c r="R172" s="4233"/>
      <c r="S172" s="2847"/>
      <c r="T172" s="2698"/>
      <c r="U172" s="2698"/>
      <c r="V172" s="2873"/>
      <c r="W172" s="2881"/>
      <c r="X172" s="390"/>
      <c r="Y172" s="2886"/>
      <c r="Z172" s="2886"/>
      <c r="AA172" s="2886"/>
      <c r="AB172" s="2883"/>
      <c r="AC172" s="390"/>
      <c r="AD172" s="389"/>
      <c r="AE172" s="389"/>
      <c r="AF172" s="1964"/>
    </row>
    <row r="173" spans="1:32" ht="24.75" customHeight="1">
      <c r="A173" s="4564"/>
      <c r="B173" s="4570"/>
      <c r="C173" s="4332"/>
      <c r="D173" s="4216"/>
      <c r="E173" s="4216"/>
      <c r="F173" s="4216"/>
      <c r="G173" s="4216"/>
      <c r="H173" s="4216"/>
      <c r="I173" s="4216"/>
      <c r="J173" s="4341"/>
      <c r="K173" s="4677"/>
      <c r="L173" s="4216"/>
      <c r="M173" s="4247"/>
      <c r="N173" s="4247"/>
      <c r="O173" s="4247"/>
      <c r="P173" s="4216"/>
      <c r="Q173" s="4216"/>
      <c r="R173" s="4258"/>
      <c r="S173" s="2852"/>
      <c r="T173" s="2861"/>
      <c r="U173" s="2861"/>
      <c r="V173" s="2869"/>
      <c r="W173" s="2880"/>
      <c r="X173" s="384"/>
      <c r="Y173" s="2884"/>
      <c r="Z173" s="2884"/>
      <c r="AA173" s="2884"/>
      <c r="AB173" s="2885"/>
      <c r="AC173" s="384"/>
      <c r="AD173" s="385"/>
      <c r="AE173" s="385"/>
      <c r="AF173" s="1965"/>
    </row>
    <row r="174" spans="1:32" ht="42.75" customHeight="1">
      <c r="A174" s="4564"/>
      <c r="B174" s="4570"/>
      <c r="C174" s="4626" t="s">
        <v>272</v>
      </c>
      <c r="D174" s="4273" t="s">
        <v>302</v>
      </c>
      <c r="E174" s="4273" t="s">
        <v>680</v>
      </c>
      <c r="F174" s="4273" t="s">
        <v>817</v>
      </c>
      <c r="G174" s="4338" t="s">
        <v>305</v>
      </c>
      <c r="H174" s="4273" t="s">
        <v>240</v>
      </c>
      <c r="I174" s="4273" t="s">
        <v>257</v>
      </c>
      <c r="J174" s="4483" t="s">
        <v>4442</v>
      </c>
      <c r="K174" s="4682" t="s">
        <v>818</v>
      </c>
      <c r="L174" s="4482" t="s">
        <v>819</v>
      </c>
      <c r="M174" s="4246">
        <v>0</v>
      </c>
      <c r="N174" s="4246">
        <v>300</v>
      </c>
      <c r="O174" s="4246">
        <v>300</v>
      </c>
      <c r="P174" s="4228" t="s">
        <v>4425</v>
      </c>
      <c r="Q174" s="4228" t="s">
        <v>4368</v>
      </c>
      <c r="R174" s="4690" t="s">
        <v>813</v>
      </c>
      <c r="S174" s="2854"/>
      <c r="T174" s="2863"/>
      <c r="U174" s="2863"/>
      <c r="V174" s="2814"/>
      <c r="W174" s="2815"/>
      <c r="X174" s="381"/>
      <c r="Y174" s="2816"/>
      <c r="Z174" s="2816"/>
      <c r="AA174" s="2816"/>
      <c r="AB174" s="2818"/>
      <c r="AC174" s="381"/>
      <c r="AD174" s="382"/>
      <c r="AE174" s="382"/>
      <c r="AF174" s="1964"/>
    </row>
    <row r="175" spans="1:32" s="2294" customFormat="1" ht="42.75" customHeight="1">
      <c r="A175" s="4564"/>
      <c r="B175" s="4570"/>
      <c r="C175" s="4625"/>
      <c r="D175" s="4328"/>
      <c r="E175" s="4328"/>
      <c r="F175" s="4328"/>
      <c r="G175" s="4329"/>
      <c r="H175" s="4328"/>
      <c r="I175" s="4328"/>
      <c r="J175" s="4741"/>
      <c r="K175" s="4742"/>
      <c r="L175" s="4475"/>
      <c r="M175" s="4249"/>
      <c r="N175" s="4249"/>
      <c r="O175" s="4249"/>
      <c r="P175" s="4328"/>
      <c r="Q175" s="4328"/>
      <c r="R175" s="4740"/>
      <c r="S175" s="2854"/>
      <c r="T175" s="2863"/>
      <c r="U175" s="2863"/>
      <c r="V175" s="2814"/>
      <c r="W175" s="2815"/>
      <c r="X175" s="381"/>
      <c r="Y175" s="2816"/>
      <c r="Z175" s="2816"/>
      <c r="AA175" s="2816"/>
      <c r="AB175" s="2818"/>
      <c r="AC175" s="381"/>
      <c r="AD175" s="382"/>
      <c r="AE175" s="382"/>
      <c r="AF175" s="1964"/>
    </row>
    <row r="176" spans="1:32" s="2294" customFormat="1" ht="42.75" customHeight="1">
      <c r="A176" s="4564"/>
      <c r="B176" s="4570"/>
      <c r="C176" s="4625"/>
      <c r="D176" s="4328"/>
      <c r="E176" s="4328"/>
      <c r="F176" s="4328"/>
      <c r="G176" s="4329"/>
      <c r="H176" s="4328"/>
      <c r="I176" s="4328"/>
      <c r="J176" s="4741"/>
      <c r="K176" s="4742"/>
      <c r="L176" s="4475"/>
      <c r="M176" s="4249"/>
      <c r="N176" s="4249"/>
      <c r="O176" s="4249"/>
      <c r="P176" s="4328"/>
      <c r="Q176" s="4328"/>
      <c r="R176" s="4740"/>
      <c r="S176" s="2854"/>
      <c r="T176" s="2863"/>
      <c r="U176" s="2863"/>
      <c r="V176" s="2814"/>
      <c r="W176" s="2815"/>
      <c r="X176" s="381"/>
      <c r="Y176" s="2816"/>
      <c r="Z176" s="2816"/>
      <c r="AA176" s="2816"/>
      <c r="AB176" s="2818"/>
      <c r="AC176" s="381"/>
      <c r="AD176" s="382"/>
      <c r="AE176" s="382"/>
      <c r="AF176" s="1964"/>
    </row>
    <row r="177" spans="1:32" ht="42.75" customHeight="1">
      <c r="A177" s="4564"/>
      <c r="B177" s="4570"/>
      <c r="C177" s="4331"/>
      <c r="D177" s="4215"/>
      <c r="E177" s="4215"/>
      <c r="F177" s="4215"/>
      <c r="G177" s="4215"/>
      <c r="H177" s="4215"/>
      <c r="I177" s="4215"/>
      <c r="J177" s="4340"/>
      <c r="K177" s="4676"/>
      <c r="L177" s="4215"/>
      <c r="M177" s="4226"/>
      <c r="N177" s="4226"/>
      <c r="O177" s="4226"/>
      <c r="P177" s="4215"/>
      <c r="Q177" s="4215"/>
      <c r="R177" s="4233"/>
      <c r="S177" s="2847"/>
      <c r="T177" s="2698"/>
      <c r="U177" s="2698"/>
      <c r="V177" s="2873"/>
      <c r="W177" s="2881"/>
      <c r="X177" s="390"/>
      <c r="Y177" s="2886"/>
      <c r="Z177" s="2886"/>
      <c r="AA177" s="2886"/>
      <c r="AB177" s="2883"/>
      <c r="AC177" s="390"/>
      <c r="AD177" s="389"/>
      <c r="AE177" s="389"/>
      <c r="AF177" s="1964"/>
    </row>
    <row r="178" spans="1:32" ht="42.75" customHeight="1">
      <c r="A178" s="4564"/>
      <c r="B178" s="4570"/>
      <c r="C178" s="4332"/>
      <c r="D178" s="4216"/>
      <c r="E178" s="4216"/>
      <c r="F178" s="4216"/>
      <c r="G178" s="4216"/>
      <c r="H178" s="4216"/>
      <c r="I178" s="4216"/>
      <c r="J178" s="4341"/>
      <c r="K178" s="4677"/>
      <c r="L178" s="4216"/>
      <c r="M178" s="4247"/>
      <c r="N178" s="4247"/>
      <c r="O178" s="4247"/>
      <c r="P178" s="4216"/>
      <c r="Q178" s="4216"/>
      <c r="R178" s="4258"/>
      <c r="S178" s="2852"/>
      <c r="T178" s="2861"/>
      <c r="U178" s="2861"/>
      <c r="V178" s="2869"/>
      <c r="W178" s="2880"/>
      <c r="X178" s="384"/>
      <c r="Y178" s="2884"/>
      <c r="Z178" s="2884"/>
      <c r="AA178" s="2884"/>
      <c r="AB178" s="2885"/>
      <c r="AC178" s="384"/>
      <c r="AD178" s="385"/>
      <c r="AE178" s="385"/>
      <c r="AF178" s="1965"/>
    </row>
    <row r="179" spans="1:32" ht="24.75" customHeight="1">
      <c r="A179" s="4564"/>
      <c r="B179" s="4570"/>
      <c r="C179" s="4671" t="s">
        <v>235</v>
      </c>
      <c r="D179" s="4475" t="s">
        <v>236</v>
      </c>
      <c r="E179" s="4475" t="s">
        <v>237</v>
      </c>
      <c r="F179" s="4475" t="s">
        <v>370</v>
      </c>
      <c r="G179" s="4672" t="s">
        <v>239</v>
      </c>
      <c r="H179" s="4328" t="s">
        <v>240</v>
      </c>
      <c r="I179" s="4328" t="s">
        <v>257</v>
      </c>
      <c r="J179" s="4483" t="s">
        <v>4441</v>
      </c>
      <c r="K179" s="4682" t="s">
        <v>820</v>
      </c>
      <c r="L179" s="4475" t="s">
        <v>821</v>
      </c>
      <c r="M179" s="4344">
        <v>0</v>
      </c>
      <c r="N179" s="4344">
        <v>1</v>
      </c>
      <c r="O179" s="4344">
        <v>1</v>
      </c>
      <c r="P179" s="4345" t="s">
        <v>4426</v>
      </c>
      <c r="Q179" s="4345" t="s">
        <v>4367</v>
      </c>
      <c r="R179" s="4690" t="s">
        <v>816</v>
      </c>
      <c r="S179" s="2854"/>
      <c r="T179" s="2863"/>
      <c r="U179" s="2863"/>
      <c r="V179" s="2814"/>
      <c r="W179" s="2815"/>
      <c r="X179" s="381"/>
      <c r="Y179" s="2816"/>
      <c r="Z179" s="2816"/>
      <c r="AA179" s="2816"/>
      <c r="AB179" s="2818"/>
      <c r="AC179" s="381"/>
      <c r="AD179" s="382"/>
      <c r="AE179" s="382"/>
      <c r="AF179" s="1964"/>
    </row>
    <row r="180" spans="1:32" ht="24.75" customHeight="1">
      <c r="A180" s="4564"/>
      <c r="B180" s="4570"/>
      <c r="C180" s="4331"/>
      <c r="D180" s="4215"/>
      <c r="E180" s="4215"/>
      <c r="F180" s="4215"/>
      <c r="G180" s="4215"/>
      <c r="H180" s="4215"/>
      <c r="I180" s="4215"/>
      <c r="J180" s="4340"/>
      <c r="K180" s="4676"/>
      <c r="L180" s="4215"/>
      <c r="M180" s="4226"/>
      <c r="N180" s="4226"/>
      <c r="O180" s="4226"/>
      <c r="P180" s="4215"/>
      <c r="Q180" s="4215"/>
      <c r="R180" s="4233"/>
      <c r="S180" s="2847"/>
      <c r="T180" s="2698"/>
      <c r="U180" s="2698"/>
      <c r="V180" s="2873"/>
      <c r="W180" s="2881"/>
      <c r="X180" s="390"/>
      <c r="Y180" s="2886"/>
      <c r="Z180" s="2886"/>
      <c r="AA180" s="2886"/>
      <c r="AB180" s="2883"/>
      <c r="AC180" s="390"/>
      <c r="AD180" s="389"/>
      <c r="AE180" s="389"/>
      <c r="AF180" s="1964"/>
    </row>
    <row r="181" spans="1:32" s="2294" customFormat="1" ht="24.75" customHeight="1">
      <c r="A181" s="4564"/>
      <c r="B181" s="4570"/>
      <c r="C181" s="4331"/>
      <c r="D181" s="4215"/>
      <c r="E181" s="4215"/>
      <c r="F181" s="4215"/>
      <c r="G181" s="4215"/>
      <c r="H181" s="4215"/>
      <c r="I181" s="4215"/>
      <c r="J181" s="4340"/>
      <c r="K181" s="4676"/>
      <c r="L181" s="4215"/>
      <c r="M181" s="4226"/>
      <c r="N181" s="4226"/>
      <c r="O181" s="4226"/>
      <c r="P181" s="4215"/>
      <c r="Q181" s="4215"/>
      <c r="R181" s="4233"/>
      <c r="S181" s="2847"/>
      <c r="T181" s="2698"/>
      <c r="U181" s="2698"/>
      <c r="V181" s="2873"/>
      <c r="W181" s="2881"/>
      <c r="X181" s="390"/>
      <c r="Y181" s="2886"/>
      <c r="Z181" s="2886"/>
      <c r="AA181" s="2886"/>
      <c r="AB181" s="2883"/>
      <c r="AC181" s="390"/>
      <c r="AD181" s="389"/>
      <c r="AE181" s="389"/>
      <c r="AF181" s="1964"/>
    </row>
    <row r="182" spans="1:32" ht="24.75" customHeight="1">
      <c r="A182" s="4564"/>
      <c r="B182" s="4570"/>
      <c r="C182" s="4331"/>
      <c r="D182" s="4215"/>
      <c r="E182" s="4215"/>
      <c r="F182" s="4215"/>
      <c r="G182" s="4215"/>
      <c r="H182" s="4215"/>
      <c r="I182" s="4215"/>
      <c r="J182" s="4340"/>
      <c r="K182" s="4676"/>
      <c r="L182" s="4215"/>
      <c r="M182" s="4226"/>
      <c r="N182" s="4226"/>
      <c r="O182" s="4226"/>
      <c r="P182" s="4215"/>
      <c r="Q182" s="4215"/>
      <c r="R182" s="4233"/>
      <c r="S182" s="2847"/>
      <c r="T182" s="2698"/>
      <c r="U182" s="2698"/>
      <c r="V182" s="2873"/>
      <c r="W182" s="2881"/>
      <c r="X182" s="390"/>
      <c r="Y182" s="2886"/>
      <c r="Z182" s="2886"/>
      <c r="AA182" s="2886"/>
      <c r="AB182" s="2883"/>
      <c r="AC182" s="390"/>
      <c r="AD182" s="389"/>
      <c r="AE182" s="389"/>
      <c r="AF182" s="1964"/>
    </row>
    <row r="183" spans="1:32" ht="24.75" customHeight="1">
      <c r="A183" s="4564"/>
      <c r="B183" s="4570"/>
      <c r="C183" s="4332"/>
      <c r="D183" s="4216"/>
      <c r="E183" s="4216"/>
      <c r="F183" s="4216"/>
      <c r="G183" s="4216"/>
      <c r="H183" s="4216"/>
      <c r="I183" s="4216"/>
      <c r="J183" s="4341"/>
      <c r="K183" s="4677"/>
      <c r="L183" s="4216"/>
      <c r="M183" s="4247"/>
      <c r="N183" s="4247"/>
      <c r="O183" s="4247"/>
      <c r="P183" s="4216"/>
      <c r="Q183" s="4216"/>
      <c r="R183" s="4258"/>
      <c r="S183" s="2852"/>
      <c r="T183" s="2861"/>
      <c r="U183" s="2861"/>
      <c r="V183" s="2869"/>
      <c r="W183" s="2880"/>
      <c r="X183" s="384"/>
      <c r="Y183" s="2884"/>
      <c r="Z183" s="2884"/>
      <c r="AA183" s="2884"/>
      <c r="AB183" s="2885"/>
      <c r="AC183" s="384"/>
      <c r="AD183" s="385"/>
      <c r="AE183" s="385"/>
      <c r="AF183" s="1965"/>
    </row>
    <row r="184" spans="1:32" ht="52.5" customHeight="1">
      <c r="A184" s="4564"/>
      <c r="B184" s="4570"/>
      <c r="C184" s="4671" t="s">
        <v>235</v>
      </c>
      <c r="D184" s="4475" t="s">
        <v>236</v>
      </c>
      <c r="E184" s="4475" t="s">
        <v>244</v>
      </c>
      <c r="F184" s="4475" t="s">
        <v>808</v>
      </c>
      <c r="G184" s="4672" t="s">
        <v>239</v>
      </c>
      <c r="H184" s="4328" t="s">
        <v>240</v>
      </c>
      <c r="I184" s="4328" t="s">
        <v>257</v>
      </c>
      <c r="J184" s="4483" t="s">
        <v>4440</v>
      </c>
      <c r="K184" s="4682" t="s">
        <v>822</v>
      </c>
      <c r="L184" s="4328" t="s">
        <v>823</v>
      </c>
      <c r="M184" s="4249">
        <v>0</v>
      </c>
      <c r="N184" s="4246">
        <v>80</v>
      </c>
      <c r="O184" s="4246">
        <v>80</v>
      </c>
      <c r="P184" s="4345" t="s">
        <v>4427</v>
      </c>
      <c r="Q184" s="4345" t="s">
        <v>4366</v>
      </c>
      <c r="R184" s="4322" t="s">
        <v>813</v>
      </c>
      <c r="S184" s="2854"/>
      <c r="T184" s="2863"/>
      <c r="U184" s="2863"/>
      <c r="V184" s="2814"/>
      <c r="W184" s="2815"/>
      <c r="X184" s="381"/>
      <c r="Y184" s="2816"/>
      <c r="Z184" s="2816"/>
      <c r="AA184" s="2816"/>
      <c r="AB184" s="2818"/>
      <c r="AC184" s="381"/>
      <c r="AD184" s="382"/>
      <c r="AE184" s="382"/>
      <c r="AF184" s="1964"/>
    </row>
    <row r="185" spans="1:32" ht="52.5" customHeight="1">
      <c r="A185" s="4564"/>
      <c r="B185" s="4570"/>
      <c r="C185" s="4331"/>
      <c r="D185" s="4215"/>
      <c r="E185" s="4215"/>
      <c r="F185" s="4215"/>
      <c r="G185" s="4215"/>
      <c r="H185" s="4215"/>
      <c r="I185" s="4215"/>
      <c r="J185" s="4340"/>
      <c r="K185" s="4676"/>
      <c r="L185" s="4215"/>
      <c r="M185" s="4226"/>
      <c r="N185" s="4226"/>
      <c r="O185" s="4226"/>
      <c r="P185" s="4215"/>
      <c r="Q185" s="4215"/>
      <c r="R185" s="4233"/>
      <c r="S185" s="2847"/>
      <c r="T185" s="2698"/>
      <c r="U185" s="2698"/>
      <c r="V185" s="2873"/>
      <c r="W185" s="2881"/>
      <c r="X185" s="390"/>
      <c r="Y185" s="2886"/>
      <c r="Z185" s="2886"/>
      <c r="AA185" s="2886"/>
      <c r="AB185" s="2883"/>
      <c r="AC185" s="390"/>
      <c r="AD185" s="389"/>
      <c r="AE185" s="389"/>
      <c r="AF185" s="1964"/>
    </row>
    <row r="186" spans="1:32" ht="52.5" customHeight="1">
      <c r="A186" s="4564"/>
      <c r="B186" s="4570"/>
      <c r="C186" s="4331"/>
      <c r="D186" s="4215"/>
      <c r="E186" s="4215"/>
      <c r="F186" s="4215"/>
      <c r="G186" s="4215"/>
      <c r="H186" s="4215"/>
      <c r="I186" s="4215"/>
      <c r="J186" s="4340"/>
      <c r="K186" s="4676"/>
      <c r="L186" s="4215"/>
      <c r="M186" s="4226"/>
      <c r="N186" s="4226"/>
      <c r="O186" s="4226"/>
      <c r="P186" s="4215"/>
      <c r="Q186" s="4215"/>
      <c r="R186" s="4233"/>
      <c r="S186" s="2847"/>
      <c r="T186" s="2698"/>
      <c r="U186" s="2698"/>
      <c r="V186" s="2873"/>
      <c r="W186" s="2881"/>
      <c r="X186" s="390"/>
      <c r="Y186" s="2886"/>
      <c r="Z186" s="2886"/>
      <c r="AA186" s="2886"/>
      <c r="AB186" s="2883"/>
      <c r="AC186" s="390"/>
      <c r="AD186" s="389"/>
      <c r="AE186" s="389"/>
      <c r="AF186" s="1964"/>
    </row>
    <row r="187" spans="1:32" ht="52.5" customHeight="1">
      <c r="A187" s="4564"/>
      <c r="B187" s="4570"/>
      <c r="C187" s="4332"/>
      <c r="D187" s="4216"/>
      <c r="E187" s="4216"/>
      <c r="F187" s="4216"/>
      <c r="G187" s="4216"/>
      <c r="H187" s="4216"/>
      <c r="I187" s="4216"/>
      <c r="J187" s="4341"/>
      <c r="K187" s="4677"/>
      <c r="L187" s="4216"/>
      <c r="M187" s="4247"/>
      <c r="N187" s="4247"/>
      <c r="O187" s="4247"/>
      <c r="P187" s="4216"/>
      <c r="Q187" s="4216"/>
      <c r="R187" s="4258"/>
      <c r="S187" s="2852"/>
      <c r="T187" s="2861"/>
      <c r="U187" s="2861"/>
      <c r="V187" s="2869"/>
      <c r="W187" s="2880"/>
      <c r="X187" s="384"/>
      <c r="Y187" s="2884"/>
      <c r="Z187" s="2884"/>
      <c r="AA187" s="2884"/>
      <c r="AB187" s="2885"/>
      <c r="AC187" s="384"/>
      <c r="AD187" s="385"/>
      <c r="AE187" s="385"/>
      <c r="AF187" s="1965"/>
    </row>
    <row r="188" spans="1:32" ht="54.75" customHeight="1">
      <c r="A188" s="4564"/>
      <c r="B188" s="4570"/>
      <c r="C188" s="4667" t="s">
        <v>235</v>
      </c>
      <c r="D188" s="4482" t="s">
        <v>236</v>
      </c>
      <c r="E188" s="4482" t="s">
        <v>244</v>
      </c>
      <c r="F188" s="4482" t="s">
        <v>808</v>
      </c>
      <c r="G188" s="4666" t="s">
        <v>239</v>
      </c>
      <c r="H188" s="4273" t="s">
        <v>240</v>
      </c>
      <c r="I188" s="4273" t="s">
        <v>257</v>
      </c>
      <c r="J188" s="4330" t="s">
        <v>4439</v>
      </c>
      <c r="K188" s="4682" t="s">
        <v>824</v>
      </c>
      <c r="L188" s="4273" t="s">
        <v>825</v>
      </c>
      <c r="M188" s="4246">
        <v>0</v>
      </c>
      <c r="N188" s="4246">
        <v>276</v>
      </c>
      <c r="O188" s="4246">
        <v>276</v>
      </c>
      <c r="P188" s="4273" t="s">
        <v>826</v>
      </c>
      <c r="Q188" s="4228" t="s">
        <v>4365</v>
      </c>
      <c r="R188" s="4690" t="s">
        <v>813</v>
      </c>
      <c r="S188" s="2854"/>
      <c r="T188" s="2863"/>
      <c r="U188" s="2863"/>
      <c r="V188" s="2814"/>
      <c r="W188" s="2815"/>
      <c r="X188" s="381"/>
      <c r="Y188" s="2816"/>
      <c r="Z188" s="2816"/>
      <c r="AA188" s="2816"/>
      <c r="AB188" s="2818"/>
      <c r="AC188" s="381"/>
      <c r="AD188" s="382"/>
      <c r="AE188" s="382"/>
      <c r="AF188" s="1964"/>
    </row>
    <row r="189" spans="1:32" ht="54.75" customHeight="1">
      <c r="A189" s="4564"/>
      <c r="B189" s="4570"/>
      <c r="C189" s="4331"/>
      <c r="D189" s="4215"/>
      <c r="E189" s="4215"/>
      <c r="F189" s="4215"/>
      <c r="G189" s="4215"/>
      <c r="H189" s="4215"/>
      <c r="I189" s="4215"/>
      <c r="J189" s="4331"/>
      <c r="K189" s="4676"/>
      <c r="L189" s="4215"/>
      <c r="M189" s="4226"/>
      <c r="N189" s="4226"/>
      <c r="O189" s="4226"/>
      <c r="P189" s="4215"/>
      <c r="Q189" s="4215"/>
      <c r="R189" s="4233"/>
      <c r="S189" s="2847"/>
      <c r="T189" s="2698"/>
      <c r="U189" s="2698"/>
      <c r="V189" s="2873"/>
      <c r="W189" s="2881"/>
      <c r="X189" s="390"/>
      <c r="Y189" s="2886"/>
      <c r="Z189" s="2886"/>
      <c r="AA189" s="2886"/>
      <c r="AB189" s="2883"/>
      <c r="AC189" s="390"/>
      <c r="AD189" s="389"/>
      <c r="AE189" s="389"/>
      <c r="AF189" s="1964"/>
    </row>
    <row r="190" spans="1:32" ht="54.75" customHeight="1">
      <c r="A190" s="4564"/>
      <c r="B190" s="4570"/>
      <c r="C190" s="4331"/>
      <c r="D190" s="4215"/>
      <c r="E190" s="4215"/>
      <c r="F190" s="4215"/>
      <c r="G190" s="4215"/>
      <c r="H190" s="4215"/>
      <c r="I190" s="4215"/>
      <c r="J190" s="4331"/>
      <c r="K190" s="4676"/>
      <c r="L190" s="4215"/>
      <c r="M190" s="4226"/>
      <c r="N190" s="4226"/>
      <c r="O190" s="4226"/>
      <c r="P190" s="4215"/>
      <c r="Q190" s="4215"/>
      <c r="R190" s="4233"/>
      <c r="S190" s="2847"/>
      <c r="T190" s="2698"/>
      <c r="U190" s="2698"/>
      <c r="V190" s="2873"/>
      <c r="W190" s="2881"/>
      <c r="X190" s="390"/>
      <c r="Y190" s="2886"/>
      <c r="Z190" s="2886"/>
      <c r="AA190" s="2886"/>
      <c r="AB190" s="2883"/>
      <c r="AC190" s="390"/>
      <c r="AD190" s="389"/>
      <c r="AE190" s="389"/>
      <c r="AF190" s="1964"/>
    </row>
    <row r="191" spans="1:32" ht="54.75" customHeight="1">
      <c r="A191" s="4564"/>
      <c r="B191" s="4570"/>
      <c r="C191" s="4332"/>
      <c r="D191" s="4216"/>
      <c r="E191" s="4216"/>
      <c r="F191" s="4216"/>
      <c r="G191" s="4216"/>
      <c r="H191" s="4216"/>
      <c r="I191" s="4216"/>
      <c r="J191" s="4332"/>
      <c r="K191" s="4677"/>
      <c r="L191" s="4216"/>
      <c r="M191" s="4247"/>
      <c r="N191" s="4247"/>
      <c r="O191" s="4247"/>
      <c r="P191" s="4216"/>
      <c r="Q191" s="4216"/>
      <c r="R191" s="4258"/>
      <c r="S191" s="2852"/>
      <c r="T191" s="2861"/>
      <c r="U191" s="2861"/>
      <c r="V191" s="2869"/>
      <c r="W191" s="2880"/>
      <c r="X191" s="384"/>
      <c r="Y191" s="2884"/>
      <c r="Z191" s="2884"/>
      <c r="AA191" s="2884"/>
      <c r="AB191" s="2885"/>
      <c r="AC191" s="384"/>
      <c r="AD191" s="385"/>
      <c r="AE191" s="385"/>
      <c r="AF191" s="1965"/>
    </row>
    <row r="192" spans="1:32" ht="54" customHeight="1">
      <c r="A192" s="4564"/>
      <c r="B192" s="4570"/>
      <c r="C192" s="4667" t="s">
        <v>272</v>
      </c>
      <c r="D192" s="4482" t="s">
        <v>302</v>
      </c>
      <c r="E192" s="4482" t="s">
        <v>303</v>
      </c>
      <c r="F192" s="4482" t="s">
        <v>363</v>
      </c>
      <c r="G192" s="4666" t="s">
        <v>305</v>
      </c>
      <c r="H192" s="4273" t="s">
        <v>240</v>
      </c>
      <c r="I192" s="4273" t="s">
        <v>257</v>
      </c>
      <c r="J192" s="4330" t="s">
        <v>4438</v>
      </c>
      <c r="K192" s="4682" t="s">
        <v>827</v>
      </c>
      <c r="L192" s="4273" t="s">
        <v>828</v>
      </c>
      <c r="M192" s="4246">
        <v>0</v>
      </c>
      <c r="N192" s="4246">
        <v>15</v>
      </c>
      <c r="O192" s="4246">
        <v>15</v>
      </c>
      <c r="P192" s="4228" t="s">
        <v>4428</v>
      </c>
      <c r="Q192" s="4228" t="s">
        <v>4364</v>
      </c>
      <c r="R192" s="4690" t="s">
        <v>813</v>
      </c>
      <c r="S192" s="2854"/>
      <c r="T192" s="2863"/>
      <c r="U192" s="2863"/>
      <c r="V192" s="2814"/>
      <c r="W192" s="2815"/>
      <c r="X192" s="381"/>
      <c r="Y192" s="2816"/>
      <c r="Z192" s="2816"/>
      <c r="AA192" s="2816"/>
      <c r="AB192" s="2818"/>
      <c r="AC192" s="381"/>
      <c r="AD192" s="382"/>
      <c r="AE192" s="382"/>
      <c r="AF192" s="1964"/>
    </row>
    <row r="193" spans="1:32" ht="54" customHeight="1">
      <c r="A193" s="4564"/>
      <c r="B193" s="4570"/>
      <c r="C193" s="4331"/>
      <c r="D193" s="4215"/>
      <c r="E193" s="4215"/>
      <c r="F193" s="4215"/>
      <c r="G193" s="4215"/>
      <c r="H193" s="4215"/>
      <c r="I193" s="4215"/>
      <c r="J193" s="4331"/>
      <c r="K193" s="4676"/>
      <c r="L193" s="4215"/>
      <c r="M193" s="4226"/>
      <c r="N193" s="4226"/>
      <c r="O193" s="4226"/>
      <c r="P193" s="4215"/>
      <c r="Q193" s="4215"/>
      <c r="R193" s="4233"/>
      <c r="S193" s="2847"/>
      <c r="T193" s="2698"/>
      <c r="U193" s="2698"/>
      <c r="V193" s="2873"/>
      <c r="W193" s="2881"/>
      <c r="X193" s="390"/>
      <c r="Y193" s="2886"/>
      <c r="Z193" s="2886"/>
      <c r="AA193" s="2886"/>
      <c r="AB193" s="2883"/>
      <c r="AC193" s="390"/>
      <c r="AD193" s="389"/>
      <c r="AE193" s="389"/>
      <c r="AF193" s="1964"/>
    </row>
    <row r="194" spans="1:32" ht="54" customHeight="1">
      <c r="A194" s="4564"/>
      <c r="B194" s="4570"/>
      <c r="C194" s="4331"/>
      <c r="D194" s="4215"/>
      <c r="E194" s="4215"/>
      <c r="F194" s="4215"/>
      <c r="G194" s="4215"/>
      <c r="H194" s="4215"/>
      <c r="I194" s="4215"/>
      <c r="J194" s="4331"/>
      <c r="K194" s="4676"/>
      <c r="L194" s="4215"/>
      <c r="M194" s="4226"/>
      <c r="N194" s="4226"/>
      <c r="O194" s="4226"/>
      <c r="P194" s="4215"/>
      <c r="Q194" s="4215"/>
      <c r="R194" s="4233"/>
      <c r="S194" s="2847"/>
      <c r="T194" s="2698"/>
      <c r="U194" s="2698"/>
      <c r="V194" s="2873"/>
      <c r="W194" s="2881"/>
      <c r="X194" s="390"/>
      <c r="Y194" s="2886"/>
      <c r="Z194" s="2886"/>
      <c r="AA194" s="2886"/>
      <c r="AB194" s="2883"/>
      <c r="AC194" s="390"/>
      <c r="AD194" s="389"/>
      <c r="AE194" s="389"/>
      <c r="AF194" s="1964"/>
    </row>
    <row r="195" spans="1:32" ht="54" customHeight="1">
      <c r="A195" s="4564"/>
      <c r="B195" s="4570"/>
      <c r="C195" s="4332"/>
      <c r="D195" s="4216"/>
      <c r="E195" s="4216"/>
      <c r="F195" s="4216"/>
      <c r="G195" s="4216"/>
      <c r="H195" s="4216"/>
      <c r="I195" s="4216"/>
      <c r="J195" s="4332"/>
      <c r="K195" s="4677"/>
      <c r="L195" s="4216"/>
      <c r="M195" s="4247"/>
      <c r="N195" s="4247"/>
      <c r="O195" s="4247"/>
      <c r="P195" s="4216"/>
      <c r="Q195" s="4216"/>
      <c r="R195" s="4258"/>
      <c r="S195" s="2852"/>
      <c r="T195" s="2861"/>
      <c r="U195" s="2861"/>
      <c r="V195" s="2869"/>
      <c r="W195" s="2880"/>
      <c r="X195" s="384"/>
      <c r="Y195" s="2884"/>
      <c r="Z195" s="2884"/>
      <c r="AA195" s="2884"/>
      <c r="AB195" s="2885"/>
      <c r="AC195" s="384"/>
      <c r="AD195" s="385"/>
      <c r="AE195" s="385"/>
      <c r="AF195" s="1965"/>
    </row>
    <row r="196" spans="1:32" ht="43.5" customHeight="1">
      <c r="A196" s="4564"/>
      <c r="B196" s="4570"/>
      <c r="C196" s="4667" t="s">
        <v>235</v>
      </c>
      <c r="D196" s="4482" t="s">
        <v>236</v>
      </c>
      <c r="E196" s="4482" t="s">
        <v>244</v>
      </c>
      <c r="F196" s="4482" t="s">
        <v>808</v>
      </c>
      <c r="G196" s="4666" t="s">
        <v>239</v>
      </c>
      <c r="H196" s="4273" t="s">
        <v>240</v>
      </c>
      <c r="I196" s="4273" t="s">
        <v>257</v>
      </c>
      <c r="J196" s="4631" t="s">
        <v>829</v>
      </c>
      <c r="K196" s="4682" t="s">
        <v>830</v>
      </c>
      <c r="L196" s="4273" t="s">
        <v>831</v>
      </c>
      <c r="M196" s="4246">
        <v>0</v>
      </c>
      <c r="N196" s="4246">
        <v>0</v>
      </c>
      <c r="O196" s="4246">
        <v>1</v>
      </c>
      <c r="P196" s="4228" t="s">
        <v>4429</v>
      </c>
      <c r="Q196" s="4228" t="s">
        <v>4363</v>
      </c>
      <c r="R196" s="4690" t="s">
        <v>813</v>
      </c>
      <c r="S196" s="2854"/>
      <c r="T196" s="2863"/>
      <c r="U196" s="2863"/>
      <c r="V196" s="2814"/>
      <c r="W196" s="2815"/>
      <c r="X196" s="381"/>
      <c r="Y196" s="2816"/>
      <c r="Z196" s="2816"/>
      <c r="AA196" s="2816"/>
      <c r="AB196" s="2818"/>
      <c r="AC196" s="381"/>
      <c r="AD196" s="382"/>
      <c r="AE196" s="382"/>
      <c r="AF196" s="1964"/>
    </row>
    <row r="197" spans="1:32" ht="43.5" customHeight="1">
      <c r="A197" s="4564"/>
      <c r="B197" s="4570"/>
      <c r="C197" s="4331"/>
      <c r="D197" s="4215"/>
      <c r="E197" s="4215"/>
      <c r="F197" s="4215"/>
      <c r="G197" s="4215"/>
      <c r="H197" s="4215"/>
      <c r="I197" s="4215"/>
      <c r="J197" s="4331"/>
      <c r="K197" s="4676"/>
      <c r="L197" s="4215"/>
      <c r="M197" s="4226"/>
      <c r="N197" s="4226"/>
      <c r="O197" s="4226"/>
      <c r="P197" s="4215"/>
      <c r="Q197" s="4215"/>
      <c r="R197" s="4233"/>
      <c r="S197" s="2847"/>
      <c r="T197" s="2698"/>
      <c r="U197" s="2698"/>
      <c r="V197" s="2873"/>
      <c r="W197" s="2881"/>
      <c r="X197" s="390"/>
      <c r="Y197" s="2886"/>
      <c r="Z197" s="2886"/>
      <c r="AA197" s="2886"/>
      <c r="AB197" s="2883"/>
      <c r="AC197" s="390"/>
      <c r="AD197" s="389"/>
      <c r="AE197" s="389"/>
      <c r="AF197" s="1964"/>
    </row>
    <row r="198" spans="1:32" ht="43.5" customHeight="1">
      <c r="A198" s="4564"/>
      <c r="B198" s="4570"/>
      <c r="C198" s="4331"/>
      <c r="D198" s="4215"/>
      <c r="E198" s="4215"/>
      <c r="F198" s="4215"/>
      <c r="G198" s="4215"/>
      <c r="H198" s="4215"/>
      <c r="I198" s="4215"/>
      <c r="J198" s="4331"/>
      <c r="K198" s="4676"/>
      <c r="L198" s="4215"/>
      <c r="M198" s="4226"/>
      <c r="N198" s="4226"/>
      <c r="O198" s="4226"/>
      <c r="P198" s="4215"/>
      <c r="Q198" s="4215"/>
      <c r="R198" s="4233"/>
      <c r="S198" s="2847"/>
      <c r="T198" s="2698"/>
      <c r="U198" s="2698"/>
      <c r="V198" s="2873"/>
      <c r="W198" s="2881"/>
      <c r="X198" s="390"/>
      <c r="Y198" s="2886"/>
      <c r="Z198" s="2886"/>
      <c r="AA198" s="2886"/>
      <c r="AB198" s="2883"/>
      <c r="AC198" s="390"/>
      <c r="AD198" s="389"/>
      <c r="AE198" s="389"/>
      <c r="AF198" s="1964"/>
    </row>
    <row r="199" spans="1:32" ht="43.5" customHeight="1">
      <c r="A199" s="4564"/>
      <c r="B199" s="4570"/>
      <c r="C199" s="4331"/>
      <c r="D199" s="4215"/>
      <c r="E199" s="4215"/>
      <c r="F199" s="4215"/>
      <c r="G199" s="4215"/>
      <c r="H199" s="4215"/>
      <c r="I199" s="4215"/>
      <c r="J199" s="4331"/>
      <c r="K199" s="4676"/>
      <c r="L199" s="4215"/>
      <c r="M199" s="4226"/>
      <c r="N199" s="4226"/>
      <c r="O199" s="4226"/>
      <c r="P199" s="4215"/>
      <c r="Q199" s="4215"/>
      <c r="R199" s="4233"/>
      <c r="S199" s="2847"/>
      <c r="T199" s="2698"/>
      <c r="U199" s="2698"/>
      <c r="V199" s="2873"/>
      <c r="W199" s="2881"/>
      <c r="X199" s="390"/>
      <c r="Y199" s="2886"/>
      <c r="Z199" s="2886"/>
      <c r="AA199" s="2886"/>
      <c r="AB199" s="2883"/>
      <c r="AC199" s="390"/>
      <c r="AD199" s="389"/>
      <c r="AE199" s="389"/>
      <c r="AF199" s="1964"/>
    </row>
    <row r="200" spans="1:32" ht="43.5" customHeight="1">
      <c r="A200" s="4564"/>
      <c r="B200" s="4570"/>
      <c r="C200" s="4332"/>
      <c r="D200" s="4216"/>
      <c r="E200" s="4216"/>
      <c r="F200" s="4216"/>
      <c r="G200" s="4216"/>
      <c r="H200" s="4216"/>
      <c r="I200" s="4216"/>
      <c r="J200" s="4332"/>
      <c r="K200" s="4677"/>
      <c r="L200" s="4216"/>
      <c r="M200" s="4247"/>
      <c r="N200" s="4247"/>
      <c r="O200" s="4247"/>
      <c r="P200" s="4216"/>
      <c r="Q200" s="4216"/>
      <c r="R200" s="4258"/>
      <c r="S200" s="2847"/>
      <c r="T200" s="2698"/>
      <c r="U200" s="2698"/>
      <c r="V200" s="2873"/>
      <c r="W200" s="2881"/>
      <c r="X200" s="390"/>
      <c r="Y200" s="2886"/>
      <c r="Z200" s="2886"/>
      <c r="AA200" s="2886"/>
      <c r="AB200" s="2883"/>
      <c r="AC200" s="390"/>
      <c r="AD200" s="389"/>
      <c r="AE200" s="385"/>
      <c r="AF200" s="1965"/>
    </row>
    <row r="201" spans="1:32" ht="46.5" customHeight="1">
      <c r="A201" s="4564"/>
      <c r="B201" s="4570"/>
      <c r="C201" s="4667" t="s">
        <v>235</v>
      </c>
      <c r="D201" s="4482" t="s">
        <v>236</v>
      </c>
      <c r="E201" s="4482" t="s">
        <v>244</v>
      </c>
      <c r="F201" s="4482" t="s">
        <v>808</v>
      </c>
      <c r="G201" s="4666" t="s">
        <v>239</v>
      </c>
      <c r="H201" s="4273" t="s">
        <v>240</v>
      </c>
      <c r="I201" s="4273" t="s">
        <v>257</v>
      </c>
      <c r="J201" s="4330" t="s">
        <v>4437</v>
      </c>
      <c r="K201" s="4682" t="s">
        <v>832</v>
      </c>
      <c r="L201" s="4273" t="s">
        <v>833</v>
      </c>
      <c r="M201" s="4246">
        <v>169</v>
      </c>
      <c r="N201" s="4246">
        <v>0</v>
      </c>
      <c r="O201" s="4246">
        <v>0</v>
      </c>
      <c r="P201" s="4228" t="s">
        <v>4430</v>
      </c>
      <c r="Q201" s="4228" t="s">
        <v>4362</v>
      </c>
      <c r="R201" s="4690" t="s">
        <v>813</v>
      </c>
      <c r="S201" s="2850" t="s">
        <v>17</v>
      </c>
      <c r="T201" s="2859">
        <v>530204</v>
      </c>
      <c r="U201" s="2859"/>
      <c r="V201" s="2870" t="s">
        <v>26</v>
      </c>
      <c r="W201" s="2743"/>
      <c r="X201" s="254"/>
      <c r="Y201" s="2789"/>
      <c r="Z201" s="2789"/>
      <c r="AA201" s="2789"/>
      <c r="AB201" s="2790">
        <f>SUM($AA$202:$AA$202)</f>
        <v>168000.00000000003</v>
      </c>
      <c r="AC201" s="254"/>
      <c r="AD201" s="372"/>
      <c r="AE201" s="382"/>
      <c r="AF201" s="1964"/>
    </row>
    <row r="202" spans="1:32" ht="196.5" customHeight="1">
      <c r="A202" s="4564"/>
      <c r="B202" s="4570"/>
      <c r="C202" s="4331"/>
      <c r="D202" s="4215"/>
      <c r="E202" s="4215"/>
      <c r="F202" s="4215"/>
      <c r="G202" s="4215"/>
      <c r="H202" s="4215"/>
      <c r="I202" s="4215"/>
      <c r="J202" s="4331"/>
      <c r="K202" s="4676"/>
      <c r="L202" s="4215"/>
      <c r="M202" s="4226"/>
      <c r="N202" s="4226"/>
      <c r="O202" s="4226"/>
      <c r="P202" s="4215"/>
      <c r="Q202" s="4215"/>
      <c r="R202" s="4233"/>
      <c r="S202" s="2851"/>
      <c r="T202" s="2860"/>
      <c r="U202" s="2860"/>
      <c r="V202" s="2968" t="s">
        <v>4350</v>
      </c>
      <c r="W202" s="2881">
        <v>1</v>
      </c>
      <c r="X202" s="390" t="s">
        <v>250</v>
      </c>
      <c r="Y202" s="2886">
        <v>150000</v>
      </c>
      <c r="Z202" s="2982">
        <f t="shared" ref="Z202" si="22">+W202*Y202</f>
        <v>150000</v>
      </c>
      <c r="AA202" s="2982">
        <f t="shared" ref="AA202" si="23">+Z202*1.12</f>
        <v>168000.00000000003</v>
      </c>
      <c r="AB202" s="2883"/>
      <c r="AC202" s="390" t="s">
        <v>251</v>
      </c>
      <c r="AD202" s="390" t="s">
        <v>251</v>
      </c>
      <c r="AE202" s="389" t="s">
        <v>251</v>
      </c>
      <c r="AF202" s="1964"/>
    </row>
    <row r="203" spans="1:32" ht="33.950000000000003" customHeight="1">
      <c r="A203" s="4564"/>
      <c r="B203" s="4570"/>
      <c r="C203" s="4331"/>
      <c r="D203" s="4215"/>
      <c r="E203" s="4215"/>
      <c r="F203" s="4215"/>
      <c r="G203" s="4215"/>
      <c r="H203" s="4215"/>
      <c r="I203" s="4215"/>
      <c r="J203" s="4331"/>
      <c r="K203" s="4676"/>
      <c r="L203" s="4215"/>
      <c r="M203" s="4226"/>
      <c r="N203" s="4226"/>
      <c r="O203" s="4226"/>
      <c r="P203" s="4215"/>
      <c r="Q203" s="4215"/>
      <c r="R203" s="4233"/>
      <c r="S203" s="2848" t="s">
        <v>17</v>
      </c>
      <c r="T203" s="2863">
        <v>531409</v>
      </c>
      <c r="U203" s="2863"/>
      <c r="V203" s="2874" t="s">
        <v>75</v>
      </c>
      <c r="W203" s="2815"/>
      <c r="X203" s="381"/>
      <c r="Y203" s="2816"/>
      <c r="Z203" s="2886"/>
      <c r="AA203" s="2886"/>
      <c r="AB203" s="2883">
        <f>SUM($AA$204:$AA$205)</f>
        <v>28000.000000000004</v>
      </c>
      <c r="AC203" s="387"/>
      <c r="AD203" s="387"/>
      <c r="AE203" s="388"/>
      <c r="AF203" s="1964"/>
    </row>
    <row r="204" spans="1:32" ht="18" customHeight="1">
      <c r="A204" s="4564"/>
      <c r="B204" s="4570"/>
      <c r="C204" s="4331"/>
      <c r="D204" s="4215"/>
      <c r="E204" s="4215"/>
      <c r="F204" s="4215"/>
      <c r="G204" s="4215"/>
      <c r="H204" s="4215"/>
      <c r="I204" s="4215"/>
      <c r="J204" s="4331"/>
      <c r="K204" s="4676"/>
      <c r="L204" s="4215"/>
      <c r="M204" s="4226"/>
      <c r="N204" s="4226"/>
      <c r="O204" s="4226"/>
      <c r="P204" s="4215"/>
      <c r="Q204" s="4215"/>
      <c r="R204" s="4233"/>
      <c r="S204" s="2847"/>
      <c r="T204" s="2698"/>
      <c r="U204" s="2698"/>
      <c r="V204" s="2873" t="s">
        <v>834</v>
      </c>
      <c r="W204" s="2881">
        <v>1</v>
      </c>
      <c r="X204" s="390" t="s">
        <v>835</v>
      </c>
      <c r="Y204" s="2886">
        <v>25000</v>
      </c>
      <c r="Z204" s="2982">
        <f t="shared" ref="Z204" si="24">+W204*Y204</f>
        <v>25000</v>
      </c>
      <c r="AA204" s="2982">
        <f t="shared" ref="AA204" si="25">+Z204*1.12</f>
        <v>28000.000000000004</v>
      </c>
      <c r="AB204" s="2883"/>
      <c r="AC204" s="387" t="s">
        <v>251</v>
      </c>
      <c r="AD204" s="387"/>
      <c r="AE204" s="388"/>
      <c r="AF204" s="1964"/>
    </row>
    <row r="205" spans="1:32" ht="18" customHeight="1">
      <c r="A205" s="4564"/>
      <c r="B205" s="4570"/>
      <c r="C205" s="4331"/>
      <c r="D205" s="4215"/>
      <c r="E205" s="4215"/>
      <c r="F205" s="4215"/>
      <c r="G205" s="4215"/>
      <c r="H205" s="4215"/>
      <c r="I205" s="4215"/>
      <c r="J205" s="4331"/>
      <c r="K205" s="4676"/>
      <c r="L205" s="4215"/>
      <c r="M205" s="4226"/>
      <c r="N205" s="4226"/>
      <c r="O205" s="4226"/>
      <c r="P205" s="4215"/>
      <c r="Q205" s="4215"/>
      <c r="R205" s="4233"/>
      <c r="S205" s="2855"/>
      <c r="T205" s="2866"/>
      <c r="U205" s="2866"/>
      <c r="V205" s="2876"/>
      <c r="W205" s="2882"/>
      <c r="X205" s="387"/>
      <c r="Y205" s="2888"/>
      <c r="Z205" s="2983"/>
      <c r="AA205" s="2983"/>
      <c r="AB205" s="2889"/>
      <c r="AC205" s="384"/>
      <c r="AD205" s="384"/>
      <c r="AE205" s="385"/>
      <c r="AF205" s="1965"/>
    </row>
    <row r="206" spans="1:32" ht="26.25" customHeight="1">
      <c r="A206" s="4564"/>
      <c r="B206" s="4570"/>
      <c r="C206" s="4667" t="s">
        <v>235</v>
      </c>
      <c r="D206" s="4482" t="s">
        <v>236</v>
      </c>
      <c r="E206" s="4482" t="s">
        <v>237</v>
      </c>
      <c r="F206" s="4482" t="s">
        <v>370</v>
      </c>
      <c r="G206" s="4666" t="s">
        <v>239</v>
      </c>
      <c r="H206" s="4273" t="s">
        <v>240</v>
      </c>
      <c r="I206" s="4273" t="s">
        <v>257</v>
      </c>
      <c r="J206" s="4330" t="s">
        <v>4436</v>
      </c>
      <c r="K206" s="4682" t="s">
        <v>836</v>
      </c>
      <c r="L206" s="4273" t="s">
        <v>837</v>
      </c>
      <c r="M206" s="4246">
        <v>0</v>
      </c>
      <c r="N206" s="4246">
        <v>1</v>
      </c>
      <c r="O206" s="4246">
        <v>0</v>
      </c>
      <c r="P206" s="4228" t="s">
        <v>4431</v>
      </c>
      <c r="Q206" s="4228" t="s">
        <v>4361</v>
      </c>
      <c r="R206" s="4690" t="s">
        <v>816</v>
      </c>
      <c r="S206" s="2856"/>
      <c r="T206" s="2867"/>
      <c r="U206" s="2867"/>
      <c r="V206" s="2877"/>
      <c r="W206" s="2743"/>
      <c r="X206" s="254"/>
      <c r="Y206" s="2789"/>
      <c r="Z206" s="2789"/>
      <c r="AA206" s="2789"/>
      <c r="AB206" s="2790"/>
      <c r="AC206" s="254"/>
      <c r="AD206" s="381"/>
      <c r="AE206" s="382"/>
      <c r="AF206" s="1964"/>
    </row>
    <row r="207" spans="1:32" ht="26.25" customHeight="1">
      <c r="A207" s="4564"/>
      <c r="B207" s="4570"/>
      <c r="C207" s="4331"/>
      <c r="D207" s="4215"/>
      <c r="E207" s="4215"/>
      <c r="F207" s="4215"/>
      <c r="G207" s="4215"/>
      <c r="H207" s="4215"/>
      <c r="I207" s="4215"/>
      <c r="J207" s="4331"/>
      <c r="K207" s="4676"/>
      <c r="L207" s="4215"/>
      <c r="M207" s="4226"/>
      <c r="N207" s="4226"/>
      <c r="O207" s="4226"/>
      <c r="P207" s="4215"/>
      <c r="Q207" s="4215"/>
      <c r="R207" s="4233"/>
      <c r="S207" s="2851"/>
      <c r="T207" s="2860"/>
      <c r="U207" s="2860"/>
      <c r="V207" s="2878"/>
      <c r="W207" s="2881"/>
      <c r="X207" s="390"/>
      <c r="Y207" s="2886"/>
      <c r="Z207" s="2886"/>
      <c r="AA207" s="2886"/>
      <c r="AB207" s="2883"/>
      <c r="AC207" s="390"/>
      <c r="AD207" s="390"/>
      <c r="AE207" s="389"/>
      <c r="AF207" s="1964"/>
    </row>
    <row r="208" spans="1:32" ht="26.25" customHeight="1">
      <c r="A208" s="4564"/>
      <c r="B208" s="4570"/>
      <c r="C208" s="4331"/>
      <c r="D208" s="4215"/>
      <c r="E208" s="4215"/>
      <c r="F208" s="4215"/>
      <c r="G208" s="4215"/>
      <c r="H208" s="4215"/>
      <c r="I208" s="4215"/>
      <c r="J208" s="4331"/>
      <c r="K208" s="4676"/>
      <c r="L208" s="4215"/>
      <c r="M208" s="4226"/>
      <c r="N208" s="4226"/>
      <c r="O208" s="4226"/>
      <c r="P208" s="4215"/>
      <c r="Q208" s="4215"/>
      <c r="R208" s="4233"/>
      <c r="S208" s="2851"/>
      <c r="T208" s="2860"/>
      <c r="U208" s="2860"/>
      <c r="V208" s="2868"/>
      <c r="W208" s="2881"/>
      <c r="X208" s="390"/>
      <c r="Y208" s="2886"/>
      <c r="Z208" s="2886"/>
      <c r="AA208" s="2886"/>
      <c r="AB208" s="2883"/>
      <c r="AC208" s="390"/>
      <c r="AD208" s="390"/>
      <c r="AE208" s="389"/>
      <c r="AF208" s="1964"/>
    </row>
    <row r="209" spans="1:32" ht="26.25" customHeight="1">
      <c r="A209" s="4564"/>
      <c r="B209" s="4570"/>
      <c r="C209" s="4331"/>
      <c r="D209" s="4215"/>
      <c r="E209" s="4215"/>
      <c r="F209" s="4215"/>
      <c r="G209" s="4215"/>
      <c r="H209" s="4215"/>
      <c r="I209" s="4215"/>
      <c r="J209" s="4331"/>
      <c r="K209" s="4676"/>
      <c r="L209" s="4215"/>
      <c r="M209" s="4226"/>
      <c r="N209" s="4226"/>
      <c r="O209" s="4226"/>
      <c r="P209" s="4215"/>
      <c r="Q209" s="4215"/>
      <c r="R209" s="4233"/>
      <c r="S209" s="2851"/>
      <c r="T209" s="2860"/>
      <c r="U209" s="2860"/>
      <c r="V209" s="2868"/>
      <c r="W209" s="2881"/>
      <c r="X209" s="390"/>
      <c r="Y209" s="2886"/>
      <c r="Z209" s="2886"/>
      <c r="AA209" s="2886"/>
      <c r="AB209" s="2883"/>
      <c r="AC209" s="390"/>
      <c r="AD209" s="390"/>
      <c r="AE209" s="389"/>
      <c r="AF209" s="1964"/>
    </row>
    <row r="210" spans="1:32" ht="26.25" customHeight="1">
      <c r="A210" s="4564"/>
      <c r="B210" s="4570"/>
      <c r="C210" s="4332"/>
      <c r="D210" s="4216"/>
      <c r="E210" s="4216"/>
      <c r="F210" s="4216"/>
      <c r="G210" s="4216"/>
      <c r="H210" s="4216"/>
      <c r="I210" s="4216"/>
      <c r="J210" s="4332"/>
      <c r="K210" s="4677"/>
      <c r="L210" s="4216"/>
      <c r="M210" s="4247"/>
      <c r="N210" s="4247"/>
      <c r="O210" s="4247"/>
      <c r="P210" s="4216"/>
      <c r="Q210" s="4216"/>
      <c r="R210" s="4258"/>
      <c r="S210" s="2849"/>
      <c r="T210" s="2858"/>
      <c r="U210" s="2858"/>
      <c r="V210" s="2871"/>
      <c r="W210" s="2880"/>
      <c r="X210" s="384"/>
      <c r="Y210" s="2884"/>
      <c r="Z210" s="2884"/>
      <c r="AA210" s="2884"/>
      <c r="AB210" s="2885"/>
      <c r="AC210" s="384"/>
      <c r="AD210" s="384"/>
      <c r="AE210" s="385"/>
      <c r="AF210" s="1965"/>
    </row>
    <row r="211" spans="1:32" ht="42.75" customHeight="1">
      <c r="A211" s="4564"/>
      <c r="B211" s="4570"/>
      <c r="C211" s="4667" t="s">
        <v>235</v>
      </c>
      <c r="D211" s="4482" t="s">
        <v>236</v>
      </c>
      <c r="E211" s="4482" t="s">
        <v>244</v>
      </c>
      <c r="F211" s="4482" t="s">
        <v>808</v>
      </c>
      <c r="G211" s="4666" t="s">
        <v>239</v>
      </c>
      <c r="H211" s="4273" t="s">
        <v>240</v>
      </c>
      <c r="I211" s="4273" t="s">
        <v>257</v>
      </c>
      <c r="J211" s="4473" t="s">
        <v>4435</v>
      </c>
      <c r="K211" s="4682" t="s">
        <v>838</v>
      </c>
      <c r="L211" s="4482" t="s">
        <v>839</v>
      </c>
      <c r="M211" s="4687">
        <v>0</v>
      </c>
      <c r="N211" s="4336">
        <v>1</v>
      </c>
      <c r="O211" s="4684">
        <v>1</v>
      </c>
      <c r="P211" s="4228" t="s">
        <v>4432</v>
      </c>
      <c r="Q211" s="4368" t="s">
        <v>4360</v>
      </c>
      <c r="R211" s="4690" t="s">
        <v>813</v>
      </c>
      <c r="S211" s="2857"/>
      <c r="T211" s="2865"/>
      <c r="U211" s="2865"/>
      <c r="V211" s="2879"/>
      <c r="W211" s="2815"/>
      <c r="X211" s="381"/>
      <c r="Y211" s="2816"/>
      <c r="Z211" s="2816"/>
      <c r="AA211" s="2816"/>
      <c r="AB211" s="2818"/>
      <c r="AC211" s="381"/>
      <c r="AD211" s="381"/>
      <c r="AE211" s="382"/>
      <c r="AF211" s="1964"/>
    </row>
    <row r="212" spans="1:32" ht="42.75" customHeight="1">
      <c r="A212" s="4564"/>
      <c r="B212" s="4570"/>
      <c r="C212" s="4331"/>
      <c r="D212" s="4215"/>
      <c r="E212" s="4215"/>
      <c r="F212" s="4215"/>
      <c r="G212" s="4215"/>
      <c r="H212" s="4215"/>
      <c r="I212" s="4215"/>
      <c r="J212" s="4331"/>
      <c r="K212" s="4676"/>
      <c r="L212" s="4215"/>
      <c r="M212" s="4688"/>
      <c r="N212" s="4226"/>
      <c r="O212" s="4685"/>
      <c r="P212" s="4215"/>
      <c r="Q212" s="4215"/>
      <c r="R212" s="4233"/>
      <c r="S212" s="2851"/>
      <c r="T212" s="2860"/>
      <c r="U212" s="2860"/>
      <c r="V212" s="2868"/>
      <c r="W212" s="2881"/>
      <c r="X212" s="390"/>
      <c r="Y212" s="2886"/>
      <c r="Z212" s="2886"/>
      <c r="AA212" s="2886"/>
      <c r="AB212" s="2883"/>
      <c r="AC212" s="390"/>
      <c r="AD212" s="390"/>
      <c r="AE212" s="389"/>
      <c r="AF212" s="1964"/>
    </row>
    <row r="213" spans="1:32" ht="42.75" customHeight="1">
      <c r="A213" s="4564"/>
      <c r="B213" s="4570"/>
      <c r="C213" s="4331"/>
      <c r="D213" s="4215"/>
      <c r="E213" s="4215"/>
      <c r="F213" s="4215"/>
      <c r="G213" s="4215"/>
      <c r="H213" s="4215"/>
      <c r="I213" s="4215"/>
      <c r="J213" s="4331"/>
      <c r="K213" s="4676"/>
      <c r="L213" s="4215"/>
      <c r="M213" s="4688"/>
      <c r="N213" s="4226"/>
      <c r="O213" s="4685"/>
      <c r="P213" s="4215"/>
      <c r="Q213" s="4215"/>
      <c r="R213" s="4233"/>
      <c r="S213" s="2851"/>
      <c r="T213" s="2860"/>
      <c r="U213" s="2860"/>
      <c r="V213" s="2868"/>
      <c r="W213" s="2881"/>
      <c r="X213" s="390"/>
      <c r="Y213" s="2886"/>
      <c r="Z213" s="2886"/>
      <c r="AA213" s="2886"/>
      <c r="AB213" s="2883"/>
      <c r="AC213" s="390"/>
      <c r="AD213" s="390"/>
      <c r="AE213" s="389"/>
      <c r="AF213" s="1964"/>
    </row>
    <row r="214" spans="1:32" ht="42.75" customHeight="1">
      <c r="A214" s="4564"/>
      <c r="B214" s="4570"/>
      <c r="C214" s="4331"/>
      <c r="D214" s="4215"/>
      <c r="E214" s="4215"/>
      <c r="F214" s="4215"/>
      <c r="G214" s="4215"/>
      <c r="H214" s="4215"/>
      <c r="I214" s="4215"/>
      <c r="J214" s="4331"/>
      <c r="K214" s="4676"/>
      <c r="L214" s="4215"/>
      <c r="M214" s="4688"/>
      <c r="N214" s="4226"/>
      <c r="O214" s="4685"/>
      <c r="P214" s="4215"/>
      <c r="Q214" s="4215"/>
      <c r="R214" s="4233"/>
      <c r="S214" s="2851"/>
      <c r="T214" s="2860"/>
      <c r="U214" s="2860"/>
      <c r="V214" s="2868"/>
      <c r="W214" s="2881"/>
      <c r="X214" s="390"/>
      <c r="Y214" s="2886"/>
      <c r="Z214" s="2886"/>
      <c r="AA214" s="2886"/>
      <c r="AB214" s="2883"/>
      <c r="AC214" s="390"/>
      <c r="AD214" s="390"/>
      <c r="AE214" s="389"/>
      <c r="AF214" s="1964"/>
    </row>
    <row r="215" spans="1:32" ht="42.75" customHeight="1">
      <c r="A215" s="4564"/>
      <c r="B215" s="4570"/>
      <c r="C215" s="4332"/>
      <c r="D215" s="4216"/>
      <c r="E215" s="4216"/>
      <c r="F215" s="4216"/>
      <c r="G215" s="4216"/>
      <c r="H215" s="4216"/>
      <c r="I215" s="4216"/>
      <c r="J215" s="4332"/>
      <c r="K215" s="4677"/>
      <c r="L215" s="4216"/>
      <c r="M215" s="4689"/>
      <c r="N215" s="4247"/>
      <c r="O215" s="4686"/>
      <c r="P215" s="4216"/>
      <c r="Q215" s="4216"/>
      <c r="R215" s="4258"/>
      <c r="S215" s="2849"/>
      <c r="T215" s="2858"/>
      <c r="U215" s="2858"/>
      <c r="V215" s="2871"/>
      <c r="W215" s="2880"/>
      <c r="X215" s="384"/>
      <c r="Y215" s="2884"/>
      <c r="Z215" s="2884"/>
      <c r="AA215" s="2884"/>
      <c r="AB215" s="2885"/>
      <c r="AC215" s="384"/>
      <c r="AD215" s="384"/>
      <c r="AE215" s="385"/>
      <c r="AF215" s="1965"/>
    </row>
    <row r="216" spans="1:32" ht="25.5" customHeight="1">
      <c r="A216" s="4564"/>
      <c r="B216" s="4570"/>
      <c r="C216" s="4667" t="s">
        <v>235</v>
      </c>
      <c r="D216" s="4482" t="s">
        <v>236</v>
      </c>
      <c r="E216" s="4482" t="s">
        <v>237</v>
      </c>
      <c r="F216" s="4482" t="s">
        <v>326</v>
      </c>
      <c r="G216" s="4666" t="s">
        <v>239</v>
      </c>
      <c r="H216" s="4273" t="s">
        <v>240</v>
      </c>
      <c r="I216" s="4273" t="s">
        <v>257</v>
      </c>
      <c r="J216" s="4330" t="s">
        <v>4434</v>
      </c>
      <c r="K216" s="4682" t="s">
        <v>371</v>
      </c>
      <c r="L216" s="4273" t="s">
        <v>840</v>
      </c>
      <c r="M216" s="4336">
        <v>0</v>
      </c>
      <c r="N216" s="4246">
        <v>1</v>
      </c>
      <c r="O216" s="4246">
        <v>0</v>
      </c>
      <c r="P216" s="4228" t="s">
        <v>4433</v>
      </c>
      <c r="Q216" s="4368" t="s">
        <v>3839</v>
      </c>
      <c r="R216" s="4690" t="s">
        <v>841</v>
      </c>
      <c r="S216" s="2857"/>
      <c r="T216" s="2865"/>
      <c r="U216" s="2865"/>
      <c r="V216" s="2879"/>
      <c r="W216" s="2815"/>
      <c r="X216" s="381"/>
      <c r="Y216" s="2816"/>
      <c r="Z216" s="2816"/>
      <c r="AA216" s="2816"/>
      <c r="AB216" s="2818"/>
      <c r="AC216" s="381"/>
      <c r="AD216" s="381"/>
      <c r="AE216" s="382"/>
      <c r="AF216" s="1964"/>
    </row>
    <row r="217" spans="1:32" ht="25.5" customHeight="1">
      <c r="A217" s="4564"/>
      <c r="B217" s="4570"/>
      <c r="C217" s="4331"/>
      <c r="D217" s="4215"/>
      <c r="E217" s="4215"/>
      <c r="F217" s="4215"/>
      <c r="G217" s="4215"/>
      <c r="H217" s="4215"/>
      <c r="I217" s="4215"/>
      <c r="J217" s="4331"/>
      <c r="K217" s="4676"/>
      <c r="L217" s="4215"/>
      <c r="M217" s="4226"/>
      <c r="N217" s="4226"/>
      <c r="O217" s="4226"/>
      <c r="P217" s="4215"/>
      <c r="Q217" s="4215"/>
      <c r="R217" s="4233"/>
      <c r="S217" s="2851"/>
      <c r="T217" s="2860"/>
      <c r="U217" s="2860"/>
      <c r="V217" s="2868"/>
      <c r="W217" s="2881"/>
      <c r="X217" s="390"/>
      <c r="Y217" s="2886"/>
      <c r="Z217" s="2886"/>
      <c r="AA217" s="2886"/>
      <c r="AB217" s="2883"/>
      <c r="AC217" s="390"/>
      <c r="AD217" s="390"/>
      <c r="AE217" s="389"/>
      <c r="AF217" s="1964"/>
    </row>
    <row r="218" spans="1:32" ht="25.5" customHeight="1">
      <c r="A218" s="4564"/>
      <c r="B218" s="4570"/>
      <c r="C218" s="4331"/>
      <c r="D218" s="4215"/>
      <c r="E218" s="4215"/>
      <c r="F218" s="4215"/>
      <c r="G218" s="4215"/>
      <c r="H218" s="4215"/>
      <c r="I218" s="4215"/>
      <c r="J218" s="4331"/>
      <c r="K218" s="4676"/>
      <c r="L218" s="4215"/>
      <c r="M218" s="4226"/>
      <c r="N218" s="4226"/>
      <c r="O218" s="4226"/>
      <c r="P218" s="4215"/>
      <c r="Q218" s="4215"/>
      <c r="R218" s="4233"/>
      <c r="S218" s="2851"/>
      <c r="T218" s="2860"/>
      <c r="U218" s="2860"/>
      <c r="V218" s="2868"/>
      <c r="W218" s="2881"/>
      <c r="X218" s="390"/>
      <c r="Y218" s="2886"/>
      <c r="Z218" s="2886"/>
      <c r="AA218" s="2886"/>
      <c r="AB218" s="2883"/>
      <c r="AC218" s="390"/>
      <c r="AD218" s="390"/>
      <c r="AE218" s="389"/>
      <c r="AF218" s="1964"/>
    </row>
    <row r="219" spans="1:32" ht="25.5" customHeight="1">
      <c r="A219" s="4564"/>
      <c r="B219" s="4570"/>
      <c r="C219" s="4331"/>
      <c r="D219" s="4215"/>
      <c r="E219" s="4215"/>
      <c r="F219" s="4215"/>
      <c r="G219" s="4215"/>
      <c r="H219" s="4215"/>
      <c r="I219" s="4215"/>
      <c r="J219" s="4331"/>
      <c r="K219" s="4676"/>
      <c r="L219" s="4215"/>
      <c r="M219" s="4226"/>
      <c r="N219" s="4226"/>
      <c r="O219" s="4226"/>
      <c r="P219" s="4215"/>
      <c r="Q219" s="4215"/>
      <c r="R219" s="4233"/>
      <c r="S219" s="2851"/>
      <c r="T219" s="2860"/>
      <c r="U219" s="2860"/>
      <c r="V219" s="2868"/>
      <c r="W219" s="2881"/>
      <c r="X219" s="390"/>
      <c r="Y219" s="2886"/>
      <c r="Z219" s="2886"/>
      <c r="AA219" s="2886"/>
      <c r="AB219" s="2883"/>
      <c r="AC219" s="390"/>
      <c r="AD219" s="390"/>
      <c r="AE219" s="389"/>
      <c r="AF219" s="1964"/>
    </row>
    <row r="220" spans="1:32" ht="25.5" customHeight="1">
      <c r="A220" s="4564"/>
      <c r="B220" s="4570"/>
      <c r="C220" s="4332"/>
      <c r="D220" s="4216"/>
      <c r="E220" s="4216"/>
      <c r="F220" s="4216"/>
      <c r="G220" s="4216"/>
      <c r="H220" s="4216"/>
      <c r="I220" s="4216"/>
      <c r="J220" s="4332"/>
      <c r="K220" s="4677"/>
      <c r="L220" s="4216"/>
      <c r="M220" s="4247"/>
      <c r="N220" s="4247"/>
      <c r="O220" s="4247"/>
      <c r="P220" s="4216"/>
      <c r="Q220" s="4216"/>
      <c r="R220" s="4258"/>
      <c r="S220" s="2849"/>
      <c r="T220" s="2858"/>
      <c r="U220" s="2858"/>
      <c r="V220" s="2871"/>
      <c r="W220" s="2880"/>
      <c r="X220" s="384"/>
      <c r="Y220" s="2884"/>
      <c r="Z220" s="2884"/>
      <c r="AA220" s="2884"/>
      <c r="AB220" s="2885"/>
      <c r="AC220" s="384"/>
      <c r="AD220" s="384"/>
      <c r="AE220" s="385"/>
      <c r="AF220" s="1965"/>
    </row>
    <row r="221" spans="1:32" ht="22.5" customHeight="1" thickBot="1">
      <c r="A221" s="4564"/>
      <c r="B221" s="4479"/>
      <c r="C221" s="4683"/>
      <c r="D221" s="4642"/>
      <c r="E221" s="4642"/>
      <c r="F221" s="4642"/>
      <c r="G221" s="4642"/>
      <c r="H221" s="4642"/>
      <c r="I221" s="4642"/>
      <c r="J221" s="4642"/>
      <c r="K221" s="4642"/>
      <c r="L221" s="4642"/>
      <c r="M221" s="4642"/>
      <c r="N221" s="4642"/>
      <c r="O221" s="4642"/>
      <c r="P221" s="4642"/>
      <c r="Q221" s="4642"/>
      <c r="R221" s="4642"/>
      <c r="S221" s="2234" t="s">
        <v>842</v>
      </c>
      <c r="T221" s="2234"/>
      <c r="U221" s="2234"/>
      <c r="V221" s="2234"/>
      <c r="W221" s="2234"/>
      <c r="X221" s="2234"/>
      <c r="Y221" s="2234"/>
      <c r="Z221" s="2234"/>
      <c r="AA221" s="2235" t="s">
        <v>340</v>
      </c>
      <c r="AB221" s="2173">
        <f>SUM(AB159:AB220)</f>
        <v>196000.00000000003</v>
      </c>
      <c r="AC221" s="4501"/>
      <c r="AD221" s="4443"/>
      <c r="AE221" s="4443"/>
      <c r="AF221" s="1966"/>
    </row>
    <row r="222" spans="1:32" ht="22.5" customHeight="1" thickBot="1">
      <c r="A222" s="4362"/>
      <c r="B222" s="4680"/>
      <c r="C222" s="4316"/>
      <c r="D222" s="4316"/>
      <c r="E222" s="4316"/>
      <c r="F222" s="4316"/>
      <c r="G222" s="4316"/>
      <c r="H222" s="4316"/>
      <c r="I222" s="4316"/>
      <c r="J222" s="4316"/>
      <c r="K222" s="4316"/>
      <c r="L222" s="4316"/>
      <c r="M222" s="4316"/>
      <c r="N222" s="4316"/>
      <c r="O222" s="4316"/>
      <c r="P222" s="4316"/>
      <c r="Q222" s="4316"/>
      <c r="R222" s="4316"/>
      <c r="S222" s="4508" t="s">
        <v>843</v>
      </c>
      <c r="T222" s="4314"/>
      <c r="U222" s="4314"/>
      <c r="V222" s="4314"/>
      <c r="W222" s="4314"/>
      <c r="X222" s="4314"/>
      <c r="Y222" s="4314"/>
      <c r="Z222" s="4314"/>
      <c r="AA222" s="2183" t="s">
        <v>340</v>
      </c>
      <c r="AB222" s="2178">
        <f>SUM(AB92,AB158,AB221)</f>
        <v>324639.82000000007</v>
      </c>
      <c r="AC222" s="4681"/>
      <c r="AD222" s="4316"/>
      <c r="AE222" s="4316"/>
      <c r="AF222" s="4317"/>
    </row>
    <row r="223" spans="1:32" ht="16.5" customHeight="1" thickTop="1">
      <c r="A223" s="7"/>
      <c r="B223" s="12"/>
      <c r="C223" s="392" t="s">
        <v>844</v>
      </c>
      <c r="D223" s="185"/>
      <c r="E223" s="185"/>
      <c r="F223" s="185"/>
      <c r="G223" s="185"/>
      <c r="H223" s="185"/>
      <c r="I223" s="185"/>
      <c r="J223" s="185"/>
      <c r="K223" s="185"/>
      <c r="L223" s="185"/>
      <c r="M223" s="185"/>
      <c r="N223" s="185"/>
      <c r="O223" s="185"/>
      <c r="P223" s="185"/>
      <c r="Q223" s="185"/>
      <c r="R223" s="185"/>
      <c r="S223" s="4388" t="s">
        <v>845</v>
      </c>
      <c r="T223" s="4150"/>
      <c r="U223" s="4150"/>
      <c r="V223" s="4150"/>
      <c r="W223" s="4150"/>
      <c r="X223" s="4150"/>
      <c r="Y223" s="4150"/>
      <c r="Z223" s="4150"/>
      <c r="AA223" s="4150"/>
      <c r="AB223" s="4150"/>
      <c r="AC223" s="4150"/>
      <c r="AD223" s="4150"/>
      <c r="AE223" s="4150"/>
      <c r="AF223" s="4150"/>
    </row>
    <row r="224" spans="1:32" ht="16.5">
      <c r="A224" s="7"/>
      <c r="B224" s="1"/>
      <c r="C224" s="1901" t="s">
        <v>3926</v>
      </c>
      <c r="D224" s="185"/>
      <c r="E224" s="185"/>
      <c r="F224" s="185"/>
      <c r="G224" s="185"/>
      <c r="H224" s="185"/>
      <c r="I224" s="185"/>
      <c r="J224" s="185"/>
      <c r="K224" s="185"/>
      <c r="L224" s="185"/>
      <c r="M224" s="185"/>
      <c r="N224" s="185"/>
      <c r="O224" s="185"/>
      <c r="P224" s="185"/>
      <c r="Q224" s="185"/>
      <c r="R224" s="185"/>
      <c r="S224" s="298"/>
      <c r="T224" s="298"/>
      <c r="U224" s="298"/>
      <c r="V224" s="298"/>
      <c r="W224" s="298"/>
      <c r="X224" s="298"/>
      <c r="Y224" s="298"/>
      <c r="Z224" s="298"/>
      <c r="AA224" s="298"/>
      <c r="AB224" s="307"/>
      <c r="AC224" s="298"/>
      <c r="AD224" s="298"/>
      <c r="AE224" s="298"/>
      <c r="AF224" s="298"/>
    </row>
    <row r="225" spans="1:32" ht="18.75">
      <c r="A225" s="7"/>
      <c r="B225" s="1"/>
      <c r="C225" s="391"/>
      <c r="D225" s="185"/>
      <c r="E225" s="185"/>
      <c r="F225" s="185"/>
      <c r="G225" s="185"/>
      <c r="H225" s="185"/>
      <c r="I225" s="185"/>
      <c r="J225" s="185"/>
      <c r="K225" s="185"/>
      <c r="L225" s="185"/>
      <c r="M225" s="185"/>
      <c r="N225" s="185"/>
      <c r="O225" s="185"/>
      <c r="P225" s="185"/>
      <c r="Q225" s="185"/>
      <c r="R225" s="185"/>
      <c r="S225" s="298"/>
      <c r="U225" s="4222" t="s">
        <v>343</v>
      </c>
      <c r="V225" s="4223"/>
      <c r="W225" s="4223"/>
      <c r="X225" s="4223"/>
      <c r="Y225" s="4223"/>
      <c r="Z225" s="4223"/>
      <c r="AA225" s="4389"/>
      <c r="AB225" s="4150"/>
      <c r="AC225" s="298"/>
      <c r="AD225" s="298"/>
      <c r="AE225" s="298"/>
      <c r="AF225" s="298"/>
    </row>
    <row r="226" spans="1:32" ht="16.5" customHeight="1">
      <c r="A226" s="7"/>
      <c r="B226" s="1"/>
      <c r="C226" s="185"/>
      <c r="D226" s="185"/>
      <c r="E226" s="185"/>
      <c r="F226" s="185"/>
      <c r="G226" s="185"/>
      <c r="H226" s="185"/>
      <c r="I226" s="185"/>
      <c r="J226" s="185"/>
      <c r="K226" s="185"/>
      <c r="L226" s="185"/>
      <c r="M226" s="185"/>
      <c r="N226" s="185"/>
      <c r="O226" s="185"/>
      <c r="P226" s="185"/>
      <c r="Q226" s="185"/>
      <c r="R226" s="185"/>
      <c r="S226" s="226"/>
      <c r="T226" s="131"/>
      <c r="U226" s="131"/>
      <c r="V226" s="131"/>
      <c r="W226" s="131"/>
      <c r="X226" s="131"/>
      <c r="Y226" s="131"/>
      <c r="Z226" s="131"/>
      <c r="AA226" s="225"/>
      <c r="AB226" s="225"/>
      <c r="AC226" s="298"/>
      <c r="AD226" s="298"/>
      <c r="AE226" s="298"/>
      <c r="AF226" s="298"/>
    </row>
    <row r="227" spans="1:32" ht="16.5" customHeight="1">
      <c r="A227" s="7"/>
      <c r="B227" s="1"/>
      <c r="C227" s="185"/>
      <c r="D227" s="185"/>
      <c r="E227" s="185"/>
      <c r="F227" s="185"/>
      <c r="G227" s="185"/>
      <c r="H227" s="185"/>
      <c r="I227" s="185"/>
      <c r="J227" s="185"/>
      <c r="K227" s="185"/>
      <c r="L227" s="185"/>
      <c r="M227" s="185"/>
      <c r="N227" s="185"/>
      <c r="O227" s="185"/>
      <c r="P227" s="185"/>
      <c r="Q227" s="185"/>
      <c r="R227" s="185"/>
      <c r="U227" s="2238" t="s">
        <v>4</v>
      </c>
      <c r="V227" s="2239" t="s">
        <v>344</v>
      </c>
      <c r="W227" s="2240" t="s">
        <v>6</v>
      </c>
      <c r="X227" s="2241" t="s">
        <v>345</v>
      </c>
      <c r="Y227" s="2241" t="s">
        <v>8</v>
      </c>
      <c r="Z227" s="2242" t="s">
        <v>346</v>
      </c>
      <c r="AA227" s="227"/>
      <c r="AB227" s="227"/>
      <c r="AC227" s="298"/>
      <c r="AD227" s="298"/>
      <c r="AE227" s="298"/>
      <c r="AF227" s="298"/>
    </row>
    <row r="228" spans="1:32" ht="66">
      <c r="A228" s="7"/>
      <c r="B228" s="1"/>
      <c r="C228" s="185"/>
      <c r="D228" s="185"/>
      <c r="E228" s="185"/>
      <c r="F228" s="185"/>
      <c r="G228" s="185"/>
      <c r="H228" s="185"/>
      <c r="I228" s="185"/>
      <c r="J228" s="185"/>
      <c r="K228" s="185"/>
      <c r="L228" s="185"/>
      <c r="M228" s="185"/>
      <c r="N228" s="185"/>
      <c r="O228" s="185"/>
      <c r="P228" s="185"/>
      <c r="U228" s="2254" t="s">
        <v>17</v>
      </c>
      <c r="V228" s="2260" t="s">
        <v>26</v>
      </c>
      <c r="W228" s="139">
        <v>530204</v>
      </c>
      <c r="X228" s="137" t="s">
        <v>13</v>
      </c>
      <c r="Y228" s="1568" t="s">
        <v>18</v>
      </c>
      <c r="Z228" s="299">
        <f>SUM($AA$202:$AA$202)</f>
        <v>168000.00000000003</v>
      </c>
      <c r="AA228" s="228"/>
      <c r="AB228" s="229"/>
      <c r="AC228" s="298"/>
      <c r="AD228" s="298"/>
      <c r="AE228" s="298"/>
      <c r="AF228" s="298"/>
    </row>
    <row r="229" spans="1:32" ht="33">
      <c r="A229" s="7"/>
      <c r="B229" s="1"/>
      <c r="C229" s="185"/>
      <c r="D229" s="185"/>
      <c r="E229" s="185"/>
      <c r="F229" s="185"/>
      <c r="G229" s="185"/>
      <c r="H229" s="185"/>
      <c r="I229" s="185"/>
      <c r="J229" s="185"/>
      <c r="K229" s="185"/>
      <c r="L229" s="185"/>
      <c r="M229" s="185"/>
      <c r="N229" s="185"/>
      <c r="O229" s="185"/>
      <c r="U229" s="2254" t="s">
        <v>17</v>
      </c>
      <c r="V229" s="2260" t="s">
        <v>70</v>
      </c>
      <c r="W229" s="393">
        <v>530303</v>
      </c>
      <c r="X229" s="137" t="s">
        <v>13</v>
      </c>
      <c r="Y229" s="1568" t="s">
        <v>18</v>
      </c>
      <c r="Z229" s="299">
        <f>SUM($AA$25:$AA$25)</f>
        <v>1120</v>
      </c>
      <c r="AA229" s="228"/>
      <c r="AB229" s="229"/>
      <c r="AC229" s="298"/>
      <c r="AD229" s="298"/>
      <c r="AE229" s="298"/>
      <c r="AF229" s="298"/>
    </row>
    <row r="230" spans="1:32" ht="33">
      <c r="A230" s="7"/>
      <c r="B230" s="1"/>
      <c r="C230" s="185"/>
      <c r="D230" s="185"/>
      <c r="E230" s="185"/>
      <c r="F230" s="185"/>
      <c r="G230" s="185"/>
      <c r="H230" s="185"/>
      <c r="I230" s="185"/>
      <c r="J230" s="185"/>
      <c r="K230" s="185"/>
      <c r="L230" s="185"/>
      <c r="M230" s="185"/>
      <c r="N230" s="185"/>
      <c r="O230" s="185"/>
      <c r="U230" s="2254" t="s">
        <v>17</v>
      </c>
      <c r="V230" s="2260" t="s">
        <v>12</v>
      </c>
      <c r="W230" s="393">
        <v>530304</v>
      </c>
      <c r="X230" s="137" t="s">
        <v>13</v>
      </c>
      <c r="Y230" s="1568" t="s">
        <v>18</v>
      </c>
      <c r="Z230" s="299">
        <f>SUM($AA$27:$AA$27)</f>
        <v>1680.0000000000002</v>
      </c>
      <c r="AA230" s="228"/>
      <c r="AB230" s="229"/>
      <c r="AC230" s="298"/>
      <c r="AD230" s="298"/>
      <c r="AE230" s="298"/>
      <c r="AF230" s="298"/>
    </row>
    <row r="231" spans="1:32" ht="33">
      <c r="A231" s="7"/>
      <c r="B231" s="1"/>
      <c r="C231" s="185"/>
      <c r="D231" s="185"/>
      <c r="E231" s="185"/>
      <c r="F231" s="185"/>
      <c r="G231" s="185"/>
      <c r="H231" s="185"/>
      <c r="I231" s="185"/>
      <c r="J231" s="185"/>
      <c r="K231" s="185"/>
      <c r="L231" s="185"/>
      <c r="M231" s="185"/>
      <c r="N231" s="185"/>
      <c r="O231" s="185"/>
      <c r="U231" s="2254" t="s">
        <v>17</v>
      </c>
      <c r="V231" s="2253" t="s">
        <v>71</v>
      </c>
      <c r="W231" s="393">
        <v>530609</v>
      </c>
      <c r="X231" s="137" t="s">
        <v>13</v>
      </c>
      <c r="Y231" s="1568" t="s">
        <v>18</v>
      </c>
      <c r="Z231" s="299">
        <f>SUM($AA$30:$AA$31)</f>
        <v>3360.0000000000005</v>
      </c>
      <c r="AA231" s="228"/>
      <c r="AB231" s="229"/>
      <c r="AC231" s="298"/>
      <c r="AD231" s="298"/>
      <c r="AE231" s="298"/>
      <c r="AF231" s="298"/>
    </row>
    <row r="232" spans="1:32" ht="33">
      <c r="A232" s="7"/>
      <c r="B232" s="1"/>
      <c r="C232" s="185"/>
      <c r="D232" s="185"/>
      <c r="E232" s="185"/>
      <c r="F232" s="185"/>
      <c r="G232" s="185"/>
      <c r="H232" s="185"/>
      <c r="I232" s="185"/>
      <c r="J232" s="185"/>
      <c r="K232" s="185"/>
      <c r="L232" s="185"/>
      <c r="M232" s="185"/>
      <c r="N232" s="185"/>
      <c r="O232" s="185"/>
      <c r="U232" s="2254" t="s">
        <v>17</v>
      </c>
      <c r="V232" s="2260" t="s">
        <v>67</v>
      </c>
      <c r="W232" s="393">
        <v>530702</v>
      </c>
      <c r="X232" s="137" t="s">
        <v>13</v>
      </c>
      <c r="Y232" s="1568" t="s">
        <v>30</v>
      </c>
      <c r="Z232" s="299">
        <f>SUM($AA$40:$AA$43)</f>
        <v>20720.000000000004</v>
      </c>
      <c r="AA232" s="228"/>
      <c r="AB232" s="229"/>
      <c r="AC232" s="298"/>
      <c r="AD232" s="298"/>
      <c r="AE232" s="298"/>
      <c r="AF232" s="298"/>
    </row>
    <row r="233" spans="1:32" ht="33">
      <c r="A233" s="7"/>
      <c r="B233" s="1"/>
      <c r="C233" s="185"/>
      <c r="D233" s="185"/>
      <c r="E233" s="185"/>
      <c r="F233" s="185"/>
      <c r="G233" s="185"/>
      <c r="H233" s="185"/>
      <c r="I233" s="185"/>
      <c r="J233" s="185"/>
      <c r="K233" s="185"/>
      <c r="L233" s="185"/>
      <c r="M233" s="185"/>
      <c r="N233" s="185"/>
      <c r="O233" s="185"/>
      <c r="U233" s="2254" t="s">
        <v>17</v>
      </c>
      <c r="V233" s="2264" t="s">
        <v>72</v>
      </c>
      <c r="W233" s="393">
        <v>530810</v>
      </c>
      <c r="X233" s="137" t="s">
        <v>13</v>
      </c>
      <c r="Y233" s="1568" t="s">
        <v>18</v>
      </c>
      <c r="Z233" s="299">
        <f>SUM($AA$65:$AA$65)</f>
        <v>1120</v>
      </c>
      <c r="AA233" s="228"/>
      <c r="AB233" s="229"/>
      <c r="AC233" s="298"/>
      <c r="AD233" s="298"/>
      <c r="AE233" s="298"/>
      <c r="AF233" s="298"/>
    </row>
    <row r="234" spans="1:32" ht="33">
      <c r="A234" s="7"/>
      <c r="B234" s="1"/>
      <c r="C234" s="185"/>
      <c r="D234" s="185"/>
      <c r="E234" s="185"/>
      <c r="F234" s="185"/>
      <c r="G234" s="185"/>
      <c r="H234" s="185"/>
      <c r="I234" s="185"/>
      <c r="J234" s="185"/>
      <c r="K234" s="185"/>
      <c r="L234" s="185"/>
      <c r="M234" s="185"/>
      <c r="N234" s="185"/>
      <c r="O234" s="185"/>
      <c r="U234" s="2254" t="s">
        <v>17</v>
      </c>
      <c r="V234" s="2264" t="s">
        <v>73</v>
      </c>
      <c r="W234" s="393">
        <v>530829</v>
      </c>
      <c r="X234" s="137" t="s">
        <v>13</v>
      </c>
      <c r="Y234" s="1568" t="s">
        <v>30</v>
      </c>
      <c r="Z234" s="299">
        <f>SUM($AA$67:$AA$67)</f>
        <v>3360.0000000000005</v>
      </c>
      <c r="AA234" s="228"/>
      <c r="AB234" s="229"/>
      <c r="AC234" s="298"/>
      <c r="AD234" s="298"/>
      <c r="AE234" s="298"/>
      <c r="AF234" s="298"/>
    </row>
    <row r="235" spans="1:32" ht="33">
      <c r="A235" s="7"/>
      <c r="B235" s="1"/>
      <c r="C235" s="185"/>
      <c r="D235" s="185"/>
      <c r="E235" s="185"/>
      <c r="F235" s="185"/>
      <c r="G235" s="185"/>
      <c r="H235" s="185"/>
      <c r="I235" s="185"/>
      <c r="J235" s="185"/>
      <c r="K235" s="185"/>
      <c r="L235" s="185"/>
      <c r="M235" s="185"/>
      <c r="N235" s="185"/>
      <c r="O235" s="185"/>
      <c r="U235" s="2254" t="s">
        <v>17</v>
      </c>
      <c r="V235" s="2253" t="s">
        <v>24</v>
      </c>
      <c r="W235" s="393">
        <v>531404</v>
      </c>
      <c r="X235" s="137" t="s">
        <v>13</v>
      </c>
      <c r="Y235" s="1568" t="s">
        <v>30</v>
      </c>
      <c r="Z235" s="299">
        <f>SUM($AA$70:$AA$72)</f>
        <v>2240</v>
      </c>
      <c r="AA235" s="228"/>
      <c r="AB235" s="229"/>
      <c r="AC235" s="298"/>
      <c r="AD235" s="298"/>
      <c r="AE235" s="298"/>
      <c r="AF235" s="298"/>
    </row>
    <row r="236" spans="1:32" ht="33">
      <c r="A236" s="7"/>
      <c r="B236" s="1"/>
      <c r="C236" s="185"/>
      <c r="D236" s="185"/>
      <c r="E236" s="185"/>
      <c r="F236" s="185"/>
      <c r="G236" s="185"/>
      <c r="H236" s="185"/>
      <c r="I236" s="185"/>
      <c r="J236" s="185"/>
      <c r="K236" s="185"/>
      <c r="L236" s="185"/>
      <c r="M236" s="185"/>
      <c r="N236" s="185"/>
      <c r="O236" s="185"/>
      <c r="U236" s="2254" t="s">
        <v>17</v>
      </c>
      <c r="V236" s="2253" t="s">
        <v>74</v>
      </c>
      <c r="W236" s="393">
        <v>531406</v>
      </c>
      <c r="X236" s="137" t="s">
        <v>13</v>
      </c>
      <c r="Y236" s="1568" t="s">
        <v>30</v>
      </c>
      <c r="Z236" s="299">
        <f>SUM($AA$75:$AA$76)</f>
        <v>1680.0000000000002</v>
      </c>
      <c r="AA236" s="228"/>
      <c r="AB236" s="229"/>
      <c r="AC236" s="298"/>
      <c r="AD236" s="298"/>
      <c r="AE236" s="298"/>
      <c r="AF236" s="298"/>
    </row>
    <row r="237" spans="1:32" ht="33">
      <c r="A237" s="7"/>
      <c r="B237" s="1"/>
      <c r="C237" s="185"/>
      <c r="D237" s="185"/>
      <c r="E237" s="185"/>
      <c r="F237" s="185"/>
      <c r="G237" s="185"/>
      <c r="H237" s="185"/>
      <c r="I237" s="185"/>
      <c r="J237" s="185"/>
      <c r="K237" s="185"/>
      <c r="L237" s="185"/>
      <c r="M237" s="185"/>
      <c r="N237" s="185"/>
      <c r="O237" s="185"/>
      <c r="U237" s="2254" t="s">
        <v>17</v>
      </c>
      <c r="V237" s="2253" t="s">
        <v>20</v>
      </c>
      <c r="W237" s="393">
        <v>531407</v>
      </c>
      <c r="X237" s="137" t="s">
        <v>13</v>
      </c>
      <c r="Y237" s="1568" t="s">
        <v>30</v>
      </c>
      <c r="Z237" s="299">
        <f>SUM($AA$88:$AA$89)</f>
        <v>784.00000000000011</v>
      </c>
      <c r="AA237" s="228"/>
      <c r="AB237" s="229"/>
      <c r="AC237" s="298"/>
      <c r="AD237" s="298"/>
      <c r="AE237" s="298"/>
      <c r="AF237" s="298"/>
    </row>
    <row r="238" spans="1:32" ht="33">
      <c r="A238" s="7"/>
      <c r="B238" s="1"/>
      <c r="C238" s="185"/>
      <c r="D238" s="185"/>
      <c r="E238" s="185"/>
      <c r="F238" s="185"/>
      <c r="G238" s="185"/>
      <c r="H238" s="185"/>
      <c r="I238" s="185"/>
      <c r="J238" s="185"/>
      <c r="K238" s="185"/>
      <c r="L238" s="185"/>
      <c r="M238" s="185"/>
      <c r="N238" s="185"/>
      <c r="O238" s="185"/>
      <c r="U238" s="2254" t="s">
        <v>17</v>
      </c>
      <c r="V238" s="2253" t="s">
        <v>75</v>
      </c>
      <c r="W238" s="139">
        <v>531409</v>
      </c>
      <c r="X238" s="137" t="s">
        <v>13</v>
      </c>
      <c r="Y238" s="1568" t="s">
        <v>30</v>
      </c>
      <c r="Z238" s="299">
        <f>SUM($AA$204:$AA$205)</f>
        <v>28000.000000000004</v>
      </c>
      <c r="AA238" s="228"/>
      <c r="AB238" s="229"/>
      <c r="AC238" s="298"/>
      <c r="AD238" s="298"/>
      <c r="AE238" s="298"/>
      <c r="AF238" s="298"/>
    </row>
    <row r="239" spans="1:32" ht="33">
      <c r="A239" s="7"/>
      <c r="B239" s="1"/>
      <c r="C239" s="185"/>
      <c r="D239" s="185"/>
      <c r="E239" s="185"/>
      <c r="F239" s="185"/>
      <c r="G239" s="185"/>
      <c r="H239" s="185"/>
      <c r="I239" s="185"/>
      <c r="J239" s="185"/>
      <c r="K239" s="185"/>
      <c r="L239" s="185"/>
      <c r="M239" s="185"/>
      <c r="N239" s="185"/>
      <c r="O239" s="185"/>
      <c r="U239" s="2254" t="s">
        <v>17</v>
      </c>
      <c r="V239" s="2260" t="s">
        <v>49</v>
      </c>
      <c r="W239" s="393">
        <v>580208</v>
      </c>
      <c r="X239" s="137" t="s">
        <v>13</v>
      </c>
      <c r="Y239" s="1568" t="s">
        <v>18</v>
      </c>
      <c r="Z239" s="299">
        <f>SUM($AA$104:$AA$105)</f>
        <v>88655.82</v>
      </c>
      <c r="AA239" s="228"/>
      <c r="AB239" s="229"/>
      <c r="AC239" s="298"/>
      <c r="AD239" s="298"/>
      <c r="AE239" s="298"/>
      <c r="AF239" s="298"/>
    </row>
    <row r="240" spans="1:32" ht="33">
      <c r="A240" s="7"/>
      <c r="B240" s="1"/>
      <c r="C240" s="185"/>
      <c r="D240" s="185"/>
      <c r="E240" s="185"/>
      <c r="F240" s="185"/>
      <c r="G240" s="185"/>
      <c r="H240" s="185"/>
      <c r="I240" s="185"/>
      <c r="J240" s="185"/>
      <c r="K240" s="185"/>
      <c r="L240" s="185"/>
      <c r="M240" s="185"/>
      <c r="N240" s="185"/>
      <c r="O240" s="185"/>
      <c r="U240" s="2254" t="s">
        <v>17</v>
      </c>
      <c r="V240" s="2253" t="s">
        <v>24</v>
      </c>
      <c r="W240" s="393">
        <v>840104</v>
      </c>
      <c r="X240" s="137" t="s">
        <v>13</v>
      </c>
      <c r="Y240" s="1570" t="s">
        <v>14</v>
      </c>
      <c r="Z240" s="299">
        <f>SUM($AA$109:$AA$110)</f>
        <v>1680.0000000000002</v>
      </c>
      <c r="AA240" s="228"/>
      <c r="AB240" s="229"/>
      <c r="AC240" s="298"/>
      <c r="AD240" s="298"/>
      <c r="AE240" s="298"/>
      <c r="AF240" s="298"/>
    </row>
    <row r="241" spans="1:32" ht="33">
      <c r="A241" s="7"/>
      <c r="B241" s="1"/>
      <c r="C241" s="185"/>
      <c r="D241" s="185"/>
      <c r="E241" s="185"/>
      <c r="F241" s="185"/>
      <c r="G241" s="185"/>
      <c r="H241" s="185"/>
      <c r="I241" s="185"/>
      <c r="J241" s="185"/>
      <c r="K241" s="185"/>
      <c r="L241" s="185"/>
      <c r="M241" s="185"/>
      <c r="N241" s="185"/>
      <c r="O241" s="185"/>
      <c r="U241" s="2254" t="s">
        <v>17</v>
      </c>
      <c r="V241" s="2253" t="s">
        <v>20</v>
      </c>
      <c r="W241" s="393">
        <v>840107</v>
      </c>
      <c r="X241" s="137" t="s">
        <v>13</v>
      </c>
      <c r="Y241" s="1570" t="s">
        <v>14</v>
      </c>
      <c r="Z241" s="299">
        <f>SUM($AA$149:$AA$151)</f>
        <v>2240</v>
      </c>
      <c r="AA241" s="228"/>
      <c r="AB241" s="229"/>
      <c r="AC241" s="298"/>
      <c r="AD241" s="298"/>
      <c r="AE241" s="298"/>
      <c r="AF241" s="298"/>
    </row>
    <row r="242" spans="1:32" ht="16.5" customHeight="1" thickBot="1">
      <c r="A242" s="7"/>
      <c r="B242" s="1"/>
      <c r="C242" s="185"/>
      <c r="D242" s="185"/>
      <c r="E242" s="185"/>
      <c r="F242" s="185"/>
      <c r="G242" s="185"/>
      <c r="H242" s="185"/>
      <c r="I242" s="185"/>
      <c r="J242" s="185"/>
      <c r="K242" s="185"/>
      <c r="L242" s="185"/>
      <c r="M242" s="185"/>
      <c r="N242" s="185"/>
      <c r="O242" s="185"/>
      <c r="P242" s="185"/>
      <c r="Q242" s="185"/>
      <c r="R242" s="185"/>
      <c r="U242" s="2257"/>
      <c r="V242" s="2245" t="s">
        <v>183</v>
      </c>
      <c r="W242" s="2258"/>
      <c r="X242" s="2258"/>
      <c r="Y242" s="2246" t="s">
        <v>340</v>
      </c>
      <c r="Z242" s="140">
        <f>SUM(Z228:Z241)</f>
        <v>324639.82000000007</v>
      </c>
      <c r="AA242" s="298"/>
      <c r="AB242" s="298"/>
      <c r="AC242" s="298"/>
      <c r="AD242" s="298"/>
      <c r="AE242" s="298"/>
      <c r="AF242" s="298"/>
    </row>
    <row r="243" spans="1:32" ht="16.5" customHeight="1" thickTop="1">
      <c r="A243" s="7"/>
      <c r="B243" s="1"/>
      <c r="C243" s="185"/>
      <c r="D243" s="185"/>
      <c r="E243" s="185"/>
      <c r="F243" s="185"/>
      <c r="G243" s="185"/>
      <c r="H243" s="185"/>
      <c r="I243" s="185"/>
      <c r="J243" s="185"/>
      <c r="K243" s="185"/>
      <c r="L243" s="185"/>
      <c r="M243" s="185"/>
      <c r="N243" s="185"/>
      <c r="O243" s="185"/>
      <c r="P243" s="185"/>
      <c r="Q243" s="185"/>
      <c r="R243" s="185"/>
      <c r="T243" s="131"/>
      <c r="U243" s="131"/>
      <c r="V243" s="142" t="s">
        <v>347</v>
      </c>
      <c r="W243" s="143"/>
      <c r="X243" s="131"/>
      <c r="Y243" s="131"/>
      <c r="Z243" s="131"/>
      <c r="AA243" s="298"/>
      <c r="AB243" s="307"/>
      <c r="AC243" s="298"/>
      <c r="AD243" s="298"/>
      <c r="AE243" s="298"/>
      <c r="AF243" s="298"/>
    </row>
    <row r="244" spans="1:32" ht="16.5" customHeight="1">
      <c r="A244" s="7"/>
      <c r="B244" s="1"/>
      <c r="C244" s="185"/>
      <c r="D244" s="185"/>
      <c r="E244" s="185"/>
      <c r="F244" s="185"/>
      <c r="G244" s="185"/>
      <c r="H244" s="185"/>
      <c r="I244" s="185"/>
      <c r="J244" s="185"/>
      <c r="K244" s="185"/>
      <c r="L244" s="185"/>
      <c r="M244" s="185"/>
      <c r="N244" s="185"/>
      <c r="O244" s="185"/>
      <c r="P244" s="185"/>
      <c r="Q244" s="185"/>
      <c r="R244" s="185"/>
      <c r="U244" s="131"/>
      <c r="V244" s="131"/>
      <c r="W244" s="131"/>
      <c r="X244" s="131"/>
      <c r="Y244" s="131"/>
      <c r="Z244" s="131"/>
      <c r="AA244" s="131"/>
      <c r="AB244" s="298"/>
      <c r="AC244" s="307"/>
      <c r="AD244" s="298"/>
      <c r="AE244" s="298"/>
      <c r="AF244" s="298"/>
    </row>
    <row r="245" spans="1:32" ht="16.5" customHeight="1">
      <c r="A245" s="7"/>
      <c r="B245" s="1"/>
      <c r="C245" s="185"/>
      <c r="D245" s="185"/>
      <c r="E245" s="185"/>
      <c r="F245" s="185"/>
      <c r="G245" s="185"/>
      <c r="H245" s="185"/>
      <c r="I245" s="185"/>
      <c r="J245" s="185"/>
      <c r="K245" s="185"/>
      <c r="L245" s="185"/>
      <c r="M245" s="185"/>
      <c r="N245" s="185"/>
      <c r="O245" s="185"/>
      <c r="P245" s="185"/>
      <c r="Q245" s="185"/>
      <c r="R245" s="185"/>
      <c r="U245" s="4303" t="s">
        <v>348</v>
      </c>
      <c r="V245" s="4304"/>
      <c r="W245" s="4305"/>
      <c r="X245" s="131"/>
      <c r="Y245" s="144" t="s">
        <v>349</v>
      </c>
      <c r="Z245" s="145" t="str">
        <f>IF(Z242=AB222,"OK","NO")</f>
        <v>OK</v>
      </c>
      <c r="AA245" s="131"/>
      <c r="AB245" s="309"/>
      <c r="AC245" s="298"/>
      <c r="AD245" s="298"/>
      <c r="AE245" s="298"/>
      <c r="AF245" s="298"/>
    </row>
    <row r="246" spans="1:32" ht="16.5" customHeight="1">
      <c r="A246" s="7"/>
      <c r="B246" s="1"/>
      <c r="C246" s="185"/>
      <c r="D246" s="185"/>
      <c r="E246" s="185"/>
      <c r="F246" s="185"/>
      <c r="G246" s="185"/>
      <c r="H246" s="185"/>
      <c r="I246" s="185"/>
      <c r="J246" s="185"/>
      <c r="K246" s="185"/>
      <c r="L246" s="185"/>
      <c r="M246" s="185"/>
      <c r="N246" s="185"/>
      <c r="O246" s="185"/>
      <c r="P246" s="185"/>
      <c r="Q246" s="185"/>
      <c r="R246" s="185"/>
      <c r="S246" s="298"/>
      <c r="T246" s="298"/>
      <c r="U246" s="4213" t="s">
        <v>3666</v>
      </c>
      <c r="V246" s="4208"/>
      <c r="W246" s="516">
        <f>SUM(Z228,Z229,Z230,Z231,Z233,Z239)</f>
        <v>263935.82000000007</v>
      </c>
      <c r="X246" s="143"/>
      <c r="Y246" s="131"/>
      <c r="Z246" s="145" t="str">
        <f>IF(W250=AB222,"OK","NO")</f>
        <v>OK</v>
      </c>
      <c r="AA246" s="131"/>
      <c r="AB246" s="309"/>
      <c r="AC246" s="298"/>
      <c r="AD246" s="298"/>
      <c r="AE246" s="298"/>
      <c r="AF246" s="298"/>
    </row>
    <row r="247" spans="1:32" ht="16.5" customHeight="1">
      <c r="A247" s="7"/>
      <c r="B247" s="1"/>
      <c r="C247" s="185"/>
      <c r="D247" s="185"/>
      <c r="E247" s="185"/>
      <c r="F247" s="185"/>
      <c r="G247" s="185"/>
      <c r="H247" s="185"/>
      <c r="I247" s="185"/>
      <c r="J247" s="185"/>
      <c r="K247" s="185"/>
      <c r="L247" s="185"/>
      <c r="M247" s="185"/>
      <c r="N247" s="185"/>
      <c r="O247" s="185"/>
      <c r="P247" s="185"/>
      <c r="Q247" s="185"/>
      <c r="R247" s="185"/>
      <c r="S247" s="298"/>
      <c r="T247" s="298"/>
      <c r="U247" s="4200" t="s">
        <v>3667</v>
      </c>
      <c r="V247" s="4201"/>
      <c r="W247" s="515">
        <f>SUM(Z232,Z234,Z235,Z236,Z237,Z238)</f>
        <v>56784.000000000007</v>
      </c>
      <c r="X247" s="143"/>
      <c r="Y247" s="131"/>
      <c r="Z247" s="145" t="str">
        <f>IF(W260=AB222,"OK","NO")</f>
        <v>OK</v>
      </c>
      <c r="AA247" s="131"/>
      <c r="AB247" s="309"/>
      <c r="AC247" s="298"/>
      <c r="AD247" s="298"/>
      <c r="AE247" s="298"/>
      <c r="AF247" s="298"/>
    </row>
    <row r="248" spans="1:32" ht="16.5" customHeight="1">
      <c r="A248" s="7"/>
      <c r="B248" s="1"/>
      <c r="C248" s="185"/>
      <c r="D248" s="185"/>
      <c r="E248" s="185"/>
      <c r="F248" s="185"/>
      <c r="G248" s="185"/>
      <c r="H248" s="185"/>
      <c r="I248" s="185"/>
      <c r="J248" s="185"/>
      <c r="K248" s="185"/>
      <c r="L248" s="185"/>
      <c r="M248" s="185"/>
      <c r="N248" s="185"/>
      <c r="O248" s="185"/>
      <c r="P248" s="185"/>
      <c r="Q248" s="185"/>
      <c r="R248" s="185"/>
      <c r="S248" s="298"/>
      <c r="T248" s="298"/>
      <c r="U248" s="4200" t="s">
        <v>3669</v>
      </c>
      <c r="V248" s="4201"/>
      <c r="W248" s="515">
        <f>SUM(Z240,Z241)</f>
        <v>3920</v>
      </c>
      <c r="X248" s="143"/>
      <c r="Y248" s="143"/>
      <c r="Z248" s="145" t="str">
        <f>IF(Resumen!C353=AB222,"OK","NO")</f>
        <v>OK</v>
      </c>
      <c r="AA248" s="131"/>
      <c r="AB248" s="309"/>
      <c r="AC248" s="298"/>
      <c r="AD248" s="298"/>
      <c r="AE248" s="298"/>
      <c r="AF248" s="298"/>
    </row>
    <row r="249" spans="1:32" ht="16.5" customHeight="1">
      <c r="A249" s="7"/>
      <c r="B249" s="1"/>
      <c r="C249" s="185"/>
      <c r="D249" s="185"/>
      <c r="E249" s="185"/>
      <c r="F249" s="185"/>
      <c r="G249" s="185"/>
      <c r="H249" s="185"/>
      <c r="I249" s="185"/>
      <c r="J249" s="185"/>
      <c r="K249" s="185"/>
      <c r="L249" s="185"/>
      <c r="M249" s="185"/>
      <c r="N249" s="185"/>
      <c r="O249" s="185"/>
      <c r="P249" s="185"/>
      <c r="Q249" s="185"/>
      <c r="R249" s="185"/>
      <c r="S249" s="298"/>
      <c r="T249" s="298"/>
      <c r="U249" s="4200" t="s">
        <v>3668</v>
      </c>
      <c r="V249" s="4201"/>
      <c r="W249" s="517">
        <v>0</v>
      </c>
      <c r="X249" s="143"/>
      <c r="Y249" s="143"/>
      <c r="Z249" s="131"/>
      <c r="AA249" s="131"/>
      <c r="AB249" s="309"/>
      <c r="AC249" s="298"/>
      <c r="AD249" s="298"/>
      <c r="AE249" s="298"/>
      <c r="AF249" s="298"/>
    </row>
    <row r="250" spans="1:32" ht="16.5" customHeight="1">
      <c r="A250" s="7"/>
      <c r="B250" s="1"/>
      <c r="C250" s="185"/>
      <c r="D250" s="185"/>
      <c r="E250" s="185"/>
      <c r="F250" s="185"/>
      <c r="G250" s="185"/>
      <c r="H250" s="185"/>
      <c r="I250" s="185"/>
      <c r="J250" s="185"/>
      <c r="K250" s="185"/>
      <c r="L250" s="185"/>
      <c r="M250" s="185"/>
      <c r="N250" s="185"/>
      <c r="O250" s="185"/>
      <c r="P250" s="185"/>
      <c r="Q250" s="185"/>
      <c r="R250" s="185"/>
      <c r="S250" s="298"/>
      <c r="T250" s="298"/>
      <c r="U250" s="4553" t="s">
        <v>183</v>
      </c>
      <c r="V250" s="4554"/>
      <c r="W250" s="1571">
        <f>SUM(W246:W249)</f>
        <v>324639.82000000007</v>
      </c>
      <c r="X250" s="143"/>
      <c r="Y250" s="143"/>
      <c r="Z250" s="131"/>
      <c r="AA250" s="131"/>
      <c r="AB250" s="309"/>
      <c r="AC250" s="298"/>
      <c r="AD250" s="298"/>
      <c r="AE250" s="298"/>
      <c r="AF250" s="298"/>
    </row>
    <row r="251" spans="1:32" ht="16.5" customHeight="1">
      <c r="A251" s="7"/>
      <c r="B251" s="1"/>
      <c r="C251" s="185"/>
      <c r="D251" s="185"/>
      <c r="E251" s="185"/>
      <c r="F251" s="185"/>
      <c r="G251" s="185"/>
      <c r="H251" s="185"/>
      <c r="I251" s="185"/>
      <c r="J251" s="185"/>
      <c r="K251" s="185"/>
      <c r="L251" s="185"/>
      <c r="M251" s="185"/>
      <c r="N251" s="185"/>
      <c r="O251" s="185"/>
      <c r="P251" s="185"/>
      <c r="Q251" s="185"/>
      <c r="R251" s="185"/>
      <c r="S251" s="298"/>
      <c r="T251" s="298"/>
      <c r="U251" s="4555" t="s">
        <v>350</v>
      </c>
      <c r="V251" s="4556"/>
      <c r="W251" s="4557"/>
      <c r="X251" s="147"/>
      <c r="Y251" s="147"/>
      <c r="Z251" s="131"/>
      <c r="AA251" s="131"/>
      <c r="AB251" s="309"/>
      <c r="AC251" s="298"/>
      <c r="AD251" s="298"/>
      <c r="AE251" s="298"/>
      <c r="AF251" s="298"/>
    </row>
    <row r="252" spans="1:32" ht="16.5" customHeight="1">
      <c r="A252" s="7"/>
      <c r="B252" s="1"/>
      <c r="C252" s="185"/>
      <c r="D252" s="185"/>
      <c r="E252" s="185"/>
      <c r="F252" s="185"/>
      <c r="G252" s="185"/>
      <c r="H252" s="185"/>
      <c r="I252" s="185"/>
      <c r="J252" s="185"/>
      <c r="K252" s="185"/>
      <c r="L252" s="185"/>
      <c r="M252" s="185"/>
      <c r="N252" s="185"/>
      <c r="O252" s="185"/>
      <c r="P252" s="185"/>
      <c r="Q252" s="185"/>
      <c r="R252" s="185"/>
      <c r="S252" s="298"/>
      <c r="T252" s="298"/>
      <c r="U252" s="4207" t="s">
        <v>3670</v>
      </c>
      <c r="V252" s="4208"/>
      <c r="W252" s="516">
        <v>0</v>
      </c>
      <c r="X252" s="147"/>
      <c r="Y252" s="147"/>
      <c r="Z252" s="131"/>
      <c r="AA252" s="131"/>
      <c r="AB252" s="309"/>
      <c r="AC252" s="298"/>
      <c r="AD252" s="298"/>
      <c r="AE252" s="298"/>
      <c r="AF252" s="298"/>
    </row>
    <row r="253" spans="1:32" ht="16.5" customHeight="1">
      <c r="A253" s="7"/>
      <c r="B253" s="1"/>
      <c r="C253" s="185"/>
      <c r="D253" s="185"/>
      <c r="E253" s="185"/>
      <c r="F253" s="185"/>
      <c r="G253" s="185"/>
      <c r="H253" s="185"/>
      <c r="I253" s="185"/>
      <c r="J253" s="185"/>
      <c r="K253" s="185"/>
      <c r="L253" s="185"/>
      <c r="M253" s="185"/>
      <c r="N253" s="185"/>
      <c r="O253" s="185"/>
      <c r="P253" s="185"/>
      <c r="Q253" s="185"/>
      <c r="R253" s="185"/>
      <c r="S253" s="298"/>
      <c r="T253" s="298"/>
      <c r="U253" s="4209" t="s">
        <v>3671</v>
      </c>
      <c r="V253" s="4201"/>
      <c r="W253" s="515">
        <f>SUM(Z228:Z238)</f>
        <v>232064.00000000003</v>
      </c>
      <c r="X253" s="147"/>
      <c r="Y253" s="147"/>
      <c r="Z253" s="269"/>
      <c r="AA253" s="269"/>
      <c r="AB253" s="311"/>
      <c r="AC253" s="313"/>
      <c r="AD253" s="313"/>
      <c r="AE253" s="313"/>
      <c r="AF253" s="298"/>
    </row>
    <row r="254" spans="1:32" ht="16.5" customHeight="1">
      <c r="A254" s="7"/>
      <c r="B254" s="1"/>
      <c r="C254" s="185"/>
      <c r="D254" s="185"/>
      <c r="E254" s="185"/>
      <c r="F254" s="185"/>
      <c r="G254" s="185"/>
      <c r="H254" s="185"/>
      <c r="I254" s="185"/>
      <c r="J254" s="185"/>
      <c r="K254" s="185"/>
      <c r="L254" s="185"/>
      <c r="M254" s="185"/>
      <c r="N254" s="185"/>
      <c r="O254" s="185"/>
      <c r="P254" s="185"/>
      <c r="Q254" s="185"/>
      <c r="R254" s="185"/>
      <c r="S254" s="298"/>
      <c r="T254" s="298"/>
      <c r="U254" s="4209" t="s">
        <v>3672</v>
      </c>
      <c r="V254" s="4201"/>
      <c r="W254" s="515">
        <v>0</v>
      </c>
      <c r="X254" s="150"/>
      <c r="Y254" s="150"/>
      <c r="Z254" s="269"/>
      <c r="AA254" s="269"/>
      <c r="AB254" s="311"/>
      <c r="AC254" s="313"/>
      <c r="AD254" s="313"/>
      <c r="AE254" s="313"/>
      <c r="AF254" s="298"/>
    </row>
    <row r="255" spans="1:32" ht="16.5" customHeight="1">
      <c r="A255" s="7"/>
      <c r="B255" s="1"/>
      <c r="C255" s="185"/>
      <c r="D255" s="185"/>
      <c r="E255" s="185"/>
      <c r="F255" s="185"/>
      <c r="G255" s="185"/>
      <c r="H255" s="185"/>
      <c r="I255" s="185"/>
      <c r="J255" s="185"/>
      <c r="K255" s="185"/>
      <c r="L255" s="185"/>
      <c r="M255" s="185"/>
      <c r="N255" s="185"/>
      <c r="O255" s="185"/>
      <c r="P255" s="185"/>
      <c r="Q255" s="185"/>
      <c r="R255" s="185"/>
      <c r="S255" s="298"/>
      <c r="T255" s="298"/>
      <c r="U255" s="4209" t="s">
        <v>3673</v>
      </c>
      <c r="V255" s="4201"/>
      <c r="W255" s="515">
        <f>SUM(Z239)</f>
        <v>88655.82</v>
      </c>
      <c r="X255" s="143"/>
      <c r="Y255" s="143"/>
      <c r="Z255" s="269"/>
      <c r="AA255" s="269"/>
      <c r="AB255" s="311"/>
      <c r="AC255" s="313"/>
      <c r="AD255" s="313"/>
      <c r="AE255" s="313"/>
      <c r="AF255" s="298"/>
    </row>
    <row r="256" spans="1:32" ht="16.5" customHeight="1">
      <c r="A256" s="7"/>
      <c r="B256" s="1"/>
      <c r="C256" s="185"/>
      <c r="D256" s="185"/>
      <c r="E256" s="185"/>
      <c r="F256" s="185"/>
      <c r="G256" s="185"/>
      <c r="H256" s="185"/>
      <c r="I256" s="185"/>
      <c r="J256" s="185"/>
      <c r="K256" s="185"/>
      <c r="L256" s="185"/>
      <c r="M256" s="185"/>
      <c r="N256" s="185"/>
      <c r="O256" s="185"/>
      <c r="P256" s="185"/>
      <c r="Q256" s="185"/>
      <c r="R256" s="185"/>
      <c r="S256" s="298"/>
      <c r="T256" s="298"/>
      <c r="U256" s="4209" t="s">
        <v>3674</v>
      </c>
      <c r="V256" s="4201"/>
      <c r="W256" s="515">
        <v>0</v>
      </c>
      <c r="X256" s="151"/>
      <c r="Y256" s="151"/>
      <c r="Z256" s="4480"/>
      <c r="AA256" s="4150"/>
      <c r="AB256" s="4150"/>
      <c r="AC256" s="313"/>
      <c r="AD256" s="313"/>
      <c r="AE256" s="313"/>
      <c r="AF256" s="298"/>
    </row>
    <row r="257" spans="1:32" ht="16.5" customHeight="1">
      <c r="A257" s="7"/>
      <c r="B257" s="1"/>
      <c r="C257" s="185"/>
      <c r="D257" s="185"/>
      <c r="E257" s="185"/>
      <c r="F257" s="185"/>
      <c r="G257" s="185"/>
      <c r="H257" s="185"/>
      <c r="I257" s="185"/>
      <c r="J257" s="185"/>
      <c r="K257" s="185"/>
      <c r="L257" s="185"/>
      <c r="M257" s="185"/>
      <c r="N257" s="185"/>
      <c r="O257" s="185"/>
      <c r="P257" s="185"/>
      <c r="Q257" s="185"/>
      <c r="R257" s="185"/>
      <c r="S257" s="298"/>
      <c r="T257" s="298"/>
      <c r="U257" s="4209" t="s">
        <v>3675</v>
      </c>
      <c r="V257" s="4201"/>
      <c r="W257" s="515">
        <v>0</v>
      </c>
      <c r="X257" s="151"/>
      <c r="Y257" s="151"/>
      <c r="Z257" s="271"/>
      <c r="AA257" s="272"/>
      <c r="AB257" s="271"/>
      <c r="AC257" s="313"/>
      <c r="AD257" s="313"/>
      <c r="AE257" s="313"/>
      <c r="AF257" s="298"/>
    </row>
    <row r="258" spans="1:32" ht="16.5" customHeight="1">
      <c r="A258" s="7"/>
      <c r="B258" s="1"/>
      <c r="C258" s="185"/>
      <c r="D258" s="185"/>
      <c r="E258" s="185"/>
      <c r="F258" s="185"/>
      <c r="G258" s="185"/>
      <c r="H258" s="185"/>
      <c r="I258" s="185"/>
      <c r="J258" s="185"/>
      <c r="K258" s="185"/>
      <c r="L258" s="185"/>
      <c r="M258" s="185"/>
      <c r="N258" s="185"/>
      <c r="O258" s="185"/>
      <c r="P258" s="185"/>
      <c r="Q258" s="185"/>
      <c r="R258" s="185"/>
      <c r="S258" s="298"/>
      <c r="T258" s="298"/>
      <c r="U258" s="4209" t="s">
        <v>3676</v>
      </c>
      <c r="V258" s="4201"/>
      <c r="W258" s="515">
        <f>SUM(Z240:Z241)</f>
        <v>3920</v>
      </c>
      <c r="X258" s="151"/>
      <c r="Y258" s="151"/>
      <c r="Z258" s="345"/>
      <c r="AA258" s="274"/>
      <c r="AB258" s="346"/>
      <c r="AC258" s="313"/>
      <c r="AD258" s="313"/>
      <c r="AE258" s="313"/>
      <c r="AF258" s="298"/>
    </row>
    <row r="259" spans="1:32" ht="16.5" customHeight="1">
      <c r="A259" s="7"/>
      <c r="B259" s="1"/>
      <c r="C259" s="185"/>
      <c r="D259" s="185"/>
      <c r="E259" s="185"/>
      <c r="F259" s="185"/>
      <c r="G259" s="185"/>
      <c r="H259" s="185"/>
      <c r="I259" s="185"/>
      <c r="J259" s="185"/>
      <c r="K259" s="185"/>
      <c r="L259" s="185"/>
      <c r="M259" s="185"/>
      <c r="N259" s="185"/>
      <c r="O259" s="185"/>
      <c r="P259" s="185"/>
      <c r="Q259" s="185"/>
      <c r="R259" s="185"/>
      <c r="S259" s="298"/>
      <c r="T259" s="298"/>
      <c r="U259" s="4209" t="s">
        <v>3677</v>
      </c>
      <c r="V259" s="4201"/>
      <c r="W259" s="517">
        <v>0</v>
      </c>
      <c r="X259" s="152"/>
      <c r="Y259" s="152"/>
      <c r="Z259" s="317"/>
      <c r="AA259" s="317"/>
      <c r="AB259" s="311"/>
      <c r="AC259" s="313"/>
      <c r="AD259" s="313"/>
      <c r="AE259" s="313"/>
      <c r="AF259" s="298"/>
    </row>
    <row r="260" spans="1:32" ht="16.5" customHeight="1">
      <c r="A260" s="7"/>
      <c r="B260" s="1"/>
      <c r="C260" s="185"/>
      <c r="D260" s="185"/>
      <c r="E260" s="185"/>
      <c r="F260" s="185"/>
      <c r="G260" s="185"/>
      <c r="H260" s="185"/>
      <c r="I260" s="185"/>
      <c r="J260" s="185"/>
      <c r="K260" s="185"/>
      <c r="L260" s="185"/>
      <c r="M260" s="185"/>
      <c r="N260" s="185"/>
      <c r="O260" s="185"/>
      <c r="P260" s="185"/>
      <c r="Q260" s="185"/>
      <c r="R260" s="185"/>
      <c r="S260" s="298"/>
      <c r="T260" s="298"/>
      <c r="U260" s="4295" t="s">
        <v>183</v>
      </c>
      <c r="V260" s="4296"/>
      <c r="W260" s="1572">
        <f>SUM(W252:W259)</f>
        <v>324639.82000000007</v>
      </c>
      <c r="X260" s="150"/>
      <c r="Y260" s="150"/>
      <c r="Z260" s="269"/>
      <c r="AA260" s="269"/>
      <c r="AB260" s="311"/>
      <c r="AC260" s="313"/>
      <c r="AD260" s="313"/>
      <c r="AE260" s="313"/>
      <c r="AF260" s="298"/>
    </row>
    <row r="261" spans="1:32" ht="16.5" customHeight="1">
      <c r="A261" s="7"/>
      <c r="B261" s="1"/>
      <c r="C261" s="185"/>
      <c r="D261" s="185"/>
      <c r="E261" s="185"/>
      <c r="F261" s="185"/>
      <c r="G261" s="185"/>
      <c r="H261" s="185"/>
      <c r="I261" s="185"/>
      <c r="J261" s="185"/>
      <c r="K261" s="185"/>
      <c r="L261" s="185"/>
      <c r="M261" s="185"/>
      <c r="N261" s="185"/>
      <c r="O261" s="185"/>
      <c r="P261" s="185"/>
      <c r="Q261" s="185"/>
      <c r="R261" s="185"/>
      <c r="S261" s="298"/>
      <c r="T261" s="298"/>
      <c r="U261" s="131"/>
      <c r="V261" s="131"/>
      <c r="W261" s="150"/>
      <c r="X261" s="150"/>
      <c r="Y261" s="131"/>
      <c r="Z261" s="131"/>
      <c r="AA261" s="131"/>
      <c r="AB261" s="309"/>
      <c r="AC261" s="298"/>
      <c r="AD261" s="298"/>
      <c r="AE261" s="298"/>
      <c r="AF261" s="298"/>
    </row>
  </sheetData>
  <mergeCells count="774">
    <mergeCell ref="AF79:AF82"/>
    <mergeCell ref="O196:O200"/>
    <mergeCell ref="P196:P200"/>
    <mergeCell ref="Q196:Q200"/>
    <mergeCell ref="R196:R200"/>
    <mergeCell ref="H196:H200"/>
    <mergeCell ref="I196:I200"/>
    <mergeCell ref="J196:J200"/>
    <mergeCell ref="K196:K200"/>
    <mergeCell ref="L196:L200"/>
    <mergeCell ref="M196:M200"/>
    <mergeCell ref="N196:N200"/>
    <mergeCell ref="O123:O127"/>
    <mergeCell ref="P123:P127"/>
    <mergeCell ref="Q123:Q127"/>
    <mergeCell ref="R123:R127"/>
    <mergeCell ref="H123:H127"/>
    <mergeCell ref="I123:I127"/>
    <mergeCell ref="J123:J127"/>
    <mergeCell ref="K123:K127"/>
    <mergeCell ref="L123:L127"/>
    <mergeCell ref="M123:M127"/>
    <mergeCell ref="N123:N127"/>
    <mergeCell ref="P134:P138"/>
    <mergeCell ref="Q134:Q138"/>
    <mergeCell ref="R134:R138"/>
    <mergeCell ref="H134:H138"/>
    <mergeCell ref="I134:I138"/>
    <mergeCell ref="J134:J138"/>
    <mergeCell ref="K134:K138"/>
    <mergeCell ref="L134:L138"/>
    <mergeCell ref="M134:M138"/>
    <mergeCell ref="N134:N138"/>
    <mergeCell ref="O201:O205"/>
    <mergeCell ref="P201:P205"/>
    <mergeCell ref="Q201:Q205"/>
    <mergeCell ref="R201:R205"/>
    <mergeCell ref="H201:H205"/>
    <mergeCell ref="I201:I205"/>
    <mergeCell ref="J201:J205"/>
    <mergeCell ref="K201:K205"/>
    <mergeCell ref="L201:L205"/>
    <mergeCell ref="M201:M205"/>
    <mergeCell ref="N201:N205"/>
    <mergeCell ref="O164:O168"/>
    <mergeCell ref="P164:P168"/>
    <mergeCell ref="Q164:Q168"/>
    <mergeCell ref="R164:R168"/>
    <mergeCell ref="H164:H168"/>
    <mergeCell ref="I164:I168"/>
    <mergeCell ref="J164:J168"/>
    <mergeCell ref="K164:K168"/>
    <mergeCell ref="L164:L168"/>
    <mergeCell ref="M164:M168"/>
    <mergeCell ref="N164:N168"/>
    <mergeCell ref="O169:O173"/>
    <mergeCell ref="P169:P173"/>
    <mergeCell ref="Q169:Q173"/>
    <mergeCell ref="R169:R173"/>
    <mergeCell ref="H169:H173"/>
    <mergeCell ref="I169:I173"/>
    <mergeCell ref="J169:J173"/>
    <mergeCell ref="K169:K173"/>
    <mergeCell ref="L169:L173"/>
    <mergeCell ref="M169:M173"/>
    <mergeCell ref="N169:N173"/>
    <mergeCell ref="O174:O178"/>
    <mergeCell ref="P174:P178"/>
    <mergeCell ref="Q174:Q178"/>
    <mergeCell ref="R174:R178"/>
    <mergeCell ref="H174:H178"/>
    <mergeCell ref="I174:I178"/>
    <mergeCell ref="J174:J178"/>
    <mergeCell ref="K174:K178"/>
    <mergeCell ref="L174:L178"/>
    <mergeCell ref="M174:M178"/>
    <mergeCell ref="N174:N178"/>
    <mergeCell ref="O179:O183"/>
    <mergeCell ref="P179:P183"/>
    <mergeCell ref="Q179:Q183"/>
    <mergeCell ref="R179:R183"/>
    <mergeCell ref="H179:H183"/>
    <mergeCell ref="I179:I183"/>
    <mergeCell ref="J179:J183"/>
    <mergeCell ref="K179:K183"/>
    <mergeCell ref="L179:L183"/>
    <mergeCell ref="M179:M183"/>
    <mergeCell ref="N179:N183"/>
    <mergeCell ref="O184:O187"/>
    <mergeCell ref="P184:P187"/>
    <mergeCell ref="Q184:Q187"/>
    <mergeCell ref="R184:R187"/>
    <mergeCell ref="H184:H187"/>
    <mergeCell ref="I184:I187"/>
    <mergeCell ref="J184:J187"/>
    <mergeCell ref="K184:K187"/>
    <mergeCell ref="L184:L187"/>
    <mergeCell ref="M184:M187"/>
    <mergeCell ref="N184:N187"/>
    <mergeCell ref="O188:O191"/>
    <mergeCell ref="P188:P191"/>
    <mergeCell ref="Q188:Q191"/>
    <mergeCell ref="R188:R191"/>
    <mergeCell ref="H188:H191"/>
    <mergeCell ref="I188:I191"/>
    <mergeCell ref="J188:J191"/>
    <mergeCell ref="K188:K191"/>
    <mergeCell ref="L188:L191"/>
    <mergeCell ref="M188:M191"/>
    <mergeCell ref="N188:N191"/>
    <mergeCell ref="O192:O195"/>
    <mergeCell ref="P192:P195"/>
    <mergeCell ref="Q192:Q195"/>
    <mergeCell ref="R192:R195"/>
    <mergeCell ref="H192:H195"/>
    <mergeCell ref="I192:I195"/>
    <mergeCell ref="J192:J195"/>
    <mergeCell ref="K192:K195"/>
    <mergeCell ref="L192:L195"/>
    <mergeCell ref="M192:M195"/>
    <mergeCell ref="N192:N195"/>
    <mergeCell ref="E14:E18"/>
    <mergeCell ref="F14:F18"/>
    <mergeCell ref="G14:G18"/>
    <mergeCell ref="H14:H18"/>
    <mergeCell ref="I14:I18"/>
    <mergeCell ref="J14:J18"/>
    <mergeCell ref="K14:K18"/>
    <mergeCell ref="AF39:AF43"/>
    <mergeCell ref="AF44:AF48"/>
    <mergeCell ref="E29:E33"/>
    <mergeCell ref="F29:F33"/>
    <mergeCell ref="G29:G33"/>
    <mergeCell ref="H29:H33"/>
    <mergeCell ref="I29:I33"/>
    <mergeCell ref="Q14:Q18"/>
    <mergeCell ref="R14:R18"/>
    <mergeCell ref="Q19:Q23"/>
    <mergeCell ref="R19:R23"/>
    <mergeCell ref="N19:N23"/>
    <mergeCell ref="O19:O23"/>
    <mergeCell ref="P19:P23"/>
    <mergeCell ref="E34:E38"/>
    <mergeCell ref="F34:F38"/>
    <mergeCell ref="G34:G38"/>
    <mergeCell ref="AF49:AF53"/>
    <mergeCell ref="L14:L18"/>
    <mergeCell ref="M14:M18"/>
    <mergeCell ref="AF14:AF18"/>
    <mergeCell ref="AF19:AF23"/>
    <mergeCell ref="AF24:AF28"/>
    <mergeCell ref="AF29:AF33"/>
    <mergeCell ref="AF34:AF38"/>
    <mergeCell ref="J19:J23"/>
    <mergeCell ref="K19:K23"/>
    <mergeCell ref="N24:N28"/>
    <mergeCell ref="O24:O28"/>
    <mergeCell ref="P24:P28"/>
    <mergeCell ref="Q24:Q28"/>
    <mergeCell ref="R24:R28"/>
    <mergeCell ref="L29:L33"/>
    <mergeCell ref="M29:M33"/>
    <mergeCell ref="N29:N33"/>
    <mergeCell ref="O29:O33"/>
    <mergeCell ref="P29:P33"/>
    <mergeCell ref="Q29:Q33"/>
    <mergeCell ref="R29:R33"/>
    <mergeCell ref="J29:J33"/>
    <mergeCell ref="K29:K33"/>
    <mergeCell ref="H19:H23"/>
    <mergeCell ref="I19:I23"/>
    <mergeCell ref="L24:L28"/>
    <mergeCell ref="M24:M28"/>
    <mergeCell ref="E24:E28"/>
    <mergeCell ref="F24:F28"/>
    <mergeCell ref="G24:G28"/>
    <mergeCell ref="H24:H28"/>
    <mergeCell ref="I24:I28"/>
    <mergeCell ref="J24:J28"/>
    <mergeCell ref="K24:K28"/>
    <mergeCell ref="L19:L23"/>
    <mergeCell ref="M19:M23"/>
    <mergeCell ref="E9:E13"/>
    <mergeCell ref="F9:F13"/>
    <mergeCell ref="G9:G13"/>
    <mergeCell ref="H9:H13"/>
    <mergeCell ref="I9:I13"/>
    <mergeCell ref="Q9:Q13"/>
    <mergeCell ref="R9:R13"/>
    <mergeCell ref="L49:L53"/>
    <mergeCell ref="M49:M53"/>
    <mergeCell ref="N49:N53"/>
    <mergeCell ref="O49:O53"/>
    <mergeCell ref="P49:P53"/>
    <mergeCell ref="Q49:Q53"/>
    <mergeCell ref="R49:R53"/>
    <mergeCell ref="E49:E53"/>
    <mergeCell ref="F49:F53"/>
    <mergeCell ref="G49:G53"/>
    <mergeCell ref="H49:H53"/>
    <mergeCell ref="I49:I53"/>
    <mergeCell ref="J49:J53"/>
    <mergeCell ref="K49:K53"/>
    <mergeCell ref="E19:E23"/>
    <mergeCell ref="F19:F23"/>
    <mergeCell ref="G19:G23"/>
    <mergeCell ref="C9:C13"/>
    <mergeCell ref="C24:C28"/>
    <mergeCell ref="C34:C38"/>
    <mergeCell ref="D34:D38"/>
    <mergeCell ref="C39:C43"/>
    <mergeCell ref="D39:D43"/>
    <mergeCell ref="C44:C48"/>
    <mergeCell ref="D44:D48"/>
    <mergeCell ref="C49:C53"/>
    <mergeCell ref="D49:D53"/>
    <mergeCell ref="D24:D28"/>
    <mergeCell ref="C29:C33"/>
    <mergeCell ref="D29:D33"/>
    <mergeCell ref="C14:C18"/>
    <mergeCell ref="C19:C23"/>
    <mergeCell ref="H74:H78"/>
    <mergeCell ref="I74:I78"/>
    <mergeCell ref="J74:J78"/>
    <mergeCell ref="K74:K78"/>
    <mergeCell ref="L74:L78"/>
    <mergeCell ref="M74:M78"/>
    <mergeCell ref="N74:N78"/>
    <mergeCell ref="C54:C58"/>
    <mergeCell ref="D54:D58"/>
    <mergeCell ref="C59:C63"/>
    <mergeCell ref="D59:D63"/>
    <mergeCell ref="E59:E63"/>
    <mergeCell ref="F59:F63"/>
    <mergeCell ref="G59:G63"/>
    <mergeCell ref="H59:H63"/>
    <mergeCell ref="I59:I63"/>
    <mergeCell ref="H64:H68"/>
    <mergeCell ref="I64:I68"/>
    <mergeCell ref="L54:L58"/>
    <mergeCell ref="M54:M58"/>
    <mergeCell ref="N54:N58"/>
    <mergeCell ref="C64:C68"/>
    <mergeCell ref="D64:D68"/>
    <mergeCell ref="E64:E68"/>
    <mergeCell ref="AF59:AF63"/>
    <mergeCell ref="J59:J63"/>
    <mergeCell ref="K59:K63"/>
    <mergeCell ref="L59:L63"/>
    <mergeCell ref="M59:M63"/>
    <mergeCell ref="N59:N63"/>
    <mergeCell ref="O59:O63"/>
    <mergeCell ref="P59:P63"/>
    <mergeCell ref="O74:O78"/>
    <mergeCell ref="P74:P78"/>
    <mergeCell ref="Q74:Q78"/>
    <mergeCell ref="R74:R78"/>
    <mergeCell ref="AF74:AF78"/>
    <mergeCell ref="J64:J68"/>
    <mergeCell ref="K64:K68"/>
    <mergeCell ref="L64:L68"/>
    <mergeCell ref="M64:M68"/>
    <mergeCell ref="N64:N68"/>
    <mergeCell ref="Q59:Q63"/>
    <mergeCell ref="R59:R63"/>
    <mergeCell ref="K69:K73"/>
    <mergeCell ref="L69:L73"/>
    <mergeCell ref="M69:M73"/>
    <mergeCell ref="N69:N73"/>
    <mergeCell ref="O64:O68"/>
    <mergeCell ref="P64:P68"/>
    <mergeCell ref="Q64:Q68"/>
    <mergeCell ref="R64:R68"/>
    <mergeCell ref="AF64:AF68"/>
    <mergeCell ref="A1:AF1"/>
    <mergeCell ref="A2:AF2"/>
    <mergeCell ref="A3:AF3"/>
    <mergeCell ref="A4:AF4"/>
    <mergeCell ref="O14:O18"/>
    <mergeCell ref="P14:P18"/>
    <mergeCell ref="H34:H38"/>
    <mergeCell ref="I34:I38"/>
    <mergeCell ref="J34:J38"/>
    <mergeCell ref="K34:K38"/>
    <mergeCell ref="L39:L43"/>
    <mergeCell ref="M39:M43"/>
    <mergeCell ref="N39:N43"/>
    <mergeCell ref="O39:O43"/>
    <mergeCell ref="P39:P43"/>
    <mergeCell ref="Q39:Q43"/>
    <mergeCell ref="R39:R43"/>
    <mergeCell ref="E39:E43"/>
    <mergeCell ref="F39:F43"/>
    <mergeCell ref="O83:O86"/>
    <mergeCell ref="P83:P86"/>
    <mergeCell ref="Q83:Q86"/>
    <mergeCell ref="R83:R86"/>
    <mergeCell ref="AF83:AF86"/>
    <mergeCell ref="H83:H86"/>
    <mergeCell ref="I83:I86"/>
    <mergeCell ref="J83:J86"/>
    <mergeCell ref="K83:K86"/>
    <mergeCell ref="L83:L86"/>
    <mergeCell ref="M83:M86"/>
    <mergeCell ref="N83:N86"/>
    <mergeCell ref="O69:O73"/>
    <mergeCell ref="P69:P73"/>
    <mergeCell ref="Q69:Q73"/>
    <mergeCell ref="R69:R73"/>
    <mergeCell ref="AF69:AF73"/>
    <mergeCell ref="H69:H73"/>
    <mergeCell ref="I69:I73"/>
    <mergeCell ref="J69:J73"/>
    <mergeCell ref="AF9:AF13"/>
    <mergeCell ref="J9:J13"/>
    <mergeCell ref="K9:K13"/>
    <mergeCell ref="L9:L13"/>
    <mergeCell ref="M9:M13"/>
    <mergeCell ref="N9:N13"/>
    <mergeCell ref="O9:O13"/>
    <mergeCell ref="P9:P13"/>
    <mergeCell ref="L34:L38"/>
    <mergeCell ref="M34:M38"/>
    <mergeCell ref="N34:N38"/>
    <mergeCell ref="O34:O38"/>
    <mergeCell ref="P34:P38"/>
    <mergeCell ref="Q34:Q38"/>
    <mergeCell ref="R34:R38"/>
    <mergeCell ref="N14:N18"/>
    <mergeCell ref="G39:G43"/>
    <mergeCell ref="H39:H43"/>
    <mergeCell ref="I39:I43"/>
    <mergeCell ref="J39:J43"/>
    <mergeCell ref="K39:K43"/>
    <mergeCell ref="L44:L48"/>
    <mergeCell ref="M44:M48"/>
    <mergeCell ref="N44:N48"/>
    <mergeCell ref="O44:O48"/>
    <mergeCell ref="P44:P48"/>
    <mergeCell ref="Q44:Q48"/>
    <mergeCell ref="R44:R48"/>
    <mergeCell ref="E44:E48"/>
    <mergeCell ref="F44:F48"/>
    <mergeCell ref="G44:G48"/>
    <mergeCell ref="H44:H48"/>
    <mergeCell ref="I44:I48"/>
    <mergeCell ref="J44:J48"/>
    <mergeCell ref="K44:K48"/>
    <mergeCell ref="O54:O58"/>
    <mergeCell ref="P54:P58"/>
    <mergeCell ref="Q54:Q58"/>
    <mergeCell ref="R54:R58"/>
    <mergeCell ref="AF54:AF58"/>
    <mergeCell ref="E54:E58"/>
    <mergeCell ref="F54:F58"/>
    <mergeCell ref="G54:G58"/>
    <mergeCell ref="H54:H58"/>
    <mergeCell ref="I54:I58"/>
    <mergeCell ref="J54:J58"/>
    <mergeCell ref="K54:K58"/>
    <mergeCell ref="O79:O82"/>
    <mergeCell ref="P79:P82"/>
    <mergeCell ref="Q79:Q82"/>
    <mergeCell ref="R79:R82"/>
    <mergeCell ref="H79:H82"/>
    <mergeCell ref="I79:I82"/>
    <mergeCell ref="J79:J82"/>
    <mergeCell ref="K79:K82"/>
    <mergeCell ref="L79:L82"/>
    <mergeCell ref="M79:M82"/>
    <mergeCell ref="N79:N82"/>
    <mergeCell ref="O87:O91"/>
    <mergeCell ref="P87:P91"/>
    <mergeCell ref="Q87:Q91"/>
    <mergeCell ref="R87:R91"/>
    <mergeCell ref="AF87:AF91"/>
    <mergeCell ref="S92:Z92"/>
    <mergeCell ref="AC92:AF92"/>
    <mergeCell ref="H87:H91"/>
    <mergeCell ref="I87:I91"/>
    <mergeCell ref="J87:J91"/>
    <mergeCell ref="K87:K91"/>
    <mergeCell ref="L87:L91"/>
    <mergeCell ref="M87:M91"/>
    <mergeCell ref="N87:N91"/>
    <mergeCell ref="O108:O112"/>
    <mergeCell ref="P108:P112"/>
    <mergeCell ref="Q108:Q112"/>
    <mergeCell ref="R108:R112"/>
    <mergeCell ref="AF108:AF112"/>
    <mergeCell ref="H108:H112"/>
    <mergeCell ref="I108:I112"/>
    <mergeCell ref="J108:J112"/>
    <mergeCell ref="K108:K112"/>
    <mergeCell ref="L108:L112"/>
    <mergeCell ref="M108:M112"/>
    <mergeCell ref="N108:N112"/>
    <mergeCell ref="O113:O117"/>
    <mergeCell ref="P113:P117"/>
    <mergeCell ref="Q113:Q117"/>
    <mergeCell ref="R113:R117"/>
    <mergeCell ref="AF113:AF117"/>
    <mergeCell ref="H113:H117"/>
    <mergeCell ref="I113:I117"/>
    <mergeCell ref="J113:J117"/>
    <mergeCell ref="K113:K117"/>
    <mergeCell ref="L113:L117"/>
    <mergeCell ref="M113:M117"/>
    <mergeCell ref="N113:N117"/>
    <mergeCell ref="O118:O122"/>
    <mergeCell ref="P118:P122"/>
    <mergeCell ref="Q118:Q122"/>
    <mergeCell ref="R118:R122"/>
    <mergeCell ref="AF118:AF122"/>
    <mergeCell ref="H118:H122"/>
    <mergeCell ref="I118:I122"/>
    <mergeCell ref="J118:J122"/>
    <mergeCell ref="K118:K122"/>
    <mergeCell ref="L118:L122"/>
    <mergeCell ref="M118:M122"/>
    <mergeCell ref="N118:N122"/>
    <mergeCell ref="N93:N97"/>
    <mergeCell ref="O93:O97"/>
    <mergeCell ref="P93:P97"/>
    <mergeCell ref="Q93:Q97"/>
    <mergeCell ref="R93:R97"/>
    <mergeCell ref="AF93:AF97"/>
    <mergeCell ref="G93:G97"/>
    <mergeCell ref="H93:H97"/>
    <mergeCell ref="I93:I97"/>
    <mergeCell ref="J93:J97"/>
    <mergeCell ref="K93:K97"/>
    <mergeCell ref="L93:L97"/>
    <mergeCell ref="M93:M97"/>
    <mergeCell ref="O98:O102"/>
    <mergeCell ref="P98:P102"/>
    <mergeCell ref="Q98:Q102"/>
    <mergeCell ref="R98:R102"/>
    <mergeCell ref="AF98:AF102"/>
    <mergeCell ref="H98:H102"/>
    <mergeCell ref="I98:I102"/>
    <mergeCell ref="J98:J102"/>
    <mergeCell ref="K98:K102"/>
    <mergeCell ref="L98:L102"/>
    <mergeCell ref="M98:M102"/>
    <mergeCell ref="N98:N102"/>
    <mergeCell ref="O103:O107"/>
    <mergeCell ref="P103:P107"/>
    <mergeCell ref="Q103:Q107"/>
    <mergeCell ref="R103:R107"/>
    <mergeCell ref="AF103:AF107"/>
    <mergeCell ref="H103:H107"/>
    <mergeCell ref="I103:I107"/>
    <mergeCell ref="J103:J107"/>
    <mergeCell ref="K103:K107"/>
    <mergeCell ref="L103:L107"/>
    <mergeCell ref="M103:M107"/>
    <mergeCell ref="N103:N107"/>
    <mergeCell ref="O128:O133"/>
    <mergeCell ref="P128:P133"/>
    <mergeCell ref="Q128:Q133"/>
    <mergeCell ref="R128:R133"/>
    <mergeCell ref="AF139:AF142"/>
    <mergeCell ref="H128:H133"/>
    <mergeCell ref="I128:I133"/>
    <mergeCell ref="J128:J133"/>
    <mergeCell ref="K128:K133"/>
    <mergeCell ref="L128:L133"/>
    <mergeCell ref="M128:M133"/>
    <mergeCell ref="N128:N133"/>
    <mergeCell ref="O139:O142"/>
    <mergeCell ref="P139:P142"/>
    <mergeCell ref="Q139:Q142"/>
    <mergeCell ref="R139:R142"/>
    <mergeCell ref="H139:H142"/>
    <mergeCell ref="I139:I142"/>
    <mergeCell ref="J139:J142"/>
    <mergeCell ref="K139:K142"/>
    <mergeCell ref="L139:L142"/>
    <mergeCell ref="M139:M142"/>
    <mergeCell ref="N139:N142"/>
    <mergeCell ref="O134:O138"/>
    <mergeCell ref="O143:O147"/>
    <mergeCell ref="P143:P147"/>
    <mergeCell ref="Q143:Q147"/>
    <mergeCell ref="R143:R147"/>
    <mergeCell ref="AF148:AF152"/>
    <mergeCell ref="AF153:AF157"/>
    <mergeCell ref="S158:Z158"/>
    <mergeCell ref="AC158:AF158"/>
    <mergeCell ref="H143:H147"/>
    <mergeCell ref="I143:I147"/>
    <mergeCell ref="J143:J147"/>
    <mergeCell ref="K143:K147"/>
    <mergeCell ref="L143:L147"/>
    <mergeCell ref="M143:M147"/>
    <mergeCell ref="N143:N147"/>
    <mergeCell ref="O148:O152"/>
    <mergeCell ref="P148:P152"/>
    <mergeCell ref="Q148:Q152"/>
    <mergeCell ref="R148:R152"/>
    <mergeCell ref="H148:H152"/>
    <mergeCell ref="I148:I152"/>
    <mergeCell ref="J148:J152"/>
    <mergeCell ref="K148:K152"/>
    <mergeCell ref="L148:L152"/>
    <mergeCell ref="M148:M152"/>
    <mergeCell ref="N148:N152"/>
    <mergeCell ref="O153:O157"/>
    <mergeCell ref="P153:P157"/>
    <mergeCell ref="Q153:Q157"/>
    <mergeCell ref="R153:R157"/>
    <mergeCell ref="H153:H157"/>
    <mergeCell ref="I153:I157"/>
    <mergeCell ref="J153:J157"/>
    <mergeCell ref="K153:K157"/>
    <mergeCell ref="L153:L157"/>
    <mergeCell ref="M153:M157"/>
    <mergeCell ref="N153:N157"/>
    <mergeCell ref="O159:O163"/>
    <mergeCell ref="P159:P163"/>
    <mergeCell ref="Q159:Q163"/>
    <mergeCell ref="R159:R163"/>
    <mergeCell ref="H159:H163"/>
    <mergeCell ref="I159:I163"/>
    <mergeCell ref="J159:J163"/>
    <mergeCell ref="K159:K163"/>
    <mergeCell ref="L159:L163"/>
    <mergeCell ref="M159:M163"/>
    <mergeCell ref="N159:N163"/>
    <mergeCell ref="F169:F173"/>
    <mergeCell ref="G169:G173"/>
    <mergeCell ref="E159:E163"/>
    <mergeCell ref="F159:F163"/>
    <mergeCell ref="G159:G163"/>
    <mergeCell ref="E164:E168"/>
    <mergeCell ref="F164:F168"/>
    <mergeCell ref="G164:G168"/>
    <mergeCell ref="E169:E173"/>
    <mergeCell ref="E128:E133"/>
    <mergeCell ref="F128:F133"/>
    <mergeCell ref="G128:G133"/>
    <mergeCell ref="E134:E138"/>
    <mergeCell ref="F134:F138"/>
    <mergeCell ref="G134:G138"/>
    <mergeCell ref="E139:E142"/>
    <mergeCell ref="G98:G102"/>
    <mergeCell ref="E103:E107"/>
    <mergeCell ref="F103:F107"/>
    <mergeCell ref="G103:G107"/>
    <mergeCell ref="E108:E112"/>
    <mergeCell ref="G123:G127"/>
    <mergeCell ref="E113:E117"/>
    <mergeCell ref="F113:F117"/>
    <mergeCell ref="G113:G117"/>
    <mergeCell ref="E118:E122"/>
    <mergeCell ref="F118:F122"/>
    <mergeCell ref="G118:G122"/>
    <mergeCell ref="E123:E127"/>
    <mergeCell ref="F108:F112"/>
    <mergeCell ref="G108:G112"/>
    <mergeCell ref="Z256:AB256"/>
    <mergeCell ref="Q211:Q215"/>
    <mergeCell ref="R211:R215"/>
    <mergeCell ref="O216:O220"/>
    <mergeCell ref="P216:P220"/>
    <mergeCell ref="Q216:Q220"/>
    <mergeCell ref="R216:R220"/>
    <mergeCell ref="U246:V246"/>
    <mergeCell ref="U247:V247"/>
    <mergeCell ref="U248:V248"/>
    <mergeCell ref="O206:O210"/>
    <mergeCell ref="P206:P210"/>
    <mergeCell ref="U257:V257"/>
    <mergeCell ref="U258:V258"/>
    <mergeCell ref="U259:V259"/>
    <mergeCell ref="U260:V260"/>
    <mergeCell ref="U249:V249"/>
    <mergeCell ref="U250:V250"/>
    <mergeCell ref="U251:W251"/>
    <mergeCell ref="U252:V252"/>
    <mergeCell ref="U253:V253"/>
    <mergeCell ref="U254:V254"/>
    <mergeCell ref="U255:V255"/>
    <mergeCell ref="Q206:Q210"/>
    <mergeCell ref="R206:R210"/>
    <mergeCell ref="U256:V256"/>
    <mergeCell ref="H216:H220"/>
    <mergeCell ref="I216:I220"/>
    <mergeCell ref="J216:J220"/>
    <mergeCell ref="K216:K220"/>
    <mergeCell ref="L216:L220"/>
    <mergeCell ref="M216:M220"/>
    <mergeCell ref="N216:N220"/>
    <mergeCell ref="C221:R221"/>
    <mergeCell ref="H206:H210"/>
    <mergeCell ref="I206:I210"/>
    <mergeCell ref="J206:J210"/>
    <mergeCell ref="K206:K210"/>
    <mergeCell ref="O211:O215"/>
    <mergeCell ref="P211:P215"/>
    <mergeCell ref="H211:H215"/>
    <mergeCell ref="I211:I215"/>
    <mergeCell ref="J211:J215"/>
    <mergeCell ref="K211:K215"/>
    <mergeCell ref="L211:L215"/>
    <mergeCell ref="M211:M215"/>
    <mergeCell ref="N211:N215"/>
    <mergeCell ref="L206:L210"/>
    <mergeCell ref="M206:M210"/>
    <mergeCell ref="N206:N210"/>
    <mergeCell ref="AC221:AE221"/>
    <mergeCell ref="B222:R222"/>
    <mergeCell ref="S222:Z222"/>
    <mergeCell ref="AC222:AF222"/>
    <mergeCell ref="S223:AF223"/>
    <mergeCell ref="U225:Z225"/>
    <mergeCell ref="AA225:AB225"/>
    <mergeCell ref="U245:W245"/>
    <mergeCell ref="F64:F68"/>
    <mergeCell ref="G64:G68"/>
    <mergeCell ref="C69:C73"/>
    <mergeCell ref="D69:D73"/>
    <mergeCell ref="E69:E73"/>
    <mergeCell ref="F69:F73"/>
    <mergeCell ref="G69:G73"/>
    <mergeCell ref="C74:C78"/>
    <mergeCell ref="D74:D78"/>
    <mergeCell ref="E74:E78"/>
    <mergeCell ref="F74:F78"/>
    <mergeCell ref="G74:G78"/>
    <mergeCell ref="C79:C82"/>
    <mergeCell ref="D79:D82"/>
    <mergeCell ref="E79:E82"/>
    <mergeCell ref="F79:F82"/>
    <mergeCell ref="G79:G82"/>
    <mergeCell ref="C83:C86"/>
    <mergeCell ref="D83:D86"/>
    <mergeCell ref="E83:E86"/>
    <mergeCell ref="F83:F86"/>
    <mergeCell ref="G83:G86"/>
    <mergeCell ref="C87:C91"/>
    <mergeCell ref="D87:D91"/>
    <mergeCell ref="E87:E91"/>
    <mergeCell ref="F87:F91"/>
    <mergeCell ref="G87:G91"/>
    <mergeCell ref="E93:E97"/>
    <mergeCell ref="F93:F97"/>
    <mergeCell ref="D93:D97"/>
    <mergeCell ref="D98:D102"/>
    <mergeCell ref="D103:D107"/>
    <mergeCell ref="D108:D112"/>
    <mergeCell ref="D113:D117"/>
    <mergeCell ref="D118:D122"/>
    <mergeCell ref="C123:C127"/>
    <mergeCell ref="F123:F127"/>
    <mergeCell ref="E98:E102"/>
    <mergeCell ref="F98:F102"/>
    <mergeCell ref="C143:C147"/>
    <mergeCell ref="F139:F142"/>
    <mergeCell ref="C148:C152"/>
    <mergeCell ref="F153:F157"/>
    <mergeCell ref="G153:G157"/>
    <mergeCell ref="E143:E147"/>
    <mergeCell ref="F143:F147"/>
    <mergeCell ref="G143:G147"/>
    <mergeCell ref="E148:E152"/>
    <mergeCell ref="F148:F152"/>
    <mergeCell ref="G148:G152"/>
    <mergeCell ref="E153:E157"/>
    <mergeCell ref="G139:G142"/>
    <mergeCell ref="C164:C168"/>
    <mergeCell ref="D164:D168"/>
    <mergeCell ref="C169:C173"/>
    <mergeCell ref="D169:D173"/>
    <mergeCell ref="C174:C178"/>
    <mergeCell ref="D174:D178"/>
    <mergeCell ref="F184:F187"/>
    <mergeCell ref="B93:B158"/>
    <mergeCell ref="C93:C97"/>
    <mergeCell ref="C98:C102"/>
    <mergeCell ref="C103:C107"/>
    <mergeCell ref="C108:C112"/>
    <mergeCell ref="C113:C117"/>
    <mergeCell ref="C118:C122"/>
    <mergeCell ref="C153:C157"/>
    <mergeCell ref="D143:D147"/>
    <mergeCell ref="D148:D152"/>
    <mergeCell ref="C128:C133"/>
    <mergeCell ref="D123:D127"/>
    <mergeCell ref="D128:D133"/>
    <mergeCell ref="C134:C138"/>
    <mergeCell ref="C139:C142"/>
    <mergeCell ref="D134:D138"/>
    <mergeCell ref="D139:D142"/>
    <mergeCell ref="G184:G187"/>
    <mergeCell ref="E174:E178"/>
    <mergeCell ref="F174:F178"/>
    <mergeCell ref="G174:G178"/>
    <mergeCell ref="E179:E183"/>
    <mergeCell ref="F179:F183"/>
    <mergeCell ref="G179:G183"/>
    <mergeCell ref="E184:E187"/>
    <mergeCell ref="F196:F200"/>
    <mergeCell ref="G196:G200"/>
    <mergeCell ref="E188:E191"/>
    <mergeCell ref="F188:F191"/>
    <mergeCell ref="G188:G191"/>
    <mergeCell ref="E192:E195"/>
    <mergeCell ref="F192:F195"/>
    <mergeCell ref="G192:G195"/>
    <mergeCell ref="E196:E200"/>
    <mergeCell ref="B9:B92"/>
    <mergeCell ref="B159:B221"/>
    <mergeCell ref="C211:C215"/>
    <mergeCell ref="D211:D215"/>
    <mergeCell ref="C216:C220"/>
    <mergeCell ref="D216:D220"/>
    <mergeCell ref="A9:A222"/>
    <mergeCell ref="D9:D13"/>
    <mergeCell ref="D14:D18"/>
    <mergeCell ref="D19:D23"/>
    <mergeCell ref="D153:D157"/>
    <mergeCell ref="C179:C183"/>
    <mergeCell ref="D179:D183"/>
    <mergeCell ref="C184:C187"/>
    <mergeCell ref="D184:D187"/>
    <mergeCell ref="C188:C191"/>
    <mergeCell ref="D188:D191"/>
    <mergeCell ref="C192:C195"/>
    <mergeCell ref="D192:D195"/>
    <mergeCell ref="C196:C200"/>
    <mergeCell ref="D196:D200"/>
    <mergeCell ref="C201:C205"/>
    <mergeCell ref="C159:C163"/>
    <mergeCell ref="D159:D163"/>
    <mergeCell ref="D201:D205"/>
    <mergeCell ref="E211:E215"/>
    <mergeCell ref="E216:E220"/>
    <mergeCell ref="F216:F220"/>
    <mergeCell ref="G216:G220"/>
    <mergeCell ref="C206:C210"/>
    <mergeCell ref="D206:D210"/>
    <mergeCell ref="E206:E210"/>
    <mergeCell ref="F206:F210"/>
    <mergeCell ref="G206:G210"/>
    <mergeCell ref="F211:F215"/>
    <mergeCell ref="G211:G215"/>
    <mergeCell ref="E201:E205"/>
    <mergeCell ref="F201:F205"/>
    <mergeCell ref="G201:G205"/>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5">
    <dataValidation type="list" allowBlank="1" showInputMessage="1" showErrorMessage="1" prompt="Orientación: - Escoja un Lineamiento Estratégico de la lista despegable." sqref="F9 F93">
      <formula1>INDIRECT($E9)</formula1>
    </dataValidation>
    <dataValidation type="list" allowBlank="1" showInputMessage="1" showErrorMessage="1" prompt="Orientación: - Escoja un Eje Estratégico de la lista despegable." sqref="E9">
      <formula1>INDIRECT($G9)</formula1>
    </dataValidation>
    <dataValidation type="list" allowBlank="1" showErrorMessage="1" sqref="F14 F19 F24 F29 F34 F39 F44 F49 F54 F59 F64 F69 F74 F79 F83 F87 F98 F103 F108 F113 F118 F123 F128 F134 F139 F148 F153 F159 F164 F169 F174:F176 F179 F184 F188 F192 F196 F201 F206 F211 F216">
      <formula1>INDIRECT($E14)</formula1>
    </dataValidation>
    <dataValidation type="list" allowBlank="1" showErrorMessage="1" sqref="E14 E19 E24 E29 E34 E39 E44 E49 E54 E59 E64 E69 E74 E79 E83 E87 E93 E98 E103 E108 E113 E118 E123 E128 E134 E139 E148 E153 E159 E164 E169 E174:E176 E179 E184 E188 E192 E196 E201 E206 E211 E216">
      <formula1>INDIRECT($G14)</formula1>
    </dataValidation>
    <dataValidation type="decimal" allowBlank="1" showInputMessage="1" showErrorMessage="1" prompt="DPLAN - Sólo debe ingresar valores, NO porcentajes." sqref="M9:O9 M14:O14 M34:O34 M39:O39 M44:O44 M49:O49 M54:O54 M59:O59 M64:O64 M69:O69 M74:O74 M79:O79 M83:O83 M87:O87 M93:O93 M98:O98 M103:O103 M108:O108 M113:O113 M118:O118 M139:O139 M148:O148 M153:O153 M164:O164 M169:O169 M174:O176 M184:O184 M188:O188 M192:N192 M196:N196 M201:N201 M206:N206 M211:N211 M216:N216">
      <formula1>0</formula1>
      <formula2>1000000</formula2>
    </dataValidation>
  </dataValidations>
  <printOptions horizontalCentered="1"/>
  <pageMargins left="0" right="0" top="0.78740157480314965" bottom="0.35433070866141736" header="0" footer="0"/>
  <pageSetup paperSize="9" scale="25" fitToHeight="0" pageOrder="overThenDown" orientation="landscape" r:id="rId1"/>
  <headerFooter>
    <oddHeader>&amp;L&amp;"Britannic Bold,Normal"&amp;12&amp;K002060POA 2023&amp;"-,Normal"&amp;10&amp;K000000
&amp;"Cambria,Cursiva"&amp;12&amp;K0070C0Dirección de Investigación, Desarrollo e Innovación&amp;C&amp;"Century Schoolbook,Normal"&amp;12&amp;K002060&amp;P</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E79"/>
  <sheetViews>
    <sheetView showGridLines="0" topLeftCell="Q62" zoomScaleNormal="100" workbookViewId="0">
      <selection activeCell="AE79" sqref="AE79"/>
    </sheetView>
  </sheetViews>
  <sheetFormatPr baseColWidth="10" defaultColWidth="12.5703125" defaultRowHeight="15.75" customHeight="1"/>
  <cols>
    <col min="1" max="1" width="7.5703125" customWidth="1"/>
    <col min="2" max="11" width="22.42578125" customWidth="1"/>
    <col min="12" max="14" width="8.7109375" customWidth="1"/>
    <col min="15" max="15" width="27.7109375" customWidth="1"/>
    <col min="16" max="16" width="28.7109375" customWidth="1"/>
    <col min="17" max="17" width="22.42578125" customWidth="1"/>
    <col min="18" max="18" width="29.7109375" customWidth="1"/>
    <col min="19" max="19" width="12.7109375" customWidth="1"/>
    <col min="20" max="20" width="32.7109375" customWidth="1"/>
    <col min="21" max="21" width="42.7109375" customWidth="1"/>
    <col min="22" max="22" width="12.7109375" customWidth="1"/>
    <col min="23" max="24" width="12" customWidth="1"/>
    <col min="25" max="25" width="10.85546875" customWidth="1"/>
    <col min="26" max="26" width="13.140625" customWidth="1"/>
    <col min="27" max="27" width="12.7109375" customWidth="1"/>
    <col min="28" max="30" width="7.7109375" customWidth="1"/>
    <col min="31" max="31" width="19.7109375" customWidth="1"/>
  </cols>
  <sheetData>
    <row r="1" spans="1:31"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row>
    <row r="2" spans="1:31"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row>
    <row r="3" spans="1:31" ht="30.75">
      <c r="A3" s="4254" t="s">
        <v>846</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row>
    <row r="4" spans="1:31"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row>
    <row r="5" spans="1:31" ht="16.5" customHeight="1" thickBo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row>
    <row r="6" spans="1:31" s="1747" customFormat="1" ht="24.95" customHeight="1" thickTop="1">
      <c r="A6" s="4278" t="s">
        <v>200</v>
      </c>
      <c r="B6" s="4282" t="s">
        <v>201</v>
      </c>
      <c r="C6" s="4283"/>
      <c r="D6" s="4284" t="s">
        <v>202</v>
      </c>
      <c r="E6" s="4285"/>
      <c r="F6" s="4285"/>
      <c r="G6" s="4285"/>
      <c r="H6" s="4286"/>
      <c r="I6" s="4287" t="s">
        <v>203</v>
      </c>
      <c r="J6" s="4288"/>
      <c r="K6" s="4288"/>
      <c r="L6" s="4288"/>
      <c r="M6" s="4288"/>
      <c r="N6" s="4288"/>
      <c r="O6" s="4288"/>
      <c r="P6" s="4288"/>
      <c r="Q6" s="4289"/>
      <c r="R6" s="4290" t="s">
        <v>204</v>
      </c>
      <c r="S6" s="4291"/>
      <c r="T6" s="4291"/>
      <c r="U6" s="4291"/>
      <c r="V6" s="4291"/>
      <c r="W6" s="4291"/>
      <c r="X6" s="4291"/>
      <c r="Y6" s="4291"/>
      <c r="Z6" s="4291"/>
      <c r="AA6" s="4291"/>
      <c r="AB6" s="4291"/>
      <c r="AC6" s="4291"/>
      <c r="AD6" s="4291"/>
      <c r="AE6" s="4292"/>
    </row>
    <row r="7" spans="1:31" s="1747" customFormat="1" ht="39.950000000000003" customHeight="1">
      <c r="A7" s="4280"/>
      <c r="B7" s="4175" t="s">
        <v>205</v>
      </c>
      <c r="C7" s="4177" t="s">
        <v>206</v>
      </c>
      <c r="D7" s="4179" t="s">
        <v>207</v>
      </c>
      <c r="E7" s="4179" t="s">
        <v>208</v>
      </c>
      <c r="F7" s="4179" t="s">
        <v>209</v>
      </c>
      <c r="G7" s="4179" t="s">
        <v>210</v>
      </c>
      <c r="H7" s="4179" t="s">
        <v>211</v>
      </c>
      <c r="I7" s="4181" t="s">
        <v>212</v>
      </c>
      <c r="J7" s="4183" t="s">
        <v>213</v>
      </c>
      <c r="K7" s="4183" t="s">
        <v>214</v>
      </c>
      <c r="L7" s="4185" t="s">
        <v>215</v>
      </c>
      <c r="M7" s="4186"/>
      <c r="N7" s="4187"/>
      <c r="O7" s="4183" t="s">
        <v>216</v>
      </c>
      <c r="P7" s="4183" t="s">
        <v>217</v>
      </c>
      <c r="Q7" s="4188" t="s">
        <v>218</v>
      </c>
      <c r="R7" s="4190" t="s">
        <v>219</v>
      </c>
      <c r="S7" s="4191"/>
      <c r="T7" s="4191"/>
      <c r="U7" s="4191"/>
      <c r="V7" s="4191"/>
      <c r="W7" s="4191"/>
      <c r="X7" s="4192"/>
      <c r="Y7" s="4193" t="s">
        <v>220</v>
      </c>
      <c r="Z7" s="4194"/>
      <c r="AA7" s="4195"/>
      <c r="AB7" s="4193" t="s">
        <v>221</v>
      </c>
      <c r="AC7" s="4194"/>
      <c r="AD7" s="4195"/>
      <c r="AE7" s="4293" t="s">
        <v>222</v>
      </c>
    </row>
    <row r="8" spans="1:31" s="1747" customFormat="1" ht="51.95" customHeight="1" thickBot="1">
      <c r="A8" s="4746"/>
      <c r="B8" s="4176"/>
      <c r="C8" s="4178"/>
      <c r="D8" s="4180"/>
      <c r="E8" s="4180"/>
      <c r="F8" s="4180"/>
      <c r="G8" s="4180"/>
      <c r="H8" s="4180"/>
      <c r="I8" s="4182"/>
      <c r="J8" s="4184"/>
      <c r="K8" s="4184"/>
      <c r="L8" s="1748" t="s">
        <v>223</v>
      </c>
      <c r="M8" s="1748" t="s">
        <v>224</v>
      </c>
      <c r="N8" s="1748" t="s">
        <v>225</v>
      </c>
      <c r="O8" s="4184"/>
      <c r="P8" s="4184"/>
      <c r="Q8" s="4189"/>
      <c r="R8" s="1749" t="s">
        <v>226</v>
      </c>
      <c r="S8" s="1750" t="s">
        <v>227</v>
      </c>
      <c r="T8" s="1751" t="s">
        <v>3771</v>
      </c>
      <c r="U8" s="1750" t="s">
        <v>229</v>
      </c>
      <c r="V8" s="1750" t="s">
        <v>230</v>
      </c>
      <c r="W8" s="1750" t="s">
        <v>3770</v>
      </c>
      <c r="X8" s="1752" t="s">
        <v>231</v>
      </c>
      <c r="Y8" s="1753" t="s">
        <v>232</v>
      </c>
      <c r="Z8" s="1753" t="s">
        <v>233</v>
      </c>
      <c r="AA8" s="1753" t="s">
        <v>234</v>
      </c>
      <c r="AB8" s="1754" t="s">
        <v>223</v>
      </c>
      <c r="AC8" s="1754" t="s">
        <v>224</v>
      </c>
      <c r="AD8" s="1754" t="s">
        <v>225</v>
      </c>
      <c r="AE8" s="4294"/>
    </row>
    <row r="9" spans="1:31" ht="61.5" customHeight="1">
      <c r="A9" s="4618" t="s">
        <v>846</v>
      </c>
      <c r="B9" s="4674" t="s">
        <v>272</v>
      </c>
      <c r="C9" s="4670" t="s">
        <v>302</v>
      </c>
      <c r="D9" s="4670" t="s">
        <v>388</v>
      </c>
      <c r="E9" s="4670" t="s">
        <v>847</v>
      </c>
      <c r="F9" s="4738" t="s">
        <v>305</v>
      </c>
      <c r="G9" s="4670" t="s">
        <v>306</v>
      </c>
      <c r="H9" s="4670" t="s">
        <v>241</v>
      </c>
      <c r="I9" s="4458" t="s">
        <v>4516</v>
      </c>
      <c r="J9" s="4670" t="s">
        <v>848</v>
      </c>
      <c r="K9" s="4256" t="s">
        <v>4509</v>
      </c>
      <c r="L9" s="4484">
        <v>0</v>
      </c>
      <c r="M9" s="4484">
        <v>1</v>
      </c>
      <c r="N9" s="4772">
        <v>1</v>
      </c>
      <c r="O9" s="4345" t="s">
        <v>4497</v>
      </c>
      <c r="P9" s="4345" t="s">
        <v>4492</v>
      </c>
      <c r="Q9" s="4339" t="s">
        <v>4486</v>
      </c>
      <c r="R9" s="2834" t="s">
        <v>39</v>
      </c>
      <c r="S9" s="1845">
        <v>840103</v>
      </c>
      <c r="T9" s="1845"/>
      <c r="U9" s="2715" t="s">
        <v>22</v>
      </c>
      <c r="V9" s="2734"/>
      <c r="W9" s="442"/>
      <c r="X9" s="2765"/>
      <c r="Y9" s="2765"/>
      <c r="Z9" s="2765"/>
      <c r="AA9" s="2770">
        <f>SUM($Z$10:$Z$12)</f>
        <v>1145.2447999999999</v>
      </c>
      <c r="AB9" s="442"/>
      <c r="AC9" s="249"/>
      <c r="AD9" s="394"/>
      <c r="AE9" s="4758"/>
    </row>
    <row r="10" spans="1:31" ht="61.5" customHeight="1">
      <c r="A10" s="4564"/>
      <c r="B10" s="4331"/>
      <c r="C10" s="4215"/>
      <c r="D10" s="4215"/>
      <c r="E10" s="4215"/>
      <c r="F10" s="4215"/>
      <c r="G10" s="4215"/>
      <c r="H10" s="4215"/>
      <c r="I10" s="4449"/>
      <c r="J10" s="4215"/>
      <c r="K10" s="4215"/>
      <c r="L10" s="4226"/>
      <c r="M10" s="4226"/>
      <c r="N10" s="4766"/>
      <c r="O10" s="4215"/>
      <c r="P10" s="4215"/>
      <c r="Q10" s="4340"/>
      <c r="R10" s="3088"/>
      <c r="S10" s="1842"/>
      <c r="T10" s="1842" t="s">
        <v>849</v>
      </c>
      <c r="U10" s="2716" t="s">
        <v>850</v>
      </c>
      <c r="V10" s="1862">
        <v>2</v>
      </c>
      <c r="W10" s="395" t="s">
        <v>269</v>
      </c>
      <c r="X10" s="1867">
        <v>120</v>
      </c>
      <c r="Y10" s="1867">
        <f t="shared" ref="Y10:Y12" si="0">+V10*X10</f>
        <v>240</v>
      </c>
      <c r="Z10" s="1867">
        <f t="shared" ref="Z10:Z12" si="1">+Y10*1.12</f>
        <v>268.8</v>
      </c>
      <c r="AA10" s="2748"/>
      <c r="AB10" s="395"/>
      <c r="AC10" s="336" t="s">
        <v>251</v>
      </c>
      <c r="AD10" s="396"/>
      <c r="AE10" s="4759"/>
    </row>
    <row r="11" spans="1:31" ht="61.5" customHeight="1">
      <c r="A11" s="4564"/>
      <c r="B11" s="4331"/>
      <c r="C11" s="4215"/>
      <c r="D11" s="4215"/>
      <c r="E11" s="4215"/>
      <c r="F11" s="4215"/>
      <c r="G11" s="4215"/>
      <c r="H11" s="4215"/>
      <c r="I11" s="4449"/>
      <c r="J11" s="4215"/>
      <c r="K11" s="4215"/>
      <c r="L11" s="4226"/>
      <c r="M11" s="4226"/>
      <c r="N11" s="4766"/>
      <c r="O11" s="4215"/>
      <c r="P11" s="4215"/>
      <c r="Q11" s="4340"/>
      <c r="R11" s="2797"/>
      <c r="S11" s="1842"/>
      <c r="T11" s="1842" t="s">
        <v>851</v>
      </c>
      <c r="U11" s="2716" t="s">
        <v>852</v>
      </c>
      <c r="V11" s="1862">
        <v>1</v>
      </c>
      <c r="W11" s="395" t="s">
        <v>269</v>
      </c>
      <c r="X11" s="1867">
        <v>475</v>
      </c>
      <c r="Y11" s="1867">
        <f t="shared" si="0"/>
        <v>475</v>
      </c>
      <c r="Z11" s="1867">
        <f t="shared" si="1"/>
        <v>532</v>
      </c>
      <c r="AA11" s="2748"/>
      <c r="AB11" s="395"/>
      <c r="AC11" s="336" t="s">
        <v>251</v>
      </c>
      <c r="AD11" s="396"/>
      <c r="AE11" s="4759"/>
    </row>
    <row r="12" spans="1:31" ht="61.5" customHeight="1">
      <c r="A12" s="4564"/>
      <c r="B12" s="4331"/>
      <c r="C12" s="4215"/>
      <c r="D12" s="4215"/>
      <c r="E12" s="4215"/>
      <c r="F12" s="4215"/>
      <c r="G12" s="4215"/>
      <c r="H12" s="4215"/>
      <c r="I12" s="4449"/>
      <c r="J12" s="4215"/>
      <c r="K12" s="4215"/>
      <c r="L12" s="4226"/>
      <c r="M12" s="4226"/>
      <c r="N12" s="4766"/>
      <c r="O12" s="4215"/>
      <c r="P12" s="4215"/>
      <c r="Q12" s="4340"/>
      <c r="R12" s="2838"/>
      <c r="S12" s="1842"/>
      <c r="T12" s="1842" t="s">
        <v>853</v>
      </c>
      <c r="U12" s="2716" t="s">
        <v>854</v>
      </c>
      <c r="V12" s="1862">
        <v>1</v>
      </c>
      <c r="W12" s="395" t="s">
        <v>269</v>
      </c>
      <c r="X12" s="1867">
        <v>307.54000000000002</v>
      </c>
      <c r="Y12" s="1867">
        <f t="shared" si="0"/>
        <v>307.54000000000002</v>
      </c>
      <c r="Z12" s="1867">
        <f t="shared" si="1"/>
        <v>344.44480000000004</v>
      </c>
      <c r="AA12" s="2748"/>
      <c r="AB12" s="395"/>
      <c r="AC12" s="336" t="s">
        <v>251</v>
      </c>
      <c r="AD12" s="396"/>
      <c r="AE12" s="4759"/>
    </row>
    <row r="13" spans="1:31" ht="61.5" customHeight="1">
      <c r="A13" s="4564"/>
      <c r="B13" s="4332"/>
      <c r="C13" s="4216"/>
      <c r="D13" s="4216"/>
      <c r="E13" s="4216"/>
      <c r="F13" s="4216"/>
      <c r="G13" s="4216"/>
      <c r="H13" s="4216"/>
      <c r="I13" s="4450"/>
      <c r="J13" s="4216"/>
      <c r="K13" s="4216"/>
      <c r="L13" s="4247"/>
      <c r="M13" s="4247"/>
      <c r="N13" s="4767"/>
      <c r="O13" s="4216"/>
      <c r="P13" s="4216"/>
      <c r="Q13" s="4341"/>
      <c r="R13" s="2836"/>
      <c r="S13" s="1844"/>
      <c r="T13" s="1844"/>
      <c r="U13" s="2711"/>
      <c r="V13" s="2730"/>
      <c r="W13" s="443"/>
      <c r="X13" s="2755"/>
      <c r="Y13" s="2755"/>
      <c r="Z13" s="2755"/>
      <c r="AA13" s="2757"/>
      <c r="AB13" s="443"/>
      <c r="AC13" s="252"/>
      <c r="AD13" s="397"/>
      <c r="AE13" s="4760"/>
    </row>
    <row r="14" spans="1:31" ht="32.25" customHeight="1">
      <c r="A14" s="4564"/>
      <c r="B14" s="4626" t="s">
        <v>272</v>
      </c>
      <c r="C14" s="4273" t="s">
        <v>302</v>
      </c>
      <c r="D14" s="4328" t="s">
        <v>388</v>
      </c>
      <c r="E14" s="4328" t="s">
        <v>847</v>
      </c>
      <c r="F14" s="4329" t="s">
        <v>305</v>
      </c>
      <c r="G14" s="4328" t="s">
        <v>306</v>
      </c>
      <c r="H14" s="4328" t="s">
        <v>241</v>
      </c>
      <c r="I14" s="4345" t="s">
        <v>4515</v>
      </c>
      <c r="J14" s="4328" t="s">
        <v>855</v>
      </c>
      <c r="K14" s="4228" t="s">
        <v>4508</v>
      </c>
      <c r="L14" s="4747">
        <v>0</v>
      </c>
      <c r="M14" s="4768">
        <v>25</v>
      </c>
      <c r="N14" s="4765">
        <v>25</v>
      </c>
      <c r="O14" s="4345" t="s">
        <v>4498</v>
      </c>
      <c r="P14" s="4345" t="s">
        <v>4493</v>
      </c>
      <c r="Q14" s="4459" t="s">
        <v>4487</v>
      </c>
      <c r="R14" s="2835" t="s">
        <v>39</v>
      </c>
      <c r="S14" s="1845">
        <v>840107</v>
      </c>
      <c r="T14" s="1845"/>
      <c r="U14" s="2715" t="s">
        <v>20</v>
      </c>
      <c r="V14" s="2734"/>
      <c r="W14" s="442"/>
      <c r="X14" s="2765"/>
      <c r="Y14" s="2765"/>
      <c r="Z14" s="2765"/>
      <c r="AA14" s="2770">
        <f>SUM($Z$15:$Z$20)</f>
        <v>1487.3040000000001</v>
      </c>
      <c r="AB14" s="442"/>
      <c r="AC14" s="249"/>
      <c r="AD14" s="250"/>
      <c r="AE14" s="4762" t="s">
        <v>4485</v>
      </c>
    </row>
    <row r="15" spans="1:31" ht="32.25" customHeight="1">
      <c r="A15" s="4564"/>
      <c r="B15" s="4331"/>
      <c r="C15" s="4215"/>
      <c r="D15" s="4215"/>
      <c r="E15" s="4215"/>
      <c r="F15" s="4215"/>
      <c r="G15" s="4215"/>
      <c r="H15" s="4215"/>
      <c r="I15" s="4215"/>
      <c r="J15" s="4215"/>
      <c r="K15" s="4215"/>
      <c r="L15" s="4226"/>
      <c r="M15" s="4769"/>
      <c r="N15" s="4766"/>
      <c r="O15" s="4215"/>
      <c r="P15" s="4215"/>
      <c r="Q15" s="4449"/>
      <c r="R15" s="3088"/>
      <c r="S15" s="1842"/>
      <c r="T15" s="1842" t="s">
        <v>856</v>
      </c>
      <c r="U15" s="2716" t="s">
        <v>857</v>
      </c>
      <c r="V15" s="1862">
        <v>0</v>
      </c>
      <c r="W15" s="395" t="s">
        <v>269</v>
      </c>
      <c r="X15" s="1867">
        <v>1300</v>
      </c>
      <c r="Y15" s="1867">
        <f t="shared" ref="Y15:Y19" si="2">+V15*X15</f>
        <v>0</v>
      </c>
      <c r="Z15" s="1867">
        <f t="shared" ref="Z15:Z20" si="3">+Y15*1.12</f>
        <v>0</v>
      </c>
      <c r="AA15" s="2748"/>
      <c r="AB15" s="395"/>
      <c r="AC15" s="336" t="s">
        <v>251</v>
      </c>
      <c r="AD15" s="251"/>
      <c r="AE15" s="4763"/>
    </row>
    <row r="16" spans="1:31" ht="32.25" customHeight="1">
      <c r="A16" s="4564"/>
      <c r="B16" s="4331"/>
      <c r="C16" s="4215"/>
      <c r="D16" s="4215"/>
      <c r="E16" s="4215"/>
      <c r="F16" s="4215"/>
      <c r="G16" s="4215"/>
      <c r="H16" s="4215"/>
      <c r="I16" s="4215"/>
      <c r="J16" s="4215"/>
      <c r="K16" s="4215"/>
      <c r="L16" s="4226"/>
      <c r="M16" s="4769"/>
      <c r="N16" s="4766"/>
      <c r="O16" s="4215"/>
      <c r="P16" s="4215"/>
      <c r="Q16" s="4449"/>
      <c r="R16" s="2797"/>
      <c r="S16" s="1842"/>
      <c r="T16" s="1842" t="s">
        <v>858</v>
      </c>
      <c r="U16" s="2716" t="s">
        <v>859</v>
      </c>
      <c r="V16" s="1862">
        <v>1</v>
      </c>
      <c r="W16" s="395" t="s">
        <v>269</v>
      </c>
      <c r="X16" s="1867">
        <v>980</v>
      </c>
      <c r="Y16" s="1867">
        <f t="shared" si="2"/>
        <v>980</v>
      </c>
      <c r="Z16" s="1867">
        <f t="shared" si="3"/>
        <v>1097.6000000000001</v>
      </c>
      <c r="AA16" s="2748"/>
      <c r="AB16" s="395"/>
      <c r="AC16" s="336" t="s">
        <v>251</v>
      </c>
      <c r="AD16" s="251"/>
      <c r="AE16" s="4763"/>
    </row>
    <row r="17" spans="1:31" ht="32.25" customHeight="1">
      <c r="A17" s="4564"/>
      <c r="B17" s="4331"/>
      <c r="C17" s="4215"/>
      <c r="D17" s="4215"/>
      <c r="E17" s="4215"/>
      <c r="F17" s="4215"/>
      <c r="G17" s="4215"/>
      <c r="H17" s="4215"/>
      <c r="I17" s="4215"/>
      <c r="J17" s="4215"/>
      <c r="K17" s="4215"/>
      <c r="L17" s="4226"/>
      <c r="M17" s="4769"/>
      <c r="N17" s="4766"/>
      <c r="O17" s="4215"/>
      <c r="P17" s="4215"/>
      <c r="Q17" s="4449"/>
      <c r="R17" s="2838"/>
      <c r="S17" s="1842"/>
      <c r="T17" s="1842" t="s">
        <v>860</v>
      </c>
      <c r="U17" s="2716" t="s">
        <v>861</v>
      </c>
      <c r="V17" s="1862">
        <v>1</v>
      </c>
      <c r="W17" s="395" t="s">
        <v>269</v>
      </c>
      <c r="X17" s="1867">
        <v>119</v>
      </c>
      <c r="Y17" s="1867">
        <f t="shared" si="2"/>
        <v>119</v>
      </c>
      <c r="Z17" s="1867">
        <f t="shared" si="3"/>
        <v>133.28</v>
      </c>
      <c r="AA17" s="2748"/>
      <c r="AB17" s="395"/>
      <c r="AC17" s="336" t="s">
        <v>251</v>
      </c>
      <c r="AD17" s="251"/>
      <c r="AE17" s="4763"/>
    </row>
    <row r="18" spans="1:31" ht="32.25" customHeight="1">
      <c r="A18" s="4564"/>
      <c r="B18" s="4331"/>
      <c r="C18" s="4215"/>
      <c r="D18" s="4215"/>
      <c r="E18" s="4215"/>
      <c r="F18" s="4215"/>
      <c r="G18" s="4215"/>
      <c r="H18" s="4215"/>
      <c r="I18" s="4215"/>
      <c r="J18" s="4215"/>
      <c r="K18" s="4215"/>
      <c r="L18" s="4226"/>
      <c r="M18" s="4769"/>
      <c r="N18" s="4766"/>
      <c r="O18" s="4215"/>
      <c r="P18" s="4215"/>
      <c r="Q18" s="4449"/>
      <c r="R18" s="2838"/>
      <c r="S18" s="1842"/>
      <c r="T18" s="1842" t="s">
        <v>862</v>
      </c>
      <c r="U18" s="2716" t="s">
        <v>863</v>
      </c>
      <c r="V18" s="1862">
        <v>0</v>
      </c>
      <c r="W18" s="395" t="s">
        <v>269</v>
      </c>
      <c r="X18" s="1867">
        <v>980</v>
      </c>
      <c r="Y18" s="1867">
        <f t="shared" si="2"/>
        <v>0</v>
      </c>
      <c r="Z18" s="1867">
        <f t="shared" si="3"/>
        <v>0</v>
      </c>
      <c r="AA18" s="2748"/>
      <c r="AB18" s="395"/>
      <c r="AC18" s="336" t="s">
        <v>251</v>
      </c>
      <c r="AD18" s="251"/>
      <c r="AE18" s="4763"/>
    </row>
    <row r="19" spans="1:31" ht="32.25" customHeight="1">
      <c r="A19" s="4564"/>
      <c r="B19" s="4331"/>
      <c r="C19" s="4215"/>
      <c r="D19" s="4215"/>
      <c r="E19" s="4215"/>
      <c r="F19" s="4215"/>
      <c r="G19" s="4215"/>
      <c r="H19" s="4215"/>
      <c r="I19" s="4215"/>
      <c r="J19" s="4215"/>
      <c r="K19" s="4215"/>
      <c r="L19" s="4226"/>
      <c r="M19" s="4769"/>
      <c r="N19" s="4766"/>
      <c r="O19" s="4215"/>
      <c r="P19" s="4215"/>
      <c r="Q19" s="4449"/>
      <c r="R19" s="2838"/>
      <c r="S19" s="1843"/>
      <c r="T19" s="1842">
        <v>472200113</v>
      </c>
      <c r="U19" s="2716" t="s">
        <v>864</v>
      </c>
      <c r="V19" s="1862">
        <v>1</v>
      </c>
      <c r="W19" s="395" t="s">
        <v>269</v>
      </c>
      <c r="X19" s="1867">
        <v>118.95</v>
      </c>
      <c r="Y19" s="1867">
        <f t="shared" si="2"/>
        <v>118.95</v>
      </c>
      <c r="Z19" s="1867">
        <f t="shared" si="3"/>
        <v>133.22400000000002</v>
      </c>
      <c r="AA19" s="2748"/>
      <c r="AB19" s="395"/>
      <c r="AC19" s="336" t="s">
        <v>251</v>
      </c>
      <c r="AD19" s="251"/>
      <c r="AE19" s="4763"/>
    </row>
    <row r="20" spans="1:31" ht="32.25" customHeight="1">
      <c r="A20" s="4564"/>
      <c r="B20" s="4331"/>
      <c r="C20" s="4215"/>
      <c r="D20" s="4215"/>
      <c r="E20" s="4215"/>
      <c r="F20" s="4215"/>
      <c r="G20" s="4215"/>
      <c r="H20" s="4215"/>
      <c r="I20" s="4215"/>
      <c r="J20" s="4215"/>
      <c r="K20" s="4215"/>
      <c r="L20" s="4226"/>
      <c r="M20" s="4769"/>
      <c r="N20" s="4766"/>
      <c r="O20" s="4215"/>
      <c r="P20" s="4215"/>
      <c r="Q20" s="4449"/>
      <c r="R20" s="2838"/>
      <c r="S20" s="1842"/>
      <c r="T20" s="1842" t="s">
        <v>285</v>
      </c>
      <c r="U20" s="2716" t="s">
        <v>421</v>
      </c>
      <c r="V20" s="1862">
        <v>1</v>
      </c>
      <c r="W20" s="395" t="s">
        <v>269</v>
      </c>
      <c r="X20" s="1867">
        <v>110</v>
      </c>
      <c r="Y20" s="1867">
        <f>X20*V20</f>
        <v>110</v>
      </c>
      <c r="Z20" s="1867">
        <f t="shared" si="3"/>
        <v>123.20000000000002</v>
      </c>
      <c r="AA20" s="2748"/>
      <c r="AB20" s="395"/>
      <c r="AC20" s="336" t="s">
        <v>251</v>
      </c>
      <c r="AD20" s="251"/>
      <c r="AE20" s="4763"/>
    </row>
    <row r="21" spans="1:31" ht="32.25" customHeight="1">
      <c r="A21" s="4564"/>
      <c r="B21" s="4332"/>
      <c r="C21" s="4216"/>
      <c r="D21" s="4216"/>
      <c r="E21" s="4216"/>
      <c r="F21" s="4216"/>
      <c r="G21" s="4216"/>
      <c r="H21" s="4216"/>
      <c r="I21" s="4216"/>
      <c r="J21" s="4215"/>
      <c r="K21" s="4216"/>
      <c r="L21" s="4247"/>
      <c r="M21" s="4770"/>
      <c r="N21" s="4767"/>
      <c r="O21" s="4216"/>
      <c r="P21" s="4216"/>
      <c r="Q21" s="4450"/>
      <c r="R21" s="2836"/>
      <c r="S21" s="1844"/>
      <c r="T21" s="1844"/>
      <c r="U21" s="2711"/>
      <c r="V21" s="2730"/>
      <c r="W21" s="443"/>
      <c r="X21" s="2755"/>
      <c r="Y21" s="2755"/>
      <c r="Z21" s="2755"/>
      <c r="AA21" s="2757"/>
      <c r="AB21" s="443"/>
      <c r="AC21" s="252"/>
      <c r="AD21" s="253"/>
      <c r="AE21" s="4764"/>
    </row>
    <row r="22" spans="1:31" ht="37.5" customHeight="1">
      <c r="A22" s="4564"/>
      <c r="B22" s="4625" t="s">
        <v>272</v>
      </c>
      <c r="C22" s="4475" t="s">
        <v>679</v>
      </c>
      <c r="D22" s="4328" t="s">
        <v>388</v>
      </c>
      <c r="E22" s="4328" t="s">
        <v>847</v>
      </c>
      <c r="F22" s="4672" t="s">
        <v>682</v>
      </c>
      <c r="G22" s="4328" t="s">
        <v>306</v>
      </c>
      <c r="H22" s="4328" t="s">
        <v>257</v>
      </c>
      <c r="I22" s="4345" t="s">
        <v>4514</v>
      </c>
      <c r="J22" s="4273" t="s">
        <v>865</v>
      </c>
      <c r="K22" s="4345" t="s">
        <v>4507</v>
      </c>
      <c r="L22" s="4747">
        <v>0</v>
      </c>
      <c r="M22" s="4748">
        <v>5</v>
      </c>
      <c r="N22" s="4747">
        <v>5</v>
      </c>
      <c r="O22" s="4345" t="s">
        <v>4499</v>
      </c>
      <c r="P22" s="4345" t="s">
        <v>4494</v>
      </c>
      <c r="Q22" s="4459" t="s">
        <v>4488</v>
      </c>
      <c r="R22" s="2835" t="s">
        <v>39</v>
      </c>
      <c r="S22" s="1845">
        <v>840103</v>
      </c>
      <c r="T22" s="1845"/>
      <c r="U22" s="2715" t="s">
        <v>22</v>
      </c>
      <c r="V22" s="2734"/>
      <c r="W22" s="442"/>
      <c r="X22" s="2765"/>
      <c r="Y22" s="2765"/>
      <c r="Z22" s="2765"/>
      <c r="AA22" s="2770">
        <f>SUM($Z$23:$Z$25)</f>
        <v>1304.576</v>
      </c>
      <c r="AB22" s="442"/>
      <c r="AC22" s="249"/>
      <c r="AD22" s="250"/>
      <c r="AE22" s="4758"/>
    </row>
    <row r="23" spans="1:31" ht="37.5" customHeight="1">
      <c r="A23" s="4564"/>
      <c r="B23" s="4331"/>
      <c r="C23" s="4215"/>
      <c r="D23" s="4215"/>
      <c r="E23" s="4215"/>
      <c r="F23" s="4215"/>
      <c r="G23" s="4215"/>
      <c r="H23" s="4215"/>
      <c r="I23" s="4215"/>
      <c r="J23" s="4215"/>
      <c r="K23" s="4215"/>
      <c r="L23" s="4226"/>
      <c r="M23" s="4226"/>
      <c r="N23" s="4226"/>
      <c r="O23" s="4215"/>
      <c r="P23" s="4215"/>
      <c r="Q23" s="4449"/>
      <c r="R23" s="3088"/>
      <c r="S23" s="1842"/>
      <c r="T23" s="1842">
        <v>3811100041</v>
      </c>
      <c r="U23" s="2716" t="s">
        <v>866</v>
      </c>
      <c r="V23" s="1862">
        <v>4</v>
      </c>
      <c r="W23" s="395" t="s">
        <v>269</v>
      </c>
      <c r="X23" s="1867">
        <v>141.19999999999999</v>
      </c>
      <c r="Y23" s="1867">
        <f t="shared" ref="Y23:Y24" si="4">+V23*X23</f>
        <v>564.79999999999995</v>
      </c>
      <c r="Z23" s="1867">
        <f t="shared" ref="Z23:Z24" si="5">+Y23*1.12</f>
        <v>632.57600000000002</v>
      </c>
      <c r="AA23" s="2748"/>
      <c r="AB23" s="395"/>
      <c r="AC23" s="336" t="s">
        <v>251</v>
      </c>
      <c r="AD23" s="251"/>
      <c r="AE23" s="4759"/>
    </row>
    <row r="24" spans="1:31" ht="37.5" customHeight="1">
      <c r="A24" s="4564"/>
      <c r="B24" s="4331"/>
      <c r="C24" s="4215"/>
      <c r="D24" s="4215"/>
      <c r="E24" s="4215"/>
      <c r="F24" s="4215"/>
      <c r="G24" s="4215"/>
      <c r="H24" s="4215"/>
      <c r="I24" s="4215"/>
      <c r="J24" s="4215"/>
      <c r="K24" s="4215"/>
      <c r="L24" s="4226"/>
      <c r="M24" s="4226"/>
      <c r="N24" s="4226"/>
      <c r="O24" s="4215"/>
      <c r="P24" s="4215"/>
      <c r="Q24" s="4449"/>
      <c r="R24" s="2797"/>
      <c r="S24" s="1842"/>
      <c r="T24" s="1842">
        <v>3811100091</v>
      </c>
      <c r="U24" s="2716" t="s">
        <v>867</v>
      </c>
      <c r="V24" s="1862">
        <v>1</v>
      </c>
      <c r="W24" s="395" t="s">
        <v>269</v>
      </c>
      <c r="X24" s="1867">
        <v>600</v>
      </c>
      <c r="Y24" s="1867">
        <f t="shared" si="4"/>
        <v>600</v>
      </c>
      <c r="Z24" s="1867">
        <f t="shared" si="5"/>
        <v>672.00000000000011</v>
      </c>
      <c r="AA24" s="2748"/>
      <c r="AB24" s="395"/>
      <c r="AC24" s="336" t="s">
        <v>251</v>
      </c>
      <c r="AD24" s="251"/>
      <c r="AE24" s="4759"/>
    </row>
    <row r="25" spans="1:31" ht="37.5" customHeight="1">
      <c r="A25" s="4564"/>
      <c r="B25" s="4331"/>
      <c r="C25" s="4215"/>
      <c r="D25" s="4215"/>
      <c r="E25" s="4215"/>
      <c r="F25" s="4215"/>
      <c r="G25" s="4215"/>
      <c r="H25" s="4215"/>
      <c r="I25" s="4215"/>
      <c r="J25" s="4215"/>
      <c r="K25" s="4215"/>
      <c r="L25" s="4226"/>
      <c r="M25" s="4226"/>
      <c r="N25" s="4226"/>
      <c r="O25" s="4215"/>
      <c r="P25" s="4215"/>
      <c r="Q25" s="4449"/>
      <c r="R25" s="2838"/>
      <c r="S25" s="1843"/>
      <c r="T25" s="1843"/>
      <c r="U25" s="2716"/>
      <c r="V25" s="1862"/>
      <c r="W25" s="395"/>
      <c r="X25" s="1867"/>
      <c r="Y25" s="1867"/>
      <c r="Z25" s="1867"/>
      <c r="AA25" s="2748"/>
      <c r="AB25" s="395"/>
      <c r="AC25" s="336"/>
      <c r="AD25" s="251"/>
      <c r="AE25" s="4759"/>
    </row>
    <row r="26" spans="1:31" ht="37.5" customHeight="1">
      <c r="A26" s="4564"/>
      <c r="B26" s="4332"/>
      <c r="C26" s="4216"/>
      <c r="D26" s="4216"/>
      <c r="E26" s="4216"/>
      <c r="F26" s="4216"/>
      <c r="G26" s="4216"/>
      <c r="H26" s="4216"/>
      <c r="I26" s="4216"/>
      <c r="J26" s="4216"/>
      <c r="K26" s="4216"/>
      <c r="L26" s="4247"/>
      <c r="M26" s="4247"/>
      <c r="N26" s="4247"/>
      <c r="O26" s="4216"/>
      <c r="P26" s="4216"/>
      <c r="Q26" s="4450"/>
      <c r="R26" s="2836"/>
      <c r="S26" s="1844"/>
      <c r="T26" s="1844"/>
      <c r="U26" s="2711"/>
      <c r="V26" s="2730"/>
      <c r="W26" s="443"/>
      <c r="X26" s="2755"/>
      <c r="Y26" s="2755"/>
      <c r="Z26" s="2755"/>
      <c r="AA26" s="2757"/>
      <c r="AB26" s="443"/>
      <c r="AC26" s="252"/>
      <c r="AD26" s="253"/>
      <c r="AE26" s="4760"/>
    </row>
    <row r="27" spans="1:31" ht="33.75" customHeight="1">
      <c r="A27" s="4564"/>
      <c r="B27" s="4626" t="s">
        <v>272</v>
      </c>
      <c r="C27" s="4273" t="s">
        <v>302</v>
      </c>
      <c r="D27" s="4328" t="s">
        <v>274</v>
      </c>
      <c r="E27" s="4328" t="s">
        <v>275</v>
      </c>
      <c r="F27" s="4329" t="s">
        <v>305</v>
      </c>
      <c r="G27" s="4328" t="s">
        <v>240</v>
      </c>
      <c r="H27" s="4328" t="s">
        <v>294</v>
      </c>
      <c r="I27" s="4345" t="s">
        <v>4513</v>
      </c>
      <c r="J27" s="4328" t="s">
        <v>868</v>
      </c>
      <c r="K27" s="4345" t="s">
        <v>4506</v>
      </c>
      <c r="L27" s="4747">
        <v>7</v>
      </c>
      <c r="M27" s="4748">
        <v>0</v>
      </c>
      <c r="N27" s="4747">
        <v>7</v>
      </c>
      <c r="O27" s="4345" t="s">
        <v>4500</v>
      </c>
      <c r="P27" s="4345" t="s">
        <v>4495</v>
      </c>
      <c r="Q27" s="4459" t="s">
        <v>4489</v>
      </c>
      <c r="R27" s="2835" t="s">
        <v>39</v>
      </c>
      <c r="S27" s="1845">
        <v>530807</v>
      </c>
      <c r="T27" s="1845"/>
      <c r="U27" s="2715" t="s">
        <v>44</v>
      </c>
      <c r="V27" s="2734"/>
      <c r="W27" s="442"/>
      <c r="X27" s="2765"/>
      <c r="Y27" s="2765"/>
      <c r="Z27" s="2765"/>
      <c r="AA27" s="2770">
        <f>SUM($Z$28:$Z$30)</f>
        <v>1509.8720000000001</v>
      </c>
      <c r="AB27" s="442"/>
      <c r="AC27" s="249"/>
      <c r="AD27" s="250"/>
      <c r="AE27" s="4758"/>
    </row>
    <row r="28" spans="1:31" ht="33.75" customHeight="1">
      <c r="A28" s="4564"/>
      <c r="B28" s="4331"/>
      <c r="C28" s="4215"/>
      <c r="D28" s="4215"/>
      <c r="E28" s="4215"/>
      <c r="F28" s="4215"/>
      <c r="G28" s="4215"/>
      <c r="H28" s="4215"/>
      <c r="I28" s="4215"/>
      <c r="J28" s="4215"/>
      <c r="K28" s="4215"/>
      <c r="L28" s="4226"/>
      <c r="M28" s="4226"/>
      <c r="N28" s="4226"/>
      <c r="O28" s="4215"/>
      <c r="P28" s="4215"/>
      <c r="Q28" s="4449"/>
      <c r="R28" s="3088"/>
      <c r="S28" s="1842"/>
      <c r="T28" s="1842">
        <v>838190014</v>
      </c>
      <c r="U28" s="2716" t="s">
        <v>869</v>
      </c>
      <c r="V28" s="1862">
        <v>1</v>
      </c>
      <c r="W28" s="395" t="s">
        <v>250</v>
      </c>
      <c r="X28" s="1867">
        <v>1348.1</v>
      </c>
      <c r="Y28" s="1867">
        <f t="shared" ref="Y28" si="6">+V28*X28</f>
        <v>1348.1</v>
      </c>
      <c r="Z28" s="1867">
        <f t="shared" ref="Z28" si="7">+Y28*1.12</f>
        <v>1509.8720000000001</v>
      </c>
      <c r="AA28" s="2748"/>
      <c r="AB28" s="395"/>
      <c r="AC28" s="336" t="s">
        <v>251</v>
      </c>
      <c r="AD28" s="251"/>
      <c r="AE28" s="4759"/>
    </row>
    <row r="29" spans="1:31" ht="33.75" customHeight="1">
      <c r="A29" s="4564"/>
      <c r="B29" s="4331"/>
      <c r="C29" s="4215"/>
      <c r="D29" s="4215"/>
      <c r="E29" s="4215"/>
      <c r="F29" s="4215"/>
      <c r="G29" s="4215"/>
      <c r="H29" s="4215"/>
      <c r="I29" s="4215"/>
      <c r="J29" s="4215"/>
      <c r="K29" s="4215"/>
      <c r="L29" s="4226"/>
      <c r="M29" s="4226"/>
      <c r="N29" s="4226"/>
      <c r="O29" s="4215"/>
      <c r="P29" s="4215"/>
      <c r="Q29" s="4449"/>
      <c r="R29" s="2797"/>
      <c r="S29" s="1842"/>
      <c r="T29" s="1842"/>
      <c r="U29" s="2716"/>
      <c r="V29" s="1862"/>
      <c r="W29" s="395"/>
      <c r="X29" s="1867"/>
      <c r="Y29" s="1867"/>
      <c r="Z29" s="1867"/>
      <c r="AA29" s="2748"/>
      <c r="AB29" s="395"/>
      <c r="AC29" s="336"/>
      <c r="AD29" s="251"/>
      <c r="AE29" s="4759"/>
    </row>
    <row r="30" spans="1:31" ht="33.75" customHeight="1">
      <c r="A30" s="4564"/>
      <c r="B30" s="4331"/>
      <c r="C30" s="4215"/>
      <c r="D30" s="4215"/>
      <c r="E30" s="4215"/>
      <c r="F30" s="4215"/>
      <c r="G30" s="4215"/>
      <c r="H30" s="4215"/>
      <c r="I30" s="4215"/>
      <c r="J30" s="4215"/>
      <c r="K30" s="4215"/>
      <c r="L30" s="4226"/>
      <c r="M30" s="4226"/>
      <c r="N30" s="4226"/>
      <c r="O30" s="4215"/>
      <c r="P30" s="4215"/>
      <c r="Q30" s="4449"/>
      <c r="R30" s="2838"/>
      <c r="S30" s="1843"/>
      <c r="T30" s="1843"/>
      <c r="U30" s="2716"/>
      <c r="V30" s="1862"/>
      <c r="W30" s="395"/>
      <c r="X30" s="1867"/>
      <c r="Y30" s="1867"/>
      <c r="Z30" s="1867"/>
      <c r="AA30" s="2748"/>
      <c r="AB30" s="395"/>
      <c r="AC30" s="336"/>
      <c r="AD30" s="251"/>
      <c r="AE30" s="4759"/>
    </row>
    <row r="31" spans="1:31" ht="33.75" customHeight="1">
      <c r="A31" s="4564"/>
      <c r="B31" s="4332"/>
      <c r="C31" s="4216"/>
      <c r="D31" s="4216"/>
      <c r="E31" s="4216"/>
      <c r="F31" s="4216"/>
      <c r="G31" s="4216"/>
      <c r="H31" s="4216"/>
      <c r="I31" s="4216"/>
      <c r="J31" s="4215"/>
      <c r="K31" s="4216"/>
      <c r="L31" s="4247"/>
      <c r="M31" s="4247"/>
      <c r="N31" s="4247"/>
      <c r="O31" s="4216"/>
      <c r="P31" s="4216"/>
      <c r="Q31" s="4449"/>
      <c r="R31" s="2836"/>
      <c r="S31" s="1844"/>
      <c r="T31" s="1844"/>
      <c r="U31" s="2711"/>
      <c r="V31" s="2730"/>
      <c r="W31" s="443"/>
      <c r="X31" s="2755"/>
      <c r="Y31" s="2755"/>
      <c r="Z31" s="2755"/>
      <c r="AA31" s="2757"/>
      <c r="AB31" s="443"/>
      <c r="AC31" s="252"/>
      <c r="AD31" s="253"/>
      <c r="AE31" s="4760"/>
    </row>
    <row r="32" spans="1:31" ht="35.25" customHeight="1">
      <c r="A32" s="4564"/>
      <c r="B32" s="4626" t="s">
        <v>235</v>
      </c>
      <c r="C32" s="4273" t="s">
        <v>236</v>
      </c>
      <c r="D32" s="4328" t="s">
        <v>237</v>
      </c>
      <c r="E32" s="4328" t="s">
        <v>238</v>
      </c>
      <c r="F32" s="4329" t="s">
        <v>239</v>
      </c>
      <c r="G32" s="4328" t="s">
        <v>240</v>
      </c>
      <c r="H32" s="4328" t="s">
        <v>257</v>
      </c>
      <c r="I32" s="4458" t="s">
        <v>4512</v>
      </c>
      <c r="J32" s="4273" t="s">
        <v>870</v>
      </c>
      <c r="K32" s="4345" t="s">
        <v>4505</v>
      </c>
      <c r="L32" s="4747">
        <v>0</v>
      </c>
      <c r="M32" s="4748">
        <v>30</v>
      </c>
      <c r="N32" s="4747">
        <v>30</v>
      </c>
      <c r="O32" s="4345" t="s">
        <v>4501</v>
      </c>
      <c r="P32" s="4345" t="s">
        <v>4496</v>
      </c>
      <c r="Q32" s="4458" t="s">
        <v>4490</v>
      </c>
      <c r="R32" s="2835" t="s">
        <v>39</v>
      </c>
      <c r="S32" s="1845">
        <v>530207</v>
      </c>
      <c r="T32" s="1845"/>
      <c r="U32" s="2715" t="s">
        <v>31</v>
      </c>
      <c r="V32" s="2734"/>
      <c r="W32" s="442"/>
      <c r="X32" s="2765"/>
      <c r="Y32" s="2765"/>
      <c r="Z32" s="2765"/>
      <c r="AA32" s="2770">
        <f>SUM($Z$33:$Z$35)</f>
        <v>2710.4</v>
      </c>
      <c r="AB32" s="442"/>
      <c r="AC32" s="254"/>
      <c r="AD32" s="255"/>
      <c r="AE32" s="4771"/>
    </row>
    <row r="33" spans="1:31" ht="35.25" customHeight="1">
      <c r="A33" s="4564"/>
      <c r="B33" s="4331"/>
      <c r="C33" s="4215"/>
      <c r="D33" s="4215"/>
      <c r="E33" s="4215"/>
      <c r="F33" s="4215"/>
      <c r="G33" s="4215"/>
      <c r="H33" s="4215"/>
      <c r="I33" s="4449"/>
      <c r="J33" s="4215"/>
      <c r="K33" s="4215"/>
      <c r="L33" s="4226"/>
      <c r="M33" s="4226"/>
      <c r="N33" s="4226"/>
      <c r="O33" s="4215"/>
      <c r="P33" s="4215"/>
      <c r="Q33" s="4449"/>
      <c r="R33" s="3088"/>
      <c r="S33" s="1842"/>
      <c r="T33" s="1842">
        <v>838190014</v>
      </c>
      <c r="U33" s="2716" t="s">
        <v>871</v>
      </c>
      <c r="V33" s="1862">
        <v>1</v>
      </c>
      <c r="W33" s="395" t="s">
        <v>250</v>
      </c>
      <c r="X33" s="1867">
        <v>2420</v>
      </c>
      <c r="Y33" s="1867">
        <f t="shared" ref="Y33" si="8">X33*1</f>
        <v>2420</v>
      </c>
      <c r="Z33" s="1867">
        <f t="shared" ref="Z33" si="9">+Y33*1.12</f>
        <v>2710.4</v>
      </c>
      <c r="AA33" s="2748"/>
      <c r="AB33" s="395"/>
      <c r="AC33" s="395" t="s">
        <v>251</v>
      </c>
      <c r="AD33" s="256"/>
      <c r="AE33" s="4717"/>
    </row>
    <row r="34" spans="1:31" ht="35.25" customHeight="1">
      <c r="A34" s="4564"/>
      <c r="B34" s="4331"/>
      <c r="C34" s="4215"/>
      <c r="D34" s="4215"/>
      <c r="E34" s="4215"/>
      <c r="F34" s="4215"/>
      <c r="G34" s="4215"/>
      <c r="H34" s="4215"/>
      <c r="I34" s="4449"/>
      <c r="J34" s="4215"/>
      <c r="K34" s="4215"/>
      <c r="L34" s="4226"/>
      <c r="M34" s="4226"/>
      <c r="N34" s="4226"/>
      <c r="O34" s="4215"/>
      <c r="P34" s="4215"/>
      <c r="Q34" s="4449"/>
      <c r="R34" s="2797"/>
      <c r="S34" s="1842"/>
      <c r="T34" s="1842"/>
      <c r="U34" s="2716"/>
      <c r="V34" s="1862"/>
      <c r="W34" s="395"/>
      <c r="X34" s="1867"/>
      <c r="Y34" s="1867"/>
      <c r="Z34" s="1867"/>
      <c r="AA34" s="2748"/>
      <c r="AB34" s="395"/>
      <c r="AC34" s="395"/>
      <c r="AD34" s="251"/>
      <c r="AE34" s="4717"/>
    </row>
    <row r="35" spans="1:31" ht="35.25" customHeight="1">
      <c r="A35" s="4564"/>
      <c r="B35" s="4331"/>
      <c r="C35" s="4215"/>
      <c r="D35" s="4215"/>
      <c r="E35" s="4215"/>
      <c r="F35" s="4215"/>
      <c r="G35" s="4215"/>
      <c r="H35" s="4215"/>
      <c r="I35" s="4449"/>
      <c r="J35" s="4215"/>
      <c r="K35" s="4215"/>
      <c r="L35" s="4226"/>
      <c r="M35" s="4226"/>
      <c r="N35" s="4226"/>
      <c r="O35" s="4215"/>
      <c r="P35" s="4215"/>
      <c r="Q35" s="4449"/>
      <c r="R35" s="2797"/>
      <c r="S35" s="1842"/>
      <c r="T35" s="1842"/>
      <c r="U35" s="2716"/>
      <c r="V35" s="1862"/>
      <c r="W35" s="395"/>
      <c r="X35" s="1867"/>
      <c r="Y35" s="1867"/>
      <c r="Z35" s="1867"/>
      <c r="AA35" s="2748"/>
      <c r="AB35" s="395"/>
      <c r="AC35" s="395"/>
      <c r="AD35" s="251"/>
      <c r="AE35" s="4717"/>
    </row>
    <row r="36" spans="1:31" ht="35.25" customHeight="1">
      <c r="A36" s="4564"/>
      <c r="B36" s="4331"/>
      <c r="C36" s="4215"/>
      <c r="D36" s="4215"/>
      <c r="E36" s="4215"/>
      <c r="F36" s="4215"/>
      <c r="G36" s="4215"/>
      <c r="H36" s="4215"/>
      <c r="I36" s="4449"/>
      <c r="J36" s="4215"/>
      <c r="K36" s="4215"/>
      <c r="L36" s="4226"/>
      <c r="M36" s="4226"/>
      <c r="N36" s="4226"/>
      <c r="O36" s="4215"/>
      <c r="P36" s="4215"/>
      <c r="Q36" s="4449"/>
      <c r="R36" s="2797"/>
      <c r="S36" s="1842"/>
      <c r="T36" s="1842"/>
      <c r="U36" s="2716"/>
      <c r="V36" s="1862"/>
      <c r="W36" s="395"/>
      <c r="X36" s="1867"/>
      <c r="Y36" s="1867"/>
      <c r="Z36" s="1867"/>
      <c r="AA36" s="2748"/>
      <c r="AB36" s="395"/>
      <c r="AC36" s="395"/>
      <c r="AD36" s="251"/>
      <c r="AE36" s="4717"/>
    </row>
    <row r="37" spans="1:31" ht="35.25" customHeight="1">
      <c r="A37" s="4564"/>
      <c r="B37" s="4332"/>
      <c r="C37" s="4216"/>
      <c r="D37" s="4216"/>
      <c r="E37" s="4216"/>
      <c r="F37" s="4216"/>
      <c r="G37" s="4216"/>
      <c r="H37" s="4216"/>
      <c r="I37" s="4450"/>
      <c r="J37" s="4216"/>
      <c r="K37" s="4216"/>
      <c r="L37" s="4247"/>
      <c r="M37" s="4247"/>
      <c r="N37" s="4247"/>
      <c r="O37" s="4216"/>
      <c r="P37" s="4216"/>
      <c r="Q37" s="4450"/>
      <c r="R37" s="2836"/>
      <c r="S37" s="1844"/>
      <c r="T37" s="1844"/>
      <c r="U37" s="2711"/>
      <c r="V37" s="2730"/>
      <c r="W37" s="443"/>
      <c r="X37" s="2755"/>
      <c r="Y37" s="2755"/>
      <c r="Z37" s="2755"/>
      <c r="AA37" s="2757"/>
      <c r="AB37" s="443"/>
      <c r="AC37" s="443"/>
      <c r="AD37" s="253"/>
      <c r="AE37" s="4718"/>
    </row>
    <row r="38" spans="1:31" ht="21" customHeight="1">
      <c r="A38" s="4564"/>
      <c r="B38" s="4626" t="s">
        <v>235</v>
      </c>
      <c r="C38" s="4273" t="s">
        <v>236</v>
      </c>
      <c r="D38" s="4273" t="s">
        <v>244</v>
      </c>
      <c r="E38" s="4273" t="s">
        <v>430</v>
      </c>
      <c r="F38" s="4338" t="s">
        <v>239</v>
      </c>
      <c r="G38" s="4273" t="s">
        <v>293</v>
      </c>
      <c r="H38" s="4273" t="s">
        <v>257</v>
      </c>
      <c r="I38" s="4458" t="s">
        <v>4511</v>
      </c>
      <c r="J38" s="4273" t="s">
        <v>338</v>
      </c>
      <c r="K38" s="4228" t="s">
        <v>4504</v>
      </c>
      <c r="L38" s="4336">
        <v>0</v>
      </c>
      <c r="M38" s="4336">
        <v>1</v>
      </c>
      <c r="N38" s="4336">
        <v>1</v>
      </c>
      <c r="O38" s="4228" t="s">
        <v>4502</v>
      </c>
      <c r="P38" s="4368" t="s">
        <v>4360</v>
      </c>
      <c r="Q38" s="4458" t="s">
        <v>4517</v>
      </c>
      <c r="R38" s="2835" t="s">
        <v>39</v>
      </c>
      <c r="S38" s="1845">
        <v>840107</v>
      </c>
      <c r="T38" s="1845"/>
      <c r="U38" s="2715" t="s">
        <v>20</v>
      </c>
      <c r="V38" s="2734"/>
      <c r="W38" s="442"/>
      <c r="X38" s="2765"/>
      <c r="Y38" s="2765"/>
      <c r="Z38" s="2765"/>
      <c r="AA38" s="2770">
        <f>SUM($Z$39:$Z$41)</f>
        <v>380.464</v>
      </c>
      <c r="AB38" s="442"/>
      <c r="AC38" s="249"/>
      <c r="AD38" s="250"/>
      <c r="AE38" s="4758"/>
    </row>
    <row r="39" spans="1:31" ht="29.25" customHeight="1">
      <c r="A39" s="4564"/>
      <c r="B39" s="4331"/>
      <c r="C39" s="4215"/>
      <c r="D39" s="4215"/>
      <c r="E39" s="4215"/>
      <c r="F39" s="4215"/>
      <c r="G39" s="4215"/>
      <c r="H39" s="4215"/>
      <c r="I39" s="4449"/>
      <c r="J39" s="4215"/>
      <c r="K39" s="4215"/>
      <c r="L39" s="4226"/>
      <c r="M39" s="4226"/>
      <c r="N39" s="4226"/>
      <c r="O39" s="4215"/>
      <c r="P39" s="4215"/>
      <c r="Q39" s="4449"/>
      <c r="R39" s="3088"/>
      <c r="S39" s="1842"/>
      <c r="T39" s="1842">
        <v>4516003137</v>
      </c>
      <c r="U39" s="1881" t="s">
        <v>4484</v>
      </c>
      <c r="V39" s="1862">
        <v>1</v>
      </c>
      <c r="W39" s="395" t="s">
        <v>269</v>
      </c>
      <c r="X39" s="1867">
        <v>339.7</v>
      </c>
      <c r="Y39" s="1867">
        <f t="shared" ref="Y39" si="10">+V39*X39</f>
        <v>339.7</v>
      </c>
      <c r="Z39" s="1867">
        <f t="shared" ref="Z39" si="11">+Y39*1.12</f>
        <v>380.464</v>
      </c>
      <c r="AA39" s="2748"/>
      <c r="AB39" s="395"/>
      <c r="AC39" s="336" t="s">
        <v>251</v>
      </c>
      <c r="AD39" s="251"/>
      <c r="AE39" s="4759"/>
    </row>
    <row r="40" spans="1:31" ht="33" customHeight="1">
      <c r="A40" s="4564"/>
      <c r="B40" s="4331"/>
      <c r="C40" s="4215"/>
      <c r="D40" s="4215"/>
      <c r="E40" s="4215"/>
      <c r="F40" s="4215"/>
      <c r="G40" s="4215"/>
      <c r="H40" s="4215"/>
      <c r="I40" s="4449"/>
      <c r="J40" s="4215"/>
      <c r="K40" s="4215"/>
      <c r="L40" s="4226"/>
      <c r="M40" s="4226"/>
      <c r="N40" s="4226"/>
      <c r="O40" s="4215"/>
      <c r="P40" s="4215"/>
      <c r="Q40" s="4449"/>
      <c r="R40" s="2797"/>
      <c r="S40" s="1842"/>
      <c r="T40" s="1842"/>
      <c r="U40" s="2716"/>
      <c r="V40" s="1862"/>
      <c r="W40" s="395"/>
      <c r="X40" s="1867"/>
      <c r="Y40" s="1867"/>
      <c r="Z40" s="1867"/>
      <c r="AA40" s="2748"/>
      <c r="AB40" s="395"/>
      <c r="AC40" s="336"/>
      <c r="AD40" s="251"/>
      <c r="AE40" s="4759"/>
    </row>
    <row r="41" spans="1:31" ht="33" customHeight="1">
      <c r="A41" s="4564"/>
      <c r="B41" s="4331"/>
      <c r="C41" s="4215"/>
      <c r="D41" s="4215"/>
      <c r="E41" s="4215"/>
      <c r="F41" s="4215"/>
      <c r="G41" s="4215"/>
      <c r="H41" s="4215"/>
      <c r="I41" s="4449"/>
      <c r="J41" s="4215"/>
      <c r="K41" s="4215"/>
      <c r="L41" s="4226"/>
      <c r="M41" s="4226"/>
      <c r="N41" s="4226"/>
      <c r="O41" s="4215"/>
      <c r="P41" s="4215"/>
      <c r="Q41" s="4449"/>
      <c r="R41" s="2797"/>
      <c r="S41" s="1842"/>
      <c r="T41" s="1842"/>
      <c r="U41" s="2716"/>
      <c r="V41" s="1862"/>
      <c r="W41" s="395"/>
      <c r="X41" s="1867"/>
      <c r="Y41" s="1867"/>
      <c r="Z41" s="1867"/>
      <c r="AA41" s="2748"/>
      <c r="AB41" s="395"/>
      <c r="AC41" s="336"/>
      <c r="AD41" s="251"/>
      <c r="AE41" s="4759"/>
    </row>
    <row r="42" spans="1:31" ht="33" customHeight="1">
      <c r="A42" s="4564"/>
      <c r="B42" s="4332"/>
      <c r="C42" s="4216"/>
      <c r="D42" s="4216"/>
      <c r="E42" s="4216"/>
      <c r="F42" s="4216"/>
      <c r="G42" s="4216"/>
      <c r="H42" s="4216"/>
      <c r="I42" s="4450"/>
      <c r="J42" s="4216"/>
      <c r="K42" s="4216"/>
      <c r="L42" s="4247"/>
      <c r="M42" s="4247"/>
      <c r="N42" s="4247"/>
      <c r="O42" s="4216"/>
      <c r="P42" s="4216"/>
      <c r="Q42" s="4450"/>
      <c r="R42" s="2836"/>
      <c r="S42" s="1844"/>
      <c r="T42" s="1844"/>
      <c r="U42" s="2711"/>
      <c r="V42" s="2730"/>
      <c r="W42" s="443"/>
      <c r="X42" s="2755"/>
      <c r="Y42" s="2755"/>
      <c r="Z42" s="2755"/>
      <c r="AA42" s="2757"/>
      <c r="AB42" s="443"/>
      <c r="AC42" s="252"/>
      <c r="AD42" s="253"/>
      <c r="AE42" s="4760"/>
    </row>
    <row r="43" spans="1:31" ht="74.25" customHeight="1">
      <c r="A43" s="4564"/>
      <c r="B43" s="4626" t="s">
        <v>235</v>
      </c>
      <c r="C43" s="4273" t="s">
        <v>236</v>
      </c>
      <c r="D43" s="4273" t="s">
        <v>237</v>
      </c>
      <c r="E43" s="4273" t="s">
        <v>326</v>
      </c>
      <c r="F43" s="4338" t="s">
        <v>239</v>
      </c>
      <c r="G43" s="4273" t="s">
        <v>293</v>
      </c>
      <c r="H43" s="4273" t="s">
        <v>257</v>
      </c>
      <c r="I43" s="4458" t="s">
        <v>4510</v>
      </c>
      <c r="J43" s="4368" t="s">
        <v>707</v>
      </c>
      <c r="K43" s="4228" t="s">
        <v>4503</v>
      </c>
      <c r="L43" s="4246">
        <v>50</v>
      </c>
      <c r="M43" s="4246">
        <v>50</v>
      </c>
      <c r="N43" s="4246">
        <v>50</v>
      </c>
      <c r="O43" s="4228" t="s">
        <v>4518</v>
      </c>
      <c r="P43" s="4368" t="s">
        <v>4519</v>
      </c>
      <c r="Q43" s="4458" t="s">
        <v>4491</v>
      </c>
      <c r="R43" s="2835" t="s">
        <v>39</v>
      </c>
      <c r="S43" s="1845">
        <v>840103</v>
      </c>
      <c r="T43" s="1845"/>
      <c r="U43" s="2715" t="s">
        <v>22</v>
      </c>
      <c r="V43" s="2734"/>
      <c r="W43" s="442"/>
      <c r="X43" s="2765"/>
      <c r="Y43" s="2765"/>
      <c r="Z43" s="2765"/>
      <c r="AA43" s="2770">
        <f>SUM($Z$44:$Z$46)</f>
        <v>443.34390719999999</v>
      </c>
      <c r="AB43" s="442"/>
      <c r="AC43" s="249"/>
      <c r="AD43" s="250"/>
      <c r="AE43" s="4758"/>
    </row>
    <row r="44" spans="1:31" ht="74.25" customHeight="1">
      <c r="A44" s="4564"/>
      <c r="B44" s="4331"/>
      <c r="C44" s="4215"/>
      <c r="D44" s="4215"/>
      <c r="E44" s="4215"/>
      <c r="F44" s="4215"/>
      <c r="G44" s="4215"/>
      <c r="H44" s="4215"/>
      <c r="I44" s="4449"/>
      <c r="J44" s="4215"/>
      <c r="K44" s="4215"/>
      <c r="L44" s="4226"/>
      <c r="M44" s="4226"/>
      <c r="N44" s="4226"/>
      <c r="O44" s="4215"/>
      <c r="P44" s="4215"/>
      <c r="Q44" s="4449"/>
      <c r="R44" s="3088"/>
      <c r="S44" s="1842"/>
      <c r="T44" s="1842" t="s">
        <v>872</v>
      </c>
      <c r="U44" s="1881" t="s">
        <v>4483</v>
      </c>
      <c r="V44" s="1862">
        <v>1</v>
      </c>
      <c r="W44" s="395" t="s">
        <v>269</v>
      </c>
      <c r="X44" s="1867">
        <v>376.01</v>
      </c>
      <c r="Y44" s="1867">
        <f t="shared" ref="Y44" si="12">X44*V44</f>
        <v>376.01</v>
      </c>
      <c r="Z44" s="1867">
        <f>Y44*1.12+22.21+0.0027072</f>
        <v>443.34390719999999</v>
      </c>
      <c r="AA44" s="2748"/>
      <c r="AB44" s="395"/>
      <c r="AC44" s="336" t="s">
        <v>251</v>
      </c>
      <c r="AD44" s="251"/>
      <c r="AE44" s="4759"/>
    </row>
    <row r="45" spans="1:31" ht="74.25" customHeight="1">
      <c r="A45" s="4564"/>
      <c r="B45" s="4331"/>
      <c r="C45" s="4215"/>
      <c r="D45" s="4215"/>
      <c r="E45" s="4215"/>
      <c r="F45" s="4215"/>
      <c r="G45" s="4215"/>
      <c r="H45" s="4215"/>
      <c r="I45" s="4449"/>
      <c r="J45" s="4215"/>
      <c r="K45" s="4215"/>
      <c r="L45" s="4226"/>
      <c r="M45" s="4226"/>
      <c r="N45" s="4226"/>
      <c r="O45" s="4215"/>
      <c r="P45" s="4215"/>
      <c r="Q45" s="4449"/>
      <c r="R45" s="2797"/>
      <c r="S45" s="1842"/>
      <c r="T45" s="1842"/>
      <c r="U45" s="2716"/>
      <c r="V45" s="1862"/>
      <c r="W45" s="395"/>
      <c r="X45" s="1867"/>
      <c r="Y45" s="1867"/>
      <c r="Z45" s="1867"/>
      <c r="AA45" s="2748"/>
      <c r="AB45" s="395"/>
      <c r="AC45" s="336"/>
      <c r="AD45" s="251"/>
      <c r="AE45" s="4759"/>
    </row>
    <row r="46" spans="1:31" ht="74.25" customHeight="1" thickBot="1">
      <c r="A46" s="4564"/>
      <c r="B46" s="4615"/>
      <c r="C46" s="4224"/>
      <c r="D46" s="4224"/>
      <c r="E46" s="4224"/>
      <c r="F46" s="4224"/>
      <c r="G46" s="4224"/>
      <c r="H46" s="4224"/>
      <c r="I46" s="4595"/>
      <c r="J46" s="4224"/>
      <c r="K46" s="4224"/>
      <c r="L46" s="4227"/>
      <c r="M46" s="4227"/>
      <c r="N46" s="4227"/>
      <c r="O46" s="4215"/>
      <c r="P46" s="4224"/>
      <c r="Q46" s="4449"/>
      <c r="R46" s="3089"/>
      <c r="S46" s="2699"/>
      <c r="T46" s="2699"/>
      <c r="U46" s="2717"/>
      <c r="V46" s="2735"/>
      <c r="W46" s="1905"/>
      <c r="X46" s="2767"/>
      <c r="Y46" s="2767"/>
      <c r="Z46" s="2990"/>
      <c r="AA46" s="2769"/>
      <c r="AB46" s="1905"/>
      <c r="AC46" s="1906"/>
      <c r="AD46" s="257"/>
      <c r="AE46" s="4760"/>
    </row>
    <row r="47" spans="1:31" ht="22.5" customHeight="1" thickBot="1">
      <c r="A47" s="4362"/>
      <c r="B47" s="1960"/>
      <c r="C47" s="1961"/>
      <c r="D47" s="1961"/>
      <c r="E47" s="1961"/>
      <c r="F47" s="1961"/>
      <c r="G47" s="1961"/>
      <c r="H47" s="1961"/>
      <c r="I47" s="1961"/>
      <c r="J47" s="1961"/>
      <c r="K47" s="1961"/>
      <c r="L47" s="1961"/>
      <c r="M47" s="1961"/>
      <c r="N47" s="1961"/>
      <c r="O47" s="1960"/>
      <c r="P47" s="1961"/>
      <c r="Q47" s="1960"/>
      <c r="R47" s="4508" t="s">
        <v>873</v>
      </c>
      <c r="S47" s="4386"/>
      <c r="T47" s="4386"/>
      <c r="U47" s="4386"/>
      <c r="V47" s="4386"/>
      <c r="W47" s="4386"/>
      <c r="X47" s="4386"/>
      <c r="Y47" s="4386"/>
      <c r="Z47" s="2183" t="s">
        <v>340</v>
      </c>
      <c r="AA47" s="1989">
        <f t="shared" ref="AA47" si="13">SUM(AA9:AA46)</f>
        <v>8981.2047072000005</v>
      </c>
      <c r="AB47" s="4505"/>
      <c r="AC47" s="4506"/>
      <c r="AD47" s="4506"/>
      <c r="AE47" s="4507"/>
    </row>
    <row r="48" spans="1:31" ht="17.25" thickTop="1">
      <c r="A48" s="25"/>
      <c r="B48" s="1917" t="s">
        <v>3915</v>
      </c>
      <c r="C48" s="298"/>
      <c r="D48" s="298"/>
      <c r="E48" s="298"/>
      <c r="F48" s="298"/>
      <c r="G48" s="298"/>
      <c r="H48" s="298"/>
      <c r="I48" s="298"/>
      <c r="J48" s="298"/>
      <c r="K48" s="298"/>
      <c r="L48" s="298"/>
      <c r="M48" s="298"/>
      <c r="N48" s="298"/>
      <c r="O48" s="298"/>
      <c r="P48" s="298"/>
      <c r="Q48" s="298"/>
      <c r="R48" s="4388" t="s">
        <v>874</v>
      </c>
      <c r="S48" s="4150"/>
      <c r="T48" s="4150"/>
      <c r="U48" s="4150"/>
      <c r="V48" s="4150"/>
      <c r="W48" s="4150"/>
      <c r="X48" s="4150"/>
      <c r="Y48" s="4150"/>
      <c r="Z48" s="4150"/>
      <c r="AA48" s="4150"/>
      <c r="AB48" s="4150"/>
      <c r="AC48" s="4150"/>
      <c r="AD48" s="4150"/>
      <c r="AE48" s="4150"/>
    </row>
    <row r="49" spans="1:31" ht="16.5" customHeight="1">
      <c r="A49" s="25"/>
      <c r="B49" s="1917" t="s">
        <v>3916</v>
      </c>
      <c r="C49" s="298"/>
      <c r="D49" s="298"/>
      <c r="E49" s="298"/>
      <c r="F49" s="298"/>
      <c r="G49" s="298"/>
      <c r="H49" s="298"/>
      <c r="I49" s="298"/>
      <c r="J49" s="298"/>
      <c r="K49" s="298"/>
      <c r="L49" s="298"/>
      <c r="M49" s="298"/>
      <c r="N49" s="298"/>
      <c r="O49" s="298"/>
      <c r="P49" s="298"/>
      <c r="Q49" s="298"/>
      <c r="R49" s="398"/>
      <c r="S49" s="398"/>
      <c r="U49" s="398"/>
      <c r="V49" s="25"/>
      <c r="W49" s="25"/>
      <c r="X49" s="25"/>
      <c r="Y49" s="25"/>
      <c r="Z49" s="25"/>
      <c r="AA49" s="25"/>
      <c r="AB49" s="399"/>
      <c r="AC49" s="25"/>
      <c r="AD49" s="25"/>
      <c r="AE49" s="25"/>
    </row>
    <row r="50" spans="1:31" ht="18.75">
      <c r="A50" s="25"/>
      <c r="B50" s="298"/>
      <c r="C50" s="298"/>
      <c r="D50" s="298"/>
      <c r="E50" s="298"/>
      <c r="F50" s="298"/>
      <c r="G50" s="298"/>
      <c r="H50" s="298"/>
      <c r="I50" s="298"/>
      <c r="J50" s="298"/>
      <c r="K50" s="298"/>
      <c r="L50" s="298"/>
      <c r="M50" s="298"/>
      <c r="N50" s="298"/>
      <c r="O50" s="298"/>
      <c r="P50" s="298"/>
      <c r="Q50" s="298"/>
      <c r="R50" s="398"/>
      <c r="T50" s="4222" t="s">
        <v>343</v>
      </c>
      <c r="U50" s="4223"/>
      <c r="V50" s="4223"/>
      <c r="W50" s="4223"/>
      <c r="X50" s="4223"/>
      <c r="Y50" s="4223"/>
      <c r="Z50" s="4389"/>
      <c r="AA50" s="4150"/>
      <c r="AB50" s="25"/>
      <c r="AC50" s="25"/>
      <c r="AD50" s="400"/>
    </row>
    <row r="51" spans="1:31" ht="16.5" customHeight="1" thickBot="1">
      <c r="A51" s="25"/>
      <c r="B51" s="298"/>
      <c r="C51" s="298"/>
      <c r="D51" s="298"/>
      <c r="E51" s="298"/>
      <c r="F51" s="298"/>
      <c r="G51" s="298"/>
      <c r="H51" s="298"/>
      <c r="I51" s="298"/>
      <c r="J51" s="298"/>
      <c r="K51" s="298"/>
      <c r="L51" s="298"/>
      <c r="M51" s="298"/>
      <c r="N51" s="298"/>
      <c r="O51" s="298"/>
      <c r="P51" s="298"/>
      <c r="Q51" s="298"/>
      <c r="R51" s="14"/>
      <c r="S51" s="131"/>
      <c r="T51" s="131"/>
      <c r="U51" s="131"/>
      <c r="V51" s="131"/>
      <c r="W51" s="131"/>
      <c r="X51" s="131"/>
      <c r="Y51" s="131"/>
      <c r="Z51" s="225"/>
      <c r="AA51" s="225"/>
      <c r="AB51" s="25"/>
      <c r="AC51" s="25"/>
      <c r="AD51" s="25"/>
    </row>
    <row r="52" spans="1:31" ht="16.5" customHeight="1" thickTop="1">
      <c r="A52" s="25"/>
      <c r="B52" s="298"/>
      <c r="C52" s="298"/>
      <c r="D52" s="298"/>
      <c r="E52" s="298"/>
      <c r="F52" s="298"/>
      <c r="G52" s="298"/>
      <c r="H52" s="298"/>
      <c r="I52" s="298"/>
      <c r="J52" s="298"/>
      <c r="K52" s="298"/>
      <c r="L52" s="298"/>
      <c r="M52" s="298"/>
      <c r="N52" s="298"/>
      <c r="T52" s="2238" t="s">
        <v>4</v>
      </c>
      <c r="U52" s="2239" t="s">
        <v>344</v>
      </c>
      <c r="V52" s="2240" t="s">
        <v>6</v>
      </c>
      <c r="W52" s="2241" t="s">
        <v>345</v>
      </c>
      <c r="X52" s="2241" t="s">
        <v>8</v>
      </c>
      <c r="Y52" s="2242" t="s">
        <v>346</v>
      </c>
      <c r="Z52" s="227"/>
      <c r="AA52" s="227"/>
      <c r="AB52" s="25"/>
      <c r="AC52" s="25"/>
      <c r="AD52" s="25"/>
    </row>
    <row r="53" spans="1:31" ht="16.5">
      <c r="A53" s="25"/>
      <c r="B53" s="298"/>
      <c r="C53" s="298"/>
      <c r="D53" s="298"/>
      <c r="E53" s="298"/>
      <c r="F53" s="298"/>
      <c r="G53" s="298"/>
      <c r="H53" s="298"/>
      <c r="I53" s="298"/>
      <c r="J53" s="298"/>
      <c r="K53" s="298"/>
      <c r="L53" s="298"/>
      <c r="M53" s="298"/>
      <c r="N53" s="298"/>
      <c r="T53" s="2252" t="s">
        <v>39</v>
      </c>
      <c r="U53" s="2253" t="s">
        <v>31</v>
      </c>
      <c r="V53" s="139">
        <v>530207</v>
      </c>
      <c r="W53" s="137" t="s">
        <v>13</v>
      </c>
      <c r="X53" s="1568" t="s">
        <v>18</v>
      </c>
      <c r="Y53" s="299">
        <f>SUM($Z$33:$Z$35)</f>
        <v>2710.4</v>
      </c>
      <c r="Z53" s="228"/>
      <c r="AA53" s="229"/>
      <c r="AB53" s="25"/>
      <c r="AC53" s="25"/>
      <c r="AD53" s="25"/>
    </row>
    <row r="54" spans="1:31" ht="33">
      <c r="A54" s="25"/>
      <c r="B54" s="298"/>
      <c r="C54" s="298"/>
      <c r="D54" s="298"/>
      <c r="E54" s="298"/>
      <c r="F54" s="298"/>
      <c r="G54" s="298"/>
      <c r="H54" s="298"/>
      <c r="I54" s="298"/>
      <c r="J54" s="298"/>
      <c r="K54" s="298"/>
      <c r="L54" s="298"/>
      <c r="M54" s="298"/>
      <c r="N54" s="298"/>
      <c r="T54" s="2252" t="s">
        <v>39</v>
      </c>
      <c r="U54" s="2264" t="s">
        <v>44</v>
      </c>
      <c r="V54" s="139">
        <v>530807</v>
      </c>
      <c r="W54" s="137" t="s">
        <v>77</v>
      </c>
      <c r="X54" s="1568" t="s">
        <v>18</v>
      </c>
      <c r="Y54" s="299">
        <f>SUM($Z$28:$Z$30)</f>
        <v>1509.8720000000001</v>
      </c>
      <c r="Z54" s="228"/>
      <c r="AA54" s="229"/>
      <c r="AB54" s="25"/>
      <c r="AC54" s="25"/>
      <c r="AD54" s="25"/>
    </row>
    <row r="55" spans="1:31" ht="16.5" customHeight="1">
      <c r="A55" s="25"/>
      <c r="B55" s="298"/>
      <c r="C55" s="298"/>
      <c r="D55" s="298"/>
      <c r="E55" s="298"/>
      <c r="F55" s="298"/>
      <c r="G55" s="298"/>
      <c r="H55" s="298"/>
      <c r="I55" s="298"/>
      <c r="J55" s="298"/>
      <c r="K55" s="298"/>
      <c r="L55" s="298"/>
      <c r="M55" s="298"/>
      <c r="N55" s="298"/>
      <c r="T55" s="2252" t="s">
        <v>39</v>
      </c>
      <c r="U55" s="2253" t="s">
        <v>22</v>
      </c>
      <c r="V55" s="139">
        <v>840103</v>
      </c>
      <c r="W55" s="137" t="s">
        <v>875</v>
      </c>
      <c r="X55" s="1570" t="s">
        <v>14</v>
      </c>
      <c r="Y55" s="299">
        <f>SUM($Z$10:$Z$12)</f>
        <v>1145.2447999999999</v>
      </c>
      <c r="Z55" s="228"/>
      <c r="AA55" s="229"/>
      <c r="AB55" s="25"/>
      <c r="AC55" s="25"/>
      <c r="AD55" s="25"/>
    </row>
    <row r="56" spans="1:31" ht="16.5" customHeight="1">
      <c r="A56" s="25"/>
      <c r="B56" s="298"/>
      <c r="C56" s="298"/>
      <c r="D56" s="298"/>
      <c r="E56" s="298"/>
      <c r="F56" s="298"/>
      <c r="G56" s="298"/>
      <c r="H56" s="298"/>
      <c r="I56" s="298"/>
      <c r="J56" s="298"/>
      <c r="K56" s="298"/>
      <c r="L56" s="298"/>
      <c r="M56" s="298"/>
      <c r="N56" s="298"/>
      <c r="T56" s="2252" t="s">
        <v>39</v>
      </c>
      <c r="U56" s="2253" t="s">
        <v>22</v>
      </c>
      <c r="V56" s="139">
        <v>840103</v>
      </c>
      <c r="W56" s="137" t="s">
        <v>876</v>
      </c>
      <c r="X56" s="1570" t="s">
        <v>14</v>
      </c>
      <c r="Y56" s="299">
        <f>SUM($Z$23:$Z$25)</f>
        <v>1304.576</v>
      </c>
      <c r="Z56" s="228"/>
      <c r="AA56" s="229"/>
      <c r="AB56" s="25"/>
      <c r="AC56" s="25"/>
      <c r="AD56" s="25"/>
    </row>
    <row r="57" spans="1:31" ht="15" customHeight="1">
      <c r="A57" s="25"/>
      <c r="B57" s="298"/>
      <c r="C57" s="298"/>
      <c r="D57" s="298"/>
      <c r="E57" s="298"/>
      <c r="F57" s="298"/>
      <c r="G57" s="298"/>
      <c r="H57" s="298"/>
      <c r="I57" s="298"/>
      <c r="J57" s="298"/>
      <c r="K57" s="298"/>
      <c r="L57" s="298"/>
      <c r="M57" s="298"/>
      <c r="N57" s="298"/>
      <c r="T57" s="2252" t="s">
        <v>39</v>
      </c>
      <c r="U57" s="2253" t="s">
        <v>22</v>
      </c>
      <c r="V57" s="139">
        <v>840103</v>
      </c>
      <c r="W57" s="137" t="s">
        <v>877</v>
      </c>
      <c r="X57" s="1570" t="s">
        <v>14</v>
      </c>
      <c r="Y57" s="299">
        <f>SUM($Z$44:$Z$46)</f>
        <v>443.34390719999999</v>
      </c>
      <c r="Z57" s="228"/>
      <c r="AA57" s="229"/>
      <c r="AB57" s="25"/>
      <c r="AC57" s="25"/>
      <c r="AD57" s="25"/>
    </row>
    <row r="58" spans="1:31" ht="16.5" customHeight="1">
      <c r="A58" s="25"/>
      <c r="B58" s="298"/>
      <c r="C58" s="298"/>
      <c r="D58" s="298"/>
      <c r="E58" s="298"/>
      <c r="F58" s="298"/>
      <c r="G58" s="298"/>
      <c r="H58" s="298"/>
      <c r="I58" s="298"/>
      <c r="J58" s="298"/>
      <c r="K58" s="298"/>
      <c r="L58" s="298"/>
      <c r="M58" s="298"/>
      <c r="N58" s="298"/>
      <c r="T58" s="2252" t="s">
        <v>39</v>
      </c>
      <c r="U58" s="2253" t="s">
        <v>20</v>
      </c>
      <c r="V58" s="139">
        <v>840107</v>
      </c>
      <c r="W58" s="137" t="s">
        <v>878</v>
      </c>
      <c r="X58" s="1570" t="s">
        <v>14</v>
      </c>
      <c r="Y58" s="299">
        <f>SUM($Z$15:$Z$20)</f>
        <v>1487.3040000000001</v>
      </c>
      <c r="Z58" s="228"/>
      <c r="AA58" s="229"/>
      <c r="AB58" s="25"/>
      <c r="AC58" s="25"/>
      <c r="AD58" s="25"/>
    </row>
    <row r="59" spans="1:31" ht="16.5" customHeight="1">
      <c r="A59" s="25"/>
      <c r="B59" s="298"/>
      <c r="C59" s="298"/>
      <c r="D59" s="298"/>
      <c r="E59" s="298"/>
      <c r="F59" s="298"/>
      <c r="G59" s="298"/>
      <c r="H59" s="298"/>
      <c r="I59" s="298"/>
      <c r="J59" s="298"/>
      <c r="K59" s="298"/>
      <c r="L59" s="298"/>
      <c r="M59" s="298"/>
      <c r="N59" s="298"/>
      <c r="O59" s="298"/>
      <c r="P59" s="298"/>
      <c r="Q59" s="298"/>
      <c r="R59" s="398"/>
      <c r="T59" s="2252" t="s">
        <v>39</v>
      </c>
      <c r="U59" s="2253" t="s">
        <v>20</v>
      </c>
      <c r="V59" s="139">
        <v>840107</v>
      </c>
      <c r="W59" s="137" t="s">
        <v>879</v>
      </c>
      <c r="X59" s="1570" t="s">
        <v>14</v>
      </c>
      <c r="Y59" s="299">
        <f>SUM($Z$39:$Z$41)</f>
        <v>380.464</v>
      </c>
      <c r="Z59" s="228"/>
      <c r="AA59" s="229"/>
      <c r="AB59" s="25"/>
      <c r="AC59" s="25"/>
      <c r="AD59" s="25"/>
    </row>
    <row r="60" spans="1:31" ht="16.5" customHeight="1" thickBot="1">
      <c r="A60" s="25"/>
      <c r="B60" s="298"/>
      <c r="C60" s="298"/>
      <c r="D60" s="298"/>
      <c r="E60" s="298"/>
      <c r="F60" s="298"/>
      <c r="G60" s="298"/>
      <c r="H60" s="298"/>
      <c r="I60" s="298"/>
      <c r="J60" s="298"/>
      <c r="K60" s="298"/>
      <c r="L60" s="298"/>
      <c r="M60" s="298"/>
      <c r="N60" s="298"/>
      <c r="O60" s="298"/>
      <c r="P60" s="298"/>
      <c r="Q60" s="298"/>
      <c r="R60" s="398"/>
      <c r="T60" s="2257"/>
      <c r="U60" s="2245" t="s">
        <v>183</v>
      </c>
      <c r="V60" s="2258"/>
      <c r="W60" s="2258"/>
      <c r="X60" s="2246" t="s">
        <v>340</v>
      </c>
      <c r="Y60" s="140">
        <f>SUM(Y53:Y59)</f>
        <v>8981.2047071999987</v>
      </c>
      <c r="Z60" s="298"/>
      <c r="AA60" s="298"/>
      <c r="AB60" s="25"/>
      <c r="AC60" s="25"/>
      <c r="AD60" s="25"/>
    </row>
    <row r="61" spans="1:31" ht="16.5" customHeight="1" thickTop="1">
      <c r="A61" s="25"/>
      <c r="B61" s="298"/>
      <c r="C61" s="298"/>
      <c r="D61" s="298"/>
      <c r="E61" s="298"/>
      <c r="F61" s="298"/>
      <c r="G61" s="298"/>
      <c r="H61" s="298"/>
      <c r="I61" s="298"/>
      <c r="J61" s="298"/>
      <c r="K61" s="298"/>
      <c r="L61" s="298"/>
      <c r="M61" s="298"/>
      <c r="N61" s="298"/>
      <c r="O61" s="298"/>
      <c r="P61" s="298"/>
      <c r="Q61" s="298"/>
      <c r="R61" s="398"/>
      <c r="S61" s="131"/>
      <c r="T61" s="131"/>
      <c r="U61" s="142" t="s">
        <v>347</v>
      </c>
      <c r="V61" s="143"/>
      <c r="W61" s="131"/>
      <c r="X61" s="131"/>
      <c r="Y61" s="131"/>
      <c r="Z61" s="298"/>
      <c r="AA61" s="307"/>
      <c r="AB61" s="25"/>
      <c r="AC61" s="25"/>
      <c r="AD61" s="25"/>
    </row>
    <row r="62" spans="1:31" ht="16.5" customHeight="1" thickBot="1">
      <c r="A62" s="25"/>
      <c r="B62" s="298"/>
      <c r="C62" s="298"/>
      <c r="D62" s="298"/>
      <c r="E62" s="298"/>
      <c r="F62" s="298"/>
      <c r="G62" s="298"/>
      <c r="H62" s="298"/>
      <c r="I62" s="298"/>
      <c r="J62" s="298"/>
      <c r="K62" s="298"/>
      <c r="L62" s="298"/>
      <c r="M62" s="298"/>
      <c r="N62" s="298"/>
      <c r="O62" s="298"/>
      <c r="P62" s="298"/>
      <c r="Q62" s="298"/>
      <c r="R62" s="398"/>
      <c r="S62" s="398"/>
      <c r="T62" s="131"/>
      <c r="U62" s="131"/>
      <c r="V62" s="131"/>
      <c r="W62" s="131"/>
      <c r="X62" s="131"/>
      <c r="Y62" s="131"/>
      <c r="Z62" s="131"/>
      <c r="AA62" s="298"/>
      <c r="AC62" s="25"/>
      <c r="AD62" s="25"/>
    </row>
    <row r="63" spans="1:31" ht="16.5" customHeight="1" thickTop="1">
      <c r="A63" s="25"/>
      <c r="B63" s="298"/>
      <c r="C63" s="298"/>
      <c r="D63" s="298"/>
      <c r="E63" s="298"/>
      <c r="F63" s="298"/>
      <c r="G63" s="298"/>
      <c r="H63" s="298"/>
      <c r="I63" s="298"/>
      <c r="J63" s="298"/>
      <c r="K63" s="298"/>
      <c r="L63" s="298"/>
      <c r="M63" s="298"/>
      <c r="N63" s="298"/>
      <c r="O63" s="298"/>
      <c r="P63" s="298"/>
      <c r="Q63" s="298"/>
      <c r="R63" s="398"/>
      <c r="S63" s="398"/>
      <c r="T63" s="4303" t="s">
        <v>348</v>
      </c>
      <c r="U63" s="4304"/>
      <c r="V63" s="4305"/>
      <c r="W63" s="131"/>
      <c r="X63" s="144" t="s">
        <v>349</v>
      </c>
      <c r="Y63" s="145" t="str">
        <f>IF(Y60=AA47,"OK","NO")</f>
        <v>OK</v>
      </c>
      <c r="Z63" s="131"/>
      <c r="AA63" s="309"/>
      <c r="AC63" s="25"/>
      <c r="AD63" s="25"/>
    </row>
    <row r="64" spans="1:31" ht="16.5" customHeight="1">
      <c r="A64" s="25"/>
      <c r="B64" s="298"/>
      <c r="C64" s="298"/>
      <c r="D64" s="298"/>
      <c r="E64" s="298"/>
      <c r="F64" s="298"/>
      <c r="G64" s="298"/>
      <c r="H64" s="298"/>
      <c r="I64" s="298"/>
      <c r="J64" s="298"/>
      <c r="K64" s="298"/>
      <c r="L64" s="298"/>
      <c r="M64" s="298"/>
      <c r="N64" s="298"/>
      <c r="O64" s="298"/>
      <c r="P64" s="298"/>
      <c r="Q64" s="298"/>
      <c r="R64" s="398"/>
      <c r="S64" s="398"/>
      <c r="T64" s="4761" t="s">
        <v>3666</v>
      </c>
      <c r="U64" s="4757"/>
      <c r="V64" s="2261">
        <f>SUM(Y53,Y54)</f>
        <v>4220.2719999999999</v>
      </c>
      <c r="W64" s="143"/>
      <c r="X64" s="131"/>
      <c r="Y64" s="145" t="str">
        <f>IF(V68=AA47,"OK","NO")</f>
        <v>OK</v>
      </c>
      <c r="Z64" s="131"/>
      <c r="AA64" s="309"/>
      <c r="AC64" s="25"/>
      <c r="AD64" s="25"/>
    </row>
    <row r="65" spans="1:30" ht="16.5" customHeight="1">
      <c r="A65" s="25"/>
      <c r="B65" s="298"/>
      <c r="C65" s="298"/>
      <c r="D65" s="298"/>
      <c r="E65" s="298"/>
      <c r="F65" s="298"/>
      <c r="G65" s="298"/>
      <c r="H65" s="298"/>
      <c r="I65" s="298"/>
      <c r="J65" s="298"/>
      <c r="K65" s="298"/>
      <c r="L65" s="298"/>
      <c r="M65" s="298"/>
      <c r="N65" s="298"/>
      <c r="O65" s="298"/>
      <c r="P65" s="298"/>
      <c r="Q65" s="298"/>
      <c r="R65" s="398"/>
      <c r="S65" s="398"/>
      <c r="T65" s="4749" t="s">
        <v>3667</v>
      </c>
      <c r="U65" s="4750"/>
      <c r="V65" s="2262">
        <v>0</v>
      </c>
      <c r="W65" s="143"/>
      <c r="X65" s="131"/>
      <c r="Y65" s="145" t="str">
        <f>IF(V78=AA47,"OK","NO")</f>
        <v>OK</v>
      </c>
      <c r="Z65" s="131"/>
      <c r="AA65" s="309"/>
      <c r="AC65" s="25"/>
      <c r="AD65" s="25"/>
    </row>
    <row r="66" spans="1:30" ht="16.5" customHeight="1">
      <c r="A66" s="25"/>
      <c r="B66" s="298"/>
      <c r="C66" s="298"/>
      <c r="D66" s="298"/>
      <c r="E66" s="298"/>
      <c r="F66" s="298"/>
      <c r="G66" s="298"/>
      <c r="H66" s="298"/>
      <c r="I66" s="298"/>
      <c r="J66" s="298"/>
      <c r="K66" s="298"/>
      <c r="L66" s="298"/>
      <c r="M66" s="298"/>
      <c r="N66" s="298"/>
      <c r="O66" s="298"/>
      <c r="P66" s="298"/>
      <c r="Q66" s="298"/>
      <c r="R66" s="398"/>
      <c r="S66" s="398"/>
      <c r="T66" s="4749" t="s">
        <v>3669</v>
      </c>
      <c r="U66" s="4750"/>
      <c r="V66" s="2262">
        <f>SUM(Y55:Y59)</f>
        <v>4760.9327071999996</v>
      </c>
      <c r="W66" s="143"/>
      <c r="X66" s="143"/>
      <c r="Y66" s="145" t="str">
        <f>IF(Resumen!C354=AA47,"OK","NO")</f>
        <v>OK</v>
      </c>
      <c r="Z66" s="131"/>
      <c r="AA66" s="309"/>
      <c r="AC66" s="25"/>
      <c r="AD66" s="25"/>
    </row>
    <row r="67" spans="1:30" ht="16.5" customHeight="1">
      <c r="A67" s="25"/>
      <c r="B67" s="298"/>
      <c r="C67" s="298"/>
      <c r="D67" s="298"/>
      <c r="E67" s="298"/>
      <c r="F67" s="298"/>
      <c r="G67" s="298"/>
      <c r="H67" s="298"/>
      <c r="I67" s="298"/>
      <c r="J67" s="298"/>
      <c r="K67" s="298"/>
      <c r="L67" s="298"/>
      <c r="M67" s="298"/>
      <c r="N67" s="298"/>
      <c r="O67" s="298"/>
      <c r="P67" s="298"/>
      <c r="Q67" s="298"/>
      <c r="R67" s="398"/>
      <c r="S67" s="398"/>
      <c r="T67" s="4749" t="s">
        <v>3668</v>
      </c>
      <c r="U67" s="4750"/>
      <c r="V67" s="2263">
        <v>0</v>
      </c>
      <c r="W67" s="143"/>
      <c r="X67" s="143"/>
      <c r="Y67" s="131"/>
      <c r="Z67" s="131"/>
      <c r="AA67" s="309"/>
      <c r="AC67" s="25"/>
      <c r="AD67" s="25"/>
    </row>
    <row r="68" spans="1:30" ht="16.5" customHeight="1">
      <c r="A68" s="25"/>
      <c r="B68" s="298"/>
      <c r="C68" s="298"/>
      <c r="D68" s="298"/>
      <c r="E68" s="298"/>
      <c r="F68" s="298"/>
      <c r="G68" s="298"/>
      <c r="H68" s="298"/>
      <c r="I68" s="298"/>
      <c r="J68" s="298"/>
      <c r="K68" s="298"/>
      <c r="L68" s="298"/>
      <c r="M68" s="298"/>
      <c r="N68" s="298"/>
      <c r="O68" s="298"/>
      <c r="P68" s="298"/>
      <c r="Q68" s="298"/>
      <c r="R68" s="398"/>
      <c r="S68" s="398"/>
      <c r="T68" s="4754" t="s">
        <v>183</v>
      </c>
      <c r="U68" s="4755"/>
      <c r="V68" s="1571">
        <f>SUM(V64:V67)</f>
        <v>8981.2047071999987</v>
      </c>
      <c r="W68" s="143"/>
      <c r="X68" s="143"/>
      <c r="Y68" s="131"/>
      <c r="Z68" s="131"/>
      <c r="AA68" s="309"/>
      <c r="AC68" s="25"/>
      <c r="AD68" s="25"/>
    </row>
    <row r="69" spans="1:30" ht="16.5" customHeight="1">
      <c r="A69" s="25"/>
      <c r="B69" s="298"/>
      <c r="C69" s="298"/>
      <c r="D69" s="298"/>
      <c r="E69" s="298"/>
      <c r="F69" s="298"/>
      <c r="G69" s="298"/>
      <c r="H69" s="298"/>
      <c r="I69" s="298"/>
      <c r="J69" s="298"/>
      <c r="K69" s="298"/>
      <c r="L69" s="298"/>
      <c r="M69" s="298"/>
      <c r="N69" s="298"/>
      <c r="O69" s="298"/>
      <c r="P69" s="298"/>
      <c r="Q69" s="298"/>
      <c r="R69" s="398"/>
      <c r="S69" s="398"/>
      <c r="T69" s="4555" t="s">
        <v>350</v>
      </c>
      <c r="U69" s="4556"/>
      <c r="V69" s="4557"/>
      <c r="W69" s="147"/>
      <c r="X69" s="147"/>
      <c r="Y69" s="131"/>
      <c r="Z69" s="131"/>
      <c r="AA69" s="309"/>
      <c r="AC69" s="25"/>
      <c r="AD69" s="25"/>
    </row>
    <row r="70" spans="1:30" ht="16.5" customHeight="1">
      <c r="A70" s="25"/>
      <c r="B70" s="298"/>
      <c r="C70" s="298"/>
      <c r="D70" s="298"/>
      <c r="E70" s="298"/>
      <c r="F70" s="298"/>
      <c r="G70" s="298"/>
      <c r="H70" s="298"/>
      <c r="I70" s="298"/>
      <c r="J70" s="298"/>
      <c r="K70" s="298"/>
      <c r="L70" s="298"/>
      <c r="M70" s="298"/>
      <c r="N70" s="298"/>
      <c r="O70" s="298"/>
      <c r="P70" s="298"/>
      <c r="Q70" s="298"/>
      <c r="R70" s="398"/>
      <c r="S70" s="398"/>
      <c r="T70" s="4756" t="s">
        <v>3670</v>
      </c>
      <c r="U70" s="4757"/>
      <c r="V70" s="2261">
        <v>0</v>
      </c>
      <c r="W70" s="147"/>
      <c r="X70" s="147"/>
      <c r="Y70" s="131"/>
      <c r="Z70" s="131"/>
      <c r="AA70" s="309"/>
      <c r="AC70" s="25"/>
      <c r="AD70" s="25"/>
    </row>
    <row r="71" spans="1:30" ht="16.5" customHeight="1">
      <c r="A71" s="25"/>
      <c r="B71" s="298"/>
      <c r="C71" s="298"/>
      <c r="D71" s="298"/>
      <c r="E71" s="298"/>
      <c r="F71" s="298"/>
      <c r="G71" s="298"/>
      <c r="H71" s="298"/>
      <c r="I71" s="298"/>
      <c r="J71" s="298"/>
      <c r="K71" s="298"/>
      <c r="L71" s="298"/>
      <c r="M71" s="298"/>
      <c r="N71" s="298"/>
      <c r="O71" s="298"/>
      <c r="P71" s="298"/>
      <c r="Q71" s="298"/>
      <c r="R71" s="398"/>
      <c r="S71" s="398"/>
      <c r="T71" s="4751" t="s">
        <v>3671</v>
      </c>
      <c r="U71" s="4750"/>
      <c r="V71" s="2262">
        <f>SUM(Y53:Y54)</f>
        <v>4220.2719999999999</v>
      </c>
      <c r="W71" s="147"/>
      <c r="X71" s="147"/>
      <c r="Y71" s="131"/>
      <c r="Z71" s="131"/>
      <c r="AA71" s="309"/>
      <c r="AC71" s="25"/>
      <c r="AD71" s="25"/>
    </row>
    <row r="72" spans="1:30" ht="16.5" customHeight="1">
      <c r="A72" s="25"/>
      <c r="B72" s="298"/>
      <c r="C72" s="298"/>
      <c r="D72" s="298"/>
      <c r="E72" s="298"/>
      <c r="F72" s="298"/>
      <c r="G72" s="298"/>
      <c r="H72" s="298"/>
      <c r="I72" s="298"/>
      <c r="J72" s="298"/>
      <c r="K72" s="298"/>
      <c r="L72" s="298"/>
      <c r="M72" s="298"/>
      <c r="N72" s="298"/>
      <c r="O72" s="298"/>
      <c r="P72" s="298"/>
      <c r="Q72" s="298"/>
      <c r="R72" s="398"/>
      <c r="S72" s="398"/>
      <c r="T72" s="4751" t="s">
        <v>3672</v>
      </c>
      <c r="U72" s="4750"/>
      <c r="V72" s="2262">
        <v>0</v>
      </c>
      <c r="W72" s="150"/>
      <c r="X72" s="150"/>
      <c r="Y72" s="131"/>
      <c r="Z72" s="131"/>
      <c r="AA72" s="309"/>
      <c r="AC72" s="25"/>
      <c r="AD72" s="25"/>
    </row>
    <row r="73" spans="1:30" ht="16.5" customHeight="1">
      <c r="A73" s="25"/>
      <c r="B73" s="298"/>
      <c r="C73" s="298"/>
      <c r="D73" s="298"/>
      <c r="E73" s="298"/>
      <c r="F73" s="298"/>
      <c r="G73" s="298"/>
      <c r="H73" s="298"/>
      <c r="I73" s="298"/>
      <c r="J73" s="298"/>
      <c r="K73" s="298"/>
      <c r="L73" s="298"/>
      <c r="M73" s="298"/>
      <c r="N73" s="298"/>
      <c r="O73" s="298"/>
      <c r="P73" s="298"/>
      <c r="Q73" s="298"/>
      <c r="R73" s="398"/>
      <c r="S73" s="398"/>
      <c r="T73" s="4751" t="s">
        <v>3673</v>
      </c>
      <c r="U73" s="4750"/>
      <c r="V73" s="2262">
        <v>0</v>
      </c>
      <c r="W73" s="143"/>
      <c r="X73" s="143"/>
      <c r="Y73" s="269"/>
      <c r="Z73" s="269"/>
      <c r="AA73" s="311"/>
      <c r="AB73" s="317"/>
      <c r="AC73" s="401"/>
      <c r="AD73" s="401"/>
    </row>
    <row r="74" spans="1:30" ht="16.5" customHeight="1">
      <c r="A74" s="25"/>
      <c r="B74" s="298"/>
      <c r="C74" s="298"/>
      <c r="D74" s="298"/>
      <c r="E74" s="298"/>
      <c r="F74" s="298"/>
      <c r="G74" s="298"/>
      <c r="H74" s="298"/>
      <c r="I74" s="298"/>
      <c r="J74" s="298"/>
      <c r="K74" s="298"/>
      <c r="L74" s="298"/>
      <c r="M74" s="298"/>
      <c r="N74" s="298"/>
      <c r="O74" s="298"/>
      <c r="P74" s="298"/>
      <c r="Q74" s="298"/>
      <c r="R74" s="398"/>
      <c r="S74" s="398"/>
      <c r="T74" s="4751" t="s">
        <v>3674</v>
      </c>
      <c r="U74" s="4750"/>
      <c r="V74" s="2262">
        <v>0</v>
      </c>
      <c r="W74" s="151"/>
      <c r="X74" s="151"/>
      <c r="Y74" s="4480"/>
      <c r="Z74" s="4150"/>
      <c r="AA74" s="4150"/>
      <c r="AB74" s="317"/>
      <c r="AC74" s="401"/>
      <c r="AD74" s="401"/>
    </row>
    <row r="75" spans="1:30" ht="16.5" customHeight="1">
      <c r="A75" s="25"/>
      <c r="B75" s="298"/>
      <c r="C75" s="298"/>
      <c r="D75" s="298"/>
      <c r="E75" s="298"/>
      <c r="F75" s="298"/>
      <c r="G75" s="298"/>
      <c r="H75" s="298"/>
      <c r="I75" s="298"/>
      <c r="J75" s="298"/>
      <c r="K75" s="298"/>
      <c r="L75" s="298"/>
      <c r="M75" s="298"/>
      <c r="N75" s="298"/>
      <c r="O75" s="298"/>
      <c r="P75" s="298"/>
      <c r="Q75" s="298"/>
      <c r="R75" s="398"/>
      <c r="S75" s="398"/>
      <c r="T75" s="4751" t="s">
        <v>3675</v>
      </c>
      <c r="U75" s="4750"/>
      <c r="V75" s="2262">
        <v>0</v>
      </c>
      <c r="W75" s="151"/>
      <c r="X75" s="151"/>
      <c r="Y75" s="271"/>
      <c r="Z75" s="272"/>
      <c r="AA75" s="271"/>
      <c r="AB75" s="317"/>
      <c r="AC75" s="401"/>
      <c r="AD75" s="401"/>
    </row>
    <row r="76" spans="1:30" ht="16.5" customHeight="1">
      <c r="A76" s="25"/>
      <c r="B76" s="298"/>
      <c r="C76" s="298"/>
      <c r="D76" s="298"/>
      <c r="E76" s="298"/>
      <c r="F76" s="298"/>
      <c r="G76" s="298"/>
      <c r="H76" s="298"/>
      <c r="I76" s="298"/>
      <c r="J76" s="298"/>
      <c r="K76" s="298"/>
      <c r="L76" s="298"/>
      <c r="M76" s="298"/>
      <c r="N76" s="298"/>
      <c r="O76" s="298"/>
      <c r="P76" s="298"/>
      <c r="Q76" s="298"/>
      <c r="R76" s="398"/>
      <c r="S76" s="398"/>
      <c r="T76" s="4751" t="s">
        <v>3676</v>
      </c>
      <c r="U76" s="4750"/>
      <c r="V76" s="2262">
        <f>SUM(Y55:Y59)</f>
        <v>4760.9327071999996</v>
      </c>
      <c r="W76" s="151"/>
      <c r="X76" s="151"/>
      <c r="Y76" s="345"/>
      <c r="Z76" s="274"/>
      <c r="AA76" s="346"/>
      <c r="AB76" s="317"/>
      <c r="AC76" s="401"/>
      <c r="AD76" s="401"/>
    </row>
    <row r="77" spans="1:30" ht="16.5" customHeight="1">
      <c r="A77" s="25"/>
      <c r="B77" s="298"/>
      <c r="C77" s="298"/>
      <c r="D77" s="298"/>
      <c r="E77" s="298"/>
      <c r="F77" s="298"/>
      <c r="G77" s="298"/>
      <c r="H77" s="298"/>
      <c r="I77" s="298"/>
      <c r="J77" s="298"/>
      <c r="K77" s="298"/>
      <c r="L77" s="298"/>
      <c r="M77" s="298"/>
      <c r="N77" s="298"/>
      <c r="O77" s="298"/>
      <c r="P77" s="298"/>
      <c r="Q77" s="298"/>
      <c r="R77" s="398"/>
      <c r="S77" s="398"/>
      <c r="T77" s="4751" t="s">
        <v>3677</v>
      </c>
      <c r="U77" s="4750"/>
      <c r="V77" s="2263">
        <v>0</v>
      </c>
      <c r="W77" s="152"/>
      <c r="X77" s="152"/>
      <c r="Y77" s="317"/>
      <c r="Z77" s="317"/>
      <c r="AA77" s="311"/>
      <c r="AB77" s="317"/>
      <c r="AC77" s="401"/>
      <c r="AD77" s="401"/>
    </row>
    <row r="78" spans="1:30" ht="16.5" customHeight="1" thickBot="1">
      <c r="A78" s="25"/>
      <c r="B78" s="298"/>
      <c r="C78" s="298"/>
      <c r="D78" s="298"/>
      <c r="E78" s="298"/>
      <c r="F78" s="298"/>
      <c r="G78" s="298"/>
      <c r="H78" s="298"/>
      <c r="I78" s="298"/>
      <c r="J78" s="298"/>
      <c r="K78" s="298"/>
      <c r="L78" s="298"/>
      <c r="M78" s="298"/>
      <c r="N78" s="298"/>
      <c r="O78" s="298"/>
      <c r="P78" s="298"/>
      <c r="Q78" s="298"/>
      <c r="R78" s="398"/>
      <c r="S78" s="398"/>
      <c r="T78" s="4752" t="s">
        <v>183</v>
      </c>
      <c r="U78" s="4753"/>
      <c r="V78" s="1572">
        <f>SUM(V70:V77)</f>
        <v>8981.2047071999987</v>
      </c>
      <c r="W78" s="150"/>
      <c r="X78" s="150"/>
      <c r="Y78" s="269"/>
      <c r="Z78" s="269"/>
      <c r="AA78" s="311"/>
      <c r="AB78" s="317"/>
      <c r="AC78" s="401"/>
      <c r="AD78" s="401"/>
    </row>
    <row r="79" spans="1:30" ht="15.75" customHeight="1" thickTop="1"/>
  </sheetData>
  <mergeCells count="169">
    <mergeCell ref="A1:AE1"/>
    <mergeCell ref="A2:AE2"/>
    <mergeCell ref="A3:AE3"/>
    <mergeCell ref="A4:AE4"/>
    <mergeCell ref="AE9:AE13"/>
    <mergeCell ref="I9:I13"/>
    <mergeCell ref="J9:J13"/>
    <mergeCell ref="K9:K13"/>
    <mergeCell ref="L9:L13"/>
    <mergeCell ref="M9:M13"/>
    <mergeCell ref="N9:N13"/>
    <mergeCell ref="O9:O13"/>
    <mergeCell ref="Q9:Q13"/>
    <mergeCell ref="A9:A47"/>
    <mergeCell ref="B9:B13"/>
    <mergeCell ref="C9:C13"/>
    <mergeCell ref="B14:B21"/>
    <mergeCell ref="C14:C21"/>
    <mergeCell ref="B43:B46"/>
    <mergeCell ref="C43:C46"/>
    <mergeCell ref="D43:D46"/>
    <mergeCell ref="B27:B31"/>
    <mergeCell ref="C27:C31"/>
    <mergeCell ref="B38:B42"/>
    <mergeCell ref="AE32:AE37"/>
    <mergeCell ref="B22:B26"/>
    <mergeCell ref="C22:C26"/>
    <mergeCell ref="D22:D26"/>
    <mergeCell ref="E22:E26"/>
    <mergeCell ref="F22:F26"/>
    <mergeCell ref="G22:G26"/>
    <mergeCell ref="H22:H26"/>
    <mergeCell ref="E27:E31"/>
    <mergeCell ref="F27:F31"/>
    <mergeCell ref="G27:G31"/>
    <mergeCell ref="H27:H31"/>
    <mergeCell ref="P27:P31"/>
    <mergeCell ref="Q27:Q31"/>
    <mergeCell ref="I27:I31"/>
    <mergeCell ref="J27:J31"/>
    <mergeCell ref="K27:K31"/>
    <mergeCell ref="L27:L31"/>
    <mergeCell ref="M27:M31"/>
    <mergeCell ref="N27:N31"/>
    <mergeCell ref="P22:P26"/>
    <mergeCell ref="Q22:Q26"/>
    <mergeCell ref="M22:M26"/>
    <mergeCell ref="N22:N26"/>
    <mergeCell ref="O22:O26"/>
    <mergeCell ref="J22:J26"/>
    <mergeCell ref="K14:K21"/>
    <mergeCell ref="L14:L21"/>
    <mergeCell ref="P9:P13"/>
    <mergeCell ref="AE22:AE26"/>
    <mergeCell ref="AE27:AE31"/>
    <mergeCell ref="AE14:AE21"/>
    <mergeCell ref="J14:J21"/>
    <mergeCell ref="N14:N21"/>
    <mergeCell ref="O14:O21"/>
    <mergeCell ref="P14:P21"/>
    <mergeCell ref="Q14:Q21"/>
    <mergeCell ref="O27:O31"/>
    <mergeCell ref="M14:M21"/>
    <mergeCell ref="D9:D13"/>
    <mergeCell ref="E9:E13"/>
    <mergeCell ref="F9:F13"/>
    <mergeCell ref="G9:G13"/>
    <mergeCell ref="H9:H13"/>
    <mergeCell ref="I22:I26"/>
    <mergeCell ref="D27:D31"/>
    <mergeCell ref="K22:K26"/>
    <mergeCell ref="L22:L26"/>
    <mergeCell ref="D14:D21"/>
    <mergeCell ref="E14:E21"/>
    <mergeCell ref="F14:F21"/>
    <mergeCell ref="G14:G21"/>
    <mergeCell ref="H14:H21"/>
    <mergeCell ref="I14:I21"/>
    <mergeCell ref="AE38:AE42"/>
    <mergeCell ref="AE43:AE46"/>
    <mergeCell ref="R47:Y47"/>
    <mergeCell ref="AB47:AE47"/>
    <mergeCell ref="R48:AE48"/>
    <mergeCell ref="T50:Y50"/>
    <mergeCell ref="Z50:AA50"/>
    <mergeCell ref="T63:V63"/>
    <mergeCell ref="T64:U64"/>
    <mergeCell ref="T65:U65"/>
    <mergeCell ref="T66:U66"/>
    <mergeCell ref="T74:U74"/>
    <mergeCell ref="Y74:AA74"/>
    <mergeCell ref="T75:U75"/>
    <mergeCell ref="T76:U76"/>
    <mergeCell ref="T77:U77"/>
    <mergeCell ref="T78:U78"/>
    <mergeCell ref="T67:U67"/>
    <mergeCell ref="T68:U68"/>
    <mergeCell ref="T69:V69"/>
    <mergeCell ref="T70:U70"/>
    <mergeCell ref="T71:U71"/>
    <mergeCell ref="T72:U72"/>
    <mergeCell ref="T73:U73"/>
    <mergeCell ref="C38:C42"/>
    <mergeCell ref="D38:D42"/>
    <mergeCell ref="E43:E46"/>
    <mergeCell ref="F43:F46"/>
    <mergeCell ref="G43:G46"/>
    <mergeCell ref="H43:H46"/>
    <mergeCell ref="P43:P46"/>
    <mergeCell ref="Q43:Q46"/>
    <mergeCell ref="I43:I46"/>
    <mergeCell ref="J43:J46"/>
    <mergeCell ref="K43:K46"/>
    <mergeCell ref="L43:L46"/>
    <mergeCell ref="M43:M46"/>
    <mergeCell ref="N43:N46"/>
    <mergeCell ref="O43:O46"/>
    <mergeCell ref="E38:E42"/>
    <mergeCell ref="F38:F42"/>
    <mergeCell ref="G38:G42"/>
    <mergeCell ref="H38:H42"/>
    <mergeCell ref="I38:I42"/>
    <mergeCell ref="J38:J42"/>
    <mergeCell ref="K38:K42"/>
    <mergeCell ref="L38:L42"/>
    <mergeCell ref="M38:M42"/>
    <mergeCell ref="B32:B37"/>
    <mergeCell ref="C32:C37"/>
    <mergeCell ref="D32:D37"/>
    <mergeCell ref="E32:E37"/>
    <mergeCell ref="F32:F37"/>
    <mergeCell ref="G32:G37"/>
    <mergeCell ref="H32:H37"/>
    <mergeCell ref="P32:P37"/>
    <mergeCell ref="Q32:Q37"/>
    <mergeCell ref="N38:N42"/>
    <mergeCell ref="O38:O42"/>
    <mergeCell ref="P38:P42"/>
    <mergeCell ref="Q38:Q42"/>
    <mergeCell ref="I32:I37"/>
    <mergeCell ref="J32:J37"/>
    <mergeCell ref="K32:K37"/>
    <mergeCell ref="L32:L37"/>
    <mergeCell ref="M32:M37"/>
    <mergeCell ref="N32:N37"/>
    <mergeCell ref="O32:O37"/>
    <mergeCell ref="A6:A8"/>
    <mergeCell ref="B6:C6"/>
    <mergeCell ref="D6:H6"/>
    <mergeCell ref="I6:Q6"/>
    <mergeCell ref="R6:AE6"/>
    <mergeCell ref="B7:B8"/>
    <mergeCell ref="C7:C8"/>
    <mergeCell ref="D7:D8"/>
    <mergeCell ref="E7:E8"/>
    <mergeCell ref="F7:F8"/>
    <mergeCell ref="G7:G8"/>
    <mergeCell ref="H7:H8"/>
    <mergeCell ref="I7:I8"/>
    <mergeCell ref="J7:J8"/>
    <mergeCell ref="K7:K8"/>
    <mergeCell ref="L7:N7"/>
    <mergeCell ref="O7:O8"/>
    <mergeCell ref="P7:P8"/>
    <mergeCell ref="Q7:Q8"/>
    <mergeCell ref="R7:X7"/>
    <mergeCell ref="Y7:AA7"/>
    <mergeCell ref="AB7:AD7"/>
    <mergeCell ref="AE7:AE8"/>
  </mergeCells>
  <dataValidations count="5">
    <dataValidation type="list" allowBlank="1" showErrorMessage="1" sqref="E14 E22 E27 E32 E38 E43">
      <formula1>INDIRECT($D14)</formula1>
    </dataValidation>
    <dataValidation type="list" allowBlank="1" showInputMessage="1" showErrorMessage="1" prompt="Orientación: - Escoja un Lineamiento Estratégico de la lista despegable." sqref="E9">
      <formula1>INDIRECT($D9)</formula1>
    </dataValidation>
    <dataValidation type="list" allowBlank="1" showInputMessage="1" showErrorMessage="1" prompt="Orientación: - Escoja un Eje Estratégico de la lista despegable." sqref="D9">
      <formula1>INDIRECT($F9)</formula1>
    </dataValidation>
    <dataValidation type="list" allowBlank="1" showErrorMessage="1" sqref="D14 D22 D27 D32 D38 D43">
      <formula1>INDIRECT($F14)</formula1>
    </dataValidation>
    <dataValidation type="decimal" allowBlank="1" showInputMessage="1" showErrorMessage="1" prompt="DPLAN - Sólo debe ingresar valores, NO porcentajes." sqref="L9:N9 L32:N32 L38:N38 L43:N43">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&amp;"Cambria,Cursiva"&amp;12&amp;K0070C0Dirección de Posgrado&amp;C&amp;"Century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prompt="Orientación: - Escoja un OEI de la lista despegable.">
          <x14:formula1>
            <xm:f>PEDI!#REF!</xm:f>
          </x14:formula1>
          <xm:sqref>F9</xm:sqref>
        </x14:dataValidation>
        <x14:dataValidation type="list" allowBlank="1" showInputMessage="1" showErrorMessage="1" prompt="Orientación: - Escoja una Estrategia DAFO de la lista despegable.">
          <x14:formula1>
            <xm:f>INDIRECT('Estrategias DAFO'!#REF!)</xm:f>
          </x14:formula1>
          <xm:sqref>H9</xm:sqref>
        </x14:dataValidation>
        <x14:dataValidation type="list" allowBlank="1" showInputMessage="1" showErrorMessage="1" prompt="Orientación: - Escoja una Política Pública/Meta Nacional de la lista despegable.">
          <x14:formula1>
            <xm:f>PND!#REF!</xm:f>
          </x14:formula1>
          <xm:sqref>C9</xm:sqref>
        </x14:dataValidation>
        <x14:dataValidation type="list" allowBlank="1" showErrorMessage="1">
          <x14:formula1>
            <xm:f>INDIRECT('Estrategias DAFO'!#REF!)</xm:f>
          </x14:formula1>
          <xm:sqref>H14 H22 H27 H32 H38 H43</xm:sqref>
        </x14:dataValidation>
        <x14:dataValidation type="list" allowBlank="1" showInputMessage="1" showErrorMessage="1" prompt="Orientación: - Escoja un Objetivo Nacional de la lista despegable.">
          <x14:formula1>
            <xm:f>PND!#REF!</xm:f>
          </x14:formula1>
          <xm:sqref>B9</xm:sqref>
        </x14:dataValidation>
        <x14:dataValidation type="list" allowBlank="1" showErrorMessage="1">
          <x14:formula1>
            <xm:f>(PEDI!#REF!)</xm:f>
          </x14:formula1>
          <xm:sqref>G14 G22 G27 G32 G38 G43</xm:sqref>
        </x14:dataValidation>
        <x14:dataValidation type="list" allowBlank="1" showErrorMessage="1">
          <x14:formula1>
            <xm:f>PEDI!#REF!</xm:f>
          </x14:formula1>
          <xm:sqref>F14 F27 F32 F38 F43</xm:sqref>
        </x14:dataValidation>
        <x14:dataValidation type="list" allowBlank="1" showErrorMessage="1">
          <x14:formula1>
            <xm:f>PND!#REF!</xm:f>
          </x14:formula1>
          <xm:sqref>B22 B14:C14 B27:C27 B32:C32 B38:C38 B43:C43</xm:sqref>
        </x14:dataValidation>
        <x14:dataValidation type="list" allowBlank="1" showInputMessage="1" showErrorMessage="1" prompt="Orientación: - Escoja un Producto Institucional de la lista despegable.">
          <x14:formula1>
            <xm:f>(PEDI!#REF!)</xm:f>
          </x14:formula1>
          <xm:sqref>G9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288"/>
  <sheetViews>
    <sheetView showGridLines="0" topLeftCell="R262" workbookViewId="0">
      <selection activeCell="AF288" sqref="AF288"/>
    </sheetView>
  </sheetViews>
  <sheetFormatPr baseColWidth="10" defaultColWidth="12.5703125" defaultRowHeight="15.75" customHeight="1"/>
  <cols>
    <col min="1" max="2" width="5" customWidth="1"/>
    <col min="3" max="3" width="23" customWidth="1"/>
    <col min="4" max="12" width="22.42578125" customWidth="1"/>
    <col min="13" max="15" width="8.7109375" customWidth="1"/>
    <col min="16" max="16" width="46.7109375" customWidth="1"/>
    <col min="17" max="17" width="22.42578125" customWidth="1"/>
    <col min="18" max="18" width="27.85546875" customWidth="1"/>
    <col min="19" max="19" width="25.42578125" customWidth="1"/>
    <col min="20" max="20" width="12.5703125" customWidth="1"/>
    <col min="21" max="21" width="26.85546875" customWidth="1"/>
    <col min="22" max="22" width="43.7109375" customWidth="1"/>
    <col min="23" max="23" width="12.7109375" customWidth="1"/>
    <col min="24" max="24" width="13" customWidth="1"/>
    <col min="25" max="27" width="12" customWidth="1"/>
    <col min="28" max="28" width="13.7109375" customWidth="1"/>
    <col min="29" max="31" width="7.7109375" customWidth="1"/>
    <col min="32" max="32" width="21.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291"/>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292"/>
    </row>
    <row r="3" spans="1:32" ht="30.75">
      <c r="A3" s="4254" t="s">
        <v>880</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293"/>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294"/>
    </row>
    <row r="5" spans="1:32" ht="14.25" customHeight="1" thickBot="1">
      <c r="A5" s="1490"/>
      <c r="B5" s="1490"/>
      <c r="C5" s="1490"/>
      <c r="D5" s="1490"/>
      <c r="E5" s="1490"/>
      <c r="F5" s="1490"/>
      <c r="G5" s="1490"/>
      <c r="H5" s="1490"/>
      <c r="I5" s="1490"/>
      <c r="J5" s="4806"/>
      <c r="K5" s="4807"/>
      <c r="L5" s="4807"/>
      <c r="M5" s="4807"/>
      <c r="N5" s="4807"/>
      <c r="O5" s="4807"/>
      <c r="P5" s="4807"/>
      <c r="Q5" s="4807"/>
      <c r="R5" s="4807"/>
      <c r="S5" s="1929"/>
      <c r="T5" s="1929"/>
      <c r="U5" s="1930"/>
      <c r="V5" s="1929"/>
      <c r="W5" s="1931"/>
      <c r="X5" s="1932"/>
      <c r="Y5" s="1929"/>
      <c r="Z5" s="1929"/>
      <c r="AA5" s="1929"/>
      <c r="AB5" s="1929"/>
      <c r="AC5" s="1929"/>
      <c r="AD5" s="1929"/>
      <c r="AE5" s="1929"/>
      <c r="AF5" s="1933"/>
    </row>
    <row r="6" spans="1:32" s="1747" customFormat="1" ht="24.95" customHeight="1" thickTop="1">
      <c r="A6" s="4158" t="s">
        <v>200</v>
      </c>
      <c r="B6" s="4159"/>
      <c r="C6" s="4164" t="s">
        <v>201</v>
      </c>
      <c r="D6" s="4165"/>
      <c r="E6" s="4166" t="s">
        <v>202</v>
      </c>
      <c r="F6" s="4167"/>
      <c r="G6" s="4167"/>
      <c r="H6" s="4167"/>
      <c r="I6" s="4168"/>
      <c r="J6" s="4169" t="s">
        <v>203</v>
      </c>
      <c r="K6" s="4170"/>
      <c r="L6" s="4170"/>
      <c r="M6" s="4170"/>
      <c r="N6" s="4170"/>
      <c r="O6" s="4170"/>
      <c r="P6" s="4170"/>
      <c r="Q6" s="4170"/>
      <c r="R6" s="4171"/>
      <c r="S6" s="4172" t="s">
        <v>204</v>
      </c>
      <c r="T6" s="4173"/>
      <c r="U6" s="4173"/>
      <c r="V6" s="4173"/>
      <c r="W6" s="4173"/>
      <c r="X6" s="4173"/>
      <c r="Y6" s="4173"/>
      <c r="Z6" s="4173"/>
      <c r="AA6" s="4173"/>
      <c r="AB6" s="4173"/>
      <c r="AC6" s="4173"/>
      <c r="AD6" s="4173"/>
      <c r="AE6" s="4173"/>
      <c r="AF6" s="4174"/>
    </row>
    <row r="7" spans="1:32" s="1747" customFormat="1" ht="39.950000000000003" customHeight="1">
      <c r="A7" s="416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196" t="s">
        <v>222</v>
      </c>
    </row>
    <row r="8" spans="1:32" s="1747" customFormat="1" ht="51.95" customHeight="1" thickBot="1">
      <c r="A8" s="4162"/>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197"/>
    </row>
    <row r="9" spans="1:32" ht="22.5" customHeight="1">
      <c r="A9" s="4777" t="s">
        <v>880</v>
      </c>
      <c r="B9" s="4780" t="s">
        <v>880</v>
      </c>
      <c r="C9" s="4819" t="s">
        <v>272</v>
      </c>
      <c r="D9" s="4670" t="s">
        <v>273</v>
      </c>
      <c r="E9" s="4670" t="s">
        <v>274</v>
      </c>
      <c r="F9" s="4670" t="s">
        <v>275</v>
      </c>
      <c r="G9" s="4738" t="s">
        <v>276</v>
      </c>
      <c r="H9" s="4670" t="s">
        <v>314</v>
      </c>
      <c r="I9" s="4670" t="s">
        <v>241</v>
      </c>
      <c r="J9" s="4732" t="s">
        <v>4685</v>
      </c>
      <c r="K9" s="4670" t="s">
        <v>881</v>
      </c>
      <c r="L9" s="4256" t="s">
        <v>4625</v>
      </c>
      <c r="M9" s="4484">
        <v>0</v>
      </c>
      <c r="N9" s="4484">
        <v>1</v>
      </c>
      <c r="O9" s="4484">
        <v>1</v>
      </c>
      <c r="P9" s="4256" t="s">
        <v>4584</v>
      </c>
      <c r="Q9" s="4256" t="s">
        <v>4545</v>
      </c>
      <c r="R9" s="4691" t="s">
        <v>4527</v>
      </c>
      <c r="S9" s="2991"/>
      <c r="T9" s="3003"/>
      <c r="U9" s="3004"/>
      <c r="V9" s="3032"/>
      <c r="W9" s="3048"/>
      <c r="X9" s="155"/>
      <c r="Y9" s="3066"/>
      <c r="Z9" s="3066"/>
      <c r="AA9" s="3066"/>
      <c r="AB9" s="3067"/>
      <c r="AC9" s="155"/>
      <c r="AD9" s="156"/>
      <c r="AE9" s="402"/>
      <c r="AF9" s="4793"/>
    </row>
    <row r="10" spans="1:32" ht="22.5" customHeight="1">
      <c r="A10" s="4778"/>
      <c r="B10" s="4781"/>
      <c r="C10" s="4492"/>
      <c r="D10" s="4215"/>
      <c r="E10" s="4215"/>
      <c r="F10" s="4215"/>
      <c r="G10" s="4215"/>
      <c r="H10" s="4215"/>
      <c r="I10" s="4215"/>
      <c r="J10" s="4215"/>
      <c r="K10" s="4215"/>
      <c r="L10" s="4215"/>
      <c r="M10" s="4226"/>
      <c r="N10" s="4226"/>
      <c r="O10" s="4226"/>
      <c r="P10" s="4215"/>
      <c r="Q10" s="4215"/>
      <c r="R10" s="4233"/>
      <c r="S10" s="2992"/>
      <c r="T10" s="3025"/>
      <c r="U10" s="3005"/>
      <c r="V10" s="1621"/>
      <c r="W10" s="3049"/>
      <c r="X10" s="170"/>
      <c r="Y10" s="1606"/>
      <c r="Z10" s="1606"/>
      <c r="AA10" s="1606"/>
      <c r="AB10" s="1607"/>
      <c r="AC10" s="170"/>
      <c r="AD10" s="282"/>
      <c r="AE10" s="403"/>
      <c r="AF10" s="4794"/>
    </row>
    <row r="11" spans="1:32" ht="22.5" customHeight="1">
      <c r="A11" s="4778"/>
      <c r="B11" s="4781"/>
      <c r="C11" s="4492"/>
      <c r="D11" s="4215"/>
      <c r="E11" s="4215"/>
      <c r="F11" s="4215"/>
      <c r="G11" s="4215"/>
      <c r="H11" s="4215"/>
      <c r="I11" s="4215"/>
      <c r="J11" s="4215"/>
      <c r="K11" s="4215"/>
      <c r="L11" s="4215"/>
      <c r="M11" s="4226"/>
      <c r="N11" s="4226"/>
      <c r="O11" s="4226"/>
      <c r="P11" s="4215"/>
      <c r="Q11" s="4215"/>
      <c r="R11" s="4233"/>
      <c r="S11" s="2993"/>
      <c r="T11" s="1759"/>
      <c r="U11" s="3006"/>
      <c r="V11" s="1622"/>
      <c r="W11" s="3050"/>
      <c r="X11" s="414"/>
      <c r="Y11" s="1608"/>
      <c r="Z11" s="1606"/>
      <c r="AA11" s="1606"/>
      <c r="AB11" s="1607"/>
      <c r="AC11" s="170"/>
      <c r="AD11" s="282"/>
      <c r="AE11" s="403"/>
      <c r="AF11" s="4794"/>
    </row>
    <row r="12" spans="1:32" ht="22.5" customHeight="1">
      <c r="A12" s="4778"/>
      <c r="B12" s="4781"/>
      <c r="C12" s="4492"/>
      <c r="D12" s="4215"/>
      <c r="E12" s="4215"/>
      <c r="F12" s="4215"/>
      <c r="G12" s="4215"/>
      <c r="H12" s="4215"/>
      <c r="I12" s="4215"/>
      <c r="J12" s="4215"/>
      <c r="K12" s="4215"/>
      <c r="L12" s="4215"/>
      <c r="M12" s="4226"/>
      <c r="N12" s="4226"/>
      <c r="O12" s="4226"/>
      <c r="P12" s="4215"/>
      <c r="Q12" s="4215"/>
      <c r="R12" s="4233"/>
      <c r="S12" s="2993"/>
      <c r="T12" s="1759"/>
      <c r="U12" s="3007"/>
      <c r="V12" s="1622"/>
      <c r="W12" s="3050"/>
      <c r="X12" s="414"/>
      <c r="Y12" s="1608"/>
      <c r="Z12" s="1606"/>
      <c r="AA12" s="1606"/>
      <c r="AB12" s="1607"/>
      <c r="AC12" s="170"/>
      <c r="AD12" s="282"/>
      <c r="AE12" s="403"/>
      <c r="AF12" s="4794"/>
    </row>
    <row r="13" spans="1:32" ht="22.5" customHeight="1">
      <c r="A13" s="4778"/>
      <c r="B13" s="4781"/>
      <c r="C13" s="4493"/>
      <c r="D13" s="4216"/>
      <c r="E13" s="4216"/>
      <c r="F13" s="4216"/>
      <c r="G13" s="4216"/>
      <c r="H13" s="4216"/>
      <c r="I13" s="4216"/>
      <c r="J13" s="4216"/>
      <c r="K13" s="4216"/>
      <c r="L13" s="4216"/>
      <c r="M13" s="4226"/>
      <c r="N13" s="4226"/>
      <c r="O13" s="4226"/>
      <c r="P13" s="4216"/>
      <c r="Q13" s="4216"/>
      <c r="R13" s="4258"/>
      <c r="S13" s="2994"/>
      <c r="T13" s="3026"/>
      <c r="U13" s="3008"/>
      <c r="V13" s="3033"/>
      <c r="W13" s="3051"/>
      <c r="X13" s="165"/>
      <c r="Y13" s="1611"/>
      <c r="Z13" s="1611"/>
      <c r="AA13" s="1611"/>
      <c r="AB13" s="1609"/>
      <c r="AC13" s="165"/>
      <c r="AD13" s="166"/>
      <c r="AE13" s="404"/>
      <c r="AF13" s="4795"/>
    </row>
    <row r="14" spans="1:32" ht="24.75" customHeight="1">
      <c r="A14" s="4778"/>
      <c r="B14" s="4781"/>
      <c r="C14" s="4491" t="s">
        <v>272</v>
      </c>
      <c r="D14" s="4328" t="s">
        <v>273</v>
      </c>
      <c r="E14" s="4328" t="s">
        <v>274</v>
      </c>
      <c r="F14" s="4328" t="s">
        <v>275</v>
      </c>
      <c r="G14" s="4329" t="s">
        <v>276</v>
      </c>
      <c r="H14" s="4328" t="s">
        <v>314</v>
      </c>
      <c r="I14" s="4328" t="s">
        <v>241</v>
      </c>
      <c r="J14" s="4345" t="s">
        <v>4686</v>
      </c>
      <c r="K14" s="4328" t="s">
        <v>882</v>
      </c>
      <c r="L14" s="4459" t="s">
        <v>4626</v>
      </c>
      <c r="M14" s="4810">
        <v>0</v>
      </c>
      <c r="N14" s="4810">
        <v>5</v>
      </c>
      <c r="O14" s="4810">
        <v>5</v>
      </c>
      <c r="P14" s="4809" t="s">
        <v>4585</v>
      </c>
      <c r="Q14" s="4345" t="s">
        <v>4546</v>
      </c>
      <c r="R14" s="4346" t="s">
        <v>4528</v>
      </c>
      <c r="S14" s="2993"/>
      <c r="T14" s="1759"/>
      <c r="U14" s="3007"/>
      <c r="V14" s="3034"/>
      <c r="W14" s="3050"/>
      <c r="X14" s="414"/>
      <c r="Y14" s="1608"/>
      <c r="Z14" s="1608"/>
      <c r="AA14" s="1608"/>
      <c r="AB14" s="1610"/>
      <c r="AC14" s="414"/>
      <c r="AD14" s="174"/>
      <c r="AE14" s="1940"/>
      <c r="AF14" s="4802"/>
    </row>
    <row r="15" spans="1:32" ht="24.75" customHeight="1">
      <c r="A15" s="4778"/>
      <c r="B15" s="4781"/>
      <c r="C15" s="4492"/>
      <c r="D15" s="4215"/>
      <c r="E15" s="4215"/>
      <c r="F15" s="4215"/>
      <c r="G15" s="4215"/>
      <c r="H15" s="4215"/>
      <c r="I15" s="4215"/>
      <c r="J15" s="4215"/>
      <c r="K15" s="4215"/>
      <c r="L15" s="4449"/>
      <c r="M15" s="4811"/>
      <c r="N15" s="4811"/>
      <c r="O15" s="4811"/>
      <c r="P15" s="4331"/>
      <c r="Q15" s="4215"/>
      <c r="R15" s="4233"/>
      <c r="S15" s="2992"/>
      <c r="T15" s="3025"/>
      <c r="U15" s="3005"/>
      <c r="V15" s="1621"/>
      <c r="W15" s="3049"/>
      <c r="X15" s="170"/>
      <c r="Y15" s="1606"/>
      <c r="Z15" s="1606"/>
      <c r="AA15" s="1606"/>
      <c r="AB15" s="1607"/>
      <c r="AC15" s="170"/>
      <c r="AD15" s="282"/>
      <c r="AE15" s="403"/>
      <c r="AF15" s="4794"/>
    </row>
    <row r="16" spans="1:32" ht="24.75" customHeight="1">
      <c r="A16" s="4778"/>
      <c r="B16" s="4781"/>
      <c r="C16" s="4492"/>
      <c r="D16" s="4215"/>
      <c r="E16" s="4215"/>
      <c r="F16" s="4215"/>
      <c r="G16" s="4215"/>
      <c r="H16" s="4215"/>
      <c r="I16" s="4215"/>
      <c r="J16" s="4215"/>
      <c r="K16" s="4215"/>
      <c r="L16" s="4449"/>
      <c r="M16" s="4811"/>
      <c r="N16" s="4811"/>
      <c r="O16" s="4811"/>
      <c r="P16" s="4331"/>
      <c r="Q16" s="4215"/>
      <c r="R16" s="4233"/>
      <c r="S16" s="2993"/>
      <c r="T16" s="1759"/>
      <c r="U16" s="3006"/>
      <c r="V16" s="1622"/>
      <c r="W16" s="3050"/>
      <c r="X16" s="414"/>
      <c r="Y16" s="1608"/>
      <c r="Z16" s="1606"/>
      <c r="AA16" s="1606"/>
      <c r="AB16" s="1607"/>
      <c r="AC16" s="170"/>
      <c r="AD16" s="282"/>
      <c r="AE16" s="403"/>
      <c r="AF16" s="4794"/>
    </row>
    <row r="17" spans="1:32" ht="24.75" customHeight="1">
      <c r="A17" s="4778"/>
      <c r="B17" s="4781"/>
      <c r="C17" s="4492"/>
      <c r="D17" s="4215"/>
      <c r="E17" s="4215"/>
      <c r="F17" s="4215"/>
      <c r="G17" s="4215"/>
      <c r="H17" s="4215"/>
      <c r="I17" s="4215"/>
      <c r="J17" s="4215"/>
      <c r="K17" s="4215"/>
      <c r="L17" s="4449"/>
      <c r="M17" s="4811"/>
      <c r="N17" s="4811"/>
      <c r="O17" s="4811"/>
      <c r="P17" s="4331"/>
      <c r="Q17" s="4215"/>
      <c r="R17" s="4233"/>
      <c r="S17" s="2993"/>
      <c r="T17" s="1759"/>
      <c r="U17" s="3007"/>
      <c r="V17" s="1622"/>
      <c r="W17" s="3050"/>
      <c r="X17" s="414"/>
      <c r="Y17" s="1608"/>
      <c r="Z17" s="1606"/>
      <c r="AA17" s="1606"/>
      <c r="AB17" s="1607"/>
      <c r="AC17" s="170"/>
      <c r="AD17" s="282"/>
      <c r="AE17" s="403"/>
      <c r="AF17" s="4794"/>
    </row>
    <row r="18" spans="1:32" ht="24.75" customHeight="1">
      <c r="A18" s="4778"/>
      <c r="B18" s="4781"/>
      <c r="C18" s="4493"/>
      <c r="D18" s="4216"/>
      <c r="E18" s="4216"/>
      <c r="F18" s="4216"/>
      <c r="G18" s="4216"/>
      <c r="H18" s="4216"/>
      <c r="I18" s="4216"/>
      <c r="J18" s="4216"/>
      <c r="K18" s="4215"/>
      <c r="L18" s="4450"/>
      <c r="M18" s="4812"/>
      <c r="N18" s="4812"/>
      <c r="O18" s="4812"/>
      <c r="P18" s="4332"/>
      <c r="Q18" s="4216"/>
      <c r="R18" s="4258"/>
      <c r="S18" s="2994"/>
      <c r="T18" s="3026"/>
      <c r="U18" s="3008"/>
      <c r="V18" s="3033"/>
      <c r="W18" s="3051"/>
      <c r="X18" s="165"/>
      <c r="Y18" s="1611"/>
      <c r="Z18" s="1611"/>
      <c r="AA18" s="1611"/>
      <c r="AB18" s="1609"/>
      <c r="AC18" s="165"/>
      <c r="AD18" s="166"/>
      <c r="AE18" s="404"/>
      <c r="AF18" s="4795"/>
    </row>
    <row r="19" spans="1:32" ht="36" customHeight="1">
      <c r="A19" s="4778"/>
      <c r="B19" s="4781"/>
      <c r="C19" s="4491" t="s">
        <v>272</v>
      </c>
      <c r="D19" s="4328" t="s">
        <v>273</v>
      </c>
      <c r="E19" s="4328" t="s">
        <v>674</v>
      </c>
      <c r="F19" s="4328" t="s">
        <v>675</v>
      </c>
      <c r="G19" s="4329" t="s">
        <v>276</v>
      </c>
      <c r="H19" s="4328" t="s">
        <v>314</v>
      </c>
      <c r="I19" s="4328" t="s">
        <v>257</v>
      </c>
      <c r="J19" s="4345" t="s">
        <v>4687</v>
      </c>
      <c r="K19" s="4273" t="s">
        <v>883</v>
      </c>
      <c r="L19" s="4459" t="s">
        <v>753</v>
      </c>
      <c r="M19" s="4810">
        <v>0</v>
      </c>
      <c r="N19" s="4810">
        <v>0</v>
      </c>
      <c r="O19" s="4810">
        <v>0</v>
      </c>
      <c r="P19" s="4808" t="s">
        <v>884</v>
      </c>
      <c r="Q19" s="4328" t="s">
        <v>884</v>
      </c>
      <c r="R19" s="4346" t="s">
        <v>4529</v>
      </c>
      <c r="S19" s="2993"/>
      <c r="T19" s="1759"/>
      <c r="U19" s="3007"/>
      <c r="V19" s="3034"/>
      <c r="W19" s="3050"/>
      <c r="X19" s="414"/>
      <c r="Y19" s="1608"/>
      <c r="Z19" s="1608"/>
      <c r="AA19" s="1608"/>
      <c r="AB19" s="1610"/>
      <c r="AC19" s="414"/>
      <c r="AD19" s="174"/>
      <c r="AE19" s="1940"/>
      <c r="AF19" s="4802" t="s">
        <v>4521</v>
      </c>
    </row>
    <row r="20" spans="1:32" ht="36" customHeight="1">
      <c r="A20" s="4778"/>
      <c r="B20" s="4781"/>
      <c r="C20" s="4492"/>
      <c r="D20" s="4215"/>
      <c r="E20" s="4215"/>
      <c r="F20" s="4215"/>
      <c r="G20" s="4215"/>
      <c r="H20" s="4215"/>
      <c r="I20" s="4215"/>
      <c r="J20" s="4215"/>
      <c r="K20" s="4215"/>
      <c r="L20" s="4449"/>
      <c r="M20" s="4811"/>
      <c r="N20" s="4811"/>
      <c r="O20" s="4811"/>
      <c r="P20" s="4331"/>
      <c r="Q20" s="4215"/>
      <c r="R20" s="4233"/>
      <c r="S20" s="2992"/>
      <c r="T20" s="3025"/>
      <c r="U20" s="3005"/>
      <c r="V20" s="1621"/>
      <c r="W20" s="3049"/>
      <c r="X20" s="170"/>
      <c r="Y20" s="1606"/>
      <c r="Z20" s="1606"/>
      <c r="AA20" s="1606"/>
      <c r="AB20" s="1607"/>
      <c r="AC20" s="170"/>
      <c r="AD20" s="282"/>
      <c r="AE20" s="403"/>
      <c r="AF20" s="4794"/>
    </row>
    <row r="21" spans="1:32" ht="36" customHeight="1">
      <c r="A21" s="4778"/>
      <c r="B21" s="4781"/>
      <c r="C21" s="4492"/>
      <c r="D21" s="4215"/>
      <c r="E21" s="4215"/>
      <c r="F21" s="4215"/>
      <c r="G21" s="4215"/>
      <c r="H21" s="4215"/>
      <c r="I21" s="4215"/>
      <c r="J21" s="4215"/>
      <c r="K21" s="4215"/>
      <c r="L21" s="4449"/>
      <c r="M21" s="4811"/>
      <c r="N21" s="4811"/>
      <c r="O21" s="4811"/>
      <c r="P21" s="4331"/>
      <c r="Q21" s="4215"/>
      <c r="R21" s="4233"/>
      <c r="S21" s="2993"/>
      <c r="T21" s="1759"/>
      <c r="U21" s="3006"/>
      <c r="V21" s="1622"/>
      <c r="W21" s="3050"/>
      <c r="X21" s="414"/>
      <c r="Y21" s="1608"/>
      <c r="Z21" s="1606"/>
      <c r="AA21" s="1606"/>
      <c r="AB21" s="1607"/>
      <c r="AC21" s="170"/>
      <c r="AD21" s="282"/>
      <c r="AE21" s="403"/>
      <c r="AF21" s="4794"/>
    </row>
    <row r="22" spans="1:32" ht="36" customHeight="1">
      <c r="A22" s="4778"/>
      <c r="B22" s="4781"/>
      <c r="C22" s="4492"/>
      <c r="D22" s="4215"/>
      <c r="E22" s="4215"/>
      <c r="F22" s="4215"/>
      <c r="G22" s="4215"/>
      <c r="H22" s="4215"/>
      <c r="I22" s="4215"/>
      <c r="J22" s="4215"/>
      <c r="K22" s="4215"/>
      <c r="L22" s="4449"/>
      <c r="M22" s="4811"/>
      <c r="N22" s="4811"/>
      <c r="O22" s="4811"/>
      <c r="P22" s="4331"/>
      <c r="Q22" s="4215"/>
      <c r="R22" s="4233"/>
      <c r="S22" s="2993"/>
      <c r="T22" s="1759"/>
      <c r="U22" s="3007"/>
      <c r="V22" s="1622"/>
      <c r="W22" s="3050"/>
      <c r="X22" s="414"/>
      <c r="Y22" s="1608"/>
      <c r="Z22" s="1606"/>
      <c r="AA22" s="1606"/>
      <c r="AB22" s="1607"/>
      <c r="AC22" s="170"/>
      <c r="AD22" s="282"/>
      <c r="AE22" s="403"/>
      <c r="AF22" s="4794"/>
    </row>
    <row r="23" spans="1:32" ht="36" customHeight="1">
      <c r="A23" s="4778"/>
      <c r="B23" s="4781"/>
      <c r="C23" s="4493"/>
      <c r="D23" s="4216"/>
      <c r="E23" s="4216"/>
      <c r="F23" s="4216"/>
      <c r="G23" s="4216"/>
      <c r="H23" s="4216"/>
      <c r="I23" s="4216"/>
      <c r="J23" s="4216"/>
      <c r="K23" s="4216"/>
      <c r="L23" s="4450"/>
      <c r="M23" s="4812"/>
      <c r="N23" s="4812"/>
      <c r="O23" s="4812"/>
      <c r="P23" s="4332"/>
      <c r="Q23" s="4216"/>
      <c r="R23" s="4258"/>
      <c r="S23" s="2994"/>
      <c r="T23" s="3026"/>
      <c r="U23" s="3008"/>
      <c r="V23" s="3033"/>
      <c r="W23" s="3051"/>
      <c r="X23" s="165"/>
      <c r="Y23" s="1611"/>
      <c r="Z23" s="1611"/>
      <c r="AA23" s="1611"/>
      <c r="AB23" s="1609"/>
      <c r="AC23" s="165"/>
      <c r="AD23" s="166"/>
      <c r="AE23" s="404"/>
      <c r="AF23" s="4795"/>
    </row>
    <row r="24" spans="1:32" ht="21.75" customHeight="1">
      <c r="A24" s="4778"/>
      <c r="B24" s="4781"/>
      <c r="C24" s="4491" t="s">
        <v>272</v>
      </c>
      <c r="D24" s="4328" t="s">
        <v>273</v>
      </c>
      <c r="E24" s="4273" t="s">
        <v>274</v>
      </c>
      <c r="F24" s="4328" t="s">
        <v>885</v>
      </c>
      <c r="G24" s="4329" t="s">
        <v>276</v>
      </c>
      <c r="H24" s="4328" t="s">
        <v>314</v>
      </c>
      <c r="I24" s="4328" t="s">
        <v>278</v>
      </c>
      <c r="J24" s="4345" t="s">
        <v>4688</v>
      </c>
      <c r="K24" s="4328" t="s">
        <v>886</v>
      </c>
      <c r="L24" s="4345" t="s">
        <v>887</v>
      </c>
      <c r="M24" s="4608">
        <v>0</v>
      </c>
      <c r="N24" s="4813">
        <v>0.5</v>
      </c>
      <c r="O24" s="4608">
        <v>0.5</v>
      </c>
      <c r="P24" s="4345" t="s">
        <v>4586</v>
      </c>
      <c r="Q24" s="4345" t="s">
        <v>4547</v>
      </c>
      <c r="R24" s="4346" t="s">
        <v>4529</v>
      </c>
      <c r="S24" s="2993"/>
      <c r="T24" s="1759"/>
      <c r="U24" s="3007"/>
      <c r="V24" s="3034"/>
      <c r="W24" s="3050"/>
      <c r="X24" s="414"/>
      <c r="Y24" s="1608"/>
      <c r="Z24" s="1608"/>
      <c r="AA24" s="1608"/>
      <c r="AB24" s="1610"/>
      <c r="AC24" s="414"/>
      <c r="AD24" s="174"/>
      <c r="AE24" s="1940"/>
      <c r="AF24" s="4802"/>
    </row>
    <row r="25" spans="1:32" ht="21.75" customHeight="1">
      <c r="A25" s="4778"/>
      <c r="B25" s="4781"/>
      <c r="C25" s="4492"/>
      <c r="D25" s="4215"/>
      <c r="E25" s="4215"/>
      <c r="F25" s="4215"/>
      <c r="G25" s="4215"/>
      <c r="H25" s="4215"/>
      <c r="I25" s="4215"/>
      <c r="J25" s="4215"/>
      <c r="K25" s="4215"/>
      <c r="L25" s="4215"/>
      <c r="M25" s="4226"/>
      <c r="N25" s="4226"/>
      <c r="O25" s="4226"/>
      <c r="P25" s="4215"/>
      <c r="Q25" s="4215"/>
      <c r="R25" s="4233"/>
      <c r="S25" s="2992"/>
      <c r="T25" s="3025"/>
      <c r="U25" s="3005"/>
      <c r="V25" s="1621"/>
      <c r="W25" s="3049"/>
      <c r="X25" s="170"/>
      <c r="Y25" s="1606"/>
      <c r="Z25" s="1606"/>
      <c r="AA25" s="1606"/>
      <c r="AB25" s="1607"/>
      <c r="AC25" s="170"/>
      <c r="AD25" s="282"/>
      <c r="AE25" s="403"/>
      <c r="AF25" s="4794"/>
    </row>
    <row r="26" spans="1:32" ht="21.75" customHeight="1">
      <c r="A26" s="4778"/>
      <c r="B26" s="4781"/>
      <c r="C26" s="4492"/>
      <c r="D26" s="4215"/>
      <c r="E26" s="4215"/>
      <c r="F26" s="4215"/>
      <c r="G26" s="4215"/>
      <c r="H26" s="4215"/>
      <c r="I26" s="4215"/>
      <c r="J26" s="4215"/>
      <c r="K26" s="4215"/>
      <c r="L26" s="4215"/>
      <c r="M26" s="4226"/>
      <c r="N26" s="4226"/>
      <c r="O26" s="4226"/>
      <c r="P26" s="4215"/>
      <c r="Q26" s="4215"/>
      <c r="R26" s="4233"/>
      <c r="S26" s="2993"/>
      <c r="T26" s="1759"/>
      <c r="U26" s="3006"/>
      <c r="V26" s="1622"/>
      <c r="W26" s="3050"/>
      <c r="X26" s="414"/>
      <c r="Y26" s="1608"/>
      <c r="Z26" s="1606"/>
      <c r="AA26" s="1606"/>
      <c r="AB26" s="1607"/>
      <c r="AC26" s="170"/>
      <c r="AD26" s="282"/>
      <c r="AE26" s="403"/>
      <c r="AF26" s="4794"/>
    </row>
    <row r="27" spans="1:32" ht="21.75" customHeight="1">
      <c r="A27" s="4778"/>
      <c r="B27" s="4781"/>
      <c r="C27" s="4492"/>
      <c r="D27" s="4215"/>
      <c r="E27" s="4215"/>
      <c r="F27" s="4215"/>
      <c r="G27" s="4215"/>
      <c r="H27" s="4215"/>
      <c r="I27" s="4215"/>
      <c r="J27" s="4215"/>
      <c r="K27" s="4215"/>
      <c r="L27" s="4215"/>
      <c r="M27" s="4226"/>
      <c r="N27" s="4226"/>
      <c r="O27" s="4226"/>
      <c r="P27" s="4215"/>
      <c r="Q27" s="4215"/>
      <c r="R27" s="4233"/>
      <c r="S27" s="2993"/>
      <c r="T27" s="1759"/>
      <c r="U27" s="3007"/>
      <c r="V27" s="1622"/>
      <c r="W27" s="3050"/>
      <c r="X27" s="414"/>
      <c r="Y27" s="1608"/>
      <c r="Z27" s="1606"/>
      <c r="AA27" s="1606"/>
      <c r="AB27" s="1607"/>
      <c r="AC27" s="170"/>
      <c r="AD27" s="282"/>
      <c r="AE27" s="403"/>
      <c r="AF27" s="4794"/>
    </row>
    <row r="28" spans="1:32" ht="21.75" customHeight="1">
      <c r="A28" s="4778"/>
      <c r="B28" s="4781"/>
      <c r="C28" s="4493"/>
      <c r="D28" s="4216"/>
      <c r="E28" s="4216"/>
      <c r="F28" s="4216"/>
      <c r="G28" s="4216"/>
      <c r="H28" s="4216"/>
      <c r="I28" s="4216"/>
      <c r="J28" s="4216"/>
      <c r="K28" s="4215"/>
      <c r="L28" s="4216"/>
      <c r="M28" s="4247"/>
      <c r="N28" s="4247"/>
      <c r="O28" s="4247"/>
      <c r="P28" s="4216"/>
      <c r="Q28" s="4216"/>
      <c r="R28" s="4258"/>
      <c r="S28" s="2994"/>
      <c r="T28" s="3026"/>
      <c r="U28" s="3008"/>
      <c r="V28" s="3033"/>
      <c r="W28" s="3051"/>
      <c r="X28" s="165"/>
      <c r="Y28" s="1611"/>
      <c r="Z28" s="1611"/>
      <c r="AA28" s="1611"/>
      <c r="AB28" s="1609"/>
      <c r="AC28" s="165"/>
      <c r="AD28" s="166"/>
      <c r="AE28" s="404"/>
      <c r="AF28" s="4795"/>
    </row>
    <row r="29" spans="1:32" ht="22.5" customHeight="1">
      <c r="A29" s="4778"/>
      <c r="B29" s="4781"/>
      <c r="C29" s="4491" t="s">
        <v>272</v>
      </c>
      <c r="D29" s="4328" t="s">
        <v>273</v>
      </c>
      <c r="E29" s="4273" t="s">
        <v>274</v>
      </c>
      <c r="F29" s="4328" t="s">
        <v>885</v>
      </c>
      <c r="G29" s="4329" t="s">
        <v>276</v>
      </c>
      <c r="H29" s="4328" t="s">
        <v>240</v>
      </c>
      <c r="I29" s="4328" t="s">
        <v>241</v>
      </c>
      <c r="J29" s="4730" t="s">
        <v>4690</v>
      </c>
      <c r="K29" s="4482" t="s">
        <v>4663</v>
      </c>
      <c r="L29" s="4368" t="s">
        <v>4627</v>
      </c>
      <c r="M29" s="4249">
        <v>0</v>
      </c>
      <c r="N29" s="4246">
        <v>1</v>
      </c>
      <c r="O29" s="4249">
        <v>0</v>
      </c>
      <c r="P29" s="4345" t="s">
        <v>4587</v>
      </c>
      <c r="Q29" s="4345" t="s">
        <v>4548</v>
      </c>
      <c r="R29" s="4346" t="s">
        <v>4529</v>
      </c>
      <c r="S29" s="2993"/>
      <c r="T29" s="1759"/>
      <c r="U29" s="3007"/>
      <c r="V29" s="3034"/>
      <c r="W29" s="3050"/>
      <c r="X29" s="414"/>
      <c r="Y29" s="1608"/>
      <c r="Z29" s="1608"/>
      <c r="AA29" s="1608"/>
      <c r="AB29" s="1610"/>
      <c r="AC29" s="414"/>
      <c r="AD29" s="414"/>
      <c r="AE29" s="1941"/>
      <c r="AF29" s="4802"/>
    </row>
    <row r="30" spans="1:32" ht="22.5" customHeight="1">
      <c r="A30" s="4778"/>
      <c r="B30" s="4781"/>
      <c r="C30" s="4492"/>
      <c r="D30" s="4215"/>
      <c r="E30" s="4215"/>
      <c r="F30" s="4215"/>
      <c r="G30" s="4215"/>
      <c r="H30" s="4215"/>
      <c r="I30" s="4215"/>
      <c r="J30" s="4449"/>
      <c r="K30" s="4215"/>
      <c r="L30" s="4215"/>
      <c r="M30" s="4226"/>
      <c r="N30" s="4226"/>
      <c r="O30" s="4226"/>
      <c r="P30" s="4215"/>
      <c r="Q30" s="4215"/>
      <c r="R30" s="4233"/>
      <c r="S30" s="2992"/>
      <c r="T30" s="3025"/>
      <c r="U30" s="3005"/>
      <c r="V30" s="1621"/>
      <c r="W30" s="3049"/>
      <c r="X30" s="170"/>
      <c r="Y30" s="1606"/>
      <c r="Z30" s="1606"/>
      <c r="AA30" s="1606"/>
      <c r="AB30" s="1607"/>
      <c r="AC30" s="170"/>
      <c r="AD30" s="170"/>
      <c r="AE30" s="417"/>
      <c r="AF30" s="4794"/>
    </row>
    <row r="31" spans="1:32" ht="22.5" customHeight="1">
      <c r="A31" s="4778"/>
      <c r="B31" s="4781"/>
      <c r="C31" s="4492"/>
      <c r="D31" s="4215"/>
      <c r="E31" s="4215"/>
      <c r="F31" s="4215"/>
      <c r="G31" s="4215"/>
      <c r="H31" s="4215"/>
      <c r="I31" s="4215"/>
      <c r="J31" s="4449"/>
      <c r="K31" s="4215"/>
      <c r="L31" s="4215"/>
      <c r="M31" s="4226"/>
      <c r="N31" s="4226"/>
      <c r="O31" s="4226"/>
      <c r="P31" s="4215"/>
      <c r="Q31" s="4215"/>
      <c r="R31" s="4233"/>
      <c r="S31" s="2992"/>
      <c r="T31" s="3025"/>
      <c r="U31" s="3005"/>
      <c r="V31" s="1621"/>
      <c r="W31" s="3049"/>
      <c r="X31" s="170"/>
      <c r="Y31" s="1606"/>
      <c r="Z31" s="1606"/>
      <c r="AA31" s="1606"/>
      <c r="AB31" s="1607"/>
      <c r="AC31" s="170"/>
      <c r="AD31" s="170"/>
      <c r="AE31" s="403"/>
      <c r="AF31" s="4794"/>
    </row>
    <row r="32" spans="1:32" ht="22.5" customHeight="1">
      <c r="A32" s="4778"/>
      <c r="B32" s="4781"/>
      <c r="C32" s="4492"/>
      <c r="D32" s="4215"/>
      <c r="E32" s="4215"/>
      <c r="F32" s="4215"/>
      <c r="G32" s="4215"/>
      <c r="H32" s="4215"/>
      <c r="I32" s="4215"/>
      <c r="J32" s="4449"/>
      <c r="K32" s="4215"/>
      <c r="L32" s="4215"/>
      <c r="M32" s="4226"/>
      <c r="N32" s="4226"/>
      <c r="O32" s="4226"/>
      <c r="P32" s="4215"/>
      <c r="Q32" s="4215"/>
      <c r="R32" s="4233"/>
      <c r="S32" s="2992"/>
      <c r="T32" s="3025"/>
      <c r="U32" s="3005"/>
      <c r="V32" s="1621"/>
      <c r="W32" s="3049"/>
      <c r="X32" s="170"/>
      <c r="Y32" s="1606"/>
      <c r="Z32" s="1606"/>
      <c r="AA32" s="1606"/>
      <c r="AB32" s="1607"/>
      <c r="AC32" s="170"/>
      <c r="AD32" s="170"/>
      <c r="AE32" s="403"/>
      <c r="AF32" s="4794"/>
    </row>
    <row r="33" spans="1:32" ht="22.5" customHeight="1">
      <c r="A33" s="4778"/>
      <c r="B33" s="4781"/>
      <c r="C33" s="4493"/>
      <c r="D33" s="4216"/>
      <c r="E33" s="4216"/>
      <c r="F33" s="4216"/>
      <c r="G33" s="4216"/>
      <c r="H33" s="4216"/>
      <c r="I33" s="4216"/>
      <c r="J33" s="4450"/>
      <c r="K33" s="4216"/>
      <c r="L33" s="4216"/>
      <c r="M33" s="4247"/>
      <c r="N33" s="4247"/>
      <c r="O33" s="4247"/>
      <c r="P33" s="4216"/>
      <c r="Q33" s="4216"/>
      <c r="R33" s="4258"/>
      <c r="S33" s="2994"/>
      <c r="T33" s="3026"/>
      <c r="U33" s="3008"/>
      <c r="V33" s="3033"/>
      <c r="W33" s="3051"/>
      <c r="X33" s="165"/>
      <c r="Y33" s="1611"/>
      <c r="Z33" s="1611"/>
      <c r="AA33" s="1611"/>
      <c r="AB33" s="1609"/>
      <c r="AC33" s="165"/>
      <c r="AD33" s="165"/>
      <c r="AE33" s="404"/>
      <c r="AF33" s="4795"/>
    </row>
    <row r="34" spans="1:32" ht="21.75" customHeight="1">
      <c r="A34" s="4778"/>
      <c r="B34" s="4781"/>
      <c r="C34" s="4494" t="s">
        <v>272</v>
      </c>
      <c r="D34" s="4273" t="s">
        <v>273</v>
      </c>
      <c r="E34" s="4273" t="s">
        <v>274</v>
      </c>
      <c r="F34" s="4273" t="s">
        <v>885</v>
      </c>
      <c r="G34" s="4338" t="s">
        <v>276</v>
      </c>
      <c r="H34" s="4273" t="s">
        <v>240</v>
      </c>
      <c r="I34" s="4273" t="s">
        <v>241</v>
      </c>
      <c r="J34" s="4730" t="s">
        <v>4689</v>
      </c>
      <c r="K34" s="4482" t="s">
        <v>4664</v>
      </c>
      <c r="L34" s="4368" t="s">
        <v>4628</v>
      </c>
      <c r="M34" s="4246">
        <v>3</v>
      </c>
      <c r="N34" s="4246">
        <v>3</v>
      </c>
      <c r="O34" s="4246">
        <v>3</v>
      </c>
      <c r="P34" s="4345" t="s">
        <v>4588</v>
      </c>
      <c r="Q34" s="4345" t="s">
        <v>4549</v>
      </c>
      <c r="R34" s="4322" t="s">
        <v>4530</v>
      </c>
      <c r="S34" s="2993"/>
      <c r="T34" s="1759"/>
      <c r="U34" s="3007"/>
      <c r="V34" s="3035"/>
      <c r="W34" s="3052"/>
      <c r="X34" s="178"/>
      <c r="Y34" s="1612"/>
      <c r="Z34" s="1608"/>
      <c r="AA34" s="1608"/>
      <c r="AB34" s="1613"/>
      <c r="AC34" s="178"/>
      <c r="AD34" s="181"/>
      <c r="AE34" s="1942"/>
      <c r="AF34" s="4793"/>
    </row>
    <row r="35" spans="1:32" ht="21.75" customHeight="1">
      <c r="A35" s="4778"/>
      <c r="B35" s="4781"/>
      <c r="C35" s="4492"/>
      <c r="D35" s="4215"/>
      <c r="E35" s="4215"/>
      <c r="F35" s="4215"/>
      <c r="G35" s="4215"/>
      <c r="H35" s="4215"/>
      <c r="I35" s="4215"/>
      <c r="J35" s="4449"/>
      <c r="K35" s="4215"/>
      <c r="L35" s="4215"/>
      <c r="M35" s="4226"/>
      <c r="N35" s="4226"/>
      <c r="O35" s="4226"/>
      <c r="P35" s="4215"/>
      <c r="Q35" s="4215"/>
      <c r="R35" s="4233"/>
      <c r="S35" s="2992"/>
      <c r="T35" s="3025"/>
      <c r="U35" s="3005"/>
      <c r="V35" s="1621"/>
      <c r="W35" s="3049"/>
      <c r="X35" s="170"/>
      <c r="Y35" s="1606"/>
      <c r="Z35" s="1606"/>
      <c r="AA35" s="1606"/>
      <c r="AB35" s="1607"/>
      <c r="AC35" s="170"/>
      <c r="AD35" s="282"/>
      <c r="AE35" s="403"/>
      <c r="AF35" s="4794"/>
    </row>
    <row r="36" spans="1:32" ht="21.75" customHeight="1">
      <c r="A36" s="4778"/>
      <c r="B36" s="4781"/>
      <c r="C36" s="4492"/>
      <c r="D36" s="4215"/>
      <c r="E36" s="4215"/>
      <c r="F36" s="4215"/>
      <c r="G36" s="4215"/>
      <c r="H36" s="4215"/>
      <c r="I36" s="4215"/>
      <c r="J36" s="4449"/>
      <c r="K36" s="4215"/>
      <c r="L36" s="4215"/>
      <c r="M36" s="4226"/>
      <c r="N36" s="4226"/>
      <c r="O36" s="4226"/>
      <c r="P36" s="4215"/>
      <c r="Q36" s="4215"/>
      <c r="R36" s="4233"/>
      <c r="S36" s="2992"/>
      <c r="T36" s="3025"/>
      <c r="U36" s="3005"/>
      <c r="V36" s="1621"/>
      <c r="W36" s="3049"/>
      <c r="X36" s="170"/>
      <c r="Y36" s="1606"/>
      <c r="Z36" s="1606"/>
      <c r="AA36" s="1606"/>
      <c r="AB36" s="1607"/>
      <c r="AC36" s="170"/>
      <c r="AD36" s="282"/>
      <c r="AE36" s="403"/>
      <c r="AF36" s="4794"/>
    </row>
    <row r="37" spans="1:32" ht="21.75" customHeight="1">
      <c r="A37" s="4778"/>
      <c r="B37" s="4781"/>
      <c r="C37" s="4492"/>
      <c r="D37" s="4215"/>
      <c r="E37" s="4215"/>
      <c r="F37" s="4215"/>
      <c r="G37" s="4215"/>
      <c r="H37" s="4215"/>
      <c r="I37" s="4215"/>
      <c r="J37" s="4449"/>
      <c r="K37" s="4215"/>
      <c r="L37" s="4215"/>
      <c r="M37" s="4226"/>
      <c r="N37" s="4226"/>
      <c r="O37" s="4226"/>
      <c r="P37" s="4215"/>
      <c r="Q37" s="4215"/>
      <c r="R37" s="4233"/>
      <c r="S37" s="2992"/>
      <c r="T37" s="3025"/>
      <c r="U37" s="3005"/>
      <c r="V37" s="1621"/>
      <c r="W37" s="3049"/>
      <c r="X37" s="170"/>
      <c r="Y37" s="1606"/>
      <c r="Z37" s="1606"/>
      <c r="AA37" s="1606"/>
      <c r="AB37" s="1607"/>
      <c r="AC37" s="170"/>
      <c r="AD37" s="282"/>
      <c r="AE37" s="403"/>
      <c r="AF37" s="4794"/>
    </row>
    <row r="38" spans="1:32" ht="21.75" customHeight="1">
      <c r="A38" s="4778"/>
      <c r="B38" s="4781"/>
      <c r="C38" s="4493"/>
      <c r="D38" s="4216"/>
      <c r="E38" s="4216"/>
      <c r="F38" s="4216"/>
      <c r="G38" s="4216"/>
      <c r="H38" s="4216"/>
      <c r="I38" s="4216"/>
      <c r="J38" s="4450"/>
      <c r="K38" s="4216"/>
      <c r="L38" s="4216"/>
      <c r="M38" s="4247"/>
      <c r="N38" s="4247"/>
      <c r="O38" s="4247"/>
      <c r="P38" s="4216"/>
      <c r="Q38" s="4216"/>
      <c r="R38" s="4258"/>
      <c r="S38" s="2994"/>
      <c r="T38" s="3026"/>
      <c r="U38" s="3008"/>
      <c r="V38" s="3033"/>
      <c r="W38" s="3051"/>
      <c r="X38" s="165"/>
      <c r="Y38" s="1611"/>
      <c r="Z38" s="1611"/>
      <c r="AA38" s="1611"/>
      <c r="AB38" s="1609"/>
      <c r="AC38" s="165"/>
      <c r="AD38" s="166"/>
      <c r="AE38" s="404"/>
      <c r="AF38" s="4795"/>
    </row>
    <row r="39" spans="1:32" ht="26.25" customHeight="1">
      <c r="A39" s="4778"/>
      <c r="B39" s="4781"/>
      <c r="C39" s="4494" t="s">
        <v>272</v>
      </c>
      <c r="D39" s="4273" t="s">
        <v>273</v>
      </c>
      <c r="E39" s="4273" t="s">
        <v>274</v>
      </c>
      <c r="F39" s="4273" t="s">
        <v>885</v>
      </c>
      <c r="G39" s="4338" t="s">
        <v>276</v>
      </c>
      <c r="H39" s="4273" t="s">
        <v>240</v>
      </c>
      <c r="I39" s="4273" t="s">
        <v>241</v>
      </c>
      <c r="J39" s="4730" t="s">
        <v>4691</v>
      </c>
      <c r="K39" s="4475" t="s">
        <v>4665</v>
      </c>
      <c r="L39" s="4447" t="s">
        <v>4629</v>
      </c>
      <c r="M39" s="4246">
        <v>0</v>
      </c>
      <c r="N39" s="4246">
        <v>0</v>
      </c>
      <c r="O39" s="4246">
        <v>1</v>
      </c>
      <c r="P39" s="4228" t="s">
        <v>4589</v>
      </c>
      <c r="Q39" s="4228" t="s">
        <v>4550</v>
      </c>
      <c r="R39" s="4322" t="s">
        <v>4531</v>
      </c>
      <c r="S39" s="2995" t="s">
        <v>29</v>
      </c>
      <c r="T39" s="1759">
        <v>531407</v>
      </c>
      <c r="U39" s="3007"/>
      <c r="V39" s="2998" t="s">
        <v>20</v>
      </c>
      <c r="W39" s="3053"/>
      <c r="X39" s="279"/>
      <c r="Y39" s="1610"/>
      <c r="Z39" s="1610"/>
      <c r="AA39" s="1610"/>
      <c r="AB39" s="1610">
        <f>SUM($AA$40:$AA$42)</f>
        <v>1265.6000000000001</v>
      </c>
      <c r="AC39" s="414"/>
      <c r="AD39" s="174"/>
      <c r="AE39" s="1940"/>
      <c r="AF39" s="4793" t="s">
        <v>4522</v>
      </c>
    </row>
    <row r="40" spans="1:32" ht="30" customHeight="1">
      <c r="A40" s="4778"/>
      <c r="B40" s="4781"/>
      <c r="C40" s="4492"/>
      <c r="D40" s="4215"/>
      <c r="E40" s="4215"/>
      <c r="F40" s="4215"/>
      <c r="G40" s="4215"/>
      <c r="H40" s="4215"/>
      <c r="I40" s="4215"/>
      <c r="J40" s="4449"/>
      <c r="K40" s="4215"/>
      <c r="L40" s="4215"/>
      <c r="M40" s="4226"/>
      <c r="N40" s="4226"/>
      <c r="O40" s="4226"/>
      <c r="P40" s="4215"/>
      <c r="Q40" s="4215"/>
      <c r="R40" s="4233"/>
      <c r="S40" s="2993"/>
      <c r="T40" s="1759"/>
      <c r="U40" s="3006" t="s">
        <v>888</v>
      </c>
      <c r="V40" s="1621" t="s">
        <v>288</v>
      </c>
      <c r="W40" s="3049" t="s">
        <v>889</v>
      </c>
      <c r="X40" s="170" t="s">
        <v>269</v>
      </c>
      <c r="Y40" s="1606">
        <v>90</v>
      </c>
      <c r="Z40" s="1606">
        <f t="shared" ref="Z40:Z42" si="0">+W40*Y40</f>
        <v>270</v>
      </c>
      <c r="AA40" s="1606">
        <f t="shared" ref="AA40:AA42" si="1">+Z40*1.12</f>
        <v>302.40000000000003</v>
      </c>
      <c r="AB40" s="1607"/>
      <c r="AC40" s="170"/>
      <c r="AD40" s="282" t="s">
        <v>251</v>
      </c>
      <c r="AE40" s="403"/>
      <c r="AF40" s="4794"/>
    </row>
    <row r="41" spans="1:32" ht="30" customHeight="1">
      <c r="A41" s="4778"/>
      <c r="B41" s="4781"/>
      <c r="C41" s="4492"/>
      <c r="D41" s="4215"/>
      <c r="E41" s="4215"/>
      <c r="F41" s="4215"/>
      <c r="G41" s="4215"/>
      <c r="H41" s="4215"/>
      <c r="I41" s="4215"/>
      <c r="J41" s="4449"/>
      <c r="K41" s="4215"/>
      <c r="L41" s="4215"/>
      <c r="M41" s="4226"/>
      <c r="N41" s="4226"/>
      <c r="O41" s="4226"/>
      <c r="P41" s="4215"/>
      <c r="Q41" s="4215"/>
      <c r="R41" s="4233"/>
      <c r="S41" s="2992"/>
      <c r="T41" s="3025"/>
      <c r="U41" s="3005" t="s">
        <v>890</v>
      </c>
      <c r="V41" s="1621" t="s">
        <v>421</v>
      </c>
      <c r="W41" s="3049" t="s">
        <v>891</v>
      </c>
      <c r="X41" s="170" t="s">
        <v>269</v>
      </c>
      <c r="Y41" s="1606">
        <v>95</v>
      </c>
      <c r="Z41" s="1606">
        <f t="shared" si="0"/>
        <v>760</v>
      </c>
      <c r="AA41" s="1606">
        <f t="shared" si="1"/>
        <v>851.2</v>
      </c>
      <c r="AB41" s="1607"/>
      <c r="AC41" s="170"/>
      <c r="AD41" s="282" t="s">
        <v>251</v>
      </c>
      <c r="AE41" s="403"/>
      <c r="AF41" s="4794"/>
    </row>
    <row r="42" spans="1:32" ht="30" customHeight="1">
      <c r="A42" s="4778"/>
      <c r="B42" s="4781"/>
      <c r="C42" s="4492"/>
      <c r="D42" s="4215"/>
      <c r="E42" s="4215"/>
      <c r="F42" s="4215"/>
      <c r="G42" s="4215"/>
      <c r="H42" s="4215"/>
      <c r="I42" s="4215"/>
      <c r="J42" s="4449"/>
      <c r="K42" s="4215"/>
      <c r="L42" s="4215"/>
      <c r="M42" s="4226"/>
      <c r="N42" s="4226"/>
      <c r="O42" s="4226"/>
      <c r="P42" s="4215"/>
      <c r="Q42" s="4215"/>
      <c r="R42" s="4233"/>
      <c r="S42" s="2992"/>
      <c r="T42" s="3025"/>
      <c r="U42" s="3005" t="s">
        <v>892</v>
      </c>
      <c r="V42" s="1621" t="s">
        <v>893</v>
      </c>
      <c r="W42" s="3049" t="s">
        <v>894</v>
      </c>
      <c r="X42" s="170" t="s">
        <v>269</v>
      </c>
      <c r="Y42" s="1606">
        <v>25</v>
      </c>
      <c r="Z42" s="1606">
        <f t="shared" si="0"/>
        <v>100</v>
      </c>
      <c r="AA42" s="1606">
        <f t="shared" si="1"/>
        <v>112.00000000000001</v>
      </c>
      <c r="AB42" s="1607"/>
      <c r="AC42" s="170"/>
      <c r="AD42" s="282" t="s">
        <v>251</v>
      </c>
      <c r="AE42" s="403"/>
      <c r="AF42" s="4794"/>
    </row>
    <row r="43" spans="1:32" ht="26.25" customHeight="1">
      <c r="A43" s="4778"/>
      <c r="B43" s="4781"/>
      <c r="C43" s="4492"/>
      <c r="D43" s="4215"/>
      <c r="E43" s="4215"/>
      <c r="F43" s="4215"/>
      <c r="G43" s="4215"/>
      <c r="H43" s="4215"/>
      <c r="I43" s="4215"/>
      <c r="J43" s="4449"/>
      <c r="K43" s="4215"/>
      <c r="L43" s="4215"/>
      <c r="M43" s="4226"/>
      <c r="N43" s="4226"/>
      <c r="O43" s="4226"/>
      <c r="P43" s="4215"/>
      <c r="Q43" s="4215"/>
      <c r="R43" s="4233"/>
      <c r="S43" s="2993" t="s">
        <v>29</v>
      </c>
      <c r="T43" s="3009">
        <v>840107</v>
      </c>
      <c r="U43" s="3011"/>
      <c r="V43" s="3036" t="s">
        <v>20</v>
      </c>
      <c r="W43" s="3055"/>
      <c r="X43" s="1947"/>
      <c r="Y43" s="1993"/>
      <c r="Z43" s="1993"/>
      <c r="AA43" s="1993"/>
      <c r="AB43" s="1993">
        <f>SUM($AA$44:$AA$46)</f>
        <v>996</v>
      </c>
      <c r="AC43" s="1775"/>
      <c r="AD43" s="1946"/>
      <c r="AE43" s="406"/>
      <c r="AF43" s="4794"/>
    </row>
    <row r="44" spans="1:32" ht="30" customHeight="1">
      <c r="A44" s="4778"/>
      <c r="B44" s="4781"/>
      <c r="C44" s="4492"/>
      <c r="D44" s="4215"/>
      <c r="E44" s="4215"/>
      <c r="F44" s="4215"/>
      <c r="G44" s="4215"/>
      <c r="H44" s="4215"/>
      <c r="I44" s="4215"/>
      <c r="J44" s="4449"/>
      <c r="K44" s="4215"/>
      <c r="L44" s="4215"/>
      <c r="M44" s="4226"/>
      <c r="N44" s="4226"/>
      <c r="O44" s="4226"/>
      <c r="P44" s="4215"/>
      <c r="Q44" s="4215"/>
      <c r="R44" s="4233"/>
      <c r="S44" s="2996"/>
      <c r="T44" s="3009"/>
      <c r="U44" s="3010" t="s">
        <v>420</v>
      </c>
      <c r="V44" s="3037" t="s">
        <v>895</v>
      </c>
      <c r="W44" s="3054">
        <v>2</v>
      </c>
      <c r="X44" s="170" t="s">
        <v>269</v>
      </c>
      <c r="Y44" s="1777">
        <v>180</v>
      </c>
      <c r="Z44" s="1777">
        <f t="shared" ref="Z44:Z46" si="2">+W44*Y44</f>
        <v>360</v>
      </c>
      <c r="AA44" s="1777">
        <f t="shared" ref="AA44:AA45" si="3">+Z44</f>
        <v>360</v>
      </c>
      <c r="AB44" s="1993"/>
      <c r="AC44" s="170"/>
      <c r="AD44" s="1946" t="s">
        <v>251</v>
      </c>
      <c r="AE44" s="406"/>
      <c r="AF44" s="4794"/>
    </row>
    <row r="45" spans="1:32" ht="30" customHeight="1">
      <c r="A45" s="4778"/>
      <c r="B45" s="4781"/>
      <c r="C45" s="4492"/>
      <c r="D45" s="4215"/>
      <c r="E45" s="4215"/>
      <c r="F45" s="4215"/>
      <c r="G45" s="4215"/>
      <c r="H45" s="4215"/>
      <c r="I45" s="4215"/>
      <c r="J45" s="4449"/>
      <c r="K45" s="4215"/>
      <c r="L45" s="4215"/>
      <c r="M45" s="4226"/>
      <c r="N45" s="4226"/>
      <c r="O45" s="4226"/>
      <c r="P45" s="4215"/>
      <c r="Q45" s="4215"/>
      <c r="R45" s="4233"/>
      <c r="S45" s="2996"/>
      <c r="T45" s="3009"/>
      <c r="U45" s="3010" t="s">
        <v>896</v>
      </c>
      <c r="V45" s="3037" t="s">
        <v>4526</v>
      </c>
      <c r="W45" s="3054">
        <v>2</v>
      </c>
      <c r="X45" s="170" t="s">
        <v>269</v>
      </c>
      <c r="Y45" s="1777">
        <v>150</v>
      </c>
      <c r="Z45" s="1777">
        <f t="shared" si="2"/>
        <v>300</v>
      </c>
      <c r="AA45" s="1777">
        <f t="shared" si="3"/>
        <v>300</v>
      </c>
      <c r="AB45" s="1993"/>
      <c r="AC45" s="1775"/>
      <c r="AD45" s="1946" t="s">
        <v>251</v>
      </c>
      <c r="AE45" s="406"/>
      <c r="AF45" s="4794"/>
    </row>
    <row r="46" spans="1:32" ht="30" customHeight="1">
      <c r="A46" s="4778"/>
      <c r="B46" s="4781"/>
      <c r="C46" s="4492"/>
      <c r="D46" s="4215"/>
      <c r="E46" s="4215"/>
      <c r="F46" s="4215"/>
      <c r="G46" s="4215"/>
      <c r="H46" s="4215"/>
      <c r="I46" s="4215"/>
      <c r="J46" s="4449"/>
      <c r="K46" s="4215"/>
      <c r="L46" s="4215"/>
      <c r="M46" s="4226"/>
      <c r="N46" s="4226"/>
      <c r="O46" s="4226"/>
      <c r="P46" s="4215"/>
      <c r="Q46" s="4215"/>
      <c r="R46" s="4233"/>
      <c r="S46" s="2996"/>
      <c r="T46" s="3009"/>
      <c r="U46" s="3012" t="s">
        <v>420</v>
      </c>
      <c r="V46" s="3037" t="s">
        <v>897</v>
      </c>
      <c r="W46" s="3054">
        <v>2</v>
      </c>
      <c r="X46" s="170" t="s">
        <v>269</v>
      </c>
      <c r="Y46" s="2400">
        <v>150</v>
      </c>
      <c r="Z46" s="2400">
        <f t="shared" si="2"/>
        <v>300</v>
      </c>
      <c r="AA46" s="2400">
        <f>+Z46*1.12</f>
        <v>336.00000000000006</v>
      </c>
      <c r="AB46" s="2401"/>
      <c r="AC46" s="1775"/>
      <c r="AD46" s="1946" t="s">
        <v>251</v>
      </c>
      <c r="AE46" s="406"/>
      <c r="AF46" s="4794"/>
    </row>
    <row r="47" spans="1:32" ht="33.950000000000003" customHeight="1">
      <c r="A47" s="4778"/>
      <c r="B47" s="4781"/>
      <c r="C47" s="4494" t="s">
        <v>272</v>
      </c>
      <c r="D47" s="4273" t="s">
        <v>273</v>
      </c>
      <c r="E47" s="4273" t="s">
        <v>274</v>
      </c>
      <c r="F47" s="4273" t="s">
        <v>885</v>
      </c>
      <c r="G47" s="4338" t="s">
        <v>276</v>
      </c>
      <c r="H47" s="4273" t="s">
        <v>240</v>
      </c>
      <c r="I47" s="4273" t="s">
        <v>257</v>
      </c>
      <c r="J47" s="4730" t="s">
        <v>4692</v>
      </c>
      <c r="K47" s="4482" t="s">
        <v>4666</v>
      </c>
      <c r="L47" s="4368" t="s">
        <v>4630</v>
      </c>
      <c r="M47" s="4246">
        <v>0</v>
      </c>
      <c r="N47" s="4246">
        <v>0</v>
      </c>
      <c r="O47" s="4246">
        <v>1</v>
      </c>
      <c r="P47" s="4228" t="s">
        <v>4590</v>
      </c>
      <c r="Q47" s="4228" t="s">
        <v>4551</v>
      </c>
      <c r="R47" s="4322" t="s">
        <v>4532</v>
      </c>
      <c r="S47" s="2995" t="s">
        <v>29</v>
      </c>
      <c r="T47" s="1997">
        <v>530302</v>
      </c>
      <c r="U47" s="3013"/>
      <c r="V47" s="3038" t="s">
        <v>80</v>
      </c>
      <c r="W47" s="3056"/>
      <c r="X47" s="408"/>
      <c r="Y47" s="1612"/>
      <c r="Z47" s="1613"/>
      <c r="AA47" s="1604"/>
      <c r="AB47" s="1613">
        <f>SUM($AA$48:$AA$48)</f>
        <v>3584.0000000000005</v>
      </c>
      <c r="AC47" s="178"/>
      <c r="AD47" s="181"/>
      <c r="AE47" s="1942"/>
      <c r="AF47" s="4793"/>
    </row>
    <row r="48" spans="1:32" ht="18" customHeight="1">
      <c r="A48" s="4778"/>
      <c r="B48" s="4781"/>
      <c r="C48" s="4492"/>
      <c r="D48" s="4215"/>
      <c r="E48" s="4215"/>
      <c r="F48" s="4215"/>
      <c r="G48" s="4215"/>
      <c r="H48" s="4215"/>
      <c r="I48" s="4215"/>
      <c r="J48" s="4449"/>
      <c r="K48" s="4215"/>
      <c r="L48" s="4215"/>
      <c r="M48" s="4226"/>
      <c r="N48" s="4226"/>
      <c r="O48" s="4226"/>
      <c r="P48" s="4215"/>
      <c r="Q48" s="4215"/>
      <c r="R48" s="4233"/>
      <c r="S48" s="2997"/>
      <c r="T48" s="3027"/>
      <c r="U48" s="3014"/>
      <c r="V48" s="1621" t="s">
        <v>898</v>
      </c>
      <c r="W48" s="3057">
        <v>2</v>
      </c>
      <c r="X48" s="422" t="s">
        <v>250</v>
      </c>
      <c r="Y48" s="1606">
        <v>1600</v>
      </c>
      <c r="Z48" s="1606">
        <f t="shared" ref="Z48" si="4">+W48*Y48</f>
        <v>3200</v>
      </c>
      <c r="AA48" s="1606">
        <f t="shared" ref="AA48" si="5">+Z48*1.12</f>
        <v>3584.0000000000005</v>
      </c>
      <c r="AB48" s="1607"/>
      <c r="AC48" s="170"/>
      <c r="AD48" s="282" t="s">
        <v>251</v>
      </c>
      <c r="AE48" s="403" t="s">
        <v>251</v>
      </c>
      <c r="AF48" s="4794"/>
    </row>
    <row r="49" spans="1:32" ht="33.950000000000003" customHeight="1">
      <c r="A49" s="4778"/>
      <c r="B49" s="4781"/>
      <c r="C49" s="4492"/>
      <c r="D49" s="4215"/>
      <c r="E49" s="4215"/>
      <c r="F49" s="4215"/>
      <c r="G49" s="4215"/>
      <c r="H49" s="4215"/>
      <c r="I49" s="4215"/>
      <c r="J49" s="4449"/>
      <c r="K49" s="4215"/>
      <c r="L49" s="4215"/>
      <c r="M49" s="4226"/>
      <c r="N49" s="4226"/>
      <c r="O49" s="4226"/>
      <c r="P49" s="4215"/>
      <c r="Q49" s="4215"/>
      <c r="R49" s="4233"/>
      <c r="S49" s="2993" t="s">
        <v>29</v>
      </c>
      <c r="T49" s="3025">
        <v>530301</v>
      </c>
      <c r="U49" s="3005"/>
      <c r="V49" s="3039" t="s">
        <v>79</v>
      </c>
      <c r="W49" s="3049"/>
      <c r="X49" s="170"/>
      <c r="Y49" s="1606"/>
      <c r="Z49" s="1606"/>
      <c r="AA49" s="1606"/>
      <c r="AB49" s="1607">
        <f>SUM($AA$50:$AA$50)</f>
        <v>1344.0000000000002</v>
      </c>
      <c r="AC49" s="170"/>
      <c r="AD49" s="282"/>
      <c r="AE49" s="403"/>
      <c r="AF49" s="4794"/>
    </row>
    <row r="50" spans="1:32" ht="18" customHeight="1">
      <c r="A50" s="4778"/>
      <c r="B50" s="4781"/>
      <c r="C50" s="4492"/>
      <c r="D50" s="4215"/>
      <c r="E50" s="4215"/>
      <c r="F50" s="4215"/>
      <c r="G50" s="4215"/>
      <c r="H50" s="4215"/>
      <c r="I50" s="4215"/>
      <c r="J50" s="4449"/>
      <c r="K50" s="4215"/>
      <c r="L50" s="4215"/>
      <c r="M50" s="4226"/>
      <c r="N50" s="4226"/>
      <c r="O50" s="4226"/>
      <c r="P50" s="4215"/>
      <c r="Q50" s="4215"/>
      <c r="R50" s="4233"/>
      <c r="S50" s="2992"/>
      <c r="T50" s="3025"/>
      <c r="U50" s="3005"/>
      <c r="V50" s="1621" t="s">
        <v>898</v>
      </c>
      <c r="W50" s="3057">
        <v>6</v>
      </c>
      <c r="X50" s="422" t="s">
        <v>250</v>
      </c>
      <c r="Y50" s="1606">
        <v>200</v>
      </c>
      <c r="Z50" s="1606">
        <f t="shared" ref="Z50" si="6">+W50*Y50</f>
        <v>1200</v>
      </c>
      <c r="AA50" s="1606">
        <f t="shared" ref="AA50" si="7">+Z50*1.12</f>
        <v>1344.0000000000002</v>
      </c>
      <c r="AB50" s="1607"/>
      <c r="AC50" s="170"/>
      <c r="AD50" s="282" t="s">
        <v>251</v>
      </c>
      <c r="AE50" s="403" t="s">
        <v>251</v>
      </c>
      <c r="AF50" s="4794"/>
    </row>
    <row r="51" spans="1:32" ht="38.25" customHeight="1">
      <c r="A51" s="4778"/>
      <c r="B51" s="4781"/>
      <c r="C51" s="4492"/>
      <c r="D51" s="4215"/>
      <c r="E51" s="4215"/>
      <c r="F51" s="4215"/>
      <c r="G51" s="4215"/>
      <c r="H51" s="4215"/>
      <c r="I51" s="4215"/>
      <c r="J51" s="4449"/>
      <c r="K51" s="4215"/>
      <c r="L51" s="4215"/>
      <c r="M51" s="4226"/>
      <c r="N51" s="4226"/>
      <c r="O51" s="4226"/>
      <c r="P51" s="4215"/>
      <c r="Q51" s="4215"/>
      <c r="R51" s="4233"/>
      <c r="S51" s="2993" t="s">
        <v>29</v>
      </c>
      <c r="T51" s="3009">
        <v>530307</v>
      </c>
      <c r="U51" s="3010"/>
      <c r="V51" s="3036" t="s">
        <v>899</v>
      </c>
      <c r="W51" s="3054"/>
      <c r="X51" s="1775"/>
      <c r="Y51" s="1777"/>
      <c r="Z51" s="1777"/>
      <c r="AA51" s="1777"/>
      <c r="AB51" s="1993">
        <f>SUM($AA$52:$AA$52)</f>
        <v>2121.2800000000002</v>
      </c>
      <c r="AC51" s="1775"/>
      <c r="AD51" s="1946"/>
      <c r="AE51" s="406"/>
      <c r="AF51" s="4794"/>
    </row>
    <row r="52" spans="1:32">
      <c r="A52" s="4778"/>
      <c r="B52" s="4781"/>
      <c r="C52" s="4776"/>
      <c r="D52" s="4348"/>
      <c r="E52" s="4348"/>
      <c r="F52" s="4348"/>
      <c r="G52" s="4348"/>
      <c r="H52" s="4348"/>
      <c r="I52" s="4348"/>
      <c r="J52" s="4472"/>
      <c r="K52" s="4348"/>
      <c r="L52" s="4348"/>
      <c r="M52" s="4357"/>
      <c r="N52" s="4357"/>
      <c r="O52" s="4357"/>
      <c r="P52" s="4348"/>
      <c r="Q52" s="4348"/>
      <c r="R52" s="4350"/>
      <c r="S52" s="3098"/>
      <c r="T52" s="3099"/>
      <c r="U52" s="3100" t="s">
        <v>265</v>
      </c>
      <c r="V52" s="3093" t="s">
        <v>900</v>
      </c>
      <c r="W52" s="3102" t="s">
        <v>901</v>
      </c>
      <c r="X52" s="3095" t="s">
        <v>250</v>
      </c>
      <c r="Y52" s="3096">
        <v>947</v>
      </c>
      <c r="Z52" s="3096">
        <f t="shared" ref="Z52" si="8">+W52*Y52</f>
        <v>1894</v>
      </c>
      <c r="AA52" s="3096">
        <f t="shared" ref="AA52" si="9">+Z52*1.12</f>
        <v>2121.2800000000002</v>
      </c>
      <c r="AB52" s="1785"/>
      <c r="AC52" s="415"/>
      <c r="AD52" s="276" t="s">
        <v>251</v>
      </c>
      <c r="AE52" s="409" t="s">
        <v>251</v>
      </c>
      <c r="AF52" s="4794"/>
    </row>
    <row r="53" spans="1:32" ht="22.5" customHeight="1">
      <c r="A53" s="4778"/>
      <c r="B53" s="4781"/>
      <c r="C53" s="4491" t="s">
        <v>272</v>
      </c>
      <c r="D53" s="4328" t="s">
        <v>273</v>
      </c>
      <c r="E53" s="4328" t="s">
        <v>274</v>
      </c>
      <c r="F53" s="4328" t="s">
        <v>275</v>
      </c>
      <c r="G53" s="4329" t="s">
        <v>276</v>
      </c>
      <c r="H53" s="4328" t="s">
        <v>240</v>
      </c>
      <c r="I53" s="4328" t="s">
        <v>257</v>
      </c>
      <c r="J53" s="4712" t="s">
        <v>4693</v>
      </c>
      <c r="K53" s="4475" t="s">
        <v>902</v>
      </c>
      <c r="L53" s="4447" t="s">
        <v>4631</v>
      </c>
      <c r="M53" s="4249">
        <v>0</v>
      </c>
      <c r="N53" s="4249">
        <v>1</v>
      </c>
      <c r="O53" s="4249">
        <v>1</v>
      </c>
      <c r="P53" s="4345" t="s">
        <v>4730</v>
      </c>
      <c r="Q53" s="4345" t="s">
        <v>4552</v>
      </c>
      <c r="R53" s="4346" t="s">
        <v>4529</v>
      </c>
      <c r="S53" s="2993"/>
      <c r="T53" s="1759"/>
      <c r="U53" s="3007"/>
      <c r="V53" s="3034"/>
      <c r="W53" s="3050"/>
      <c r="X53" s="414"/>
      <c r="Y53" s="1608"/>
      <c r="Z53" s="1608"/>
      <c r="AA53" s="1608"/>
      <c r="AB53" s="1610"/>
      <c r="AC53" s="178"/>
      <c r="AD53" s="181"/>
      <c r="AE53" s="1942"/>
      <c r="AF53" s="4793"/>
    </row>
    <row r="54" spans="1:32" ht="22.5" customHeight="1">
      <c r="A54" s="4778"/>
      <c r="B54" s="4781"/>
      <c r="C54" s="4492"/>
      <c r="D54" s="4215"/>
      <c r="E54" s="4215"/>
      <c r="F54" s="4215"/>
      <c r="G54" s="4215"/>
      <c r="H54" s="4215"/>
      <c r="I54" s="4215"/>
      <c r="J54" s="4449"/>
      <c r="K54" s="4215"/>
      <c r="L54" s="4215"/>
      <c r="M54" s="4226"/>
      <c r="N54" s="4226"/>
      <c r="O54" s="4226"/>
      <c r="P54" s="4215"/>
      <c r="Q54" s="4215"/>
      <c r="R54" s="4233"/>
      <c r="S54" s="2992"/>
      <c r="T54" s="3025"/>
      <c r="U54" s="3005"/>
      <c r="V54" s="1621"/>
      <c r="W54" s="3049"/>
      <c r="X54" s="170"/>
      <c r="Y54" s="1606"/>
      <c r="Z54" s="1606"/>
      <c r="AA54" s="1606"/>
      <c r="AB54" s="1607"/>
      <c r="AC54" s="170"/>
      <c r="AD54" s="282"/>
      <c r="AE54" s="403"/>
      <c r="AF54" s="4794"/>
    </row>
    <row r="55" spans="1:32" ht="22.5" customHeight="1">
      <c r="A55" s="4778"/>
      <c r="B55" s="4781"/>
      <c r="C55" s="4492"/>
      <c r="D55" s="4215"/>
      <c r="E55" s="4215"/>
      <c r="F55" s="4215"/>
      <c r="G55" s="4215"/>
      <c r="H55" s="4215"/>
      <c r="I55" s="4215"/>
      <c r="J55" s="4449"/>
      <c r="K55" s="4215"/>
      <c r="L55" s="4215"/>
      <c r="M55" s="4226"/>
      <c r="N55" s="4226"/>
      <c r="O55" s="4226"/>
      <c r="P55" s="4215"/>
      <c r="Q55" s="4215"/>
      <c r="R55" s="4233"/>
      <c r="S55" s="2992"/>
      <c r="T55" s="3025"/>
      <c r="U55" s="3005"/>
      <c r="V55" s="1621"/>
      <c r="W55" s="3049"/>
      <c r="X55" s="170"/>
      <c r="Y55" s="1606"/>
      <c r="Z55" s="1606"/>
      <c r="AA55" s="1606"/>
      <c r="AB55" s="1607"/>
      <c r="AC55" s="170"/>
      <c r="AD55" s="282"/>
      <c r="AE55" s="403"/>
      <c r="AF55" s="4794"/>
    </row>
    <row r="56" spans="1:32" ht="22.5" customHeight="1">
      <c r="A56" s="4778"/>
      <c r="B56" s="4781"/>
      <c r="C56" s="4492"/>
      <c r="D56" s="4215"/>
      <c r="E56" s="4215"/>
      <c r="F56" s="4215"/>
      <c r="G56" s="4215"/>
      <c r="H56" s="4215"/>
      <c r="I56" s="4215"/>
      <c r="J56" s="4449"/>
      <c r="K56" s="4215"/>
      <c r="L56" s="4215"/>
      <c r="M56" s="4226"/>
      <c r="N56" s="4226"/>
      <c r="O56" s="4226"/>
      <c r="P56" s="4215"/>
      <c r="Q56" s="4215"/>
      <c r="R56" s="4233"/>
      <c r="S56" s="2992"/>
      <c r="T56" s="3025"/>
      <c r="U56" s="3005"/>
      <c r="V56" s="1621"/>
      <c r="W56" s="3049"/>
      <c r="X56" s="170"/>
      <c r="Y56" s="1606"/>
      <c r="Z56" s="1606"/>
      <c r="AA56" s="1606"/>
      <c r="AB56" s="1607"/>
      <c r="AC56" s="170"/>
      <c r="AD56" s="282"/>
      <c r="AE56" s="403"/>
      <c r="AF56" s="4794"/>
    </row>
    <row r="57" spans="1:32" ht="22.5" customHeight="1">
      <c r="A57" s="4778"/>
      <c r="B57" s="4781"/>
      <c r="C57" s="4493"/>
      <c r="D57" s="4216"/>
      <c r="E57" s="4216"/>
      <c r="F57" s="4216"/>
      <c r="G57" s="4216"/>
      <c r="H57" s="4216"/>
      <c r="I57" s="4216"/>
      <c r="J57" s="4450"/>
      <c r="K57" s="4216"/>
      <c r="L57" s="4216"/>
      <c r="M57" s="4247"/>
      <c r="N57" s="4247"/>
      <c r="O57" s="4247"/>
      <c r="P57" s="4216"/>
      <c r="Q57" s="4216"/>
      <c r="R57" s="4258"/>
      <c r="S57" s="2994"/>
      <c r="T57" s="3026"/>
      <c r="U57" s="3008"/>
      <c r="V57" s="3033"/>
      <c r="W57" s="3051"/>
      <c r="X57" s="165"/>
      <c r="Y57" s="1611"/>
      <c r="Z57" s="1611"/>
      <c r="AA57" s="1611"/>
      <c r="AB57" s="1609"/>
      <c r="AC57" s="165"/>
      <c r="AD57" s="166"/>
      <c r="AE57" s="404"/>
      <c r="AF57" s="4795"/>
    </row>
    <row r="58" spans="1:32" ht="30" customHeight="1">
      <c r="A58" s="4778"/>
      <c r="B58" s="4781"/>
      <c r="C58" s="4494" t="s">
        <v>272</v>
      </c>
      <c r="D58" s="4273" t="s">
        <v>273</v>
      </c>
      <c r="E58" s="4273" t="s">
        <v>274</v>
      </c>
      <c r="F58" s="4273" t="s">
        <v>885</v>
      </c>
      <c r="G58" s="4338" t="s">
        <v>276</v>
      </c>
      <c r="H58" s="4273" t="s">
        <v>240</v>
      </c>
      <c r="I58" s="4273" t="s">
        <v>257</v>
      </c>
      <c r="J58" s="4730" t="s">
        <v>4694</v>
      </c>
      <c r="K58" s="4482" t="s">
        <v>4667</v>
      </c>
      <c r="L58" s="4368" t="s">
        <v>4632</v>
      </c>
      <c r="M58" s="4246">
        <v>0</v>
      </c>
      <c r="N58" s="4246">
        <v>1</v>
      </c>
      <c r="O58" s="4246">
        <v>1</v>
      </c>
      <c r="P58" s="4228" t="s">
        <v>4591</v>
      </c>
      <c r="Q58" s="4228" t="s">
        <v>4553</v>
      </c>
      <c r="R58" s="4322" t="s">
        <v>4534</v>
      </c>
      <c r="S58" s="2995" t="s">
        <v>29</v>
      </c>
      <c r="T58" s="1759">
        <v>530612</v>
      </c>
      <c r="U58" s="3007"/>
      <c r="V58" s="2998" t="s">
        <v>66</v>
      </c>
      <c r="W58" s="3050"/>
      <c r="X58" s="414"/>
      <c r="Y58" s="1608"/>
      <c r="Z58" s="1608"/>
      <c r="AA58" s="1608"/>
      <c r="AB58" s="1610">
        <f>SUM($AA$59:$AA$61)</f>
        <v>5600.0000000000009</v>
      </c>
      <c r="AC58" s="414"/>
      <c r="AD58" s="174"/>
      <c r="AE58" s="1940"/>
      <c r="AF58" s="4793"/>
    </row>
    <row r="59" spans="1:32" ht="30" customHeight="1">
      <c r="A59" s="4778"/>
      <c r="B59" s="4781"/>
      <c r="C59" s="4492"/>
      <c r="D59" s="4215"/>
      <c r="E59" s="4215"/>
      <c r="F59" s="4215"/>
      <c r="G59" s="4215"/>
      <c r="H59" s="4215"/>
      <c r="I59" s="4215"/>
      <c r="J59" s="4449"/>
      <c r="K59" s="4215"/>
      <c r="L59" s="4215"/>
      <c r="M59" s="4226"/>
      <c r="N59" s="4226"/>
      <c r="O59" s="4226"/>
      <c r="P59" s="4215"/>
      <c r="Q59" s="4215"/>
      <c r="R59" s="4233"/>
      <c r="S59" s="2993"/>
      <c r="T59" s="1759"/>
      <c r="U59" s="3006" t="s">
        <v>903</v>
      </c>
      <c r="V59" s="3040" t="s">
        <v>904</v>
      </c>
      <c r="W59" s="3049" t="s">
        <v>905</v>
      </c>
      <c r="X59" s="422" t="s">
        <v>250</v>
      </c>
      <c r="Y59" s="1606">
        <v>5000</v>
      </c>
      <c r="Z59" s="1606">
        <f t="shared" ref="Z59" si="10">+W59*Y59</f>
        <v>5000</v>
      </c>
      <c r="AA59" s="1606">
        <f t="shared" ref="AA59" si="11">+Z59*1.12</f>
        <v>5600.0000000000009</v>
      </c>
      <c r="AB59" s="1607"/>
      <c r="AC59" s="170"/>
      <c r="AD59" s="282" t="s">
        <v>251</v>
      </c>
      <c r="AE59" s="403"/>
      <c r="AF59" s="4794"/>
    </row>
    <row r="60" spans="1:32" ht="19.5" customHeight="1">
      <c r="A60" s="4778"/>
      <c r="B60" s="4781"/>
      <c r="C60" s="4492"/>
      <c r="D60" s="4215"/>
      <c r="E60" s="4215"/>
      <c r="F60" s="4215"/>
      <c r="G60" s="4215"/>
      <c r="H60" s="4215"/>
      <c r="I60" s="4215"/>
      <c r="J60" s="4449"/>
      <c r="K60" s="4215"/>
      <c r="L60" s="4215"/>
      <c r="M60" s="4226"/>
      <c r="N60" s="4226"/>
      <c r="O60" s="4226"/>
      <c r="P60" s="4215"/>
      <c r="Q60" s="4215"/>
      <c r="R60" s="4233"/>
      <c r="S60" s="2992"/>
      <c r="T60" s="3025"/>
      <c r="U60" s="3005"/>
      <c r="V60" s="1621"/>
      <c r="W60" s="3049"/>
      <c r="X60" s="170"/>
      <c r="Y60" s="1606"/>
      <c r="Z60" s="1606"/>
      <c r="AA60" s="1606"/>
      <c r="AB60" s="1607"/>
      <c r="AC60" s="170"/>
      <c r="AD60" s="282"/>
      <c r="AE60" s="403"/>
      <c r="AF60" s="4794"/>
    </row>
    <row r="61" spans="1:32" ht="19.5" customHeight="1">
      <c r="A61" s="4778"/>
      <c r="B61" s="4781"/>
      <c r="C61" s="4492"/>
      <c r="D61" s="4215"/>
      <c r="E61" s="4215"/>
      <c r="F61" s="4215"/>
      <c r="G61" s="4215"/>
      <c r="H61" s="4215"/>
      <c r="I61" s="4215"/>
      <c r="J61" s="4449"/>
      <c r="K61" s="4215"/>
      <c r="L61" s="4215"/>
      <c r="M61" s="4226"/>
      <c r="N61" s="4226"/>
      <c r="O61" s="4226"/>
      <c r="P61" s="4215"/>
      <c r="Q61" s="4215"/>
      <c r="R61" s="4233"/>
      <c r="S61" s="2992"/>
      <c r="T61" s="3025"/>
      <c r="U61" s="3005"/>
      <c r="V61" s="1621"/>
      <c r="W61" s="3049"/>
      <c r="X61" s="170"/>
      <c r="Y61" s="1606"/>
      <c r="Z61" s="1606"/>
      <c r="AA61" s="1606"/>
      <c r="AB61" s="1607"/>
      <c r="AC61" s="170"/>
      <c r="AD61" s="282"/>
      <c r="AE61" s="403"/>
      <c r="AF61" s="4794"/>
    </row>
    <row r="62" spans="1:32" ht="19.5" customHeight="1">
      <c r="A62" s="4778"/>
      <c r="B62" s="4781"/>
      <c r="C62" s="4493"/>
      <c r="D62" s="4216"/>
      <c r="E62" s="4216"/>
      <c r="F62" s="4216"/>
      <c r="G62" s="4216"/>
      <c r="H62" s="4216"/>
      <c r="I62" s="4216"/>
      <c r="J62" s="4450"/>
      <c r="K62" s="4216"/>
      <c r="L62" s="4216"/>
      <c r="M62" s="4247"/>
      <c r="N62" s="4247"/>
      <c r="O62" s="4247"/>
      <c r="P62" s="4216"/>
      <c r="Q62" s="4216"/>
      <c r="R62" s="4258"/>
      <c r="S62" s="2994"/>
      <c r="T62" s="3026"/>
      <c r="U62" s="3015"/>
      <c r="V62" s="3037"/>
      <c r="W62" s="3054"/>
      <c r="X62" s="1775"/>
      <c r="Y62" s="1777"/>
      <c r="Z62" s="1611"/>
      <c r="AA62" s="1611"/>
      <c r="AB62" s="1993"/>
      <c r="AC62" s="1775"/>
      <c r="AD62" s="1946"/>
      <c r="AE62" s="406"/>
      <c r="AF62" s="4795"/>
    </row>
    <row r="63" spans="1:32" ht="22.5" customHeight="1">
      <c r="A63" s="4778"/>
      <c r="B63" s="4781"/>
      <c r="C63" s="4494" t="s">
        <v>272</v>
      </c>
      <c r="D63" s="4273" t="s">
        <v>273</v>
      </c>
      <c r="E63" s="4273" t="s">
        <v>274</v>
      </c>
      <c r="F63" s="4273" t="s">
        <v>885</v>
      </c>
      <c r="G63" s="4338" t="s">
        <v>276</v>
      </c>
      <c r="H63" s="4273" t="s">
        <v>240</v>
      </c>
      <c r="I63" s="4273" t="s">
        <v>257</v>
      </c>
      <c r="J63" s="4730" t="s">
        <v>4695</v>
      </c>
      <c r="K63" s="4482" t="s">
        <v>906</v>
      </c>
      <c r="L63" s="4368" t="s">
        <v>4633</v>
      </c>
      <c r="M63" s="4246">
        <v>0</v>
      </c>
      <c r="N63" s="4246">
        <v>0</v>
      </c>
      <c r="O63" s="4246">
        <v>2</v>
      </c>
      <c r="P63" s="4228" t="s">
        <v>4592</v>
      </c>
      <c r="Q63" s="4228" t="s">
        <v>4554</v>
      </c>
      <c r="R63" s="4322" t="s">
        <v>4533</v>
      </c>
      <c r="S63" s="2993"/>
      <c r="T63" s="1759"/>
      <c r="U63" s="3007"/>
      <c r="V63" s="3035"/>
      <c r="W63" s="3052"/>
      <c r="X63" s="178"/>
      <c r="Y63" s="1612"/>
      <c r="Z63" s="1608"/>
      <c r="AA63" s="1608"/>
      <c r="AB63" s="1613"/>
      <c r="AC63" s="178"/>
      <c r="AD63" s="181"/>
      <c r="AE63" s="1942"/>
      <c r="AF63" s="4793"/>
    </row>
    <row r="64" spans="1:32" ht="22.5" customHeight="1">
      <c r="A64" s="4778"/>
      <c r="B64" s="4781"/>
      <c r="C64" s="4492"/>
      <c r="D64" s="4215"/>
      <c r="E64" s="4215"/>
      <c r="F64" s="4215"/>
      <c r="G64" s="4215"/>
      <c r="H64" s="4215"/>
      <c r="I64" s="4215"/>
      <c r="J64" s="4449"/>
      <c r="K64" s="4215"/>
      <c r="L64" s="4215"/>
      <c r="M64" s="4226"/>
      <c r="N64" s="4226"/>
      <c r="O64" s="4226"/>
      <c r="P64" s="4215"/>
      <c r="Q64" s="4215"/>
      <c r="R64" s="4233"/>
      <c r="S64" s="2992"/>
      <c r="T64" s="3025"/>
      <c r="U64" s="3005"/>
      <c r="V64" s="1621"/>
      <c r="W64" s="3049"/>
      <c r="X64" s="170"/>
      <c r="Y64" s="1606"/>
      <c r="Z64" s="1606"/>
      <c r="AA64" s="1606"/>
      <c r="AB64" s="1607"/>
      <c r="AC64" s="170"/>
      <c r="AD64" s="282"/>
      <c r="AE64" s="403"/>
      <c r="AF64" s="4794"/>
    </row>
    <row r="65" spans="1:32" ht="22.5" customHeight="1">
      <c r="A65" s="4778"/>
      <c r="B65" s="4781"/>
      <c r="C65" s="4492"/>
      <c r="D65" s="4215"/>
      <c r="E65" s="4215"/>
      <c r="F65" s="4215"/>
      <c r="G65" s="4215"/>
      <c r="H65" s="4215"/>
      <c r="I65" s="4215"/>
      <c r="J65" s="4449"/>
      <c r="K65" s="4215"/>
      <c r="L65" s="4215"/>
      <c r="M65" s="4226"/>
      <c r="N65" s="4226"/>
      <c r="O65" s="4226"/>
      <c r="P65" s="4215"/>
      <c r="Q65" s="4215"/>
      <c r="R65" s="4233"/>
      <c r="S65" s="2992"/>
      <c r="T65" s="3025"/>
      <c r="U65" s="3005"/>
      <c r="V65" s="1621"/>
      <c r="W65" s="3049"/>
      <c r="X65" s="170"/>
      <c r="Y65" s="1606"/>
      <c r="Z65" s="1606"/>
      <c r="AA65" s="1606"/>
      <c r="AB65" s="1607"/>
      <c r="AC65" s="170"/>
      <c r="AD65" s="282"/>
      <c r="AE65" s="403"/>
      <c r="AF65" s="4794"/>
    </row>
    <row r="66" spans="1:32" ht="22.5" customHeight="1">
      <c r="A66" s="4778"/>
      <c r="B66" s="4781"/>
      <c r="C66" s="4492"/>
      <c r="D66" s="4215"/>
      <c r="E66" s="4215"/>
      <c r="F66" s="4215"/>
      <c r="G66" s="4215"/>
      <c r="H66" s="4215"/>
      <c r="I66" s="4215"/>
      <c r="J66" s="4449"/>
      <c r="K66" s="4215"/>
      <c r="L66" s="4215"/>
      <c r="M66" s="4226"/>
      <c r="N66" s="4226"/>
      <c r="O66" s="4226"/>
      <c r="P66" s="4215"/>
      <c r="Q66" s="4215"/>
      <c r="R66" s="4233"/>
      <c r="S66" s="2992"/>
      <c r="T66" s="3025"/>
      <c r="U66" s="3005"/>
      <c r="V66" s="1621"/>
      <c r="W66" s="3049"/>
      <c r="X66" s="170"/>
      <c r="Y66" s="1606"/>
      <c r="Z66" s="1606"/>
      <c r="AA66" s="1606"/>
      <c r="AB66" s="1607"/>
      <c r="AC66" s="170"/>
      <c r="AD66" s="282"/>
      <c r="AE66" s="403"/>
      <c r="AF66" s="4794"/>
    </row>
    <row r="67" spans="1:32" ht="22.5" customHeight="1">
      <c r="A67" s="4778"/>
      <c r="B67" s="4781"/>
      <c r="C67" s="4493"/>
      <c r="D67" s="4216"/>
      <c r="E67" s="4216"/>
      <c r="F67" s="4216"/>
      <c r="G67" s="4216"/>
      <c r="H67" s="4216"/>
      <c r="I67" s="4216"/>
      <c r="J67" s="4450"/>
      <c r="K67" s="4216"/>
      <c r="L67" s="4216"/>
      <c r="M67" s="4247"/>
      <c r="N67" s="4247"/>
      <c r="O67" s="4247"/>
      <c r="P67" s="4216"/>
      <c r="Q67" s="4216"/>
      <c r="R67" s="4258"/>
      <c r="S67" s="2994"/>
      <c r="T67" s="3026"/>
      <c r="U67" s="3008"/>
      <c r="V67" s="3033"/>
      <c r="W67" s="3051"/>
      <c r="X67" s="165"/>
      <c r="Y67" s="1611"/>
      <c r="Z67" s="1611"/>
      <c r="AA67" s="1611"/>
      <c r="AB67" s="1609"/>
      <c r="AC67" s="165"/>
      <c r="AD67" s="166"/>
      <c r="AE67" s="404"/>
      <c r="AF67" s="4795"/>
    </row>
    <row r="68" spans="1:32" ht="22.5" customHeight="1">
      <c r="A68" s="4778"/>
      <c r="B68" s="4781"/>
      <c r="C68" s="4494" t="s">
        <v>272</v>
      </c>
      <c r="D68" s="4273" t="s">
        <v>273</v>
      </c>
      <c r="E68" s="4273" t="s">
        <v>274</v>
      </c>
      <c r="F68" s="4273" t="s">
        <v>885</v>
      </c>
      <c r="G68" s="4338" t="s">
        <v>276</v>
      </c>
      <c r="H68" s="4273" t="s">
        <v>240</v>
      </c>
      <c r="I68" s="4273" t="s">
        <v>257</v>
      </c>
      <c r="J68" s="4730" t="s">
        <v>4696</v>
      </c>
      <c r="K68" s="4482" t="s">
        <v>4668</v>
      </c>
      <c r="L68" s="4368" t="s">
        <v>4634</v>
      </c>
      <c r="M68" s="4246">
        <v>1</v>
      </c>
      <c r="N68" s="4246">
        <v>0</v>
      </c>
      <c r="O68" s="4246">
        <v>0</v>
      </c>
      <c r="P68" s="4228" t="s">
        <v>4593</v>
      </c>
      <c r="Q68" s="4228" t="s">
        <v>4555</v>
      </c>
      <c r="R68" s="4322" t="s">
        <v>4529</v>
      </c>
      <c r="S68" s="2995"/>
      <c r="T68" s="1759"/>
      <c r="U68" s="3007"/>
      <c r="V68" s="2998"/>
      <c r="W68" s="3050"/>
      <c r="X68" s="414"/>
      <c r="Y68" s="1608"/>
      <c r="Z68" s="1608"/>
      <c r="AA68" s="1608"/>
      <c r="AB68" s="1610"/>
      <c r="AC68" s="414"/>
      <c r="AD68" s="174"/>
      <c r="AE68" s="1940"/>
      <c r="AF68" s="4793"/>
    </row>
    <row r="69" spans="1:32" ht="22.5" customHeight="1">
      <c r="A69" s="4778"/>
      <c r="B69" s="4781"/>
      <c r="C69" s="4492"/>
      <c r="D69" s="4215"/>
      <c r="E69" s="4215"/>
      <c r="F69" s="4215"/>
      <c r="G69" s="4215"/>
      <c r="H69" s="4215"/>
      <c r="I69" s="4215"/>
      <c r="J69" s="4449"/>
      <c r="K69" s="4215"/>
      <c r="L69" s="4215"/>
      <c r="M69" s="4226"/>
      <c r="N69" s="4226"/>
      <c r="O69" s="4226"/>
      <c r="P69" s="4215"/>
      <c r="Q69" s="4215"/>
      <c r="R69" s="4233"/>
      <c r="S69" s="2993"/>
      <c r="T69" s="1759"/>
      <c r="U69" s="3006"/>
      <c r="V69" s="1621"/>
      <c r="W69" s="3049"/>
      <c r="X69" s="170"/>
      <c r="Y69" s="1606"/>
      <c r="Z69" s="1606"/>
      <c r="AA69" s="1606"/>
      <c r="AB69" s="1607"/>
      <c r="AC69" s="170"/>
      <c r="AD69" s="282"/>
      <c r="AE69" s="403"/>
      <c r="AF69" s="4794"/>
    </row>
    <row r="70" spans="1:32" ht="22.5" customHeight="1">
      <c r="A70" s="4778"/>
      <c r="B70" s="4781"/>
      <c r="C70" s="4492"/>
      <c r="D70" s="4215"/>
      <c r="E70" s="4215"/>
      <c r="F70" s="4215"/>
      <c r="G70" s="4215"/>
      <c r="H70" s="4215"/>
      <c r="I70" s="4215"/>
      <c r="J70" s="4449"/>
      <c r="K70" s="4215"/>
      <c r="L70" s="4215"/>
      <c r="M70" s="4226"/>
      <c r="N70" s="4226"/>
      <c r="O70" s="4226"/>
      <c r="P70" s="4215"/>
      <c r="Q70" s="4215"/>
      <c r="R70" s="4233"/>
      <c r="S70" s="2992"/>
      <c r="T70" s="3025"/>
      <c r="U70" s="3005"/>
      <c r="V70" s="1621"/>
      <c r="W70" s="3049"/>
      <c r="X70" s="170"/>
      <c r="Y70" s="1606"/>
      <c r="Z70" s="1606"/>
      <c r="AA70" s="1606"/>
      <c r="AB70" s="1607"/>
      <c r="AC70" s="170"/>
      <c r="AD70" s="282"/>
      <c r="AE70" s="403"/>
      <c r="AF70" s="4794"/>
    </row>
    <row r="71" spans="1:32" ht="22.5" customHeight="1">
      <c r="A71" s="4778"/>
      <c r="B71" s="4781"/>
      <c r="C71" s="4492"/>
      <c r="D71" s="4215"/>
      <c r="E71" s="4215"/>
      <c r="F71" s="4215"/>
      <c r="G71" s="4215"/>
      <c r="H71" s="4215"/>
      <c r="I71" s="4215"/>
      <c r="J71" s="4449"/>
      <c r="K71" s="4215"/>
      <c r="L71" s="4215"/>
      <c r="M71" s="4226"/>
      <c r="N71" s="4226"/>
      <c r="O71" s="4226"/>
      <c r="P71" s="4215"/>
      <c r="Q71" s="4215"/>
      <c r="R71" s="4233"/>
      <c r="S71" s="2992"/>
      <c r="T71" s="3025"/>
      <c r="U71" s="3005"/>
      <c r="V71" s="1621"/>
      <c r="W71" s="3049"/>
      <c r="X71" s="170"/>
      <c r="Y71" s="1606"/>
      <c r="Z71" s="1606"/>
      <c r="AA71" s="1606"/>
      <c r="AB71" s="1607"/>
      <c r="AC71" s="170"/>
      <c r="AD71" s="282"/>
      <c r="AE71" s="403"/>
      <c r="AF71" s="4794"/>
    </row>
    <row r="72" spans="1:32" ht="22.5" customHeight="1">
      <c r="A72" s="4778"/>
      <c r="B72" s="4781"/>
      <c r="C72" s="4493"/>
      <c r="D72" s="4216"/>
      <c r="E72" s="4216"/>
      <c r="F72" s="4216"/>
      <c r="G72" s="4216"/>
      <c r="H72" s="4216"/>
      <c r="I72" s="4216"/>
      <c r="J72" s="4450"/>
      <c r="K72" s="4216"/>
      <c r="L72" s="4216"/>
      <c r="M72" s="4247"/>
      <c r="N72" s="4247"/>
      <c r="O72" s="4247"/>
      <c r="P72" s="4216"/>
      <c r="Q72" s="4216"/>
      <c r="R72" s="4258"/>
      <c r="S72" s="2996"/>
      <c r="T72" s="3028"/>
      <c r="U72" s="3015"/>
      <c r="V72" s="3033"/>
      <c r="W72" s="3051"/>
      <c r="X72" s="165"/>
      <c r="Y72" s="1611"/>
      <c r="Z72" s="1611"/>
      <c r="AA72" s="1611"/>
      <c r="AB72" s="1609"/>
      <c r="AC72" s="165"/>
      <c r="AD72" s="166"/>
      <c r="AE72" s="404"/>
      <c r="AF72" s="4795"/>
    </row>
    <row r="73" spans="1:32" ht="22.5" customHeight="1">
      <c r="A73" s="4778"/>
      <c r="B73" s="4781"/>
      <c r="C73" s="4626" t="s">
        <v>272</v>
      </c>
      <c r="D73" s="4273" t="s">
        <v>273</v>
      </c>
      <c r="E73" s="4273" t="s">
        <v>274</v>
      </c>
      <c r="F73" s="4273" t="s">
        <v>885</v>
      </c>
      <c r="G73" s="4338" t="s">
        <v>276</v>
      </c>
      <c r="H73" s="4273" t="s">
        <v>240</v>
      </c>
      <c r="I73" s="4273" t="s">
        <v>257</v>
      </c>
      <c r="J73" s="4730" t="s">
        <v>4697</v>
      </c>
      <c r="K73" s="4482" t="s">
        <v>4669</v>
      </c>
      <c r="L73" s="4368" t="s">
        <v>4635</v>
      </c>
      <c r="M73" s="4246">
        <v>0</v>
      </c>
      <c r="N73" s="4246">
        <v>1</v>
      </c>
      <c r="O73" s="4246">
        <v>1</v>
      </c>
      <c r="P73" s="4228" t="s">
        <v>4594</v>
      </c>
      <c r="Q73" s="4228" t="s">
        <v>4556</v>
      </c>
      <c r="R73" s="4322" t="s">
        <v>4535</v>
      </c>
      <c r="S73" s="2995"/>
      <c r="T73" s="1759"/>
      <c r="U73" s="3007"/>
      <c r="V73" s="3035"/>
      <c r="W73" s="3052"/>
      <c r="X73" s="178"/>
      <c r="Y73" s="1612"/>
      <c r="Z73" s="1608"/>
      <c r="AA73" s="1608"/>
      <c r="AB73" s="1613"/>
      <c r="AC73" s="178"/>
      <c r="AD73" s="181"/>
      <c r="AE73" s="1942"/>
      <c r="AF73" s="4793"/>
    </row>
    <row r="74" spans="1:32" ht="22.5" customHeight="1">
      <c r="A74" s="4778"/>
      <c r="B74" s="4781"/>
      <c r="C74" s="4331"/>
      <c r="D74" s="4215"/>
      <c r="E74" s="4215"/>
      <c r="F74" s="4215"/>
      <c r="G74" s="4215"/>
      <c r="H74" s="4215"/>
      <c r="I74" s="4215"/>
      <c r="J74" s="4449"/>
      <c r="K74" s="4215"/>
      <c r="L74" s="4215"/>
      <c r="M74" s="4226"/>
      <c r="N74" s="4226"/>
      <c r="O74" s="4226"/>
      <c r="P74" s="4215"/>
      <c r="Q74" s="4215"/>
      <c r="R74" s="4233"/>
      <c r="S74" s="2992"/>
      <c r="T74" s="3025"/>
      <c r="U74" s="3005"/>
      <c r="V74" s="1621"/>
      <c r="W74" s="3049"/>
      <c r="X74" s="170"/>
      <c r="Y74" s="1606"/>
      <c r="Z74" s="1606"/>
      <c r="AA74" s="1606"/>
      <c r="AB74" s="1607"/>
      <c r="AC74" s="170"/>
      <c r="AD74" s="282"/>
      <c r="AE74" s="403"/>
      <c r="AF74" s="4794"/>
    </row>
    <row r="75" spans="1:32" ht="22.5" customHeight="1">
      <c r="A75" s="4778"/>
      <c r="B75" s="4781"/>
      <c r="C75" s="4331"/>
      <c r="D75" s="4215"/>
      <c r="E75" s="4215"/>
      <c r="F75" s="4215"/>
      <c r="G75" s="4215"/>
      <c r="H75" s="4215"/>
      <c r="I75" s="4215"/>
      <c r="J75" s="4449"/>
      <c r="K75" s="4215"/>
      <c r="L75" s="4215"/>
      <c r="M75" s="4226"/>
      <c r="N75" s="4226"/>
      <c r="O75" s="4226"/>
      <c r="P75" s="4215"/>
      <c r="Q75" s="4215"/>
      <c r="R75" s="4233"/>
      <c r="S75" s="2992"/>
      <c r="T75" s="3025"/>
      <c r="U75" s="3005"/>
      <c r="V75" s="1621"/>
      <c r="W75" s="3049"/>
      <c r="X75" s="170"/>
      <c r="Y75" s="1606"/>
      <c r="Z75" s="1606"/>
      <c r="AA75" s="1606"/>
      <c r="AB75" s="1607"/>
      <c r="AC75" s="170"/>
      <c r="AD75" s="282"/>
      <c r="AE75" s="403"/>
      <c r="AF75" s="4794"/>
    </row>
    <row r="76" spans="1:32" ht="22.5" customHeight="1">
      <c r="A76" s="4778"/>
      <c r="B76" s="4781"/>
      <c r="C76" s="4331"/>
      <c r="D76" s="4215"/>
      <c r="E76" s="4215"/>
      <c r="F76" s="4215"/>
      <c r="G76" s="4215"/>
      <c r="H76" s="4215"/>
      <c r="I76" s="4215"/>
      <c r="J76" s="4449"/>
      <c r="K76" s="4215"/>
      <c r="L76" s="4215"/>
      <c r="M76" s="4226"/>
      <c r="N76" s="4226"/>
      <c r="O76" s="4226"/>
      <c r="P76" s="4215"/>
      <c r="Q76" s="4215"/>
      <c r="R76" s="4233"/>
      <c r="S76" s="2992"/>
      <c r="T76" s="3025"/>
      <c r="U76" s="3005"/>
      <c r="V76" s="1621"/>
      <c r="W76" s="3049"/>
      <c r="X76" s="170"/>
      <c r="Y76" s="1606"/>
      <c r="Z76" s="1606"/>
      <c r="AA76" s="1606"/>
      <c r="AB76" s="1607"/>
      <c r="AC76" s="170"/>
      <c r="AD76" s="282"/>
      <c r="AE76" s="403"/>
      <c r="AF76" s="4794"/>
    </row>
    <row r="77" spans="1:32" ht="22.5" customHeight="1">
      <c r="A77" s="4778"/>
      <c r="B77" s="4781"/>
      <c r="C77" s="4332"/>
      <c r="D77" s="4216"/>
      <c r="E77" s="4216"/>
      <c r="F77" s="4216"/>
      <c r="G77" s="4216"/>
      <c r="H77" s="4216"/>
      <c r="I77" s="4216"/>
      <c r="J77" s="4450"/>
      <c r="K77" s="4216"/>
      <c r="L77" s="4216"/>
      <c r="M77" s="4247"/>
      <c r="N77" s="4247"/>
      <c r="O77" s="4247"/>
      <c r="P77" s="4216"/>
      <c r="Q77" s="4216"/>
      <c r="R77" s="4258"/>
      <c r="S77" s="2994"/>
      <c r="T77" s="3026"/>
      <c r="U77" s="3008"/>
      <c r="V77" s="3033"/>
      <c r="W77" s="3051"/>
      <c r="X77" s="165"/>
      <c r="Y77" s="1611"/>
      <c r="Z77" s="1611"/>
      <c r="AA77" s="1611"/>
      <c r="AB77" s="1609"/>
      <c r="AC77" s="165"/>
      <c r="AD77" s="166"/>
      <c r="AE77" s="404"/>
      <c r="AF77" s="4795"/>
    </row>
    <row r="78" spans="1:32" ht="22.5" customHeight="1">
      <c r="A78" s="4778"/>
      <c r="B78" s="4781"/>
      <c r="C78" s="4626" t="s">
        <v>272</v>
      </c>
      <c r="D78" s="4273" t="s">
        <v>273</v>
      </c>
      <c r="E78" s="4273" t="s">
        <v>274</v>
      </c>
      <c r="F78" s="4273" t="s">
        <v>885</v>
      </c>
      <c r="G78" s="4338" t="s">
        <v>276</v>
      </c>
      <c r="H78" s="4273" t="s">
        <v>240</v>
      </c>
      <c r="I78" s="4273" t="s">
        <v>257</v>
      </c>
      <c r="J78" s="4730" t="s">
        <v>4698</v>
      </c>
      <c r="K78" s="4482" t="s">
        <v>4670</v>
      </c>
      <c r="L78" s="4368" t="s">
        <v>4636</v>
      </c>
      <c r="M78" s="4246">
        <v>0</v>
      </c>
      <c r="N78" s="4246">
        <v>1</v>
      </c>
      <c r="O78" s="4246">
        <v>0</v>
      </c>
      <c r="P78" s="4228" t="s">
        <v>4595</v>
      </c>
      <c r="Q78" s="4228" t="s">
        <v>4557</v>
      </c>
      <c r="R78" s="4322" t="s">
        <v>4532</v>
      </c>
      <c r="S78" s="2995"/>
      <c r="T78" s="1759"/>
      <c r="U78" s="3007"/>
      <c r="V78" s="2998"/>
      <c r="W78" s="3050"/>
      <c r="X78" s="414"/>
      <c r="Y78" s="1608"/>
      <c r="Z78" s="1608"/>
      <c r="AA78" s="1608"/>
      <c r="AB78" s="1610"/>
      <c r="AC78" s="414"/>
      <c r="AD78" s="174"/>
      <c r="AE78" s="1940"/>
      <c r="AF78" s="4793"/>
    </row>
    <row r="79" spans="1:32" ht="22.5" customHeight="1">
      <c r="A79" s="4778"/>
      <c r="B79" s="4781"/>
      <c r="C79" s="4331"/>
      <c r="D79" s="4215"/>
      <c r="E79" s="4215"/>
      <c r="F79" s="4215"/>
      <c r="G79" s="4215"/>
      <c r="H79" s="4215"/>
      <c r="I79" s="4215"/>
      <c r="J79" s="4449"/>
      <c r="K79" s="4215"/>
      <c r="L79" s="4215"/>
      <c r="M79" s="4226"/>
      <c r="N79" s="4226"/>
      <c r="O79" s="4226"/>
      <c r="P79" s="4215"/>
      <c r="Q79" s="4215"/>
      <c r="R79" s="4233"/>
      <c r="S79" s="2993"/>
      <c r="T79" s="1759"/>
      <c r="U79" s="3006"/>
      <c r="V79" s="1621"/>
      <c r="W79" s="3049"/>
      <c r="X79" s="170"/>
      <c r="Y79" s="1606"/>
      <c r="Z79" s="1606"/>
      <c r="AA79" s="1606"/>
      <c r="AB79" s="1607"/>
      <c r="AC79" s="170"/>
      <c r="AD79" s="282"/>
      <c r="AE79" s="403"/>
      <c r="AF79" s="4794"/>
    </row>
    <row r="80" spans="1:32" ht="22.5" customHeight="1">
      <c r="A80" s="4778"/>
      <c r="B80" s="4781"/>
      <c r="C80" s="4331"/>
      <c r="D80" s="4215"/>
      <c r="E80" s="4215"/>
      <c r="F80" s="4215"/>
      <c r="G80" s="4215"/>
      <c r="H80" s="4215"/>
      <c r="I80" s="4215"/>
      <c r="J80" s="4449"/>
      <c r="K80" s="4215"/>
      <c r="L80" s="4215"/>
      <c r="M80" s="4226"/>
      <c r="N80" s="4226"/>
      <c r="O80" s="4226"/>
      <c r="P80" s="4215"/>
      <c r="Q80" s="4215"/>
      <c r="R80" s="4233"/>
      <c r="S80" s="2992"/>
      <c r="T80" s="3025"/>
      <c r="U80" s="3005"/>
      <c r="V80" s="1621"/>
      <c r="W80" s="3049"/>
      <c r="X80" s="170"/>
      <c r="Y80" s="1606"/>
      <c r="Z80" s="1606"/>
      <c r="AA80" s="1606"/>
      <c r="AB80" s="1607"/>
      <c r="AC80" s="170"/>
      <c r="AD80" s="282"/>
      <c r="AE80" s="403"/>
      <c r="AF80" s="4794"/>
    </row>
    <row r="81" spans="1:32" ht="22.5" customHeight="1">
      <c r="A81" s="4778"/>
      <c r="B81" s="4781"/>
      <c r="C81" s="4331"/>
      <c r="D81" s="4215"/>
      <c r="E81" s="4215"/>
      <c r="F81" s="4215"/>
      <c r="G81" s="4215"/>
      <c r="H81" s="4215"/>
      <c r="I81" s="4215"/>
      <c r="J81" s="4449"/>
      <c r="K81" s="4215"/>
      <c r="L81" s="4215"/>
      <c r="M81" s="4226"/>
      <c r="N81" s="4226"/>
      <c r="O81" s="4226"/>
      <c r="P81" s="4215"/>
      <c r="Q81" s="4215"/>
      <c r="R81" s="4233"/>
      <c r="S81" s="2992"/>
      <c r="T81" s="3025"/>
      <c r="U81" s="3005"/>
      <c r="V81" s="1621"/>
      <c r="W81" s="3049"/>
      <c r="X81" s="170"/>
      <c r="Y81" s="1606"/>
      <c r="Z81" s="1606"/>
      <c r="AA81" s="1606"/>
      <c r="AB81" s="1607"/>
      <c r="AC81" s="170"/>
      <c r="AD81" s="282"/>
      <c r="AE81" s="403"/>
      <c r="AF81" s="4794"/>
    </row>
    <row r="82" spans="1:32" ht="22.5" customHeight="1">
      <c r="A82" s="4778"/>
      <c r="B82" s="4781"/>
      <c r="C82" s="4332"/>
      <c r="D82" s="4216"/>
      <c r="E82" s="4216"/>
      <c r="F82" s="4216"/>
      <c r="G82" s="4216"/>
      <c r="H82" s="4216"/>
      <c r="I82" s="4216"/>
      <c r="J82" s="4450"/>
      <c r="K82" s="4216"/>
      <c r="L82" s="4216"/>
      <c r="M82" s="4247"/>
      <c r="N82" s="4247"/>
      <c r="O82" s="4247"/>
      <c r="P82" s="4216"/>
      <c r="Q82" s="4216"/>
      <c r="R82" s="4258"/>
      <c r="S82" s="2996"/>
      <c r="T82" s="3028"/>
      <c r="U82" s="3015"/>
      <c r="V82" s="3033"/>
      <c r="W82" s="3051"/>
      <c r="X82" s="165"/>
      <c r="Y82" s="1611"/>
      <c r="Z82" s="1611"/>
      <c r="AA82" s="1611"/>
      <c r="AB82" s="1609"/>
      <c r="AC82" s="165"/>
      <c r="AD82" s="166"/>
      <c r="AE82" s="404"/>
      <c r="AF82" s="4795"/>
    </row>
    <row r="83" spans="1:32" ht="27" customHeight="1">
      <c r="A83" s="4778"/>
      <c r="B83" s="4781"/>
      <c r="C83" s="4626" t="s">
        <v>235</v>
      </c>
      <c r="D83" s="4273" t="s">
        <v>236</v>
      </c>
      <c r="E83" s="4273" t="s">
        <v>244</v>
      </c>
      <c r="F83" s="4273" t="s">
        <v>292</v>
      </c>
      <c r="G83" s="4338" t="s">
        <v>239</v>
      </c>
      <c r="H83" s="4273" t="s">
        <v>240</v>
      </c>
      <c r="I83" s="4273" t="s">
        <v>257</v>
      </c>
      <c r="J83" s="4730" t="s">
        <v>4699</v>
      </c>
      <c r="K83" s="4482" t="s">
        <v>338</v>
      </c>
      <c r="L83" s="4368" t="s">
        <v>4637</v>
      </c>
      <c r="M83" s="4246">
        <v>0</v>
      </c>
      <c r="N83" s="4246">
        <v>1</v>
      </c>
      <c r="O83" s="4246">
        <v>1</v>
      </c>
      <c r="P83" s="4228" t="s">
        <v>4596</v>
      </c>
      <c r="Q83" s="4228" t="s">
        <v>4099</v>
      </c>
      <c r="R83" s="4322" t="s">
        <v>4529</v>
      </c>
      <c r="S83" s="2995"/>
      <c r="T83" s="1759"/>
      <c r="U83" s="3007"/>
      <c r="V83" s="2998"/>
      <c r="W83" s="3050"/>
      <c r="X83" s="414"/>
      <c r="Y83" s="1608"/>
      <c r="Z83" s="1608"/>
      <c r="AA83" s="1608"/>
      <c r="AB83" s="1610"/>
      <c r="AC83" s="414"/>
      <c r="AD83" s="174"/>
      <c r="AE83" s="1940"/>
      <c r="AF83" s="4793"/>
    </row>
    <row r="84" spans="1:32" ht="27" customHeight="1">
      <c r="A84" s="4778"/>
      <c r="B84" s="4781"/>
      <c r="C84" s="4331"/>
      <c r="D84" s="4215"/>
      <c r="E84" s="4215"/>
      <c r="F84" s="4215"/>
      <c r="G84" s="4215"/>
      <c r="H84" s="4215"/>
      <c r="I84" s="4215"/>
      <c r="J84" s="4449"/>
      <c r="K84" s="4215"/>
      <c r="L84" s="4215"/>
      <c r="M84" s="4226"/>
      <c r="N84" s="4226"/>
      <c r="O84" s="4226"/>
      <c r="P84" s="4215"/>
      <c r="Q84" s="4215"/>
      <c r="R84" s="4233"/>
      <c r="S84" s="2993"/>
      <c r="T84" s="1759"/>
      <c r="U84" s="3006"/>
      <c r="V84" s="1621"/>
      <c r="W84" s="3049"/>
      <c r="X84" s="170"/>
      <c r="Y84" s="1606"/>
      <c r="Z84" s="1606"/>
      <c r="AA84" s="1606"/>
      <c r="AB84" s="1607"/>
      <c r="AC84" s="170"/>
      <c r="AD84" s="282"/>
      <c r="AE84" s="403"/>
      <c r="AF84" s="4794"/>
    </row>
    <row r="85" spans="1:32" ht="27" customHeight="1">
      <c r="A85" s="4778"/>
      <c r="B85" s="4781"/>
      <c r="C85" s="4331"/>
      <c r="D85" s="4215"/>
      <c r="E85" s="4215"/>
      <c r="F85" s="4215"/>
      <c r="G85" s="4215"/>
      <c r="H85" s="4215"/>
      <c r="I85" s="4215"/>
      <c r="J85" s="4449"/>
      <c r="K85" s="4215"/>
      <c r="L85" s="4215"/>
      <c r="M85" s="4226"/>
      <c r="N85" s="4226"/>
      <c r="O85" s="4226"/>
      <c r="P85" s="4215"/>
      <c r="Q85" s="4215"/>
      <c r="R85" s="4233"/>
      <c r="S85" s="2992"/>
      <c r="T85" s="3025"/>
      <c r="U85" s="3005"/>
      <c r="V85" s="1621"/>
      <c r="W85" s="3049"/>
      <c r="X85" s="170"/>
      <c r="Y85" s="1606"/>
      <c r="Z85" s="1606"/>
      <c r="AA85" s="1606"/>
      <c r="AB85" s="1607"/>
      <c r="AC85" s="170"/>
      <c r="AD85" s="282"/>
      <c r="AE85" s="403"/>
      <c r="AF85" s="4794"/>
    </row>
    <row r="86" spans="1:32" ht="27" customHeight="1">
      <c r="A86" s="4778"/>
      <c r="B86" s="4781"/>
      <c r="C86" s="4331"/>
      <c r="D86" s="4215"/>
      <c r="E86" s="4215"/>
      <c r="F86" s="4215"/>
      <c r="G86" s="4215"/>
      <c r="H86" s="4215"/>
      <c r="I86" s="4215"/>
      <c r="J86" s="4449"/>
      <c r="K86" s="4215"/>
      <c r="L86" s="4215"/>
      <c r="M86" s="4226"/>
      <c r="N86" s="4226"/>
      <c r="O86" s="4226"/>
      <c r="P86" s="4215"/>
      <c r="Q86" s="4215"/>
      <c r="R86" s="4233"/>
      <c r="S86" s="2992"/>
      <c r="T86" s="3025"/>
      <c r="U86" s="3005"/>
      <c r="V86" s="1621"/>
      <c r="W86" s="3049"/>
      <c r="X86" s="170"/>
      <c r="Y86" s="1606"/>
      <c r="Z86" s="1606"/>
      <c r="AA86" s="1606"/>
      <c r="AB86" s="1607"/>
      <c r="AC86" s="170"/>
      <c r="AD86" s="282"/>
      <c r="AE86" s="403"/>
      <c r="AF86" s="4794"/>
    </row>
    <row r="87" spans="1:32" ht="27" customHeight="1">
      <c r="A87" s="4778"/>
      <c r="B87" s="4781"/>
      <c r="C87" s="4332"/>
      <c r="D87" s="4216"/>
      <c r="E87" s="4216"/>
      <c r="F87" s="4216"/>
      <c r="G87" s="4216"/>
      <c r="H87" s="4216"/>
      <c r="I87" s="4216"/>
      <c r="J87" s="4450"/>
      <c r="K87" s="4216"/>
      <c r="L87" s="4216"/>
      <c r="M87" s="4247"/>
      <c r="N87" s="4247"/>
      <c r="O87" s="4247"/>
      <c r="P87" s="4216"/>
      <c r="Q87" s="4216"/>
      <c r="R87" s="4258"/>
      <c r="S87" s="2996"/>
      <c r="T87" s="3009"/>
      <c r="U87" s="3016"/>
      <c r="V87" s="3037"/>
      <c r="W87" s="3054"/>
      <c r="X87" s="1775"/>
      <c r="Y87" s="1777"/>
      <c r="Z87" s="1611"/>
      <c r="AA87" s="1611"/>
      <c r="AB87" s="1993"/>
      <c r="AC87" s="1775"/>
      <c r="AD87" s="1946"/>
      <c r="AE87" s="406"/>
      <c r="AF87" s="4795"/>
    </row>
    <row r="88" spans="1:32" ht="30" customHeight="1">
      <c r="A88" s="4778"/>
      <c r="B88" s="4781"/>
      <c r="C88" s="4494" t="s">
        <v>235</v>
      </c>
      <c r="D88" s="4273" t="s">
        <v>236</v>
      </c>
      <c r="E88" s="4273" t="s">
        <v>237</v>
      </c>
      <c r="F88" s="4273" t="s">
        <v>326</v>
      </c>
      <c r="G88" s="4338" t="s">
        <v>239</v>
      </c>
      <c r="H88" s="4273" t="s">
        <v>240</v>
      </c>
      <c r="I88" s="4273" t="s">
        <v>257</v>
      </c>
      <c r="J88" s="4730" t="s">
        <v>4700</v>
      </c>
      <c r="K88" s="4482" t="s">
        <v>371</v>
      </c>
      <c r="L88" s="4368" t="s">
        <v>1183</v>
      </c>
      <c r="M88" s="4246">
        <v>4</v>
      </c>
      <c r="N88" s="4246">
        <v>4</v>
      </c>
      <c r="O88" s="4246">
        <v>4</v>
      </c>
      <c r="P88" s="4228" t="s">
        <v>4597</v>
      </c>
      <c r="Q88" s="4228" t="s">
        <v>3839</v>
      </c>
      <c r="R88" s="4322" t="s">
        <v>4536</v>
      </c>
      <c r="S88" s="2995" t="s">
        <v>29</v>
      </c>
      <c r="T88" s="1997">
        <v>530704</v>
      </c>
      <c r="U88" s="3017"/>
      <c r="V88" s="3038" t="s">
        <v>19</v>
      </c>
      <c r="W88" s="3056"/>
      <c r="X88" s="178"/>
      <c r="Y88" s="1612"/>
      <c r="Z88" s="1612"/>
      <c r="AA88" s="1612"/>
      <c r="AB88" s="1613">
        <f>SUM($AA$89:$AA$90)</f>
        <v>3584.0000000000005</v>
      </c>
      <c r="AC88" s="178"/>
      <c r="AD88" s="181"/>
      <c r="AE88" s="1942"/>
      <c r="AF88" s="4793"/>
    </row>
    <row r="89" spans="1:32" ht="19.5" customHeight="1">
      <c r="A89" s="4778"/>
      <c r="B89" s="4781"/>
      <c r="C89" s="4492"/>
      <c r="D89" s="4215"/>
      <c r="E89" s="4215"/>
      <c r="F89" s="4215"/>
      <c r="G89" s="4215"/>
      <c r="H89" s="4215"/>
      <c r="I89" s="4215"/>
      <c r="J89" s="4449"/>
      <c r="K89" s="4215"/>
      <c r="L89" s="4215"/>
      <c r="M89" s="4226"/>
      <c r="N89" s="4226"/>
      <c r="O89" s="4226"/>
      <c r="P89" s="4215"/>
      <c r="Q89" s="4215"/>
      <c r="R89" s="4233"/>
      <c r="S89" s="2993"/>
      <c r="T89" s="1759"/>
      <c r="U89" s="3006" t="s">
        <v>907</v>
      </c>
      <c r="V89" s="3041" t="s">
        <v>908</v>
      </c>
      <c r="W89" s="3058">
        <v>1</v>
      </c>
      <c r="X89" s="414" t="s">
        <v>250</v>
      </c>
      <c r="Y89" s="1608">
        <v>2400</v>
      </c>
      <c r="Z89" s="1608">
        <f t="shared" ref="Z89:Z90" si="12">+W89*Y89</f>
        <v>2400</v>
      </c>
      <c r="AA89" s="1608">
        <f t="shared" ref="AA89:AA90" si="13">+Z89*1.12</f>
        <v>2688.0000000000005</v>
      </c>
      <c r="AB89" s="1610"/>
      <c r="AC89" s="170"/>
      <c r="AD89" s="174" t="s">
        <v>251</v>
      </c>
      <c r="AE89" s="1940"/>
      <c r="AF89" s="4794"/>
    </row>
    <row r="90" spans="1:32" ht="19.5" customHeight="1">
      <c r="A90" s="4778"/>
      <c r="B90" s="4781"/>
      <c r="C90" s="4492"/>
      <c r="D90" s="4215"/>
      <c r="E90" s="4215"/>
      <c r="F90" s="4215"/>
      <c r="G90" s="4215"/>
      <c r="H90" s="4215"/>
      <c r="I90" s="4215"/>
      <c r="J90" s="4449"/>
      <c r="K90" s="4215"/>
      <c r="L90" s="4215"/>
      <c r="M90" s="4226"/>
      <c r="N90" s="4226"/>
      <c r="O90" s="4226"/>
      <c r="P90" s="4215"/>
      <c r="Q90" s="4215"/>
      <c r="R90" s="4233"/>
      <c r="S90" s="2992"/>
      <c r="T90" s="3029"/>
      <c r="U90" s="3014" t="s">
        <v>907</v>
      </c>
      <c r="V90" s="3040" t="s">
        <v>4731</v>
      </c>
      <c r="W90" s="3057">
        <v>1</v>
      </c>
      <c r="X90" s="422" t="s">
        <v>250</v>
      </c>
      <c r="Y90" s="1606">
        <v>800</v>
      </c>
      <c r="Z90" s="1606">
        <f t="shared" si="12"/>
        <v>800</v>
      </c>
      <c r="AA90" s="1606">
        <f t="shared" si="13"/>
        <v>896.00000000000011</v>
      </c>
      <c r="AB90" s="1607"/>
      <c r="AC90" s="170"/>
      <c r="AD90" s="282" t="s">
        <v>251</v>
      </c>
      <c r="AE90" s="403"/>
      <c r="AF90" s="4794"/>
    </row>
    <row r="91" spans="1:32" ht="30" customHeight="1">
      <c r="A91" s="4778"/>
      <c r="B91" s="4781"/>
      <c r="C91" s="4492"/>
      <c r="D91" s="4215"/>
      <c r="E91" s="4215"/>
      <c r="F91" s="4215"/>
      <c r="G91" s="4215"/>
      <c r="H91" s="4215"/>
      <c r="I91" s="4215"/>
      <c r="J91" s="4449"/>
      <c r="K91" s="4215"/>
      <c r="L91" s="4215"/>
      <c r="M91" s="4226"/>
      <c r="N91" s="4226"/>
      <c r="O91" s="4226"/>
      <c r="P91" s="4215"/>
      <c r="Q91" s="4215"/>
      <c r="R91" s="4233"/>
      <c r="S91" s="2993" t="s">
        <v>29</v>
      </c>
      <c r="T91" s="3025">
        <v>840103</v>
      </c>
      <c r="U91" s="3005"/>
      <c r="V91" s="3042" t="s">
        <v>22</v>
      </c>
      <c r="W91" s="3049"/>
      <c r="X91" s="170"/>
      <c r="Y91" s="1606"/>
      <c r="Z91" s="1606"/>
      <c r="AA91" s="1606"/>
      <c r="AB91" s="1607">
        <f>SUM($AA$92:$AA$92)</f>
        <v>533.12</v>
      </c>
      <c r="AC91" s="170"/>
      <c r="AD91" s="282"/>
      <c r="AE91" s="403"/>
      <c r="AF91" s="4794"/>
    </row>
    <row r="92" spans="1:32" ht="19.5" customHeight="1">
      <c r="A92" s="4778"/>
      <c r="B92" s="4781"/>
      <c r="C92" s="4492"/>
      <c r="D92" s="4215"/>
      <c r="E92" s="4215"/>
      <c r="F92" s="4215"/>
      <c r="G92" s="4215"/>
      <c r="H92" s="4215"/>
      <c r="I92" s="4215"/>
      <c r="J92" s="4449"/>
      <c r="K92" s="4215"/>
      <c r="L92" s="4215"/>
      <c r="M92" s="4226"/>
      <c r="N92" s="4226"/>
      <c r="O92" s="4226"/>
      <c r="P92" s="4215"/>
      <c r="Q92" s="4215"/>
      <c r="R92" s="4233"/>
      <c r="S92" s="2992"/>
      <c r="T92" s="3025"/>
      <c r="U92" s="3005" t="s">
        <v>851</v>
      </c>
      <c r="V92" s="3040" t="s">
        <v>909</v>
      </c>
      <c r="W92" s="3049" t="s">
        <v>905</v>
      </c>
      <c r="X92" s="170" t="s">
        <v>269</v>
      </c>
      <c r="Y92" s="1606">
        <v>476</v>
      </c>
      <c r="Z92" s="1606">
        <f t="shared" ref="Z92" si="14">+W92*Y92</f>
        <v>476</v>
      </c>
      <c r="AA92" s="1606">
        <f t="shared" ref="AA92" si="15">+Z92*1.12</f>
        <v>533.12</v>
      </c>
      <c r="AB92" s="1607"/>
      <c r="AC92" s="170"/>
      <c r="AD92" s="282" t="s">
        <v>251</v>
      </c>
      <c r="AE92" s="403"/>
      <c r="AF92" s="4794"/>
    </row>
    <row r="93" spans="1:32" ht="30" customHeight="1">
      <c r="A93" s="4778"/>
      <c r="B93" s="4781"/>
      <c r="C93" s="4492"/>
      <c r="D93" s="4215"/>
      <c r="E93" s="4215"/>
      <c r="F93" s="4215"/>
      <c r="G93" s="4215"/>
      <c r="H93" s="4215"/>
      <c r="I93" s="4215"/>
      <c r="J93" s="4449"/>
      <c r="K93" s="4215"/>
      <c r="L93" s="4215"/>
      <c r="M93" s="4226"/>
      <c r="N93" s="4226"/>
      <c r="O93" s="4226"/>
      <c r="P93" s="4215"/>
      <c r="Q93" s="4215"/>
      <c r="R93" s="4233"/>
      <c r="S93" s="2993" t="s">
        <v>29</v>
      </c>
      <c r="T93" s="3009">
        <v>840107</v>
      </c>
      <c r="U93" s="3010"/>
      <c r="V93" s="3043" t="s">
        <v>20</v>
      </c>
      <c r="W93" s="3054"/>
      <c r="X93" s="1775"/>
      <c r="Y93" s="1777"/>
      <c r="Z93" s="1777"/>
      <c r="AA93" s="1777"/>
      <c r="AB93" s="1993">
        <f>SUM($AA$94)</f>
        <v>1581.44</v>
      </c>
      <c r="AC93" s="1775"/>
      <c r="AD93" s="1946"/>
      <c r="AE93" s="406"/>
      <c r="AF93" s="4794"/>
    </row>
    <row r="94" spans="1:32" ht="19.5" customHeight="1">
      <c r="A94" s="4778"/>
      <c r="B94" s="4781"/>
      <c r="C94" s="4776"/>
      <c r="D94" s="4348"/>
      <c r="E94" s="4348"/>
      <c r="F94" s="4348"/>
      <c r="G94" s="4348"/>
      <c r="H94" s="4348"/>
      <c r="I94" s="4348"/>
      <c r="J94" s="4472"/>
      <c r="K94" s="4348"/>
      <c r="L94" s="4348"/>
      <c r="M94" s="4357"/>
      <c r="N94" s="4357"/>
      <c r="O94" s="4357"/>
      <c r="P94" s="4348"/>
      <c r="Q94" s="4348"/>
      <c r="R94" s="4472"/>
      <c r="S94" s="3109"/>
      <c r="T94" s="3099"/>
      <c r="U94" s="3100" t="s">
        <v>910</v>
      </c>
      <c r="V94" s="3101" t="s">
        <v>4525</v>
      </c>
      <c r="W94" s="3102" t="s">
        <v>905</v>
      </c>
      <c r="X94" s="1786" t="s">
        <v>269</v>
      </c>
      <c r="Y94" s="3096">
        <v>1412</v>
      </c>
      <c r="Z94" s="3096">
        <f>+W94*Y94</f>
        <v>1412</v>
      </c>
      <c r="AA94" s="3096">
        <f>+Z94*1.12</f>
        <v>1581.44</v>
      </c>
      <c r="AB94" s="1785"/>
      <c r="AC94" s="1786"/>
      <c r="AD94" s="1787" t="s">
        <v>251</v>
      </c>
      <c r="AE94" s="3103"/>
      <c r="AF94" s="4803"/>
    </row>
    <row r="95" spans="1:32" ht="22.5" customHeight="1" thickBot="1">
      <c r="A95" s="4778"/>
      <c r="B95" s="4782"/>
      <c r="C95" s="1980"/>
      <c r="D95" s="1980"/>
      <c r="E95" s="1980"/>
      <c r="F95" s="1980"/>
      <c r="G95" s="1980"/>
      <c r="H95" s="1980"/>
      <c r="I95" s="1980"/>
      <c r="J95" s="1980"/>
      <c r="K95" s="1980"/>
      <c r="L95" s="1980"/>
      <c r="M95" s="1981"/>
      <c r="N95" s="1981"/>
      <c r="O95" s="1981"/>
      <c r="P95" s="1980"/>
      <c r="Q95" s="1980"/>
      <c r="R95" s="1980"/>
      <c r="S95" s="4818" t="s">
        <v>911</v>
      </c>
      <c r="T95" s="4704"/>
      <c r="U95" s="4704"/>
      <c r="V95" s="4704"/>
      <c r="W95" s="4704"/>
      <c r="X95" s="4704"/>
      <c r="Y95" s="4704"/>
      <c r="Z95" s="4704"/>
      <c r="AA95" s="2172" t="s">
        <v>340</v>
      </c>
      <c r="AB95" s="2173">
        <f>SUM(AB9:AB94)</f>
        <v>20609.439999999999</v>
      </c>
      <c r="AC95" s="4815"/>
      <c r="AD95" s="4443"/>
      <c r="AE95" s="4443"/>
      <c r="AF95" s="4816"/>
    </row>
    <row r="96" spans="1:32" ht="38.25" customHeight="1">
      <c r="A96" s="4778"/>
      <c r="B96" s="4773" t="s">
        <v>912</v>
      </c>
      <c r="C96" s="4491" t="s">
        <v>272</v>
      </c>
      <c r="D96" s="4328" t="s">
        <v>273</v>
      </c>
      <c r="E96" s="4273" t="s">
        <v>274</v>
      </c>
      <c r="F96" s="4328" t="s">
        <v>885</v>
      </c>
      <c r="G96" s="4338" t="s">
        <v>276</v>
      </c>
      <c r="H96" s="4328" t="s">
        <v>240</v>
      </c>
      <c r="I96" s="4328" t="s">
        <v>257</v>
      </c>
      <c r="J96" s="4458" t="s">
        <v>4701</v>
      </c>
      <c r="K96" s="4273" t="s">
        <v>4671</v>
      </c>
      <c r="L96" s="4345" t="s">
        <v>4638</v>
      </c>
      <c r="M96" s="4249">
        <v>1</v>
      </c>
      <c r="N96" s="4249">
        <v>0</v>
      </c>
      <c r="O96" s="4249">
        <v>0</v>
      </c>
      <c r="P96" s="4345" t="s">
        <v>4598</v>
      </c>
      <c r="Q96" s="4345" t="s">
        <v>4558</v>
      </c>
      <c r="R96" s="4458" t="s">
        <v>4537</v>
      </c>
      <c r="S96" s="3110" t="s">
        <v>29</v>
      </c>
      <c r="T96" s="3025">
        <v>840103</v>
      </c>
      <c r="U96" s="3005"/>
      <c r="V96" s="3039" t="s">
        <v>22</v>
      </c>
      <c r="W96" s="3049"/>
      <c r="X96" s="170"/>
      <c r="Y96" s="1606"/>
      <c r="Z96" s="1606"/>
      <c r="AA96" s="1606"/>
      <c r="AB96" s="1607">
        <f>SUM($AA$97)</f>
        <v>533.12</v>
      </c>
      <c r="AC96" s="414"/>
      <c r="AD96" s="414"/>
      <c r="AE96" s="1941"/>
      <c r="AF96" s="4793" t="s">
        <v>4523</v>
      </c>
    </row>
    <row r="97" spans="1:32" ht="38.25" customHeight="1">
      <c r="A97" s="4778"/>
      <c r="B97" s="4774"/>
      <c r="C97" s="4492"/>
      <c r="D97" s="4215"/>
      <c r="E97" s="4215"/>
      <c r="F97" s="4215"/>
      <c r="G97" s="4215"/>
      <c r="H97" s="4215"/>
      <c r="I97" s="4215"/>
      <c r="J97" s="4449"/>
      <c r="K97" s="4215"/>
      <c r="L97" s="4215"/>
      <c r="M97" s="4226"/>
      <c r="N97" s="4226"/>
      <c r="O97" s="4226"/>
      <c r="P97" s="4215"/>
      <c r="Q97" s="4215"/>
      <c r="R97" s="4449"/>
      <c r="S97" s="3111"/>
      <c r="T97" s="3025"/>
      <c r="U97" s="3005" t="s">
        <v>851</v>
      </c>
      <c r="V97" s="1621" t="s">
        <v>909</v>
      </c>
      <c r="W97" s="3049">
        <v>1</v>
      </c>
      <c r="X97" s="170" t="s">
        <v>269</v>
      </c>
      <c r="Y97" s="1606">
        <v>476</v>
      </c>
      <c r="Z97" s="1606">
        <f>+W97*Y97</f>
        <v>476</v>
      </c>
      <c r="AA97" s="1606">
        <f>+Z97*1.12</f>
        <v>533.12</v>
      </c>
      <c r="AB97" s="1607"/>
      <c r="AC97" s="170"/>
      <c r="AD97" s="170"/>
      <c r="AE97" s="417"/>
      <c r="AF97" s="4794"/>
    </row>
    <row r="98" spans="1:32" ht="38.25" customHeight="1">
      <c r="A98" s="4778"/>
      <c r="B98" s="4774"/>
      <c r="C98" s="4492"/>
      <c r="D98" s="4215"/>
      <c r="E98" s="4215"/>
      <c r="F98" s="4215"/>
      <c r="G98" s="4215"/>
      <c r="H98" s="4215"/>
      <c r="I98" s="4215"/>
      <c r="J98" s="4449"/>
      <c r="K98" s="4215"/>
      <c r="L98" s="4215"/>
      <c r="M98" s="4226"/>
      <c r="N98" s="4226"/>
      <c r="O98" s="4226"/>
      <c r="P98" s="4215"/>
      <c r="Q98" s="4215"/>
      <c r="R98" s="4449"/>
      <c r="S98" s="3112" t="s">
        <v>29</v>
      </c>
      <c r="T98" s="3009">
        <v>840107</v>
      </c>
      <c r="U98" s="3010"/>
      <c r="V98" s="3036" t="s">
        <v>20</v>
      </c>
      <c r="W98" s="3054"/>
      <c r="X98" s="1775"/>
      <c r="Y98" s="1777"/>
      <c r="Z98" s="1606"/>
      <c r="AA98" s="1606"/>
      <c r="AB98" s="1607">
        <f>SUM($AA$99)</f>
        <v>1581.44</v>
      </c>
      <c r="AC98" s="170"/>
      <c r="AD98" s="170" t="s">
        <v>251</v>
      </c>
      <c r="AE98" s="403"/>
      <c r="AF98" s="4794"/>
    </row>
    <row r="99" spans="1:32" ht="38.25" customHeight="1">
      <c r="A99" s="4778"/>
      <c r="B99" s="4774"/>
      <c r="C99" s="4492"/>
      <c r="D99" s="4215"/>
      <c r="E99" s="4215"/>
      <c r="F99" s="4215"/>
      <c r="G99" s="4215"/>
      <c r="H99" s="4215"/>
      <c r="I99" s="4215"/>
      <c r="J99" s="4449"/>
      <c r="K99" s="4215"/>
      <c r="L99" s="4215"/>
      <c r="M99" s="4226"/>
      <c r="N99" s="4226"/>
      <c r="O99" s="4226"/>
      <c r="P99" s="4215"/>
      <c r="Q99" s="4215"/>
      <c r="R99" s="4449"/>
      <c r="S99" s="3113"/>
      <c r="T99" s="3076"/>
      <c r="U99" s="3077" t="s">
        <v>910</v>
      </c>
      <c r="V99" s="3078" t="s">
        <v>4525</v>
      </c>
      <c r="W99" s="3079">
        <v>1</v>
      </c>
      <c r="X99" s="3080" t="s">
        <v>269</v>
      </c>
      <c r="Y99" s="3081">
        <v>1412</v>
      </c>
      <c r="Z99" s="3081">
        <f>+W99*Y99</f>
        <v>1412</v>
      </c>
      <c r="AA99" s="3081">
        <f>+Z99*1.12</f>
        <v>1581.44</v>
      </c>
      <c r="AB99" s="3082"/>
      <c r="AC99" s="170"/>
      <c r="AD99" s="170"/>
      <c r="AE99" s="403"/>
      <c r="AF99" s="4794"/>
    </row>
    <row r="100" spans="1:32" ht="38.25" customHeight="1">
      <c r="A100" s="4778"/>
      <c r="B100" s="4774"/>
      <c r="C100" s="4493"/>
      <c r="D100" s="4216"/>
      <c r="E100" s="4216"/>
      <c r="F100" s="4216"/>
      <c r="G100" s="4216"/>
      <c r="H100" s="4216"/>
      <c r="I100" s="4216"/>
      <c r="J100" s="4450"/>
      <c r="K100" s="4216"/>
      <c r="L100" s="4216"/>
      <c r="M100" s="4247"/>
      <c r="N100" s="4247"/>
      <c r="O100" s="4247"/>
      <c r="P100" s="4216"/>
      <c r="Q100" s="4216"/>
      <c r="R100" s="4450"/>
      <c r="S100" s="3114"/>
      <c r="T100" s="3083"/>
      <c r="U100" s="3084"/>
      <c r="V100" s="3085"/>
      <c r="W100" s="3086"/>
      <c r="X100" s="2962"/>
      <c r="Y100" s="2961"/>
      <c r="Z100" s="2961"/>
      <c r="AA100" s="2961"/>
      <c r="AB100" s="3087"/>
      <c r="AC100" s="170"/>
      <c r="AD100" s="165" t="s">
        <v>251</v>
      </c>
      <c r="AE100" s="404"/>
      <c r="AF100" s="4795"/>
    </row>
    <row r="101" spans="1:32" ht="36.75" customHeight="1">
      <c r="A101" s="4778"/>
      <c r="B101" s="4774"/>
      <c r="C101" s="4494" t="s">
        <v>272</v>
      </c>
      <c r="D101" s="4273" t="s">
        <v>273</v>
      </c>
      <c r="E101" s="4273" t="s">
        <v>274</v>
      </c>
      <c r="F101" s="4273" t="s">
        <v>885</v>
      </c>
      <c r="G101" s="4338" t="s">
        <v>276</v>
      </c>
      <c r="H101" s="4273" t="s">
        <v>314</v>
      </c>
      <c r="I101" s="4273" t="s">
        <v>257</v>
      </c>
      <c r="J101" s="4458" t="s">
        <v>4702</v>
      </c>
      <c r="K101" s="4273" t="s">
        <v>913</v>
      </c>
      <c r="L101" s="4228" t="s">
        <v>4639</v>
      </c>
      <c r="M101" s="4246">
        <v>0</v>
      </c>
      <c r="N101" s="4246">
        <v>1</v>
      </c>
      <c r="O101" s="4246">
        <v>1</v>
      </c>
      <c r="P101" s="4228" t="s">
        <v>4599</v>
      </c>
      <c r="Q101" s="4228" t="s">
        <v>4559</v>
      </c>
      <c r="R101" s="4458" t="s">
        <v>4538</v>
      </c>
      <c r="S101" s="3115" t="s">
        <v>29</v>
      </c>
      <c r="T101" s="3071">
        <v>840107</v>
      </c>
      <c r="U101" s="3072"/>
      <c r="V101" s="3073" t="s">
        <v>20</v>
      </c>
      <c r="W101" s="3074"/>
      <c r="X101" s="3075"/>
      <c r="Y101" s="1776"/>
      <c r="Z101" s="1776"/>
      <c r="AA101" s="1776"/>
      <c r="AB101" s="1610">
        <f>SUM($AA$102)</f>
        <v>1792.0000000000002</v>
      </c>
      <c r="AC101" s="178"/>
      <c r="AD101" s="181"/>
      <c r="AE101" s="1942"/>
      <c r="AF101" s="4817" t="s">
        <v>4524</v>
      </c>
    </row>
    <row r="102" spans="1:32" ht="36.75" customHeight="1">
      <c r="A102" s="4778"/>
      <c r="B102" s="4774"/>
      <c r="C102" s="4492"/>
      <c r="D102" s="4215"/>
      <c r="E102" s="4215"/>
      <c r="F102" s="4215"/>
      <c r="G102" s="4215"/>
      <c r="H102" s="4215"/>
      <c r="I102" s="4215"/>
      <c r="J102" s="4449"/>
      <c r="K102" s="4215"/>
      <c r="L102" s="4215"/>
      <c r="M102" s="4226"/>
      <c r="N102" s="4226"/>
      <c r="O102" s="4226"/>
      <c r="P102" s="4215"/>
      <c r="Q102" s="4215"/>
      <c r="R102" s="4449"/>
      <c r="S102" s="3116"/>
      <c r="T102" s="3007"/>
      <c r="U102" s="3006" t="s">
        <v>914</v>
      </c>
      <c r="V102" s="3044" t="s">
        <v>4732</v>
      </c>
      <c r="W102" s="3059">
        <v>1</v>
      </c>
      <c r="X102" s="417" t="s">
        <v>269</v>
      </c>
      <c r="Y102" s="1643">
        <v>1600</v>
      </c>
      <c r="Z102" s="1643">
        <f>+Y102*W102</f>
        <v>1600</v>
      </c>
      <c r="AA102" s="1643">
        <f>+Z102*1.12</f>
        <v>1792.0000000000002</v>
      </c>
      <c r="AB102" s="3068"/>
      <c r="AC102" s="170"/>
      <c r="AD102" s="174" t="s">
        <v>251</v>
      </c>
      <c r="AE102" s="1940"/>
      <c r="AF102" s="4794"/>
    </row>
    <row r="103" spans="1:32" ht="36.75" customHeight="1">
      <c r="A103" s="4778"/>
      <c r="B103" s="4774"/>
      <c r="C103" s="4492"/>
      <c r="D103" s="4215"/>
      <c r="E103" s="4215"/>
      <c r="F103" s="4215"/>
      <c r="G103" s="4215"/>
      <c r="H103" s="4215"/>
      <c r="I103" s="4215"/>
      <c r="J103" s="4449"/>
      <c r="K103" s="4215"/>
      <c r="L103" s="4215"/>
      <c r="M103" s="4226"/>
      <c r="N103" s="4226"/>
      <c r="O103" s="4226"/>
      <c r="P103" s="4215"/>
      <c r="Q103" s="4215"/>
      <c r="R103" s="4449"/>
      <c r="S103" s="3111"/>
      <c r="T103" s="3025"/>
      <c r="U103" s="3005"/>
      <c r="V103" s="1621"/>
      <c r="W103" s="3049"/>
      <c r="X103" s="170"/>
      <c r="Y103" s="1606"/>
      <c r="Z103" s="1606"/>
      <c r="AA103" s="1606"/>
      <c r="AB103" s="1607"/>
      <c r="AC103" s="170"/>
      <c r="AD103" s="282"/>
      <c r="AE103" s="403"/>
      <c r="AF103" s="4794"/>
    </row>
    <row r="104" spans="1:32" ht="36.75" customHeight="1">
      <c r="A104" s="4778"/>
      <c r="B104" s="4774"/>
      <c r="C104" s="4492"/>
      <c r="D104" s="4215"/>
      <c r="E104" s="4215"/>
      <c r="F104" s="4215"/>
      <c r="G104" s="4215"/>
      <c r="H104" s="4215"/>
      <c r="I104" s="4215"/>
      <c r="J104" s="4449"/>
      <c r="K104" s="4215"/>
      <c r="L104" s="4215"/>
      <c r="M104" s="4226"/>
      <c r="N104" s="4226"/>
      <c r="O104" s="4226"/>
      <c r="P104" s="4215"/>
      <c r="Q104" s="4215"/>
      <c r="R104" s="4449"/>
      <c r="S104" s="3111"/>
      <c r="T104" s="3025"/>
      <c r="U104" s="3005"/>
      <c r="V104" s="1621"/>
      <c r="W104" s="3049"/>
      <c r="X104" s="170"/>
      <c r="Y104" s="1606"/>
      <c r="Z104" s="1606"/>
      <c r="AA104" s="1606"/>
      <c r="AB104" s="1607"/>
      <c r="AC104" s="170"/>
      <c r="AD104" s="282"/>
      <c r="AE104" s="403"/>
      <c r="AF104" s="4794"/>
    </row>
    <row r="105" spans="1:32" ht="36.75" customHeight="1">
      <c r="A105" s="4778"/>
      <c r="B105" s="4774"/>
      <c r="C105" s="4493"/>
      <c r="D105" s="4216"/>
      <c r="E105" s="4216"/>
      <c r="F105" s="4216"/>
      <c r="G105" s="4216"/>
      <c r="H105" s="4216"/>
      <c r="I105" s="4216"/>
      <c r="J105" s="4450"/>
      <c r="K105" s="4216"/>
      <c r="L105" s="4216"/>
      <c r="M105" s="4247"/>
      <c r="N105" s="4247"/>
      <c r="O105" s="4247"/>
      <c r="P105" s="4216"/>
      <c r="Q105" s="4216"/>
      <c r="R105" s="4450"/>
      <c r="S105" s="3117"/>
      <c r="T105" s="3026"/>
      <c r="U105" s="3008"/>
      <c r="V105" s="3033"/>
      <c r="W105" s="3051"/>
      <c r="X105" s="165"/>
      <c r="Y105" s="1611"/>
      <c r="Z105" s="1611"/>
      <c r="AA105" s="1611"/>
      <c r="AB105" s="1609"/>
      <c r="AC105" s="165"/>
      <c r="AD105" s="166"/>
      <c r="AE105" s="404"/>
      <c r="AF105" s="4795"/>
    </row>
    <row r="106" spans="1:32" ht="30.75" customHeight="1">
      <c r="A106" s="4778"/>
      <c r="B106" s="4774"/>
      <c r="C106" s="4491" t="s">
        <v>272</v>
      </c>
      <c r="D106" s="4328" t="s">
        <v>273</v>
      </c>
      <c r="E106" s="4328" t="s">
        <v>274</v>
      </c>
      <c r="F106" s="4328" t="s">
        <v>885</v>
      </c>
      <c r="G106" s="4329" t="s">
        <v>276</v>
      </c>
      <c r="H106" s="4328" t="s">
        <v>314</v>
      </c>
      <c r="I106" s="4328" t="s">
        <v>257</v>
      </c>
      <c r="J106" s="4459" t="s">
        <v>4703</v>
      </c>
      <c r="K106" s="4328" t="s">
        <v>4672</v>
      </c>
      <c r="L106" s="4345" t="s">
        <v>4640</v>
      </c>
      <c r="M106" s="4249">
        <v>0</v>
      </c>
      <c r="N106" s="4249">
        <v>0</v>
      </c>
      <c r="O106" s="4249">
        <v>1</v>
      </c>
      <c r="P106" s="4345" t="s">
        <v>4600</v>
      </c>
      <c r="Q106" s="4345" t="s">
        <v>4560</v>
      </c>
      <c r="R106" s="4459" t="s">
        <v>4539</v>
      </c>
      <c r="S106" s="3112"/>
      <c r="T106" s="1759"/>
      <c r="U106" s="3007"/>
      <c r="V106" s="2998"/>
      <c r="W106" s="3050"/>
      <c r="X106" s="414"/>
      <c r="Y106" s="1608"/>
      <c r="Z106" s="1608"/>
      <c r="AA106" s="1608"/>
      <c r="AB106" s="1610"/>
      <c r="AC106" s="414"/>
      <c r="AD106" s="174"/>
      <c r="AE106" s="1940"/>
      <c r="AF106" s="4802"/>
    </row>
    <row r="107" spans="1:32" ht="30.75" customHeight="1">
      <c r="A107" s="4778"/>
      <c r="B107" s="4774"/>
      <c r="C107" s="4492"/>
      <c r="D107" s="4215"/>
      <c r="E107" s="4215"/>
      <c r="F107" s="4215"/>
      <c r="G107" s="4215"/>
      <c r="H107" s="4215"/>
      <c r="I107" s="4215"/>
      <c r="J107" s="4449"/>
      <c r="K107" s="4215"/>
      <c r="L107" s="4215"/>
      <c r="M107" s="4226"/>
      <c r="N107" s="4226"/>
      <c r="O107" s="4226"/>
      <c r="P107" s="4215"/>
      <c r="Q107" s="4804"/>
      <c r="R107" s="4449"/>
      <c r="S107" s="3112"/>
      <c r="T107" s="1759"/>
      <c r="U107" s="3006"/>
      <c r="V107" s="1621"/>
      <c r="W107" s="3049"/>
      <c r="X107" s="170"/>
      <c r="Y107" s="1606"/>
      <c r="Z107" s="1606"/>
      <c r="AA107" s="1606"/>
      <c r="AB107" s="1607"/>
      <c r="AC107" s="170"/>
      <c r="AD107" s="282"/>
      <c r="AE107" s="403"/>
      <c r="AF107" s="4794"/>
    </row>
    <row r="108" spans="1:32" ht="30.75" customHeight="1">
      <c r="A108" s="4778"/>
      <c r="B108" s="4774"/>
      <c r="C108" s="4492"/>
      <c r="D108" s="4215"/>
      <c r="E108" s="4215"/>
      <c r="F108" s="4215"/>
      <c r="G108" s="4215"/>
      <c r="H108" s="4215"/>
      <c r="I108" s="4215"/>
      <c r="J108" s="4449"/>
      <c r="K108" s="4215"/>
      <c r="L108" s="4215"/>
      <c r="M108" s="4226"/>
      <c r="N108" s="4226"/>
      <c r="O108" s="4226"/>
      <c r="P108" s="4215"/>
      <c r="Q108" s="4804"/>
      <c r="R108" s="4449"/>
      <c r="S108" s="3111"/>
      <c r="T108" s="3025"/>
      <c r="U108" s="3005"/>
      <c r="V108" s="1621"/>
      <c r="W108" s="3049"/>
      <c r="X108" s="170"/>
      <c r="Y108" s="1606"/>
      <c r="Z108" s="1606"/>
      <c r="AA108" s="1606"/>
      <c r="AB108" s="1607"/>
      <c r="AC108" s="170"/>
      <c r="AD108" s="282"/>
      <c r="AE108" s="403"/>
      <c r="AF108" s="4794"/>
    </row>
    <row r="109" spans="1:32" ht="30.75" customHeight="1">
      <c r="A109" s="4778"/>
      <c r="B109" s="4774"/>
      <c r="C109" s="4492"/>
      <c r="D109" s="4215"/>
      <c r="E109" s="4215"/>
      <c r="F109" s="4215"/>
      <c r="G109" s="4215"/>
      <c r="H109" s="4215"/>
      <c r="I109" s="4215"/>
      <c r="J109" s="4449"/>
      <c r="K109" s="4215"/>
      <c r="L109" s="4215"/>
      <c r="M109" s="4226"/>
      <c r="N109" s="4226"/>
      <c r="O109" s="4226"/>
      <c r="P109" s="4215"/>
      <c r="Q109" s="4804"/>
      <c r="R109" s="4449"/>
      <c r="S109" s="3111"/>
      <c r="T109" s="3025"/>
      <c r="U109" s="3005"/>
      <c r="V109" s="1621"/>
      <c r="W109" s="3049"/>
      <c r="X109" s="170"/>
      <c r="Y109" s="1606"/>
      <c r="Z109" s="1606"/>
      <c r="AA109" s="1606"/>
      <c r="AB109" s="1607"/>
      <c r="AC109" s="170"/>
      <c r="AD109" s="282"/>
      <c r="AE109" s="403"/>
      <c r="AF109" s="4794"/>
    </row>
    <row r="110" spans="1:32" ht="30.75" customHeight="1">
      <c r="A110" s="4778"/>
      <c r="B110" s="4774"/>
      <c r="C110" s="4493"/>
      <c r="D110" s="4216"/>
      <c r="E110" s="4216"/>
      <c r="F110" s="4216"/>
      <c r="G110" s="4216"/>
      <c r="H110" s="4216"/>
      <c r="I110" s="4216"/>
      <c r="J110" s="4450"/>
      <c r="K110" s="4216"/>
      <c r="L110" s="4216"/>
      <c r="M110" s="4247"/>
      <c r="N110" s="4247"/>
      <c r="O110" s="4247"/>
      <c r="P110" s="4216"/>
      <c r="Q110" s="4805"/>
      <c r="R110" s="4450"/>
      <c r="S110" s="3117"/>
      <c r="T110" s="3026"/>
      <c r="U110" s="3015"/>
      <c r="V110" s="3037"/>
      <c r="W110" s="3054"/>
      <c r="X110" s="1775"/>
      <c r="Y110" s="1777"/>
      <c r="Z110" s="1611"/>
      <c r="AA110" s="1611"/>
      <c r="AB110" s="1993"/>
      <c r="AC110" s="1775"/>
      <c r="AD110" s="1946"/>
      <c r="AE110" s="406"/>
      <c r="AF110" s="4795"/>
    </row>
    <row r="111" spans="1:32" ht="22.5" customHeight="1">
      <c r="A111" s="4778"/>
      <c r="B111" s="4774"/>
      <c r="C111" s="4494" t="s">
        <v>272</v>
      </c>
      <c r="D111" s="4273" t="s">
        <v>273</v>
      </c>
      <c r="E111" s="4273" t="s">
        <v>274</v>
      </c>
      <c r="F111" s="4273" t="s">
        <v>885</v>
      </c>
      <c r="G111" s="4338" t="s">
        <v>276</v>
      </c>
      <c r="H111" s="4328" t="s">
        <v>314</v>
      </c>
      <c r="I111" s="4273" t="s">
        <v>257</v>
      </c>
      <c r="J111" s="4458" t="s">
        <v>4704</v>
      </c>
      <c r="K111" s="4273" t="s">
        <v>4673</v>
      </c>
      <c r="L111" s="4228" t="s">
        <v>4641</v>
      </c>
      <c r="M111" s="4246">
        <v>0</v>
      </c>
      <c r="N111" s="4246">
        <v>1</v>
      </c>
      <c r="O111" s="4246">
        <v>0</v>
      </c>
      <c r="P111" s="4228" t="s">
        <v>4601</v>
      </c>
      <c r="Q111" s="4228" t="s">
        <v>4561</v>
      </c>
      <c r="R111" s="4458" t="s">
        <v>4538</v>
      </c>
      <c r="S111" s="3112"/>
      <c r="T111" s="1759"/>
      <c r="U111" s="3007"/>
      <c r="V111" s="3035"/>
      <c r="W111" s="3052"/>
      <c r="X111" s="178"/>
      <c r="Y111" s="1612"/>
      <c r="Z111" s="1608"/>
      <c r="AA111" s="1608"/>
      <c r="AB111" s="1613"/>
      <c r="AC111" s="178"/>
      <c r="AD111" s="181"/>
      <c r="AE111" s="1942"/>
      <c r="AF111" s="4793"/>
    </row>
    <row r="112" spans="1:32" ht="22.5" customHeight="1">
      <c r="A112" s="4778"/>
      <c r="B112" s="4774"/>
      <c r="C112" s="4492"/>
      <c r="D112" s="4215"/>
      <c r="E112" s="4215"/>
      <c r="F112" s="4215"/>
      <c r="G112" s="4215"/>
      <c r="H112" s="4215"/>
      <c r="I112" s="4215"/>
      <c r="J112" s="4449"/>
      <c r="K112" s="4215"/>
      <c r="L112" s="4215"/>
      <c r="M112" s="4226"/>
      <c r="N112" s="4226"/>
      <c r="O112" s="4226"/>
      <c r="P112" s="4215"/>
      <c r="Q112" s="4215"/>
      <c r="R112" s="4449"/>
      <c r="S112" s="3111"/>
      <c r="T112" s="3025"/>
      <c r="U112" s="3005"/>
      <c r="V112" s="1621"/>
      <c r="W112" s="3049"/>
      <c r="X112" s="170"/>
      <c r="Y112" s="1606"/>
      <c r="Z112" s="1606"/>
      <c r="AA112" s="1606"/>
      <c r="AB112" s="1607"/>
      <c r="AC112" s="170"/>
      <c r="AD112" s="282"/>
      <c r="AE112" s="403"/>
      <c r="AF112" s="4794"/>
    </row>
    <row r="113" spans="1:32" ht="22.5" customHeight="1">
      <c r="A113" s="4778"/>
      <c r="B113" s="4774"/>
      <c r="C113" s="4492"/>
      <c r="D113" s="4215"/>
      <c r="E113" s="4215"/>
      <c r="F113" s="4215"/>
      <c r="G113" s="4215"/>
      <c r="H113" s="4215"/>
      <c r="I113" s="4215"/>
      <c r="J113" s="4449"/>
      <c r="K113" s="4215"/>
      <c r="L113" s="4215"/>
      <c r="M113" s="4226"/>
      <c r="N113" s="4226"/>
      <c r="O113" s="4226"/>
      <c r="P113" s="4215"/>
      <c r="Q113" s="4215"/>
      <c r="R113" s="4449"/>
      <c r="S113" s="3111"/>
      <c r="T113" s="3025"/>
      <c r="U113" s="3005"/>
      <c r="V113" s="1621"/>
      <c r="W113" s="3049"/>
      <c r="X113" s="170"/>
      <c r="Y113" s="1606"/>
      <c r="Z113" s="1606"/>
      <c r="AA113" s="1606"/>
      <c r="AB113" s="1607"/>
      <c r="AC113" s="170"/>
      <c r="AD113" s="282"/>
      <c r="AE113" s="403"/>
      <c r="AF113" s="4794"/>
    </row>
    <row r="114" spans="1:32" ht="22.5" customHeight="1">
      <c r="A114" s="4778"/>
      <c r="B114" s="4774"/>
      <c r="C114" s="4492"/>
      <c r="D114" s="4215"/>
      <c r="E114" s="4215"/>
      <c r="F114" s="4215"/>
      <c r="G114" s="4215"/>
      <c r="H114" s="4215"/>
      <c r="I114" s="4215"/>
      <c r="J114" s="4449"/>
      <c r="K114" s="4215"/>
      <c r="L114" s="4215"/>
      <c r="M114" s="4226"/>
      <c r="N114" s="4226"/>
      <c r="O114" s="4226"/>
      <c r="P114" s="4215"/>
      <c r="Q114" s="4215"/>
      <c r="R114" s="4449"/>
      <c r="S114" s="3111"/>
      <c r="T114" s="3025"/>
      <c r="U114" s="3005"/>
      <c r="V114" s="1621"/>
      <c r="W114" s="3049"/>
      <c r="X114" s="170"/>
      <c r="Y114" s="1606"/>
      <c r="Z114" s="1606"/>
      <c r="AA114" s="1606"/>
      <c r="AB114" s="1607"/>
      <c r="AC114" s="170"/>
      <c r="AD114" s="282"/>
      <c r="AE114" s="403"/>
      <c r="AF114" s="4794"/>
    </row>
    <row r="115" spans="1:32" ht="22.5" customHeight="1">
      <c r="A115" s="4778"/>
      <c r="B115" s="4774"/>
      <c r="C115" s="4493"/>
      <c r="D115" s="4216"/>
      <c r="E115" s="4216"/>
      <c r="F115" s="4216"/>
      <c r="G115" s="4216"/>
      <c r="H115" s="4216"/>
      <c r="I115" s="4216"/>
      <c r="J115" s="4450"/>
      <c r="K115" s="4216"/>
      <c r="L115" s="4216"/>
      <c r="M115" s="4247"/>
      <c r="N115" s="4247"/>
      <c r="O115" s="4247"/>
      <c r="P115" s="4216"/>
      <c r="Q115" s="4216"/>
      <c r="R115" s="4450"/>
      <c r="S115" s="3117"/>
      <c r="T115" s="3026"/>
      <c r="U115" s="3008"/>
      <c r="V115" s="3033"/>
      <c r="W115" s="3051"/>
      <c r="X115" s="165"/>
      <c r="Y115" s="1611"/>
      <c r="Z115" s="1611"/>
      <c r="AA115" s="1611"/>
      <c r="AB115" s="1609"/>
      <c r="AC115" s="165"/>
      <c r="AD115" s="166"/>
      <c r="AE115" s="404"/>
      <c r="AF115" s="4795"/>
    </row>
    <row r="116" spans="1:32" ht="22.5" customHeight="1">
      <c r="A116" s="4778"/>
      <c r="B116" s="4774"/>
      <c r="C116" s="4494" t="s">
        <v>272</v>
      </c>
      <c r="D116" s="4273" t="s">
        <v>273</v>
      </c>
      <c r="E116" s="4273" t="s">
        <v>274</v>
      </c>
      <c r="F116" s="4273" t="s">
        <v>885</v>
      </c>
      <c r="G116" s="4338" t="s">
        <v>276</v>
      </c>
      <c r="H116" s="4328" t="s">
        <v>314</v>
      </c>
      <c r="I116" s="4273" t="s">
        <v>257</v>
      </c>
      <c r="J116" s="4369" t="s">
        <v>4705</v>
      </c>
      <c r="K116" s="4273" t="s">
        <v>915</v>
      </c>
      <c r="L116" s="4228" t="s">
        <v>4642</v>
      </c>
      <c r="M116" s="4246">
        <v>0</v>
      </c>
      <c r="N116" s="4246">
        <v>1</v>
      </c>
      <c r="O116" s="4246">
        <v>0</v>
      </c>
      <c r="P116" s="4228" t="s">
        <v>4602</v>
      </c>
      <c r="Q116" s="4228" t="s">
        <v>4562</v>
      </c>
      <c r="R116" s="4458" t="s">
        <v>4538</v>
      </c>
      <c r="S116" s="3110"/>
      <c r="T116" s="1759"/>
      <c r="U116" s="3007"/>
      <c r="V116" s="2998"/>
      <c r="W116" s="3050"/>
      <c r="X116" s="414"/>
      <c r="Y116" s="1608"/>
      <c r="Z116" s="1608"/>
      <c r="AA116" s="1608"/>
      <c r="AB116" s="1610"/>
      <c r="AC116" s="414"/>
      <c r="AD116" s="174"/>
      <c r="AE116" s="1940"/>
      <c r="AF116" s="4793"/>
    </row>
    <row r="117" spans="1:32" ht="22.5" customHeight="1">
      <c r="A117" s="4778"/>
      <c r="B117" s="4774"/>
      <c r="C117" s="4492"/>
      <c r="D117" s="4215"/>
      <c r="E117" s="4215"/>
      <c r="F117" s="4215"/>
      <c r="G117" s="4215"/>
      <c r="H117" s="4215"/>
      <c r="I117" s="4215"/>
      <c r="J117" s="4340"/>
      <c r="K117" s="4215"/>
      <c r="L117" s="4215"/>
      <c r="M117" s="4226"/>
      <c r="N117" s="4226"/>
      <c r="O117" s="4226"/>
      <c r="P117" s="4215"/>
      <c r="Q117" s="4215"/>
      <c r="R117" s="4449"/>
      <c r="S117" s="3112"/>
      <c r="T117" s="1759"/>
      <c r="U117" s="3006"/>
      <c r="V117" s="1621"/>
      <c r="W117" s="3049"/>
      <c r="X117" s="170"/>
      <c r="Y117" s="1606"/>
      <c r="Z117" s="1606"/>
      <c r="AA117" s="1606"/>
      <c r="AB117" s="1607"/>
      <c r="AC117" s="170"/>
      <c r="AD117" s="282"/>
      <c r="AE117" s="403"/>
      <c r="AF117" s="4794"/>
    </row>
    <row r="118" spans="1:32" ht="22.5" customHeight="1">
      <c r="A118" s="4778"/>
      <c r="B118" s="4774"/>
      <c r="C118" s="4492"/>
      <c r="D118" s="4215"/>
      <c r="E118" s="4215"/>
      <c r="F118" s="4215"/>
      <c r="G118" s="4215"/>
      <c r="H118" s="4215"/>
      <c r="I118" s="4215"/>
      <c r="J118" s="4340"/>
      <c r="K118" s="4215"/>
      <c r="L118" s="4215"/>
      <c r="M118" s="4226"/>
      <c r="N118" s="4226"/>
      <c r="O118" s="4226"/>
      <c r="P118" s="4215"/>
      <c r="Q118" s="4215"/>
      <c r="R118" s="4449"/>
      <c r="S118" s="3111"/>
      <c r="T118" s="3025"/>
      <c r="U118" s="3005"/>
      <c r="V118" s="1621"/>
      <c r="W118" s="3049"/>
      <c r="X118" s="170"/>
      <c r="Y118" s="1606"/>
      <c r="Z118" s="1606"/>
      <c r="AA118" s="1606"/>
      <c r="AB118" s="1607"/>
      <c r="AC118" s="170"/>
      <c r="AD118" s="282"/>
      <c r="AE118" s="403"/>
      <c r="AF118" s="4794"/>
    </row>
    <row r="119" spans="1:32" ht="22.5" customHeight="1">
      <c r="A119" s="4778"/>
      <c r="B119" s="4774"/>
      <c r="C119" s="4492"/>
      <c r="D119" s="4215"/>
      <c r="E119" s="4215"/>
      <c r="F119" s="4215"/>
      <c r="G119" s="4215"/>
      <c r="H119" s="4215"/>
      <c r="I119" s="4215"/>
      <c r="J119" s="4340"/>
      <c r="K119" s="4215"/>
      <c r="L119" s="4215"/>
      <c r="M119" s="4226"/>
      <c r="N119" s="4226"/>
      <c r="O119" s="4226"/>
      <c r="P119" s="4215"/>
      <c r="Q119" s="4215"/>
      <c r="R119" s="4449"/>
      <c r="S119" s="3111"/>
      <c r="T119" s="3025"/>
      <c r="U119" s="3005"/>
      <c r="V119" s="1621"/>
      <c r="W119" s="3049"/>
      <c r="X119" s="170"/>
      <c r="Y119" s="1606"/>
      <c r="Z119" s="1606"/>
      <c r="AA119" s="1606"/>
      <c r="AB119" s="1607"/>
      <c r="AC119" s="170"/>
      <c r="AD119" s="282"/>
      <c r="AE119" s="403"/>
      <c r="AF119" s="4794"/>
    </row>
    <row r="120" spans="1:32" ht="22.5" customHeight="1">
      <c r="A120" s="4778"/>
      <c r="B120" s="4774"/>
      <c r="C120" s="4493"/>
      <c r="D120" s="4216"/>
      <c r="E120" s="4216"/>
      <c r="F120" s="4216"/>
      <c r="G120" s="4216"/>
      <c r="H120" s="4216"/>
      <c r="I120" s="4216"/>
      <c r="J120" s="4341"/>
      <c r="K120" s="4216"/>
      <c r="L120" s="4216"/>
      <c r="M120" s="4247"/>
      <c r="N120" s="4247"/>
      <c r="O120" s="4247"/>
      <c r="P120" s="4216"/>
      <c r="Q120" s="4216"/>
      <c r="R120" s="4450"/>
      <c r="S120" s="3117"/>
      <c r="T120" s="3026"/>
      <c r="U120" s="3015"/>
      <c r="V120" s="3037"/>
      <c r="W120" s="3054"/>
      <c r="X120" s="1775"/>
      <c r="Y120" s="1777"/>
      <c r="Z120" s="1611"/>
      <c r="AA120" s="1611"/>
      <c r="AB120" s="1993"/>
      <c r="AC120" s="1775"/>
      <c r="AD120" s="1946"/>
      <c r="AE120" s="406"/>
      <c r="AF120" s="4795"/>
    </row>
    <row r="121" spans="1:32" ht="22.5" customHeight="1">
      <c r="A121" s="4778"/>
      <c r="B121" s="4774"/>
      <c r="C121" s="4494" t="s">
        <v>272</v>
      </c>
      <c r="D121" s="4273" t="s">
        <v>273</v>
      </c>
      <c r="E121" s="4273" t="s">
        <v>274</v>
      </c>
      <c r="F121" s="4273" t="s">
        <v>885</v>
      </c>
      <c r="G121" s="4338" t="s">
        <v>276</v>
      </c>
      <c r="H121" s="4328" t="s">
        <v>314</v>
      </c>
      <c r="I121" s="4273" t="s">
        <v>257</v>
      </c>
      <c r="J121" s="4458" t="s">
        <v>4706</v>
      </c>
      <c r="K121" s="4273" t="s">
        <v>4674</v>
      </c>
      <c r="L121" s="4228" t="s">
        <v>4643</v>
      </c>
      <c r="M121" s="4246">
        <v>1</v>
      </c>
      <c r="N121" s="4246">
        <v>1</v>
      </c>
      <c r="O121" s="4246">
        <v>1</v>
      </c>
      <c r="P121" s="4228" t="s">
        <v>4603</v>
      </c>
      <c r="Q121" s="4228" t="s">
        <v>4563</v>
      </c>
      <c r="R121" s="4458" t="s">
        <v>4538</v>
      </c>
      <c r="S121" s="3112"/>
      <c r="T121" s="1759"/>
      <c r="U121" s="3007"/>
      <c r="V121" s="3035"/>
      <c r="W121" s="3052"/>
      <c r="X121" s="178"/>
      <c r="Y121" s="1612"/>
      <c r="Z121" s="1608"/>
      <c r="AA121" s="1608"/>
      <c r="AB121" s="1613"/>
      <c r="AC121" s="178"/>
      <c r="AD121" s="181"/>
      <c r="AE121" s="1942"/>
      <c r="AF121" s="4793" t="s">
        <v>4733</v>
      </c>
    </row>
    <row r="122" spans="1:32" ht="22.5" customHeight="1">
      <c r="A122" s="4778"/>
      <c r="B122" s="4774"/>
      <c r="C122" s="4492"/>
      <c r="D122" s="4215"/>
      <c r="E122" s="4215"/>
      <c r="F122" s="4215"/>
      <c r="G122" s="4215"/>
      <c r="H122" s="4215"/>
      <c r="I122" s="4215"/>
      <c r="J122" s="4449"/>
      <c r="K122" s="4215"/>
      <c r="L122" s="4215"/>
      <c r="M122" s="4226"/>
      <c r="N122" s="4226"/>
      <c r="O122" s="4226"/>
      <c r="P122" s="4215"/>
      <c r="Q122" s="4215"/>
      <c r="R122" s="4449"/>
      <c r="S122" s="3111"/>
      <c r="T122" s="3025"/>
      <c r="U122" s="3005"/>
      <c r="V122" s="1621"/>
      <c r="W122" s="3049"/>
      <c r="X122" s="170"/>
      <c r="Y122" s="1606"/>
      <c r="Z122" s="1606"/>
      <c r="AA122" s="1606"/>
      <c r="AB122" s="1607"/>
      <c r="AC122" s="170"/>
      <c r="AD122" s="282"/>
      <c r="AE122" s="403"/>
      <c r="AF122" s="4794"/>
    </row>
    <row r="123" spans="1:32" ht="22.5" customHeight="1">
      <c r="A123" s="4778"/>
      <c r="B123" s="4774"/>
      <c r="C123" s="4492"/>
      <c r="D123" s="4215"/>
      <c r="E123" s="4215"/>
      <c r="F123" s="4215"/>
      <c r="G123" s="4215"/>
      <c r="H123" s="4215"/>
      <c r="I123" s="4215"/>
      <c r="J123" s="4449"/>
      <c r="K123" s="4215"/>
      <c r="L123" s="4215"/>
      <c r="M123" s="4226"/>
      <c r="N123" s="4226"/>
      <c r="O123" s="4226"/>
      <c r="P123" s="4215"/>
      <c r="Q123" s="4215"/>
      <c r="R123" s="4449"/>
      <c r="S123" s="3111"/>
      <c r="T123" s="3025"/>
      <c r="U123" s="3005"/>
      <c r="V123" s="1621"/>
      <c r="W123" s="3049"/>
      <c r="X123" s="170"/>
      <c r="Y123" s="1606"/>
      <c r="Z123" s="1606"/>
      <c r="AA123" s="1606"/>
      <c r="AB123" s="1607"/>
      <c r="AC123" s="170"/>
      <c r="AD123" s="282"/>
      <c r="AE123" s="403"/>
      <c r="AF123" s="4794"/>
    </row>
    <row r="124" spans="1:32" ht="22.5" customHeight="1">
      <c r="A124" s="4778"/>
      <c r="B124" s="4774"/>
      <c r="C124" s="4492"/>
      <c r="D124" s="4215"/>
      <c r="E124" s="4215"/>
      <c r="F124" s="4215"/>
      <c r="G124" s="4215"/>
      <c r="H124" s="4215"/>
      <c r="I124" s="4215"/>
      <c r="J124" s="4449"/>
      <c r="K124" s="4215"/>
      <c r="L124" s="4215"/>
      <c r="M124" s="4226"/>
      <c r="N124" s="4226"/>
      <c r="O124" s="4226"/>
      <c r="P124" s="4215"/>
      <c r="Q124" s="4215"/>
      <c r="R124" s="4449"/>
      <c r="S124" s="3111"/>
      <c r="T124" s="3025"/>
      <c r="U124" s="3005"/>
      <c r="V124" s="1621"/>
      <c r="W124" s="3049"/>
      <c r="X124" s="170"/>
      <c r="Y124" s="1606"/>
      <c r="Z124" s="1606"/>
      <c r="AA124" s="1606"/>
      <c r="AB124" s="1607"/>
      <c r="AC124" s="170"/>
      <c r="AD124" s="282"/>
      <c r="AE124" s="403"/>
      <c r="AF124" s="4794"/>
    </row>
    <row r="125" spans="1:32" ht="22.5" customHeight="1">
      <c r="A125" s="4778"/>
      <c r="B125" s="4774"/>
      <c r="C125" s="4493"/>
      <c r="D125" s="4216"/>
      <c r="E125" s="4216"/>
      <c r="F125" s="4216"/>
      <c r="G125" s="4216"/>
      <c r="H125" s="4216"/>
      <c r="I125" s="4216"/>
      <c r="J125" s="4450"/>
      <c r="K125" s="4216"/>
      <c r="L125" s="4216"/>
      <c r="M125" s="4247"/>
      <c r="N125" s="4247"/>
      <c r="O125" s="4247"/>
      <c r="P125" s="4216"/>
      <c r="Q125" s="4216"/>
      <c r="R125" s="4450"/>
      <c r="S125" s="3117"/>
      <c r="T125" s="3026"/>
      <c r="U125" s="3008"/>
      <c r="V125" s="3033"/>
      <c r="W125" s="3051"/>
      <c r="X125" s="165"/>
      <c r="Y125" s="1611"/>
      <c r="Z125" s="1611"/>
      <c r="AA125" s="1611"/>
      <c r="AB125" s="1609"/>
      <c r="AC125" s="165"/>
      <c r="AD125" s="166"/>
      <c r="AE125" s="404"/>
      <c r="AF125" s="4795"/>
    </row>
    <row r="126" spans="1:32" ht="27.75" customHeight="1">
      <c r="A126" s="4778"/>
      <c r="B126" s="4774"/>
      <c r="C126" s="4494" t="s">
        <v>235</v>
      </c>
      <c r="D126" s="4273" t="s">
        <v>236</v>
      </c>
      <c r="E126" s="4273" t="s">
        <v>244</v>
      </c>
      <c r="F126" s="4273" t="s">
        <v>292</v>
      </c>
      <c r="G126" s="4338" t="s">
        <v>239</v>
      </c>
      <c r="H126" s="4273" t="s">
        <v>293</v>
      </c>
      <c r="I126" s="4273" t="s">
        <v>257</v>
      </c>
      <c r="J126" s="4483" t="s">
        <v>4707</v>
      </c>
      <c r="K126" s="4273" t="s">
        <v>338</v>
      </c>
      <c r="L126" s="4228" t="s">
        <v>3102</v>
      </c>
      <c r="M126" s="4246">
        <v>0</v>
      </c>
      <c r="N126" s="4246">
        <v>1</v>
      </c>
      <c r="O126" s="4246">
        <v>1</v>
      </c>
      <c r="P126" s="4228" t="s">
        <v>4604</v>
      </c>
      <c r="Q126" s="4228" t="s">
        <v>4564</v>
      </c>
      <c r="R126" s="4458" t="s">
        <v>4538</v>
      </c>
      <c r="S126" s="3112"/>
      <c r="T126" s="1759"/>
      <c r="U126" s="3007"/>
      <c r="V126" s="3035"/>
      <c r="W126" s="3052"/>
      <c r="X126" s="178"/>
      <c r="Y126" s="1612"/>
      <c r="Z126" s="1608"/>
      <c r="AA126" s="1608"/>
      <c r="AB126" s="1613"/>
      <c r="AC126" s="178"/>
      <c r="AD126" s="181"/>
      <c r="AE126" s="1942"/>
      <c r="AF126" s="4793"/>
    </row>
    <row r="127" spans="1:32" ht="27.75" customHeight="1">
      <c r="A127" s="4778"/>
      <c r="B127" s="4774"/>
      <c r="C127" s="4492"/>
      <c r="D127" s="4215"/>
      <c r="E127" s="4215"/>
      <c r="F127" s="4215"/>
      <c r="G127" s="4215"/>
      <c r="H127" s="4215"/>
      <c r="I127" s="4215"/>
      <c r="J127" s="4340"/>
      <c r="K127" s="4215"/>
      <c r="L127" s="4215"/>
      <c r="M127" s="4226"/>
      <c r="N127" s="4226"/>
      <c r="O127" s="4226"/>
      <c r="P127" s="4215"/>
      <c r="Q127" s="4215"/>
      <c r="R127" s="4449"/>
      <c r="S127" s="3111"/>
      <c r="T127" s="3025"/>
      <c r="U127" s="3005"/>
      <c r="V127" s="1621"/>
      <c r="W127" s="3049"/>
      <c r="X127" s="170"/>
      <c r="Y127" s="1606"/>
      <c r="Z127" s="1606"/>
      <c r="AA127" s="1606"/>
      <c r="AB127" s="1607"/>
      <c r="AC127" s="170"/>
      <c r="AD127" s="282"/>
      <c r="AE127" s="403"/>
      <c r="AF127" s="4794"/>
    </row>
    <row r="128" spans="1:32" ht="27.75" customHeight="1">
      <c r="A128" s="4778"/>
      <c r="B128" s="4774"/>
      <c r="C128" s="4492"/>
      <c r="D128" s="4215"/>
      <c r="E128" s="4215"/>
      <c r="F128" s="4215"/>
      <c r="G128" s="4215"/>
      <c r="H128" s="4215"/>
      <c r="I128" s="4215"/>
      <c r="J128" s="4340"/>
      <c r="K128" s="4215"/>
      <c r="L128" s="4215"/>
      <c r="M128" s="4226"/>
      <c r="N128" s="4226"/>
      <c r="O128" s="4226"/>
      <c r="P128" s="4215"/>
      <c r="Q128" s="4215"/>
      <c r="R128" s="4449"/>
      <c r="S128" s="3111"/>
      <c r="T128" s="3025"/>
      <c r="U128" s="3005"/>
      <c r="V128" s="1621"/>
      <c r="W128" s="3049"/>
      <c r="X128" s="170"/>
      <c r="Y128" s="1606"/>
      <c r="Z128" s="1606"/>
      <c r="AA128" s="1606"/>
      <c r="AB128" s="1607"/>
      <c r="AC128" s="170"/>
      <c r="AD128" s="282"/>
      <c r="AE128" s="403"/>
      <c r="AF128" s="4794"/>
    </row>
    <row r="129" spans="1:32" ht="27.75" customHeight="1">
      <c r="A129" s="4778"/>
      <c r="B129" s="4774"/>
      <c r="C129" s="4492"/>
      <c r="D129" s="4215"/>
      <c r="E129" s="4215"/>
      <c r="F129" s="4215"/>
      <c r="G129" s="4215"/>
      <c r="H129" s="4215"/>
      <c r="I129" s="4215"/>
      <c r="J129" s="4340"/>
      <c r="K129" s="4215"/>
      <c r="L129" s="4215"/>
      <c r="M129" s="4226"/>
      <c r="N129" s="4226"/>
      <c r="O129" s="4226"/>
      <c r="P129" s="4215"/>
      <c r="Q129" s="4215"/>
      <c r="R129" s="4449"/>
      <c r="S129" s="3111"/>
      <c r="T129" s="3025"/>
      <c r="U129" s="3005"/>
      <c r="V129" s="1621"/>
      <c r="W129" s="3049"/>
      <c r="X129" s="170"/>
      <c r="Y129" s="1606"/>
      <c r="Z129" s="1606"/>
      <c r="AA129" s="1606"/>
      <c r="AB129" s="1607"/>
      <c r="AC129" s="170"/>
      <c r="AD129" s="282"/>
      <c r="AE129" s="403"/>
      <c r="AF129" s="4794"/>
    </row>
    <row r="130" spans="1:32" ht="27.75" customHeight="1">
      <c r="A130" s="4778"/>
      <c r="B130" s="4774"/>
      <c r="C130" s="4493"/>
      <c r="D130" s="4216"/>
      <c r="E130" s="4216"/>
      <c r="F130" s="4216"/>
      <c r="G130" s="4216"/>
      <c r="H130" s="4216"/>
      <c r="I130" s="4216"/>
      <c r="J130" s="4341"/>
      <c r="K130" s="4216"/>
      <c r="L130" s="4216"/>
      <c r="M130" s="4247"/>
      <c r="N130" s="4247"/>
      <c r="O130" s="4247"/>
      <c r="P130" s="4216"/>
      <c r="Q130" s="4216"/>
      <c r="R130" s="4450"/>
      <c r="S130" s="3117"/>
      <c r="T130" s="3026"/>
      <c r="U130" s="3008"/>
      <c r="V130" s="3033"/>
      <c r="W130" s="3051"/>
      <c r="X130" s="165"/>
      <c r="Y130" s="1611"/>
      <c r="Z130" s="1611"/>
      <c r="AA130" s="1611"/>
      <c r="AB130" s="1609"/>
      <c r="AC130" s="165"/>
      <c r="AD130" s="166"/>
      <c r="AE130" s="404"/>
      <c r="AF130" s="4795"/>
    </row>
    <row r="131" spans="1:32" ht="22.5" customHeight="1">
      <c r="A131" s="4778"/>
      <c r="B131" s="4774"/>
      <c r="C131" s="4494" t="s">
        <v>272</v>
      </c>
      <c r="D131" s="4273" t="s">
        <v>236</v>
      </c>
      <c r="E131" s="4273" t="s">
        <v>237</v>
      </c>
      <c r="F131" s="4273" t="s">
        <v>326</v>
      </c>
      <c r="G131" s="4338" t="s">
        <v>239</v>
      </c>
      <c r="H131" s="4273" t="s">
        <v>293</v>
      </c>
      <c r="I131" s="4273" t="s">
        <v>294</v>
      </c>
      <c r="J131" s="4458" t="s">
        <v>4708</v>
      </c>
      <c r="K131" s="4273" t="s">
        <v>371</v>
      </c>
      <c r="L131" s="4228" t="s">
        <v>4644</v>
      </c>
      <c r="M131" s="4246">
        <v>1</v>
      </c>
      <c r="N131" s="4246">
        <v>1</v>
      </c>
      <c r="O131" s="4246">
        <v>1</v>
      </c>
      <c r="P131" s="4228" t="s">
        <v>4605</v>
      </c>
      <c r="Q131" s="4228" t="s">
        <v>4565</v>
      </c>
      <c r="R131" s="4458" t="s">
        <v>4538</v>
      </c>
      <c r="S131" s="3110"/>
      <c r="T131" s="1759"/>
      <c r="U131" s="3007"/>
      <c r="V131" s="2998"/>
      <c r="W131" s="3050"/>
      <c r="X131" s="414"/>
      <c r="Y131" s="1608"/>
      <c r="Z131" s="1608"/>
      <c r="AA131" s="1608"/>
      <c r="AB131" s="1610"/>
      <c r="AC131" s="414"/>
      <c r="AD131" s="174"/>
      <c r="AE131" s="1940"/>
      <c r="AF131" s="4793" t="s">
        <v>4733</v>
      </c>
    </row>
    <row r="132" spans="1:32" ht="22.5" customHeight="1">
      <c r="A132" s="4778"/>
      <c r="B132" s="4774"/>
      <c r="C132" s="4492"/>
      <c r="D132" s="4215"/>
      <c r="E132" s="4215"/>
      <c r="F132" s="4215"/>
      <c r="G132" s="4215"/>
      <c r="H132" s="4215"/>
      <c r="I132" s="4215"/>
      <c r="J132" s="4449"/>
      <c r="K132" s="4215"/>
      <c r="L132" s="4215"/>
      <c r="M132" s="4226"/>
      <c r="N132" s="4226"/>
      <c r="O132" s="4226"/>
      <c r="P132" s="4215"/>
      <c r="Q132" s="4215"/>
      <c r="R132" s="4449"/>
      <c r="S132" s="3112"/>
      <c r="T132" s="1759"/>
      <c r="U132" s="3006"/>
      <c r="V132" s="1621"/>
      <c r="W132" s="3049"/>
      <c r="X132" s="170"/>
      <c r="Y132" s="1606"/>
      <c r="Z132" s="1606"/>
      <c r="AA132" s="1606"/>
      <c r="AB132" s="1607"/>
      <c r="AC132" s="170"/>
      <c r="AD132" s="282"/>
      <c r="AE132" s="403"/>
      <c r="AF132" s="4794"/>
    </row>
    <row r="133" spans="1:32" ht="22.5" customHeight="1">
      <c r="A133" s="4778"/>
      <c r="B133" s="4774"/>
      <c r="C133" s="4492"/>
      <c r="D133" s="4215"/>
      <c r="E133" s="4215"/>
      <c r="F133" s="4215"/>
      <c r="G133" s="4215"/>
      <c r="H133" s="4215"/>
      <c r="I133" s="4215"/>
      <c r="J133" s="4449"/>
      <c r="K133" s="4215"/>
      <c r="L133" s="4215"/>
      <c r="M133" s="4226"/>
      <c r="N133" s="4226"/>
      <c r="O133" s="4226"/>
      <c r="P133" s="4215"/>
      <c r="Q133" s="4215"/>
      <c r="R133" s="4449"/>
      <c r="S133" s="3111"/>
      <c r="T133" s="3025"/>
      <c r="U133" s="3005"/>
      <c r="V133" s="1621"/>
      <c r="W133" s="3049"/>
      <c r="X133" s="170"/>
      <c r="Y133" s="1606"/>
      <c r="Z133" s="1606"/>
      <c r="AA133" s="1606"/>
      <c r="AB133" s="1607"/>
      <c r="AC133" s="170"/>
      <c r="AD133" s="282"/>
      <c r="AE133" s="403"/>
      <c r="AF133" s="4794"/>
    </row>
    <row r="134" spans="1:32" ht="22.5" customHeight="1">
      <c r="A134" s="4778"/>
      <c r="B134" s="4774"/>
      <c r="C134" s="4492"/>
      <c r="D134" s="4215"/>
      <c r="E134" s="4215"/>
      <c r="F134" s="4215"/>
      <c r="G134" s="4215"/>
      <c r="H134" s="4215"/>
      <c r="I134" s="4215"/>
      <c r="J134" s="4449"/>
      <c r="K134" s="4215"/>
      <c r="L134" s="4215"/>
      <c r="M134" s="4226"/>
      <c r="N134" s="4226"/>
      <c r="O134" s="4226"/>
      <c r="P134" s="4215"/>
      <c r="Q134" s="4215"/>
      <c r="R134" s="4449"/>
      <c r="S134" s="3111"/>
      <c r="T134" s="3025"/>
      <c r="U134" s="3005"/>
      <c r="V134" s="1621"/>
      <c r="W134" s="3049"/>
      <c r="X134" s="170"/>
      <c r="Y134" s="1606"/>
      <c r="Z134" s="1606"/>
      <c r="AA134" s="1606"/>
      <c r="AB134" s="1607"/>
      <c r="AC134" s="170"/>
      <c r="AD134" s="282"/>
      <c r="AE134" s="403"/>
      <c r="AF134" s="4794"/>
    </row>
    <row r="135" spans="1:32" ht="22.5" customHeight="1">
      <c r="A135" s="4778"/>
      <c r="B135" s="4774"/>
      <c r="C135" s="4493"/>
      <c r="D135" s="4216"/>
      <c r="E135" s="4216"/>
      <c r="F135" s="4216"/>
      <c r="G135" s="4216"/>
      <c r="H135" s="4216"/>
      <c r="I135" s="4216"/>
      <c r="J135" s="4450"/>
      <c r="K135" s="4216"/>
      <c r="L135" s="4216"/>
      <c r="M135" s="4247"/>
      <c r="N135" s="4247"/>
      <c r="O135" s="4247"/>
      <c r="P135" s="4216"/>
      <c r="Q135" s="4216"/>
      <c r="R135" s="4450"/>
      <c r="S135" s="3117"/>
      <c r="T135" s="3026"/>
      <c r="U135" s="3015"/>
      <c r="V135" s="3033"/>
      <c r="W135" s="3051"/>
      <c r="X135" s="165"/>
      <c r="Y135" s="1611"/>
      <c r="Z135" s="1611"/>
      <c r="AA135" s="1611"/>
      <c r="AB135" s="1609"/>
      <c r="AC135" s="165"/>
      <c r="AD135" s="166"/>
      <c r="AE135" s="404"/>
      <c r="AF135" s="4795"/>
    </row>
    <row r="136" spans="1:32" ht="22.5" customHeight="1" thickBot="1">
      <c r="A136" s="4778"/>
      <c r="B136" s="4775"/>
      <c r="C136" s="1980"/>
      <c r="D136" s="1980"/>
      <c r="E136" s="1980"/>
      <c r="F136" s="1980"/>
      <c r="G136" s="1980"/>
      <c r="H136" s="1980"/>
      <c r="I136" s="1980"/>
      <c r="J136" s="1980"/>
      <c r="K136" s="1980"/>
      <c r="L136" s="1980"/>
      <c r="M136" s="1981"/>
      <c r="N136" s="1981"/>
      <c r="O136" s="3106"/>
      <c r="P136" s="1980"/>
      <c r="Q136" s="1980"/>
      <c r="R136" s="1980"/>
      <c r="S136" s="4814" t="s">
        <v>916</v>
      </c>
      <c r="T136" s="4704"/>
      <c r="U136" s="4704"/>
      <c r="V136" s="4704"/>
      <c r="W136" s="4704"/>
      <c r="X136" s="4704"/>
      <c r="Y136" s="4704"/>
      <c r="Z136" s="4704"/>
      <c r="AA136" s="2172" t="s">
        <v>340</v>
      </c>
      <c r="AB136" s="2173">
        <f>SUM(AB96:AB135)</f>
        <v>3906.5600000000004</v>
      </c>
      <c r="AC136" s="4815"/>
      <c r="AD136" s="4443"/>
      <c r="AE136" s="4443"/>
      <c r="AF136" s="4816"/>
    </row>
    <row r="137" spans="1:32" ht="30.75" customHeight="1">
      <c r="A137" s="4778"/>
      <c r="B137" s="4469" t="s">
        <v>917</v>
      </c>
      <c r="C137" s="4494" t="s">
        <v>235</v>
      </c>
      <c r="D137" s="4273" t="s">
        <v>236</v>
      </c>
      <c r="E137" s="4273" t="s">
        <v>244</v>
      </c>
      <c r="F137" s="4273" t="s">
        <v>430</v>
      </c>
      <c r="G137" s="4338" t="s">
        <v>239</v>
      </c>
      <c r="H137" s="4273" t="s">
        <v>240</v>
      </c>
      <c r="I137" s="4273" t="s">
        <v>241</v>
      </c>
      <c r="J137" s="4730" t="s">
        <v>4709</v>
      </c>
      <c r="K137" s="4273" t="s">
        <v>4675</v>
      </c>
      <c r="L137" s="4228" t="s">
        <v>4645</v>
      </c>
      <c r="M137" s="4246">
        <v>0</v>
      </c>
      <c r="N137" s="4246">
        <v>2</v>
      </c>
      <c r="O137" s="4249">
        <v>0</v>
      </c>
      <c r="P137" s="4228" t="s">
        <v>4606</v>
      </c>
      <c r="Q137" s="4228" t="s">
        <v>4566</v>
      </c>
      <c r="R137" s="4458" t="s">
        <v>4540</v>
      </c>
      <c r="S137" s="3110" t="s">
        <v>29</v>
      </c>
      <c r="T137" s="3025">
        <v>840103</v>
      </c>
      <c r="U137" s="3005"/>
      <c r="V137" s="3039" t="s">
        <v>22</v>
      </c>
      <c r="W137" s="3049"/>
      <c r="X137" s="170"/>
      <c r="Y137" s="1606"/>
      <c r="Z137" s="1606"/>
      <c r="AA137" s="1606"/>
      <c r="AB137" s="1607">
        <f>SUM($AA$138)</f>
        <v>1066.24</v>
      </c>
      <c r="AC137" s="170"/>
      <c r="AD137" s="282"/>
      <c r="AE137" s="1940"/>
      <c r="AF137" s="4793"/>
    </row>
    <row r="138" spans="1:32" ht="30.75" customHeight="1">
      <c r="A138" s="4778"/>
      <c r="B138" s="4478"/>
      <c r="C138" s="4492"/>
      <c r="D138" s="4215"/>
      <c r="E138" s="4215"/>
      <c r="F138" s="4215"/>
      <c r="G138" s="4215"/>
      <c r="H138" s="4215"/>
      <c r="I138" s="4215"/>
      <c r="J138" s="4449"/>
      <c r="K138" s="4215"/>
      <c r="L138" s="4215"/>
      <c r="M138" s="4226"/>
      <c r="N138" s="4226"/>
      <c r="O138" s="4226"/>
      <c r="P138" s="4215"/>
      <c r="Q138" s="4215"/>
      <c r="R138" s="4449"/>
      <c r="S138" s="3111"/>
      <c r="T138" s="3025"/>
      <c r="U138" s="3005" t="s">
        <v>918</v>
      </c>
      <c r="V138" s="1621" t="s">
        <v>909</v>
      </c>
      <c r="W138" s="3049">
        <v>2</v>
      </c>
      <c r="X138" s="170" t="s">
        <v>269</v>
      </c>
      <c r="Y138" s="1606">
        <v>476</v>
      </c>
      <c r="Z138" s="1606">
        <f>+W138*Y138</f>
        <v>952</v>
      </c>
      <c r="AA138" s="1606">
        <f>+Z138*1.12</f>
        <v>1066.24</v>
      </c>
      <c r="AB138" s="1607"/>
      <c r="AC138" s="170"/>
      <c r="AD138" s="282" t="s">
        <v>251</v>
      </c>
      <c r="AE138" s="403"/>
      <c r="AF138" s="4794"/>
    </row>
    <row r="139" spans="1:32" ht="30.75" customHeight="1">
      <c r="A139" s="4778"/>
      <c r="B139" s="4478"/>
      <c r="C139" s="4492"/>
      <c r="D139" s="4215"/>
      <c r="E139" s="4215"/>
      <c r="F139" s="4215"/>
      <c r="G139" s="4215"/>
      <c r="H139" s="4215"/>
      <c r="I139" s="4215"/>
      <c r="J139" s="4449"/>
      <c r="K139" s="4215"/>
      <c r="L139" s="4215"/>
      <c r="M139" s="4226"/>
      <c r="N139" s="4226"/>
      <c r="O139" s="4226"/>
      <c r="P139" s="4215"/>
      <c r="Q139" s="4215"/>
      <c r="R139" s="4449"/>
      <c r="S139" s="3112" t="s">
        <v>29</v>
      </c>
      <c r="T139" s="3009">
        <v>840104</v>
      </c>
      <c r="U139" s="3010"/>
      <c r="V139" s="3036" t="s">
        <v>24</v>
      </c>
      <c r="W139" s="3054"/>
      <c r="X139" s="1775"/>
      <c r="Y139" s="1777"/>
      <c r="Z139" s="1777"/>
      <c r="AA139" s="1777"/>
      <c r="AB139" s="1993">
        <f>SUM($AA$140)</f>
        <v>1581.44</v>
      </c>
      <c r="AC139" s="1775"/>
      <c r="AD139" s="1946"/>
      <c r="AE139" s="403"/>
      <c r="AF139" s="4794"/>
    </row>
    <row r="140" spans="1:32" ht="30.75" customHeight="1">
      <c r="A140" s="4778"/>
      <c r="B140" s="4478"/>
      <c r="C140" s="4492"/>
      <c r="D140" s="4215"/>
      <c r="E140" s="4215"/>
      <c r="F140" s="4215"/>
      <c r="G140" s="4215"/>
      <c r="H140" s="4215"/>
      <c r="I140" s="4215"/>
      <c r="J140" s="4449"/>
      <c r="K140" s="4215"/>
      <c r="L140" s="4215"/>
      <c r="M140" s="4226"/>
      <c r="N140" s="4226"/>
      <c r="O140" s="4226"/>
      <c r="P140" s="4215"/>
      <c r="Q140" s="4215"/>
      <c r="R140" s="4449"/>
      <c r="S140" s="3118"/>
      <c r="T140" s="1625"/>
      <c r="U140" s="2607" t="s">
        <v>910</v>
      </c>
      <c r="V140" s="1732" t="s">
        <v>4525</v>
      </c>
      <c r="W140" s="3060">
        <v>1</v>
      </c>
      <c r="X140" s="209" t="s">
        <v>269</v>
      </c>
      <c r="Y140" s="1643">
        <v>1412</v>
      </c>
      <c r="Z140" s="1643">
        <f>+W140*Y140</f>
        <v>1412</v>
      </c>
      <c r="AA140" s="1643">
        <f>+Z140*1.12</f>
        <v>1581.44</v>
      </c>
      <c r="AB140" s="1645"/>
      <c r="AC140" s="209"/>
      <c r="AD140" s="205" t="s">
        <v>251</v>
      </c>
      <c r="AE140" s="418"/>
      <c r="AF140" s="4794"/>
    </row>
    <row r="141" spans="1:32" ht="30.75" customHeight="1">
      <c r="A141" s="4778"/>
      <c r="B141" s="4478"/>
      <c r="C141" s="4493"/>
      <c r="D141" s="4216"/>
      <c r="E141" s="4216"/>
      <c r="F141" s="4216"/>
      <c r="G141" s="4216"/>
      <c r="H141" s="4216"/>
      <c r="I141" s="4216"/>
      <c r="J141" s="4450"/>
      <c r="K141" s="4216"/>
      <c r="L141" s="4216"/>
      <c r="M141" s="4247"/>
      <c r="N141" s="4247"/>
      <c r="O141" s="4247"/>
      <c r="P141" s="4216"/>
      <c r="Q141" s="4216"/>
      <c r="R141" s="4450"/>
      <c r="S141" s="3119"/>
      <c r="T141" s="3030"/>
      <c r="U141" s="3018"/>
      <c r="V141" s="3045"/>
      <c r="W141" s="3061"/>
      <c r="X141" s="419"/>
      <c r="Y141" s="3001"/>
      <c r="Z141" s="3001"/>
      <c r="AA141" s="3001"/>
      <c r="AB141" s="3001"/>
      <c r="AC141" s="419"/>
      <c r="AD141" s="419"/>
      <c r="AE141" s="420"/>
      <c r="AF141" s="4795"/>
    </row>
    <row r="142" spans="1:32" ht="35.25" customHeight="1">
      <c r="A142" s="4778"/>
      <c r="B142" s="4478"/>
      <c r="C142" s="4494" t="s">
        <v>272</v>
      </c>
      <c r="D142" s="4273" t="s">
        <v>302</v>
      </c>
      <c r="E142" s="4273" t="s">
        <v>303</v>
      </c>
      <c r="F142" s="4273" t="s">
        <v>318</v>
      </c>
      <c r="G142" s="4338" t="s">
        <v>305</v>
      </c>
      <c r="H142" s="4273" t="s">
        <v>293</v>
      </c>
      <c r="I142" s="4273" t="s">
        <v>278</v>
      </c>
      <c r="J142" s="4483" t="s">
        <v>4710</v>
      </c>
      <c r="K142" s="4273" t="s">
        <v>919</v>
      </c>
      <c r="L142" s="4228" t="s">
        <v>4646</v>
      </c>
      <c r="M142" s="4246">
        <v>1</v>
      </c>
      <c r="N142" s="4246">
        <v>0</v>
      </c>
      <c r="O142" s="4246">
        <v>2</v>
      </c>
      <c r="P142" s="4228" t="s">
        <v>4607</v>
      </c>
      <c r="Q142" s="4228" t="s">
        <v>4567</v>
      </c>
      <c r="R142" s="4458" t="s">
        <v>4541</v>
      </c>
      <c r="S142" s="3120"/>
      <c r="T142" s="1660"/>
      <c r="U142" s="3019"/>
      <c r="V142" s="1880"/>
      <c r="W142" s="3062"/>
      <c r="X142" s="1663"/>
      <c r="Y142" s="1664"/>
      <c r="Z142" s="1664"/>
      <c r="AA142" s="1664"/>
      <c r="AB142" s="1665"/>
      <c r="AC142" s="1663"/>
      <c r="AD142" s="1663"/>
      <c r="AE142" s="1956"/>
      <c r="AF142" s="4793"/>
    </row>
    <row r="143" spans="1:32" ht="35.25" customHeight="1">
      <c r="A143" s="4778"/>
      <c r="B143" s="4478"/>
      <c r="C143" s="4492"/>
      <c r="D143" s="4215"/>
      <c r="E143" s="4215"/>
      <c r="F143" s="4215"/>
      <c r="G143" s="4215"/>
      <c r="H143" s="4215"/>
      <c r="I143" s="4215"/>
      <c r="J143" s="4340"/>
      <c r="K143" s="4215"/>
      <c r="L143" s="4215"/>
      <c r="M143" s="4226"/>
      <c r="N143" s="4226"/>
      <c r="O143" s="4226"/>
      <c r="P143" s="4215"/>
      <c r="Q143" s="4215"/>
      <c r="R143" s="4449"/>
      <c r="S143" s="3111"/>
      <c r="T143" s="1759"/>
      <c r="U143" s="3006"/>
      <c r="V143" s="1622"/>
      <c r="W143" s="3050"/>
      <c r="X143" s="414"/>
      <c r="Y143" s="1608"/>
      <c r="Z143" s="1608"/>
      <c r="AA143" s="1608"/>
      <c r="AB143" s="1610"/>
      <c r="AC143" s="414"/>
      <c r="AD143" s="414"/>
      <c r="AE143" s="417"/>
      <c r="AF143" s="4794"/>
    </row>
    <row r="144" spans="1:32" ht="35.25" customHeight="1">
      <c r="A144" s="4778"/>
      <c r="B144" s="4478"/>
      <c r="C144" s="4492"/>
      <c r="D144" s="4215"/>
      <c r="E144" s="4215"/>
      <c r="F144" s="4215"/>
      <c r="G144" s="4215"/>
      <c r="H144" s="4215"/>
      <c r="I144" s="4215"/>
      <c r="J144" s="4340"/>
      <c r="K144" s="4215"/>
      <c r="L144" s="4215"/>
      <c r="M144" s="4226"/>
      <c r="N144" s="4226"/>
      <c r="O144" s="4226"/>
      <c r="P144" s="4215"/>
      <c r="Q144" s="4215"/>
      <c r="R144" s="4449"/>
      <c r="S144" s="3111"/>
      <c r="T144" s="3025"/>
      <c r="U144" s="3005"/>
      <c r="V144" s="1621"/>
      <c r="W144" s="3049"/>
      <c r="X144" s="170"/>
      <c r="Y144" s="1606"/>
      <c r="Z144" s="1606"/>
      <c r="AA144" s="1606"/>
      <c r="AB144" s="1607"/>
      <c r="AC144" s="170"/>
      <c r="AD144" s="170"/>
      <c r="AE144" s="403"/>
      <c r="AF144" s="4794"/>
    </row>
    <row r="145" spans="1:32" ht="35.25" customHeight="1">
      <c r="A145" s="4778"/>
      <c r="B145" s="4478"/>
      <c r="C145" s="4492"/>
      <c r="D145" s="4215"/>
      <c r="E145" s="4215"/>
      <c r="F145" s="4215"/>
      <c r="G145" s="4215"/>
      <c r="H145" s="4215"/>
      <c r="I145" s="4215"/>
      <c r="J145" s="4340"/>
      <c r="K145" s="4215"/>
      <c r="L145" s="4215"/>
      <c r="M145" s="4226"/>
      <c r="N145" s="4226"/>
      <c r="O145" s="4226"/>
      <c r="P145" s="4215"/>
      <c r="Q145" s="4215"/>
      <c r="R145" s="4449"/>
      <c r="S145" s="3111"/>
      <c r="T145" s="3025"/>
      <c r="U145" s="3005"/>
      <c r="V145" s="1621"/>
      <c r="W145" s="3049"/>
      <c r="X145" s="170"/>
      <c r="Y145" s="1606"/>
      <c r="Z145" s="1606"/>
      <c r="AA145" s="1606"/>
      <c r="AB145" s="1607"/>
      <c r="AC145" s="170"/>
      <c r="AD145" s="170"/>
      <c r="AE145" s="403"/>
      <c r="AF145" s="4794"/>
    </row>
    <row r="146" spans="1:32" ht="35.25" customHeight="1">
      <c r="A146" s="4778"/>
      <c r="B146" s="4478"/>
      <c r="C146" s="4493"/>
      <c r="D146" s="4216"/>
      <c r="E146" s="4216"/>
      <c r="F146" s="4216"/>
      <c r="G146" s="4216"/>
      <c r="H146" s="4216"/>
      <c r="I146" s="4216"/>
      <c r="J146" s="4341"/>
      <c r="K146" s="4216"/>
      <c r="L146" s="4216"/>
      <c r="M146" s="4247"/>
      <c r="N146" s="4247"/>
      <c r="O146" s="4247"/>
      <c r="P146" s="4216"/>
      <c r="Q146" s="4216"/>
      <c r="R146" s="4450"/>
      <c r="S146" s="3117"/>
      <c r="T146" s="3026"/>
      <c r="U146" s="3008"/>
      <c r="V146" s="3033"/>
      <c r="W146" s="3051"/>
      <c r="X146" s="165"/>
      <c r="Y146" s="1611"/>
      <c r="Z146" s="1611"/>
      <c r="AA146" s="1611"/>
      <c r="AB146" s="1609"/>
      <c r="AC146" s="165"/>
      <c r="AD146" s="165"/>
      <c r="AE146" s="404"/>
      <c r="AF146" s="4795"/>
    </row>
    <row r="147" spans="1:32" ht="33" customHeight="1">
      <c r="A147" s="4778"/>
      <c r="B147" s="4478"/>
      <c r="C147" s="4494" t="s">
        <v>272</v>
      </c>
      <c r="D147" s="4273" t="s">
        <v>302</v>
      </c>
      <c r="E147" s="4273" t="s">
        <v>303</v>
      </c>
      <c r="F147" s="4273" t="s">
        <v>363</v>
      </c>
      <c r="G147" s="4338" t="s">
        <v>305</v>
      </c>
      <c r="H147" s="4273" t="s">
        <v>240</v>
      </c>
      <c r="I147" s="4273" t="s">
        <v>241</v>
      </c>
      <c r="J147" s="4369" t="s">
        <v>4711</v>
      </c>
      <c r="K147" s="4273" t="s">
        <v>4676</v>
      </c>
      <c r="L147" s="4228" t="s">
        <v>4647</v>
      </c>
      <c r="M147" s="4246">
        <v>1</v>
      </c>
      <c r="N147" s="4246">
        <v>0</v>
      </c>
      <c r="O147" s="4246">
        <v>1</v>
      </c>
      <c r="P147" s="4228" t="s">
        <v>4608</v>
      </c>
      <c r="Q147" s="4228" t="s">
        <v>4568</v>
      </c>
      <c r="R147" s="4458" t="s">
        <v>4541</v>
      </c>
      <c r="S147" s="3110" t="s">
        <v>29</v>
      </c>
      <c r="T147" s="1759">
        <v>530612</v>
      </c>
      <c r="U147" s="3007"/>
      <c r="V147" s="2998" t="s">
        <v>66</v>
      </c>
      <c r="W147" s="3050"/>
      <c r="X147" s="414"/>
      <c r="Y147" s="1608"/>
      <c r="Z147" s="1608"/>
      <c r="AA147" s="1608"/>
      <c r="AB147" s="1610">
        <f>SUM($AA$148:$AA$149)</f>
        <v>12320</v>
      </c>
      <c r="AC147" s="414"/>
      <c r="AD147" s="174"/>
      <c r="AE147" s="1940"/>
      <c r="AF147" s="4793" t="s">
        <v>920</v>
      </c>
    </row>
    <row r="148" spans="1:32" ht="33" customHeight="1">
      <c r="A148" s="4778"/>
      <c r="B148" s="4478"/>
      <c r="C148" s="4492"/>
      <c r="D148" s="4215"/>
      <c r="E148" s="4215"/>
      <c r="F148" s="4215"/>
      <c r="G148" s="4215"/>
      <c r="H148" s="4215"/>
      <c r="I148" s="4215"/>
      <c r="J148" s="4340"/>
      <c r="K148" s="4215"/>
      <c r="L148" s="4215"/>
      <c r="M148" s="4226"/>
      <c r="N148" s="4226"/>
      <c r="O148" s="4226"/>
      <c r="P148" s="4215"/>
      <c r="Q148" s="4215"/>
      <c r="R148" s="4449"/>
      <c r="S148" s="3112"/>
      <c r="T148" s="1759"/>
      <c r="U148" s="3006" t="s">
        <v>903</v>
      </c>
      <c r="V148" s="1621" t="s">
        <v>921</v>
      </c>
      <c r="W148" s="3049" t="s">
        <v>905</v>
      </c>
      <c r="X148" s="170" t="s">
        <v>250</v>
      </c>
      <c r="Y148" s="1606">
        <v>5000</v>
      </c>
      <c r="Z148" s="1606">
        <f>+W148*Y148</f>
        <v>5000</v>
      </c>
      <c r="AA148" s="1606">
        <f>+Z148*1.12</f>
        <v>5600.0000000000009</v>
      </c>
      <c r="AB148" s="1607"/>
      <c r="AC148" s="170"/>
      <c r="AD148" s="282" t="s">
        <v>251</v>
      </c>
      <c r="AE148" s="403"/>
      <c r="AF148" s="4794"/>
    </row>
    <row r="149" spans="1:32" ht="33" customHeight="1">
      <c r="A149" s="4778"/>
      <c r="B149" s="4478"/>
      <c r="C149" s="4492"/>
      <c r="D149" s="4215"/>
      <c r="E149" s="4215"/>
      <c r="F149" s="4215"/>
      <c r="G149" s="4215"/>
      <c r="H149" s="4215"/>
      <c r="I149" s="4215"/>
      <c r="J149" s="4340"/>
      <c r="K149" s="4215"/>
      <c r="L149" s="4215"/>
      <c r="M149" s="4226"/>
      <c r="N149" s="4226"/>
      <c r="O149" s="4226"/>
      <c r="P149" s="4215"/>
      <c r="Q149" s="4215"/>
      <c r="R149" s="4449"/>
      <c r="S149" s="3112"/>
      <c r="T149" s="1759"/>
      <c r="U149" s="3006"/>
      <c r="V149" s="3039" t="s">
        <v>4734</v>
      </c>
      <c r="W149" s="3049">
        <v>1</v>
      </c>
      <c r="X149" s="170" t="s">
        <v>269</v>
      </c>
      <c r="Y149" s="1606">
        <v>6720</v>
      </c>
      <c r="Z149" s="1606">
        <f t="shared" ref="Z149:AA149" si="16">Y149</f>
        <v>6720</v>
      </c>
      <c r="AA149" s="1606">
        <f t="shared" si="16"/>
        <v>6720</v>
      </c>
      <c r="AB149" s="1607"/>
      <c r="AC149" s="170"/>
      <c r="AD149" s="282"/>
      <c r="AE149" s="403"/>
      <c r="AF149" s="4794"/>
    </row>
    <row r="150" spans="1:32" ht="33" customHeight="1">
      <c r="A150" s="4778"/>
      <c r="B150" s="4478"/>
      <c r="C150" s="4492"/>
      <c r="D150" s="4215"/>
      <c r="E150" s="4215"/>
      <c r="F150" s="4215"/>
      <c r="G150" s="4215"/>
      <c r="H150" s="4215"/>
      <c r="I150" s="4215"/>
      <c r="J150" s="4340"/>
      <c r="K150" s="4215"/>
      <c r="L150" s="4215"/>
      <c r="M150" s="4226"/>
      <c r="N150" s="4226"/>
      <c r="O150" s="4226"/>
      <c r="P150" s="4215"/>
      <c r="Q150" s="4215"/>
      <c r="R150" s="4449"/>
      <c r="S150" s="3121"/>
      <c r="T150" s="3009"/>
      <c r="U150" s="3010"/>
      <c r="V150" s="3037"/>
      <c r="W150" s="3054"/>
      <c r="X150" s="1775"/>
      <c r="Y150" s="1777"/>
      <c r="Z150" s="1606"/>
      <c r="AA150" s="1606"/>
      <c r="AB150" s="1993"/>
      <c r="AC150" s="1775"/>
      <c r="AD150" s="1946"/>
      <c r="AE150" s="406"/>
      <c r="AF150" s="4794"/>
    </row>
    <row r="151" spans="1:32" ht="33" customHeight="1">
      <c r="A151" s="4778"/>
      <c r="B151" s="4478"/>
      <c r="C151" s="4493"/>
      <c r="D151" s="4216"/>
      <c r="E151" s="4216"/>
      <c r="F151" s="4216"/>
      <c r="G151" s="4216"/>
      <c r="H151" s="4216"/>
      <c r="I151" s="4216"/>
      <c r="J151" s="4341"/>
      <c r="K151" s="4216"/>
      <c r="L151" s="4216"/>
      <c r="M151" s="4247"/>
      <c r="N151" s="4247"/>
      <c r="O151" s="4247"/>
      <c r="P151" s="4216"/>
      <c r="Q151" s="4216"/>
      <c r="R151" s="4450"/>
      <c r="S151" s="3117"/>
      <c r="T151" s="3026"/>
      <c r="U151" s="3015"/>
      <c r="V151" s="3037"/>
      <c r="W151" s="3054"/>
      <c r="X151" s="1775"/>
      <c r="Y151" s="1777"/>
      <c r="Z151" s="1611"/>
      <c r="AA151" s="1611"/>
      <c r="AB151" s="1993"/>
      <c r="AC151" s="1775"/>
      <c r="AD151" s="1946"/>
      <c r="AE151" s="406"/>
      <c r="AF151" s="4795"/>
    </row>
    <row r="152" spans="1:32" ht="30.75" customHeight="1">
      <c r="A152" s="4778"/>
      <c r="B152" s="4478"/>
      <c r="C152" s="4494" t="s">
        <v>272</v>
      </c>
      <c r="D152" s="4273" t="s">
        <v>302</v>
      </c>
      <c r="E152" s="4273" t="s">
        <v>274</v>
      </c>
      <c r="F152" s="4273" t="s">
        <v>275</v>
      </c>
      <c r="G152" s="4338" t="s">
        <v>305</v>
      </c>
      <c r="H152" s="4273" t="s">
        <v>293</v>
      </c>
      <c r="I152" s="4273" t="s">
        <v>278</v>
      </c>
      <c r="J152" s="4369" t="s">
        <v>4712</v>
      </c>
      <c r="K152" s="4273" t="s">
        <v>922</v>
      </c>
      <c r="L152" s="4273" t="s">
        <v>4648</v>
      </c>
      <c r="M152" s="4246">
        <v>0</v>
      </c>
      <c r="N152" s="4246">
        <v>0</v>
      </c>
      <c r="O152" s="4246">
        <v>2</v>
      </c>
      <c r="P152" s="4228" t="s">
        <v>4609</v>
      </c>
      <c r="Q152" s="4228" t="s">
        <v>4569</v>
      </c>
      <c r="R152" s="4458" t="s">
        <v>4541</v>
      </c>
      <c r="S152" s="3112"/>
      <c r="T152" s="1759"/>
      <c r="U152" s="3007"/>
      <c r="V152" s="3035"/>
      <c r="W152" s="3052"/>
      <c r="X152" s="178"/>
      <c r="Y152" s="1612"/>
      <c r="Z152" s="1608"/>
      <c r="AA152" s="1608"/>
      <c r="AB152" s="1613"/>
      <c r="AC152" s="178"/>
      <c r="AD152" s="181"/>
      <c r="AE152" s="1942"/>
      <c r="AF152" s="4793"/>
    </row>
    <row r="153" spans="1:32" ht="30.75" customHeight="1">
      <c r="A153" s="4778"/>
      <c r="B153" s="4478"/>
      <c r="C153" s="4492"/>
      <c r="D153" s="4215"/>
      <c r="E153" s="4215"/>
      <c r="F153" s="4215"/>
      <c r="G153" s="4215"/>
      <c r="H153" s="4215"/>
      <c r="I153" s="4215"/>
      <c r="J153" s="4340"/>
      <c r="K153" s="4215"/>
      <c r="L153" s="4215"/>
      <c r="M153" s="4226"/>
      <c r="N153" s="4226"/>
      <c r="O153" s="4226"/>
      <c r="P153" s="4215"/>
      <c r="Q153" s="4215"/>
      <c r="R153" s="4449"/>
      <c r="S153" s="3111"/>
      <c r="T153" s="3025"/>
      <c r="U153" s="3005"/>
      <c r="V153" s="1621"/>
      <c r="W153" s="3049"/>
      <c r="X153" s="170"/>
      <c r="Y153" s="1606"/>
      <c r="Z153" s="1606"/>
      <c r="AA153" s="1606"/>
      <c r="AB153" s="1607"/>
      <c r="AC153" s="170"/>
      <c r="AD153" s="282"/>
      <c r="AE153" s="403"/>
      <c r="AF153" s="4794"/>
    </row>
    <row r="154" spans="1:32" ht="30.75" customHeight="1">
      <c r="A154" s="4778"/>
      <c r="B154" s="4478"/>
      <c r="C154" s="4492"/>
      <c r="D154" s="4215"/>
      <c r="E154" s="4215"/>
      <c r="F154" s="4215"/>
      <c r="G154" s="4215"/>
      <c r="H154" s="4215"/>
      <c r="I154" s="4215"/>
      <c r="J154" s="4340"/>
      <c r="K154" s="4215"/>
      <c r="L154" s="4215"/>
      <c r="M154" s="4226"/>
      <c r="N154" s="4226"/>
      <c r="O154" s="4226"/>
      <c r="P154" s="4215"/>
      <c r="Q154" s="4215"/>
      <c r="R154" s="4449"/>
      <c r="S154" s="3111"/>
      <c r="T154" s="3025"/>
      <c r="U154" s="3005"/>
      <c r="V154" s="1621"/>
      <c r="W154" s="3049"/>
      <c r="X154" s="170"/>
      <c r="Y154" s="1606"/>
      <c r="Z154" s="1606"/>
      <c r="AA154" s="1606"/>
      <c r="AB154" s="1607"/>
      <c r="AC154" s="170"/>
      <c r="AD154" s="282"/>
      <c r="AE154" s="403"/>
      <c r="AF154" s="4794"/>
    </row>
    <row r="155" spans="1:32" ht="30.75" customHeight="1">
      <c r="A155" s="4778"/>
      <c r="B155" s="4478"/>
      <c r="C155" s="4492"/>
      <c r="D155" s="4215"/>
      <c r="E155" s="4215"/>
      <c r="F155" s="4215"/>
      <c r="G155" s="4215"/>
      <c r="H155" s="4215"/>
      <c r="I155" s="4215"/>
      <c r="J155" s="4340"/>
      <c r="K155" s="4215"/>
      <c r="L155" s="4215"/>
      <c r="M155" s="4226"/>
      <c r="N155" s="4226"/>
      <c r="O155" s="4226"/>
      <c r="P155" s="4215"/>
      <c r="Q155" s="4215"/>
      <c r="R155" s="4449"/>
      <c r="S155" s="3111"/>
      <c r="T155" s="3025"/>
      <c r="U155" s="3005"/>
      <c r="V155" s="1621"/>
      <c r="W155" s="3049"/>
      <c r="X155" s="170"/>
      <c r="Y155" s="1606"/>
      <c r="Z155" s="1606"/>
      <c r="AA155" s="1606"/>
      <c r="AB155" s="1607"/>
      <c r="AC155" s="170"/>
      <c r="AD155" s="282"/>
      <c r="AE155" s="403"/>
      <c r="AF155" s="4794"/>
    </row>
    <row r="156" spans="1:32" ht="30.75" customHeight="1">
      <c r="A156" s="4778"/>
      <c r="B156" s="4478"/>
      <c r="C156" s="4493"/>
      <c r="D156" s="4216"/>
      <c r="E156" s="4216"/>
      <c r="F156" s="4216"/>
      <c r="G156" s="4216"/>
      <c r="H156" s="4216"/>
      <c r="I156" s="4216"/>
      <c r="J156" s="4341"/>
      <c r="K156" s="4216"/>
      <c r="L156" s="4216"/>
      <c r="M156" s="4247"/>
      <c r="N156" s="4247"/>
      <c r="O156" s="4247"/>
      <c r="P156" s="4216"/>
      <c r="Q156" s="4216"/>
      <c r="R156" s="4450"/>
      <c r="S156" s="3117"/>
      <c r="T156" s="3026"/>
      <c r="U156" s="3008"/>
      <c r="V156" s="3033"/>
      <c r="W156" s="3051"/>
      <c r="X156" s="165"/>
      <c r="Y156" s="1611"/>
      <c r="Z156" s="1611"/>
      <c r="AA156" s="1611"/>
      <c r="AB156" s="1609"/>
      <c r="AC156" s="165"/>
      <c r="AD156" s="166"/>
      <c r="AE156" s="404"/>
      <c r="AF156" s="4795"/>
    </row>
    <row r="157" spans="1:32" ht="30" customHeight="1">
      <c r="A157" s="4778"/>
      <c r="B157" s="4478"/>
      <c r="C157" s="4494" t="s">
        <v>272</v>
      </c>
      <c r="D157" s="4273" t="s">
        <v>273</v>
      </c>
      <c r="E157" s="4273" t="s">
        <v>274</v>
      </c>
      <c r="F157" s="4273" t="s">
        <v>275</v>
      </c>
      <c r="G157" s="4338" t="s">
        <v>276</v>
      </c>
      <c r="H157" s="4273" t="s">
        <v>240</v>
      </c>
      <c r="I157" s="4273" t="s">
        <v>278</v>
      </c>
      <c r="J157" s="4369" t="s">
        <v>4713</v>
      </c>
      <c r="K157" s="4273" t="s">
        <v>923</v>
      </c>
      <c r="L157" s="4273" t="s">
        <v>4649</v>
      </c>
      <c r="M157" s="4246">
        <v>0</v>
      </c>
      <c r="N157" s="4246">
        <v>0</v>
      </c>
      <c r="O157" s="4246">
        <v>1</v>
      </c>
      <c r="P157" s="4228" t="s">
        <v>4610</v>
      </c>
      <c r="Q157" s="4228" t="s">
        <v>4570</v>
      </c>
      <c r="R157" s="4458" t="s">
        <v>4542</v>
      </c>
      <c r="S157" s="3112"/>
      <c r="T157" s="1759"/>
      <c r="U157" s="3007"/>
      <c r="V157" s="3035"/>
      <c r="W157" s="3052"/>
      <c r="X157" s="178"/>
      <c r="Y157" s="1612"/>
      <c r="Z157" s="1608"/>
      <c r="AA157" s="1608"/>
      <c r="AB157" s="1613"/>
      <c r="AC157" s="178"/>
      <c r="AD157" s="181"/>
      <c r="AE157" s="1942"/>
      <c r="AF157" s="4793"/>
    </row>
    <row r="158" spans="1:32" ht="30" customHeight="1">
      <c r="A158" s="4778"/>
      <c r="B158" s="4478"/>
      <c r="C158" s="4492"/>
      <c r="D158" s="4215"/>
      <c r="E158" s="4215"/>
      <c r="F158" s="4215"/>
      <c r="G158" s="4215"/>
      <c r="H158" s="4215"/>
      <c r="I158" s="4215"/>
      <c r="J158" s="4340"/>
      <c r="K158" s="4215"/>
      <c r="L158" s="4215"/>
      <c r="M158" s="4226"/>
      <c r="N158" s="4226"/>
      <c r="O158" s="4226"/>
      <c r="P158" s="4215"/>
      <c r="Q158" s="4215"/>
      <c r="R158" s="4449"/>
      <c r="S158" s="3111"/>
      <c r="T158" s="3025"/>
      <c r="U158" s="3005"/>
      <c r="V158" s="1621"/>
      <c r="W158" s="3049"/>
      <c r="X158" s="170"/>
      <c r="Y158" s="1606"/>
      <c r="Z158" s="1606"/>
      <c r="AA158" s="1606"/>
      <c r="AB158" s="1607"/>
      <c r="AC158" s="170"/>
      <c r="AD158" s="282"/>
      <c r="AE158" s="403"/>
      <c r="AF158" s="4794"/>
    </row>
    <row r="159" spans="1:32" ht="30" customHeight="1">
      <c r="A159" s="4778"/>
      <c r="B159" s="4478"/>
      <c r="C159" s="4492"/>
      <c r="D159" s="4215"/>
      <c r="E159" s="4215"/>
      <c r="F159" s="4215"/>
      <c r="G159" s="4215"/>
      <c r="H159" s="4215"/>
      <c r="I159" s="4215"/>
      <c r="J159" s="4340"/>
      <c r="K159" s="4215"/>
      <c r="L159" s="4215"/>
      <c r="M159" s="4226"/>
      <c r="N159" s="4226"/>
      <c r="O159" s="4226"/>
      <c r="P159" s="4215"/>
      <c r="Q159" s="4215"/>
      <c r="R159" s="4449"/>
      <c r="S159" s="3111"/>
      <c r="T159" s="3025"/>
      <c r="U159" s="3005"/>
      <c r="V159" s="1621"/>
      <c r="W159" s="3049"/>
      <c r="X159" s="170"/>
      <c r="Y159" s="1606"/>
      <c r="Z159" s="1606"/>
      <c r="AA159" s="1606"/>
      <c r="AB159" s="1607"/>
      <c r="AC159" s="170"/>
      <c r="AD159" s="282"/>
      <c r="AE159" s="403"/>
      <c r="AF159" s="4794"/>
    </row>
    <row r="160" spans="1:32" ht="30" customHeight="1">
      <c r="A160" s="4778"/>
      <c r="B160" s="4478"/>
      <c r="C160" s="4492"/>
      <c r="D160" s="4215"/>
      <c r="E160" s="4215"/>
      <c r="F160" s="4215"/>
      <c r="G160" s="4215"/>
      <c r="H160" s="4215"/>
      <c r="I160" s="4215"/>
      <c r="J160" s="4340"/>
      <c r="K160" s="4215"/>
      <c r="L160" s="4215"/>
      <c r="M160" s="4226"/>
      <c r="N160" s="4226"/>
      <c r="O160" s="4226"/>
      <c r="P160" s="4215"/>
      <c r="Q160" s="4215"/>
      <c r="R160" s="4449"/>
      <c r="S160" s="3111"/>
      <c r="T160" s="3025"/>
      <c r="U160" s="3005"/>
      <c r="V160" s="1621"/>
      <c r="W160" s="3049"/>
      <c r="X160" s="170"/>
      <c r="Y160" s="1606"/>
      <c r="Z160" s="1606"/>
      <c r="AA160" s="1606"/>
      <c r="AB160" s="1607"/>
      <c r="AC160" s="170"/>
      <c r="AD160" s="282"/>
      <c r="AE160" s="403"/>
      <c r="AF160" s="4794"/>
    </row>
    <row r="161" spans="1:32" ht="30" customHeight="1">
      <c r="A161" s="4778"/>
      <c r="B161" s="4478"/>
      <c r="C161" s="4493"/>
      <c r="D161" s="4216"/>
      <c r="E161" s="4216"/>
      <c r="F161" s="4216"/>
      <c r="G161" s="4216"/>
      <c r="H161" s="4216"/>
      <c r="I161" s="4216"/>
      <c r="J161" s="4341"/>
      <c r="K161" s="4216"/>
      <c r="L161" s="4216"/>
      <c r="M161" s="4247"/>
      <c r="N161" s="4247"/>
      <c r="O161" s="4247"/>
      <c r="P161" s="4216"/>
      <c r="Q161" s="4216"/>
      <c r="R161" s="4450"/>
      <c r="S161" s="3117"/>
      <c r="T161" s="3026"/>
      <c r="U161" s="3008"/>
      <c r="V161" s="3033"/>
      <c r="W161" s="3051"/>
      <c r="X161" s="165"/>
      <c r="Y161" s="1611"/>
      <c r="Z161" s="1611"/>
      <c r="AA161" s="1611"/>
      <c r="AB161" s="1609"/>
      <c r="AC161" s="165"/>
      <c r="AD161" s="166"/>
      <c r="AE161" s="404"/>
      <c r="AF161" s="4795"/>
    </row>
    <row r="162" spans="1:32" ht="42" customHeight="1">
      <c r="A162" s="4778"/>
      <c r="B162" s="4478"/>
      <c r="C162" s="4494" t="s">
        <v>272</v>
      </c>
      <c r="D162" s="4273" t="s">
        <v>273</v>
      </c>
      <c r="E162" s="4273" t="s">
        <v>274</v>
      </c>
      <c r="F162" s="4273" t="s">
        <v>924</v>
      </c>
      <c r="G162" s="4338" t="s">
        <v>276</v>
      </c>
      <c r="H162" s="4273" t="s">
        <v>240</v>
      </c>
      <c r="I162" s="4273" t="s">
        <v>278</v>
      </c>
      <c r="J162" s="4632" t="s">
        <v>4714</v>
      </c>
      <c r="K162" s="4273" t="s">
        <v>925</v>
      </c>
      <c r="L162" s="4273" t="s">
        <v>4650</v>
      </c>
      <c r="M162" s="4246">
        <v>0</v>
      </c>
      <c r="N162" s="4246">
        <v>1</v>
      </c>
      <c r="O162" s="4246">
        <v>1</v>
      </c>
      <c r="P162" s="4228" t="s">
        <v>4611</v>
      </c>
      <c r="Q162" s="4228" t="s">
        <v>4571</v>
      </c>
      <c r="R162" s="4458" t="s">
        <v>4542</v>
      </c>
      <c r="S162" s="3112"/>
      <c r="T162" s="1759"/>
      <c r="U162" s="3007"/>
      <c r="V162" s="3034"/>
      <c r="W162" s="3050"/>
      <c r="X162" s="414"/>
      <c r="Y162" s="1608"/>
      <c r="Z162" s="1608"/>
      <c r="AA162" s="1608"/>
      <c r="AB162" s="1610"/>
      <c r="AC162" s="414"/>
      <c r="AD162" s="174"/>
      <c r="AE162" s="1940"/>
      <c r="AF162" s="4793"/>
    </row>
    <row r="163" spans="1:32" ht="42" customHeight="1">
      <c r="A163" s="4778"/>
      <c r="B163" s="4478"/>
      <c r="C163" s="4492"/>
      <c r="D163" s="4215"/>
      <c r="E163" s="4215"/>
      <c r="F163" s="4215"/>
      <c r="G163" s="4215"/>
      <c r="H163" s="4215"/>
      <c r="I163" s="4215"/>
      <c r="J163" s="4331"/>
      <c r="K163" s="4215"/>
      <c r="L163" s="4215"/>
      <c r="M163" s="4226"/>
      <c r="N163" s="4226"/>
      <c r="O163" s="4226"/>
      <c r="P163" s="4215"/>
      <c r="Q163" s="4215"/>
      <c r="R163" s="4449"/>
      <c r="S163" s="3111"/>
      <c r="T163" s="3025"/>
      <c r="U163" s="3005"/>
      <c r="V163" s="1621"/>
      <c r="W163" s="3049"/>
      <c r="X163" s="170"/>
      <c r="Y163" s="1606"/>
      <c r="Z163" s="1606"/>
      <c r="AA163" s="1606"/>
      <c r="AB163" s="1607"/>
      <c r="AC163" s="170"/>
      <c r="AD163" s="282"/>
      <c r="AE163" s="403"/>
      <c r="AF163" s="4794"/>
    </row>
    <row r="164" spans="1:32" ht="42" customHeight="1">
      <c r="A164" s="4778"/>
      <c r="B164" s="4478"/>
      <c r="C164" s="4492"/>
      <c r="D164" s="4215"/>
      <c r="E164" s="4215"/>
      <c r="F164" s="4215"/>
      <c r="G164" s="4215"/>
      <c r="H164" s="4215"/>
      <c r="I164" s="4215"/>
      <c r="J164" s="4331"/>
      <c r="K164" s="4215"/>
      <c r="L164" s="4215"/>
      <c r="M164" s="4226"/>
      <c r="N164" s="4226"/>
      <c r="O164" s="4226"/>
      <c r="P164" s="4215"/>
      <c r="Q164" s="4215"/>
      <c r="R164" s="4449"/>
      <c r="S164" s="3112"/>
      <c r="T164" s="1759"/>
      <c r="U164" s="3006"/>
      <c r="V164" s="1622"/>
      <c r="W164" s="3050"/>
      <c r="X164" s="414"/>
      <c r="Y164" s="1608"/>
      <c r="Z164" s="1606"/>
      <c r="AA164" s="1606"/>
      <c r="AB164" s="1607"/>
      <c r="AC164" s="170"/>
      <c r="AD164" s="282"/>
      <c r="AE164" s="403"/>
      <c r="AF164" s="4794"/>
    </row>
    <row r="165" spans="1:32" ht="42" customHeight="1">
      <c r="A165" s="4778"/>
      <c r="B165" s="4478"/>
      <c r="C165" s="4492"/>
      <c r="D165" s="4215"/>
      <c r="E165" s="4215"/>
      <c r="F165" s="4215"/>
      <c r="G165" s="4215"/>
      <c r="H165" s="4215"/>
      <c r="I165" s="4215"/>
      <c r="J165" s="4331"/>
      <c r="K165" s="4215"/>
      <c r="L165" s="4215"/>
      <c r="M165" s="4226"/>
      <c r="N165" s="4226"/>
      <c r="O165" s="4226"/>
      <c r="P165" s="4215"/>
      <c r="Q165" s="4215"/>
      <c r="R165" s="4449"/>
      <c r="S165" s="3112"/>
      <c r="T165" s="1759"/>
      <c r="U165" s="3007"/>
      <c r="V165" s="1622"/>
      <c r="W165" s="3050"/>
      <c r="X165" s="414"/>
      <c r="Y165" s="1608"/>
      <c r="Z165" s="1606"/>
      <c r="AA165" s="1606"/>
      <c r="AB165" s="1607"/>
      <c r="AC165" s="170"/>
      <c r="AD165" s="282"/>
      <c r="AE165" s="403"/>
      <c r="AF165" s="4794"/>
    </row>
    <row r="166" spans="1:32" ht="42" customHeight="1">
      <c r="A166" s="4778"/>
      <c r="B166" s="4478"/>
      <c r="C166" s="4493"/>
      <c r="D166" s="4216"/>
      <c r="E166" s="4216"/>
      <c r="F166" s="4216"/>
      <c r="G166" s="4216"/>
      <c r="H166" s="4216"/>
      <c r="I166" s="4216"/>
      <c r="J166" s="4332"/>
      <c r="K166" s="4216"/>
      <c r="L166" s="4216"/>
      <c r="M166" s="4247"/>
      <c r="N166" s="4247"/>
      <c r="O166" s="4247"/>
      <c r="P166" s="4216"/>
      <c r="Q166" s="4216"/>
      <c r="R166" s="4450"/>
      <c r="S166" s="3117"/>
      <c r="T166" s="3026"/>
      <c r="U166" s="3008"/>
      <c r="V166" s="3033"/>
      <c r="W166" s="3051"/>
      <c r="X166" s="165"/>
      <c r="Y166" s="1611"/>
      <c r="Z166" s="1611"/>
      <c r="AA166" s="1611"/>
      <c r="AB166" s="1609"/>
      <c r="AC166" s="165"/>
      <c r="AD166" s="166"/>
      <c r="AE166" s="404"/>
      <c r="AF166" s="4795"/>
    </row>
    <row r="167" spans="1:32" ht="26.25" customHeight="1">
      <c r="A167" s="4778"/>
      <c r="B167" s="4478"/>
      <c r="C167" s="4494" t="s">
        <v>235</v>
      </c>
      <c r="D167" s="4273" t="s">
        <v>236</v>
      </c>
      <c r="E167" s="4273" t="s">
        <v>244</v>
      </c>
      <c r="F167" s="4273" t="s">
        <v>292</v>
      </c>
      <c r="G167" s="4338" t="s">
        <v>239</v>
      </c>
      <c r="H167" s="4273" t="s">
        <v>293</v>
      </c>
      <c r="I167" s="4273" t="s">
        <v>257</v>
      </c>
      <c r="J167" s="4330" t="s">
        <v>4715</v>
      </c>
      <c r="K167" s="4273" t="s">
        <v>338</v>
      </c>
      <c r="L167" s="4273" t="s">
        <v>3102</v>
      </c>
      <c r="M167" s="4246">
        <v>0</v>
      </c>
      <c r="N167" s="4246">
        <v>1</v>
      </c>
      <c r="O167" s="4246">
        <v>1</v>
      </c>
      <c r="P167" s="4228" t="s">
        <v>4612</v>
      </c>
      <c r="Q167" s="4228" t="s">
        <v>4572</v>
      </c>
      <c r="R167" s="4458" t="s">
        <v>4541</v>
      </c>
      <c r="S167" s="3112"/>
      <c r="T167" s="1759"/>
      <c r="U167" s="3007"/>
      <c r="V167" s="3034"/>
      <c r="W167" s="3050"/>
      <c r="X167" s="414"/>
      <c r="Y167" s="1608"/>
      <c r="Z167" s="1608"/>
      <c r="AA167" s="1608"/>
      <c r="AB167" s="1610"/>
      <c r="AC167" s="414"/>
      <c r="AD167" s="414"/>
      <c r="AE167" s="1941"/>
      <c r="AF167" s="4793"/>
    </row>
    <row r="168" spans="1:32" ht="26.25" customHeight="1">
      <c r="A168" s="4778"/>
      <c r="B168" s="4478"/>
      <c r="C168" s="4492"/>
      <c r="D168" s="4215"/>
      <c r="E168" s="4215"/>
      <c r="F168" s="4215"/>
      <c r="G168" s="4215"/>
      <c r="H168" s="4215"/>
      <c r="I168" s="4215"/>
      <c r="J168" s="4331"/>
      <c r="K168" s="4215"/>
      <c r="L168" s="4215"/>
      <c r="M168" s="4226"/>
      <c r="N168" s="4226"/>
      <c r="O168" s="4226"/>
      <c r="P168" s="4215"/>
      <c r="Q168" s="4215"/>
      <c r="R168" s="4449"/>
      <c r="S168" s="3111"/>
      <c r="T168" s="3025"/>
      <c r="U168" s="3005"/>
      <c r="V168" s="1621"/>
      <c r="W168" s="3049"/>
      <c r="X168" s="170"/>
      <c r="Y168" s="1606"/>
      <c r="Z168" s="1606"/>
      <c r="AA168" s="1606"/>
      <c r="AB168" s="1607"/>
      <c r="AC168" s="170"/>
      <c r="AD168" s="170"/>
      <c r="AE168" s="417"/>
      <c r="AF168" s="4794"/>
    </row>
    <row r="169" spans="1:32" ht="26.25" customHeight="1">
      <c r="A169" s="4778"/>
      <c r="B169" s="4478"/>
      <c r="C169" s="4492"/>
      <c r="D169" s="4215"/>
      <c r="E169" s="4215"/>
      <c r="F169" s="4215"/>
      <c r="G169" s="4215"/>
      <c r="H169" s="4215"/>
      <c r="I169" s="4215"/>
      <c r="J169" s="4331"/>
      <c r="K169" s="4215"/>
      <c r="L169" s="4215"/>
      <c r="M169" s="4226"/>
      <c r="N169" s="4226"/>
      <c r="O169" s="4226"/>
      <c r="P169" s="4215"/>
      <c r="Q169" s="4215"/>
      <c r="R169" s="4449"/>
      <c r="S169" s="3111"/>
      <c r="T169" s="3025"/>
      <c r="U169" s="3005"/>
      <c r="V169" s="1621"/>
      <c r="W169" s="3049"/>
      <c r="X169" s="170"/>
      <c r="Y169" s="1606"/>
      <c r="Z169" s="1606"/>
      <c r="AA169" s="1606"/>
      <c r="AB169" s="1607"/>
      <c r="AC169" s="170"/>
      <c r="AD169" s="170"/>
      <c r="AE169" s="403"/>
      <c r="AF169" s="4794"/>
    </row>
    <row r="170" spans="1:32" ht="26.25" customHeight="1">
      <c r="A170" s="4778"/>
      <c r="B170" s="4478"/>
      <c r="C170" s="4492"/>
      <c r="D170" s="4215"/>
      <c r="E170" s="4215"/>
      <c r="F170" s="4215"/>
      <c r="G170" s="4215"/>
      <c r="H170" s="4215"/>
      <c r="I170" s="4215"/>
      <c r="J170" s="4331"/>
      <c r="K170" s="4215"/>
      <c r="L170" s="4215"/>
      <c r="M170" s="4226"/>
      <c r="N170" s="4226"/>
      <c r="O170" s="4226"/>
      <c r="P170" s="4215"/>
      <c r="Q170" s="4215"/>
      <c r="R170" s="4449"/>
      <c r="S170" s="3111"/>
      <c r="T170" s="3025"/>
      <c r="U170" s="3005"/>
      <c r="V170" s="1621"/>
      <c r="W170" s="3049"/>
      <c r="X170" s="170"/>
      <c r="Y170" s="1606"/>
      <c r="Z170" s="1606"/>
      <c r="AA170" s="1606"/>
      <c r="AB170" s="1607"/>
      <c r="AC170" s="170"/>
      <c r="AD170" s="170"/>
      <c r="AE170" s="403"/>
      <c r="AF170" s="4794"/>
    </row>
    <row r="171" spans="1:32" ht="26.25" customHeight="1">
      <c r="A171" s="4778"/>
      <c r="B171" s="4478"/>
      <c r="C171" s="4493"/>
      <c r="D171" s="4216"/>
      <c r="E171" s="4216"/>
      <c r="F171" s="4216"/>
      <c r="G171" s="4216"/>
      <c r="H171" s="4216"/>
      <c r="I171" s="4216"/>
      <c r="J171" s="4332"/>
      <c r="K171" s="4216"/>
      <c r="L171" s="4216"/>
      <c r="M171" s="4247"/>
      <c r="N171" s="4247"/>
      <c r="O171" s="4247"/>
      <c r="P171" s="4216"/>
      <c r="Q171" s="4216"/>
      <c r="R171" s="4450"/>
      <c r="S171" s="3117"/>
      <c r="T171" s="3026"/>
      <c r="U171" s="3008"/>
      <c r="V171" s="3033"/>
      <c r="W171" s="3051"/>
      <c r="X171" s="165"/>
      <c r="Y171" s="1611"/>
      <c r="Z171" s="1611"/>
      <c r="AA171" s="1611"/>
      <c r="AB171" s="1609"/>
      <c r="AC171" s="165"/>
      <c r="AD171" s="165"/>
      <c r="AE171" s="404"/>
      <c r="AF171" s="4795"/>
    </row>
    <row r="172" spans="1:32" ht="26.25" customHeight="1">
      <c r="A172" s="4778"/>
      <c r="B172" s="4478"/>
      <c r="C172" s="4494" t="s">
        <v>235</v>
      </c>
      <c r="D172" s="4273" t="s">
        <v>236</v>
      </c>
      <c r="E172" s="4273" t="s">
        <v>244</v>
      </c>
      <c r="F172" s="4273" t="s">
        <v>292</v>
      </c>
      <c r="G172" s="4338" t="s">
        <v>239</v>
      </c>
      <c r="H172" s="4273" t="s">
        <v>293</v>
      </c>
      <c r="I172" s="4273" t="s">
        <v>294</v>
      </c>
      <c r="J172" s="4228" t="s">
        <v>4716</v>
      </c>
      <c r="K172" s="4273" t="s">
        <v>371</v>
      </c>
      <c r="L172" s="4273" t="s">
        <v>4644</v>
      </c>
      <c r="M172" s="4246">
        <v>1</v>
      </c>
      <c r="N172" s="4246">
        <v>1</v>
      </c>
      <c r="O172" s="4246">
        <v>1</v>
      </c>
      <c r="P172" s="4228" t="s">
        <v>4613</v>
      </c>
      <c r="Q172" s="4228" t="s">
        <v>4252</v>
      </c>
      <c r="R172" s="4458" t="s">
        <v>4541</v>
      </c>
      <c r="S172" s="3110"/>
      <c r="T172" s="1997"/>
      <c r="U172" s="3020"/>
      <c r="V172" s="2999"/>
      <c r="W172" s="3052"/>
      <c r="X172" s="178"/>
      <c r="Y172" s="1612"/>
      <c r="Z172" s="1612"/>
      <c r="AA172" s="1612"/>
      <c r="AB172" s="1613"/>
      <c r="AC172" s="178"/>
      <c r="AD172" s="181"/>
      <c r="AE172" s="1942"/>
      <c r="AF172" s="4793"/>
    </row>
    <row r="173" spans="1:32" ht="26.25" customHeight="1">
      <c r="A173" s="4778"/>
      <c r="B173" s="4478"/>
      <c r="C173" s="4492"/>
      <c r="D173" s="4215"/>
      <c r="E173" s="4215"/>
      <c r="F173" s="4215"/>
      <c r="G173" s="4215"/>
      <c r="H173" s="4215"/>
      <c r="I173" s="4215"/>
      <c r="J173" s="4215"/>
      <c r="K173" s="4215"/>
      <c r="L173" s="4215"/>
      <c r="M173" s="4226"/>
      <c r="N173" s="4226"/>
      <c r="O173" s="4226"/>
      <c r="P173" s="4215"/>
      <c r="Q173" s="4215"/>
      <c r="R173" s="4449"/>
      <c r="S173" s="3112"/>
      <c r="T173" s="1759"/>
      <c r="U173" s="3006"/>
      <c r="V173" s="1621"/>
      <c r="W173" s="3049"/>
      <c r="X173" s="170"/>
      <c r="Y173" s="1606"/>
      <c r="Z173" s="1606"/>
      <c r="AA173" s="1606"/>
      <c r="AB173" s="1607"/>
      <c r="AC173" s="170"/>
      <c r="AD173" s="282"/>
      <c r="AE173" s="403"/>
      <c r="AF173" s="4794"/>
    </row>
    <row r="174" spans="1:32" ht="26.25" customHeight="1">
      <c r="A174" s="4778"/>
      <c r="B174" s="4478"/>
      <c r="C174" s="4492"/>
      <c r="D174" s="4215"/>
      <c r="E174" s="4215"/>
      <c r="F174" s="4215"/>
      <c r="G174" s="4215"/>
      <c r="H174" s="4215"/>
      <c r="I174" s="4215"/>
      <c r="J174" s="4215"/>
      <c r="K174" s="4215"/>
      <c r="L174" s="4215"/>
      <c r="M174" s="4226"/>
      <c r="N174" s="4226"/>
      <c r="O174" s="4226"/>
      <c r="P174" s="4215"/>
      <c r="Q174" s="4215"/>
      <c r="R174" s="4449"/>
      <c r="S174" s="3111"/>
      <c r="T174" s="3025"/>
      <c r="U174" s="3005"/>
      <c r="V174" s="1621"/>
      <c r="W174" s="3049"/>
      <c r="X174" s="170"/>
      <c r="Y174" s="1606"/>
      <c r="Z174" s="1606"/>
      <c r="AA174" s="1606"/>
      <c r="AB174" s="1607"/>
      <c r="AC174" s="170"/>
      <c r="AD174" s="282"/>
      <c r="AE174" s="403"/>
      <c r="AF174" s="4794"/>
    </row>
    <row r="175" spans="1:32" ht="26.25" customHeight="1">
      <c r="A175" s="4778"/>
      <c r="B175" s="4478"/>
      <c r="C175" s="4492"/>
      <c r="D175" s="4215"/>
      <c r="E175" s="4215"/>
      <c r="F175" s="4215"/>
      <c r="G175" s="4215"/>
      <c r="H175" s="4215"/>
      <c r="I175" s="4215"/>
      <c r="J175" s="4215"/>
      <c r="K175" s="4215"/>
      <c r="L175" s="4215"/>
      <c r="M175" s="4226"/>
      <c r="N175" s="4226"/>
      <c r="O175" s="4226"/>
      <c r="P175" s="4215"/>
      <c r="Q175" s="4215"/>
      <c r="R175" s="4449"/>
      <c r="S175" s="3111"/>
      <c r="T175" s="3025"/>
      <c r="U175" s="3005"/>
      <c r="V175" s="1621"/>
      <c r="W175" s="3049"/>
      <c r="X175" s="170"/>
      <c r="Y175" s="1606"/>
      <c r="Z175" s="1606"/>
      <c r="AA175" s="1606"/>
      <c r="AB175" s="1607"/>
      <c r="AC175" s="170"/>
      <c r="AD175" s="282"/>
      <c r="AE175" s="403"/>
      <c r="AF175" s="4794"/>
    </row>
    <row r="176" spans="1:32" ht="26.25" customHeight="1">
      <c r="A176" s="4778"/>
      <c r="B176" s="4478"/>
      <c r="C176" s="4493"/>
      <c r="D176" s="4216"/>
      <c r="E176" s="4216"/>
      <c r="F176" s="4216"/>
      <c r="G176" s="4216"/>
      <c r="H176" s="4216"/>
      <c r="I176" s="4216"/>
      <c r="J176" s="4216"/>
      <c r="K176" s="4216"/>
      <c r="L176" s="4216"/>
      <c r="M176" s="4247"/>
      <c r="N176" s="4247"/>
      <c r="O176" s="4247"/>
      <c r="P176" s="4216"/>
      <c r="Q176" s="4216"/>
      <c r="R176" s="4450"/>
      <c r="S176" s="3117"/>
      <c r="T176" s="3026"/>
      <c r="U176" s="3008"/>
      <c r="V176" s="3033"/>
      <c r="W176" s="3051"/>
      <c r="X176" s="165"/>
      <c r="Y176" s="1611"/>
      <c r="Z176" s="1611"/>
      <c r="AA176" s="1611"/>
      <c r="AB176" s="1609"/>
      <c r="AC176" s="165"/>
      <c r="AD176" s="166"/>
      <c r="AE176" s="404"/>
      <c r="AF176" s="4795"/>
    </row>
    <row r="177" spans="1:32" ht="22.5" customHeight="1" thickBot="1">
      <c r="A177" s="4778"/>
      <c r="B177" s="4479"/>
      <c r="C177" s="3105"/>
      <c r="D177" s="3105"/>
      <c r="E177" s="3105"/>
      <c r="F177" s="3105"/>
      <c r="G177" s="3105"/>
      <c r="H177" s="3105"/>
      <c r="I177" s="3105"/>
      <c r="J177" s="3105"/>
      <c r="K177" s="3105"/>
      <c r="L177" s="3105"/>
      <c r="M177" s="3106"/>
      <c r="N177" s="3106"/>
      <c r="O177" s="3106"/>
      <c r="P177" s="3105"/>
      <c r="Q177" s="3105"/>
      <c r="R177" s="3105"/>
      <c r="S177" s="4798" t="s">
        <v>926</v>
      </c>
      <c r="T177" s="4799"/>
      <c r="U177" s="4799"/>
      <c r="V177" s="4799"/>
      <c r="W177" s="4799"/>
      <c r="X177" s="4799"/>
      <c r="Y177" s="4799"/>
      <c r="Z177" s="4799"/>
      <c r="AA177" s="3107" t="s">
        <v>340</v>
      </c>
      <c r="AB177" s="3108">
        <f>SUM(AB137:AB176)</f>
        <v>14967.68</v>
      </c>
      <c r="AC177" s="4800"/>
      <c r="AD177" s="4653"/>
      <c r="AE177" s="4653"/>
      <c r="AF177" s="4801"/>
    </row>
    <row r="178" spans="1:32" ht="26.25" customHeight="1">
      <c r="A178" s="4778"/>
      <c r="B178" s="4469" t="s">
        <v>927</v>
      </c>
      <c r="C178" s="4491" t="s">
        <v>235</v>
      </c>
      <c r="D178" s="4328" t="s">
        <v>236</v>
      </c>
      <c r="E178" s="4328" t="s">
        <v>237</v>
      </c>
      <c r="F178" s="4328" t="s">
        <v>370</v>
      </c>
      <c r="G178" s="4329" t="s">
        <v>239</v>
      </c>
      <c r="H178" s="4328" t="s">
        <v>240</v>
      </c>
      <c r="I178" s="4328" t="s">
        <v>257</v>
      </c>
      <c r="J178" s="4459" t="s">
        <v>4717</v>
      </c>
      <c r="K178" s="4328" t="s">
        <v>4677</v>
      </c>
      <c r="L178" s="4328" t="s">
        <v>4651</v>
      </c>
      <c r="M178" s="4249">
        <v>0</v>
      </c>
      <c r="N178" s="4249">
        <v>1</v>
      </c>
      <c r="O178" s="4249">
        <v>0</v>
      </c>
      <c r="P178" s="4345" t="s">
        <v>4614</v>
      </c>
      <c r="Q178" s="4345" t="s">
        <v>4573</v>
      </c>
      <c r="R178" s="4459" t="s">
        <v>4543</v>
      </c>
      <c r="S178" s="3116" t="s">
        <v>29</v>
      </c>
      <c r="T178" s="1660">
        <v>840104</v>
      </c>
      <c r="U178" s="3104"/>
      <c r="V178" s="1880" t="s">
        <v>24</v>
      </c>
      <c r="W178" s="3062"/>
      <c r="X178" s="1663"/>
      <c r="Y178" s="1664"/>
      <c r="Z178" s="1664"/>
      <c r="AA178" s="1664"/>
      <c r="AB178" s="1665">
        <f>SUM($AA$179:$AA$180)</f>
        <v>1581.44</v>
      </c>
      <c r="AC178" s="1663"/>
      <c r="AD178" s="1666"/>
      <c r="AE178" s="1756"/>
      <c r="AF178" s="4802"/>
    </row>
    <row r="179" spans="1:32" ht="26.25" customHeight="1">
      <c r="A179" s="4778"/>
      <c r="B179" s="4478"/>
      <c r="C179" s="4492"/>
      <c r="D179" s="4215"/>
      <c r="E179" s="4215"/>
      <c r="F179" s="4215"/>
      <c r="G179" s="4215"/>
      <c r="H179" s="4215"/>
      <c r="I179" s="4215"/>
      <c r="J179" s="4449"/>
      <c r="K179" s="4215"/>
      <c r="L179" s="4215"/>
      <c r="M179" s="4226"/>
      <c r="N179" s="4226"/>
      <c r="O179" s="4226"/>
      <c r="P179" s="4215"/>
      <c r="Q179" s="4215"/>
      <c r="R179" s="4449"/>
      <c r="S179" s="3122"/>
      <c r="T179" s="1625"/>
      <c r="U179" s="2607" t="s">
        <v>910</v>
      </c>
      <c r="V179" s="1732" t="s">
        <v>4525</v>
      </c>
      <c r="W179" s="3060" t="s">
        <v>905</v>
      </c>
      <c r="X179" s="209" t="s">
        <v>269</v>
      </c>
      <c r="Y179" s="1643">
        <v>1412</v>
      </c>
      <c r="Z179" s="1643">
        <f t="shared" ref="Z179" si="17">+W179*Y179</f>
        <v>1412</v>
      </c>
      <c r="AA179" s="1643">
        <f t="shared" ref="AA179" si="18">+Z179*1.12</f>
        <v>1581.44</v>
      </c>
      <c r="AB179" s="1645"/>
      <c r="AC179" s="209"/>
      <c r="AD179" s="205" t="s">
        <v>251</v>
      </c>
      <c r="AE179" s="204"/>
      <c r="AF179" s="4794"/>
    </row>
    <row r="180" spans="1:32" ht="26.25" customHeight="1">
      <c r="A180" s="4778"/>
      <c r="B180" s="4478"/>
      <c r="C180" s="4492"/>
      <c r="D180" s="4215"/>
      <c r="E180" s="4215"/>
      <c r="F180" s="4215"/>
      <c r="G180" s="4215"/>
      <c r="H180" s="4215"/>
      <c r="I180" s="4215"/>
      <c r="J180" s="4449"/>
      <c r="K180" s="4215"/>
      <c r="L180" s="4215"/>
      <c r="M180" s="4226"/>
      <c r="N180" s="4226"/>
      <c r="O180" s="4226"/>
      <c r="P180" s="4215"/>
      <c r="Q180" s="4215"/>
      <c r="R180" s="4449"/>
      <c r="S180" s="3122"/>
      <c r="T180" s="1625"/>
      <c r="U180" s="2607"/>
      <c r="V180" s="1732"/>
      <c r="W180" s="3060"/>
      <c r="X180" s="209"/>
      <c r="Y180" s="1643"/>
      <c r="Z180" s="1643"/>
      <c r="AA180" s="1643"/>
      <c r="AB180" s="1645"/>
      <c r="AC180" s="209"/>
      <c r="AD180" s="205"/>
      <c r="AE180" s="204"/>
      <c r="AF180" s="4794"/>
    </row>
    <row r="181" spans="1:32" ht="26.25" customHeight="1">
      <c r="A181" s="4778"/>
      <c r="B181" s="4478"/>
      <c r="C181" s="4492"/>
      <c r="D181" s="4215"/>
      <c r="E181" s="4215"/>
      <c r="F181" s="4215"/>
      <c r="G181" s="4215"/>
      <c r="H181" s="4215"/>
      <c r="I181" s="4215"/>
      <c r="J181" s="4449"/>
      <c r="K181" s="4215"/>
      <c r="L181" s="4215"/>
      <c r="M181" s="4226"/>
      <c r="N181" s="4226"/>
      <c r="O181" s="4226"/>
      <c r="P181" s="4215"/>
      <c r="Q181" s="4215"/>
      <c r="R181" s="4449"/>
      <c r="S181" s="3123"/>
      <c r="T181" s="3031"/>
      <c r="U181" s="3021"/>
      <c r="V181" s="3046"/>
      <c r="W181" s="3063"/>
      <c r="X181" s="421"/>
      <c r="Y181" s="3002"/>
      <c r="Z181" s="3002"/>
      <c r="AA181" s="3002"/>
      <c r="AB181" s="3002"/>
      <c r="AC181" s="209"/>
      <c r="AD181" s="205"/>
      <c r="AE181" s="204"/>
      <c r="AF181" s="4794"/>
    </row>
    <row r="182" spans="1:32" ht="26.25" customHeight="1">
      <c r="A182" s="4778"/>
      <c r="B182" s="4478"/>
      <c r="C182" s="4493"/>
      <c r="D182" s="4216"/>
      <c r="E182" s="4216"/>
      <c r="F182" s="4216"/>
      <c r="G182" s="4216"/>
      <c r="H182" s="4216"/>
      <c r="I182" s="4216"/>
      <c r="J182" s="4450"/>
      <c r="K182" s="4216"/>
      <c r="L182" s="4216"/>
      <c r="M182" s="4247"/>
      <c r="N182" s="4247"/>
      <c r="O182" s="4247"/>
      <c r="P182" s="4216"/>
      <c r="Q182" s="4216"/>
      <c r="R182" s="4450"/>
      <c r="S182" s="3124"/>
      <c r="T182" s="3030"/>
      <c r="U182" s="3018"/>
      <c r="V182" s="3045"/>
      <c r="W182" s="3061"/>
      <c r="X182" s="419"/>
      <c r="Y182" s="3001"/>
      <c r="Z182" s="3001"/>
      <c r="AA182" s="3001"/>
      <c r="AB182" s="3001"/>
      <c r="AC182" s="210"/>
      <c r="AD182" s="419"/>
      <c r="AE182" s="211"/>
      <c r="AF182" s="4795"/>
    </row>
    <row r="183" spans="1:32" ht="44.25" customHeight="1">
      <c r="A183" s="4778"/>
      <c r="B183" s="4478"/>
      <c r="C183" s="4494" t="s">
        <v>235</v>
      </c>
      <c r="D183" s="4273" t="s">
        <v>236</v>
      </c>
      <c r="E183" s="4273" t="s">
        <v>237</v>
      </c>
      <c r="F183" s="4273" t="s">
        <v>370</v>
      </c>
      <c r="G183" s="4338" t="s">
        <v>239</v>
      </c>
      <c r="H183" s="4273" t="s">
        <v>240</v>
      </c>
      <c r="I183" s="4273" t="s">
        <v>241</v>
      </c>
      <c r="J183" s="4458" t="s">
        <v>4718</v>
      </c>
      <c r="K183" s="4273" t="s">
        <v>4678</v>
      </c>
      <c r="L183" s="4273" t="s">
        <v>4652</v>
      </c>
      <c r="M183" s="4246">
        <v>1</v>
      </c>
      <c r="N183" s="4246">
        <v>2</v>
      </c>
      <c r="O183" s="4246">
        <v>1</v>
      </c>
      <c r="P183" s="4228" t="s">
        <v>4615</v>
      </c>
      <c r="Q183" s="4228" t="s">
        <v>4574</v>
      </c>
      <c r="R183" s="4458" t="s">
        <v>4543</v>
      </c>
      <c r="S183" s="3112"/>
      <c r="T183" s="1759"/>
      <c r="U183" s="3007"/>
      <c r="V183" s="3034"/>
      <c r="W183" s="3050"/>
      <c r="X183" s="414"/>
      <c r="Y183" s="1608"/>
      <c r="Z183" s="1608"/>
      <c r="AA183" s="1608"/>
      <c r="AB183" s="1610"/>
      <c r="AC183" s="414"/>
      <c r="AD183" s="414"/>
      <c r="AE183" s="1941"/>
      <c r="AF183" s="4793"/>
    </row>
    <row r="184" spans="1:32" ht="44.25" customHeight="1">
      <c r="A184" s="4778"/>
      <c r="B184" s="4478"/>
      <c r="C184" s="4492"/>
      <c r="D184" s="4215"/>
      <c r="E184" s="4215"/>
      <c r="F184" s="4215"/>
      <c r="G184" s="4215"/>
      <c r="H184" s="4215"/>
      <c r="I184" s="4215"/>
      <c r="J184" s="4449"/>
      <c r="K184" s="4215"/>
      <c r="L184" s="4215"/>
      <c r="M184" s="4226"/>
      <c r="N184" s="4226"/>
      <c r="O184" s="4226"/>
      <c r="P184" s="4215"/>
      <c r="Q184" s="4215"/>
      <c r="R184" s="4449"/>
      <c r="S184" s="3111"/>
      <c r="T184" s="3025"/>
      <c r="U184" s="3005"/>
      <c r="V184" s="1621"/>
      <c r="W184" s="3049"/>
      <c r="X184" s="170"/>
      <c r="Y184" s="1606"/>
      <c r="Z184" s="1606"/>
      <c r="AA184" s="1606"/>
      <c r="AB184" s="1607"/>
      <c r="AC184" s="170"/>
      <c r="AD184" s="170"/>
      <c r="AE184" s="417"/>
      <c r="AF184" s="4794"/>
    </row>
    <row r="185" spans="1:32" ht="44.25" customHeight="1">
      <c r="A185" s="4778"/>
      <c r="B185" s="4478"/>
      <c r="C185" s="4492"/>
      <c r="D185" s="4215"/>
      <c r="E185" s="4215"/>
      <c r="F185" s="4215"/>
      <c r="G185" s="4215"/>
      <c r="H185" s="4215"/>
      <c r="I185" s="4215"/>
      <c r="J185" s="4449"/>
      <c r="K185" s="4215"/>
      <c r="L185" s="4215"/>
      <c r="M185" s="4226"/>
      <c r="N185" s="4226"/>
      <c r="O185" s="4226"/>
      <c r="P185" s="4215"/>
      <c r="Q185" s="4215"/>
      <c r="R185" s="4449"/>
      <c r="S185" s="3111"/>
      <c r="T185" s="3025"/>
      <c r="U185" s="3005"/>
      <c r="V185" s="1621"/>
      <c r="W185" s="3049"/>
      <c r="X185" s="170"/>
      <c r="Y185" s="1606"/>
      <c r="Z185" s="1606"/>
      <c r="AA185" s="1606"/>
      <c r="AB185" s="1607"/>
      <c r="AC185" s="170"/>
      <c r="AD185" s="170"/>
      <c r="AE185" s="403"/>
      <c r="AF185" s="4794"/>
    </row>
    <row r="186" spans="1:32" ht="44.25" customHeight="1">
      <c r="A186" s="4778"/>
      <c r="B186" s="4478"/>
      <c r="C186" s="4492"/>
      <c r="D186" s="4215"/>
      <c r="E186" s="4215"/>
      <c r="F186" s="4215"/>
      <c r="G186" s="4215"/>
      <c r="H186" s="4215"/>
      <c r="I186" s="4215"/>
      <c r="J186" s="4449"/>
      <c r="K186" s="4215"/>
      <c r="L186" s="4215"/>
      <c r="M186" s="4226"/>
      <c r="N186" s="4226"/>
      <c r="O186" s="4226"/>
      <c r="P186" s="4215"/>
      <c r="Q186" s="4215"/>
      <c r="R186" s="4449"/>
      <c r="S186" s="3111"/>
      <c r="T186" s="3025"/>
      <c r="U186" s="3005"/>
      <c r="V186" s="1621"/>
      <c r="W186" s="3049"/>
      <c r="X186" s="170"/>
      <c r="Y186" s="1606"/>
      <c r="Z186" s="1606"/>
      <c r="AA186" s="1606"/>
      <c r="AB186" s="1607"/>
      <c r="AC186" s="170"/>
      <c r="AD186" s="170"/>
      <c r="AE186" s="403"/>
      <c r="AF186" s="4794"/>
    </row>
    <row r="187" spans="1:32" ht="44.25" customHeight="1">
      <c r="A187" s="4778"/>
      <c r="B187" s="4478"/>
      <c r="C187" s="4493"/>
      <c r="D187" s="4216"/>
      <c r="E187" s="4216"/>
      <c r="F187" s="4216"/>
      <c r="G187" s="4216"/>
      <c r="H187" s="4216"/>
      <c r="I187" s="4216"/>
      <c r="J187" s="4450"/>
      <c r="K187" s="4216"/>
      <c r="L187" s="4216"/>
      <c r="M187" s="4247"/>
      <c r="N187" s="4247"/>
      <c r="O187" s="4247"/>
      <c r="P187" s="4216"/>
      <c r="Q187" s="4216"/>
      <c r="R187" s="4450"/>
      <c r="S187" s="3117"/>
      <c r="T187" s="3026"/>
      <c r="U187" s="3008"/>
      <c r="V187" s="3033"/>
      <c r="W187" s="3051"/>
      <c r="X187" s="165"/>
      <c r="Y187" s="1611"/>
      <c r="Z187" s="1611"/>
      <c r="AA187" s="1611"/>
      <c r="AB187" s="1609"/>
      <c r="AC187" s="165"/>
      <c r="AD187" s="165"/>
      <c r="AE187" s="404"/>
      <c r="AF187" s="4795"/>
    </row>
    <row r="188" spans="1:32" ht="39" customHeight="1">
      <c r="A188" s="4778"/>
      <c r="B188" s="4478"/>
      <c r="C188" s="4494" t="s">
        <v>235</v>
      </c>
      <c r="D188" s="4273" t="s">
        <v>236</v>
      </c>
      <c r="E188" s="4273" t="s">
        <v>237</v>
      </c>
      <c r="F188" s="4273" t="s">
        <v>326</v>
      </c>
      <c r="G188" s="4338" t="s">
        <v>239</v>
      </c>
      <c r="H188" s="4273" t="s">
        <v>240</v>
      </c>
      <c r="I188" s="4273" t="s">
        <v>257</v>
      </c>
      <c r="J188" s="4458" t="s">
        <v>4719</v>
      </c>
      <c r="K188" s="4328" t="s">
        <v>4679</v>
      </c>
      <c r="L188" s="4273" t="s">
        <v>4653</v>
      </c>
      <c r="M188" s="4246">
        <v>1</v>
      </c>
      <c r="N188" s="4246">
        <v>0</v>
      </c>
      <c r="O188" s="4246">
        <v>0</v>
      </c>
      <c r="P188" s="4228" t="s">
        <v>4735</v>
      </c>
      <c r="Q188" s="4228" t="s">
        <v>4575</v>
      </c>
      <c r="R188" s="4458" t="s">
        <v>4543</v>
      </c>
      <c r="S188" s="3110"/>
      <c r="T188" s="1759"/>
      <c r="U188" s="3007"/>
      <c r="V188" s="2998"/>
      <c r="W188" s="3050"/>
      <c r="X188" s="414"/>
      <c r="Y188" s="1608"/>
      <c r="Z188" s="1608"/>
      <c r="AA188" s="1608"/>
      <c r="AB188" s="1610"/>
      <c r="AC188" s="414"/>
      <c r="AD188" s="174"/>
      <c r="AE188" s="1940"/>
      <c r="AF188" s="4793"/>
    </row>
    <row r="189" spans="1:32" ht="39" customHeight="1">
      <c r="A189" s="4778"/>
      <c r="B189" s="4478"/>
      <c r="C189" s="4492"/>
      <c r="D189" s="4215"/>
      <c r="E189" s="4215"/>
      <c r="F189" s="4215"/>
      <c r="G189" s="4215"/>
      <c r="H189" s="4215"/>
      <c r="I189" s="4215"/>
      <c r="J189" s="4449"/>
      <c r="K189" s="4215"/>
      <c r="L189" s="4215"/>
      <c r="M189" s="4226"/>
      <c r="N189" s="4226"/>
      <c r="O189" s="4226"/>
      <c r="P189" s="4215"/>
      <c r="Q189" s="4215"/>
      <c r="R189" s="4449"/>
      <c r="S189" s="3112"/>
      <c r="T189" s="1759"/>
      <c r="U189" s="3006"/>
      <c r="V189" s="1621"/>
      <c r="W189" s="3049"/>
      <c r="X189" s="170"/>
      <c r="Y189" s="1606"/>
      <c r="Z189" s="1606"/>
      <c r="AA189" s="1606"/>
      <c r="AB189" s="1607"/>
      <c r="AC189" s="170"/>
      <c r="AD189" s="282"/>
      <c r="AE189" s="403"/>
      <c r="AF189" s="4794"/>
    </row>
    <row r="190" spans="1:32" ht="39" customHeight="1">
      <c r="A190" s="4778"/>
      <c r="B190" s="4478"/>
      <c r="C190" s="4492"/>
      <c r="D190" s="4215"/>
      <c r="E190" s="4215"/>
      <c r="F190" s="4215"/>
      <c r="G190" s="4215"/>
      <c r="H190" s="4215"/>
      <c r="I190" s="4215"/>
      <c r="J190" s="4449"/>
      <c r="K190" s="4215"/>
      <c r="L190" s="4215"/>
      <c r="M190" s="4226"/>
      <c r="N190" s="4226"/>
      <c r="O190" s="4226"/>
      <c r="P190" s="4215"/>
      <c r="Q190" s="4215"/>
      <c r="R190" s="4449"/>
      <c r="S190" s="3111"/>
      <c r="T190" s="3025"/>
      <c r="U190" s="3005"/>
      <c r="V190" s="1621"/>
      <c r="W190" s="3049"/>
      <c r="X190" s="170"/>
      <c r="Y190" s="1606"/>
      <c r="Z190" s="1606"/>
      <c r="AA190" s="1606"/>
      <c r="AB190" s="1607"/>
      <c r="AC190" s="170"/>
      <c r="AD190" s="282"/>
      <c r="AE190" s="403"/>
      <c r="AF190" s="4794"/>
    </row>
    <row r="191" spans="1:32" ht="39" customHeight="1">
      <c r="A191" s="4778"/>
      <c r="B191" s="4478"/>
      <c r="C191" s="4492"/>
      <c r="D191" s="4215"/>
      <c r="E191" s="4215"/>
      <c r="F191" s="4215"/>
      <c r="G191" s="4215"/>
      <c r="H191" s="4215"/>
      <c r="I191" s="4215"/>
      <c r="J191" s="4449"/>
      <c r="K191" s="4215"/>
      <c r="L191" s="4215"/>
      <c r="M191" s="4226"/>
      <c r="N191" s="4226"/>
      <c r="O191" s="4226"/>
      <c r="P191" s="4215"/>
      <c r="Q191" s="4215"/>
      <c r="R191" s="4449"/>
      <c r="S191" s="3111"/>
      <c r="T191" s="3025"/>
      <c r="U191" s="3005"/>
      <c r="V191" s="1621"/>
      <c r="W191" s="3049"/>
      <c r="X191" s="170"/>
      <c r="Y191" s="1606"/>
      <c r="Z191" s="1606"/>
      <c r="AA191" s="1606"/>
      <c r="AB191" s="1607"/>
      <c r="AC191" s="170"/>
      <c r="AD191" s="282"/>
      <c r="AE191" s="403"/>
      <c r="AF191" s="4794"/>
    </row>
    <row r="192" spans="1:32" ht="39" customHeight="1">
      <c r="A192" s="4778"/>
      <c r="B192" s="4478"/>
      <c r="C192" s="4493"/>
      <c r="D192" s="4216"/>
      <c r="E192" s="4216"/>
      <c r="F192" s="4216"/>
      <c r="G192" s="4216"/>
      <c r="H192" s="4216"/>
      <c r="I192" s="4216"/>
      <c r="J192" s="4450"/>
      <c r="K192" s="4216"/>
      <c r="L192" s="4216"/>
      <c r="M192" s="4247"/>
      <c r="N192" s="4247"/>
      <c r="O192" s="4247"/>
      <c r="P192" s="4216"/>
      <c r="Q192" s="4216"/>
      <c r="R192" s="4450"/>
      <c r="S192" s="3117"/>
      <c r="T192" s="3026"/>
      <c r="U192" s="3015"/>
      <c r="V192" s="3037"/>
      <c r="W192" s="3054"/>
      <c r="X192" s="1775"/>
      <c r="Y192" s="1777"/>
      <c r="Z192" s="1611"/>
      <c r="AA192" s="1611"/>
      <c r="AB192" s="1993"/>
      <c r="AC192" s="1775"/>
      <c r="AD192" s="1946"/>
      <c r="AE192" s="406"/>
      <c r="AF192" s="4795"/>
    </row>
    <row r="193" spans="1:32" ht="28.5" customHeight="1">
      <c r="A193" s="4778"/>
      <c r="B193" s="4478"/>
      <c r="C193" s="4494" t="s">
        <v>235</v>
      </c>
      <c r="D193" s="4273" t="s">
        <v>236</v>
      </c>
      <c r="E193" s="4273" t="s">
        <v>237</v>
      </c>
      <c r="F193" s="4273" t="s">
        <v>326</v>
      </c>
      <c r="G193" s="4338" t="s">
        <v>239</v>
      </c>
      <c r="H193" s="4273" t="s">
        <v>240</v>
      </c>
      <c r="I193" s="4273" t="s">
        <v>257</v>
      </c>
      <c r="J193" s="4369" t="s">
        <v>4720</v>
      </c>
      <c r="K193" s="4273" t="s">
        <v>928</v>
      </c>
      <c r="L193" s="4273" t="s">
        <v>4654</v>
      </c>
      <c r="M193" s="4246">
        <v>1</v>
      </c>
      <c r="N193" s="4246">
        <v>0</v>
      </c>
      <c r="O193" s="4246">
        <v>0</v>
      </c>
      <c r="P193" s="4228" t="s">
        <v>4616</v>
      </c>
      <c r="Q193" s="4228" t="s">
        <v>4576</v>
      </c>
      <c r="R193" s="4458" t="s">
        <v>4543</v>
      </c>
      <c r="S193" s="3110"/>
      <c r="T193" s="1997"/>
      <c r="U193" s="3020"/>
      <c r="V193" s="3035"/>
      <c r="W193" s="3052"/>
      <c r="X193" s="178"/>
      <c r="Y193" s="1612"/>
      <c r="Z193" s="1612"/>
      <c r="AA193" s="1612"/>
      <c r="AB193" s="1613"/>
      <c r="AC193" s="178"/>
      <c r="AD193" s="181"/>
      <c r="AE193" s="1942"/>
      <c r="AF193" s="4793"/>
    </row>
    <row r="194" spans="1:32" ht="28.5" customHeight="1">
      <c r="A194" s="4778"/>
      <c r="B194" s="4478"/>
      <c r="C194" s="4492"/>
      <c r="D194" s="4215"/>
      <c r="E194" s="4215"/>
      <c r="F194" s="4215"/>
      <c r="G194" s="4215"/>
      <c r="H194" s="4215"/>
      <c r="I194" s="4215"/>
      <c r="J194" s="4340"/>
      <c r="K194" s="4215"/>
      <c r="L194" s="4215"/>
      <c r="M194" s="4226"/>
      <c r="N194" s="4226"/>
      <c r="O194" s="4226"/>
      <c r="P194" s="4215"/>
      <c r="Q194" s="4215"/>
      <c r="R194" s="4449"/>
      <c r="S194" s="3111"/>
      <c r="T194" s="3025"/>
      <c r="U194" s="3005"/>
      <c r="V194" s="1621"/>
      <c r="W194" s="3049"/>
      <c r="X194" s="170"/>
      <c r="Y194" s="1606"/>
      <c r="Z194" s="1606"/>
      <c r="AA194" s="1606"/>
      <c r="AB194" s="1607"/>
      <c r="AC194" s="170"/>
      <c r="AD194" s="282"/>
      <c r="AE194" s="403"/>
      <c r="AF194" s="4794"/>
    </row>
    <row r="195" spans="1:32" ht="28.5" customHeight="1">
      <c r="A195" s="4778"/>
      <c r="B195" s="4478"/>
      <c r="C195" s="4492"/>
      <c r="D195" s="4215"/>
      <c r="E195" s="4215"/>
      <c r="F195" s="4215"/>
      <c r="G195" s="4215"/>
      <c r="H195" s="4215"/>
      <c r="I195" s="4215"/>
      <c r="J195" s="4340"/>
      <c r="K195" s="4215"/>
      <c r="L195" s="4215"/>
      <c r="M195" s="4226"/>
      <c r="N195" s="4226"/>
      <c r="O195" s="4226"/>
      <c r="P195" s="4215"/>
      <c r="Q195" s="4215"/>
      <c r="R195" s="4449"/>
      <c r="S195" s="3111"/>
      <c r="T195" s="3025"/>
      <c r="U195" s="3005"/>
      <c r="V195" s="1621"/>
      <c r="W195" s="3049"/>
      <c r="X195" s="170"/>
      <c r="Y195" s="1606"/>
      <c r="Z195" s="1606"/>
      <c r="AA195" s="1606"/>
      <c r="AB195" s="1607"/>
      <c r="AC195" s="170"/>
      <c r="AD195" s="282"/>
      <c r="AE195" s="403"/>
      <c r="AF195" s="4794"/>
    </row>
    <row r="196" spans="1:32" ht="28.5" customHeight="1">
      <c r="A196" s="4778"/>
      <c r="B196" s="4478"/>
      <c r="C196" s="4492"/>
      <c r="D196" s="4215"/>
      <c r="E196" s="4215"/>
      <c r="F196" s="4215"/>
      <c r="G196" s="4215"/>
      <c r="H196" s="4215"/>
      <c r="I196" s="4215"/>
      <c r="J196" s="4340"/>
      <c r="K196" s="4215"/>
      <c r="L196" s="4215"/>
      <c r="M196" s="4226"/>
      <c r="N196" s="4226"/>
      <c r="O196" s="4226"/>
      <c r="P196" s="4215"/>
      <c r="Q196" s="4215"/>
      <c r="R196" s="4449"/>
      <c r="S196" s="3111"/>
      <c r="T196" s="3025"/>
      <c r="U196" s="3005"/>
      <c r="V196" s="1621"/>
      <c r="W196" s="3049"/>
      <c r="X196" s="170"/>
      <c r="Y196" s="1606"/>
      <c r="Z196" s="1606"/>
      <c r="AA196" s="1606"/>
      <c r="AB196" s="1607"/>
      <c r="AC196" s="170"/>
      <c r="AD196" s="282"/>
      <c r="AE196" s="403"/>
      <c r="AF196" s="4794"/>
    </row>
    <row r="197" spans="1:32" ht="28.5" customHeight="1">
      <c r="A197" s="4778"/>
      <c r="B197" s="4478"/>
      <c r="C197" s="4493"/>
      <c r="D197" s="4216"/>
      <c r="E197" s="4216"/>
      <c r="F197" s="4216"/>
      <c r="G197" s="4216"/>
      <c r="H197" s="4216"/>
      <c r="I197" s="4216"/>
      <c r="J197" s="4341"/>
      <c r="K197" s="4216"/>
      <c r="L197" s="4216"/>
      <c r="M197" s="4247"/>
      <c r="N197" s="4247"/>
      <c r="O197" s="4247"/>
      <c r="P197" s="4216"/>
      <c r="Q197" s="4216"/>
      <c r="R197" s="4450"/>
      <c r="S197" s="3117"/>
      <c r="T197" s="3026"/>
      <c r="U197" s="3008"/>
      <c r="V197" s="3033"/>
      <c r="W197" s="3051"/>
      <c r="X197" s="165"/>
      <c r="Y197" s="1611"/>
      <c r="Z197" s="1611"/>
      <c r="AA197" s="1611"/>
      <c r="AB197" s="1609"/>
      <c r="AC197" s="165"/>
      <c r="AD197" s="166"/>
      <c r="AE197" s="404"/>
      <c r="AF197" s="4795"/>
    </row>
    <row r="198" spans="1:32" ht="36.75" customHeight="1">
      <c r="A198" s="4778"/>
      <c r="B198" s="4478"/>
      <c r="C198" s="4494" t="s">
        <v>235</v>
      </c>
      <c r="D198" s="4273" t="s">
        <v>236</v>
      </c>
      <c r="E198" s="4273" t="s">
        <v>244</v>
      </c>
      <c r="F198" s="4273" t="s">
        <v>292</v>
      </c>
      <c r="G198" s="4338" t="s">
        <v>239</v>
      </c>
      <c r="H198" s="4273" t="s">
        <v>686</v>
      </c>
      <c r="I198" s="4273" t="s">
        <v>294</v>
      </c>
      <c r="J198" s="4458" t="s">
        <v>4721</v>
      </c>
      <c r="K198" s="4273" t="s">
        <v>929</v>
      </c>
      <c r="L198" s="4273" t="s">
        <v>4655</v>
      </c>
      <c r="M198" s="4246">
        <v>0</v>
      </c>
      <c r="N198" s="4246">
        <v>0</v>
      </c>
      <c r="O198" s="4246">
        <v>1</v>
      </c>
      <c r="P198" s="4228" t="s">
        <v>4617</v>
      </c>
      <c r="Q198" s="4228" t="s">
        <v>4577</v>
      </c>
      <c r="R198" s="4458" t="s">
        <v>4543</v>
      </c>
      <c r="S198" s="3110" t="s">
        <v>29</v>
      </c>
      <c r="T198" s="1997">
        <v>530302</v>
      </c>
      <c r="U198" s="3013"/>
      <c r="V198" s="3038" t="s">
        <v>80</v>
      </c>
      <c r="W198" s="3064"/>
      <c r="X198" s="408"/>
      <c r="Y198" s="1612"/>
      <c r="Z198" s="1613"/>
      <c r="AA198" s="1604"/>
      <c r="AB198" s="1613">
        <f>SUM($AA$199)</f>
        <v>1120</v>
      </c>
      <c r="AC198" s="178"/>
      <c r="AD198" s="181"/>
      <c r="AE198" s="1942"/>
      <c r="AF198" s="4793"/>
    </row>
    <row r="199" spans="1:32" ht="36.75" customHeight="1">
      <c r="A199" s="4778"/>
      <c r="B199" s="4478"/>
      <c r="C199" s="4492"/>
      <c r="D199" s="4215"/>
      <c r="E199" s="4215"/>
      <c r="F199" s="4215"/>
      <c r="G199" s="4215"/>
      <c r="H199" s="4215"/>
      <c r="I199" s="4215"/>
      <c r="J199" s="4449"/>
      <c r="K199" s="4215"/>
      <c r="L199" s="4215"/>
      <c r="M199" s="4226"/>
      <c r="N199" s="4226"/>
      <c r="O199" s="4226"/>
      <c r="P199" s="4215"/>
      <c r="Q199" s="4215"/>
      <c r="R199" s="4449"/>
      <c r="S199" s="3111"/>
      <c r="T199" s="3027"/>
      <c r="U199" s="3014" t="s">
        <v>930</v>
      </c>
      <c r="V199" s="1621" t="s">
        <v>4520</v>
      </c>
      <c r="W199" s="3057">
        <v>1</v>
      </c>
      <c r="X199" s="422" t="s">
        <v>250</v>
      </c>
      <c r="Y199" s="1606">
        <v>1000</v>
      </c>
      <c r="Z199" s="1606">
        <f>+W199*Y199</f>
        <v>1000</v>
      </c>
      <c r="AA199" s="1606">
        <f>+Z199*1.12</f>
        <v>1120</v>
      </c>
      <c r="AB199" s="1606"/>
      <c r="AC199" s="170"/>
      <c r="AD199" s="282"/>
      <c r="AE199" s="403" t="s">
        <v>251</v>
      </c>
      <c r="AF199" s="4794"/>
    </row>
    <row r="200" spans="1:32" ht="36.75" customHeight="1">
      <c r="A200" s="4778"/>
      <c r="B200" s="4478"/>
      <c r="C200" s="4492"/>
      <c r="D200" s="4215"/>
      <c r="E200" s="4215"/>
      <c r="F200" s="4215"/>
      <c r="G200" s="4215"/>
      <c r="H200" s="4215"/>
      <c r="I200" s="4215"/>
      <c r="J200" s="4449"/>
      <c r="K200" s="4215"/>
      <c r="L200" s="4215"/>
      <c r="M200" s="4226"/>
      <c r="N200" s="4226"/>
      <c r="O200" s="4226"/>
      <c r="P200" s="4215"/>
      <c r="Q200" s="4215"/>
      <c r="R200" s="4449"/>
      <c r="S200" s="3112" t="s">
        <v>29</v>
      </c>
      <c r="T200" s="1759">
        <v>530239</v>
      </c>
      <c r="U200" s="3014"/>
      <c r="V200" s="3039" t="s">
        <v>27</v>
      </c>
      <c r="W200" s="3057"/>
      <c r="X200" s="422"/>
      <c r="Y200" s="1606"/>
      <c r="Z200" s="1607"/>
      <c r="AA200" s="1601"/>
      <c r="AB200" s="1607">
        <f>SUM($AA$201:$AA$202)</f>
        <v>3334.9120000000003</v>
      </c>
      <c r="AC200" s="170"/>
      <c r="AD200" s="282"/>
      <c r="AE200" s="403"/>
      <c r="AF200" s="4794"/>
    </row>
    <row r="201" spans="1:32" ht="36.75" customHeight="1">
      <c r="A201" s="4778"/>
      <c r="B201" s="4478"/>
      <c r="C201" s="4492"/>
      <c r="D201" s="4215"/>
      <c r="E201" s="4215"/>
      <c r="F201" s="4215"/>
      <c r="G201" s="4215"/>
      <c r="H201" s="4215"/>
      <c r="I201" s="4215"/>
      <c r="J201" s="4449"/>
      <c r="K201" s="4215"/>
      <c r="L201" s="4215"/>
      <c r="M201" s="4226"/>
      <c r="N201" s="4226"/>
      <c r="O201" s="4226"/>
      <c r="P201" s="4215"/>
      <c r="Q201" s="4215"/>
      <c r="R201" s="4449"/>
      <c r="S201" s="3111"/>
      <c r="T201" s="3027"/>
      <c r="U201" s="3022"/>
      <c r="V201" s="1621" t="s">
        <v>931</v>
      </c>
      <c r="W201" s="3057">
        <v>1</v>
      </c>
      <c r="X201" s="422" t="s">
        <v>250</v>
      </c>
      <c r="Y201" s="1606">
        <v>1600</v>
      </c>
      <c r="Z201" s="1606">
        <f t="shared" ref="Z201:Z202" si="19">+W201*Y201</f>
        <v>1600</v>
      </c>
      <c r="AA201" s="1606">
        <f t="shared" ref="AA201:AA202" si="20">+Z201*1.12</f>
        <v>1792.0000000000002</v>
      </c>
      <c r="AB201" s="1606"/>
      <c r="AC201" s="170"/>
      <c r="AD201" s="282"/>
      <c r="AE201" s="403" t="s">
        <v>251</v>
      </c>
      <c r="AF201" s="4794"/>
    </row>
    <row r="202" spans="1:32" ht="36.75" customHeight="1">
      <c r="A202" s="4778"/>
      <c r="B202" s="4478"/>
      <c r="C202" s="4492"/>
      <c r="D202" s="4215"/>
      <c r="E202" s="4215"/>
      <c r="F202" s="4215"/>
      <c r="G202" s="4215"/>
      <c r="H202" s="4215"/>
      <c r="I202" s="4215"/>
      <c r="J202" s="4449"/>
      <c r="K202" s="4215"/>
      <c r="L202" s="4215"/>
      <c r="M202" s="4226"/>
      <c r="N202" s="4357"/>
      <c r="O202" s="4357"/>
      <c r="P202" s="4348"/>
      <c r="Q202" s="4348"/>
      <c r="R202" s="4472"/>
      <c r="S202" s="3109"/>
      <c r="T202" s="3091"/>
      <c r="U202" s="3092"/>
      <c r="V202" s="3093" t="s">
        <v>932</v>
      </c>
      <c r="W202" s="3094">
        <v>1</v>
      </c>
      <c r="X202" s="3095" t="s">
        <v>250</v>
      </c>
      <c r="Y202" s="3096">
        <v>1377.6</v>
      </c>
      <c r="Z202" s="3096">
        <f t="shared" si="19"/>
        <v>1377.6</v>
      </c>
      <c r="AA202" s="3096">
        <f t="shared" si="20"/>
        <v>1542.912</v>
      </c>
      <c r="AB202" s="3096"/>
      <c r="AC202" s="1786"/>
      <c r="AD202" s="1787"/>
      <c r="AE202" s="3097" t="s">
        <v>251</v>
      </c>
      <c r="AF202" s="4803"/>
    </row>
    <row r="203" spans="1:32" ht="57" customHeight="1">
      <c r="A203" s="4778"/>
      <c r="B203" s="4478"/>
      <c r="C203" s="4494" t="s">
        <v>272</v>
      </c>
      <c r="D203" s="4273" t="s">
        <v>273</v>
      </c>
      <c r="E203" s="4273" t="s">
        <v>312</v>
      </c>
      <c r="F203" s="4273" t="s">
        <v>313</v>
      </c>
      <c r="G203" s="4338" t="s">
        <v>305</v>
      </c>
      <c r="H203" s="4273" t="s">
        <v>686</v>
      </c>
      <c r="I203" s="4273" t="s">
        <v>257</v>
      </c>
      <c r="J203" s="4458" t="s">
        <v>4722</v>
      </c>
      <c r="K203" s="4273" t="s">
        <v>4680</v>
      </c>
      <c r="L203" s="4273" t="s">
        <v>4656</v>
      </c>
      <c r="M203" s="4246">
        <v>0</v>
      </c>
      <c r="N203" s="4249">
        <v>0</v>
      </c>
      <c r="O203" s="4249">
        <v>1</v>
      </c>
      <c r="P203" s="4345" t="s">
        <v>4736</v>
      </c>
      <c r="Q203" s="4345" t="s">
        <v>4578</v>
      </c>
      <c r="R203" s="4459" t="s">
        <v>4543</v>
      </c>
      <c r="S203" s="3112"/>
      <c r="T203" s="3029"/>
      <c r="U203" s="3023"/>
      <c r="V203" s="1622"/>
      <c r="W203" s="3065"/>
      <c r="X203" s="280"/>
      <c r="Y203" s="1608"/>
      <c r="Z203" s="1610"/>
      <c r="AA203" s="1602"/>
      <c r="AB203" s="3090"/>
      <c r="AC203" s="414"/>
      <c r="AD203" s="174"/>
      <c r="AE203" s="1940"/>
      <c r="AF203" s="4802"/>
    </row>
    <row r="204" spans="1:32" ht="57" customHeight="1">
      <c r="A204" s="4778"/>
      <c r="B204" s="4478"/>
      <c r="C204" s="4492"/>
      <c r="D204" s="4215"/>
      <c r="E204" s="4215"/>
      <c r="F204" s="4215"/>
      <c r="G204" s="4215"/>
      <c r="H204" s="4215"/>
      <c r="I204" s="4215"/>
      <c r="J204" s="4449"/>
      <c r="K204" s="4215"/>
      <c r="L204" s="4215"/>
      <c r="M204" s="4226"/>
      <c r="N204" s="4226"/>
      <c r="O204" s="4226"/>
      <c r="P204" s="4215"/>
      <c r="Q204" s="4215"/>
      <c r="R204" s="4449"/>
      <c r="S204" s="3111"/>
      <c r="T204" s="3025"/>
      <c r="U204" s="3005"/>
      <c r="V204" s="1621"/>
      <c r="W204" s="3049"/>
      <c r="X204" s="170"/>
      <c r="Y204" s="1606"/>
      <c r="Z204" s="1606"/>
      <c r="AA204" s="1606"/>
      <c r="AB204" s="1607"/>
      <c r="AC204" s="170"/>
      <c r="AD204" s="282"/>
      <c r="AE204" s="403"/>
      <c r="AF204" s="4794"/>
    </row>
    <row r="205" spans="1:32" ht="57" customHeight="1">
      <c r="A205" s="4778"/>
      <c r="B205" s="4478"/>
      <c r="C205" s="4492"/>
      <c r="D205" s="4215"/>
      <c r="E205" s="4215"/>
      <c r="F205" s="4215"/>
      <c r="G205" s="4215"/>
      <c r="H205" s="4215"/>
      <c r="I205" s="4215"/>
      <c r="J205" s="4449"/>
      <c r="K205" s="4215"/>
      <c r="L205" s="4215"/>
      <c r="M205" s="4226"/>
      <c r="N205" s="4226"/>
      <c r="O205" s="4226"/>
      <c r="P205" s="4215"/>
      <c r="Q205" s="4215"/>
      <c r="R205" s="4449"/>
      <c r="S205" s="3112"/>
      <c r="T205" s="1759"/>
      <c r="U205" s="3006"/>
      <c r="V205" s="1622"/>
      <c r="W205" s="3050"/>
      <c r="X205" s="414"/>
      <c r="Y205" s="1608"/>
      <c r="Z205" s="1606"/>
      <c r="AA205" s="1606"/>
      <c r="AB205" s="1607"/>
      <c r="AC205" s="170"/>
      <c r="AD205" s="282"/>
      <c r="AE205" s="403"/>
      <c r="AF205" s="4794"/>
    </row>
    <row r="206" spans="1:32" ht="57" customHeight="1">
      <c r="A206" s="4778"/>
      <c r="B206" s="4478"/>
      <c r="C206" s="4492"/>
      <c r="D206" s="4215"/>
      <c r="E206" s="4215"/>
      <c r="F206" s="4215"/>
      <c r="G206" s="4215"/>
      <c r="H206" s="4215"/>
      <c r="I206" s="4215"/>
      <c r="J206" s="4449"/>
      <c r="K206" s="4215"/>
      <c r="L206" s="4215"/>
      <c r="M206" s="4226"/>
      <c r="N206" s="4226"/>
      <c r="O206" s="4226"/>
      <c r="P206" s="4215"/>
      <c r="Q206" s="4215"/>
      <c r="R206" s="4449"/>
      <c r="S206" s="3112"/>
      <c r="T206" s="1759"/>
      <c r="U206" s="3007"/>
      <c r="V206" s="1622"/>
      <c r="W206" s="3050"/>
      <c r="X206" s="414"/>
      <c r="Y206" s="1608"/>
      <c r="Z206" s="1606"/>
      <c r="AA206" s="1606"/>
      <c r="AB206" s="1607"/>
      <c r="AC206" s="170"/>
      <c r="AD206" s="282"/>
      <c r="AE206" s="403"/>
      <c r="AF206" s="4794"/>
    </row>
    <row r="207" spans="1:32" ht="57" customHeight="1">
      <c r="A207" s="4778"/>
      <c r="B207" s="4478"/>
      <c r="C207" s="4493"/>
      <c r="D207" s="4216"/>
      <c r="E207" s="4216"/>
      <c r="F207" s="4216"/>
      <c r="G207" s="4216"/>
      <c r="H207" s="4216"/>
      <c r="I207" s="4216"/>
      <c r="J207" s="4450"/>
      <c r="K207" s="4216"/>
      <c r="L207" s="4216"/>
      <c r="M207" s="4247"/>
      <c r="N207" s="4247"/>
      <c r="O207" s="4247"/>
      <c r="P207" s="4216"/>
      <c r="Q207" s="4216"/>
      <c r="R207" s="4450"/>
      <c r="S207" s="3117"/>
      <c r="T207" s="3026"/>
      <c r="U207" s="3008"/>
      <c r="V207" s="3033"/>
      <c r="W207" s="3051"/>
      <c r="X207" s="165"/>
      <c r="Y207" s="1611"/>
      <c r="Z207" s="1611"/>
      <c r="AA207" s="1611"/>
      <c r="AB207" s="1609"/>
      <c r="AC207" s="165"/>
      <c r="AD207" s="166"/>
      <c r="AE207" s="404"/>
      <c r="AF207" s="4795"/>
    </row>
    <row r="208" spans="1:32" ht="30" customHeight="1">
      <c r="A208" s="4778"/>
      <c r="B208" s="4478"/>
      <c r="C208" s="4494" t="s">
        <v>272</v>
      </c>
      <c r="D208" s="4273" t="s">
        <v>273</v>
      </c>
      <c r="E208" s="4273" t="s">
        <v>312</v>
      </c>
      <c r="F208" s="4273" t="s">
        <v>313</v>
      </c>
      <c r="G208" s="4338" t="s">
        <v>276</v>
      </c>
      <c r="H208" s="4273" t="s">
        <v>314</v>
      </c>
      <c r="I208" s="4273" t="s">
        <v>278</v>
      </c>
      <c r="J208" s="4458" t="s">
        <v>4723</v>
      </c>
      <c r="K208" s="4273" t="s">
        <v>4681</v>
      </c>
      <c r="L208" s="4273" t="s">
        <v>4657</v>
      </c>
      <c r="M208" s="4246">
        <v>0</v>
      </c>
      <c r="N208" s="4246">
        <v>0</v>
      </c>
      <c r="O208" s="4246">
        <v>1</v>
      </c>
      <c r="P208" s="4228" t="s">
        <v>4618</v>
      </c>
      <c r="Q208" s="4228" t="s">
        <v>4579</v>
      </c>
      <c r="R208" s="4458" t="s">
        <v>4543</v>
      </c>
      <c r="S208" s="3112"/>
      <c r="T208" s="1759"/>
      <c r="U208" s="3007"/>
      <c r="V208" s="3034"/>
      <c r="W208" s="3050"/>
      <c r="X208" s="414"/>
      <c r="Y208" s="1608"/>
      <c r="Z208" s="1608"/>
      <c r="AA208" s="1608"/>
      <c r="AB208" s="1610"/>
      <c r="AC208" s="414"/>
      <c r="AD208" s="414"/>
      <c r="AE208" s="1941"/>
      <c r="AF208" s="4793"/>
    </row>
    <row r="209" spans="1:32" ht="30" customHeight="1">
      <c r="A209" s="4778"/>
      <c r="B209" s="4478"/>
      <c r="C209" s="4492"/>
      <c r="D209" s="4215"/>
      <c r="E209" s="4215"/>
      <c r="F209" s="4215"/>
      <c r="G209" s="4215"/>
      <c r="H209" s="4215"/>
      <c r="I209" s="4215"/>
      <c r="J209" s="4449"/>
      <c r="K209" s="4215"/>
      <c r="L209" s="4215"/>
      <c r="M209" s="4226"/>
      <c r="N209" s="4226"/>
      <c r="O209" s="4226"/>
      <c r="P209" s="4215"/>
      <c r="Q209" s="4215"/>
      <c r="R209" s="4449"/>
      <c r="S209" s="3111"/>
      <c r="T209" s="3025"/>
      <c r="U209" s="3005"/>
      <c r="V209" s="1621"/>
      <c r="W209" s="3049"/>
      <c r="X209" s="170"/>
      <c r="Y209" s="1606"/>
      <c r="Z209" s="1606"/>
      <c r="AA209" s="1606"/>
      <c r="AB209" s="1607"/>
      <c r="AC209" s="170"/>
      <c r="AD209" s="170"/>
      <c r="AE209" s="417"/>
      <c r="AF209" s="4794"/>
    </row>
    <row r="210" spans="1:32" ht="30" customHeight="1">
      <c r="A210" s="4778"/>
      <c r="B210" s="4478"/>
      <c r="C210" s="4492"/>
      <c r="D210" s="4215"/>
      <c r="E210" s="4215"/>
      <c r="F210" s="4215"/>
      <c r="G210" s="4215"/>
      <c r="H210" s="4215"/>
      <c r="I210" s="4215"/>
      <c r="J210" s="4449"/>
      <c r="K210" s="4215"/>
      <c r="L210" s="4215"/>
      <c r="M210" s="4226"/>
      <c r="N210" s="4226"/>
      <c r="O210" s="4226"/>
      <c r="P210" s="4215"/>
      <c r="Q210" s="4215"/>
      <c r="R210" s="4449"/>
      <c r="S210" s="3111"/>
      <c r="T210" s="3025"/>
      <c r="U210" s="3005"/>
      <c r="V210" s="1621"/>
      <c r="W210" s="3049"/>
      <c r="X210" s="170"/>
      <c r="Y210" s="1606"/>
      <c r="Z210" s="1606"/>
      <c r="AA210" s="1606"/>
      <c r="AB210" s="1607"/>
      <c r="AC210" s="170"/>
      <c r="AD210" s="170"/>
      <c r="AE210" s="403"/>
      <c r="AF210" s="4794"/>
    </row>
    <row r="211" spans="1:32" ht="30" customHeight="1">
      <c r="A211" s="4778"/>
      <c r="B211" s="4478"/>
      <c r="C211" s="4492"/>
      <c r="D211" s="4215"/>
      <c r="E211" s="4215"/>
      <c r="F211" s="4215"/>
      <c r="G211" s="4215"/>
      <c r="H211" s="4215"/>
      <c r="I211" s="4215"/>
      <c r="J211" s="4449"/>
      <c r="K211" s="4215"/>
      <c r="L211" s="4215"/>
      <c r="M211" s="4226"/>
      <c r="N211" s="4226"/>
      <c r="O211" s="4226"/>
      <c r="P211" s="4215"/>
      <c r="Q211" s="4215"/>
      <c r="R211" s="4449"/>
      <c r="S211" s="3111"/>
      <c r="T211" s="3025"/>
      <c r="U211" s="3005"/>
      <c r="V211" s="1621"/>
      <c r="W211" s="3049"/>
      <c r="X211" s="170"/>
      <c r="Y211" s="1606"/>
      <c r="Z211" s="1606"/>
      <c r="AA211" s="1606"/>
      <c r="AB211" s="1607"/>
      <c r="AC211" s="170"/>
      <c r="AD211" s="170"/>
      <c r="AE211" s="403"/>
      <c r="AF211" s="4794"/>
    </row>
    <row r="212" spans="1:32" ht="30" customHeight="1">
      <c r="A212" s="4778"/>
      <c r="B212" s="4478"/>
      <c r="C212" s="4493"/>
      <c r="D212" s="4216"/>
      <c r="E212" s="4216"/>
      <c r="F212" s="4216"/>
      <c r="G212" s="4216"/>
      <c r="H212" s="4216"/>
      <c r="I212" s="4216"/>
      <c r="J212" s="4450"/>
      <c r="K212" s="4216"/>
      <c r="L212" s="4216"/>
      <c r="M212" s="4247"/>
      <c r="N212" s="4247"/>
      <c r="O212" s="4247"/>
      <c r="P212" s="4216"/>
      <c r="Q212" s="4216"/>
      <c r="R212" s="4450"/>
      <c r="S212" s="3117"/>
      <c r="T212" s="3026"/>
      <c r="U212" s="3008"/>
      <c r="V212" s="3033"/>
      <c r="W212" s="3051"/>
      <c r="X212" s="165"/>
      <c r="Y212" s="1611"/>
      <c r="Z212" s="1611"/>
      <c r="AA212" s="1611"/>
      <c r="AB212" s="1609"/>
      <c r="AC212" s="165"/>
      <c r="AD212" s="165"/>
      <c r="AE212" s="404"/>
      <c r="AF212" s="4795"/>
    </row>
    <row r="213" spans="1:32" ht="45" customHeight="1">
      <c r="A213" s="4778"/>
      <c r="B213" s="4478"/>
      <c r="C213" s="4494" t="s">
        <v>272</v>
      </c>
      <c r="D213" s="4273" t="s">
        <v>302</v>
      </c>
      <c r="E213" s="4273" t="s">
        <v>312</v>
      </c>
      <c r="F213" s="4273" t="s">
        <v>933</v>
      </c>
      <c r="G213" s="4338" t="s">
        <v>305</v>
      </c>
      <c r="H213" s="4273" t="s">
        <v>306</v>
      </c>
      <c r="I213" s="4273" t="s">
        <v>241</v>
      </c>
      <c r="J213" s="4458" t="s">
        <v>4724</v>
      </c>
      <c r="K213" s="4273" t="s">
        <v>4682</v>
      </c>
      <c r="L213" s="4273" t="s">
        <v>4658</v>
      </c>
      <c r="M213" s="4246">
        <v>0</v>
      </c>
      <c r="N213" s="4246">
        <v>1</v>
      </c>
      <c r="O213" s="4246">
        <v>0</v>
      </c>
      <c r="P213" s="4228" t="s">
        <v>4619</v>
      </c>
      <c r="Q213" s="4228" t="s">
        <v>4580</v>
      </c>
      <c r="R213" s="4458" t="s">
        <v>4544</v>
      </c>
      <c r="S213" s="3110" t="s">
        <v>29</v>
      </c>
      <c r="T213" s="3024">
        <v>530302</v>
      </c>
      <c r="U213" s="3023"/>
      <c r="V213" s="3047" t="s">
        <v>80</v>
      </c>
      <c r="W213" s="3065"/>
      <c r="X213" s="280"/>
      <c r="Y213" s="1608"/>
      <c r="Z213" s="3000"/>
      <c r="AA213" s="1602"/>
      <c r="AB213" s="1610">
        <f>SUM($AA$214:$AA$216)</f>
        <v>3360.0000000000005</v>
      </c>
      <c r="AC213" s="414"/>
      <c r="AD213" s="174"/>
      <c r="AE213" s="1940"/>
      <c r="AF213" s="4793"/>
    </row>
    <row r="214" spans="1:32" ht="45" customHeight="1">
      <c r="A214" s="4778"/>
      <c r="B214" s="4478"/>
      <c r="C214" s="4492"/>
      <c r="D214" s="4215"/>
      <c r="E214" s="4215"/>
      <c r="F214" s="4215"/>
      <c r="G214" s="4215"/>
      <c r="H214" s="4215"/>
      <c r="I214" s="4215"/>
      <c r="J214" s="4449"/>
      <c r="K214" s="4215"/>
      <c r="L214" s="4215"/>
      <c r="M214" s="4226"/>
      <c r="N214" s="4226"/>
      <c r="O214" s="4226"/>
      <c r="P214" s="4215"/>
      <c r="Q214" s="4215"/>
      <c r="R214" s="4449"/>
      <c r="S214" s="3112"/>
      <c r="T214" s="3027"/>
      <c r="U214" s="3014" t="s">
        <v>930</v>
      </c>
      <c r="V214" s="1621" t="s">
        <v>934</v>
      </c>
      <c r="W214" s="3057">
        <v>1</v>
      </c>
      <c r="X214" s="422" t="s">
        <v>250</v>
      </c>
      <c r="Y214" s="1606">
        <v>3000</v>
      </c>
      <c r="Z214" s="1606">
        <f t="shared" ref="Z214" si="21">+W214*Y214</f>
        <v>3000</v>
      </c>
      <c r="AA214" s="1606">
        <f t="shared" ref="AA214" si="22">+Z214*1.12</f>
        <v>3360.0000000000005</v>
      </c>
      <c r="AB214" s="3069"/>
      <c r="AC214" s="170"/>
      <c r="AD214" s="282"/>
      <c r="AE214" s="403" t="s">
        <v>251</v>
      </c>
      <c r="AF214" s="4794"/>
    </row>
    <row r="215" spans="1:32" ht="45" customHeight="1">
      <c r="A215" s="4778"/>
      <c r="B215" s="4478"/>
      <c r="C215" s="4492"/>
      <c r="D215" s="4215"/>
      <c r="E215" s="4215"/>
      <c r="F215" s="4215"/>
      <c r="G215" s="4215"/>
      <c r="H215" s="4215"/>
      <c r="I215" s="4215"/>
      <c r="J215" s="4449"/>
      <c r="K215" s="4215"/>
      <c r="L215" s="4215"/>
      <c r="M215" s="4226"/>
      <c r="N215" s="4226"/>
      <c r="O215" s="4226"/>
      <c r="P215" s="4215"/>
      <c r="Q215" s="4215"/>
      <c r="R215" s="4449"/>
      <c r="S215" s="3111"/>
      <c r="T215" s="3025"/>
      <c r="U215" s="3005"/>
      <c r="V215" s="1621"/>
      <c r="W215" s="3049"/>
      <c r="X215" s="170"/>
      <c r="Y215" s="1606"/>
      <c r="Z215" s="1606"/>
      <c r="AA215" s="1606"/>
      <c r="AB215" s="1607"/>
      <c r="AC215" s="170"/>
      <c r="AD215" s="282"/>
      <c r="AE215" s="403"/>
      <c r="AF215" s="4794"/>
    </row>
    <row r="216" spans="1:32" ht="45" customHeight="1">
      <c r="A216" s="4778"/>
      <c r="B216" s="4478"/>
      <c r="C216" s="4492"/>
      <c r="D216" s="4215"/>
      <c r="E216" s="4215"/>
      <c r="F216" s="4215"/>
      <c r="G216" s="4215"/>
      <c r="H216" s="4215"/>
      <c r="I216" s="4215"/>
      <c r="J216" s="4449"/>
      <c r="K216" s="4215"/>
      <c r="L216" s="4215"/>
      <c r="M216" s="4226"/>
      <c r="N216" s="4226"/>
      <c r="O216" s="4226"/>
      <c r="P216" s="4215"/>
      <c r="Q216" s="4215"/>
      <c r="R216" s="4449"/>
      <c r="S216" s="3111"/>
      <c r="T216" s="3025"/>
      <c r="U216" s="3005"/>
      <c r="V216" s="1621"/>
      <c r="W216" s="3049"/>
      <c r="X216" s="170"/>
      <c r="Y216" s="1606"/>
      <c r="Z216" s="1606"/>
      <c r="AA216" s="1606"/>
      <c r="AB216" s="1607"/>
      <c r="AC216" s="170"/>
      <c r="AD216" s="282"/>
      <c r="AE216" s="403"/>
      <c r="AF216" s="4794"/>
    </row>
    <row r="217" spans="1:32" ht="45" customHeight="1">
      <c r="A217" s="4778"/>
      <c r="B217" s="4478"/>
      <c r="C217" s="4493"/>
      <c r="D217" s="4216"/>
      <c r="E217" s="4216"/>
      <c r="F217" s="4216"/>
      <c r="G217" s="4216"/>
      <c r="H217" s="4216"/>
      <c r="I217" s="4216"/>
      <c r="J217" s="4450"/>
      <c r="K217" s="4216"/>
      <c r="L217" s="4216"/>
      <c r="M217" s="4247"/>
      <c r="N217" s="4247"/>
      <c r="O217" s="4247"/>
      <c r="P217" s="4216"/>
      <c r="Q217" s="4216"/>
      <c r="R217" s="4450"/>
      <c r="S217" s="3117"/>
      <c r="T217" s="3026"/>
      <c r="U217" s="3015"/>
      <c r="V217" s="3037"/>
      <c r="W217" s="3054"/>
      <c r="X217" s="1775"/>
      <c r="Y217" s="1777"/>
      <c r="Z217" s="1611"/>
      <c r="AA217" s="1611"/>
      <c r="AB217" s="1993"/>
      <c r="AC217" s="1775"/>
      <c r="AD217" s="1946"/>
      <c r="AE217" s="406"/>
      <c r="AF217" s="4795"/>
    </row>
    <row r="218" spans="1:32" ht="35.25" customHeight="1">
      <c r="A218" s="4778"/>
      <c r="B218" s="4478"/>
      <c r="C218" s="4494" t="s">
        <v>235</v>
      </c>
      <c r="D218" s="4273" t="s">
        <v>236</v>
      </c>
      <c r="E218" s="4273" t="s">
        <v>244</v>
      </c>
      <c r="F218" s="4273" t="s">
        <v>245</v>
      </c>
      <c r="G218" s="4338" t="s">
        <v>239</v>
      </c>
      <c r="H218" s="4273" t="s">
        <v>240</v>
      </c>
      <c r="I218" s="4273" t="s">
        <v>257</v>
      </c>
      <c r="J218" s="4458" t="s">
        <v>4725</v>
      </c>
      <c r="K218" s="4273" t="s">
        <v>935</v>
      </c>
      <c r="L218" s="4273" t="s">
        <v>4659</v>
      </c>
      <c r="M218" s="4246">
        <v>0</v>
      </c>
      <c r="N218" s="4246">
        <v>1</v>
      </c>
      <c r="O218" s="4246">
        <v>0</v>
      </c>
      <c r="P218" s="4228" t="s">
        <v>4620</v>
      </c>
      <c r="Q218" s="4228" t="s">
        <v>4581</v>
      </c>
      <c r="R218" s="4458" t="s">
        <v>4543</v>
      </c>
      <c r="S218" s="3112"/>
      <c r="T218" s="1759"/>
      <c r="U218" s="3007"/>
      <c r="V218" s="3035"/>
      <c r="W218" s="3052"/>
      <c r="X218" s="178"/>
      <c r="Y218" s="1612"/>
      <c r="Z218" s="1608"/>
      <c r="AA218" s="1608"/>
      <c r="AB218" s="1613"/>
      <c r="AC218" s="178"/>
      <c r="AD218" s="181"/>
      <c r="AE218" s="1942"/>
      <c r="AF218" s="4793"/>
    </row>
    <row r="219" spans="1:32" ht="35.25" customHeight="1">
      <c r="A219" s="4778"/>
      <c r="B219" s="4478"/>
      <c r="C219" s="4492"/>
      <c r="D219" s="4215"/>
      <c r="E219" s="4215"/>
      <c r="F219" s="4215"/>
      <c r="G219" s="4215"/>
      <c r="H219" s="4215"/>
      <c r="I219" s="4215"/>
      <c r="J219" s="4449"/>
      <c r="K219" s="4215"/>
      <c r="L219" s="4215"/>
      <c r="M219" s="4226"/>
      <c r="N219" s="4226"/>
      <c r="O219" s="4226"/>
      <c r="P219" s="4215"/>
      <c r="Q219" s="4215"/>
      <c r="R219" s="4449"/>
      <c r="S219" s="3111"/>
      <c r="T219" s="3025"/>
      <c r="U219" s="3005"/>
      <c r="V219" s="1621"/>
      <c r="W219" s="3049"/>
      <c r="X219" s="170"/>
      <c r="Y219" s="1606"/>
      <c r="Z219" s="1606"/>
      <c r="AA219" s="1606"/>
      <c r="AB219" s="1607"/>
      <c r="AC219" s="170"/>
      <c r="AD219" s="282"/>
      <c r="AE219" s="403"/>
      <c r="AF219" s="4794"/>
    </row>
    <row r="220" spans="1:32" ht="35.25" customHeight="1">
      <c r="A220" s="4778"/>
      <c r="B220" s="4478"/>
      <c r="C220" s="4492"/>
      <c r="D220" s="4215"/>
      <c r="E220" s="4215"/>
      <c r="F220" s="4215"/>
      <c r="G220" s="4215"/>
      <c r="H220" s="4215"/>
      <c r="I220" s="4215"/>
      <c r="J220" s="4449"/>
      <c r="K220" s="4215"/>
      <c r="L220" s="4215"/>
      <c r="M220" s="4226"/>
      <c r="N220" s="4226"/>
      <c r="O220" s="4226"/>
      <c r="P220" s="4215"/>
      <c r="Q220" s="4215"/>
      <c r="R220" s="4449"/>
      <c r="S220" s="3111"/>
      <c r="T220" s="3025"/>
      <c r="U220" s="3005"/>
      <c r="V220" s="1621"/>
      <c r="W220" s="3049"/>
      <c r="X220" s="170"/>
      <c r="Y220" s="1606"/>
      <c r="Z220" s="1606"/>
      <c r="AA220" s="1606"/>
      <c r="AB220" s="1607"/>
      <c r="AC220" s="170"/>
      <c r="AD220" s="282"/>
      <c r="AE220" s="403"/>
      <c r="AF220" s="4794"/>
    </row>
    <row r="221" spans="1:32" ht="35.25" customHeight="1">
      <c r="A221" s="4778"/>
      <c r="B221" s="4478"/>
      <c r="C221" s="4492"/>
      <c r="D221" s="4215"/>
      <c r="E221" s="4215"/>
      <c r="F221" s="4215"/>
      <c r="G221" s="4215"/>
      <c r="H221" s="4215"/>
      <c r="I221" s="4215"/>
      <c r="J221" s="4449"/>
      <c r="K221" s="4215"/>
      <c r="L221" s="4215"/>
      <c r="M221" s="4226"/>
      <c r="N221" s="4226"/>
      <c r="O221" s="4226"/>
      <c r="P221" s="4215"/>
      <c r="Q221" s="4215"/>
      <c r="R221" s="4449"/>
      <c r="S221" s="3111"/>
      <c r="T221" s="3025"/>
      <c r="U221" s="3005"/>
      <c r="V221" s="1621"/>
      <c r="W221" s="3049"/>
      <c r="X221" s="170"/>
      <c r="Y221" s="1606"/>
      <c r="Z221" s="1606"/>
      <c r="AA221" s="1606"/>
      <c r="AB221" s="1607"/>
      <c r="AC221" s="170"/>
      <c r="AD221" s="282"/>
      <c r="AE221" s="403"/>
      <c r="AF221" s="4794"/>
    </row>
    <row r="222" spans="1:32" ht="35.25" customHeight="1">
      <c r="A222" s="4778"/>
      <c r="B222" s="4478"/>
      <c r="C222" s="4493"/>
      <c r="D222" s="4216"/>
      <c r="E222" s="4216"/>
      <c r="F222" s="4216"/>
      <c r="G222" s="4216"/>
      <c r="H222" s="4216"/>
      <c r="I222" s="4216"/>
      <c r="J222" s="4450"/>
      <c r="K222" s="4216"/>
      <c r="L222" s="4216"/>
      <c r="M222" s="4247"/>
      <c r="N222" s="4247"/>
      <c r="O222" s="4247"/>
      <c r="P222" s="4216"/>
      <c r="Q222" s="4216"/>
      <c r="R222" s="4450"/>
      <c r="S222" s="3117"/>
      <c r="T222" s="3026"/>
      <c r="U222" s="3008"/>
      <c r="V222" s="3033"/>
      <c r="W222" s="3051"/>
      <c r="X222" s="165"/>
      <c r="Y222" s="1611"/>
      <c r="Z222" s="1611"/>
      <c r="AA222" s="1611"/>
      <c r="AB222" s="1609"/>
      <c r="AC222" s="165"/>
      <c r="AD222" s="166"/>
      <c r="AE222" s="404"/>
      <c r="AF222" s="4795"/>
    </row>
    <row r="223" spans="1:32" ht="28.5" customHeight="1">
      <c r="A223" s="4778"/>
      <c r="B223" s="4478"/>
      <c r="C223" s="4494" t="s">
        <v>235</v>
      </c>
      <c r="D223" s="4273" t="s">
        <v>236</v>
      </c>
      <c r="E223" s="4273" t="s">
        <v>237</v>
      </c>
      <c r="F223" s="4273" t="s">
        <v>355</v>
      </c>
      <c r="G223" s="4338" t="s">
        <v>239</v>
      </c>
      <c r="H223" s="4273" t="s">
        <v>240</v>
      </c>
      <c r="I223" s="4273" t="s">
        <v>241</v>
      </c>
      <c r="J223" s="4330" t="s">
        <v>4726</v>
      </c>
      <c r="K223" s="4273" t="s">
        <v>4683</v>
      </c>
      <c r="L223" s="4273" t="s">
        <v>4660</v>
      </c>
      <c r="M223" s="4246">
        <v>0</v>
      </c>
      <c r="N223" s="4246">
        <v>1</v>
      </c>
      <c r="O223" s="4246">
        <v>0</v>
      </c>
      <c r="P223" s="4228" t="s">
        <v>4621</v>
      </c>
      <c r="Q223" s="4228" t="s">
        <v>4582</v>
      </c>
      <c r="R223" s="4458" t="s">
        <v>4543</v>
      </c>
      <c r="S223" s="3112"/>
      <c r="T223" s="1759"/>
      <c r="U223" s="3007"/>
      <c r="V223" s="3035"/>
      <c r="W223" s="3052"/>
      <c r="X223" s="178"/>
      <c r="Y223" s="1612"/>
      <c r="Z223" s="1608"/>
      <c r="AA223" s="1608"/>
      <c r="AB223" s="1613"/>
      <c r="AC223" s="178"/>
      <c r="AD223" s="181"/>
      <c r="AE223" s="1942"/>
      <c r="AF223" s="4793"/>
    </row>
    <row r="224" spans="1:32" ht="28.5" customHeight="1">
      <c r="A224" s="4778"/>
      <c r="B224" s="4478"/>
      <c r="C224" s="4492"/>
      <c r="D224" s="4215"/>
      <c r="E224" s="4215"/>
      <c r="F224" s="4215"/>
      <c r="G224" s="4215"/>
      <c r="H224" s="4215"/>
      <c r="I224" s="4215"/>
      <c r="J224" s="4331"/>
      <c r="K224" s="4215"/>
      <c r="L224" s="4215"/>
      <c r="M224" s="4226"/>
      <c r="N224" s="4226"/>
      <c r="O224" s="4226"/>
      <c r="P224" s="4215"/>
      <c r="Q224" s="4215"/>
      <c r="R224" s="4449"/>
      <c r="S224" s="3111"/>
      <c r="T224" s="3025"/>
      <c r="U224" s="3005"/>
      <c r="V224" s="1621"/>
      <c r="W224" s="3049"/>
      <c r="X224" s="170"/>
      <c r="Y224" s="1606"/>
      <c r="Z224" s="1606"/>
      <c r="AA224" s="1606"/>
      <c r="AB224" s="1607"/>
      <c r="AC224" s="170"/>
      <c r="AD224" s="282"/>
      <c r="AE224" s="403"/>
      <c r="AF224" s="4794"/>
    </row>
    <row r="225" spans="1:32" ht="28.5" customHeight="1">
      <c r="A225" s="4778"/>
      <c r="B225" s="4478"/>
      <c r="C225" s="4492"/>
      <c r="D225" s="4215"/>
      <c r="E225" s="4215"/>
      <c r="F225" s="4215"/>
      <c r="G225" s="4215"/>
      <c r="H225" s="4215"/>
      <c r="I225" s="4215"/>
      <c r="J225" s="4331"/>
      <c r="K225" s="4215"/>
      <c r="L225" s="4215"/>
      <c r="M225" s="4226"/>
      <c r="N225" s="4226"/>
      <c r="O225" s="4226"/>
      <c r="P225" s="4215"/>
      <c r="Q225" s="4215"/>
      <c r="R225" s="4449"/>
      <c r="S225" s="3111"/>
      <c r="T225" s="3025"/>
      <c r="U225" s="3005"/>
      <c r="V225" s="1621"/>
      <c r="W225" s="3049"/>
      <c r="X225" s="170"/>
      <c r="Y225" s="1606"/>
      <c r="Z225" s="1606"/>
      <c r="AA225" s="1606"/>
      <c r="AB225" s="1607"/>
      <c r="AC225" s="170"/>
      <c r="AD225" s="282"/>
      <c r="AE225" s="403"/>
      <c r="AF225" s="4794"/>
    </row>
    <row r="226" spans="1:32" ht="28.5" customHeight="1">
      <c r="A226" s="4778"/>
      <c r="B226" s="4478"/>
      <c r="C226" s="4492"/>
      <c r="D226" s="4215"/>
      <c r="E226" s="4215"/>
      <c r="F226" s="4215"/>
      <c r="G226" s="4215"/>
      <c r="H226" s="4215"/>
      <c r="I226" s="4215"/>
      <c r="J226" s="4331"/>
      <c r="K226" s="4215"/>
      <c r="L226" s="4215"/>
      <c r="M226" s="4226"/>
      <c r="N226" s="4226"/>
      <c r="O226" s="4226"/>
      <c r="P226" s="4215"/>
      <c r="Q226" s="4215"/>
      <c r="R226" s="4449"/>
      <c r="S226" s="3111"/>
      <c r="T226" s="3025"/>
      <c r="U226" s="3005"/>
      <c r="V226" s="1621"/>
      <c r="W226" s="3049"/>
      <c r="X226" s="170"/>
      <c r="Y226" s="1606"/>
      <c r="Z226" s="1606"/>
      <c r="AA226" s="1606"/>
      <c r="AB226" s="1607"/>
      <c r="AC226" s="170"/>
      <c r="AD226" s="282"/>
      <c r="AE226" s="403"/>
      <c r="AF226" s="4794"/>
    </row>
    <row r="227" spans="1:32" ht="28.5" customHeight="1">
      <c r="A227" s="4778"/>
      <c r="B227" s="4478"/>
      <c r="C227" s="4493"/>
      <c r="D227" s="4216"/>
      <c r="E227" s="4216"/>
      <c r="F227" s="4216"/>
      <c r="G227" s="4216"/>
      <c r="H227" s="4216"/>
      <c r="I227" s="4216"/>
      <c r="J227" s="4332"/>
      <c r="K227" s="4216"/>
      <c r="L227" s="4216"/>
      <c r="M227" s="4247"/>
      <c r="N227" s="4247"/>
      <c r="O227" s="4247"/>
      <c r="P227" s="4216"/>
      <c r="Q227" s="4216"/>
      <c r="R227" s="4450"/>
      <c r="S227" s="3117"/>
      <c r="T227" s="3026"/>
      <c r="U227" s="3008"/>
      <c r="V227" s="3033"/>
      <c r="W227" s="3051"/>
      <c r="X227" s="165"/>
      <c r="Y227" s="1611"/>
      <c r="Z227" s="1611"/>
      <c r="AA227" s="1611"/>
      <c r="AB227" s="1609"/>
      <c r="AC227" s="165"/>
      <c r="AD227" s="166"/>
      <c r="AE227" s="404"/>
      <c r="AF227" s="4795"/>
    </row>
    <row r="228" spans="1:32" ht="33.75" customHeight="1">
      <c r="A228" s="4778"/>
      <c r="B228" s="4478"/>
      <c r="C228" s="4494" t="s">
        <v>235</v>
      </c>
      <c r="D228" s="4273" t="s">
        <v>236</v>
      </c>
      <c r="E228" s="4273" t="s">
        <v>244</v>
      </c>
      <c r="F228" s="4273" t="s">
        <v>471</v>
      </c>
      <c r="G228" s="4338" t="s">
        <v>239</v>
      </c>
      <c r="H228" s="4273" t="s">
        <v>240</v>
      </c>
      <c r="I228" s="4273" t="s">
        <v>257</v>
      </c>
      <c r="J228" s="4330" t="s">
        <v>4727</v>
      </c>
      <c r="K228" s="4273" t="s">
        <v>4684</v>
      </c>
      <c r="L228" s="4273" t="s">
        <v>4661</v>
      </c>
      <c r="M228" s="4246">
        <v>0</v>
      </c>
      <c r="N228" s="4246">
        <v>1</v>
      </c>
      <c r="O228" s="4246">
        <v>1</v>
      </c>
      <c r="P228" s="4228" t="s">
        <v>4622</v>
      </c>
      <c r="Q228" s="4228" t="s">
        <v>4583</v>
      </c>
      <c r="R228" s="4458" t="s">
        <v>4543</v>
      </c>
      <c r="S228" s="3112"/>
      <c r="T228" s="1759"/>
      <c r="U228" s="3007"/>
      <c r="V228" s="3035"/>
      <c r="W228" s="3052"/>
      <c r="X228" s="178"/>
      <c r="Y228" s="1612"/>
      <c r="Z228" s="1608"/>
      <c r="AA228" s="1608"/>
      <c r="AB228" s="1613"/>
      <c r="AC228" s="178"/>
      <c r="AD228" s="181"/>
      <c r="AE228" s="1942"/>
      <c r="AF228" s="4793"/>
    </row>
    <row r="229" spans="1:32" ht="33.75" customHeight="1">
      <c r="A229" s="4778"/>
      <c r="B229" s="4478"/>
      <c r="C229" s="4492"/>
      <c r="D229" s="4215"/>
      <c r="E229" s="4215"/>
      <c r="F229" s="4215"/>
      <c r="G229" s="4215"/>
      <c r="H229" s="4215"/>
      <c r="I229" s="4215"/>
      <c r="J229" s="4331"/>
      <c r="K229" s="4215"/>
      <c r="L229" s="4215"/>
      <c r="M229" s="4226"/>
      <c r="N229" s="4226"/>
      <c r="O229" s="4226"/>
      <c r="P229" s="4215"/>
      <c r="Q229" s="4215"/>
      <c r="R229" s="4449"/>
      <c r="S229" s="3111"/>
      <c r="T229" s="3025"/>
      <c r="U229" s="3005"/>
      <c r="V229" s="1621"/>
      <c r="W229" s="3049"/>
      <c r="X229" s="170"/>
      <c r="Y229" s="1606"/>
      <c r="Z229" s="1606"/>
      <c r="AA229" s="1606"/>
      <c r="AB229" s="1607"/>
      <c r="AC229" s="170"/>
      <c r="AD229" s="282"/>
      <c r="AE229" s="403"/>
      <c r="AF229" s="4794"/>
    </row>
    <row r="230" spans="1:32" ht="33.75" customHeight="1">
      <c r="A230" s="4778"/>
      <c r="B230" s="4478"/>
      <c r="C230" s="4492"/>
      <c r="D230" s="4215"/>
      <c r="E230" s="4215"/>
      <c r="F230" s="4215"/>
      <c r="G230" s="4215"/>
      <c r="H230" s="4215"/>
      <c r="I230" s="4215"/>
      <c r="J230" s="4331"/>
      <c r="K230" s="4215"/>
      <c r="L230" s="4215"/>
      <c r="M230" s="4226"/>
      <c r="N230" s="4226"/>
      <c r="O230" s="4226"/>
      <c r="P230" s="4215"/>
      <c r="Q230" s="4215"/>
      <c r="R230" s="4449"/>
      <c r="S230" s="3111"/>
      <c r="T230" s="3025"/>
      <c r="U230" s="3005"/>
      <c r="V230" s="1621"/>
      <c r="W230" s="3049"/>
      <c r="X230" s="170"/>
      <c r="Y230" s="1606"/>
      <c r="Z230" s="1606"/>
      <c r="AA230" s="1606"/>
      <c r="AB230" s="1607"/>
      <c r="AC230" s="170"/>
      <c r="AD230" s="282"/>
      <c r="AE230" s="403"/>
      <c r="AF230" s="4794"/>
    </row>
    <row r="231" spans="1:32" ht="33.75" customHeight="1">
      <c r="A231" s="4778"/>
      <c r="B231" s="4478"/>
      <c r="C231" s="4492"/>
      <c r="D231" s="4215"/>
      <c r="E231" s="4215"/>
      <c r="F231" s="4215"/>
      <c r="G231" s="4215"/>
      <c r="H231" s="4215"/>
      <c r="I231" s="4215"/>
      <c r="J231" s="4331"/>
      <c r="K231" s="4215"/>
      <c r="L231" s="4215"/>
      <c r="M231" s="4226"/>
      <c r="N231" s="4226"/>
      <c r="O231" s="4226"/>
      <c r="P231" s="4215"/>
      <c r="Q231" s="4215"/>
      <c r="R231" s="4449"/>
      <c r="S231" s="3111"/>
      <c r="T231" s="3025"/>
      <c r="U231" s="3005"/>
      <c r="V231" s="1621"/>
      <c r="W231" s="3049"/>
      <c r="X231" s="170"/>
      <c r="Y231" s="1606"/>
      <c r="Z231" s="1606"/>
      <c r="AA231" s="1606"/>
      <c r="AB231" s="1607"/>
      <c r="AC231" s="170"/>
      <c r="AD231" s="282"/>
      <c r="AE231" s="403"/>
      <c r="AF231" s="4794"/>
    </row>
    <row r="232" spans="1:32" ht="33.75" customHeight="1">
      <c r="A232" s="4778"/>
      <c r="B232" s="4478"/>
      <c r="C232" s="4493"/>
      <c r="D232" s="4216"/>
      <c r="E232" s="4216"/>
      <c r="F232" s="4216"/>
      <c r="G232" s="4216"/>
      <c r="H232" s="4216"/>
      <c r="I232" s="4216"/>
      <c r="J232" s="4332"/>
      <c r="K232" s="4216"/>
      <c r="L232" s="4216"/>
      <c r="M232" s="4247"/>
      <c r="N232" s="4247"/>
      <c r="O232" s="4247"/>
      <c r="P232" s="4216"/>
      <c r="Q232" s="4216"/>
      <c r="R232" s="4450"/>
      <c r="S232" s="3117"/>
      <c r="T232" s="3026"/>
      <c r="U232" s="3008"/>
      <c r="V232" s="3033"/>
      <c r="W232" s="3051"/>
      <c r="X232" s="165"/>
      <c r="Y232" s="1611"/>
      <c r="Z232" s="1611"/>
      <c r="AA232" s="1611"/>
      <c r="AB232" s="1609"/>
      <c r="AC232" s="165"/>
      <c r="AD232" s="166"/>
      <c r="AE232" s="404"/>
      <c r="AF232" s="4795"/>
    </row>
    <row r="233" spans="1:32" ht="28.5" customHeight="1">
      <c r="A233" s="4778"/>
      <c r="B233" s="4478"/>
      <c r="C233" s="4494" t="s">
        <v>235</v>
      </c>
      <c r="D233" s="4273" t="s">
        <v>236</v>
      </c>
      <c r="E233" s="4273" t="s">
        <v>237</v>
      </c>
      <c r="F233" s="4273" t="s">
        <v>289</v>
      </c>
      <c r="G233" s="4338" t="s">
        <v>239</v>
      </c>
      <c r="H233" s="4273" t="s">
        <v>240</v>
      </c>
      <c r="I233" s="4273" t="s">
        <v>257</v>
      </c>
      <c r="J233" s="4330" t="s">
        <v>4728</v>
      </c>
      <c r="K233" s="4273" t="s">
        <v>338</v>
      </c>
      <c r="L233" s="4273" t="s">
        <v>4662</v>
      </c>
      <c r="M233" s="4246">
        <v>0</v>
      </c>
      <c r="N233" s="4246">
        <v>1</v>
      </c>
      <c r="O233" s="4246">
        <v>1</v>
      </c>
      <c r="P233" s="4458" t="s">
        <v>4623</v>
      </c>
      <c r="Q233" s="4228" t="s">
        <v>4099</v>
      </c>
      <c r="R233" s="4458" t="s">
        <v>4543</v>
      </c>
      <c r="S233" s="3112"/>
      <c r="T233" s="1759"/>
      <c r="U233" s="3007"/>
      <c r="V233" s="3035"/>
      <c r="W233" s="3052"/>
      <c r="X233" s="178"/>
      <c r="Y233" s="1612"/>
      <c r="Z233" s="1608"/>
      <c r="AA233" s="1608"/>
      <c r="AB233" s="1613"/>
      <c r="AC233" s="178"/>
      <c r="AD233" s="181"/>
      <c r="AE233" s="1942"/>
      <c r="AF233" s="4793"/>
    </row>
    <row r="234" spans="1:32" ht="28.5" customHeight="1">
      <c r="A234" s="4778"/>
      <c r="B234" s="4478"/>
      <c r="C234" s="4492"/>
      <c r="D234" s="4215"/>
      <c r="E234" s="4215"/>
      <c r="F234" s="4215"/>
      <c r="G234" s="4215"/>
      <c r="H234" s="4215"/>
      <c r="I234" s="4215"/>
      <c r="J234" s="4331"/>
      <c r="K234" s="4215"/>
      <c r="L234" s="4215"/>
      <c r="M234" s="4226"/>
      <c r="N234" s="4226"/>
      <c r="O234" s="4226"/>
      <c r="P234" s="4449"/>
      <c r="Q234" s="4215"/>
      <c r="R234" s="4449"/>
      <c r="S234" s="3111"/>
      <c r="T234" s="3025"/>
      <c r="U234" s="3005"/>
      <c r="V234" s="1621"/>
      <c r="W234" s="3049"/>
      <c r="X234" s="170"/>
      <c r="Y234" s="1606"/>
      <c r="Z234" s="1606"/>
      <c r="AA234" s="1606"/>
      <c r="AB234" s="1607"/>
      <c r="AC234" s="170"/>
      <c r="AD234" s="282"/>
      <c r="AE234" s="403"/>
      <c r="AF234" s="4794"/>
    </row>
    <row r="235" spans="1:32" ht="28.5" customHeight="1">
      <c r="A235" s="4778"/>
      <c r="B235" s="4478"/>
      <c r="C235" s="4492"/>
      <c r="D235" s="4215"/>
      <c r="E235" s="4215"/>
      <c r="F235" s="4215"/>
      <c r="G235" s="4215"/>
      <c r="H235" s="4215"/>
      <c r="I235" s="4215"/>
      <c r="J235" s="4331"/>
      <c r="K235" s="4215"/>
      <c r="L235" s="4215"/>
      <c r="M235" s="4226"/>
      <c r="N235" s="4226"/>
      <c r="O235" s="4226"/>
      <c r="P235" s="4449"/>
      <c r="Q235" s="4215"/>
      <c r="R235" s="4449"/>
      <c r="S235" s="3111"/>
      <c r="T235" s="3025"/>
      <c r="U235" s="3005"/>
      <c r="V235" s="1621"/>
      <c r="W235" s="3049"/>
      <c r="X235" s="170"/>
      <c r="Y235" s="1606"/>
      <c r="Z235" s="1606"/>
      <c r="AA235" s="1606"/>
      <c r="AB235" s="1607"/>
      <c r="AC235" s="170"/>
      <c r="AD235" s="282"/>
      <c r="AE235" s="403"/>
      <c r="AF235" s="4794"/>
    </row>
    <row r="236" spans="1:32" ht="28.5" customHeight="1">
      <c r="A236" s="4778"/>
      <c r="B236" s="4478"/>
      <c r="C236" s="4492"/>
      <c r="D236" s="4215"/>
      <c r="E236" s="4215"/>
      <c r="F236" s="4215"/>
      <c r="G236" s="4215"/>
      <c r="H236" s="4215"/>
      <c r="I236" s="4215"/>
      <c r="J236" s="4331"/>
      <c r="K236" s="4215"/>
      <c r="L236" s="4215"/>
      <c r="M236" s="4226"/>
      <c r="N236" s="4226"/>
      <c r="O236" s="4226"/>
      <c r="P236" s="4449"/>
      <c r="Q236" s="4215"/>
      <c r="R236" s="4449"/>
      <c r="S236" s="3111"/>
      <c r="T236" s="3025"/>
      <c r="U236" s="3005"/>
      <c r="V236" s="1621"/>
      <c r="W236" s="3049"/>
      <c r="X236" s="170"/>
      <c r="Y236" s="1606"/>
      <c r="Z236" s="1606"/>
      <c r="AA236" s="1606"/>
      <c r="AB236" s="1607"/>
      <c r="AC236" s="170"/>
      <c r="AD236" s="282"/>
      <c r="AE236" s="403"/>
      <c r="AF236" s="4794"/>
    </row>
    <row r="237" spans="1:32" ht="28.5" customHeight="1">
      <c r="A237" s="4778"/>
      <c r="B237" s="4478"/>
      <c r="C237" s="4493"/>
      <c r="D237" s="4216"/>
      <c r="E237" s="4216"/>
      <c r="F237" s="4216"/>
      <c r="G237" s="4216"/>
      <c r="H237" s="4216"/>
      <c r="I237" s="4216"/>
      <c r="J237" s="4332"/>
      <c r="K237" s="4216"/>
      <c r="L237" s="4216"/>
      <c r="M237" s="4247"/>
      <c r="N237" s="4247"/>
      <c r="O237" s="4247"/>
      <c r="P237" s="4450"/>
      <c r="Q237" s="4216"/>
      <c r="R237" s="4450"/>
      <c r="S237" s="3117"/>
      <c r="T237" s="3026"/>
      <c r="U237" s="3008"/>
      <c r="V237" s="3033"/>
      <c r="W237" s="3051"/>
      <c r="X237" s="165"/>
      <c r="Y237" s="1611"/>
      <c r="Z237" s="1611"/>
      <c r="AA237" s="1611"/>
      <c r="AB237" s="1609"/>
      <c r="AC237" s="165"/>
      <c r="AD237" s="166"/>
      <c r="AE237" s="404"/>
      <c r="AF237" s="4795"/>
    </row>
    <row r="238" spans="1:32" ht="27.75" customHeight="1">
      <c r="A238" s="4778"/>
      <c r="B238" s="4478"/>
      <c r="C238" s="4494" t="s">
        <v>235</v>
      </c>
      <c r="D238" s="4273" t="s">
        <v>236</v>
      </c>
      <c r="E238" s="4273" t="s">
        <v>237</v>
      </c>
      <c r="F238" s="4273" t="s">
        <v>326</v>
      </c>
      <c r="G238" s="4338" t="s">
        <v>239</v>
      </c>
      <c r="H238" s="4273" t="s">
        <v>240</v>
      </c>
      <c r="I238" s="4273" t="s">
        <v>294</v>
      </c>
      <c r="J238" s="4458" t="s">
        <v>4729</v>
      </c>
      <c r="K238" s="4273" t="s">
        <v>371</v>
      </c>
      <c r="L238" s="4273" t="s">
        <v>579</v>
      </c>
      <c r="M238" s="4246">
        <v>0</v>
      </c>
      <c r="N238" s="4246">
        <v>0</v>
      </c>
      <c r="O238" s="4246">
        <v>1</v>
      </c>
      <c r="P238" s="4458" t="s">
        <v>4624</v>
      </c>
      <c r="Q238" s="4228" t="s">
        <v>4252</v>
      </c>
      <c r="R238" s="4458" t="s">
        <v>4543</v>
      </c>
      <c r="S238" s="3110"/>
      <c r="T238" s="1997"/>
      <c r="U238" s="3020"/>
      <c r="V238" s="3035"/>
      <c r="W238" s="3052"/>
      <c r="X238" s="178"/>
      <c r="Y238" s="1612"/>
      <c r="Z238" s="1612"/>
      <c r="AA238" s="1612"/>
      <c r="AB238" s="1613"/>
      <c r="AC238" s="178"/>
      <c r="AD238" s="181"/>
      <c r="AE238" s="1942"/>
      <c r="AF238" s="4793"/>
    </row>
    <row r="239" spans="1:32" ht="27.75" customHeight="1">
      <c r="A239" s="4778"/>
      <c r="B239" s="4478"/>
      <c r="C239" s="4492"/>
      <c r="D239" s="4215"/>
      <c r="E239" s="4215"/>
      <c r="F239" s="4215"/>
      <c r="G239" s="4215"/>
      <c r="H239" s="4215"/>
      <c r="I239" s="4215"/>
      <c r="J239" s="4449"/>
      <c r="K239" s="4215"/>
      <c r="L239" s="4215"/>
      <c r="M239" s="4226"/>
      <c r="N239" s="4226"/>
      <c r="O239" s="4226"/>
      <c r="P239" s="4449"/>
      <c r="Q239" s="4215"/>
      <c r="R239" s="4449"/>
      <c r="S239" s="3111"/>
      <c r="T239" s="3025"/>
      <c r="U239" s="3005"/>
      <c r="V239" s="1621"/>
      <c r="W239" s="3049"/>
      <c r="X239" s="170"/>
      <c r="Y239" s="1606"/>
      <c r="Z239" s="1606"/>
      <c r="AA239" s="1606"/>
      <c r="AB239" s="1607"/>
      <c r="AC239" s="170"/>
      <c r="AD239" s="282"/>
      <c r="AE239" s="403"/>
      <c r="AF239" s="4794"/>
    </row>
    <row r="240" spans="1:32" ht="27.75" customHeight="1">
      <c r="A240" s="4778"/>
      <c r="B240" s="4478"/>
      <c r="C240" s="4492"/>
      <c r="D240" s="4215"/>
      <c r="E240" s="4215"/>
      <c r="F240" s="4215"/>
      <c r="G240" s="4215"/>
      <c r="H240" s="4215"/>
      <c r="I240" s="4215"/>
      <c r="J240" s="4449"/>
      <c r="K240" s="4215"/>
      <c r="L240" s="4215"/>
      <c r="M240" s="4226"/>
      <c r="N240" s="4226"/>
      <c r="O240" s="4226"/>
      <c r="P240" s="4449"/>
      <c r="Q240" s="4215"/>
      <c r="R240" s="4449"/>
      <c r="S240" s="3112"/>
      <c r="T240" s="1759"/>
      <c r="U240" s="3006"/>
      <c r="V240" s="1622"/>
      <c r="W240" s="3050"/>
      <c r="X240" s="414"/>
      <c r="Y240" s="1608"/>
      <c r="Z240" s="1606"/>
      <c r="AA240" s="1606"/>
      <c r="AB240" s="1607"/>
      <c r="AC240" s="170"/>
      <c r="AD240" s="282"/>
      <c r="AE240" s="403"/>
      <c r="AF240" s="4794"/>
    </row>
    <row r="241" spans="1:32" ht="27.75" customHeight="1">
      <c r="A241" s="4778"/>
      <c r="B241" s="4478"/>
      <c r="C241" s="4492"/>
      <c r="D241" s="4215"/>
      <c r="E241" s="4215"/>
      <c r="F241" s="4215"/>
      <c r="G241" s="4215"/>
      <c r="H241" s="4215"/>
      <c r="I241" s="4215"/>
      <c r="J241" s="4449"/>
      <c r="K241" s="4215"/>
      <c r="L241" s="4215"/>
      <c r="M241" s="4226"/>
      <c r="N241" s="4226"/>
      <c r="O241" s="4226"/>
      <c r="P241" s="4449"/>
      <c r="Q241" s="4215"/>
      <c r="R241" s="4449"/>
      <c r="S241" s="3112"/>
      <c r="T241" s="1759"/>
      <c r="U241" s="3007"/>
      <c r="V241" s="1622"/>
      <c r="W241" s="3050"/>
      <c r="X241" s="414"/>
      <c r="Y241" s="1608"/>
      <c r="Z241" s="1606"/>
      <c r="AA241" s="1606"/>
      <c r="AB241" s="1607"/>
      <c r="AC241" s="170"/>
      <c r="AD241" s="282"/>
      <c r="AE241" s="403"/>
      <c r="AF241" s="4794"/>
    </row>
    <row r="242" spans="1:32" ht="27.75" customHeight="1">
      <c r="A242" s="4778"/>
      <c r="B242" s="4478"/>
      <c r="C242" s="4493"/>
      <c r="D242" s="4216"/>
      <c r="E242" s="4216"/>
      <c r="F242" s="4216"/>
      <c r="G242" s="4216"/>
      <c r="H242" s="4216"/>
      <c r="I242" s="4216"/>
      <c r="J242" s="4450"/>
      <c r="K242" s="4216"/>
      <c r="L242" s="4216"/>
      <c r="M242" s="4247"/>
      <c r="N242" s="4247"/>
      <c r="O242" s="4247"/>
      <c r="P242" s="4450"/>
      <c r="Q242" s="4216"/>
      <c r="R242" s="4450"/>
      <c r="S242" s="3117"/>
      <c r="T242" s="3026"/>
      <c r="U242" s="3008"/>
      <c r="V242" s="3033"/>
      <c r="W242" s="3051"/>
      <c r="X242" s="165"/>
      <c r="Y242" s="1611"/>
      <c r="Z242" s="1611"/>
      <c r="AA242" s="1611"/>
      <c r="AB242" s="1609"/>
      <c r="AC242" s="165"/>
      <c r="AD242" s="166"/>
      <c r="AE242" s="404"/>
      <c r="AF242" s="4795"/>
    </row>
    <row r="243" spans="1:32" ht="22.5" customHeight="1" thickBot="1">
      <c r="A243" s="4778"/>
      <c r="B243" s="4479"/>
      <c r="C243" s="1902"/>
      <c r="D243" s="1902"/>
      <c r="E243" s="1902"/>
      <c r="F243" s="1902"/>
      <c r="G243" s="1902"/>
      <c r="H243" s="1902"/>
      <c r="I243" s="1902"/>
      <c r="J243" s="1902"/>
      <c r="K243" s="1902"/>
      <c r="L243" s="1902"/>
      <c r="M243" s="1902"/>
      <c r="N243" s="1902"/>
      <c r="O243" s="1902"/>
      <c r="P243" s="1902"/>
      <c r="Q243" s="1902"/>
      <c r="R243" s="1902"/>
      <c r="S243" s="4796" t="s">
        <v>936</v>
      </c>
      <c r="T243" s="4504"/>
      <c r="U243" s="4504"/>
      <c r="V243" s="4504"/>
      <c r="W243" s="4504"/>
      <c r="X243" s="4504"/>
      <c r="Y243" s="4504"/>
      <c r="Z243" s="4504"/>
      <c r="AA243" s="2172" t="s">
        <v>340</v>
      </c>
      <c r="AB243" s="2173">
        <f>SUM(AB178:AB242)</f>
        <v>9396.3520000000008</v>
      </c>
      <c r="AC243" s="4641"/>
      <c r="AD243" s="4642"/>
      <c r="AE243" s="4642"/>
      <c r="AF243" s="4797"/>
    </row>
    <row r="244" spans="1:32" ht="22.5" customHeight="1" thickBot="1">
      <c r="A244" s="4779"/>
      <c r="B244" s="423"/>
      <c r="C244" s="423"/>
      <c r="D244" s="423"/>
      <c r="E244" s="423"/>
      <c r="F244" s="423"/>
      <c r="G244" s="423"/>
      <c r="H244" s="423"/>
      <c r="I244" s="423"/>
      <c r="J244" s="423"/>
      <c r="K244" s="423"/>
      <c r="L244" s="423"/>
      <c r="M244" s="423"/>
      <c r="N244" s="423"/>
      <c r="O244" s="423"/>
      <c r="P244" s="423"/>
      <c r="Q244" s="423"/>
      <c r="R244" s="424"/>
      <c r="S244" s="4785" t="s">
        <v>937</v>
      </c>
      <c r="T244" s="4786"/>
      <c r="U244" s="4786"/>
      <c r="V244" s="4786"/>
      <c r="W244" s="4786"/>
      <c r="X244" s="4786"/>
      <c r="Y244" s="4786"/>
      <c r="Z244" s="4786"/>
      <c r="AA244" s="2184" t="s">
        <v>340</v>
      </c>
      <c r="AB244" s="2185">
        <f>SUM(AB95,AB136,AB177,AB243)</f>
        <v>48880.031999999999</v>
      </c>
      <c r="AC244" s="4787"/>
      <c r="AD244" s="4788"/>
      <c r="AE244" s="4788"/>
      <c r="AF244" s="4789"/>
    </row>
    <row r="245" spans="1:32" ht="17.25" thickTop="1">
      <c r="A245" s="25"/>
      <c r="B245" s="374"/>
      <c r="C245" s="12" t="s">
        <v>938</v>
      </c>
      <c r="D245" s="298"/>
      <c r="E245" s="298"/>
      <c r="F245" s="298"/>
      <c r="G245" s="298"/>
      <c r="H245" s="298"/>
      <c r="I245" s="298"/>
      <c r="J245" s="298"/>
      <c r="K245" s="298"/>
      <c r="L245" s="298"/>
      <c r="M245" s="298"/>
      <c r="N245" s="298"/>
      <c r="O245" s="298"/>
      <c r="P245" s="298"/>
      <c r="Q245" s="298"/>
      <c r="R245" s="298"/>
      <c r="S245" s="4318" t="s">
        <v>3919</v>
      </c>
      <c r="T245" s="4790"/>
      <c r="U245" s="4790"/>
      <c r="V245" s="4790"/>
      <c r="W245" s="4790"/>
      <c r="X245" s="4790"/>
      <c r="Y245" s="4790"/>
      <c r="Z245" s="4790"/>
      <c r="AA245" s="4790"/>
      <c r="AB245" s="4790"/>
      <c r="AC245" s="4790"/>
      <c r="AD245" s="4790"/>
      <c r="AE245" s="4790"/>
      <c r="AF245" s="4790"/>
    </row>
    <row r="246" spans="1:32" ht="16.5">
      <c r="A246" s="25"/>
      <c r="B246" s="374"/>
      <c r="C246" s="1917" t="s">
        <v>4738</v>
      </c>
      <c r="D246" s="298"/>
      <c r="E246" s="298"/>
      <c r="F246" s="298"/>
      <c r="G246" s="298"/>
      <c r="H246" s="298"/>
      <c r="I246" s="298"/>
      <c r="J246" s="298"/>
      <c r="K246" s="298"/>
      <c r="L246" s="298"/>
      <c r="M246" s="298"/>
      <c r="N246" s="298"/>
      <c r="O246" s="298"/>
      <c r="P246" s="298"/>
      <c r="Q246" s="298"/>
      <c r="R246" s="298"/>
      <c r="S246" s="426"/>
      <c r="T246" s="426"/>
      <c r="U246" s="1885"/>
      <c r="V246" s="1885"/>
      <c r="W246" s="1885"/>
      <c r="X246" s="1885"/>
      <c r="Y246" s="1885"/>
      <c r="Z246" s="1885"/>
      <c r="AA246" s="4389"/>
      <c r="AB246" s="4150"/>
      <c r="AC246" s="427"/>
      <c r="AD246" s="427"/>
      <c r="AE246" s="428"/>
    </row>
    <row r="247" spans="1:32" ht="18.75">
      <c r="A247" s="25"/>
      <c r="B247" s="25"/>
      <c r="C247" s="298"/>
      <c r="D247" s="298"/>
      <c r="E247" s="298"/>
      <c r="F247" s="298"/>
      <c r="G247" s="298"/>
      <c r="H247" s="298"/>
      <c r="I247" s="298"/>
      <c r="J247" s="298"/>
      <c r="K247" s="298"/>
      <c r="L247" s="298"/>
      <c r="M247" s="298"/>
      <c r="N247" s="298"/>
      <c r="O247" s="298"/>
      <c r="P247" s="298"/>
      <c r="Q247" s="298"/>
      <c r="R247" s="298"/>
      <c r="S247" s="426"/>
      <c r="U247" s="4222" t="s">
        <v>343</v>
      </c>
      <c r="V247" s="4223"/>
      <c r="W247" s="4223"/>
      <c r="X247" s="4223"/>
      <c r="Y247" s="4223"/>
      <c r="Z247" s="4223"/>
      <c r="AA247" s="225"/>
      <c r="AB247" s="225"/>
      <c r="AC247" s="427"/>
      <c r="AD247" s="427"/>
      <c r="AE247" s="428"/>
    </row>
    <row r="248" spans="1:32" ht="16.5" customHeight="1" thickBot="1">
      <c r="A248" s="25"/>
      <c r="B248" s="25"/>
      <c r="C248" s="298"/>
      <c r="D248" s="298"/>
      <c r="E248" s="298"/>
      <c r="F248" s="298"/>
      <c r="G248" s="298"/>
      <c r="H248" s="298"/>
      <c r="I248" s="298"/>
      <c r="J248" s="298"/>
      <c r="K248" s="298"/>
      <c r="L248" s="298"/>
      <c r="M248" s="298"/>
      <c r="N248" s="298"/>
      <c r="O248" s="298"/>
      <c r="P248" s="298"/>
      <c r="Q248" s="298"/>
      <c r="R248" s="298"/>
      <c r="S248" s="426"/>
      <c r="T248" s="131"/>
      <c r="U248" s="131"/>
      <c r="V248" s="131"/>
      <c r="W248" s="429"/>
      <c r="X248" s="190"/>
      <c r="Y248" s="131"/>
      <c r="Z248" s="131"/>
      <c r="AA248" s="227"/>
      <c r="AB248" s="227"/>
      <c r="AC248" s="427"/>
      <c r="AD248" s="427"/>
      <c r="AE248" s="428"/>
    </row>
    <row r="249" spans="1:32" ht="16.5" customHeight="1" thickTop="1">
      <c r="A249" s="25"/>
      <c r="B249" s="25"/>
      <c r="C249" s="298"/>
      <c r="D249" s="298"/>
      <c r="E249" s="298"/>
      <c r="F249" s="298"/>
      <c r="G249" s="298"/>
      <c r="H249" s="298"/>
      <c r="I249" s="298"/>
      <c r="J249" s="298"/>
      <c r="K249" s="298"/>
      <c r="L249" s="298"/>
      <c r="M249" s="298"/>
      <c r="N249" s="298"/>
      <c r="O249" s="298"/>
      <c r="U249" s="2238" t="s">
        <v>4</v>
      </c>
      <c r="V249" s="2239" t="s">
        <v>344</v>
      </c>
      <c r="W249" s="2265" t="s">
        <v>6</v>
      </c>
      <c r="X249" s="2241" t="s">
        <v>345</v>
      </c>
      <c r="Y249" s="2241" t="s">
        <v>8</v>
      </c>
      <c r="Z249" s="2242" t="s">
        <v>346</v>
      </c>
      <c r="AA249" s="228"/>
      <c r="AB249" s="229"/>
      <c r="AC249" s="25"/>
      <c r="AD249" s="25"/>
      <c r="AE249" s="430"/>
    </row>
    <row r="250" spans="1:32" ht="33">
      <c r="A250" s="25"/>
      <c r="B250" s="25"/>
      <c r="C250" s="298"/>
      <c r="D250" s="298"/>
      <c r="E250" s="298"/>
      <c r="F250" s="298"/>
      <c r="G250" s="298"/>
      <c r="H250" s="298"/>
      <c r="I250" s="298"/>
      <c r="J250" s="298"/>
      <c r="K250" s="298"/>
      <c r="L250" s="298"/>
      <c r="M250" s="298"/>
      <c r="N250" s="298"/>
      <c r="O250" s="298"/>
      <c r="U250" s="1617" t="s">
        <v>29</v>
      </c>
      <c r="V250" s="1618" t="s">
        <v>27</v>
      </c>
      <c r="W250" s="286">
        <v>530239</v>
      </c>
      <c r="X250" s="137" t="s">
        <v>13</v>
      </c>
      <c r="Y250" s="1568" t="s">
        <v>30</v>
      </c>
      <c r="Z250" s="287">
        <f>SUM($AA$201:$AA$202)</f>
        <v>3334.9120000000003</v>
      </c>
      <c r="AA250" s="228"/>
      <c r="AB250" s="229"/>
      <c r="AC250" s="25"/>
      <c r="AD250" s="25"/>
      <c r="AE250" s="430"/>
    </row>
    <row r="251" spans="1:32" ht="33">
      <c r="A251" s="25"/>
      <c r="B251" s="25"/>
      <c r="C251" s="298"/>
      <c r="D251" s="298"/>
      <c r="E251" s="298"/>
      <c r="F251" s="298"/>
      <c r="G251" s="298"/>
      <c r="H251" s="298"/>
      <c r="I251" s="298"/>
      <c r="J251" s="298"/>
      <c r="K251" s="298"/>
      <c r="L251" s="298"/>
      <c r="M251" s="298"/>
      <c r="N251" s="298"/>
      <c r="O251" s="298"/>
      <c r="U251" s="1617" t="s">
        <v>29</v>
      </c>
      <c r="V251" s="1618" t="s">
        <v>79</v>
      </c>
      <c r="W251" s="286">
        <v>530301</v>
      </c>
      <c r="X251" s="137" t="s">
        <v>13</v>
      </c>
      <c r="Y251" s="1568" t="s">
        <v>30</v>
      </c>
      <c r="Z251" s="287">
        <f>SUM($AA$50:$AA$50)</f>
        <v>1344.0000000000002</v>
      </c>
      <c r="AA251" s="228"/>
      <c r="AB251" s="229"/>
      <c r="AC251" s="25"/>
      <c r="AD251" s="25"/>
      <c r="AE251" s="430"/>
    </row>
    <row r="252" spans="1:32" ht="33">
      <c r="A252" s="25"/>
      <c r="B252" s="25"/>
      <c r="C252" s="298"/>
      <c r="D252" s="298"/>
      <c r="E252" s="298"/>
      <c r="F252" s="298"/>
      <c r="G252" s="298"/>
      <c r="H252" s="298"/>
      <c r="I252" s="298"/>
      <c r="J252" s="298"/>
      <c r="K252" s="298"/>
      <c r="L252" s="298"/>
      <c r="M252" s="298"/>
      <c r="N252" s="298"/>
      <c r="O252" s="298"/>
      <c r="U252" s="1617" t="s">
        <v>29</v>
      </c>
      <c r="V252" s="2253" t="s">
        <v>80</v>
      </c>
      <c r="W252" s="286">
        <v>530302</v>
      </c>
      <c r="X252" s="137" t="s">
        <v>13</v>
      </c>
      <c r="Y252" s="1568" t="s">
        <v>30</v>
      </c>
      <c r="Z252" s="287">
        <f>SUM($AA$48:$AA$48)</f>
        <v>3584.0000000000005</v>
      </c>
      <c r="AA252" s="228"/>
      <c r="AB252" s="229"/>
      <c r="AC252" s="25"/>
      <c r="AD252" s="25"/>
      <c r="AE252" s="430"/>
    </row>
    <row r="253" spans="1:32" ht="33">
      <c r="A253" s="25"/>
      <c r="B253" s="25"/>
      <c r="C253" s="298"/>
      <c r="D253" s="298"/>
      <c r="E253" s="298"/>
      <c r="F253" s="298"/>
      <c r="G253" s="298"/>
      <c r="H253" s="298"/>
      <c r="I253" s="298"/>
      <c r="J253" s="298"/>
      <c r="K253" s="298"/>
      <c r="L253" s="298"/>
      <c r="M253" s="298"/>
      <c r="N253" s="298"/>
      <c r="O253" s="298"/>
      <c r="U253" s="1617" t="s">
        <v>29</v>
      </c>
      <c r="V253" s="2253" t="s">
        <v>80</v>
      </c>
      <c r="W253" s="286">
        <v>530302</v>
      </c>
      <c r="X253" s="137" t="s">
        <v>13</v>
      </c>
      <c r="Y253" s="1568" t="s">
        <v>30</v>
      </c>
      <c r="Z253" s="287">
        <f>SUM($AA$199)</f>
        <v>1120</v>
      </c>
      <c r="AA253" s="228"/>
      <c r="AB253" s="229"/>
      <c r="AC253" s="25"/>
      <c r="AD253" s="25"/>
      <c r="AE253" s="430"/>
    </row>
    <row r="254" spans="1:32" ht="33">
      <c r="A254" s="25"/>
      <c r="B254" s="25"/>
      <c r="C254" s="298"/>
      <c r="D254" s="298"/>
      <c r="E254" s="298"/>
      <c r="F254" s="298"/>
      <c r="G254" s="298"/>
      <c r="H254" s="298"/>
      <c r="I254" s="298"/>
      <c r="J254" s="298"/>
      <c r="K254" s="298"/>
      <c r="L254" s="298"/>
      <c r="M254" s="298"/>
      <c r="N254" s="298"/>
      <c r="O254" s="298"/>
      <c r="U254" s="1617" t="s">
        <v>29</v>
      </c>
      <c r="V254" s="2253" t="s">
        <v>80</v>
      </c>
      <c r="W254" s="431">
        <v>530302</v>
      </c>
      <c r="X254" s="137" t="s">
        <v>13</v>
      </c>
      <c r="Y254" s="1568" t="s">
        <v>30</v>
      </c>
      <c r="Z254" s="287">
        <f>SUM($AA$214:$AA$216)</f>
        <v>3360.0000000000005</v>
      </c>
      <c r="AA254" s="228"/>
      <c r="AB254" s="229"/>
      <c r="AC254" s="25"/>
      <c r="AD254" s="25"/>
      <c r="AE254" s="430"/>
    </row>
    <row r="255" spans="1:32" ht="49.5">
      <c r="A255" s="25"/>
      <c r="B255" s="25"/>
      <c r="C255" s="298"/>
      <c r="D255" s="298"/>
      <c r="E255" s="298"/>
      <c r="F255" s="298"/>
      <c r="G255" s="298"/>
      <c r="H255" s="298"/>
      <c r="I255" s="298"/>
      <c r="J255" s="298"/>
      <c r="K255" s="298"/>
      <c r="L255" s="298"/>
      <c r="M255" s="298"/>
      <c r="N255" s="298"/>
      <c r="O255" s="298"/>
      <c r="U255" s="1617" t="s">
        <v>29</v>
      </c>
      <c r="V255" s="1618" t="s">
        <v>899</v>
      </c>
      <c r="W255" s="286">
        <v>530307</v>
      </c>
      <c r="X255" s="137" t="s">
        <v>13</v>
      </c>
      <c r="Y255" s="1568" t="s">
        <v>30</v>
      </c>
      <c r="Z255" s="287">
        <f>SUM($AA$52:$AA$52)</f>
        <v>2121.2800000000002</v>
      </c>
      <c r="AA255" s="228"/>
      <c r="AB255" s="229"/>
      <c r="AC255" s="25"/>
      <c r="AD255" s="25"/>
      <c r="AE255" s="430"/>
    </row>
    <row r="256" spans="1:32" ht="33">
      <c r="A256" s="25"/>
      <c r="B256" s="25"/>
      <c r="C256" s="298"/>
      <c r="D256" s="298"/>
      <c r="E256" s="298"/>
      <c r="F256" s="298"/>
      <c r="G256" s="298"/>
      <c r="H256" s="298"/>
      <c r="I256" s="298"/>
      <c r="J256" s="298"/>
      <c r="K256" s="298"/>
      <c r="L256" s="298"/>
      <c r="M256" s="298"/>
      <c r="N256" s="298"/>
      <c r="O256" s="298"/>
      <c r="U256" s="1617" t="s">
        <v>29</v>
      </c>
      <c r="V256" s="1618" t="s">
        <v>66</v>
      </c>
      <c r="W256" s="286">
        <v>530612</v>
      </c>
      <c r="X256" s="137" t="s">
        <v>13</v>
      </c>
      <c r="Y256" s="1568" t="s">
        <v>30</v>
      </c>
      <c r="Z256" s="287">
        <f>SUM($AA$59:$AA$61)</f>
        <v>5600.0000000000009</v>
      </c>
      <c r="AA256" s="228"/>
      <c r="AB256" s="229"/>
      <c r="AC256" s="25"/>
      <c r="AD256" s="25"/>
      <c r="AE256" s="430"/>
    </row>
    <row r="257" spans="1:31" ht="33">
      <c r="A257" s="25"/>
      <c r="B257" s="25"/>
      <c r="C257" s="298"/>
      <c r="D257" s="298"/>
      <c r="E257" s="298"/>
      <c r="F257" s="298"/>
      <c r="G257" s="298"/>
      <c r="H257" s="298"/>
      <c r="I257" s="298"/>
      <c r="J257" s="298"/>
      <c r="K257" s="298"/>
      <c r="L257" s="298"/>
      <c r="M257" s="298"/>
      <c r="N257" s="298"/>
      <c r="O257" s="298"/>
      <c r="U257" s="1617" t="s">
        <v>29</v>
      </c>
      <c r="V257" s="1618" t="s">
        <v>66</v>
      </c>
      <c r="W257" s="286">
        <v>530612</v>
      </c>
      <c r="X257" s="137" t="s">
        <v>13</v>
      </c>
      <c r="Y257" s="1568" t="s">
        <v>30</v>
      </c>
      <c r="Z257" s="287">
        <f>SUM($AA$148:$AA$149)</f>
        <v>12320</v>
      </c>
      <c r="AA257" s="228"/>
      <c r="AB257" s="229"/>
      <c r="AC257" s="25"/>
      <c r="AD257" s="25"/>
      <c r="AE257" s="430"/>
    </row>
    <row r="258" spans="1:31" ht="33">
      <c r="A258" s="25"/>
      <c r="B258" s="25"/>
      <c r="C258" s="298"/>
      <c r="D258" s="298"/>
      <c r="E258" s="298"/>
      <c r="F258" s="298"/>
      <c r="G258" s="298"/>
      <c r="H258" s="298"/>
      <c r="I258" s="298"/>
      <c r="J258" s="298"/>
      <c r="K258" s="298"/>
      <c r="L258" s="298"/>
      <c r="M258" s="298"/>
      <c r="N258" s="298"/>
      <c r="O258" s="298"/>
      <c r="U258" s="1617" t="s">
        <v>29</v>
      </c>
      <c r="V258" s="2253" t="s">
        <v>19</v>
      </c>
      <c r="W258" s="286">
        <v>530704</v>
      </c>
      <c r="X258" s="137" t="s">
        <v>13</v>
      </c>
      <c r="Y258" s="1568" t="s">
        <v>30</v>
      </c>
      <c r="Z258" s="287">
        <f>SUM($AA$89:$AA$90)</f>
        <v>3584.0000000000005</v>
      </c>
      <c r="AA258" s="228"/>
      <c r="AB258" s="432"/>
      <c r="AC258" s="25"/>
      <c r="AD258" s="25"/>
      <c r="AE258" s="430"/>
    </row>
    <row r="259" spans="1:31" ht="33">
      <c r="A259" s="25"/>
      <c r="B259" s="25"/>
      <c r="C259" s="298"/>
      <c r="D259" s="298"/>
      <c r="E259" s="298"/>
      <c r="F259" s="298"/>
      <c r="G259" s="298"/>
      <c r="H259" s="298"/>
      <c r="I259" s="298"/>
      <c r="J259" s="298"/>
      <c r="K259" s="298"/>
      <c r="L259" s="298"/>
      <c r="M259" s="298"/>
      <c r="N259" s="298"/>
      <c r="O259" s="298"/>
      <c r="U259" s="1617" t="s">
        <v>29</v>
      </c>
      <c r="V259" s="1618" t="s">
        <v>20</v>
      </c>
      <c r="W259" s="286">
        <v>531407</v>
      </c>
      <c r="X259" s="137" t="s">
        <v>13</v>
      </c>
      <c r="Y259" s="1568"/>
      <c r="Z259" s="287">
        <f>SUM($AA$40:$AA$42)</f>
        <v>1265.6000000000001</v>
      </c>
      <c r="AA259" s="228"/>
      <c r="AB259" s="432"/>
      <c r="AC259" s="25"/>
      <c r="AD259" s="25"/>
      <c r="AE259" s="430"/>
    </row>
    <row r="260" spans="1:31" ht="33">
      <c r="A260" s="25"/>
      <c r="B260" s="25"/>
      <c r="C260" s="298"/>
      <c r="D260" s="298"/>
      <c r="E260" s="298"/>
      <c r="F260" s="298"/>
      <c r="G260" s="298"/>
      <c r="H260" s="298"/>
      <c r="I260" s="298"/>
      <c r="J260" s="298"/>
      <c r="K260" s="298"/>
      <c r="L260" s="298"/>
      <c r="M260" s="298"/>
      <c r="N260" s="298"/>
      <c r="O260" s="298"/>
      <c r="U260" s="1617" t="s">
        <v>29</v>
      </c>
      <c r="V260" s="2253" t="s">
        <v>22</v>
      </c>
      <c r="W260" s="286">
        <v>840103</v>
      </c>
      <c r="X260" s="137" t="s">
        <v>13</v>
      </c>
      <c r="Y260" s="1569" t="s">
        <v>14</v>
      </c>
      <c r="Z260" s="287">
        <f>SUM($AA$92:$AA$92)</f>
        <v>533.12</v>
      </c>
      <c r="AA260" s="228"/>
      <c r="AB260" s="432"/>
      <c r="AC260" s="25"/>
      <c r="AD260" s="25"/>
      <c r="AE260" s="430"/>
    </row>
    <row r="261" spans="1:31" ht="33">
      <c r="A261" s="25"/>
      <c r="B261" s="25"/>
      <c r="C261" s="298"/>
      <c r="D261" s="298"/>
      <c r="E261" s="298"/>
      <c r="F261" s="298"/>
      <c r="G261" s="298"/>
      <c r="H261" s="298"/>
      <c r="I261" s="298"/>
      <c r="J261" s="298"/>
      <c r="K261" s="298"/>
      <c r="L261" s="298"/>
      <c r="M261" s="298"/>
      <c r="N261" s="298"/>
      <c r="O261" s="298"/>
      <c r="U261" s="1617" t="s">
        <v>29</v>
      </c>
      <c r="V261" s="1618" t="s">
        <v>22</v>
      </c>
      <c r="W261" s="286">
        <v>840103</v>
      </c>
      <c r="X261" s="137" t="s">
        <v>13</v>
      </c>
      <c r="Y261" s="1569" t="s">
        <v>14</v>
      </c>
      <c r="Z261" s="287">
        <f>SUM($AA$97)</f>
        <v>533.12</v>
      </c>
      <c r="AA261" s="228"/>
      <c r="AB261" s="229"/>
      <c r="AC261" s="25"/>
      <c r="AD261" s="25"/>
      <c r="AE261" s="430"/>
    </row>
    <row r="262" spans="1:31" ht="33">
      <c r="A262" s="25"/>
      <c r="B262" s="25"/>
      <c r="C262" s="298"/>
      <c r="D262" s="298"/>
      <c r="E262" s="298"/>
      <c r="F262" s="298"/>
      <c r="G262" s="298"/>
      <c r="H262" s="298"/>
      <c r="I262" s="298"/>
      <c r="J262" s="298"/>
      <c r="K262" s="298"/>
      <c r="L262" s="298"/>
      <c r="M262" s="298"/>
      <c r="N262" s="298"/>
      <c r="O262" s="298"/>
      <c r="U262" s="1617" t="s">
        <v>29</v>
      </c>
      <c r="V262" s="1618" t="s">
        <v>22</v>
      </c>
      <c r="W262" s="286">
        <v>840103</v>
      </c>
      <c r="X262" s="137" t="s">
        <v>13</v>
      </c>
      <c r="Y262" s="1569" t="s">
        <v>14</v>
      </c>
      <c r="Z262" s="287">
        <f>SUM($AA$138)</f>
        <v>1066.24</v>
      </c>
      <c r="AA262" s="228"/>
      <c r="AB262" s="229"/>
      <c r="AC262" s="25"/>
      <c r="AD262" s="25"/>
      <c r="AE262" s="430"/>
    </row>
    <row r="263" spans="1:31" ht="33">
      <c r="A263" s="25"/>
      <c r="B263" s="25"/>
      <c r="C263" s="298"/>
      <c r="D263" s="298"/>
      <c r="E263" s="298"/>
      <c r="F263" s="298"/>
      <c r="G263" s="298"/>
      <c r="H263" s="298"/>
      <c r="I263" s="298"/>
      <c r="J263" s="298"/>
      <c r="K263" s="298"/>
      <c r="L263" s="298"/>
      <c r="M263" s="298"/>
      <c r="N263" s="298"/>
      <c r="O263" s="298"/>
      <c r="U263" s="1617" t="s">
        <v>29</v>
      </c>
      <c r="V263" s="1618" t="s">
        <v>24</v>
      </c>
      <c r="W263" s="286">
        <v>840104</v>
      </c>
      <c r="X263" s="137" t="s">
        <v>13</v>
      </c>
      <c r="Y263" s="1569" t="s">
        <v>14</v>
      </c>
      <c r="Z263" s="287">
        <f>SUM($AA$140)</f>
        <v>1581.44</v>
      </c>
      <c r="AA263" s="228"/>
      <c r="AB263" s="229"/>
      <c r="AC263" s="25"/>
      <c r="AD263" s="25"/>
      <c r="AE263" s="430"/>
    </row>
    <row r="264" spans="1:31" ht="33">
      <c r="A264" s="25"/>
      <c r="B264" s="25"/>
      <c r="C264" s="298"/>
      <c r="D264" s="298"/>
      <c r="E264" s="298"/>
      <c r="F264" s="298"/>
      <c r="G264" s="298"/>
      <c r="H264" s="298"/>
      <c r="I264" s="298"/>
      <c r="J264" s="298"/>
      <c r="K264" s="298"/>
      <c r="L264" s="298"/>
      <c r="M264" s="298"/>
      <c r="N264" s="298"/>
      <c r="O264" s="298"/>
      <c r="U264" s="1617" t="s">
        <v>29</v>
      </c>
      <c r="V264" s="1618" t="s">
        <v>24</v>
      </c>
      <c r="W264" s="286">
        <v>840104</v>
      </c>
      <c r="X264" s="137" t="s">
        <v>13</v>
      </c>
      <c r="Y264" s="1569" t="s">
        <v>14</v>
      </c>
      <c r="Z264" s="287">
        <f>SUM($AA$179:$AA$180)</f>
        <v>1581.44</v>
      </c>
      <c r="AA264" s="228"/>
      <c r="AB264" s="229"/>
      <c r="AC264" s="25"/>
      <c r="AD264" s="25"/>
      <c r="AE264" s="430"/>
    </row>
    <row r="265" spans="1:31" ht="33">
      <c r="A265" s="25"/>
      <c r="B265" s="25"/>
      <c r="C265" s="298"/>
      <c r="D265" s="298"/>
      <c r="E265" s="298"/>
      <c r="F265" s="298"/>
      <c r="G265" s="298"/>
      <c r="H265" s="298"/>
      <c r="I265" s="298"/>
      <c r="J265" s="298"/>
      <c r="K265" s="298"/>
      <c r="L265" s="298"/>
      <c r="M265" s="298"/>
      <c r="N265" s="298"/>
      <c r="O265" s="298"/>
      <c r="U265" s="1617" t="s">
        <v>29</v>
      </c>
      <c r="V265" s="1618" t="s">
        <v>20</v>
      </c>
      <c r="W265" s="286">
        <v>840107</v>
      </c>
      <c r="X265" s="137" t="s">
        <v>13</v>
      </c>
      <c r="Y265" s="1569" t="s">
        <v>14</v>
      </c>
      <c r="Z265" s="287">
        <f>SUM($AA$44:$AA$46)</f>
        <v>996</v>
      </c>
      <c r="AA265" s="228"/>
      <c r="AB265" s="229"/>
      <c r="AC265" s="25"/>
      <c r="AD265" s="25"/>
      <c r="AE265" s="430"/>
    </row>
    <row r="266" spans="1:31" ht="33">
      <c r="A266" s="25"/>
      <c r="B266" s="25"/>
      <c r="C266" s="298"/>
      <c r="D266" s="298"/>
      <c r="E266" s="298"/>
      <c r="F266" s="298"/>
      <c r="G266" s="298"/>
      <c r="H266" s="298"/>
      <c r="I266" s="298"/>
      <c r="J266" s="298"/>
      <c r="K266" s="298"/>
      <c r="L266" s="298"/>
      <c r="M266" s="298"/>
      <c r="N266" s="298"/>
      <c r="O266" s="298"/>
      <c r="U266" s="1617" t="s">
        <v>29</v>
      </c>
      <c r="V266" s="2253" t="s">
        <v>20</v>
      </c>
      <c r="W266" s="286">
        <v>840107</v>
      </c>
      <c r="X266" s="137" t="s">
        <v>13</v>
      </c>
      <c r="Y266" s="1569" t="s">
        <v>14</v>
      </c>
      <c r="Z266" s="287">
        <f>SUM($AA$94)</f>
        <v>1581.44</v>
      </c>
      <c r="AA266" s="228"/>
      <c r="AB266" s="229"/>
      <c r="AC266" s="25"/>
      <c r="AD266" s="25"/>
      <c r="AE266" s="430"/>
    </row>
    <row r="267" spans="1:31" ht="33">
      <c r="A267" s="25"/>
      <c r="B267" s="25"/>
      <c r="C267" s="298"/>
      <c r="D267" s="298"/>
      <c r="E267" s="298"/>
      <c r="F267" s="298"/>
      <c r="G267" s="298"/>
      <c r="H267" s="298"/>
      <c r="I267" s="298"/>
      <c r="J267" s="298"/>
      <c r="K267" s="298"/>
      <c r="L267" s="298"/>
      <c r="M267" s="298"/>
      <c r="N267" s="298"/>
      <c r="O267" s="298"/>
      <c r="U267" s="1617" t="s">
        <v>29</v>
      </c>
      <c r="V267" s="1618" t="s">
        <v>20</v>
      </c>
      <c r="W267" s="286">
        <v>840107</v>
      </c>
      <c r="X267" s="137" t="s">
        <v>13</v>
      </c>
      <c r="Y267" s="1569" t="s">
        <v>14</v>
      </c>
      <c r="Z267" s="287">
        <f>SUM($AA$99)</f>
        <v>1581.44</v>
      </c>
      <c r="AA267" s="228"/>
      <c r="AB267" s="229"/>
      <c r="AC267" s="25"/>
      <c r="AD267" s="25"/>
      <c r="AE267" s="430"/>
    </row>
    <row r="268" spans="1:31" ht="33">
      <c r="A268" s="25"/>
      <c r="B268" s="25"/>
      <c r="C268" s="298"/>
      <c r="D268" s="298"/>
      <c r="E268" s="298"/>
      <c r="F268" s="298"/>
      <c r="G268" s="298"/>
      <c r="H268" s="298"/>
      <c r="I268" s="298"/>
      <c r="J268" s="298"/>
      <c r="K268" s="298"/>
      <c r="L268" s="298"/>
      <c r="M268" s="298"/>
      <c r="N268" s="298"/>
      <c r="O268" s="298"/>
      <c r="U268" s="1617" t="s">
        <v>29</v>
      </c>
      <c r="V268" s="1618" t="s">
        <v>20</v>
      </c>
      <c r="W268" s="286">
        <v>840107</v>
      </c>
      <c r="X268" s="137" t="s">
        <v>13</v>
      </c>
      <c r="Y268" s="1569" t="s">
        <v>14</v>
      </c>
      <c r="Z268" s="287">
        <f>SUM($AA$102)</f>
        <v>1792.0000000000002</v>
      </c>
      <c r="AA268" s="298"/>
      <c r="AB268" s="229"/>
      <c r="AC268" s="25"/>
      <c r="AD268" s="25"/>
      <c r="AE268" s="430"/>
    </row>
    <row r="269" spans="1:31" ht="16.5" customHeight="1" thickBot="1">
      <c r="A269" s="25"/>
      <c r="B269" s="25"/>
      <c r="C269" s="298"/>
      <c r="D269" s="298"/>
      <c r="E269" s="298"/>
      <c r="F269" s="298"/>
      <c r="G269" s="298"/>
      <c r="H269" s="298"/>
      <c r="I269" s="298"/>
      <c r="J269" s="298"/>
      <c r="K269" s="298"/>
      <c r="L269" s="298"/>
      <c r="M269" s="298"/>
      <c r="N269" s="298"/>
      <c r="O269" s="298"/>
      <c r="U269" s="2257"/>
      <c r="V269" s="2245" t="s">
        <v>183</v>
      </c>
      <c r="W269" s="2258"/>
      <c r="X269" s="2258"/>
      <c r="Y269" s="2246" t="s">
        <v>340</v>
      </c>
      <c r="Z269" s="140">
        <f>SUM(Z250:Z268)</f>
        <v>48880.032000000014</v>
      </c>
      <c r="AA269" s="298"/>
      <c r="AB269" s="298"/>
      <c r="AC269" s="25"/>
      <c r="AD269" s="25"/>
      <c r="AE269" s="430"/>
    </row>
    <row r="270" spans="1:31" ht="16.5" customHeight="1" thickTop="1">
      <c r="A270" s="25"/>
      <c r="B270" s="25"/>
      <c r="C270" s="298"/>
      <c r="D270" s="298"/>
      <c r="E270" s="298"/>
      <c r="F270" s="298"/>
      <c r="G270" s="298"/>
      <c r="H270" s="298"/>
      <c r="I270" s="298"/>
      <c r="J270" s="298"/>
      <c r="K270" s="298"/>
      <c r="L270" s="298"/>
      <c r="M270" s="298"/>
      <c r="N270" s="298"/>
      <c r="O270" s="298"/>
      <c r="P270" s="298"/>
      <c r="Q270" s="298"/>
      <c r="R270" s="298"/>
      <c r="S270" s="398"/>
      <c r="T270" s="131"/>
      <c r="U270" s="131"/>
      <c r="V270" s="142" t="s">
        <v>347</v>
      </c>
      <c r="W270" s="429"/>
      <c r="X270" s="190"/>
      <c r="Y270" s="131"/>
      <c r="Z270" s="131"/>
      <c r="AA270" s="131"/>
      <c r="AB270" s="298"/>
      <c r="AC270" s="25"/>
      <c r="AD270" s="25"/>
      <c r="AE270" s="430"/>
    </row>
    <row r="271" spans="1:31" ht="16.5" customHeight="1" thickBot="1">
      <c r="A271" s="25"/>
      <c r="B271" s="25"/>
      <c r="C271" s="298"/>
      <c r="D271" s="298"/>
      <c r="E271" s="298"/>
      <c r="F271" s="298"/>
      <c r="G271" s="298"/>
      <c r="H271" s="298"/>
      <c r="I271" s="298"/>
      <c r="J271" s="298"/>
      <c r="K271" s="298"/>
      <c r="L271" s="298"/>
      <c r="M271" s="298"/>
      <c r="N271" s="298"/>
      <c r="O271" s="298"/>
      <c r="P271" s="298"/>
      <c r="Q271" s="298"/>
      <c r="R271" s="298"/>
      <c r="S271" s="398"/>
      <c r="T271" s="398"/>
      <c r="U271" s="131"/>
      <c r="V271" s="131"/>
      <c r="W271" s="131"/>
      <c r="X271" s="429"/>
      <c r="Y271" s="190"/>
      <c r="Z271" s="131"/>
      <c r="AA271" s="131"/>
      <c r="AB271" s="309"/>
      <c r="AC271" s="25"/>
      <c r="AD271" s="25"/>
      <c r="AE271" s="430"/>
    </row>
    <row r="272" spans="1:31" ht="16.5" customHeight="1" thickTop="1">
      <c r="A272" s="25"/>
      <c r="B272" s="25"/>
      <c r="C272" s="298"/>
      <c r="D272" s="298"/>
      <c r="E272" s="298"/>
      <c r="F272" s="298"/>
      <c r="G272" s="298"/>
      <c r="H272" s="298"/>
      <c r="I272" s="298"/>
      <c r="J272" s="298"/>
      <c r="K272" s="298"/>
      <c r="L272" s="298"/>
      <c r="M272" s="298"/>
      <c r="N272" s="298"/>
      <c r="O272" s="298"/>
      <c r="P272" s="298"/>
      <c r="Q272" s="298"/>
      <c r="R272" s="298"/>
      <c r="S272" s="398"/>
      <c r="T272" s="398"/>
      <c r="U272" s="4791" t="s">
        <v>348</v>
      </c>
      <c r="V272" s="4792"/>
      <c r="W272" s="4305"/>
      <c r="X272" s="429"/>
      <c r="Y272" s="433" t="s">
        <v>349</v>
      </c>
      <c r="Z272" s="145" t="str">
        <f>IF(Z269=AB244,"OK","NO")</f>
        <v>OK</v>
      </c>
      <c r="AA272" s="131"/>
      <c r="AB272" s="309"/>
      <c r="AC272" s="25"/>
      <c r="AD272" s="25"/>
      <c r="AE272" s="430"/>
    </row>
    <row r="273" spans="1:31" ht="16.5" customHeight="1">
      <c r="A273" s="25"/>
      <c r="B273" s="25"/>
      <c r="C273" s="298"/>
      <c r="D273" s="298"/>
      <c r="E273" s="298"/>
      <c r="F273" s="298"/>
      <c r="G273" s="298"/>
      <c r="H273" s="298"/>
      <c r="I273" s="298"/>
      <c r="J273" s="298"/>
      <c r="K273" s="298"/>
      <c r="L273" s="298"/>
      <c r="M273" s="298"/>
      <c r="N273" s="298"/>
      <c r="O273" s="298"/>
      <c r="P273" s="298"/>
      <c r="Q273" s="298"/>
      <c r="R273" s="298"/>
      <c r="S273" s="398"/>
      <c r="T273" s="398"/>
      <c r="U273" s="4213" t="s">
        <v>3666</v>
      </c>
      <c r="V273" s="4208"/>
      <c r="W273" s="516">
        <f>SUM(Resumen!H109)</f>
        <v>56.95</v>
      </c>
      <c r="X273" s="429"/>
      <c r="Y273" s="190"/>
      <c r="Z273" s="145" t="str">
        <f>IF(W277=AB244,"OK","NO")</f>
        <v>OK</v>
      </c>
      <c r="AA273" s="131"/>
      <c r="AB273" s="309"/>
      <c r="AC273" s="25"/>
      <c r="AD273" s="25"/>
      <c r="AE273" s="430"/>
    </row>
    <row r="274" spans="1:31" ht="16.5" customHeight="1">
      <c r="A274" s="25"/>
      <c r="B274" s="25"/>
      <c r="C274" s="298"/>
      <c r="D274" s="298"/>
      <c r="E274" s="298"/>
      <c r="F274" s="298"/>
      <c r="G274" s="298"/>
      <c r="H274" s="298"/>
      <c r="I274" s="298"/>
      <c r="J274" s="298"/>
      <c r="K274" s="298"/>
      <c r="L274" s="298"/>
      <c r="M274" s="298"/>
      <c r="N274" s="298"/>
      <c r="O274" s="298"/>
      <c r="P274" s="298"/>
      <c r="Q274" s="298"/>
      <c r="R274" s="298"/>
      <c r="S274" s="398"/>
      <c r="T274" s="398"/>
      <c r="U274" s="4200" t="s">
        <v>3667</v>
      </c>
      <c r="V274" s="4201"/>
      <c r="W274" s="2266">
        <f>SUM(Z250:Z258)+Resumen!H110</f>
        <v>37405.333000000006</v>
      </c>
      <c r="X274" s="429"/>
      <c r="Y274" s="190"/>
      <c r="Z274" s="145" t="str">
        <f>IF(W287=AB244,"OK","NO")</f>
        <v>OK</v>
      </c>
      <c r="AA274" s="131"/>
      <c r="AB274" s="309"/>
      <c r="AC274" s="25"/>
      <c r="AD274" s="25"/>
      <c r="AE274" s="430"/>
    </row>
    <row r="275" spans="1:31" ht="16.5" customHeight="1">
      <c r="A275" s="25"/>
      <c r="B275" s="25"/>
      <c r="C275" s="298"/>
      <c r="D275" s="298"/>
      <c r="E275" s="298"/>
      <c r="F275" s="298"/>
      <c r="G275" s="298"/>
      <c r="H275" s="298"/>
      <c r="I275" s="298"/>
      <c r="J275" s="298"/>
      <c r="K275" s="298"/>
      <c r="L275" s="298"/>
      <c r="M275" s="298"/>
      <c r="N275" s="298"/>
      <c r="O275" s="298"/>
      <c r="P275" s="298"/>
      <c r="Q275" s="298"/>
      <c r="R275" s="298"/>
      <c r="S275" s="426"/>
      <c r="T275" s="426"/>
      <c r="U275" s="4200" t="s">
        <v>3669</v>
      </c>
      <c r="V275" s="4201"/>
      <c r="W275" s="515">
        <f>SUM(Z260:Z268)+Resumen!H111</f>
        <v>11417.749000000002</v>
      </c>
      <c r="X275" s="429"/>
      <c r="Y275" s="434"/>
      <c r="Z275" s="145" t="str">
        <f>IF(Resumen!C355=AB244,"OK","NO")</f>
        <v>OK</v>
      </c>
      <c r="AA275" s="131"/>
      <c r="AB275" s="309"/>
      <c r="AC275" s="427"/>
      <c r="AD275" s="427"/>
      <c r="AE275" s="428"/>
    </row>
    <row r="276" spans="1:31" ht="16.5" customHeight="1">
      <c r="A276" s="25"/>
      <c r="B276" s="25"/>
      <c r="C276" s="298"/>
      <c r="D276" s="298"/>
      <c r="E276" s="298"/>
      <c r="F276" s="298"/>
      <c r="G276" s="298"/>
      <c r="H276" s="298"/>
      <c r="I276" s="298"/>
      <c r="J276" s="298"/>
      <c r="K276" s="298"/>
      <c r="L276" s="298"/>
      <c r="M276" s="298"/>
      <c r="N276" s="298"/>
      <c r="O276" s="298"/>
      <c r="P276" s="298"/>
      <c r="Q276" s="298"/>
      <c r="R276" s="298"/>
      <c r="S276" s="426"/>
      <c r="T276" s="426"/>
      <c r="U276" s="4200" t="s">
        <v>3668</v>
      </c>
      <c r="V276" s="4201"/>
      <c r="W276" s="517">
        <v>0</v>
      </c>
      <c r="X276" s="429"/>
      <c r="Y276" s="434"/>
      <c r="Z276" s="131"/>
      <c r="AA276" s="131"/>
      <c r="AB276" s="309"/>
      <c r="AC276" s="427"/>
      <c r="AD276" s="427"/>
      <c r="AE276" s="428"/>
    </row>
    <row r="277" spans="1:31" ht="16.5" customHeight="1">
      <c r="A277" s="25"/>
      <c r="B277" s="25"/>
      <c r="C277" s="298"/>
      <c r="D277" s="298"/>
      <c r="E277" s="298"/>
      <c r="F277" s="298"/>
      <c r="G277" s="298"/>
      <c r="H277" s="298"/>
      <c r="I277" s="298"/>
      <c r="J277" s="298"/>
      <c r="K277" s="298"/>
      <c r="L277" s="298"/>
      <c r="M277" s="298"/>
      <c r="N277" s="298"/>
      <c r="O277" s="298"/>
      <c r="P277" s="298"/>
      <c r="Q277" s="298"/>
      <c r="R277" s="298"/>
      <c r="S277" s="426"/>
      <c r="T277" s="426"/>
      <c r="U277" s="4553" t="s">
        <v>183</v>
      </c>
      <c r="V277" s="4554"/>
      <c r="W277" s="2267">
        <f>SUM(W273:W276)</f>
        <v>48880.032000000007</v>
      </c>
      <c r="X277" s="429"/>
      <c r="Y277" s="434"/>
      <c r="Z277" s="131"/>
      <c r="AA277" s="131"/>
      <c r="AB277" s="309"/>
      <c r="AC277" s="427"/>
      <c r="AD277" s="427"/>
      <c r="AE277" s="428"/>
    </row>
    <row r="278" spans="1:31" ht="16.5" customHeight="1">
      <c r="A278" s="25"/>
      <c r="B278" s="25"/>
      <c r="C278" s="298"/>
      <c r="D278" s="298"/>
      <c r="E278" s="298"/>
      <c r="F278" s="298"/>
      <c r="G278" s="298"/>
      <c r="H278" s="298"/>
      <c r="I278" s="298"/>
      <c r="J278" s="298"/>
      <c r="K278" s="298"/>
      <c r="L278" s="298"/>
      <c r="M278" s="298"/>
      <c r="N278" s="298"/>
      <c r="O278" s="298"/>
      <c r="P278" s="298"/>
      <c r="Q278" s="298"/>
      <c r="R278" s="298"/>
      <c r="S278" s="426"/>
      <c r="T278" s="426"/>
      <c r="U278" s="4204" t="s">
        <v>350</v>
      </c>
      <c r="V278" s="4783"/>
      <c r="W278" s="4784"/>
      <c r="X278" s="429"/>
      <c r="Y278" s="435"/>
      <c r="Z278" s="131"/>
      <c r="AA278" s="131"/>
      <c r="AB278" s="309"/>
      <c r="AC278" s="427"/>
      <c r="AD278" s="427"/>
      <c r="AE278" s="428"/>
    </row>
    <row r="279" spans="1:31" ht="16.5" customHeight="1">
      <c r="A279" s="25"/>
      <c r="B279" s="25"/>
      <c r="C279" s="298"/>
      <c r="D279" s="298"/>
      <c r="E279" s="298"/>
      <c r="F279" s="298"/>
      <c r="G279" s="298"/>
      <c r="H279" s="298"/>
      <c r="I279" s="298"/>
      <c r="J279" s="298"/>
      <c r="K279" s="298"/>
      <c r="L279" s="298"/>
      <c r="M279" s="298"/>
      <c r="N279" s="298"/>
      <c r="O279" s="298"/>
      <c r="P279" s="298"/>
      <c r="Q279" s="298"/>
      <c r="R279" s="298"/>
      <c r="S279" s="426"/>
      <c r="T279" s="426"/>
      <c r="U279" s="4207" t="s">
        <v>3670</v>
      </c>
      <c r="V279" s="4208"/>
      <c r="W279" s="516">
        <v>0</v>
      </c>
      <c r="X279" s="429"/>
      <c r="Y279" s="435"/>
      <c r="Z279" s="131"/>
      <c r="AA279" s="269"/>
      <c r="AB279" s="311"/>
      <c r="AC279" s="427"/>
      <c r="AD279" s="427"/>
      <c r="AE279" s="428"/>
    </row>
    <row r="280" spans="1:31" ht="16.5" customHeight="1">
      <c r="A280" s="25"/>
      <c r="B280" s="25"/>
      <c r="C280" s="298"/>
      <c r="D280" s="298"/>
      <c r="E280" s="298"/>
      <c r="F280" s="298"/>
      <c r="G280" s="298"/>
      <c r="H280" s="298"/>
      <c r="I280" s="298"/>
      <c r="J280" s="298"/>
      <c r="K280" s="298"/>
      <c r="L280" s="298"/>
      <c r="M280" s="298"/>
      <c r="N280" s="298"/>
      <c r="O280" s="298"/>
      <c r="P280" s="298"/>
      <c r="Q280" s="298"/>
      <c r="R280" s="298"/>
      <c r="S280" s="426"/>
      <c r="T280" s="426"/>
      <c r="U280" s="4209" t="s">
        <v>3671</v>
      </c>
      <c r="V280" s="4201"/>
      <c r="W280" s="515">
        <f>SUM(Z250:Z259)</f>
        <v>37633.792000000001</v>
      </c>
      <c r="X280" s="429"/>
      <c r="Y280" s="436"/>
      <c r="Z280" s="269"/>
      <c r="AA280" s="269"/>
      <c r="AB280" s="311"/>
      <c r="AC280" s="438"/>
      <c r="AD280" s="427"/>
      <c r="AE280" s="428"/>
    </row>
    <row r="281" spans="1:31" ht="16.5" customHeight="1">
      <c r="A281" s="25"/>
      <c r="B281" s="25"/>
      <c r="C281" s="298"/>
      <c r="D281" s="298"/>
      <c r="E281" s="298"/>
      <c r="F281" s="298"/>
      <c r="G281" s="298"/>
      <c r="H281" s="298"/>
      <c r="I281" s="298"/>
      <c r="J281" s="298"/>
      <c r="K281" s="298"/>
      <c r="L281" s="298"/>
      <c r="M281" s="298"/>
      <c r="N281" s="298"/>
      <c r="O281" s="298"/>
      <c r="P281" s="298"/>
      <c r="Q281" s="298"/>
      <c r="R281" s="298"/>
      <c r="S281" s="426"/>
      <c r="T281" s="426"/>
      <c r="U281" s="4209" t="s">
        <v>3672</v>
      </c>
      <c r="V281" s="4201"/>
      <c r="W281" s="515">
        <v>0</v>
      </c>
      <c r="X281" s="429"/>
      <c r="Y281" s="437"/>
      <c r="Z281" s="269"/>
      <c r="AA281" s="269"/>
      <c r="AB281" s="311"/>
      <c r="AC281" s="438"/>
      <c r="AD281" s="427"/>
      <c r="AE281" s="428"/>
    </row>
    <row r="282" spans="1:31" ht="16.5" customHeight="1">
      <c r="A282" s="25"/>
      <c r="B282" s="25"/>
      <c r="C282" s="298"/>
      <c r="D282" s="298"/>
      <c r="E282" s="298"/>
      <c r="F282" s="298"/>
      <c r="G282" s="298"/>
      <c r="H282" s="298"/>
      <c r="I282" s="298"/>
      <c r="J282" s="298"/>
      <c r="K282" s="298"/>
      <c r="L282" s="298"/>
      <c r="M282" s="298"/>
      <c r="N282" s="298"/>
      <c r="O282" s="298"/>
      <c r="P282" s="298"/>
      <c r="Q282" s="298"/>
      <c r="R282" s="298"/>
      <c r="S282" s="426"/>
      <c r="T282" s="426"/>
      <c r="U282" s="4209" t="s">
        <v>3673</v>
      </c>
      <c r="V282" s="4201"/>
      <c r="W282" s="515">
        <v>0</v>
      </c>
      <c r="X282" s="429"/>
      <c r="Y282" s="439"/>
      <c r="Z282" s="269"/>
      <c r="AA282" s="1884"/>
      <c r="AB282" s="1884"/>
      <c r="AC282" s="438"/>
      <c r="AD282" s="427"/>
      <c r="AE282" s="428"/>
    </row>
    <row r="283" spans="1:31" ht="16.5" customHeight="1">
      <c r="A283" s="25"/>
      <c r="B283" s="25"/>
      <c r="C283" s="298"/>
      <c r="D283" s="298"/>
      <c r="E283" s="298"/>
      <c r="F283" s="298"/>
      <c r="G283" s="298"/>
      <c r="H283" s="298"/>
      <c r="I283" s="298"/>
      <c r="J283" s="298"/>
      <c r="K283" s="298"/>
      <c r="L283" s="298"/>
      <c r="M283" s="298"/>
      <c r="N283" s="298"/>
      <c r="O283" s="298"/>
      <c r="P283" s="298"/>
      <c r="Q283" s="298"/>
      <c r="R283" s="298"/>
      <c r="S283" s="426"/>
      <c r="T283" s="426"/>
      <c r="U283" s="4209" t="s">
        <v>3674</v>
      </c>
      <c r="V283" s="4201"/>
      <c r="W283" s="515">
        <v>0</v>
      </c>
      <c r="X283" s="429"/>
      <c r="Y283" s="440"/>
      <c r="Z283" s="1887"/>
      <c r="AA283" s="272"/>
      <c r="AB283" s="271"/>
      <c r="AC283" s="438"/>
      <c r="AD283" s="427"/>
      <c r="AE283" s="428"/>
    </row>
    <row r="284" spans="1:31" ht="16.5" customHeight="1">
      <c r="A284" s="25"/>
      <c r="B284" s="25"/>
      <c r="C284" s="298"/>
      <c r="D284" s="298"/>
      <c r="E284" s="298"/>
      <c r="F284" s="298"/>
      <c r="G284" s="298"/>
      <c r="H284" s="298"/>
      <c r="I284" s="298"/>
      <c r="J284" s="298"/>
      <c r="K284" s="298"/>
      <c r="L284" s="298"/>
      <c r="M284" s="298"/>
      <c r="N284" s="298"/>
      <c r="O284" s="298"/>
      <c r="P284" s="298"/>
      <c r="Q284" s="298"/>
      <c r="R284" s="298"/>
      <c r="S284" s="426"/>
      <c r="T284" s="426"/>
      <c r="U284" s="4209" t="s">
        <v>3675</v>
      </c>
      <c r="V284" s="4201"/>
      <c r="W284" s="515">
        <v>0</v>
      </c>
      <c r="X284" s="429"/>
      <c r="Y284" s="440"/>
      <c r="Z284" s="271"/>
      <c r="AA284" s="274"/>
      <c r="AB284" s="346"/>
      <c r="AC284" s="438"/>
      <c r="AD284" s="427"/>
      <c r="AE284" s="428"/>
    </row>
    <row r="285" spans="1:31" ht="16.5" customHeight="1">
      <c r="A285" s="25"/>
      <c r="B285" s="25"/>
      <c r="C285" s="298"/>
      <c r="D285" s="298"/>
      <c r="E285" s="298"/>
      <c r="F285" s="298"/>
      <c r="G285" s="298"/>
      <c r="H285" s="298"/>
      <c r="I285" s="298"/>
      <c r="J285" s="298"/>
      <c r="K285" s="298"/>
      <c r="L285" s="298"/>
      <c r="M285" s="298"/>
      <c r="N285" s="298"/>
      <c r="O285" s="298"/>
      <c r="P285" s="298"/>
      <c r="Q285" s="298"/>
      <c r="R285" s="298"/>
      <c r="S285" s="426"/>
      <c r="T285" s="426"/>
      <c r="U285" s="4209" t="s">
        <v>3676</v>
      </c>
      <c r="V285" s="4201"/>
      <c r="W285" s="515">
        <f>SUM(Z260:Z268)</f>
        <v>11246.240000000002</v>
      </c>
      <c r="X285" s="429"/>
      <c r="Y285" s="440"/>
      <c r="Z285" s="345"/>
      <c r="AA285" s="317"/>
      <c r="AB285" s="311"/>
      <c r="AC285" s="438"/>
      <c r="AD285" s="427"/>
      <c r="AE285" s="428"/>
    </row>
    <row r="286" spans="1:31" ht="16.5" customHeight="1">
      <c r="A286" s="25"/>
      <c r="B286" s="25"/>
      <c r="C286" s="298"/>
      <c r="D286" s="298"/>
      <c r="E286" s="298"/>
      <c r="F286" s="298"/>
      <c r="G286" s="298"/>
      <c r="H286" s="298"/>
      <c r="I286" s="298"/>
      <c r="J286" s="298"/>
      <c r="K286" s="298"/>
      <c r="L286" s="298"/>
      <c r="M286" s="298"/>
      <c r="N286" s="298"/>
      <c r="O286" s="298"/>
      <c r="P286" s="298"/>
      <c r="Q286" s="298"/>
      <c r="R286" s="298"/>
      <c r="S286" s="426"/>
      <c r="T286" s="426"/>
      <c r="U286" s="4209" t="s">
        <v>3677</v>
      </c>
      <c r="V286" s="4201"/>
      <c r="W286" s="517">
        <v>0</v>
      </c>
      <c r="X286" s="429"/>
      <c r="Y286" s="441"/>
      <c r="Z286" s="317"/>
      <c r="AA286" s="269"/>
      <c r="AB286" s="311"/>
      <c r="AC286" s="438"/>
      <c r="AD286" s="427"/>
      <c r="AE286" s="428"/>
    </row>
    <row r="287" spans="1:31" ht="15.75" customHeight="1" thickBot="1">
      <c r="U287" s="4295" t="s">
        <v>183</v>
      </c>
      <c r="V287" s="4296"/>
      <c r="W287" s="2268">
        <f>SUM(W279:W286)</f>
        <v>48880.032000000007</v>
      </c>
      <c r="X287" s="429"/>
      <c r="Y287" s="437"/>
      <c r="Z287" s="269"/>
    </row>
    <row r="288" spans="1:31" ht="15.75" customHeight="1" thickTop="1"/>
  </sheetData>
  <mergeCells count="827">
    <mergeCell ref="G9:G13"/>
    <mergeCell ref="H9:H13"/>
    <mergeCell ref="I9:I13"/>
    <mergeCell ref="J9:J13"/>
    <mergeCell ref="K9:K13"/>
    <mergeCell ref="L9:L13"/>
    <mergeCell ref="M9:M13"/>
    <mergeCell ref="C24:C28"/>
    <mergeCell ref="D24:D28"/>
    <mergeCell ref="E19:E23"/>
    <mergeCell ref="F19:F23"/>
    <mergeCell ref="G19:G23"/>
    <mergeCell ref="H19:H23"/>
    <mergeCell ref="C9:C13"/>
    <mergeCell ref="D9:D13"/>
    <mergeCell ref="E9:E13"/>
    <mergeCell ref="F9:F13"/>
    <mergeCell ref="K29:K33"/>
    <mergeCell ref="L29:L33"/>
    <mergeCell ref="M29:M33"/>
    <mergeCell ref="N29:N33"/>
    <mergeCell ref="O29:O33"/>
    <mergeCell ref="I24:I28"/>
    <mergeCell ref="J24:J28"/>
    <mergeCell ref="K24:K28"/>
    <mergeCell ref="L24:L28"/>
    <mergeCell ref="M24:M28"/>
    <mergeCell ref="Q39:Q46"/>
    <mergeCell ref="R39:R46"/>
    <mergeCell ref="AF39:AF46"/>
    <mergeCell ref="AF47:AF52"/>
    <mergeCell ref="C29:C33"/>
    <mergeCell ref="D29:D33"/>
    <mergeCell ref="E29:E33"/>
    <mergeCell ref="F29:F33"/>
    <mergeCell ref="C34:C38"/>
    <mergeCell ref="D34:D38"/>
    <mergeCell ref="N34:N38"/>
    <mergeCell ref="O34:O38"/>
    <mergeCell ref="P34:P38"/>
    <mergeCell ref="I39:I46"/>
    <mergeCell ref="J39:J46"/>
    <mergeCell ref="K39:K46"/>
    <mergeCell ref="L39:L46"/>
    <mergeCell ref="M39:M46"/>
    <mergeCell ref="E34:E38"/>
    <mergeCell ref="F34:F38"/>
    <mergeCell ref="I34:I38"/>
    <mergeCell ref="R29:R33"/>
    <mergeCell ref="I29:I33"/>
    <mergeCell ref="J29:J33"/>
    <mergeCell ref="AF53:AF57"/>
    <mergeCell ref="AF58:AF62"/>
    <mergeCell ref="AF63:AF67"/>
    <mergeCell ref="AF68:AF72"/>
    <mergeCell ref="AF73:AF77"/>
    <mergeCell ref="AF131:AF135"/>
    <mergeCell ref="S136:Z136"/>
    <mergeCell ref="AC136:AF136"/>
    <mergeCell ref="AF96:AF100"/>
    <mergeCell ref="AF101:AF105"/>
    <mergeCell ref="AF106:AF110"/>
    <mergeCell ref="AF111:AF115"/>
    <mergeCell ref="AF116:AF120"/>
    <mergeCell ref="AF121:AF125"/>
    <mergeCell ref="AF126:AF130"/>
    <mergeCell ref="AF78:AF82"/>
    <mergeCell ref="AF83:AF87"/>
    <mergeCell ref="AF88:AF94"/>
    <mergeCell ref="S95:Z95"/>
    <mergeCell ref="AC95:AF95"/>
    <mergeCell ref="AF137:AF141"/>
    <mergeCell ref="AF142:AF146"/>
    <mergeCell ref="AF147:AF151"/>
    <mergeCell ref="AF152:AF156"/>
    <mergeCell ref="AF157:AF161"/>
    <mergeCell ref="AF162:AF166"/>
    <mergeCell ref="AF167:AF171"/>
    <mergeCell ref="P178:P182"/>
    <mergeCell ref="Q178:Q182"/>
    <mergeCell ref="R178:R182"/>
    <mergeCell ref="Q137:Q141"/>
    <mergeCell ref="R137:R141"/>
    <mergeCell ref="R142:R146"/>
    <mergeCell ref="P152:P156"/>
    <mergeCell ref="Q152:Q156"/>
    <mergeCell ref="R152:R156"/>
    <mergeCell ref="R157:R161"/>
    <mergeCell ref="P162:P166"/>
    <mergeCell ref="Q162:Q166"/>
    <mergeCell ref="R162:R166"/>
    <mergeCell ref="R167:R171"/>
    <mergeCell ref="I178:I182"/>
    <mergeCell ref="J178:J182"/>
    <mergeCell ref="K178:K182"/>
    <mergeCell ref="L178:L182"/>
    <mergeCell ref="M178:M182"/>
    <mergeCell ref="N178:N182"/>
    <mergeCell ref="O178:O182"/>
    <mergeCell ref="P183:P187"/>
    <mergeCell ref="Q183:Q187"/>
    <mergeCell ref="I183:I187"/>
    <mergeCell ref="J183:J187"/>
    <mergeCell ref="K183:K187"/>
    <mergeCell ref="L183:L187"/>
    <mergeCell ref="M183:M187"/>
    <mergeCell ref="N183:N187"/>
    <mergeCell ref="O183:O187"/>
    <mergeCell ref="I188:I192"/>
    <mergeCell ref="J188:J192"/>
    <mergeCell ref="K188:K192"/>
    <mergeCell ref="L188:L192"/>
    <mergeCell ref="M188:M192"/>
    <mergeCell ref="N188:N192"/>
    <mergeCell ref="O188:O192"/>
    <mergeCell ref="P193:P197"/>
    <mergeCell ref="Q193:Q197"/>
    <mergeCell ref="I193:I197"/>
    <mergeCell ref="J193:J197"/>
    <mergeCell ref="K193:K197"/>
    <mergeCell ref="L193:L197"/>
    <mergeCell ref="M193:M197"/>
    <mergeCell ref="N193:N197"/>
    <mergeCell ref="O193:O197"/>
    <mergeCell ref="P188:P192"/>
    <mergeCell ref="Q188:Q192"/>
    <mergeCell ref="I198:I202"/>
    <mergeCell ref="J198:J202"/>
    <mergeCell ref="K198:K202"/>
    <mergeCell ref="L198:L202"/>
    <mergeCell ref="M198:M202"/>
    <mergeCell ref="N198:N202"/>
    <mergeCell ref="O198:O202"/>
    <mergeCell ref="P203:P207"/>
    <mergeCell ref="Q203:Q207"/>
    <mergeCell ref="I203:I207"/>
    <mergeCell ref="J203:J207"/>
    <mergeCell ref="K203:K207"/>
    <mergeCell ref="L203:L207"/>
    <mergeCell ref="M203:M207"/>
    <mergeCell ref="N203:N207"/>
    <mergeCell ref="O203:O207"/>
    <mergeCell ref="P198:P202"/>
    <mergeCell ref="Q198:Q202"/>
    <mergeCell ref="I208:I212"/>
    <mergeCell ref="J208:J212"/>
    <mergeCell ref="K208:K212"/>
    <mergeCell ref="L208:L212"/>
    <mergeCell ref="M208:M212"/>
    <mergeCell ref="N208:N212"/>
    <mergeCell ref="O208:O212"/>
    <mergeCell ref="I19:I23"/>
    <mergeCell ref="J19:J23"/>
    <mergeCell ref="K19:K23"/>
    <mergeCell ref="L19:L23"/>
    <mergeCell ref="M19:M23"/>
    <mergeCell ref="N19:N23"/>
    <mergeCell ref="O19:O23"/>
    <mergeCell ref="I53:I57"/>
    <mergeCell ref="J53:J57"/>
    <mergeCell ref="K53:K57"/>
    <mergeCell ref="L53:L57"/>
    <mergeCell ref="M53:M57"/>
    <mergeCell ref="N53:N57"/>
    <mergeCell ref="O53:O57"/>
    <mergeCell ref="N63:N67"/>
    <mergeCell ref="O63:O67"/>
    <mergeCell ref="I106:I110"/>
    <mergeCell ref="AF9:AF13"/>
    <mergeCell ref="AF24:AF28"/>
    <mergeCell ref="AF29:AF33"/>
    <mergeCell ref="AF34:AF38"/>
    <mergeCell ref="G34:G38"/>
    <mergeCell ref="H34:H38"/>
    <mergeCell ref="Q34:Q38"/>
    <mergeCell ref="R34:R38"/>
    <mergeCell ref="E24:E28"/>
    <mergeCell ref="F24:F28"/>
    <mergeCell ref="G24:G28"/>
    <mergeCell ref="H24:H28"/>
    <mergeCell ref="J34:J38"/>
    <mergeCell ref="K34:K38"/>
    <mergeCell ref="L34:L38"/>
    <mergeCell ref="M34:M38"/>
    <mergeCell ref="G29:G33"/>
    <mergeCell ref="H29:H33"/>
    <mergeCell ref="N24:N28"/>
    <mergeCell ref="O24:O28"/>
    <mergeCell ref="P24:P28"/>
    <mergeCell ref="Q24:Q28"/>
    <mergeCell ref="R24:R28"/>
    <mergeCell ref="P29:P33"/>
    <mergeCell ref="AF19:AF23"/>
    <mergeCell ref="C14:C18"/>
    <mergeCell ref="D14:D18"/>
    <mergeCell ref="E14:E18"/>
    <mergeCell ref="F14:F18"/>
    <mergeCell ref="G14:G18"/>
    <mergeCell ref="H14:H18"/>
    <mergeCell ref="C19:C23"/>
    <mergeCell ref="D19:D23"/>
    <mergeCell ref="AF14:AF18"/>
    <mergeCell ref="P14:P18"/>
    <mergeCell ref="Q14:Q18"/>
    <mergeCell ref="R14:R18"/>
    <mergeCell ref="I14:I18"/>
    <mergeCell ref="J14:J18"/>
    <mergeCell ref="K14:K18"/>
    <mergeCell ref="L14:L18"/>
    <mergeCell ref="M14:M18"/>
    <mergeCell ref="N14:N18"/>
    <mergeCell ref="O14:O18"/>
    <mergeCell ref="G47:G52"/>
    <mergeCell ref="H47:H52"/>
    <mergeCell ref="I47:I52"/>
    <mergeCell ref="J47:J52"/>
    <mergeCell ref="K47:K52"/>
    <mergeCell ref="L47:L52"/>
    <mergeCell ref="M47:M52"/>
    <mergeCell ref="A1:AE1"/>
    <mergeCell ref="A2:AE2"/>
    <mergeCell ref="A3:AE3"/>
    <mergeCell ref="A4:AE4"/>
    <mergeCell ref="J5:R5"/>
    <mergeCell ref="P19:P23"/>
    <mergeCell ref="Q19:Q23"/>
    <mergeCell ref="R19:R23"/>
    <mergeCell ref="N9:N13"/>
    <mergeCell ref="O9:O13"/>
    <mergeCell ref="P9:P13"/>
    <mergeCell ref="Q9:Q13"/>
    <mergeCell ref="R9:R13"/>
    <mergeCell ref="Q29:Q33"/>
    <mergeCell ref="N39:N46"/>
    <mergeCell ref="O39:O46"/>
    <mergeCell ref="P39:P46"/>
    <mergeCell ref="P53:P57"/>
    <mergeCell ref="Q53:Q57"/>
    <mergeCell ref="R53:R57"/>
    <mergeCell ref="C39:C46"/>
    <mergeCell ref="D39:D46"/>
    <mergeCell ref="E39:E46"/>
    <mergeCell ref="F39:F46"/>
    <mergeCell ref="G39:G46"/>
    <mergeCell ref="H39:H46"/>
    <mergeCell ref="C47:C52"/>
    <mergeCell ref="D47:D52"/>
    <mergeCell ref="E47:E52"/>
    <mergeCell ref="F47:F52"/>
    <mergeCell ref="C53:C57"/>
    <mergeCell ref="D53:D57"/>
    <mergeCell ref="E53:E57"/>
    <mergeCell ref="F53:F57"/>
    <mergeCell ref="G53:G57"/>
    <mergeCell ref="H53:H57"/>
    <mergeCell ref="N47:N52"/>
    <mergeCell ref="O47:O52"/>
    <mergeCell ref="P47:P52"/>
    <mergeCell ref="Q47:Q52"/>
    <mergeCell ref="R47:R52"/>
    <mergeCell ref="P58:P62"/>
    <mergeCell ref="Q58:Q62"/>
    <mergeCell ref="R58:R62"/>
    <mergeCell ref="I58:I62"/>
    <mergeCell ref="J58:J62"/>
    <mergeCell ref="K58:K62"/>
    <mergeCell ref="L58:L62"/>
    <mergeCell ref="M58:M62"/>
    <mergeCell ref="N58:N62"/>
    <mergeCell ref="O58:O62"/>
    <mergeCell ref="C58:C62"/>
    <mergeCell ref="D58:D62"/>
    <mergeCell ref="C63:C67"/>
    <mergeCell ref="D63:D67"/>
    <mergeCell ref="E63:E67"/>
    <mergeCell ref="F63:F67"/>
    <mergeCell ref="G63:G67"/>
    <mergeCell ref="H63:H67"/>
    <mergeCell ref="E58:E62"/>
    <mergeCell ref="F58:F62"/>
    <mergeCell ref="G58:G62"/>
    <mergeCell ref="H58:H62"/>
    <mergeCell ref="P63:P67"/>
    <mergeCell ref="Q63:Q67"/>
    <mergeCell ref="R63:R67"/>
    <mergeCell ref="P68:P72"/>
    <mergeCell ref="Q68:Q72"/>
    <mergeCell ref="R68:R72"/>
    <mergeCell ref="I68:I72"/>
    <mergeCell ref="J68:J72"/>
    <mergeCell ref="K68:K72"/>
    <mergeCell ref="L68:L72"/>
    <mergeCell ref="M68:M72"/>
    <mergeCell ref="N68:N72"/>
    <mergeCell ref="O68:O72"/>
    <mergeCell ref="I63:I67"/>
    <mergeCell ref="J63:J67"/>
    <mergeCell ref="K63:K67"/>
    <mergeCell ref="L63:L67"/>
    <mergeCell ref="M63:M67"/>
    <mergeCell ref="I101:I105"/>
    <mergeCell ref="J101:J105"/>
    <mergeCell ref="K101:K105"/>
    <mergeCell ref="L101:L105"/>
    <mergeCell ref="M101:M105"/>
    <mergeCell ref="N101:N105"/>
    <mergeCell ref="O101:O105"/>
    <mergeCell ref="P96:P100"/>
    <mergeCell ref="Q96:Q100"/>
    <mergeCell ref="I96:I100"/>
    <mergeCell ref="J96:J100"/>
    <mergeCell ref="K96:K100"/>
    <mergeCell ref="L96:L100"/>
    <mergeCell ref="M96:M100"/>
    <mergeCell ref="N96:N100"/>
    <mergeCell ref="O96:O100"/>
    <mergeCell ref="C68:C72"/>
    <mergeCell ref="D68:D72"/>
    <mergeCell ref="E68:E72"/>
    <mergeCell ref="F68:F72"/>
    <mergeCell ref="C73:C77"/>
    <mergeCell ref="D73:D77"/>
    <mergeCell ref="N73:N77"/>
    <mergeCell ref="O73:O77"/>
    <mergeCell ref="P73:P77"/>
    <mergeCell ref="H73:H77"/>
    <mergeCell ref="E73:E77"/>
    <mergeCell ref="F73:F77"/>
    <mergeCell ref="I73:I77"/>
    <mergeCell ref="J73:J77"/>
    <mergeCell ref="K73:K77"/>
    <mergeCell ref="L73:L77"/>
    <mergeCell ref="M73:M77"/>
    <mergeCell ref="G68:G72"/>
    <mergeCell ref="H68:H72"/>
    <mergeCell ref="R111:R115"/>
    <mergeCell ref="Q73:Q77"/>
    <mergeCell ref="R73:R77"/>
    <mergeCell ref="N78:N82"/>
    <mergeCell ref="O78:O82"/>
    <mergeCell ref="P78:P82"/>
    <mergeCell ref="Q78:Q82"/>
    <mergeCell ref="R78:R82"/>
    <mergeCell ref="P106:P110"/>
    <mergeCell ref="Q106:Q110"/>
    <mergeCell ref="R106:R110"/>
    <mergeCell ref="P88:P94"/>
    <mergeCell ref="Q88:Q94"/>
    <mergeCell ref="R88:R94"/>
    <mergeCell ref="P101:P105"/>
    <mergeCell ref="Q101:Q105"/>
    <mergeCell ref="R101:R105"/>
    <mergeCell ref="R96:R100"/>
    <mergeCell ref="R83:R87"/>
    <mergeCell ref="L111:L115"/>
    <mergeCell ref="M111:M115"/>
    <mergeCell ref="N111:N115"/>
    <mergeCell ref="O111:O115"/>
    <mergeCell ref="P116:P120"/>
    <mergeCell ref="Q116:Q120"/>
    <mergeCell ref="J106:J110"/>
    <mergeCell ref="K106:K110"/>
    <mergeCell ref="L106:L110"/>
    <mergeCell ref="M106:M110"/>
    <mergeCell ref="N106:N110"/>
    <mergeCell ref="O106:O110"/>
    <mergeCell ref="P111:P115"/>
    <mergeCell ref="Q111:Q115"/>
    <mergeCell ref="R116:R120"/>
    <mergeCell ref="I116:I120"/>
    <mergeCell ref="J116:J120"/>
    <mergeCell ref="K116:K120"/>
    <mergeCell ref="L116:L120"/>
    <mergeCell ref="M116:M120"/>
    <mergeCell ref="N116:N120"/>
    <mergeCell ref="O116:O120"/>
    <mergeCell ref="P121:P125"/>
    <mergeCell ref="Q121:Q125"/>
    <mergeCell ref="R121:R125"/>
    <mergeCell ref="I121:I125"/>
    <mergeCell ref="J121:J125"/>
    <mergeCell ref="K121:K125"/>
    <mergeCell ref="L121:L125"/>
    <mergeCell ref="M121:M125"/>
    <mergeCell ref="N121:N125"/>
    <mergeCell ref="O121:O125"/>
    <mergeCell ref="P126:P130"/>
    <mergeCell ref="Q126:Q130"/>
    <mergeCell ref="R126:R130"/>
    <mergeCell ref="I126:I130"/>
    <mergeCell ref="J126:J130"/>
    <mergeCell ref="K126:K130"/>
    <mergeCell ref="L126:L130"/>
    <mergeCell ref="M126:M130"/>
    <mergeCell ref="N126:N130"/>
    <mergeCell ref="O126:O130"/>
    <mergeCell ref="P131:P135"/>
    <mergeCell ref="Q131:Q135"/>
    <mergeCell ref="R131:R135"/>
    <mergeCell ref="I131:I135"/>
    <mergeCell ref="J131:J135"/>
    <mergeCell ref="K131:K135"/>
    <mergeCell ref="L131:L135"/>
    <mergeCell ref="M131:M135"/>
    <mergeCell ref="N131:N135"/>
    <mergeCell ref="O131:O135"/>
    <mergeCell ref="I137:I141"/>
    <mergeCell ref="J137:J141"/>
    <mergeCell ref="K137:K141"/>
    <mergeCell ref="L137:L141"/>
    <mergeCell ref="M137:M141"/>
    <mergeCell ref="N137:N141"/>
    <mergeCell ref="O137:O141"/>
    <mergeCell ref="P142:P146"/>
    <mergeCell ref="Q142:Q146"/>
    <mergeCell ref="I142:I146"/>
    <mergeCell ref="J142:J146"/>
    <mergeCell ref="K142:K146"/>
    <mergeCell ref="L142:L146"/>
    <mergeCell ref="M142:M146"/>
    <mergeCell ref="N142:N146"/>
    <mergeCell ref="O142:O146"/>
    <mergeCell ref="P137:P141"/>
    <mergeCell ref="I152:I156"/>
    <mergeCell ref="J152:J156"/>
    <mergeCell ref="K152:K156"/>
    <mergeCell ref="L152:L156"/>
    <mergeCell ref="M152:M156"/>
    <mergeCell ref="N152:N156"/>
    <mergeCell ref="O152:O156"/>
    <mergeCell ref="P157:P161"/>
    <mergeCell ref="Q157:Q161"/>
    <mergeCell ref="I157:I161"/>
    <mergeCell ref="J157:J161"/>
    <mergeCell ref="K157:K161"/>
    <mergeCell ref="L157:L161"/>
    <mergeCell ref="M157:M161"/>
    <mergeCell ref="N157:N161"/>
    <mergeCell ref="O157:O161"/>
    <mergeCell ref="I162:I166"/>
    <mergeCell ref="J162:J166"/>
    <mergeCell ref="K162:K166"/>
    <mergeCell ref="L162:L166"/>
    <mergeCell ref="M162:M166"/>
    <mergeCell ref="N162:N166"/>
    <mergeCell ref="O162:O166"/>
    <mergeCell ref="P167:P171"/>
    <mergeCell ref="Q167:Q171"/>
    <mergeCell ref="I167:I171"/>
    <mergeCell ref="J167:J171"/>
    <mergeCell ref="K167:K171"/>
    <mergeCell ref="L167:L171"/>
    <mergeCell ref="M167:M171"/>
    <mergeCell ref="N167:N171"/>
    <mergeCell ref="O167:O171"/>
    <mergeCell ref="AF228:AF232"/>
    <mergeCell ref="AF233:AF237"/>
    <mergeCell ref="AF238:AF242"/>
    <mergeCell ref="S243:Z243"/>
    <mergeCell ref="AC243:AF243"/>
    <mergeCell ref="R238:R242"/>
    <mergeCell ref="R233:R237"/>
    <mergeCell ref="R228:R232"/>
    <mergeCell ref="P172:P176"/>
    <mergeCell ref="Q172:Q176"/>
    <mergeCell ref="R172:R176"/>
    <mergeCell ref="P208:P212"/>
    <mergeCell ref="Q208:Q212"/>
    <mergeCell ref="R208:R212"/>
    <mergeCell ref="AF172:AF176"/>
    <mergeCell ref="S177:Z177"/>
    <mergeCell ref="AC177:AF177"/>
    <mergeCell ref="AF178:AF182"/>
    <mergeCell ref="AF183:AF187"/>
    <mergeCell ref="AF188:AF192"/>
    <mergeCell ref="AF193:AF197"/>
    <mergeCell ref="AF198:AF202"/>
    <mergeCell ref="AF203:AF207"/>
    <mergeCell ref="AF208:AF212"/>
    <mergeCell ref="R183:R187"/>
    <mergeCell ref="R188:R192"/>
    <mergeCell ref="R193:R197"/>
    <mergeCell ref="R198:R202"/>
    <mergeCell ref="R203:R207"/>
    <mergeCell ref="R213:R217"/>
    <mergeCell ref="R223:R227"/>
    <mergeCell ref="R218:R222"/>
    <mergeCell ref="AF213:AF217"/>
    <mergeCell ref="AF218:AF222"/>
    <mergeCell ref="AF223:AF227"/>
    <mergeCell ref="S244:Z244"/>
    <mergeCell ref="AC244:AF244"/>
    <mergeCell ref="S245:AF245"/>
    <mergeCell ref="U247:Z247"/>
    <mergeCell ref="AA246:AB246"/>
    <mergeCell ref="U272:W272"/>
    <mergeCell ref="U273:V273"/>
    <mergeCell ref="U274:V274"/>
    <mergeCell ref="U275:V275"/>
    <mergeCell ref="U283:V283"/>
    <mergeCell ref="U284:V284"/>
    <mergeCell ref="U285:V285"/>
    <mergeCell ref="U286:V286"/>
    <mergeCell ref="U287:V287"/>
    <mergeCell ref="U276:V276"/>
    <mergeCell ref="U277:V277"/>
    <mergeCell ref="U278:W278"/>
    <mergeCell ref="U279:V279"/>
    <mergeCell ref="U280:V280"/>
    <mergeCell ref="U281:V281"/>
    <mergeCell ref="U282:V282"/>
    <mergeCell ref="B9:B95"/>
    <mergeCell ref="G233:G237"/>
    <mergeCell ref="H233:H237"/>
    <mergeCell ref="C238:C242"/>
    <mergeCell ref="D238:D242"/>
    <mergeCell ref="E238:E242"/>
    <mergeCell ref="F238:F242"/>
    <mergeCell ref="G238:G242"/>
    <mergeCell ref="H238:H242"/>
    <mergeCell ref="D167:D171"/>
    <mergeCell ref="E167:E171"/>
    <mergeCell ref="F167:F171"/>
    <mergeCell ref="G167:G171"/>
    <mergeCell ref="H167:H171"/>
    <mergeCell ref="C172:C176"/>
    <mergeCell ref="D172:D176"/>
    <mergeCell ref="E172:E176"/>
    <mergeCell ref="F172:F176"/>
    <mergeCell ref="G172:G176"/>
    <mergeCell ref="H172:H176"/>
    <mergeCell ref="H178:H182"/>
    <mergeCell ref="D183:D187"/>
    <mergeCell ref="F203:F207"/>
    <mergeCell ref="G203:G207"/>
    <mergeCell ref="A9:A244"/>
    <mergeCell ref="E213:E217"/>
    <mergeCell ref="F213:F217"/>
    <mergeCell ref="G213:G217"/>
    <mergeCell ref="H213:H217"/>
    <mergeCell ref="C218:C222"/>
    <mergeCell ref="D218:D222"/>
    <mergeCell ref="E218:E222"/>
    <mergeCell ref="F218:F222"/>
    <mergeCell ref="G218:G222"/>
    <mergeCell ref="H218:H222"/>
    <mergeCell ref="C223:C227"/>
    <mergeCell ref="D223:D227"/>
    <mergeCell ref="E223:E227"/>
    <mergeCell ref="F223:F227"/>
    <mergeCell ref="E233:E237"/>
    <mergeCell ref="F233:F237"/>
    <mergeCell ref="C228:C232"/>
    <mergeCell ref="D228:D232"/>
    <mergeCell ref="E228:E232"/>
    <mergeCell ref="F228:F232"/>
    <mergeCell ref="G228:G232"/>
    <mergeCell ref="H228:H232"/>
    <mergeCell ref="D233:D237"/>
    <mergeCell ref="G223:G227"/>
    <mergeCell ref="H223:H227"/>
    <mergeCell ref="F178:F182"/>
    <mergeCell ref="G178:G182"/>
    <mergeCell ref="G193:G197"/>
    <mergeCell ref="H193:H197"/>
    <mergeCell ref="F198:F202"/>
    <mergeCell ref="G198:G202"/>
    <mergeCell ref="H198:H202"/>
    <mergeCell ref="F193:F197"/>
    <mergeCell ref="F183:F187"/>
    <mergeCell ref="G183:G187"/>
    <mergeCell ref="H183:H187"/>
    <mergeCell ref="F188:F192"/>
    <mergeCell ref="G188:G192"/>
    <mergeCell ref="H188:H192"/>
    <mergeCell ref="G208:G212"/>
    <mergeCell ref="H208:H212"/>
    <mergeCell ref="B178:B243"/>
    <mergeCell ref="C178:C182"/>
    <mergeCell ref="C183:C187"/>
    <mergeCell ref="C198:C202"/>
    <mergeCell ref="C203:C207"/>
    <mergeCell ref="C208:C212"/>
    <mergeCell ref="C213:C217"/>
    <mergeCell ref="C233:C237"/>
    <mergeCell ref="G73:G77"/>
    <mergeCell ref="C78:C82"/>
    <mergeCell ref="D78:D82"/>
    <mergeCell ref="E78:E82"/>
    <mergeCell ref="F78:F82"/>
    <mergeCell ref="G78:G82"/>
    <mergeCell ref="C106:C110"/>
    <mergeCell ref="D106:D110"/>
    <mergeCell ref="E106:E110"/>
    <mergeCell ref="F106:F110"/>
    <mergeCell ref="G106:G110"/>
    <mergeCell ref="G111:G115"/>
    <mergeCell ref="C147:C151"/>
    <mergeCell ref="D147:D151"/>
    <mergeCell ref="E147:E151"/>
    <mergeCell ref="F147:F151"/>
    <mergeCell ref="F83:F87"/>
    <mergeCell ref="G83:G87"/>
    <mergeCell ref="H83:H87"/>
    <mergeCell ref="E101:E105"/>
    <mergeCell ref="F101:F105"/>
    <mergeCell ref="G101:G105"/>
    <mergeCell ref="H101:H105"/>
    <mergeCell ref="C88:C94"/>
    <mergeCell ref="D88:D94"/>
    <mergeCell ref="E88:E94"/>
    <mergeCell ref="F88:F94"/>
    <mergeCell ref="G88:G94"/>
    <mergeCell ref="H88:H94"/>
    <mergeCell ref="G96:G100"/>
    <mergeCell ref="H96:H100"/>
    <mergeCell ref="D101:D105"/>
    <mergeCell ref="E121:E125"/>
    <mergeCell ref="F121:F125"/>
    <mergeCell ref="G121:G125"/>
    <mergeCell ref="H121:H125"/>
    <mergeCell ref="F96:F100"/>
    <mergeCell ref="H78:H82"/>
    <mergeCell ref="B96:B136"/>
    <mergeCell ref="C96:C100"/>
    <mergeCell ref="C101:C105"/>
    <mergeCell ref="C116:C120"/>
    <mergeCell ref="D116:D120"/>
    <mergeCell ref="C121:C125"/>
    <mergeCell ref="D121:D125"/>
    <mergeCell ref="D96:D100"/>
    <mergeCell ref="E96:E100"/>
    <mergeCell ref="C131:C135"/>
    <mergeCell ref="D131:D135"/>
    <mergeCell ref="E131:E135"/>
    <mergeCell ref="F131:F135"/>
    <mergeCell ref="G131:G135"/>
    <mergeCell ref="H131:H135"/>
    <mergeCell ref="C83:C87"/>
    <mergeCell ref="D83:D87"/>
    <mergeCell ref="E83:E87"/>
    <mergeCell ref="H106:H110"/>
    <mergeCell ref="C111:C115"/>
    <mergeCell ref="D111:D115"/>
    <mergeCell ref="E111:E115"/>
    <mergeCell ref="F111:F115"/>
    <mergeCell ref="C126:C130"/>
    <mergeCell ref="D126:D130"/>
    <mergeCell ref="G162:G166"/>
    <mergeCell ref="H162:H166"/>
    <mergeCell ref="C162:C166"/>
    <mergeCell ref="C152:C156"/>
    <mergeCell ref="D152:D156"/>
    <mergeCell ref="E152:E156"/>
    <mergeCell ref="F152:F156"/>
    <mergeCell ref="H111:H115"/>
    <mergeCell ref="F116:F120"/>
    <mergeCell ref="G116:G120"/>
    <mergeCell ref="H116:H120"/>
    <mergeCell ref="F137:F141"/>
    <mergeCell ref="G137:G141"/>
    <mergeCell ref="H137:H141"/>
    <mergeCell ref="C142:C146"/>
    <mergeCell ref="D142:D146"/>
    <mergeCell ref="E116:E120"/>
    <mergeCell ref="F142:F146"/>
    <mergeCell ref="G142:G146"/>
    <mergeCell ref="H142:H146"/>
    <mergeCell ref="E126:E130"/>
    <mergeCell ref="F126:F130"/>
    <mergeCell ref="G126:G130"/>
    <mergeCell ref="H126:H130"/>
    <mergeCell ref="E137:E141"/>
    <mergeCell ref="D137:D141"/>
    <mergeCell ref="B137:B177"/>
    <mergeCell ref="C137:C141"/>
    <mergeCell ref="C157:C161"/>
    <mergeCell ref="D157:D161"/>
    <mergeCell ref="E157:E161"/>
    <mergeCell ref="F157:F161"/>
    <mergeCell ref="F162:F166"/>
    <mergeCell ref="R147:R151"/>
    <mergeCell ref="I147:I151"/>
    <mergeCell ref="J147:J151"/>
    <mergeCell ref="K147:K151"/>
    <mergeCell ref="L147:L151"/>
    <mergeCell ref="M147:M151"/>
    <mergeCell ref="N147:N151"/>
    <mergeCell ref="O147:O151"/>
    <mergeCell ref="G147:G151"/>
    <mergeCell ref="H147:H151"/>
    <mergeCell ref="G152:G156"/>
    <mergeCell ref="H152:H156"/>
    <mergeCell ref="G157:G161"/>
    <mergeCell ref="H157:H161"/>
    <mergeCell ref="D162:D166"/>
    <mergeCell ref="E162:E166"/>
    <mergeCell ref="E142:E146"/>
    <mergeCell ref="C193:C197"/>
    <mergeCell ref="D193:D197"/>
    <mergeCell ref="E193:E197"/>
    <mergeCell ref="D208:D212"/>
    <mergeCell ref="D213:D217"/>
    <mergeCell ref="D178:D182"/>
    <mergeCell ref="E178:E182"/>
    <mergeCell ref="D198:D202"/>
    <mergeCell ref="E198:E202"/>
    <mergeCell ref="D203:D207"/>
    <mergeCell ref="E203:E207"/>
    <mergeCell ref="E208:E212"/>
    <mergeCell ref="E183:E187"/>
    <mergeCell ref="C188:C192"/>
    <mergeCell ref="D188:D192"/>
    <mergeCell ref="E188:E192"/>
    <mergeCell ref="I83:I87"/>
    <mergeCell ref="J83:J87"/>
    <mergeCell ref="K83:K87"/>
    <mergeCell ref="L83:L87"/>
    <mergeCell ref="M83:M87"/>
    <mergeCell ref="N83:N87"/>
    <mergeCell ref="O83:O87"/>
    <mergeCell ref="I233:I237"/>
    <mergeCell ref="J233:J237"/>
    <mergeCell ref="K233:K237"/>
    <mergeCell ref="L233:L237"/>
    <mergeCell ref="M233:M237"/>
    <mergeCell ref="N233:N237"/>
    <mergeCell ref="O233:O237"/>
    <mergeCell ref="I172:I176"/>
    <mergeCell ref="J172:J176"/>
    <mergeCell ref="K172:K176"/>
    <mergeCell ref="L172:L176"/>
    <mergeCell ref="M172:M176"/>
    <mergeCell ref="N172:N176"/>
    <mergeCell ref="O172:O176"/>
    <mergeCell ref="I111:I115"/>
    <mergeCell ref="J111:J115"/>
    <mergeCell ref="K111:K115"/>
    <mergeCell ref="P228:P232"/>
    <mergeCell ref="Q228:Q232"/>
    <mergeCell ref="I228:I232"/>
    <mergeCell ref="J228:J232"/>
    <mergeCell ref="K228:K232"/>
    <mergeCell ref="L228:L232"/>
    <mergeCell ref="M228:M232"/>
    <mergeCell ref="N228:N232"/>
    <mergeCell ref="O228:O232"/>
    <mergeCell ref="Q223:Q227"/>
    <mergeCell ref="P213:P217"/>
    <mergeCell ref="Q213:Q217"/>
    <mergeCell ref="P147:P151"/>
    <mergeCell ref="Q147:Q151"/>
    <mergeCell ref="I78:I82"/>
    <mergeCell ref="J78:J82"/>
    <mergeCell ref="K78:K82"/>
    <mergeCell ref="L78:L82"/>
    <mergeCell ref="M78:M82"/>
    <mergeCell ref="P83:P87"/>
    <mergeCell ref="Q83:Q87"/>
    <mergeCell ref="I223:I227"/>
    <mergeCell ref="J223:J227"/>
    <mergeCell ref="K223:K227"/>
    <mergeCell ref="L223:L227"/>
    <mergeCell ref="M223:M227"/>
    <mergeCell ref="N223:N227"/>
    <mergeCell ref="O223:O227"/>
    <mergeCell ref="P218:P222"/>
    <mergeCell ref="Q218:Q222"/>
    <mergeCell ref="I218:I222"/>
    <mergeCell ref="J218:J222"/>
    <mergeCell ref="K218:K222"/>
    <mergeCell ref="Q238:Q242"/>
    <mergeCell ref="I238:I242"/>
    <mergeCell ref="J238:J242"/>
    <mergeCell ref="K238:K242"/>
    <mergeCell ref="L238:L242"/>
    <mergeCell ref="M238:M242"/>
    <mergeCell ref="N238:N242"/>
    <mergeCell ref="O238:O242"/>
    <mergeCell ref="P233:P237"/>
    <mergeCell ref="Q233:Q237"/>
    <mergeCell ref="A6:B8"/>
    <mergeCell ref="I88:I94"/>
    <mergeCell ref="J88:J94"/>
    <mergeCell ref="K88:K94"/>
    <mergeCell ref="L88:L94"/>
    <mergeCell ref="M88:M94"/>
    <mergeCell ref="N88:N94"/>
    <mergeCell ref="O88:O94"/>
    <mergeCell ref="P238:P242"/>
    <mergeCell ref="P223:P227"/>
    <mergeCell ref="L218:L222"/>
    <mergeCell ref="M218:M222"/>
    <mergeCell ref="N218:N222"/>
    <mergeCell ref="O218:O222"/>
    <mergeCell ref="I213:I217"/>
    <mergeCell ref="J213:J217"/>
    <mergeCell ref="K213:K217"/>
    <mergeCell ref="L213:L217"/>
    <mergeCell ref="M213:M217"/>
    <mergeCell ref="N213:N217"/>
    <mergeCell ref="O213:O217"/>
    <mergeCell ref="C167:C171"/>
    <mergeCell ref="H203:H207"/>
    <mergeCell ref="F208:F212"/>
    <mergeCell ref="C6:D6"/>
    <mergeCell ref="E6:I6"/>
    <mergeCell ref="J6:R6"/>
    <mergeCell ref="S6:AF6"/>
    <mergeCell ref="L7:L8"/>
    <mergeCell ref="M7:O7"/>
    <mergeCell ref="R7:R8"/>
    <mergeCell ref="S7:Y7"/>
    <mergeCell ref="Z7:AB7"/>
    <mergeCell ref="AC7:AE7"/>
    <mergeCell ref="AF7:AF8"/>
    <mergeCell ref="C7:C8"/>
    <mergeCell ref="D7:D8"/>
    <mergeCell ref="E7:E8"/>
    <mergeCell ref="F7:F8"/>
    <mergeCell ref="G7:G8"/>
    <mergeCell ref="H7:H8"/>
    <mergeCell ref="I7:I8"/>
    <mergeCell ref="J7:J8"/>
    <mergeCell ref="K7:K8"/>
    <mergeCell ref="P7:P8"/>
    <mergeCell ref="Q7:Q8"/>
  </mergeCells>
  <dataValidations count="5">
    <dataValidation type="list" allowBlank="1" showInputMessage="1" showErrorMessage="1" prompt="Orientación: - Escoja un Lineamiento Estratégico de la lista despegable." sqref="F9 F96 F137 F178">
      <formula1>INDIRECT($E9)</formula1>
    </dataValidation>
    <dataValidation type="list" allowBlank="1" showInputMessage="1" showErrorMessage="1" prompt="Orientación: - Escoja un Eje Estratégico de la lista despegable." sqref="E9 E178 E183">
      <formula1>INDIRECT($G9)</formula1>
    </dataValidation>
    <dataValidation type="list" allowBlank="1" showErrorMessage="1" sqref="F14 F19 F24 F29 F34 F39 F47 F53 F58 F63 F68 F73 F78 F83 F88 F101 F106 F111 F116 F121 F126 F131 F142 F147 F152 F157 F162 F167 F172 F183 F188 F193 F198 F203 F208 F213 F218 F223 F228 F233 F238">
      <formula1>INDIRECT($E14)</formula1>
    </dataValidation>
    <dataValidation type="list" allowBlank="1" showErrorMessage="1" sqref="E14 E19 E24 E29 E34 E39 E47 E53 E58 E63 E68 E73 E78 E83 E88 E96 E101 E106 E111 E116 E121 E126 E131 E137 E142 E147 E152 E157 E162 E167 E172 E188 E193 E198 E203 E208 E213 E218 E223 E228 E233 E238">
      <formula1>INDIRECT($G14)</formula1>
    </dataValidation>
    <dataValidation type="decimal" allowBlank="1" showInputMessage="1" showErrorMessage="1" prompt="DPLAN - Sólo debe ingresar valores, NO porcentajes." sqref="M9:O9 M29:O29 M34:O34 M39:O39 M47:O47 M53:O53 M58:O58 M63:O63 M68:O68 M73:O73 M78:O78 M83:O83 M88:O88 M96:O96 M101:O101 M106:O106 M111:O111 M116:O116 M121:O121 M126:O126 M131:O131 M142:O142 M147:O147 M152:O152 M157:O157 M167:O167 M172:O172 M183:O183 M188:O188 M193:O193 M198:O198 M208:O208 M213:O213 M218:O218 M223:O223 M228:O228 M233:O233">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20230&amp;"-,Normal"&amp;10&amp;K000000
&amp;"Cambria,Cursiva"&amp;12&amp;K0070C0Dirección de Vinculación&amp;C&amp;"Century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prompt="Orientación: - Escoja un OEI de la lista despegable.">
          <x14:formula1>
            <xm:f>PEDI!#REF!</xm:f>
          </x14:formula1>
          <xm:sqref>G9 G137 G178</xm:sqref>
        </x14:dataValidation>
        <x14:dataValidation type="list" allowBlank="1" showInputMessage="1" showErrorMessage="1" prompt="Orientación: - Escoja una Estrategia DAFO de la lista despegable.">
          <x14:formula1>
            <xm:f>INDIRECT('Estrategias DAFO'!#REF!)</xm:f>
          </x14:formula1>
          <xm:sqref>I96 I137 I178</xm:sqref>
        </x14:dataValidation>
        <x14:dataValidation type="list" allowBlank="1" showInputMessage="1" showErrorMessage="1" prompt="Orientación: - Escoja una Política Pública/Meta Nacional de la lista despegable.">
          <x14:formula1>
            <xm:f>PND!#REF!</xm:f>
          </x14:formula1>
          <xm:sqref>D9 D96 D137 D178</xm:sqref>
        </x14:dataValidation>
        <x14:dataValidation type="list" allowBlank="1" showErrorMessage="1">
          <x14:formula1>
            <xm:f>INDIRECT('Estrategias DAFO'!#REF!)</xm:f>
          </x14:formula1>
          <xm:sqref>I14 I19 I24 I29 I34 I39 I47 I53 I58 I63 I68 I73 I78 I83 I88 I101 I106 I111 I116 I121 I126 I131 I142 I147 I152 I157 I162 I167 I172 I183 I188 I193 I198 I203 I208 I213 I218 I223 I228 I233 I238</xm:sqref>
        </x14:dataValidation>
        <x14:dataValidation type="list" allowBlank="1" showErrorMessage="1">
          <x14:formula1>
            <xm:f>PND!#REF!</xm:f>
          </x14:formula1>
          <xm:sqref>C14:D14 C19:D19 C24:D24 C29:D29 C34:D34 C39:D39 C47:D47 C53:D53 C58:D58 C63:D63 C68:D68 C73:D73 C78:D78 C83:D83 C88:D88 C101:D101 C106:D106 C111:D111 C116:D116 C121:D121 C126:D126 C131:D131 C142:D142 C147:D147 C152:D152 C157:D157 C162:D162 C167:D167 C172:D172 C183:D183 C188:D188 C193:D193 C198:D198 C203:D203 C208:D208 C213:D213 C218:D218 C223:D223 C228:D228 C233:D233 C238:D238</xm:sqref>
        </x14:dataValidation>
        <x14:dataValidation type="list" allowBlank="1" showErrorMessage="1">
          <x14:formula1>
            <xm:f>(PEDI!#REF!)</xm:f>
          </x14:formula1>
          <xm:sqref>H14 H19 H24 H29 H34 H39 H47 H53 H58 H63 H68 H73 H78 H83 H88 H101 H106 H111 H116 H121 H126 H131 H142 H147 H152 H157 H162 H167 H172 H183 H188 H193 H198 H203 H208 H213 H218 H223 H228 H233 H238</xm:sqref>
        </x14:dataValidation>
        <x14:dataValidation type="list" allowBlank="1" showInputMessage="1" showErrorMessage="1" prompt="Orientación: - Escoja un Objetivo Nacional de la lista despegable.">
          <x14:formula1>
            <xm:f>PND!#REF!</xm:f>
          </x14:formula1>
          <xm:sqref>C9 C96 C137 C178</xm:sqref>
        </x14:dataValidation>
        <x14:dataValidation type="list" allowBlank="1" showInputMessage="1" showErrorMessage="1" prompt="Orientación: - Escoja uns Estrategia DAFO de la lista despegable.">
          <x14:formula1>
            <xm:f>INDIRECT('Estrategias DAFO'!#REF!)</xm:f>
          </x14:formula1>
          <xm:sqref>I9</xm:sqref>
        </x14:dataValidation>
        <x14:dataValidation type="list" allowBlank="1" showErrorMessage="1">
          <x14:formula1>
            <xm:f>PEDI!#REF!</xm:f>
          </x14:formula1>
          <xm:sqref>G14 G19 G24 G29 G34 G39 G47 G53 G58 G63 G68 G73 G78 G83 G88 G96 G101 G106 G111 G116 G121 G126 G131 G142 G147 G152 G157 G162 G167 G172 G183 G188 G193 G198 G203 G208 G213 G218 G223 G228 G233 G238</xm:sqref>
        </x14:dataValidation>
        <x14:dataValidation type="list" allowBlank="1" showInputMessage="1" showErrorMessage="1" prompt="Orientación: - Escoja un Producto Institucional de la lista despegable.">
          <x14:formula1>
            <xm:f>(PEDI!#REF!)</xm:f>
          </x14:formula1>
          <xm:sqref>H9 H96 H137 H178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73"/>
  <sheetViews>
    <sheetView showGridLines="0" topLeftCell="R47" workbookViewId="0">
      <selection activeCell="AF73" sqref="AF73"/>
    </sheetView>
  </sheetViews>
  <sheetFormatPr baseColWidth="10" defaultColWidth="12.5703125" defaultRowHeight="15.75" customHeight="1"/>
  <cols>
    <col min="1" max="2" width="5" customWidth="1"/>
    <col min="3" max="3" width="28" customWidth="1"/>
    <col min="4" max="4" width="19.42578125" customWidth="1"/>
    <col min="5" max="9" width="22.42578125" customWidth="1"/>
    <col min="10" max="10" width="28.28515625" customWidth="1"/>
    <col min="11" max="11" width="24.5703125" customWidth="1"/>
    <col min="12" max="12" width="22.42578125" customWidth="1"/>
    <col min="13" max="15" width="8.7109375" customWidth="1"/>
    <col min="16" max="16" width="38.7109375" customWidth="1"/>
    <col min="17" max="17" width="22.42578125" customWidth="1"/>
    <col min="18" max="18" width="30.42578125" customWidth="1"/>
    <col min="19" max="19" width="27.85546875" customWidth="1"/>
    <col min="20" max="20" width="12.7109375" customWidth="1"/>
    <col min="21" max="21" width="29.140625" customWidth="1"/>
    <col min="22" max="22" width="45.28515625" customWidth="1"/>
    <col min="23" max="23" width="12.7109375" customWidth="1"/>
    <col min="24" max="27" width="12" customWidth="1"/>
    <col min="28" max="28" width="13.5703125" customWidth="1"/>
    <col min="29" max="31" width="7.7109375" customWidth="1"/>
    <col min="32" max="32" width="19.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254" t="s">
        <v>939</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68"/>
      <c r="B5" s="68"/>
      <c r="C5" s="68"/>
      <c r="D5" s="68"/>
      <c r="E5" s="68"/>
      <c r="F5" s="68"/>
      <c r="G5" s="68"/>
      <c r="H5" s="68"/>
      <c r="I5" s="68"/>
      <c r="J5" s="68"/>
      <c r="K5" s="68"/>
      <c r="L5" s="319"/>
      <c r="M5" s="153"/>
      <c r="N5" s="153"/>
      <c r="O5" s="153"/>
      <c r="P5" s="68"/>
      <c r="Q5" s="68"/>
      <c r="R5" s="68"/>
      <c r="S5" s="68"/>
      <c r="T5" s="68"/>
      <c r="U5" s="68"/>
      <c r="V5" s="68"/>
      <c r="W5" s="68"/>
      <c r="X5" s="68"/>
      <c r="Y5" s="68"/>
      <c r="Z5" s="68"/>
      <c r="AA5" s="68"/>
      <c r="AB5" s="68"/>
      <c r="AC5" s="68"/>
      <c r="AD5" s="68"/>
      <c r="AE5" s="68"/>
      <c r="AF5" s="68"/>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26.25" customHeight="1">
      <c r="A9" s="4871" t="s">
        <v>939</v>
      </c>
      <c r="B9" s="4872"/>
      <c r="C9" s="4837" t="s">
        <v>235</v>
      </c>
      <c r="D9" s="4840" t="s">
        <v>236</v>
      </c>
      <c r="E9" s="4840" t="s">
        <v>244</v>
      </c>
      <c r="F9" s="4840" t="s">
        <v>309</v>
      </c>
      <c r="G9" s="4841" t="s">
        <v>239</v>
      </c>
      <c r="H9" s="4840" t="s">
        <v>240</v>
      </c>
      <c r="I9" s="4860" t="s">
        <v>257</v>
      </c>
      <c r="J9" s="4829" t="s">
        <v>4765</v>
      </c>
      <c r="K9" s="4832" t="s">
        <v>4761</v>
      </c>
      <c r="L9" s="4829" t="s">
        <v>4760</v>
      </c>
      <c r="M9" s="4870">
        <v>2</v>
      </c>
      <c r="N9" s="4870">
        <v>1</v>
      </c>
      <c r="O9" s="4870">
        <v>1</v>
      </c>
      <c r="P9" s="4829" t="s">
        <v>4748</v>
      </c>
      <c r="Q9" s="4829" t="s">
        <v>4746</v>
      </c>
      <c r="R9" s="4842" t="s">
        <v>4741</v>
      </c>
      <c r="S9" s="3125" t="s">
        <v>39</v>
      </c>
      <c r="T9" s="2425">
        <v>840104</v>
      </c>
      <c r="U9" s="2425"/>
      <c r="V9" s="3126" t="s">
        <v>24</v>
      </c>
      <c r="W9" s="2427"/>
      <c r="X9" s="3127"/>
      <c r="Y9" s="3128"/>
      <c r="Z9" s="3128"/>
      <c r="AA9" s="3128"/>
      <c r="AB9" s="3129">
        <f>SUM($AA$10:$AA$12)</f>
        <v>22296.960000000003</v>
      </c>
      <c r="AC9" s="3127"/>
      <c r="AD9" s="3127"/>
      <c r="AE9" s="3127"/>
      <c r="AF9" s="4869"/>
    </row>
    <row r="10" spans="1:32" ht="33" customHeight="1">
      <c r="A10" s="4360"/>
      <c r="B10" s="4872"/>
      <c r="C10" s="4838"/>
      <c r="D10" s="4830"/>
      <c r="E10" s="4830"/>
      <c r="F10" s="4830"/>
      <c r="G10" s="4830"/>
      <c r="H10" s="4830"/>
      <c r="I10" s="4861"/>
      <c r="J10" s="4830"/>
      <c r="K10" s="4830"/>
      <c r="L10" s="4830"/>
      <c r="M10" s="4821"/>
      <c r="N10" s="4821"/>
      <c r="O10" s="4821"/>
      <c r="P10" s="4824"/>
      <c r="Q10" s="4824"/>
      <c r="R10" s="4827"/>
      <c r="S10" s="3130"/>
      <c r="T10" s="3174"/>
      <c r="U10" s="3175">
        <v>473310516</v>
      </c>
      <c r="V10" s="3131" t="s">
        <v>940</v>
      </c>
      <c r="W10" s="2433">
        <v>7</v>
      </c>
      <c r="X10" s="1825" t="s">
        <v>269</v>
      </c>
      <c r="Y10" s="3132">
        <v>2844</v>
      </c>
      <c r="Z10" s="3132">
        <f>+Y10*W10</f>
        <v>19908</v>
      </c>
      <c r="AA10" s="3133">
        <f>Z10*1.12</f>
        <v>22296.960000000003</v>
      </c>
      <c r="AB10" s="3134"/>
      <c r="AC10" s="1825"/>
      <c r="AD10" s="1825" t="s">
        <v>251</v>
      </c>
      <c r="AE10" s="1825"/>
      <c r="AF10" s="4852"/>
    </row>
    <row r="11" spans="1:32" ht="26.25" customHeight="1">
      <c r="A11" s="4360"/>
      <c r="B11" s="4872"/>
      <c r="C11" s="4838"/>
      <c r="D11" s="4830"/>
      <c r="E11" s="4830"/>
      <c r="F11" s="4830"/>
      <c r="G11" s="4830"/>
      <c r="H11" s="4830"/>
      <c r="I11" s="4861"/>
      <c r="J11" s="4830"/>
      <c r="K11" s="4830"/>
      <c r="L11" s="4830"/>
      <c r="M11" s="4821"/>
      <c r="N11" s="4821"/>
      <c r="O11" s="4821"/>
      <c r="P11" s="4824"/>
      <c r="Q11" s="4824"/>
      <c r="R11" s="4827"/>
      <c r="S11" s="3130"/>
      <c r="T11" s="1850"/>
      <c r="U11" s="1850"/>
      <c r="V11" s="3135"/>
      <c r="W11" s="2433"/>
      <c r="X11" s="1825"/>
      <c r="Y11" s="3132"/>
      <c r="Z11" s="3132"/>
      <c r="AA11" s="3133"/>
      <c r="AB11" s="3136"/>
      <c r="AC11" s="1825"/>
      <c r="AD11" s="1825"/>
      <c r="AE11" s="1825"/>
      <c r="AF11" s="4852"/>
    </row>
    <row r="12" spans="1:32" ht="26.25" customHeight="1">
      <c r="A12" s="4360"/>
      <c r="B12" s="4872"/>
      <c r="C12" s="4838"/>
      <c r="D12" s="4830"/>
      <c r="E12" s="4830"/>
      <c r="F12" s="4830"/>
      <c r="G12" s="4830"/>
      <c r="H12" s="4830"/>
      <c r="I12" s="4861"/>
      <c r="J12" s="4830"/>
      <c r="K12" s="4830"/>
      <c r="L12" s="4830"/>
      <c r="M12" s="4821"/>
      <c r="N12" s="4821"/>
      <c r="O12" s="4821"/>
      <c r="P12" s="4824"/>
      <c r="Q12" s="4824"/>
      <c r="R12" s="4827"/>
      <c r="S12" s="3130"/>
      <c r="T12" s="1850"/>
      <c r="U12" s="1850"/>
      <c r="V12" s="3135"/>
      <c r="W12" s="2433"/>
      <c r="X12" s="1825"/>
      <c r="Y12" s="3132"/>
      <c r="Z12" s="3132"/>
      <c r="AA12" s="3133"/>
      <c r="AB12" s="3136"/>
      <c r="AC12" s="1825"/>
      <c r="AD12" s="1825"/>
      <c r="AE12" s="1825"/>
      <c r="AF12" s="4852"/>
    </row>
    <row r="13" spans="1:32" ht="26.25" customHeight="1">
      <c r="A13" s="4360"/>
      <c r="B13" s="4872"/>
      <c r="C13" s="4839"/>
      <c r="D13" s="4831"/>
      <c r="E13" s="4831"/>
      <c r="F13" s="4831"/>
      <c r="G13" s="4831"/>
      <c r="H13" s="4831"/>
      <c r="I13" s="4862"/>
      <c r="J13" s="4831"/>
      <c r="K13" s="4831"/>
      <c r="L13" s="4831"/>
      <c r="M13" s="4834"/>
      <c r="N13" s="4834"/>
      <c r="O13" s="4834"/>
      <c r="P13" s="4836"/>
      <c r="Q13" s="4836"/>
      <c r="R13" s="4827"/>
      <c r="S13" s="3154"/>
      <c r="T13" s="3176"/>
      <c r="U13" s="3177"/>
      <c r="V13" s="3156"/>
      <c r="W13" s="3157"/>
      <c r="X13" s="3158"/>
      <c r="Y13" s="3159"/>
      <c r="Z13" s="3159"/>
      <c r="AA13" s="3159"/>
      <c r="AB13" s="3160"/>
      <c r="AC13" s="3155"/>
      <c r="AD13" s="3161"/>
      <c r="AE13" s="3161"/>
      <c r="AF13" s="4855"/>
    </row>
    <row r="14" spans="1:32" ht="23.25" customHeight="1">
      <c r="A14" s="4360"/>
      <c r="B14" s="4872"/>
      <c r="C14" s="4873" t="s">
        <v>272</v>
      </c>
      <c r="D14" s="4843" t="s">
        <v>302</v>
      </c>
      <c r="E14" s="4843" t="s">
        <v>303</v>
      </c>
      <c r="F14" s="4843" t="s">
        <v>318</v>
      </c>
      <c r="G14" s="4847" t="s">
        <v>305</v>
      </c>
      <c r="H14" s="4843" t="s">
        <v>306</v>
      </c>
      <c r="I14" s="4843" t="s">
        <v>241</v>
      </c>
      <c r="J14" s="4823" t="s">
        <v>4766</v>
      </c>
      <c r="K14" s="4865" t="s">
        <v>941</v>
      </c>
      <c r="L14" s="4849" t="s">
        <v>942</v>
      </c>
      <c r="M14" s="4820">
        <v>2</v>
      </c>
      <c r="N14" s="4820">
        <v>1</v>
      </c>
      <c r="O14" s="4820">
        <v>1</v>
      </c>
      <c r="P14" s="4823" t="s">
        <v>4749</v>
      </c>
      <c r="Q14" s="4823" t="s">
        <v>4747</v>
      </c>
      <c r="R14" s="4826" t="s">
        <v>4741</v>
      </c>
      <c r="S14" s="3162"/>
      <c r="T14" s="3178">
        <v>840107</v>
      </c>
      <c r="U14" s="2466"/>
      <c r="V14" s="2975" t="s">
        <v>20</v>
      </c>
      <c r="W14" s="2468"/>
      <c r="X14" s="3163"/>
      <c r="Y14" s="3164"/>
      <c r="Z14" s="3164"/>
      <c r="AA14" s="3164"/>
      <c r="AB14" s="3165">
        <f>$AA$15</f>
        <v>0</v>
      </c>
      <c r="AC14" s="3163"/>
      <c r="AD14" s="3166"/>
      <c r="AE14" s="3166"/>
      <c r="AF14" s="4851" t="s">
        <v>4739</v>
      </c>
    </row>
    <row r="15" spans="1:32" ht="39" customHeight="1">
      <c r="A15" s="4360"/>
      <c r="B15" s="4872"/>
      <c r="C15" s="4838"/>
      <c r="D15" s="4830"/>
      <c r="E15" s="4830"/>
      <c r="F15" s="4830"/>
      <c r="G15" s="4830"/>
      <c r="H15" s="4830"/>
      <c r="I15" s="4830"/>
      <c r="J15" s="4830"/>
      <c r="K15" s="4830"/>
      <c r="L15" s="4830"/>
      <c r="M15" s="4821"/>
      <c r="N15" s="4821"/>
      <c r="O15" s="4821"/>
      <c r="P15" s="4824"/>
      <c r="Q15" s="4824"/>
      <c r="R15" s="4827"/>
      <c r="S15" s="3130"/>
      <c r="T15" s="3179"/>
      <c r="U15" s="3175">
        <v>452200071</v>
      </c>
      <c r="V15" s="3131" t="s">
        <v>943</v>
      </c>
      <c r="W15" s="2433"/>
      <c r="X15" s="1825" t="s">
        <v>269</v>
      </c>
      <c r="Y15" s="3132">
        <v>1250</v>
      </c>
      <c r="Z15" s="3132">
        <f>+W15*Y15</f>
        <v>0</v>
      </c>
      <c r="AA15" s="3132">
        <f>+Z15*1.12</f>
        <v>0</v>
      </c>
      <c r="AB15" s="3136"/>
      <c r="AC15" s="1825"/>
      <c r="AD15" s="1826"/>
      <c r="AE15" s="1826"/>
      <c r="AF15" s="4852"/>
    </row>
    <row r="16" spans="1:32" ht="23.25" customHeight="1">
      <c r="A16" s="4360"/>
      <c r="B16" s="4872"/>
      <c r="C16" s="4838"/>
      <c r="D16" s="4830"/>
      <c r="E16" s="4830"/>
      <c r="F16" s="4830"/>
      <c r="G16" s="4830"/>
      <c r="H16" s="4830"/>
      <c r="I16" s="4830"/>
      <c r="J16" s="4830"/>
      <c r="K16" s="4830"/>
      <c r="L16" s="4830"/>
      <c r="M16" s="4821"/>
      <c r="N16" s="4821"/>
      <c r="O16" s="4821"/>
      <c r="P16" s="4824"/>
      <c r="Q16" s="4824"/>
      <c r="R16" s="4827"/>
      <c r="S16" s="3130"/>
      <c r="T16" s="3180"/>
      <c r="U16" s="1850"/>
      <c r="V16" s="3137"/>
      <c r="W16" s="2433"/>
      <c r="X16" s="1825"/>
      <c r="Y16" s="3132"/>
      <c r="Z16" s="3132"/>
      <c r="AA16" s="3132"/>
      <c r="AB16" s="3136"/>
      <c r="AC16" s="1825"/>
      <c r="AD16" s="1826"/>
      <c r="AE16" s="1826"/>
      <c r="AF16" s="4852"/>
    </row>
    <row r="17" spans="1:32" ht="23.25" customHeight="1">
      <c r="A17" s="4360"/>
      <c r="B17" s="4872"/>
      <c r="C17" s="4838"/>
      <c r="D17" s="4830"/>
      <c r="E17" s="4830"/>
      <c r="F17" s="4830"/>
      <c r="G17" s="4830"/>
      <c r="H17" s="4830"/>
      <c r="I17" s="4830"/>
      <c r="J17" s="4830"/>
      <c r="K17" s="4830"/>
      <c r="L17" s="4830"/>
      <c r="M17" s="4821"/>
      <c r="N17" s="4821"/>
      <c r="O17" s="4821"/>
      <c r="P17" s="4824"/>
      <c r="Q17" s="4824"/>
      <c r="R17" s="4827"/>
      <c r="S17" s="3130"/>
      <c r="T17" s="3179"/>
      <c r="U17" s="3175"/>
      <c r="V17" s="3131"/>
      <c r="W17" s="2433"/>
      <c r="X17" s="1825"/>
      <c r="Y17" s="3132"/>
      <c r="Z17" s="3132"/>
      <c r="AA17" s="3132"/>
      <c r="AB17" s="3136"/>
      <c r="AC17" s="1825"/>
      <c r="AD17" s="1826"/>
      <c r="AE17" s="1826"/>
      <c r="AF17" s="4852"/>
    </row>
    <row r="18" spans="1:32" ht="23.25" customHeight="1">
      <c r="A18" s="4360"/>
      <c r="B18" s="4872"/>
      <c r="C18" s="4874"/>
      <c r="D18" s="4844"/>
      <c r="E18" s="4844"/>
      <c r="F18" s="4844"/>
      <c r="G18" s="4844"/>
      <c r="H18" s="4844"/>
      <c r="I18" s="4844"/>
      <c r="J18" s="4844"/>
      <c r="K18" s="4844"/>
      <c r="L18" s="4844"/>
      <c r="M18" s="4822"/>
      <c r="N18" s="4822"/>
      <c r="O18" s="4822"/>
      <c r="P18" s="4825"/>
      <c r="Q18" s="4825"/>
      <c r="R18" s="4828"/>
      <c r="S18" s="3148"/>
      <c r="T18" s="3181"/>
      <c r="U18" s="2481"/>
      <c r="V18" s="3149"/>
      <c r="W18" s="2483"/>
      <c r="X18" s="3150"/>
      <c r="Y18" s="3151"/>
      <c r="Z18" s="3151"/>
      <c r="AA18" s="3151"/>
      <c r="AB18" s="3152"/>
      <c r="AC18" s="3150"/>
      <c r="AD18" s="3153"/>
      <c r="AE18" s="3153"/>
      <c r="AF18" s="4853"/>
    </row>
    <row r="19" spans="1:32" ht="27.75" customHeight="1">
      <c r="A19" s="4360"/>
      <c r="B19" s="4872"/>
      <c r="C19" s="4837" t="s">
        <v>235</v>
      </c>
      <c r="D19" s="4840" t="s">
        <v>236</v>
      </c>
      <c r="E19" s="4840" t="s">
        <v>388</v>
      </c>
      <c r="F19" s="4840" t="s">
        <v>944</v>
      </c>
      <c r="G19" s="4841" t="s">
        <v>305</v>
      </c>
      <c r="H19" s="4840" t="s">
        <v>306</v>
      </c>
      <c r="I19" s="4840" t="s">
        <v>241</v>
      </c>
      <c r="J19" s="4829" t="s">
        <v>4767</v>
      </c>
      <c r="K19" s="4863" t="s">
        <v>4762</v>
      </c>
      <c r="L19" s="4863" t="s">
        <v>4759</v>
      </c>
      <c r="M19" s="4833">
        <v>0</v>
      </c>
      <c r="N19" s="4835">
        <v>1</v>
      </c>
      <c r="O19" s="4833">
        <v>0</v>
      </c>
      <c r="P19" s="4864" t="s">
        <v>4750</v>
      </c>
      <c r="Q19" s="4829" t="s">
        <v>4745</v>
      </c>
      <c r="R19" s="4842" t="s">
        <v>4741</v>
      </c>
      <c r="S19" s="3142" t="s">
        <v>39</v>
      </c>
      <c r="T19" s="2474">
        <v>530612</v>
      </c>
      <c r="U19" s="2474"/>
      <c r="V19" s="3143" t="s">
        <v>66</v>
      </c>
      <c r="W19" s="2976"/>
      <c r="X19" s="3144"/>
      <c r="Y19" s="3145"/>
      <c r="Z19" s="3145"/>
      <c r="AA19" s="3145"/>
      <c r="AB19" s="3146">
        <f>SUM($AA$20)</f>
        <v>22400.000000000004</v>
      </c>
      <c r="AC19" s="3144"/>
      <c r="AD19" s="3147"/>
      <c r="AE19" s="3147"/>
      <c r="AF19" s="4854"/>
    </row>
    <row r="20" spans="1:32" ht="27.75" customHeight="1">
      <c r="A20" s="4360"/>
      <c r="B20" s="4872"/>
      <c r="C20" s="4838"/>
      <c r="D20" s="4830"/>
      <c r="E20" s="4830"/>
      <c r="F20" s="4830"/>
      <c r="G20" s="4830"/>
      <c r="H20" s="4830"/>
      <c r="I20" s="4830"/>
      <c r="J20" s="4830"/>
      <c r="K20" s="4830"/>
      <c r="L20" s="4830"/>
      <c r="M20" s="4821"/>
      <c r="N20" s="4821"/>
      <c r="O20" s="4821"/>
      <c r="P20" s="4824"/>
      <c r="Q20" s="4824"/>
      <c r="R20" s="4827"/>
      <c r="S20" s="3130"/>
      <c r="T20" s="3182"/>
      <c r="U20" s="1848"/>
      <c r="V20" s="3131" t="s">
        <v>945</v>
      </c>
      <c r="W20" s="2433">
        <v>1</v>
      </c>
      <c r="X20" s="1825" t="s">
        <v>946</v>
      </c>
      <c r="Y20" s="3132">
        <v>20000</v>
      </c>
      <c r="Z20" s="3132">
        <f>+W20*Y20</f>
        <v>20000</v>
      </c>
      <c r="AA20" s="3132">
        <f>+Z20*1.12</f>
        <v>22400.000000000004</v>
      </c>
      <c r="AB20" s="3136"/>
      <c r="AC20" s="1825"/>
      <c r="AD20" s="1825" t="s">
        <v>251</v>
      </c>
      <c r="AE20" s="1826"/>
      <c r="AF20" s="4852"/>
    </row>
    <row r="21" spans="1:32" s="2971" customFormat="1" ht="27.75" customHeight="1">
      <c r="A21" s="4360"/>
      <c r="B21" s="4872"/>
      <c r="C21" s="4838"/>
      <c r="D21" s="4830"/>
      <c r="E21" s="4830"/>
      <c r="F21" s="4830"/>
      <c r="G21" s="4830"/>
      <c r="H21" s="4830"/>
      <c r="I21" s="4830"/>
      <c r="J21" s="4830"/>
      <c r="K21" s="4830"/>
      <c r="L21" s="4830"/>
      <c r="M21" s="4821"/>
      <c r="N21" s="4821"/>
      <c r="O21" s="4821"/>
      <c r="P21" s="4824"/>
      <c r="Q21" s="4824"/>
      <c r="R21" s="4827"/>
      <c r="S21" s="3130"/>
      <c r="T21" s="3182"/>
      <c r="U21" s="1848"/>
      <c r="V21" s="3131"/>
      <c r="W21" s="2433"/>
      <c r="X21" s="1825"/>
      <c r="Y21" s="3132"/>
      <c r="Z21" s="3132"/>
      <c r="AA21" s="3132"/>
      <c r="AB21" s="3136"/>
      <c r="AC21" s="1825"/>
      <c r="AD21" s="1825"/>
      <c r="AE21" s="1826"/>
      <c r="AF21" s="4852"/>
    </row>
    <row r="22" spans="1:32" ht="27.75" customHeight="1">
      <c r="A22" s="4360"/>
      <c r="B22" s="4872"/>
      <c r="C22" s="4838"/>
      <c r="D22" s="4830"/>
      <c r="E22" s="4830"/>
      <c r="F22" s="4830"/>
      <c r="G22" s="4830"/>
      <c r="H22" s="4830"/>
      <c r="I22" s="4830"/>
      <c r="J22" s="4830"/>
      <c r="K22" s="4830"/>
      <c r="L22" s="4830"/>
      <c r="M22" s="4821"/>
      <c r="N22" s="4821"/>
      <c r="O22" s="4821"/>
      <c r="P22" s="4824"/>
      <c r="Q22" s="4824"/>
      <c r="R22" s="4827"/>
      <c r="S22" s="3130"/>
      <c r="T22" s="3182"/>
      <c r="U22" s="1848"/>
      <c r="V22" s="3131"/>
      <c r="W22" s="2433"/>
      <c r="X22" s="1825"/>
      <c r="Y22" s="3132"/>
      <c r="Z22" s="3132"/>
      <c r="AA22" s="3132"/>
      <c r="AB22" s="3136"/>
      <c r="AC22" s="1825"/>
      <c r="AD22" s="1826"/>
      <c r="AE22" s="1826"/>
      <c r="AF22" s="4852"/>
    </row>
    <row r="23" spans="1:32" ht="27.75" customHeight="1">
      <c r="A23" s="4360"/>
      <c r="B23" s="4872"/>
      <c r="C23" s="4839"/>
      <c r="D23" s="4831"/>
      <c r="E23" s="4831"/>
      <c r="F23" s="4831"/>
      <c r="G23" s="4831"/>
      <c r="H23" s="4831"/>
      <c r="I23" s="4831"/>
      <c r="J23" s="4831"/>
      <c r="K23" s="4831"/>
      <c r="L23" s="4831"/>
      <c r="M23" s="4834"/>
      <c r="N23" s="4834"/>
      <c r="O23" s="4834"/>
      <c r="P23" s="4836"/>
      <c r="Q23" s="4836"/>
      <c r="R23" s="4827"/>
      <c r="S23" s="3154"/>
      <c r="T23" s="3183"/>
      <c r="U23" s="2495"/>
      <c r="V23" s="3167"/>
      <c r="W23" s="2460"/>
      <c r="X23" s="3155"/>
      <c r="Y23" s="3168"/>
      <c r="Z23" s="3168"/>
      <c r="AA23" s="3168"/>
      <c r="AB23" s="3160"/>
      <c r="AC23" s="3155"/>
      <c r="AD23" s="3161"/>
      <c r="AE23" s="3161"/>
      <c r="AF23" s="4855"/>
    </row>
    <row r="24" spans="1:32" ht="30.75" customHeight="1">
      <c r="A24" s="4360"/>
      <c r="B24" s="4872"/>
      <c r="C24" s="4873" t="s">
        <v>272</v>
      </c>
      <c r="D24" s="4843" t="s">
        <v>302</v>
      </c>
      <c r="E24" s="4843" t="s">
        <v>388</v>
      </c>
      <c r="F24" s="4843" t="s">
        <v>847</v>
      </c>
      <c r="G24" s="4847" t="s">
        <v>305</v>
      </c>
      <c r="H24" s="4843" t="s">
        <v>240</v>
      </c>
      <c r="I24" s="4843" t="s">
        <v>241</v>
      </c>
      <c r="J24" s="4866" t="s">
        <v>4768</v>
      </c>
      <c r="K24" s="4867" t="s">
        <v>4763</v>
      </c>
      <c r="L24" s="4823" t="s">
        <v>4758</v>
      </c>
      <c r="M24" s="4868">
        <v>0</v>
      </c>
      <c r="N24" s="4850">
        <v>1</v>
      </c>
      <c r="O24" s="4868">
        <v>0</v>
      </c>
      <c r="P24" s="4823" t="s">
        <v>4751</v>
      </c>
      <c r="Q24" s="4866" t="s">
        <v>4744</v>
      </c>
      <c r="R24" s="4826" t="s">
        <v>4741</v>
      </c>
      <c r="S24" s="3162"/>
      <c r="T24" s="2466"/>
      <c r="U24" s="2466"/>
      <c r="V24" s="3169"/>
      <c r="W24" s="2468"/>
      <c r="X24" s="3163"/>
      <c r="Y24" s="3170"/>
      <c r="Z24" s="3170"/>
      <c r="AA24" s="3170"/>
      <c r="AB24" s="3171"/>
      <c r="AC24" s="3163"/>
      <c r="AD24" s="3163"/>
      <c r="AE24" s="3163"/>
      <c r="AF24" s="4851"/>
    </row>
    <row r="25" spans="1:32" ht="30.75" customHeight="1">
      <c r="A25" s="4360"/>
      <c r="B25" s="4872"/>
      <c r="C25" s="4838"/>
      <c r="D25" s="4830"/>
      <c r="E25" s="4830"/>
      <c r="F25" s="4830"/>
      <c r="G25" s="4830"/>
      <c r="H25" s="4830"/>
      <c r="I25" s="4830"/>
      <c r="J25" s="4830"/>
      <c r="K25" s="4830"/>
      <c r="L25" s="4830"/>
      <c r="M25" s="4821"/>
      <c r="N25" s="4821"/>
      <c r="O25" s="4821"/>
      <c r="P25" s="4824"/>
      <c r="Q25" s="4824"/>
      <c r="R25" s="4827"/>
      <c r="S25" s="3130"/>
      <c r="T25" s="3174"/>
      <c r="U25" s="3175"/>
      <c r="V25" s="3131"/>
      <c r="W25" s="2433"/>
      <c r="X25" s="1825"/>
      <c r="Y25" s="3132"/>
      <c r="Z25" s="3132"/>
      <c r="AA25" s="3133"/>
      <c r="AB25" s="3134"/>
      <c r="AC25" s="1825"/>
      <c r="AD25" s="1825"/>
      <c r="AE25" s="1825"/>
      <c r="AF25" s="4852"/>
    </row>
    <row r="26" spans="1:32" ht="30.75" customHeight="1">
      <c r="A26" s="4360"/>
      <c r="B26" s="4872"/>
      <c r="C26" s="4838"/>
      <c r="D26" s="4830"/>
      <c r="E26" s="4830"/>
      <c r="F26" s="4830"/>
      <c r="G26" s="4830"/>
      <c r="H26" s="4830"/>
      <c r="I26" s="4830"/>
      <c r="J26" s="4830"/>
      <c r="K26" s="4830"/>
      <c r="L26" s="4830"/>
      <c r="M26" s="4821"/>
      <c r="N26" s="4821"/>
      <c r="O26" s="4821"/>
      <c r="P26" s="4824"/>
      <c r="Q26" s="4824"/>
      <c r="R26" s="4827"/>
      <c r="S26" s="3130"/>
      <c r="T26" s="1850"/>
      <c r="U26" s="1850"/>
      <c r="V26" s="3135"/>
      <c r="W26" s="2433"/>
      <c r="X26" s="1825"/>
      <c r="Y26" s="3132"/>
      <c r="Z26" s="3132"/>
      <c r="AA26" s="3133"/>
      <c r="AB26" s="3136"/>
      <c r="AC26" s="1825"/>
      <c r="AD26" s="1825"/>
      <c r="AE26" s="1825"/>
      <c r="AF26" s="4852"/>
    </row>
    <row r="27" spans="1:32" ht="30.75" customHeight="1">
      <c r="A27" s="4360"/>
      <c r="B27" s="4872"/>
      <c r="C27" s="4838"/>
      <c r="D27" s="4830"/>
      <c r="E27" s="4830"/>
      <c r="F27" s="4830"/>
      <c r="G27" s="4830"/>
      <c r="H27" s="4830"/>
      <c r="I27" s="4830"/>
      <c r="J27" s="4830"/>
      <c r="K27" s="4830"/>
      <c r="L27" s="4830"/>
      <c r="M27" s="4821"/>
      <c r="N27" s="4821"/>
      <c r="O27" s="4821"/>
      <c r="P27" s="4824"/>
      <c r="Q27" s="4824"/>
      <c r="R27" s="4827"/>
      <c r="S27" s="3130"/>
      <c r="T27" s="3182"/>
      <c r="U27" s="1848"/>
      <c r="V27" s="3131"/>
      <c r="W27" s="2433"/>
      <c r="X27" s="1825"/>
      <c r="Y27" s="3132"/>
      <c r="Z27" s="3132"/>
      <c r="AA27" s="3132"/>
      <c r="AB27" s="3136"/>
      <c r="AC27" s="1825"/>
      <c r="AD27" s="1825"/>
      <c r="AE27" s="1825"/>
      <c r="AF27" s="4852"/>
    </row>
    <row r="28" spans="1:32" ht="30.75" customHeight="1">
      <c r="A28" s="4360"/>
      <c r="B28" s="4872"/>
      <c r="C28" s="4874"/>
      <c r="D28" s="4844"/>
      <c r="E28" s="4844"/>
      <c r="F28" s="4844"/>
      <c r="G28" s="4844"/>
      <c r="H28" s="4844"/>
      <c r="I28" s="4844"/>
      <c r="J28" s="4844"/>
      <c r="K28" s="4844"/>
      <c r="L28" s="4844"/>
      <c r="M28" s="4822"/>
      <c r="N28" s="4822"/>
      <c r="O28" s="4822"/>
      <c r="P28" s="4825"/>
      <c r="Q28" s="4825"/>
      <c r="R28" s="4828"/>
      <c r="S28" s="3148"/>
      <c r="T28" s="3181"/>
      <c r="U28" s="2481"/>
      <c r="V28" s="3149"/>
      <c r="W28" s="2483"/>
      <c r="X28" s="3150"/>
      <c r="Y28" s="3151"/>
      <c r="Z28" s="3151"/>
      <c r="AA28" s="3151"/>
      <c r="AB28" s="3152"/>
      <c r="AC28" s="3150"/>
      <c r="AD28" s="3150"/>
      <c r="AE28" s="3150"/>
      <c r="AF28" s="4853"/>
    </row>
    <row r="29" spans="1:32" ht="43.5" customHeight="1">
      <c r="A29" s="4360"/>
      <c r="B29" s="4872"/>
      <c r="C29" s="4837" t="s">
        <v>272</v>
      </c>
      <c r="D29" s="4840" t="s">
        <v>302</v>
      </c>
      <c r="E29" s="4840" t="s">
        <v>237</v>
      </c>
      <c r="F29" s="4840" t="s">
        <v>289</v>
      </c>
      <c r="G29" s="4841" t="s">
        <v>239</v>
      </c>
      <c r="H29" s="4840" t="s">
        <v>293</v>
      </c>
      <c r="I29" s="4840" t="s">
        <v>278</v>
      </c>
      <c r="J29" s="4829" t="s">
        <v>4769</v>
      </c>
      <c r="K29" s="4832" t="s">
        <v>4764</v>
      </c>
      <c r="L29" s="4829" t="s">
        <v>4757</v>
      </c>
      <c r="M29" s="4833">
        <v>0</v>
      </c>
      <c r="N29" s="4835">
        <v>1</v>
      </c>
      <c r="O29" s="4833">
        <v>0</v>
      </c>
      <c r="P29" s="4829" t="s">
        <v>4752</v>
      </c>
      <c r="Q29" s="4829" t="s">
        <v>4743</v>
      </c>
      <c r="R29" s="4842" t="s">
        <v>4741</v>
      </c>
      <c r="S29" s="3142" t="s">
        <v>11</v>
      </c>
      <c r="T29" s="2474">
        <v>840103</v>
      </c>
      <c r="U29" s="2474"/>
      <c r="V29" s="3172" t="s">
        <v>22</v>
      </c>
      <c r="W29" s="2976"/>
      <c r="X29" s="3144"/>
      <c r="Y29" s="3145"/>
      <c r="Z29" s="3145"/>
      <c r="AA29" s="3145"/>
      <c r="AB29" s="3146">
        <f>SUM($AA$30:$AA$32)</f>
        <v>2338.3248000000003</v>
      </c>
      <c r="AC29" s="3144"/>
      <c r="AD29" s="3147"/>
      <c r="AE29" s="3147"/>
      <c r="AF29" s="4854" t="s">
        <v>4740</v>
      </c>
    </row>
    <row r="30" spans="1:32" ht="43.5" customHeight="1">
      <c r="A30" s="4360"/>
      <c r="B30" s="4872"/>
      <c r="C30" s="4838"/>
      <c r="D30" s="4830"/>
      <c r="E30" s="4830"/>
      <c r="F30" s="4830"/>
      <c r="G30" s="4830"/>
      <c r="H30" s="4830"/>
      <c r="I30" s="4830"/>
      <c r="J30" s="4830"/>
      <c r="K30" s="4830"/>
      <c r="L30" s="4830"/>
      <c r="M30" s="4821"/>
      <c r="N30" s="4821"/>
      <c r="O30" s="4821"/>
      <c r="P30" s="4824"/>
      <c r="Q30" s="4824"/>
      <c r="R30" s="4827"/>
      <c r="S30" s="3130"/>
      <c r="T30" s="1848"/>
      <c r="U30" s="1848">
        <v>381210017</v>
      </c>
      <c r="V30" s="3131" t="s">
        <v>947</v>
      </c>
      <c r="W30" s="2433">
        <v>1</v>
      </c>
      <c r="X30" s="1825" t="s">
        <v>269</v>
      </c>
      <c r="Y30" s="3132">
        <v>812.05</v>
      </c>
      <c r="Z30" s="3132">
        <f>+W30*Y30</f>
        <v>812.05</v>
      </c>
      <c r="AA30" s="3132">
        <f t="shared" ref="AA30:AA32" si="0">+Z30*1.12</f>
        <v>909.49599999999998</v>
      </c>
      <c r="AB30" s="3136"/>
      <c r="AC30" s="1825" t="s">
        <v>251</v>
      </c>
      <c r="AD30" s="1826"/>
      <c r="AE30" s="1826"/>
      <c r="AF30" s="4852"/>
    </row>
    <row r="31" spans="1:32" ht="43.5" customHeight="1">
      <c r="A31" s="4360"/>
      <c r="B31" s="4872"/>
      <c r="C31" s="4838"/>
      <c r="D31" s="4830"/>
      <c r="E31" s="4830"/>
      <c r="F31" s="4830"/>
      <c r="G31" s="4830"/>
      <c r="H31" s="4830"/>
      <c r="I31" s="4830"/>
      <c r="J31" s="4830"/>
      <c r="K31" s="4830"/>
      <c r="L31" s="4830"/>
      <c r="M31" s="4821"/>
      <c r="N31" s="4821"/>
      <c r="O31" s="4821"/>
      <c r="P31" s="4824"/>
      <c r="Q31" s="4824"/>
      <c r="R31" s="4827"/>
      <c r="S31" s="3130"/>
      <c r="T31" s="1848"/>
      <c r="U31" s="3175">
        <v>3811100001</v>
      </c>
      <c r="V31" s="3131" t="s">
        <v>948</v>
      </c>
      <c r="W31" s="2433">
        <v>1</v>
      </c>
      <c r="X31" s="1825" t="s">
        <v>269</v>
      </c>
      <c r="Y31" s="3132">
        <v>300</v>
      </c>
      <c r="Z31" s="3132">
        <f>+Y31*W31</f>
        <v>300</v>
      </c>
      <c r="AA31" s="3132">
        <f t="shared" si="0"/>
        <v>336.00000000000006</v>
      </c>
      <c r="AB31" s="3136"/>
      <c r="AC31" s="1825" t="s">
        <v>251</v>
      </c>
      <c r="AD31" s="1826"/>
      <c r="AE31" s="1826"/>
      <c r="AF31" s="4852"/>
    </row>
    <row r="32" spans="1:32" ht="43.5" customHeight="1">
      <c r="A32" s="4360"/>
      <c r="B32" s="4872"/>
      <c r="C32" s="4838"/>
      <c r="D32" s="4830"/>
      <c r="E32" s="4830"/>
      <c r="F32" s="4830"/>
      <c r="G32" s="4830"/>
      <c r="H32" s="4830"/>
      <c r="I32" s="4830"/>
      <c r="J32" s="4830"/>
      <c r="K32" s="4830"/>
      <c r="L32" s="4830"/>
      <c r="M32" s="4821"/>
      <c r="N32" s="4821"/>
      <c r="O32" s="4821"/>
      <c r="P32" s="4824"/>
      <c r="Q32" s="4824"/>
      <c r="R32" s="4827"/>
      <c r="S32" s="3130"/>
      <c r="T32" s="1848"/>
      <c r="U32" s="1848">
        <v>3811100001</v>
      </c>
      <c r="V32" s="3131" t="s">
        <v>949</v>
      </c>
      <c r="W32" s="2433">
        <v>2</v>
      </c>
      <c r="X32" s="1825" t="s">
        <v>269</v>
      </c>
      <c r="Y32" s="3132">
        <v>487.87</v>
      </c>
      <c r="Z32" s="3132">
        <f>+W32*Y32</f>
        <v>975.74</v>
      </c>
      <c r="AA32" s="3132">
        <f t="shared" si="0"/>
        <v>1092.8288</v>
      </c>
      <c r="AB32" s="3136"/>
      <c r="AC32" s="1825" t="s">
        <v>251</v>
      </c>
      <c r="AD32" s="1826"/>
      <c r="AE32" s="1826"/>
      <c r="AF32" s="4852"/>
    </row>
    <row r="33" spans="1:32" ht="43.5" customHeight="1">
      <c r="A33" s="4360"/>
      <c r="B33" s="4872"/>
      <c r="C33" s="4839"/>
      <c r="D33" s="4831"/>
      <c r="E33" s="4831"/>
      <c r="F33" s="4831"/>
      <c r="G33" s="4831"/>
      <c r="H33" s="4831"/>
      <c r="I33" s="4831"/>
      <c r="J33" s="4831"/>
      <c r="K33" s="4831"/>
      <c r="L33" s="4831"/>
      <c r="M33" s="4834"/>
      <c r="N33" s="4834"/>
      <c r="O33" s="4834"/>
      <c r="P33" s="4836"/>
      <c r="Q33" s="4836"/>
      <c r="R33" s="4827"/>
      <c r="S33" s="3154"/>
      <c r="T33" s="2495"/>
      <c r="U33" s="2495"/>
      <c r="V33" s="3167"/>
      <c r="W33" s="2460"/>
      <c r="X33" s="3155"/>
      <c r="Y33" s="3168"/>
      <c r="Z33" s="3168"/>
      <c r="AA33" s="3168"/>
      <c r="AB33" s="3160"/>
      <c r="AC33" s="3155"/>
      <c r="AD33" s="3161"/>
      <c r="AE33" s="3161"/>
      <c r="AF33" s="4855"/>
    </row>
    <row r="34" spans="1:32" ht="27" customHeight="1">
      <c r="A34" s="4360"/>
      <c r="B34" s="4872"/>
      <c r="C34" s="4873" t="s">
        <v>235</v>
      </c>
      <c r="D34" s="4843" t="s">
        <v>236</v>
      </c>
      <c r="E34" s="4843" t="s">
        <v>244</v>
      </c>
      <c r="F34" s="4843" t="s">
        <v>337</v>
      </c>
      <c r="G34" s="4847" t="s">
        <v>239</v>
      </c>
      <c r="H34" s="4843" t="s">
        <v>240</v>
      </c>
      <c r="I34" s="4843" t="s">
        <v>257</v>
      </c>
      <c r="J34" s="4848" t="s">
        <v>4770</v>
      </c>
      <c r="K34" s="4849" t="s">
        <v>338</v>
      </c>
      <c r="L34" s="4823" t="s">
        <v>4756</v>
      </c>
      <c r="M34" s="4820">
        <v>0</v>
      </c>
      <c r="N34" s="4850">
        <v>1</v>
      </c>
      <c r="O34" s="4820">
        <v>1</v>
      </c>
      <c r="P34" s="4823" t="s">
        <v>4753</v>
      </c>
      <c r="Q34" s="4823" t="s">
        <v>4742</v>
      </c>
      <c r="R34" s="4826" t="s">
        <v>4741</v>
      </c>
      <c r="S34" s="3162"/>
      <c r="T34" s="2466"/>
      <c r="U34" s="2466"/>
      <c r="V34" s="3169"/>
      <c r="W34" s="2468"/>
      <c r="X34" s="3163"/>
      <c r="Y34" s="3164"/>
      <c r="Z34" s="3164"/>
      <c r="AA34" s="3164"/>
      <c r="AB34" s="3165"/>
      <c r="AC34" s="3163"/>
      <c r="AD34" s="3166"/>
      <c r="AE34" s="3166"/>
      <c r="AF34" s="4851"/>
    </row>
    <row r="35" spans="1:32" ht="27" customHeight="1">
      <c r="A35" s="4360"/>
      <c r="B35" s="4872"/>
      <c r="C35" s="4838"/>
      <c r="D35" s="4830"/>
      <c r="E35" s="4830"/>
      <c r="F35" s="4830"/>
      <c r="G35" s="4830"/>
      <c r="H35" s="4830"/>
      <c r="I35" s="4830"/>
      <c r="J35" s="4830"/>
      <c r="K35" s="4830"/>
      <c r="L35" s="4830"/>
      <c r="M35" s="4821"/>
      <c r="N35" s="4821"/>
      <c r="O35" s="4821"/>
      <c r="P35" s="4824"/>
      <c r="Q35" s="4824"/>
      <c r="R35" s="4827"/>
      <c r="S35" s="3130"/>
      <c r="T35" s="1848"/>
      <c r="U35" s="1848"/>
      <c r="V35" s="3131"/>
      <c r="W35" s="2433"/>
      <c r="X35" s="1825"/>
      <c r="Y35" s="3132"/>
      <c r="Z35" s="3132"/>
      <c r="AA35" s="3132"/>
      <c r="AB35" s="3136"/>
      <c r="AC35" s="1825"/>
      <c r="AD35" s="1826"/>
      <c r="AE35" s="1826"/>
      <c r="AF35" s="4852"/>
    </row>
    <row r="36" spans="1:32" s="2971" customFormat="1" ht="27" customHeight="1">
      <c r="A36" s="4360"/>
      <c r="B36" s="4872"/>
      <c r="C36" s="4838"/>
      <c r="D36" s="4830"/>
      <c r="E36" s="4830"/>
      <c r="F36" s="4830"/>
      <c r="G36" s="4830"/>
      <c r="H36" s="4830"/>
      <c r="I36" s="4830"/>
      <c r="J36" s="4830"/>
      <c r="K36" s="4830"/>
      <c r="L36" s="4830"/>
      <c r="M36" s="4821"/>
      <c r="N36" s="4821"/>
      <c r="O36" s="4821"/>
      <c r="P36" s="4824"/>
      <c r="Q36" s="4824"/>
      <c r="R36" s="4827"/>
      <c r="S36" s="3130"/>
      <c r="T36" s="1848"/>
      <c r="U36" s="1848"/>
      <c r="V36" s="3131"/>
      <c r="W36" s="2433"/>
      <c r="X36" s="1825"/>
      <c r="Y36" s="3132"/>
      <c r="Z36" s="3132"/>
      <c r="AA36" s="3132"/>
      <c r="AB36" s="3136"/>
      <c r="AC36" s="1825"/>
      <c r="AD36" s="1826"/>
      <c r="AE36" s="1826"/>
      <c r="AF36" s="4852"/>
    </row>
    <row r="37" spans="1:32" ht="27" customHeight="1">
      <c r="A37" s="4360"/>
      <c r="B37" s="4872"/>
      <c r="C37" s="4838"/>
      <c r="D37" s="4830"/>
      <c r="E37" s="4830"/>
      <c r="F37" s="4830"/>
      <c r="G37" s="4830"/>
      <c r="H37" s="4830"/>
      <c r="I37" s="4830"/>
      <c r="J37" s="4830"/>
      <c r="K37" s="4830"/>
      <c r="L37" s="4830"/>
      <c r="M37" s="4821"/>
      <c r="N37" s="4821"/>
      <c r="O37" s="4821"/>
      <c r="P37" s="4824"/>
      <c r="Q37" s="4824"/>
      <c r="R37" s="4827"/>
      <c r="S37" s="3130"/>
      <c r="T37" s="1848"/>
      <c r="U37" s="1848"/>
      <c r="V37" s="3131"/>
      <c r="W37" s="2433"/>
      <c r="X37" s="1825"/>
      <c r="Y37" s="3132"/>
      <c r="Z37" s="3132"/>
      <c r="AA37" s="3132"/>
      <c r="AB37" s="3136"/>
      <c r="AC37" s="1825"/>
      <c r="AD37" s="1826"/>
      <c r="AE37" s="1826"/>
      <c r="AF37" s="4852"/>
    </row>
    <row r="38" spans="1:32" ht="27" customHeight="1">
      <c r="A38" s="4360"/>
      <c r="B38" s="4872"/>
      <c r="C38" s="4874"/>
      <c r="D38" s="4844"/>
      <c r="E38" s="4844"/>
      <c r="F38" s="4844"/>
      <c r="G38" s="4844"/>
      <c r="H38" s="4844"/>
      <c r="I38" s="4844"/>
      <c r="J38" s="4844"/>
      <c r="K38" s="4844"/>
      <c r="L38" s="4844"/>
      <c r="M38" s="4822"/>
      <c r="N38" s="4822"/>
      <c r="O38" s="4822"/>
      <c r="P38" s="4825"/>
      <c r="Q38" s="4825"/>
      <c r="R38" s="4828"/>
      <c r="S38" s="3148"/>
      <c r="T38" s="2481"/>
      <c r="U38" s="2481"/>
      <c r="V38" s="3149"/>
      <c r="W38" s="2483"/>
      <c r="X38" s="3150"/>
      <c r="Y38" s="3151"/>
      <c r="Z38" s="3151"/>
      <c r="AA38" s="3151"/>
      <c r="AB38" s="3152"/>
      <c r="AC38" s="3150"/>
      <c r="AD38" s="3153"/>
      <c r="AE38" s="3153"/>
      <c r="AF38" s="4853"/>
    </row>
    <row r="39" spans="1:32" ht="39.75" customHeight="1">
      <c r="A39" s="4360"/>
      <c r="B39" s="4872"/>
      <c r="C39" s="4837" t="s">
        <v>235</v>
      </c>
      <c r="D39" s="4840" t="s">
        <v>236</v>
      </c>
      <c r="E39" s="4840" t="s">
        <v>244</v>
      </c>
      <c r="F39" s="4840" t="s">
        <v>337</v>
      </c>
      <c r="G39" s="4841" t="s">
        <v>239</v>
      </c>
      <c r="H39" s="4840" t="s">
        <v>240</v>
      </c>
      <c r="I39" s="4840" t="s">
        <v>257</v>
      </c>
      <c r="J39" s="4829" t="s">
        <v>4510</v>
      </c>
      <c r="K39" s="4846" t="s">
        <v>707</v>
      </c>
      <c r="L39" s="4829" t="s">
        <v>4755</v>
      </c>
      <c r="M39" s="4835">
        <v>3</v>
      </c>
      <c r="N39" s="4835">
        <v>0</v>
      </c>
      <c r="O39" s="4835">
        <v>3</v>
      </c>
      <c r="P39" s="4829" t="s">
        <v>4754</v>
      </c>
      <c r="Q39" s="4829" t="s">
        <v>4252</v>
      </c>
      <c r="R39" s="4842" t="s">
        <v>4741</v>
      </c>
      <c r="S39" s="3142" t="s">
        <v>11</v>
      </c>
      <c r="T39" s="2474">
        <v>530811</v>
      </c>
      <c r="U39" s="2474"/>
      <c r="V39" s="3173" t="s">
        <v>83</v>
      </c>
      <c r="W39" s="2976"/>
      <c r="X39" s="3144"/>
      <c r="Y39" s="3145"/>
      <c r="Z39" s="3145"/>
      <c r="AA39" s="3145"/>
      <c r="AB39" s="3146">
        <f>SUM($AA$40:$AA$43)</f>
        <v>61.667200000000008</v>
      </c>
      <c r="AC39" s="3144"/>
      <c r="AD39" s="3147"/>
      <c r="AE39" s="3147"/>
      <c r="AF39" s="4854"/>
    </row>
    <row r="40" spans="1:32" ht="27.75" customHeight="1">
      <c r="A40" s="4360"/>
      <c r="B40" s="4872"/>
      <c r="C40" s="4838"/>
      <c r="D40" s="4830"/>
      <c r="E40" s="4830"/>
      <c r="F40" s="4830"/>
      <c r="G40" s="4830"/>
      <c r="H40" s="4830"/>
      <c r="I40" s="4830"/>
      <c r="J40" s="4830"/>
      <c r="K40" s="4830"/>
      <c r="L40" s="4830"/>
      <c r="M40" s="4821"/>
      <c r="N40" s="4821"/>
      <c r="O40" s="4821"/>
      <c r="P40" s="4824"/>
      <c r="Q40" s="4824"/>
      <c r="R40" s="4827"/>
      <c r="S40" s="3130"/>
      <c r="T40" s="1848"/>
      <c r="U40" s="1848">
        <v>452900031</v>
      </c>
      <c r="V40" s="3131" t="s">
        <v>950</v>
      </c>
      <c r="W40" s="2433">
        <v>1</v>
      </c>
      <c r="X40" s="1825" t="s">
        <v>269</v>
      </c>
      <c r="Y40" s="3132">
        <v>7.06</v>
      </c>
      <c r="Z40" s="3132">
        <f>+W40*Y40</f>
        <v>7.06</v>
      </c>
      <c r="AA40" s="3132">
        <f t="shared" ref="AA40:AA41" si="1">+Z40*1.12</f>
        <v>7.9072000000000005</v>
      </c>
      <c r="AB40" s="3136"/>
      <c r="AC40" s="1825"/>
      <c r="AD40" s="1825" t="s">
        <v>251</v>
      </c>
      <c r="AE40" s="1826"/>
      <c r="AF40" s="4852"/>
    </row>
    <row r="41" spans="1:32" ht="27.75" customHeight="1">
      <c r="A41" s="4360"/>
      <c r="B41" s="4872"/>
      <c r="C41" s="4838"/>
      <c r="D41" s="4830"/>
      <c r="E41" s="4830"/>
      <c r="F41" s="4830"/>
      <c r="G41" s="4830"/>
      <c r="H41" s="4830"/>
      <c r="I41" s="4830"/>
      <c r="J41" s="4830"/>
      <c r="K41" s="4830"/>
      <c r="L41" s="4830"/>
      <c r="M41" s="4821"/>
      <c r="N41" s="4821"/>
      <c r="O41" s="4821"/>
      <c r="P41" s="4824"/>
      <c r="Q41" s="4824"/>
      <c r="R41" s="4827"/>
      <c r="S41" s="3130"/>
      <c r="T41" s="1848"/>
      <c r="U41" s="1848">
        <v>4621206110</v>
      </c>
      <c r="V41" s="3131" t="s">
        <v>951</v>
      </c>
      <c r="W41" s="2433">
        <v>3</v>
      </c>
      <c r="X41" s="1825" t="s">
        <v>269</v>
      </c>
      <c r="Y41" s="3132">
        <v>16</v>
      </c>
      <c r="Z41" s="3132">
        <f>+Y41*W41</f>
        <v>48</v>
      </c>
      <c r="AA41" s="3132">
        <f t="shared" si="1"/>
        <v>53.760000000000005</v>
      </c>
      <c r="AB41" s="3136"/>
      <c r="AC41" s="1825"/>
      <c r="AD41" s="1825" t="s">
        <v>251</v>
      </c>
      <c r="AE41" s="1826"/>
      <c r="AF41" s="4852"/>
    </row>
    <row r="42" spans="1:32" s="2971" customFormat="1" ht="27.75" customHeight="1">
      <c r="A42" s="4360"/>
      <c r="B42" s="4872"/>
      <c r="C42" s="4838"/>
      <c r="D42" s="4830"/>
      <c r="E42" s="4830"/>
      <c r="F42" s="4830"/>
      <c r="G42" s="4830"/>
      <c r="H42" s="4830"/>
      <c r="I42" s="4830"/>
      <c r="J42" s="4830"/>
      <c r="K42" s="4830"/>
      <c r="L42" s="4830"/>
      <c r="M42" s="4821"/>
      <c r="N42" s="4821"/>
      <c r="O42" s="4821"/>
      <c r="P42" s="4824"/>
      <c r="Q42" s="4824"/>
      <c r="R42" s="4827"/>
      <c r="S42" s="3154"/>
      <c r="T42" s="2495"/>
      <c r="U42" s="2495"/>
      <c r="V42" s="3167"/>
      <c r="W42" s="2460"/>
      <c r="X42" s="3155"/>
      <c r="Y42" s="3168"/>
      <c r="Z42" s="3168"/>
      <c r="AA42" s="3168"/>
      <c r="AB42" s="3160"/>
      <c r="AC42" s="3155"/>
      <c r="AD42" s="3155"/>
      <c r="AE42" s="3161"/>
      <c r="AF42" s="4855"/>
    </row>
    <row r="43" spans="1:32" ht="27.75" customHeight="1">
      <c r="A43" s="4360"/>
      <c r="B43" s="4872"/>
      <c r="C43" s="4874"/>
      <c r="D43" s="4844"/>
      <c r="E43" s="4844"/>
      <c r="F43" s="4844"/>
      <c r="G43" s="4844"/>
      <c r="H43" s="4844"/>
      <c r="I43" s="4844"/>
      <c r="J43" s="4844"/>
      <c r="K43" s="4844"/>
      <c r="L43" s="4844"/>
      <c r="M43" s="4822"/>
      <c r="N43" s="4822"/>
      <c r="O43" s="4822"/>
      <c r="P43" s="4825"/>
      <c r="Q43" s="4825"/>
      <c r="R43" s="4845"/>
      <c r="S43" s="3138"/>
      <c r="T43" s="1851"/>
      <c r="U43" s="1851"/>
      <c r="V43" s="3139"/>
      <c r="W43" s="2520"/>
      <c r="X43" s="1832"/>
      <c r="Y43" s="3140"/>
      <c r="Z43" s="3140"/>
      <c r="AA43" s="3140"/>
      <c r="AB43" s="3141"/>
      <c r="AC43" s="1832"/>
      <c r="AD43" s="1833"/>
      <c r="AE43" s="1833"/>
      <c r="AF43" s="4856"/>
    </row>
    <row r="44" spans="1:32" ht="22.5" customHeight="1">
      <c r="A44" s="1924"/>
      <c r="B44" s="1925"/>
      <c r="C44" s="1926"/>
      <c r="D44" s="1926"/>
      <c r="E44" s="1926"/>
      <c r="F44" s="1926"/>
      <c r="G44" s="1926"/>
      <c r="H44" s="1926"/>
      <c r="I44" s="1926"/>
      <c r="J44" s="1926"/>
      <c r="K44" s="1926"/>
      <c r="L44" s="1927"/>
      <c r="M44" s="1928"/>
      <c r="N44" s="1928"/>
      <c r="O44" s="1928"/>
      <c r="P44" s="1926"/>
      <c r="Q44" s="1926"/>
      <c r="R44" s="1926"/>
      <c r="S44" s="4857" t="s">
        <v>709</v>
      </c>
      <c r="T44" s="4858"/>
      <c r="U44" s="4858"/>
      <c r="V44" s="4858"/>
      <c r="W44" s="4858"/>
      <c r="X44" s="4858"/>
      <c r="Y44" s="4858"/>
      <c r="Z44" s="4858"/>
      <c r="AA44" s="2186" t="s">
        <v>340</v>
      </c>
      <c r="AB44" s="2178">
        <f>SUM(AB9:AB43)</f>
        <v>47096.952000000012</v>
      </c>
      <c r="AC44" s="4859"/>
      <c r="AD44" s="4316"/>
      <c r="AE44" s="4316"/>
      <c r="AF44" s="4317"/>
    </row>
    <row r="45" spans="1:32" ht="17.25" thickTop="1">
      <c r="A45" s="25"/>
      <c r="B45" s="374"/>
      <c r="C45" s="342" t="s">
        <v>952</v>
      </c>
      <c r="D45" s="298"/>
      <c r="E45" s="298"/>
      <c r="F45" s="298"/>
      <c r="G45" s="298"/>
      <c r="H45" s="298"/>
      <c r="I45" s="298"/>
      <c r="J45" s="298"/>
      <c r="K45" s="298"/>
      <c r="L45" s="444"/>
      <c r="M45" s="445"/>
      <c r="N45" s="222"/>
      <c r="O45" s="445"/>
      <c r="P45" s="298"/>
      <c r="Q45" s="298"/>
      <c r="R45" s="298"/>
      <c r="S45" s="4388" t="s">
        <v>953</v>
      </c>
      <c r="T45" s="4150"/>
      <c r="U45" s="4150"/>
      <c r="V45" s="4150"/>
      <c r="W45" s="4150"/>
      <c r="X45" s="4150"/>
      <c r="Y45" s="4150"/>
      <c r="Z45" s="4150"/>
      <c r="AA45" s="4150"/>
      <c r="AB45" s="4150"/>
      <c r="AC45" s="4150"/>
      <c r="AD45" s="4150"/>
      <c r="AE45" s="4150"/>
      <c r="AF45" s="4150"/>
    </row>
    <row r="46" spans="1:32" ht="16.5" customHeight="1">
      <c r="A46" s="25"/>
      <c r="B46" s="374"/>
      <c r="C46" s="1917" t="s">
        <v>4737</v>
      </c>
      <c r="D46" s="298"/>
      <c r="E46" s="298"/>
      <c r="F46" s="298"/>
      <c r="G46" s="298"/>
      <c r="H46" s="298"/>
      <c r="I46" s="298"/>
      <c r="J46" s="298"/>
      <c r="K46" s="298"/>
      <c r="L46" s="444"/>
      <c r="M46" s="445"/>
      <c r="N46" s="222"/>
      <c r="O46" s="445"/>
      <c r="P46" s="298"/>
      <c r="Q46" s="298"/>
      <c r="R46" s="298"/>
      <c r="S46" s="398"/>
      <c r="T46" s="3"/>
      <c r="U46" s="1884"/>
      <c r="V46" s="1884"/>
      <c r="W46" s="1884"/>
      <c r="X46" s="1884"/>
      <c r="Y46" s="1884"/>
      <c r="Z46" s="1884"/>
      <c r="AA46" s="4389"/>
      <c r="AB46" s="4150"/>
      <c r="AC46" s="25"/>
      <c r="AD46" s="25"/>
      <c r="AE46" s="25"/>
    </row>
    <row r="47" spans="1:32" ht="18.75">
      <c r="A47" s="25"/>
      <c r="B47" s="25"/>
      <c r="C47" s="298"/>
      <c r="D47" s="298"/>
      <c r="E47" s="298"/>
      <c r="F47" s="298"/>
      <c r="G47" s="298"/>
      <c r="H47" s="298"/>
      <c r="I47" s="298"/>
      <c r="J47" s="298"/>
      <c r="K47" s="298"/>
      <c r="L47" s="444"/>
      <c r="M47" s="445"/>
      <c r="N47" s="222"/>
      <c r="O47" s="445"/>
      <c r="P47" s="298"/>
      <c r="Q47" s="298"/>
      <c r="R47" s="298"/>
      <c r="S47" s="398"/>
      <c r="U47" s="4222" t="s">
        <v>343</v>
      </c>
      <c r="V47" s="4223"/>
      <c r="W47" s="4223"/>
      <c r="X47" s="4223"/>
      <c r="Y47" s="4223"/>
      <c r="Z47" s="4223"/>
      <c r="AA47" s="225"/>
      <c r="AB47" s="225"/>
      <c r="AC47" s="25"/>
      <c r="AD47" s="25"/>
      <c r="AE47" s="25"/>
    </row>
    <row r="48" spans="1:32" ht="16.5" customHeight="1" thickBot="1">
      <c r="A48" s="25"/>
      <c r="B48" s="25"/>
      <c r="C48" s="298"/>
      <c r="D48" s="298"/>
      <c r="E48" s="298"/>
      <c r="F48" s="298"/>
      <c r="G48" s="298"/>
      <c r="H48" s="298"/>
      <c r="I48" s="298"/>
      <c r="J48" s="298"/>
      <c r="K48" s="298"/>
      <c r="L48" s="444"/>
      <c r="M48" s="445"/>
      <c r="N48" s="222"/>
      <c r="O48" s="445"/>
      <c r="P48" s="298"/>
      <c r="Q48" s="298"/>
      <c r="R48" s="298"/>
      <c r="S48" s="14"/>
      <c r="T48" s="131"/>
      <c r="U48" s="131"/>
      <c r="V48" s="131"/>
      <c r="W48" s="429"/>
      <c r="X48" s="190"/>
      <c r="Y48" s="131"/>
      <c r="Z48" s="131"/>
      <c r="AA48" s="227"/>
      <c r="AB48" s="227"/>
      <c r="AC48" s="25"/>
      <c r="AD48" s="25"/>
      <c r="AE48" s="25"/>
    </row>
    <row r="49" spans="1:31" ht="16.5" customHeight="1" thickTop="1">
      <c r="A49" s="25"/>
      <c r="B49" s="25"/>
      <c r="C49" s="298"/>
      <c r="D49" s="298"/>
      <c r="E49" s="298"/>
      <c r="F49" s="298"/>
      <c r="G49" s="298"/>
      <c r="H49" s="298"/>
      <c r="I49" s="298"/>
      <c r="J49" s="298"/>
      <c r="K49" s="298"/>
      <c r="L49" s="444"/>
      <c r="M49" s="445"/>
      <c r="N49" s="222"/>
      <c r="O49" s="445"/>
      <c r="P49" s="446"/>
      <c r="U49" s="2238" t="s">
        <v>4</v>
      </c>
      <c r="V49" s="2239" t="s">
        <v>344</v>
      </c>
      <c r="W49" s="2265" t="s">
        <v>6</v>
      </c>
      <c r="X49" s="2241" t="s">
        <v>345</v>
      </c>
      <c r="Y49" s="2241" t="s">
        <v>8</v>
      </c>
      <c r="Z49" s="2242" t="s">
        <v>346</v>
      </c>
      <c r="AA49" s="228"/>
      <c r="AB49" s="229"/>
      <c r="AC49" s="25"/>
      <c r="AD49" s="25"/>
      <c r="AE49" s="25"/>
    </row>
    <row r="50" spans="1:31" ht="33">
      <c r="A50" s="25"/>
      <c r="B50" s="25"/>
      <c r="C50" s="298"/>
      <c r="D50" s="298"/>
      <c r="E50" s="298"/>
      <c r="F50" s="298"/>
      <c r="G50" s="298"/>
      <c r="H50" s="298"/>
      <c r="I50" s="298"/>
      <c r="J50" s="298"/>
      <c r="K50" s="298"/>
      <c r="L50" s="444"/>
      <c r="M50" s="445"/>
      <c r="N50" s="222"/>
      <c r="O50" s="445"/>
      <c r="P50" s="446"/>
      <c r="U50" s="2254" t="s">
        <v>39</v>
      </c>
      <c r="V50" s="2255" t="s">
        <v>66</v>
      </c>
      <c r="W50" s="139">
        <v>530612</v>
      </c>
      <c r="X50" s="137" t="s">
        <v>13</v>
      </c>
      <c r="Y50" s="1568" t="s">
        <v>14</v>
      </c>
      <c r="Z50" s="299">
        <f>SUM($AA$20)</f>
        <v>22400.000000000004</v>
      </c>
      <c r="AA50" s="228"/>
      <c r="AB50" s="229"/>
      <c r="AC50" s="25"/>
      <c r="AD50" s="25"/>
      <c r="AE50" s="25"/>
    </row>
    <row r="51" spans="1:31" ht="56.25" customHeight="1">
      <c r="A51" s="25"/>
      <c r="B51" s="25"/>
      <c r="C51" s="298"/>
      <c r="D51" s="298"/>
      <c r="E51" s="298"/>
      <c r="F51" s="298"/>
      <c r="G51" s="298"/>
      <c r="H51" s="298"/>
      <c r="I51" s="298"/>
      <c r="J51" s="298"/>
      <c r="K51" s="298"/>
      <c r="L51" s="444"/>
      <c r="M51" s="445"/>
      <c r="N51" s="222"/>
      <c r="O51" s="445"/>
      <c r="P51" s="446"/>
      <c r="U51" s="2254" t="s">
        <v>11</v>
      </c>
      <c r="V51" s="2253" t="s">
        <v>83</v>
      </c>
      <c r="W51" s="139">
        <v>530811</v>
      </c>
      <c r="X51" s="137" t="s">
        <v>13</v>
      </c>
      <c r="Y51" s="1568" t="s">
        <v>14</v>
      </c>
      <c r="Z51" s="299">
        <f>SUM($AA$40:$AA$43)</f>
        <v>61.667200000000008</v>
      </c>
      <c r="AA51" s="228"/>
      <c r="AB51" s="229"/>
      <c r="AC51" s="25"/>
      <c r="AD51" s="25"/>
      <c r="AE51" s="25"/>
    </row>
    <row r="52" spans="1:31" ht="16.5">
      <c r="A52" s="25"/>
      <c r="B52" s="25"/>
      <c r="C52" s="298"/>
      <c r="D52" s="298"/>
      <c r="E52" s="298"/>
      <c r="F52" s="298"/>
      <c r="G52" s="298"/>
      <c r="H52" s="298"/>
      <c r="I52" s="298"/>
      <c r="J52" s="298"/>
      <c r="K52" s="298"/>
      <c r="L52" s="444"/>
      <c r="M52" s="445"/>
      <c r="N52" s="222"/>
      <c r="O52" s="445"/>
      <c r="P52" s="446"/>
      <c r="U52" s="2254" t="s">
        <v>11</v>
      </c>
      <c r="V52" s="2253" t="s">
        <v>22</v>
      </c>
      <c r="W52" s="139">
        <v>840103</v>
      </c>
      <c r="X52" s="137" t="s">
        <v>13</v>
      </c>
      <c r="Y52" s="1570" t="s">
        <v>14</v>
      </c>
      <c r="Z52" s="299">
        <f>SUM($AA$30:$AA$32)</f>
        <v>2338.3248000000003</v>
      </c>
      <c r="AA52" s="228"/>
      <c r="AB52" s="229"/>
      <c r="AC52" s="25"/>
      <c r="AD52" s="25"/>
      <c r="AE52" s="25"/>
    </row>
    <row r="53" spans="1:31" ht="33">
      <c r="A53" s="25"/>
      <c r="B53" s="25"/>
      <c r="C53" s="298"/>
      <c r="D53" s="298"/>
      <c r="E53" s="298"/>
      <c r="F53" s="298"/>
      <c r="G53" s="298"/>
      <c r="H53" s="298"/>
      <c r="I53" s="298"/>
      <c r="J53" s="298"/>
      <c r="K53" s="298"/>
      <c r="L53" s="444"/>
      <c r="M53" s="445"/>
      <c r="N53" s="222"/>
      <c r="O53" s="445"/>
      <c r="P53" s="298"/>
      <c r="Q53" s="298"/>
      <c r="R53" s="298"/>
      <c r="S53" s="398"/>
      <c r="U53" s="2254" t="s">
        <v>39</v>
      </c>
      <c r="V53" s="2253" t="s">
        <v>24</v>
      </c>
      <c r="W53" s="139">
        <v>840104</v>
      </c>
      <c r="X53" s="137" t="s">
        <v>13</v>
      </c>
      <c r="Y53" s="1569" t="s">
        <v>14</v>
      </c>
      <c r="Z53" s="2382">
        <f>SUM($AA$10:$AA$12)</f>
        <v>22296.960000000003</v>
      </c>
      <c r="AA53" s="298"/>
      <c r="AB53" s="298"/>
      <c r="AC53" s="25"/>
      <c r="AD53" s="25"/>
      <c r="AE53" s="25"/>
    </row>
    <row r="54" spans="1:31" ht="16.5" customHeight="1" thickBot="1">
      <c r="A54" s="25"/>
      <c r="B54" s="25"/>
      <c r="C54" s="298"/>
      <c r="D54" s="298"/>
      <c r="E54" s="298"/>
      <c r="F54" s="298"/>
      <c r="G54" s="298"/>
      <c r="H54" s="298"/>
      <c r="I54" s="298"/>
      <c r="J54" s="298"/>
      <c r="K54" s="298"/>
      <c r="L54" s="444"/>
      <c r="M54" s="445"/>
      <c r="N54" s="222"/>
      <c r="O54" s="445"/>
      <c r="P54" s="298"/>
      <c r="Q54" s="298"/>
      <c r="R54" s="298"/>
      <c r="S54" s="398"/>
      <c r="U54" s="2257"/>
      <c r="V54" s="2245" t="s">
        <v>183</v>
      </c>
      <c r="W54" s="2258"/>
      <c r="X54" s="2258"/>
      <c r="Y54" s="2246" t="s">
        <v>340</v>
      </c>
      <c r="Z54" s="140">
        <f>SUM(Z50:Z53)</f>
        <v>47096.952000000005</v>
      </c>
      <c r="AA54" s="298"/>
      <c r="AB54" s="307"/>
      <c r="AC54" s="25"/>
      <c r="AD54" s="25"/>
      <c r="AE54" s="25"/>
    </row>
    <row r="55" spans="1:31" ht="16.5" customHeight="1" thickTop="1">
      <c r="A55" s="25"/>
      <c r="B55" s="25"/>
      <c r="C55" s="298"/>
      <c r="D55" s="298"/>
      <c r="E55" s="298"/>
      <c r="F55" s="298"/>
      <c r="G55" s="298"/>
      <c r="H55" s="298"/>
      <c r="I55" s="298"/>
      <c r="J55" s="298"/>
      <c r="K55" s="298"/>
      <c r="L55" s="444"/>
      <c r="M55" s="445"/>
      <c r="N55" s="222"/>
      <c r="O55" s="445"/>
      <c r="P55" s="298"/>
      <c r="Q55" s="298"/>
      <c r="R55" s="298"/>
      <c r="S55" s="398"/>
      <c r="T55" s="131"/>
      <c r="U55" s="131"/>
      <c r="V55" s="142" t="s">
        <v>347</v>
      </c>
      <c r="W55" s="429"/>
      <c r="X55" s="190"/>
      <c r="Y55" s="131"/>
      <c r="Z55" s="131"/>
      <c r="AA55" s="131"/>
      <c r="AB55" s="298"/>
      <c r="AC55" s="25"/>
      <c r="AD55" s="25"/>
      <c r="AE55" s="25"/>
    </row>
    <row r="56" spans="1:31" ht="16.5" customHeight="1" thickBot="1">
      <c r="A56" s="25"/>
      <c r="B56" s="25"/>
      <c r="C56" s="298"/>
      <c r="D56" s="298"/>
      <c r="E56" s="298"/>
      <c r="F56" s="298"/>
      <c r="G56" s="298"/>
      <c r="H56" s="298"/>
      <c r="I56" s="298"/>
      <c r="J56" s="298"/>
      <c r="K56" s="298"/>
      <c r="L56" s="444"/>
      <c r="M56" s="445"/>
      <c r="N56" s="222"/>
      <c r="O56" s="445"/>
      <c r="P56" s="298"/>
      <c r="Q56" s="298"/>
      <c r="R56" s="298"/>
      <c r="S56" s="398"/>
      <c r="T56" s="398"/>
      <c r="U56" s="131"/>
      <c r="V56" s="131"/>
      <c r="W56" s="131"/>
      <c r="X56" s="429"/>
      <c r="Y56" s="190"/>
      <c r="Z56" s="131"/>
      <c r="AA56" s="131"/>
      <c r="AB56" s="309"/>
      <c r="AC56" s="25"/>
      <c r="AD56" s="25"/>
      <c r="AE56" s="25"/>
    </row>
    <row r="57" spans="1:31" ht="16.5" customHeight="1" thickTop="1">
      <c r="A57" s="25"/>
      <c r="B57" s="25"/>
      <c r="C57" s="298"/>
      <c r="D57" s="298"/>
      <c r="E57" s="298"/>
      <c r="F57" s="298"/>
      <c r="G57" s="298"/>
      <c r="H57" s="298"/>
      <c r="I57" s="298"/>
      <c r="J57" s="298"/>
      <c r="K57" s="298"/>
      <c r="L57" s="444"/>
      <c r="M57" s="445"/>
      <c r="N57" s="222"/>
      <c r="O57" s="445"/>
      <c r="P57" s="298"/>
      <c r="Q57" s="298"/>
      <c r="R57" s="298"/>
      <c r="S57" s="398"/>
      <c r="T57" s="398"/>
      <c r="U57" s="4303" t="s">
        <v>348</v>
      </c>
      <c r="V57" s="4304"/>
      <c r="W57" s="4305"/>
      <c r="X57" s="429"/>
      <c r="Y57" s="433" t="s">
        <v>349</v>
      </c>
      <c r="Z57" s="145" t="str">
        <f>IF(Z54=AB44,"OK","NO")</f>
        <v>OK</v>
      </c>
      <c r="AA57" s="131"/>
      <c r="AB57" s="309"/>
      <c r="AC57" s="25"/>
      <c r="AD57" s="25"/>
      <c r="AE57" s="25"/>
    </row>
    <row r="58" spans="1:31" ht="16.5" customHeight="1">
      <c r="A58" s="25"/>
      <c r="B58" s="25"/>
      <c r="C58" s="298"/>
      <c r="D58" s="298"/>
      <c r="E58" s="298"/>
      <c r="F58" s="298"/>
      <c r="G58" s="298"/>
      <c r="H58" s="298"/>
      <c r="I58" s="298"/>
      <c r="J58" s="298"/>
      <c r="K58" s="298"/>
      <c r="L58" s="444"/>
      <c r="M58" s="445"/>
      <c r="N58" s="222"/>
      <c r="O58" s="445"/>
      <c r="P58" s="298"/>
      <c r="Q58" s="298"/>
      <c r="R58" s="298"/>
      <c r="S58" s="398"/>
      <c r="T58" s="398"/>
      <c r="U58" s="4213" t="s">
        <v>3666</v>
      </c>
      <c r="V58" s="4208"/>
      <c r="W58" s="516">
        <v>0</v>
      </c>
      <c r="X58" s="429"/>
      <c r="Y58" s="190"/>
      <c r="Z58" s="145" t="str">
        <f>IF(W62=AB44,"OK","NO")</f>
        <v>OK</v>
      </c>
      <c r="AA58" s="131"/>
      <c r="AB58" s="309"/>
      <c r="AC58" s="25"/>
      <c r="AD58" s="25"/>
      <c r="AE58" s="25"/>
    </row>
    <row r="59" spans="1:31" ht="16.5" customHeight="1">
      <c r="A59" s="25"/>
      <c r="B59" s="25"/>
      <c r="C59" s="298"/>
      <c r="D59" s="298"/>
      <c r="E59" s="298"/>
      <c r="F59" s="298"/>
      <c r="G59" s="298"/>
      <c r="H59" s="298"/>
      <c r="I59" s="298"/>
      <c r="J59" s="298"/>
      <c r="K59" s="298"/>
      <c r="L59" s="444"/>
      <c r="M59" s="445"/>
      <c r="N59" s="222"/>
      <c r="O59" s="445"/>
      <c r="P59" s="298"/>
      <c r="Q59" s="298"/>
      <c r="R59" s="298"/>
      <c r="S59" s="398"/>
      <c r="T59" s="398"/>
      <c r="U59" s="4200" t="s">
        <v>3667</v>
      </c>
      <c r="V59" s="4201"/>
      <c r="W59" s="515">
        <v>0</v>
      </c>
      <c r="X59" s="429"/>
      <c r="Y59" s="190"/>
      <c r="Z59" s="145" t="str">
        <f>IF(W72=AB44,"OK","NO")</f>
        <v>OK</v>
      </c>
      <c r="AA59" s="131"/>
      <c r="AB59" s="309"/>
      <c r="AC59" s="25"/>
      <c r="AD59" s="25"/>
      <c r="AE59" s="25"/>
    </row>
    <row r="60" spans="1:31" ht="16.5" customHeight="1">
      <c r="A60" s="25"/>
      <c r="B60" s="25"/>
      <c r="C60" s="298"/>
      <c r="D60" s="298"/>
      <c r="E60" s="298"/>
      <c r="F60" s="298"/>
      <c r="G60" s="298"/>
      <c r="H60" s="298"/>
      <c r="I60" s="298"/>
      <c r="J60" s="298"/>
      <c r="K60" s="298"/>
      <c r="L60" s="444"/>
      <c r="M60" s="445"/>
      <c r="N60" s="222"/>
      <c r="O60" s="445"/>
      <c r="P60" s="298"/>
      <c r="Q60" s="298"/>
      <c r="R60" s="298"/>
      <c r="S60" s="398"/>
      <c r="T60" s="398"/>
      <c r="U60" s="4200" t="s">
        <v>3669</v>
      </c>
      <c r="V60" s="4201"/>
      <c r="W60" s="515">
        <f>SUM(Z50,Z51,Z52,Z53)</f>
        <v>47096.952000000005</v>
      </c>
      <c r="X60" s="429"/>
      <c r="Y60" s="434"/>
      <c r="Z60" s="145" t="str">
        <f>IF(Resumen!C356=AB44,"OK","NO")</f>
        <v>OK</v>
      </c>
      <c r="AA60" s="131"/>
      <c r="AB60" s="309"/>
      <c r="AC60" s="25"/>
      <c r="AD60" s="25"/>
      <c r="AE60" s="25"/>
    </row>
    <row r="61" spans="1:31" ht="16.5" customHeight="1">
      <c r="A61" s="25"/>
      <c r="B61" s="25"/>
      <c r="C61" s="298"/>
      <c r="D61" s="298"/>
      <c r="E61" s="298"/>
      <c r="F61" s="298"/>
      <c r="G61" s="298"/>
      <c r="H61" s="298"/>
      <c r="I61" s="298"/>
      <c r="J61" s="298"/>
      <c r="K61" s="298"/>
      <c r="L61" s="444"/>
      <c r="M61" s="445"/>
      <c r="N61" s="222"/>
      <c r="O61" s="445"/>
      <c r="P61" s="298"/>
      <c r="Q61" s="298"/>
      <c r="R61" s="298"/>
      <c r="S61" s="398"/>
      <c r="T61" s="398"/>
      <c r="U61" s="4200" t="s">
        <v>3668</v>
      </c>
      <c r="V61" s="4201"/>
      <c r="W61" s="517">
        <v>0</v>
      </c>
      <c r="X61" s="429"/>
      <c r="Y61" s="434"/>
      <c r="Z61" s="131"/>
      <c r="AA61" s="131"/>
      <c r="AB61" s="309"/>
      <c r="AC61" s="25"/>
      <c r="AD61" s="25"/>
      <c r="AE61" s="25"/>
    </row>
    <row r="62" spans="1:31" ht="16.5" customHeight="1">
      <c r="A62" s="25"/>
      <c r="B62" s="25"/>
      <c r="C62" s="298"/>
      <c r="D62" s="298"/>
      <c r="E62" s="298"/>
      <c r="F62" s="298"/>
      <c r="G62" s="298"/>
      <c r="H62" s="298"/>
      <c r="I62" s="298"/>
      <c r="J62" s="298"/>
      <c r="K62" s="298"/>
      <c r="L62" s="444"/>
      <c r="M62" s="445"/>
      <c r="N62" s="222"/>
      <c r="O62" s="445"/>
      <c r="P62" s="298"/>
      <c r="Q62" s="298"/>
      <c r="R62" s="298"/>
      <c r="S62" s="398"/>
      <c r="T62" s="398"/>
      <c r="U62" s="4553" t="s">
        <v>183</v>
      </c>
      <c r="V62" s="4554"/>
      <c r="W62" s="1571">
        <f>SUM(W58:W61)</f>
        <v>47096.952000000005</v>
      </c>
      <c r="X62" s="429"/>
      <c r="Y62" s="434"/>
      <c r="Z62" s="131"/>
      <c r="AA62" s="131"/>
      <c r="AB62" s="309"/>
      <c r="AC62" s="25"/>
      <c r="AD62" s="25"/>
      <c r="AE62" s="25"/>
    </row>
    <row r="63" spans="1:31" ht="16.5" customHeight="1">
      <c r="A63" s="25"/>
      <c r="B63" s="25"/>
      <c r="C63" s="298"/>
      <c r="D63" s="298"/>
      <c r="E63" s="298"/>
      <c r="F63" s="298"/>
      <c r="G63" s="298"/>
      <c r="H63" s="298"/>
      <c r="I63" s="298"/>
      <c r="J63" s="298"/>
      <c r="K63" s="298"/>
      <c r="L63" s="444"/>
      <c r="M63" s="445"/>
      <c r="N63" s="222"/>
      <c r="O63" s="445"/>
      <c r="P63" s="298"/>
      <c r="Q63" s="298"/>
      <c r="R63" s="298"/>
      <c r="S63" s="398"/>
      <c r="T63" s="398"/>
      <c r="U63" s="4555" t="s">
        <v>350</v>
      </c>
      <c r="V63" s="4556"/>
      <c r="W63" s="4557"/>
      <c r="X63" s="429"/>
      <c r="Y63" s="435"/>
      <c r="Z63" s="131"/>
      <c r="AA63" s="131"/>
      <c r="AB63" s="309"/>
      <c r="AC63" s="25"/>
      <c r="AD63" s="25"/>
      <c r="AE63" s="25"/>
    </row>
    <row r="64" spans="1:31" ht="16.5" customHeight="1">
      <c r="A64" s="25"/>
      <c r="B64" s="25"/>
      <c r="C64" s="298"/>
      <c r="D64" s="298"/>
      <c r="E64" s="298"/>
      <c r="F64" s="298"/>
      <c r="G64" s="298"/>
      <c r="H64" s="298"/>
      <c r="I64" s="298"/>
      <c r="J64" s="298"/>
      <c r="K64" s="298"/>
      <c r="L64" s="444"/>
      <c r="M64" s="445"/>
      <c r="N64" s="222"/>
      <c r="O64" s="445"/>
      <c r="P64" s="298"/>
      <c r="Q64" s="298"/>
      <c r="R64" s="298"/>
      <c r="S64" s="398"/>
      <c r="T64" s="398"/>
      <c r="U64" s="4207" t="s">
        <v>3670</v>
      </c>
      <c r="V64" s="4208"/>
      <c r="W64" s="516">
        <v>0</v>
      </c>
      <c r="X64" s="429"/>
      <c r="Y64" s="435"/>
      <c r="Z64" s="131"/>
      <c r="AA64" s="269"/>
      <c r="AB64" s="311"/>
      <c r="AC64" s="25"/>
      <c r="AD64" s="25"/>
      <c r="AE64" s="25"/>
    </row>
    <row r="65" spans="1:31" ht="16.5" customHeight="1">
      <c r="A65" s="25"/>
      <c r="B65" s="25"/>
      <c r="C65" s="298"/>
      <c r="D65" s="298"/>
      <c r="E65" s="298"/>
      <c r="F65" s="298"/>
      <c r="G65" s="298"/>
      <c r="H65" s="298"/>
      <c r="I65" s="298"/>
      <c r="J65" s="298"/>
      <c r="K65" s="298"/>
      <c r="L65" s="444"/>
      <c r="M65" s="445"/>
      <c r="N65" s="222"/>
      <c r="O65" s="445"/>
      <c r="P65" s="298"/>
      <c r="Q65" s="298"/>
      <c r="R65" s="298"/>
      <c r="S65" s="398"/>
      <c r="T65" s="398"/>
      <c r="U65" s="4209" t="s">
        <v>3671</v>
      </c>
      <c r="V65" s="4201"/>
      <c r="W65" s="515">
        <f>SUM(Z50:Z51)</f>
        <v>22461.667200000004</v>
      </c>
      <c r="X65" s="429"/>
      <c r="Y65" s="436"/>
      <c r="Z65" s="269"/>
      <c r="AA65" s="269"/>
      <c r="AB65" s="311"/>
      <c r="AC65" s="25"/>
      <c r="AD65" s="25"/>
      <c r="AE65" s="25"/>
    </row>
    <row r="66" spans="1:31" ht="16.5" customHeight="1">
      <c r="A66" s="25"/>
      <c r="B66" s="25"/>
      <c r="C66" s="298"/>
      <c r="D66" s="298"/>
      <c r="E66" s="298"/>
      <c r="F66" s="298"/>
      <c r="G66" s="298"/>
      <c r="H66" s="298"/>
      <c r="I66" s="298"/>
      <c r="J66" s="298"/>
      <c r="K66" s="298"/>
      <c r="L66" s="444"/>
      <c r="M66" s="445"/>
      <c r="N66" s="222"/>
      <c r="O66" s="445"/>
      <c r="P66" s="298"/>
      <c r="Q66" s="298"/>
      <c r="R66" s="298"/>
      <c r="S66" s="398"/>
      <c r="T66" s="398"/>
      <c r="U66" s="4209" t="s">
        <v>3672</v>
      </c>
      <c r="V66" s="4201"/>
      <c r="W66" s="515">
        <v>0</v>
      </c>
      <c r="X66" s="429"/>
      <c r="Y66" s="437"/>
      <c r="Z66" s="269"/>
      <c r="AA66" s="269"/>
      <c r="AB66" s="311"/>
      <c r="AC66" s="25"/>
      <c r="AD66" s="25"/>
      <c r="AE66" s="25"/>
    </row>
    <row r="67" spans="1:31" ht="16.5" customHeight="1">
      <c r="A67" s="25"/>
      <c r="B67" s="25"/>
      <c r="C67" s="298"/>
      <c r="D67" s="298"/>
      <c r="E67" s="298"/>
      <c r="F67" s="298"/>
      <c r="G67" s="298"/>
      <c r="H67" s="298"/>
      <c r="I67" s="298"/>
      <c r="J67" s="298"/>
      <c r="K67" s="298"/>
      <c r="L67" s="444"/>
      <c r="M67" s="445"/>
      <c r="N67" s="222"/>
      <c r="O67" s="445"/>
      <c r="P67" s="298"/>
      <c r="Q67" s="298"/>
      <c r="R67" s="298"/>
      <c r="S67" s="398"/>
      <c r="T67" s="398"/>
      <c r="U67" s="4209" t="s">
        <v>3673</v>
      </c>
      <c r="V67" s="4201"/>
      <c r="W67" s="515">
        <v>0</v>
      </c>
      <c r="X67" s="429"/>
      <c r="Y67" s="439"/>
      <c r="Z67" s="269"/>
      <c r="AA67" s="1884"/>
      <c r="AB67" s="1884"/>
      <c r="AC67" s="25"/>
      <c r="AD67" s="25"/>
      <c r="AE67" s="25"/>
    </row>
    <row r="68" spans="1:31" ht="16.5" customHeight="1">
      <c r="A68" s="25"/>
      <c r="B68" s="25"/>
      <c r="C68" s="298"/>
      <c r="D68" s="298"/>
      <c r="E68" s="298"/>
      <c r="F68" s="298"/>
      <c r="G68" s="298"/>
      <c r="H68" s="298"/>
      <c r="I68" s="298"/>
      <c r="J68" s="298"/>
      <c r="K68" s="298"/>
      <c r="L68" s="444"/>
      <c r="M68" s="445"/>
      <c r="N68" s="222"/>
      <c r="O68" s="445"/>
      <c r="P68" s="298"/>
      <c r="Q68" s="298"/>
      <c r="R68" s="298"/>
      <c r="S68" s="398"/>
      <c r="T68" s="398"/>
      <c r="U68" s="4209" t="s">
        <v>3674</v>
      </c>
      <c r="V68" s="4201"/>
      <c r="W68" s="515">
        <v>0</v>
      </c>
      <c r="X68" s="429"/>
      <c r="Y68" s="440"/>
      <c r="Z68" s="1887"/>
      <c r="AA68" s="272"/>
      <c r="AB68" s="271"/>
      <c r="AC68" s="25"/>
      <c r="AD68" s="25"/>
      <c r="AE68" s="25"/>
    </row>
    <row r="69" spans="1:31" ht="16.5" customHeight="1">
      <c r="A69" s="25"/>
      <c r="B69" s="25"/>
      <c r="C69" s="298"/>
      <c r="D69" s="298"/>
      <c r="E69" s="298"/>
      <c r="F69" s="298"/>
      <c r="G69" s="298"/>
      <c r="H69" s="298"/>
      <c r="I69" s="298"/>
      <c r="J69" s="298"/>
      <c r="K69" s="298"/>
      <c r="L69" s="444"/>
      <c r="M69" s="445"/>
      <c r="N69" s="222"/>
      <c r="O69" s="445"/>
      <c r="P69" s="298"/>
      <c r="Q69" s="298"/>
      <c r="R69" s="298"/>
      <c r="S69" s="398"/>
      <c r="T69" s="398"/>
      <c r="U69" s="4209" t="s">
        <v>3675</v>
      </c>
      <c r="V69" s="4201"/>
      <c r="W69" s="515">
        <v>0</v>
      </c>
      <c r="X69" s="429"/>
      <c r="Y69" s="440"/>
      <c r="Z69" s="271"/>
      <c r="AA69" s="274"/>
      <c r="AB69" s="346"/>
      <c r="AC69" s="25"/>
      <c r="AD69" s="25"/>
      <c r="AE69" s="25"/>
    </row>
    <row r="70" spans="1:31" ht="16.5" customHeight="1">
      <c r="A70" s="25"/>
      <c r="B70" s="25"/>
      <c r="C70" s="298"/>
      <c r="D70" s="298"/>
      <c r="E70" s="298"/>
      <c r="F70" s="298"/>
      <c r="G70" s="298"/>
      <c r="H70" s="298"/>
      <c r="I70" s="298"/>
      <c r="J70" s="298"/>
      <c r="K70" s="298"/>
      <c r="L70" s="444"/>
      <c r="M70" s="445"/>
      <c r="N70" s="222"/>
      <c r="O70" s="445"/>
      <c r="P70" s="298"/>
      <c r="Q70" s="298"/>
      <c r="R70" s="298"/>
      <c r="S70" s="398"/>
      <c r="T70" s="398"/>
      <c r="U70" s="4209" t="s">
        <v>3676</v>
      </c>
      <c r="V70" s="4201"/>
      <c r="W70" s="515">
        <f>SUM(Z52:Z53)</f>
        <v>24635.284800000001</v>
      </c>
      <c r="X70" s="429"/>
      <c r="Y70" s="440"/>
      <c r="Z70" s="345"/>
      <c r="AA70" s="317"/>
      <c r="AB70" s="311"/>
      <c r="AC70" s="25"/>
      <c r="AD70" s="25"/>
      <c r="AE70" s="25"/>
    </row>
    <row r="71" spans="1:31" ht="16.5" customHeight="1">
      <c r="A71" s="25"/>
      <c r="B71" s="25"/>
      <c r="C71" s="298"/>
      <c r="D71" s="298"/>
      <c r="E71" s="298"/>
      <c r="F71" s="298"/>
      <c r="G71" s="298"/>
      <c r="H71" s="298"/>
      <c r="I71" s="298"/>
      <c r="J71" s="298"/>
      <c r="K71" s="298"/>
      <c r="L71" s="444"/>
      <c r="M71" s="445"/>
      <c r="N71" s="222"/>
      <c r="O71" s="445"/>
      <c r="P71" s="298"/>
      <c r="Q71" s="298"/>
      <c r="R71" s="298"/>
      <c r="S71" s="398"/>
      <c r="T71" s="398"/>
      <c r="U71" s="4209" t="s">
        <v>3677</v>
      </c>
      <c r="V71" s="4201"/>
      <c r="W71" s="517">
        <v>0</v>
      </c>
      <c r="X71" s="429"/>
      <c r="Y71" s="441"/>
      <c r="Z71" s="317"/>
      <c r="AA71" s="269"/>
      <c r="AB71" s="311"/>
      <c r="AC71" s="25"/>
      <c r="AD71" s="25"/>
      <c r="AE71" s="25"/>
    </row>
    <row r="72" spans="1:31" ht="15.75" customHeight="1" thickBot="1">
      <c r="U72" s="4295" t="s">
        <v>183</v>
      </c>
      <c r="V72" s="4296"/>
      <c r="W72" s="1572">
        <f>SUM(W64:W71)</f>
        <v>47096.952000000005</v>
      </c>
      <c r="X72" s="429"/>
      <c r="Y72" s="437"/>
      <c r="Z72" s="269"/>
    </row>
    <row r="73" spans="1:31" ht="15.75" customHeight="1" thickTop="1"/>
  </sheetData>
  <mergeCells count="168">
    <mergeCell ref="A1:AF1"/>
    <mergeCell ref="A2:AF2"/>
    <mergeCell ref="A3:AF3"/>
    <mergeCell ref="A4:AF4"/>
    <mergeCell ref="AF9:AF13"/>
    <mergeCell ref="J9:J13"/>
    <mergeCell ref="K9:K13"/>
    <mergeCell ref="L9:L13"/>
    <mergeCell ref="M9:M13"/>
    <mergeCell ref="N9:N13"/>
    <mergeCell ref="O9:O13"/>
    <mergeCell ref="P9:P13"/>
    <mergeCell ref="R9:R13"/>
    <mergeCell ref="A9:B43"/>
    <mergeCell ref="C9:C13"/>
    <mergeCell ref="D9:D13"/>
    <mergeCell ref="C14:C18"/>
    <mergeCell ref="D14:D18"/>
    <mergeCell ref="C39:C43"/>
    <mergeCell ref="D39:D43"/>
    <mergeCell ref="E39:E43"/>
    <mergeCell ref="C24:C28"/>
    <mergeCell ref="D24:D28"/>
    <mergeCell ref="C34:C38"/>
    <mergeCell ref="AF29:AF33"/>
    <mergeCell ref="C19:C23"/>
    <mergeCell ref="D19:D23"/>
    <mergeCell ref="E19:E23"/>
    <mergeCell ref="F19:F23"/>
    <mergeCell ref="G19:G23"/>
    <mergeCell ref="H19:H23"/>
    <mergeCell ref="I19:I23"/>
    <mergeCell ref="F24:F28"/>
    <mergeCell ref="G24:G28"/>
    <mergeCell ref="H24:H28"/>
    <mergeCell ref="I24:I28"/>
    <mergeCell ref="Q24:Q28"/>
    <mergeCell ref="R24:R28"/>
    <mergeCell ref="J24:J28"/>
    <mergeCell ref="K24:K28"/>
    <mergeCell ref="L24:L28"/>
    <mergeCell ref="M24:M28"/>
    <mergeCell ref="N24:N28"/>
    <mergeCell ref="O24:O28"/>
    <mergeCell ref="Q19:Q23"/>
    <mergeCell ref="R19:R23"/>
    <mergeCell ref="N19:N23"/>
    <mergeCell ref="O19:O23"/>
    <mergeCell ref="P19:P23"/>
    <mergeCell ref="K19:K23"/>
    <mergeCell ref="L14:L18"/>
    <mergeCell ref="M14:M18"/>
    <mergeCell ref="Q9:Q13"/>
    <mergeCell ref="AF19:AF23"/>
    <mergeCell ref="AF24:AF28"/>
    <mergeCell ref="AF14:AF18"/>
    <mergeCell ref="K14:K18"/>
    <mergeCell ref="N14:N18"/>
    <mergeCell ref="O14:O18"/>
    <mergeCell ref="P14:P18"/>
    <mergeCell ref="Q14:Q18"/>
    <mergeCell ref="R14:R18"/>
    <mergeCell ref="P24:P28"/>
    <mergeCell ref="E9:E13"/>
    <mergeCell ref="F9:F13"/>
    <mergeCell ref="G9:G13"/>
    <mergeCell ref="H9:H13"/>
    <mergeCell ref="I9:I13"/>
    <mergeCell ref="J19:J23"/>
    <mergeCell ref="E24:E28"/>
    <mergeCell ref="L19:L23"/>
    <mergeCell ref="M19:M23"/>
    <mergeCell ref="E14:E18"/>
    <mergeCell ref="F14:F18"/>
    <mergeCell ref="G14:G18"/>
    <mergeCell ref="H14:H18"/>
    <mergeCell ref="I14:I18"/>
    <mergeCell ref="J14:J18"/>
    <mergeCell ref="AF34:AF38"/>
    <mergeCell ref="AF39:AF43"/>
    <mergeCell ref="S44:Z44"/>
    <mergeCell ref="AC44:AF44"/>
    <mergeCell ref="S45:AF45"/>
    <mergeCell ref="U47:Z47"/>
    <mergeCell ref="AA46:AB46"/>
    <mergeCell ref="U57:W57"/>
    <mergeCell ref="U58:V58"/>
    <mergeCell ref="U59:V59"/>
    <mergeCell ref="U60:V60"/>
    <mergeCell ref="U68:V68"/>
    <mergeCell ref="U69:V69"/>
    <mergeCell ref="U70:V70"/>
    <mergeCell ref="U71:V71"/>
    <mergeCell ref="U72:V72"/>
    <mergeCell ref="U61:V61"/>
    <mergeCell ref="U62:V62"/>
    <mergeCell ref="U63:W63"/>
    <mergeCell ref="U64:V64"/>
    <mergeCell ref="U65:V65"/>
    <mergeCell ref="U66:V66"/>
    <mergeCell ref="U67:V67"/>
    <mergeCell ref="D34:D38"/>
    <mergeCell ref="E34:E38"/>
    <mergeCell ref="F39:F43"/>
    <mergeCell ref="G39:G43"/>
    <mergeCell ref="H39:H43"/>
    <mergeCell ref="I39:I43"/>
    <mergeCell ref="Q39:Q43"/>
    <mergeCell ref="R39:R43"/>
    <mergeCell ref="J39:J43"/>
    <mergeCell ref="K39:K43"/>
    <mergeCell ref="L39:L43"/>
    <mergeCell ref="M39:M43"/>
    <mergeCell ref="N39:N43"/>
    <mergeCell ref="O39:O43"/>
    <mergeCell ref="P39:P43"/>
    <mergeCell ref="F34:F38"/>
    <mergeCell ref="G34:G38"/>
    <mergeCell ref="H34:H38"/>
    <mergeCell ref="I34:I38"/>
    <mergeCell ref="J34:J38"/>
    <mergeCell ref="K34:K38"/>
    <mergeCell ref="L34:L38"/>
    <mergeCell ref="M34:M38"/>
    <mergeCell ref="N34:N38"/>
    <mergeCell ref="C29:C33"/>
    <mergeCell ref="D29:D33"/>
    <mergeCell ref="E29:E33"/>
    <mergeCell ref="F29:F33"/>
    <mergeCell ref="G29:G33"/>
    <mergeCell ref="H29:H33"/>
    <mergeCell ref="I29:I33"/>
    <mergeCell ref="Q29:Q33"/>
    <mergeCell ref="R29:R33"/>
    <mergeCell ref="O34:O38"/>
    <mergeCell ref="P34:P38"/>
    <mergeCell ref="Q34:Q38"/>
    <mergeCell ref="R34:R38"/>
    <mergeCell ref="J29:J33"/>
    <mergeCell ref="K29:K33"/>
    <mergeCell ref="L29:L33"/>
    <mergeCell ref="M29:M33"/>
    <mergeCell ref="N29:N33"/>
    <mergeCell ref="O29:O33"/>
    <mergeCell ref="P29:P33"/>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3">
    <dataValidation type="list" allowBlank="1" showErrorMessage="1" sqref="F9 F14 F19 F24 F29 F34 F39">
      <formula1>INDIRECT($E9)</formula1>
    </dataValidation>
    <dataValidation type="list" allowBlank="1" showErrorMessage="1" sqref="E9 E14 E19 E24 E29 E34 E39">
      <formula1>INDIRECT($G9)</formula1>
    </dataValidation>
    <dataValidation type="decimal" allowBlank="1" showInputMessage="1" showErrorMessage="1" prompt="DPLAN - Sólo debe ingresar valores, NO porcentajes." sqref="M9:O9 M14:O14 M19:O19 M24:O24 M29:O29 M34:O34 M39:O39">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&amp;"Cambria,Cursiva"&amp;12&amp;K0070C0Administración Central&amp;C&amp;"Century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C14:D14 C19:D19 C24:D24 C29:D29 C34:D34 C39:D39</xm:sqref>
        </x14:dataValidation>
        <x14:dataValidation type="list" allowBlank="1" showErrorMessage="1">
          <x14:formula1>
            <xm:f>(PEDI!#REF!)</xm:f>
          </x14:formula1>
          <xm:sqref>H9 H14 H19 H24 H29 H34 H39</xm:sqref>
        </x14:dataValidation>
        <x14:dataValidation type="list" allowBlank="1" showErrorMessage="1">
          <x14:formula1>
            <xm:f>PEDI!#REF!</xm:f>
          </x14:formula1>
          <xm:sqref>G9 G14 G19 G24 G29 G34 G39</xm:sqref>
        </x14:dataValidation>
        <x14:dataValidation type="list" allowBlank="1" showErrorMessage="1">
          <x14:formula1>
            <xm:f>INDIRECT('Estrategias DAFO'!#REF!)</xm:f>
          </x14:formula1>
          <xm:sqref>I9 I14 I19 I24 I29 I34 I39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160"/>
  <sheetViews>
    <sheetView showGridLines="0" topLeftCell="Q131" zoomScaleNormal="100" workbookViewId="0">
      <selection activeCell="AF160" sqref="AF160"/>
    </sheetView>
  </sheetViews>
  <sheetFormatPr baseColWidth="10" defaultColWidth="12.5703125" defaultRowHeight="15.75" customHeight="1"/>
  <cols>
    <col min="1" max="2" width="5" customWidth="1"/>
    <col min="3" max="12" width="22.42578125" customWidth="1"/>
    <col min="13" max="15" width="8.7109375" customWidth="1"/>
    <col min="16" max="16" width="25.7109375" customWidth="1"/>
    <col min="17" max="18" width="22.42578125" customWidth="1"/>
    <col min="19" max="19" width="21.7109375" customWidth="1"/>
    <col min="20" max="20" width="12.7109375" customWidth="1"/>
    <col min="21" max="21" width="21.7109375" customWidth="1"/>
    <col min="22" max="22" width="31.7109375" customWidth="1"/>
    <col min="23" max="23" width="12.7109375" customWidth="1"/>
    <col min="24" max="27" width="12" customWidth="1"/>
    <col min="28" max="28" width="14.5703125" customWidth="1"/>
    <col min="29" max="31" width="7.7109375" customWidth="1"/>
    <col min="32" max="32" width="19.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958" t="s">
        <v>3917</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27.75" customHeight="1" thickBot="1">
      <c r="A5" s="1490"/>
      <c r="B5" s="1490"/>
      <c r="C5" s="1490"/>
      <c r="D5" s="1490"/>
      <c r="E5" s="1490"/>
      <c r="F5" s="1490"/>
      <c r="G5" s="1490"/>
      <c r="H5" s="1490"/>
      <c r="I5" s="1490"/>
      <c r="J5" s="1490"/>
      <c r="K5" s="1490"/>
      <c r="L5" s="1490"/>
      <c r="M5" s="1490"/>
      <c r="N5" s="1490"/>
      <c r="O5" s="1490"/>
      <c r="P5" s="1490"/>
      <c r="Q5" s="1490"/>
      <c r="R5" s="1490"/>
      <c r="S5" s="1490"/>
      <c r="T5" s="1490"/>
      <c r="U5" s="1490"/>
      <c r="V5" s="1490"/>
      <c r="W5" s="1490"/>
      <c r="X5" s="1490"/>
      <c r="Y5" s="1490"/>
      <c r="Z5" s="1490"/>
      <c r="AA5" s="1490"/>
      <c r="AB5" s="1919"/>
      <c r="AC5" s="1490"/>
      <c r="AD5" s="1490"/>
      <c r="AE5" s="1490"/>
      <c r="AF5" s="1920"/>
    </row>
    <row r="6" spans="1:32" s="1747" customFormat="1" ht="24.95" customHeight="1" thickTop="1">
      <c r="A6" s="4158" t="s">
        <v>200</v>
      </c>
      <c r="B6" s="4159"/>
      <c r="C6" s="4164" t="s">
        <v>201</v>
      </c>
      <c r="D6" s="4165"/>
      <c r="E6" s="4166" t="s">
        <v>202</v>
      </c>
      <c r="F6" s="4167"/>
      <c r="G6" s="4167"/>
      <c r="H6" s="4167"/>
      <c r="I6" s="4168"/>
      <c r="J6" s="4169" t="s">
        <v>203</v>
      </c>
      <c r="K6" s="4170"/>
      <c r="L6" s="4170"/>
      <c r="M6" s="4170"/>
      <c r="N6" s="4170"/>
      <c r="O6" s="4170"/>
      <c r="P6" s="4170"/>
      <c r="Q6" s="4170"/>
      <c r="R6" s="4171"/>
      <c r="S6" s="4172" t="s">
        <v>204</v>
      </c>
      <c r="T6" s="4173"/>
      <c r="U6" s="4173"/>
      <c r="V6" s="4173"/>
      <c r="W6" s="4173"/>
      <c r="X6" s="4173"/>
      <c r="Y6" s="4173"/>
      <c r="Z6" s="4173"/>
      <c r="AA6" s="4173"/>
      <c r="AB6" s="4173"/>
      <c r="AC6" s="4173"/>
      <c r="AD6" s="4173"/>
      <c r="AE6" s="4173"/>
      <c r="AF6" s="4174"/>
    </row>
    <row r="7" spans="1:32" s="1747" customFormat="1" ht="39.950000000000003" customHeight="1">
      <c r="A7" s="416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196" t="s">
        <v>222</v>
      </c>
    </row>
    <row r="8" spans="1:32" s="1747" customFormat="1" ht="51.95" customHeight="1" thickBot="1">
      <c r="A8" s="4162"/>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197"/>
    </row>
    <row r="9" spans="1:32" ht="45.75" customHeight="1">
      <c r="A9" s="4942" t="s">
        <v>3917</v>
      </c>
      <c r="B9" s="4943" t="s">
        <v>3917</v>
      </c>
      <c r="C9" s="4937" t="s">
        <v>272</v>
      </c>
      <c r="D9" s="4395" t="s">
        <v>302</v>
      </c>
      <c r="E9" s="4959" t="s">
        <v>388</v>
      </c>
      <c r="F9" s="4960" t="s">
        <v>4772</v>
      </c>
      <c r="G9" s="4930" t="s">
        <v>305</v>
      </c>
      <c r="H9" s="4395" t="s">
        <v>240</v>
      </c>
      <c r="I9" s="4395" t="s">
        <v>257</v>
      </c>
      <c r="J9" s="4896" t="s">
        <v>4813</v>
      </c>
      <c r="K9" s="4896" t="s">
        <v>4807</v>
      </c>
      <c r="L9" s="4395" t="s">
        <v>4806</v>
      </c>
      <c r="M9" s="4401">
        <v>1</v>
      </c>
      <c r="N9" s="4401">
        <v>0</v>
      </c>
      <c r="O9" s="4401">
        <v>1</v>
      </c>
      <c r="P9" s="4395" t="s">
        <v>4836</v>
      </c>
      <c r="Q9" s="4395" t="s">
        <v>4869</v>
      </c>
      <c r="R9" s="4897" t="s">
        <v>4781</v>
      </c>
      <c r="S9" s="3296"/>
      <c r="T9" s="3297"/>
      <c r="U9" s="3297"/>
      <c r="V9" s="2974"/>
      <c r="W9" s="3298"/>
      <c r="X9" s="3299"/>
      <c r="Y9" s="3300"/>
      <c r="Z9" s="3301"/>
      <c r="AA9" s="3185"/>
      <c r="AB9" s="3185"/>
      <c r="AC9" s="3186"/>
      <c r="AD9" s="3187"/>
      <c r="AE9" s="3187"/>
      <c r="AF9" s="4954"/>
    </row>
    <row r="10" spans="1:32" ht="45.75" customHeight="1">
      <c r="A10" s="4778"/>
      <c r="B10" s="4944"/>
      <c r="C10" s="4935"/>
      <c r="D10" s="4514"/>
      <c r="E10" s="4514"/>
      <c r="F10" s="4514"/>
      <c r="G10" s="4514"/>
      <c r="H10" s="4514"/>
      <c r="I10" s="4514"/>
      <c r="J10" s="4514"/>
      <c r="K10" s="4514"/>
      <c r="L10" s="4514"/>
      <c r="M10" s="4393"/>
      <c r="N10" s="4393"/>
      <c r="O10" s="4393"/>
      <c r="P10" s="4514"/>
      <c r="Q10" s="4514"/>
      <c r="R10" s="4518"/>
      <c r="S10" s="3302"/>
      <c r="T10" s="3188"/>
      <c r="U10" s="3188"/>
      <c r="V10" s="1855"/>
      <c r="W10" s="3189"/>
      <c r="X10" s="3190"/>
      <c r="Y10" s="3191"/>
      <c r="Z10" s="1870"/>
      <c r="AA10" s="1870"/>
      <c r="AB10" s="3191"/>
      <c r="AC10" s="3190"/>
      <c r="AD10" s="1824"/>
      <c r="AE10" s="1824"/>
      <c r="AF10" s="4876"/>
    </row>
    <row r="11" spans="1:32" ht="45.75" customHeight="1">
      <c r="A11" s="4778"/>
      <c r="B11" s="4944"/>
      <c r="C11" s="4935"/>
      <c r="D11" s="4514"/>
      <c r="E11" s="4514"/>
      <c r="F11" s="4514"/>
      <c r="G11" s="4514"/>
      <c r="H11" s="4514"/>
      <c r="I11" s="4514"/>
      <c r="J11" s="4514"/>
      <c r="K11" s="4514"/>
      <c r="L11" s="4514"/>
      <c r="M11" s="4393"/>
      <c r="N11" s="4393"/>
      <c r="O11" s="4393"/>
      <c r="P11" s="4514"/>
      <c r="Q11" s="4514"/>
      <c r="R11" s="4518"/>
      <c r="S11" s="3302"/>
      <c r="T11" s="3188"/>
      <c r="U11" s="3188"/>
      <c r="V11" s="1855"/>
      <c r="W11" s="3192"/>
      <c r="X11" s="3190"/>
      <c r="Y11" s="3191"/>
      <c r="Z11" s="1870"/>
      <c r="AA11" s="1870"/>
      <c r="AB11" s="3191"/>
      <c r="AC11" s="3190"/>
      <c r="AD11" s="1824"/>
      <c r="AE11" s="1824"/>
      <c r="AF11" s="4876"/>
    </row>
    <row r="12" spans="1:32" ht="45.75" customHeight="1">
      <c r="A12" s="4778"/>
      <c r="B12" s="4944"/>
      <c r="C12" s="4935"/>
      <c r="D12" s="4514"/>
      <c r="E12" s="4514"/>
      <c r="F12" s="4514"/>
      <c r="G12" s="4514"/>
      <c r="H12" s="4514"/>
      <c r="I12" s="4514"/>
      <c r="J12" s="4514"/>
      <c r="K12" s="4514"/>
      <c r="L12" s="4514"/>
      <c r="M12" s="4393"/>
      <c r="N12" s="4393"/>
      <c r="O12" s="4393"/>
      <c r="P12" s="4514"/>
      <c r="Q12" s="4514"/>
      <c r="R12" s="4518"/>
      <c r="S12" s="3303"/>
      <c r="T12" s="3188"/>
      <c r="U12" s="3188"/>
      <c r="V12" s="1855"/>
      <c r="W12" s="3191"/>
      <c r="X12" s="3190"/>
      <c r="Y12" s="3193"/>
      <c r="Z12" s="1870"/>
      <c r="AA12" s="1870"/>
      <c r="AB12" s="3191"/>
      <c r="AC12" s="3190"/>
      <c r="AD12" s="1824"/>
      <c r="AE12" s="1824"/>
      <c r="AF12" s="4876"/>
    </row>
    <row r="13" spans="1:32" ht="45.75" customHeight="1">
      <c r="A13" s="4778"/>
      <c r="B13" s="4944"/>
      <c r="C13" s="4945"/>
      <c r="D13" s="4525"/>
      <c r="E13" s="4525"/>
      <c r="F13" s="4525"/>
      <c r="G13" s="4525"/>
      <c r="H13" s="4525"/>
      <c r="I13" s="4525"/>
      <c r="J13" s="4525"/>
      <c r="K13" s="4525"/>
      <c r="L13" s="4525"/>
      <c r="M13" s="4402"/>
      <c r="N13" s="4402"/>
      <c r="O13" s="4402"/>
      <c r="P13" s="4525"/>
      <c r="Q13" s="4525"/>
      <c r="R13" s="4528"/>
      <c r="S13" s="3304"/>
      <c r="T13" s="3239"/>
      <c r="U13" s="3240"/>
      <c r="V13" s="3241"/>
      <c r="W13" s="3242"/>
      <c r="X13" s="3243"/>
      <c r="Y13" s="3244"/>
      <c r="Z13" s="3245"/>
      <c r="AA13" s="3245"/>
      <c r="AB13" s="3242"/>
      <c r="AC13" s="3243"/>
      <c r="AD13" s="3246"/>
      <c r="AE13" s="3246"/>
      <c r="AF13" s="4877"/>
    </row>
    <row r="14" spans="1:32" ht="38.25" customHeight="1">
      <c r="A14" s="4778"/>
      <c r="B14" s="4944"/>
      <c r="C14" s="4946" t="s">
        <v>235</v>
      </c>
      <c r="D14" s="4907" t="s">
        <v>302</v>
      </c>
      <c r="E14" s="4907" t="s">
        <v>4773</v>
      </c>
      <c r="F14" s="4907" t="s">
        <v>4774</v>
      </c>
      <c r="G14" s="4377" t="s">
        <v>305</v>
      </c>
      <c r="H14" s="4377" t="s">
        <v>240</v>
      </c>
      <c r="I14" s="4377" t="s">
        <v>257</v>
      </c>
      <c r="J14" s="4907" t="s">
        <v>4814</v>
      </c>
      <c r="K14" s="4907" t="s">
        <v>4808</v>
      </c>
      <c r="L14" s="4377" t="s">
        <v>4805</v>
      </c>
      <c r="M14" s="4939">
        <v>0</v>
      </c>
      <c r="N14" s="4939">
        <v>0</v>
      </c>
      <c r="O14" s="4939">
        <v>1</v>
      </c>
      <c r="P14" s="4377" t="s">
        <v>4837</v>
      </c>
      <c r="Q14" s="4377" t="s">
        <v>4868</v>
      </c>
      <c r="R14" s="4903" t="s">
        <v>4782</v>
      </c>
      <c r="S14" s="3305"/>
      <c r="T14" s="3247"/>
      <c r="U14" s="3247"/>
      <c r="V14" s="3248"/>
      <c r="W14" s="3249"/>
      <c r="X14" s="3250"/>
      <c r="Y14" s="3251"/>
      <c r="Z14" s="3252"/>
      <c r="AA14" s="3252"/>
      <c r="AB14" s="3251"/>
      <c r="AC14" s="3250"/>
      <c r="AD14" s="3250"/>
      <c r="AE14" s="3250"/>
      <c r="AF14" s="4908"/>
    </row>
    <row r="15" spans="1:32" ht="38.25" customHeight="1">
      <c r="A15" s="4778"/>
      <c r="B15" s="4944"/>
      <c r="C15" s="4961"/>
      <c r="D15" s="4514"/>
      <c r="E15" s="4514"/>
      <c r="F15" s="4514"/>
      <c r="G15" s="4514"/>
      <c r="H15" s="4514"/>
      <c r="I15" s="4514"/>
      <c r="J15" s="4514"/>
      <c r="K15" s="4514"/>
      <c r="L15" s="4514"/>
      <c r="M15" s="4393"/>
      <c r="N15" s="4393"/>
      <c r="O15" s="4393"/>
      <c r="P15" s="4514"/>
      <c r="Q15" s="4514"/>
      <c r="R15" s="4518"/>
      <c r="S15" s="3303"/>
      <c r="T15" s="3195"/>
      <c r="U15" s="3195"/>
      <c r="V15" s="2916"/>
      <c r="W15" s="3196"/>
      <c r="X15" s="2917"/>
      <c r="Y15" s="2978"/>
      <c r="Z15" s="1870"/>
      <c r="AA15" s="1870"/>
      <c r="AB15" s="2978"/>
      <c r="AC15" s="2917"/>
      <c r="AD15" s="2917"/>
      <c r="AE15" s="2917"/>
      <c r="AF15" s="4876"/>
    </row>
    <row r="16" spans="1:32" ht="38.25" customHeight="1">
      <c r="A16" s="4778"/>
      <c r="B16" s="4944"/>
      <c r="C16" s="4961"/>
      <c r="D16" s="4514"/>
      <c r="E16" s="4514"/>
      <c r="F16" s="4514"/>
      <c r="G16" s="4514"/>
      <c r="H16" s="4514"/>
      <c r="I16" s="4514"/>
      <c r="J16" s="4514"/>
      <c r="K16" s="4514"/>
      <c r="L16" s="4514"/>
      <c r="M16" s="4393"/>
      <c r="N16" s="4393"/>
      <c r="O16" s="4393"/>
      <c r="P16" s="4514"/>
      <c r="Q16" s="4514"/>
      <c r="R16" s="4518"/>
      <c r="S16" s="3303"/>
      <c r="T16" s="3194"/>
      <c r="U16" s="3194"/>
      <c r="V16" s="2916"/>
      <c r="W16" s="3196"/>
      <c r="X16" s="3197"/>
      <c r="Y16" s="3198"/>
      <c r="Z16" s="1870"/>
      <c r="AA16" s="1870"/>
      <c r="AB16" s="3199"/>
      <c r="AC16" s="1824"/>
      <c r="AD16" s="3200"/>
      <c r="AE16" s="3200"/>
      <c r="AF16" s="4876"/>
    </row>
    <row r="17" spans="1:32" ht="38.25" customHeight="1">
      <c r="A17" s="4778"/>
      <c r="B17" s="4944"/>
      <c r="C17" s="4961"/>
      <c r="D17" s="4514"/>
      <c r="E17" s="4514"/>
      <c r="F17" s="4514"/>
      <c r="G17" s="4514"/>
      <c r="H17" s="4514"/>
      <c r="I17" s="4514"/>
      <c r="J17" s="4514"/>
      <c r="K17" s="4514"/>
      <c r="L17" s="4514"/>
      <c r="M17" s="4393"/>
      <c r="N17" s="4393"/>
      <c r="O17" s="4393"/>
      <c r="P17" s="4514"/>
      <c r="Q17" s="4514"/>
      <c r="R17" s="4518"/>
      <c r="S17" s="3303"/>
      <c r="T17" s="3194"/>
      <c r="U17" s="3194"/>
      <c r="V17" s="2916"/>
      <c r="W17" s="3196"/>
      <c r="X17" s="3197"/>
      <c r="Y17" s="3198"/>
      <c r="Z17" s="1870"/>
      <c r="AA17" s="1870"/>
      <c r="AB17" s="3199"/>
      <c r="AC17" s="1824"/>
      <c r="AD17" s="3200"/>
      <c r="AE17" s="3200"/>
      <c r="AF17" s="4876"/>
    </row>
    <row r="18" spans="1:32" ht="38.25" customHeight="1">
      <c r="A18" s="4778"/>
      <c r="B18" s="4944"/>
      <c r="C18" s="4962"/>
      <c r="D18" s="4515"/>
      <c r="E18" s="4515"/>
      <c r="F18" s="4515"/>
      <c r="G18" s="4515"/>
      <c r="H18" s="4515"/>
      <c r="I18" s="4515"/>
      <c r="J18" s="4515"/>
      <c r="K18" s="4515"/>
      <c r="L18" s="4515"/>
      <c r="M18" s="4420"/>
      <c r="N18" s="4420"/>
      <c r="O18" s="4420"/>
      <c r="P18" s="4515"/>
      <c r="Q18" s="4515"/>
      <c r="R18" s="4519"/>
      <c r="S18" s="3306"/>
      <c r="T18" s="3231"/>
      <c r="U18" s="3231"/>
      <c r="V18" s="3232"/>
      <c r="W18" s="3233"/>
      <c r="X18" s="3234"/>
      <c r="Y18" s="3235"/>
      <c r="Z18" s="3236"/>
      <c r="AA18" s="3236"/>
      <c r="AB18" s="3237"/>
      <c r="AC18" s="3234"/>
      <c r="AD18" s="3238"/>
      <c r="AE18" s="3238"/>
      <c r="AF18" s="4880"/>
    </row>
    <row r="19" spans="1:32" ht="38.25" customHeight="1">
      <c r="A19" s="4778"/>
      <c r="B19" s="4944"/>
      <c r="C19" s="4937" t="s">
        <v>235</v>
      </c>
      <c r="D19" s="4896" t="s">
        <v>236</v>
      </c>
      <c r="E19" s="4896" t="s">
        <v>237</v>
      </c>
      <c r="F19" s="4896" t="s">
        <v>355</v>
      </c>
      <c r="G19" s="4930" t="s">
        <v>239</v>
      </c>
      <c r="H19" s="4395" t="s">
        <v>306</v>
      </c>
      <c r="I19" s="4395" t="s">
        <v>257</v>
      </c>
      <c r="J19" s="4896" t="s">
        <v>4815</v>
      </c>
      <c r="K19" s="4896" t="s">
        <v>954</v>
      </c>
      <c r="L19" s="4395" t="s">
        <v>4804</v>
      </c>
      <c r="M19" s="4957">
        <v>1</v>
      </c>
      <c r="N19" s="4957">
        <v>0</v>
      </c>
      <c r="O19" s="4957">
        <v>1</v>
      </c>
      <c r="P19" s="4395" t="s">
        <v>4838</v>
      </c>
      <c r="Q19" s="4395" t="s">
        <v>4867</v>
      </c>
      <c r="R19" s="4897" t="s">
        <v>4782</v>
      </c>
      <c r="S19" s="3115"/>
      <c r="T19" s="3226"/>
      <c r="U19" s="3226"/>
      <c r="V19" s="2973"/>
      <c r="W19" s="3227"/>
      <c r="X19" s="3187"/>
      <c r="Y19" s="3185"/>
      <c r="Z19" s="3228"/>
      <c r="AA19" s="3228"/>
      <c r="AB19" s="3229"/>
      <c r="AC19" s="3187"/>
      <c r="AD19" s="3230"/>
      <c r="AE19" s="3230"/>
      <c r="AF19" s="4954"/>
    </row>
    <row r="20" spans="1:32" ht="38.25" customHeight="1">
      <c r="A20" s="4778"/>
      <c r="B20" s="4944"/>
      <c r="C20" s="4963"/>
      <c r="D20" s="4514"/>
      <c r="E20" s="4514"/>
      <c r="F20" s="4514"/>
      <c r="G20" s="4514"/>
      <c r="H20" s="4514"/>
      <c r="I20" s="4514"/>
      <c r="J20" s="4514"/>
      <c r="K20" s="4514"/>
      <c r="L20" s="4514"/>
      <c r="M20" s="4393"/>
      <c r="N20" s="4393"/>
      <c r="O20" s="4393"/>
      <c r="P20" s="4514"/>
      <c r="Q20" s="4514"/>
      <c r="R20" s="4518"/>
      <c r="S20" s="3303"/>
      <c r="T20" s="3201"/>
      <c r="U20" s="3201"/>
      <c r="V20" s="3202"/>
      <c r="W20" s="1864"/>
      <c r="X20" s="1824"/>
      <c r="Y20" s="3191"/>
      <c r="Z20" s="1870"/>
      <c r="AA20" s="1870"/>
      <c r="AB20" s="3199"/>
      <c r="AC20" s="1824"/>
      <c r="AD20" s="3200"/>
      <c r="AE20" s="3200"/>
      <c r="AF20" s="4876"/>
    </row>
    <row r="21" spans="1:32" ht="38.25" customHeight="1">
      <c r="A21" s="4778"/>
      <c r="B21" s="4944"/>
      <c r="C21" s="4963"/>
      <c r="D21" s="4514"/>
      <c r="E21" s="4514"/>
      <c r="F21" s="4514"/>
      <c r="G21" s="4514"/>
      <c r="H21" s="4514"/>
      <c r="I21" s="4514"/>
      <c r="J21" s="4514"/>
      <c r="K21" s="4514"/>
      <c r="L21" s="4514"/>
      <c r="M21" s="4393"/>
      <c r="N21" s="4393"/>
      <c r="O21" s="4393"/>
      <c r="P21" s="4514"/>
      <c r="Q21" s="4514"/>
      <c r="R21" s="4518"/>
      <c r="S21" s="3303"/>
      <c r="T21" s="3201"/>
      <c r="U21" s="3201"/>
      <c r="V21" s="1855"/>
      <c r="W21" s="1864"/>
      <c r="X21" s="1824"/>
      <c r="Y21" s="3191"/>
      <c r="Z21" s="1870"/>
      <c r="AA21" s="1870"/>
      <c r="AB21" s="3199"/>
      <c r="AC21" s="1824"/>
      <c r="AD21" s="3200"/>
      <c r="AE21" s="3200"/>
      <c r="AF21" s="4876"/>
    </row>
    <row r="22" spans="1:32" ht="38.25" customHeight="1">
      <c r="A22" s="4778"/>
      <c r="B22" s="4944"/>
      <c r="C22" s="4963"/>
      <c r="D22" s="4514"/>
      <c r="E22" s="4514"/>
      <c r="F22" s="4514"/>
      <c r="G22" s="4514"/>
      <c r="H22" s="4514"/>
      <c r="I22" s="4514"/>
      <c r="J22" s="4514"/>
      <c r="K22" s="4514"/>
      <c r="L22" s="4514"/>
      <c r="M22" s="4393"/>
      <c r="N22" s="4393"/>
      <c r="O22" s="4393"/>
      <c r="P22" s="4514"/>
      <c r="Q22" s="4514"/>
      <c r="R22" s="4518"/>
      <c r="S22" s="3303"/>
      <c r="T22" s="3201"/>
      <c r="U22" s="3201"/>
      <c r="V22" s="1855"/>
      <c r="W22" s="1864"/>
      <c r="X22" s="1824"/>
      <c r="Y22" s="3191"/>
      <c r="Z22" s="1870"/>
      <c r="AA22" s="1870"/>
      <c r="AB22" s="3199"/>
      <c r="AC22" s="1824"/>
      <c r="AD22" s="3200"/>
      <c r="AE22" s="3200"/>
      <c r="AF22" s="4876"/>
    </row>
    <row r="23" spans="1:32" ht="38.25" customHeight="1">
      <c r="A23" s="4778"/>
      <c r="B23" s="4944"/>
      <c r="C23" s="4945"/>
      <c r="D23" s="4525"/>
      <c r="E23" s="4525"/>
      <c r="F23" s="4525"/>
      <c r="G23" s="4525"/>
      <c r="H23" s="4525"/>
      <c r="I23" s="4525"/>
      <c r="J23" s="4525"/>
      <c r="K23" s="4525"/>
      <c r="L23" s="4525"/>
      <c r="M23" s="4402"/>
      <c r="N23" s="4402"/>
      <c r="O23" s="4402"/>
      <c r="P23" s="4525"/>
      <c r="Q23" s="4525"/>
      <c r="R23" s="4528"/>
      <c r="S23" s="3304"/>
      <c r="T23" s="3253"/>
      <c r="U23" s="3253"/>
      <c r="V23" s="3241"/>
      <c r="W23" s="3254"/>
      <c r="X23" s="3246"/>
      <c r="Y23" s="3242"/>
      <c r="Z23" s="3245"/>
      <c r="AA23" s="3245"/>
      <c r="AB23" s="3255"/>
      <c r="AC23" s="3246"/>
      <c r="AD23" s="3256"/>
      <c r="AE23" s="3256"/>
      <c r="AF23" s="4877"/>
    </row>
    <row r="24" spans="1:32" ht="48" customHeight="1">
      <c r="A24" s="4778"/>
      <c r="B24" s="4944"/>
      <c r="C24" s="4946" t="s">
        <v>272</v>
      </c>
      <c r="D24" s="4907" t="s">
        <v>679</v>
      </c>
      <c r="E24" s="4907" t="s">
        <v>4775</v>
      </c>
      <c r="F24" s="4907" t="s">
        <v>4776</v>
      </c>
      <c r="G24" s="4965" t="s">
        <v>682</v>
      </c>
      <c r="H24" s="4377" t="s">
        <v>277</v>
      </c>
      <c r="I24" s="4377" t="s">
        <v>257</v>
      </c>
      <c r="J24" s="4907" t="s">
        <v>4816</v>
      </c>
      <c r="K24" s="4907" t="s">
        <v>4809</v>
      </c>
      <c r="L24" s="4377" t="s">
        <v>4803</v>
      </c>
      <c r="M24" s="4964">
        <v>1</v>
      </c>
      <c r="N24" s="4964">
        <v>1</v>
      </c>
      <c r="O24" s="4964">
        <v>1</v>
      </c>
      <c r="P24" s="4966" t="s">
        <v>4839</v>
      </c>
      <c r="Q24" s="4377" t="s">
        <v>4866</v>
      </c>
      <c r="R24" s="4903" t="s">
        <v>4782</v>
      </c>
      <c r="S24" s="3305"/>
      <c r="T24" s="3257"/>
      <c r="U24" s="3257"/>
      <c r="V24" s="2972"/>
      <c r="W24" s="3258"/>
      <c r="X24" s="3259"/>
      <c r="Y24" s="3260"/>
      <c r="Z24" s="3252"/>
      <c r="AA24" s="3252"/>
      <c r="AB24" s="3261"/>
      <c r="AC24" s="3259"/>
      <c r="AD24" s="3262"/>
      <c r="AE24" s="3262"/>
      <c r="AF24" s="4908"/>
    </row>
    <row r="25" spans="1:32" ht="38.25" customHeight="1">
      <c r="A25" s="4778"/>
      <c r="B25" s="4944"/>
      <c r="C25" s="4935"/>
      <c r="D25" s="4514"/>
      <c r="E25" s="4514"/>
      <c r="F25" s="4514"/>
      <c r="G25" s="4514"/>
      <c r="H25" s="4514"/>
      <c r="I25" s="4514"/>
      <c r="J25" s="4514"/>
      <c r="K25" s="4514"/>
      <c r="L25" s="4514"/>
      <c r="M25" s="4393"/>
      <c r="N25" s="4393"/>
      <c r="O25" s="4393"/>
      <c r="P25" s="4514"/>
      <c r="Q25" s="4514"/>
      <c r="R25" s="4518"/>
      <c r="S25" s="3303"/>
      <c r="T25" s="3201"/>
      <c r="U25" s="3201"/>
      <c r="V25" s="1855"/>
      <c r="W25" s="1864"/>
      <c r="X25" s="1824"/>
      <c r="Y25" s="3191"/>
      <c r="Z25" s="1870"/>
      <c r="AA25" s="1870"/>
      <c r="AB25" s="3199"/>
      <c r="AC25" s="1824"/>
      <c r="AD25" s="3200"/>
      <c r="AE25" s="3200"/>
      <c r="AF25" s="4876"/>
    </row>
    <row r="26" spans="1:32" ht="40.5" customHeight="1">
      <c r="A26" s="4778"/>
      <c r="B26" s="4944"/>
      <c r="C26" s="4935"/>
      <c r="D26" s="4514"/>
      <c r="E26" s="4514"/>
      <c r="F26" s="4514"/>
      <c r="G26" s="4514"/>
      <c r="H26" s="4514"/>
      <c r="I26" s="4514"/>
      <c r="J26" s="4514"/>
      <c r="K26" s="4514"/>
      <c r="L26" s="4514"/>
      <c r="M26" s="4393"/>
      <c r="N26" s="4393"/>
      <c r="O26" s="4393"/>
      <c r="P26" s="4514"/>
      <c r="Q26" s="4514"/>
      <c r="R26" s="4518"/>
      <c r="S26" s="3303"/>
      <c r="T26" s="3201"/>
      <c r="U26" s="3201"/>
      <c r="V26" s="1855"/>
      <c r="W26" s="1864"/>
      <c r="X26" s="1824"/>
      <c r="Y26" s="3191"/>
      <c r="Z26" s="1870"/>
      <c r="AA26" s="1870"/>
      <c r="AB26" s="3199"/>
      <c r="AC26" s="1824"/>
      <c r="AD26" s="3200"/>
      <c r="AE26" s="3200"/>
      <c r="AF26" s="4876"/>
    </row>
    <row r="27" spans="1:32" ht="36" customHeight="1">
      <c r="A27" s="4778"/>
      <c r="B27" s="4944"/>
      <c r="C27" s="4935"/>
      <c r="D27" s="4514"/>
      <c r="E27" s="4514"/>
      <c r="F27" s="4514"/>
      <c r="G27" s="4514"/>
      <c r="H27" s="4514"/>
      <c r="I27" s="4514"/>
      <c r="J27" s="4514"/>
      <c r="K27" s="4514"/>
      <c r="L27" s="4514"/>
      <c r="M27" s="4393"/>
      <c r="N27" s="4393"/>
      <c r="O27" s="4393"/>
      <c r="P27" s="4514"/>
      <c r="Q27" s="4514"/>
      <c r="R27" s="4518"/>
      <c r="S27" s="3303"/>
      <c r="T27" s="3201"/>
      <c r="U27" s="3201"/>
      <c r="V27" s="1855"/>
      <c r="W27" s="1864"/>
      <c r="X27" s="1824"/>
      <c r="Y27" s="3191"/>
      <c r="Z27" s="1870"/>
      <c r="AA27" s="1870"/>
      <c r="AB27" s="3199"/>
      <c r="AC27" s="1824"/>
      <c r="AD27" s="3200"/>
      <c r="AE27" s="3200"/>
      <c r="AF27" s="4876"/>
    </row>
    <row r="28" spans="1:32" ht="43.5" customHeight="1">
      <c r="A28" s="4778"/>
      <c r="B28" s="4944"/>
      <c r="C28" s="4936"/>
      <c r="D28" s="4515"/>
      <c r="E28" s="4515"/>
      <c r="F28" s="4515"/>
      <c r="G28" s="4515"/>
      <c r="H28" s="4515"/>
      <c r="I28" s="4515"/>
      <c r="J28" s="4515"/>
      <c r="K28" s="4515"/>
      <c r="L28" s="4515"/>
      <c r="M28" s="4420"/>
      <c r="N28" s="4420"/>
      <c r="O28" s="4420"/>
      <c r="P28" s="4515"/>
      <c r="Q28" s="4515"/>
      <c r="R28" s="4519"/>
      <c r="S28" s="3306"/>
      <c r="T28" s="3264"/>
      <c r="U28" s="3264"/>
      <c r="V28" s="3232"/>
      <c r="W28" s="3233"/>
      <c r="X28" s="3234"/>
      <c r="Y28" s="3235"/>
      <c r="Z28" s="3236"/>
      <c r="AA28" s="3236"/>
      <c r="AB28" s="3237"/>
      <c r="AC28" s="3234"/>
      <c r="AD28" s="3238"/>
      <c r="AE28" s="3238"/>
      <c r="AF28" s="4880"/>
    </row>
    <row r="29" spans="1:32" ht="41.25" customHeight="1">
      <c r="A29" s="4778"/>
      <c r="B29" s="4944"/>
      <c r="C29" s="4937" t="s">
        <v>272</v>
      </c>
      <c r="D29" s="4395" t="s">
        <v>302</v>
      </c>
      <c r="E29" s="4395" t="s">
        <v>303</v>
      </c>
      <c r="F29" s="4395" t="s">
        <v>955</v>
      </c>
      <c r="G29" s="4930" t="s">
        <v>305</v>
      </c>
      <c r="H29" s="4395" t="s">
        <v>256</v>
      </c>
      <c r="I29" s="4395" t="s">
        <v>241</v>
      </c>
      <c r="J29" s="4969" t="s">
        <v>4817</v>
      </c>
      <c r="K29" s="4969" t="s">
        <v>4810</v>
      </c>
      <c r="L29" s="4395" t="s">
        <v>4802</v>
      </c>
      <c r="M29" s="4967">
        <v>1</v>
      </c>
      <c r="N29" s="4957">
        <v>1</v>
      </c>
      <c r="O29" s="4967">
        <v>1</v>
      </c>
      <c r="P29" s="4968" t="s">
        <v>4840</v>
      </c>
      <c r="Q29" s="4395" t="s">
        <v>4865</v>
      </c>
      <c r="R29" s="4897" t="s">
        <v>4782</v>
      </c>
      <c r="S29" s="3115"/>
      <c r="T29" s="3184"/>
      <c r="U29" s="3184"/>
      <c r="V29" s="2973"/>
      <c r="W29" s="3227"/>
      <c r="X29" s="3187"/>
      <c r="Y29" s="3263"/>
      <c r="Z29" s="3228"/>
      <c r="AA29" s="3228"/>
      <c r="AB29" s="3263"/>
      <c r="AC29" s="3187"/>
      <c r="AD29" s="3187"/>
      <c r="AE29" s="3187"/>
      <c r="AF29" s="4954"/>
    </row>
    <row r="30" spans="1:32" ht="41.25" customHeight="1">
      <c r="A30" s="4778"/>
      <c r="B30" s="4944"/>
      <c r="C30" s="4935"/>
      <c r="D30" s="4514"/>
      <c r="E30" s="4514"/>
      <c r="F30" s="4514"/>
      <c r="G30" s="4514"/>
      <c r="H30" s="4514"/>
      <c r="I30" s="4514"/>
      <c r="J30" s="4514"/>
      <c r="K30" s="4514"/>
      <c r="L30" s="4514"/>
      <c r="M30" s="4393"/>
      <c r="N30" s="4393"/>
      <c r="O30" s="4393"/>
      <c r="P30" s="4514"/>
      <c r="Q30" s="4514"/>
      <c r="R30" s="4518"/>
      <c r="S30" s="3303"/>
      <c r="T30" s="3188"/>
      <c r="U30" s="3188"/>
      <c r="V30" s="1855"/>
      <c r="W30" s="1864"/>
      <c r="X30" s="1824"/>
      <c r="Y30" s="3203"/>
      <c r="Z30" s="1870"/>
      <c r="AA30" s="1870"/>
      <c r="AB30" s="3203"/>
      <c r="AC30" s="1824"/>
      <c r="AD30" s="1824"/>
      <c r="AE30" s="1824"/>
      <c r="AF30" s="4876"/>
    </row>
    <row r="31" spans="1:32" ht="41.25" customHeight="1">
      <c r="A31" s="4778"/>
      <c r="B31" s="4944"/>
      <c r="C31" s="4935"/>
      <c r="D31" s="4514"/>
      <c r="E31" s="4514"/>
      <c r="F31" s="4514"/>
      <c r="G31" s="4514"/>
      <c r="H31" s="4514"/>
      <c r="I31" s="4514"/>
      <c r="J31" s="4514"/>
      <c r="K31" s="4514"/>
      <c r="L31" s="4514"/>
      <c r="M31" s="4393"/>
      <c r="N31" s="4393"/>
      <c r="O31" s="4393"/>
      <c r="P31" s="4514"/>
      <c r="Q31" s="4514"/>
      <c r="R31" s="4518"/>
      <c r="S31" s="3303"/>
      <c r="T31" s="3188"/>
      <c r="U31" s="3188"/>
      <c r="V31" s="1855"/>
      <c r="W31" s="1864"/>
      <c r="X31" s="1824"/>
      <c r="Y31" s="3203"/>
      <c r="Z31" s="1870"/>
      <c r="AA31" s="1870"/>
      <c r="AB31" s="3203"/>
      <c r="AC31" s="1824"/>
      <c r="AD31" s="1824"/>
      <c r="AE31" s="1824"/>
      <c r="AF31" s="4876"/>
    </row>
    <row r="32" spans="1:32" ht="41.25" customHeight="1">
      <c r="A32" s="4778"/>
      <c r="B32" s="4944"/>
      <c r="C32" s="4935"/>
      <c r="D32" s="4514"/>
      <c r="E32" s="4514"/>
      <c r="F32" s="4514"/>
      <c r="G32" s="4514"/>
      <c r="H32" s="4514"/>
      <c r="I32" s="4514"/>
      <c r="J32" s="4514"/>
      <c r="K32" s="4514"/>
      <c r="L32" s="4514"/>
      <c r="M32" s="4393"/>
      <c r="N32" s="4393"/>
      <c r="O32" s="4393"/>
      <c r="P32" s="4514"/>
      <c r="Q32" s="4514"/>
      <c r="R32" s="4518"/>
      <c r="S32" s="3303"/>
      <c r="T32" s="3188"/>
      <c r="U32" s="3188"/>
      <c r="V32" s="1855"/>
      <c r="W32" s="1864"/>
      <c r="X32" s="1824"/>
      <c r="Y32" s="3203"/>
      <c r="Z32" s="1870"/>
      <c r="AA32" s="1870"/>
      <c r="AB32" s="3203"/>
      <c r="AC32" s="1824"/>
      <c r="AD32" s="1824"/>
      <c r="AE32" s="1824"/>
      <c r="AF32" s="4876"/>
    </row>
    <row r="33" spans="1:32" ht="41.25" customHeight="1">
      <c r="A33" s="4778"/>
      <c r="B33" s="4944"/>
      <c r="C33" s="4945"/>
      <c r="D33" s="4525"/>
      <c r="E33" s="4525"/>
      <c r="F33" s="4525"/>
      <c r="G33" s="4525"/>
      <c r="H33" s="4525"/>
      <c r="I33" s="4525"/>
      <c r="J33" s="4525"/>
      <c r="K33" s="4525"/>
      <c r="L33" s="4525"/>
      <c r="M33" s="4402"/>
      <c r="N33" s="4402"/>
      <c r="O33" s="4402"/>
      <c r="P33" s="4525"/>
      <c r="Q33" s="4525"/>
      <c r="R33" s="4528"/>
      <c r="S33" s="3304"/>
      <c r="T33" s="3240"/>
      <c r="U33" s="3240"/>
      <c r="V33" s="3241"/>
      <c r="W33" s="3254"/>
      <c r="X33" s="3246"/>
      <c r="Y33" s="3269"/>
      <c r="Z33" s="3245"/>
      <c r="AA33" s="3245"/>
      <c r="AB33" s="3269"/>
      <c r="AC33" s="3246"/>
      <c r="AD33" s="3246"/>
      <c r="AE33" s="3246"/>
      <c r="AF33" s="4877"/>
    </row>
    <row r="34" spans="1:32" ht="30.75" customHeight="1">
      <c r="A34" s="4778"/>
      <c r="B34" s="4944"/>
      <c r="C34" s="4934" t="s">
        <v>272</v>
      </c>
      <c r="D34" s="4377" t="s">
        <v>302</v>
      </c>
      <c r="E34" s="4377" t="s">
        <v>303</v>
      </c>
      <c r="F34" s="4377" t="s">
        <v>955</v>
      </c>
      <c r="G34" s="4906" t="s">
        <v>305</v>
      </c>
      <c r="H34" s="4377" t="s">
        <v>240</v>
      </c>
      <c r="I34" s="4377" t="s">
        <v>278</v>
      </c>
      <c r="J34" s="4907" t="s">
        <v>4818</v>
      </c>
      <c r="K34" s="4907" t="s">
        <v>4811</v>
      </c>
      <c r="L34" s="4377" t="s">
        <v>4801</v>
      </c>
      <c r="M34" s="4392">
        <v>0</v>
      </c>
      <c r="N34" s="4392">
        <v>1</v>
      </c>
      <c r="O34" s="4392">
        <v>1</v>
      </c>
      <c r="P34" s="4377" t="s">
        <v>4841</v>
      </c>
      <c r="Q34" s="4377" t="s">
        <v>4864</v>
      </c>
      <c r="R34" s="4903" t="s">
        <v>4782</v>
      </c>
      <c r="S34" s="3305"/>
      <c r="T34" s="3270"/>
      <c r="U34" s="3270"/>
      <c r="V34" s="2972"/>
      <c r="W34" s="3258"/>
      <c r="X34" s="3259"/>
      <c r="Y34" s="3260"/>
      <c r="Z34" s="3252"/>
      <c r="AA34" s="3252"/>
      <c r="AB34" s="3261"/>
      <c r="AC34" s="3259"/>
      <c r="AD34" s="3262"/>
      <c r="AE34" s="3262"/>
      <c r="AF34" s="4908"/>
    </row>
    <row r="35" spans="1:32" ht="30.75" customHeight="1">
      <c r="A35" s="4778"/>
      <c r="B35" s="4944"/>
      <c r="C35" s="4935"/>
      <c r="D35" s="4514"/>
      <c r="E35" s="4514"/>
      <c r="F35" s="4514"/>
      <c r="G35" s="4514"/>
      <c r="H35" s="4514"/>
      <c r="I35" s="4514"/>
      <c r="J35" s="4514"/>
      <c r="K35" s="4514"/>
      <c r="L35" s="4514"/>
      <c r="M35" s="4393"/>
      <c r="N35" s="4393"/>
      <c r="O35" s="4393"/>
      <c r="P35" s="4514"/>
      <c r="Q35" s="4514"/>
      <c r="R35" s="4518"/>
      <c r="S35" s="3303"/>
      <c r="T35" s="1849"/>
      <c r="U35" s="1849"/>
      <c r="V35" s="1855"/>
      <c r="W35" s="1864"/>
      <c r="X35" s="1824"/>
      <c r="Y35" s="3191"/>
      <c r="Z35" s="1870"/>
      <c r="AA35" s="1870"/>
      <c r="AB35" s="3199"/>
      <c r="AC35" s="1824"/>
      <c r="AD35" s="3200"/>
      <c r="AE35" s="3200"/>
      <c r="AF35" s="4876"/>
    </row>
    <row r="36" spans="1:32" ht="30.75" customHeight="1">
      <c r="A36" s="4778"/>
      <c r="B36" s="4944"/>
      <c r="C36" s="4935"/>
      <c r="D36" s="4514"/>
      <c r="E36" s="4514"/>
      <c r="F36" s="4514"/>
      <c r="G36" s="4514"/>
      <c r="H36" s="4514"/>
      <c r="I36" s="4514"/>
      <c r="J36" s="4514"/>
      <c r="K36" s="4514"/>
      <c r="L36" s="4514"/>
      <c r="M36" s="4393"/>
      <c r="N36" s="4393"/>
      <c r="O36" s="4393"/>
      <c r="P36" s="4514"/>
      <c r="Q36" s="4514"/>
      <c r="R36" s="4518"/>
      <c r="S36" s="3303"/>
      <c r="T36" s="1849"/>
      <c r="U36" s="1849"/>
      <c r="V36" s="1855"/>
      <c r="W36" s="1864"/>
      <c r="X36" s="1824"/>
      <c r="Y36" s="3191"/>
      <c r="Z36" s="1870"/>
      <c r="AA36" s="1870"/>
      <c r="AB36" s="3199"/>
      <c r="AC36" s="1824"/>
      <c r="AD36" s="3200"/>
      <c r="AE36" s="3200"/>
      <c r="AF36" s="4876"/>
    </row>
    <row r="37" spans="1:32" ht="30.75" customHeight="1">
      <c r="A37" s="4778"/>
      <c r="B37" s="4944"/>
      <c r="C37" s="4935"/>
      <c r="D37" s="4514"/>
      <c r="E37" s="4514"/>
      <c r="F37" s="4514"/>
      <c r="G37" s="4514"/>
      <c r="H37" s="4514"/>
      <c r="I37" s="4514"/>
      <c r="J37" s="4514"/>
      <c r="K37" s="4514"/>
      <c r="L37" s="4514"/>
      <c r="M37" s="4393"/>
      <c r="N37" s="4393"/>
      <c r="O37" s="4393"/>
      <c r="P37" s="4514"/>
      <c r="Q37" s="4514"/>
      <c r="R37" s="4518"/>
      <c r="S37" s="3303"/>
      <c r="T37" s="1849"/>
      <c r="U37" s="1849"/>
      <c r="V37" s="1855"/>
      <c r="W37" s="1864"/>
      <c r="X37" s="1824"/>
      <c r="Y37" s="3191"/>
      <c r="Z37" s="1870"/>
      <c r="AA37" s="1870"/>
      <c r="AB37" s="3199"/>
      <c r="AC37" s="1824"/>
      <c r="AD37" s="3200"/>
      <c r="AE37" s="3200"/>
      <c r="AF37" s="4876"/>
    </row>
    <row r="38" spans="1:32" ht="30.75" customHeight="1">
      <c r="A38" s="4778"/>
      <c r="B38" s="4944"/>
      <c r="C38" s="4936"/>
      <c r="D38" s="4515"/>
      <c r="E38" s="4515"/>
      <c r="F38" s="4515"/>
      <c r="G38" s="4515"/>
      <c r="H38" s="4515"/>
      <c r="I38" s="4515"/>
      <c r="J38" s="4515"/>
      <c r="K38" s="4515"/>
      <c r="L38" s="4515"/>
      <c r="M38" s="4420"/>
      <c r="N38" s="4420"/>
      <c r="O38" s="4420"/>
      <c r="P38" s="4515"/>
      <c r="Q38" s="4515"/>
      <c r="R38" s="4519"/>
      <c r="S38" s="3306"/>
      <c r="T38" s="3268"/>
      <c r="U38" s="3268"/>
      <c r="V38" s="3232"/>
      <c r="W38" s="3233"/>
      <c r="X38" s="3234"/>
      <c r="Y38" s="3235"/>
      <c r="Z38" s="3236"/>
      <c r="AA38" s="3236"/>
      <c r="AB38" s="3237"/>
      <c r="AC38" s="3234"/>
      <c r="AD38" s="3238"/>
      <c r="AE38" s="3238"/>
      <c r="AF38" s="4880"/>
    </row>
    <row r="39" spans="1:32" ht="42" customHeight="1">
      <c r="A39" s="4778"/>
      <c r="B39" s="4944"/>
      <c r="C39" s="4937" t="s">
        <v>272</v>
      </c>
      <c r="D39" s="4395" t="s">
        <v>302</v>
      </c>
      <c r="E39" s="4395" t="s">
        <v>303</v>
      </c>
      <c r="F39" s="4395" t="s">
        <v>955</v>
      </c>
      <c r="G39" s="4930" t="s">
        <v>305</v>
      </c>
      <c r="H39" s="4395" t="s">
        <v>240</v>
      </c>
      <c r="I39" s="4395" t="s">
        <v>241</v>
      </c>
      <c r="J39" s="4896" t="s">
        <v>4819</v>
      </c>
      <c r="K39" s="4896" t="s">
        <v>4812</v>
      </c>
      <c r="L39" s="4395" t="s">
        <v>4800</v>
      </c>
      <c r="M39" s="4401">
        <v>1</v>
      </c>
      <c r="N39" s="4401">
        <v>1</v>
      </c>
      <c r="O39" s="4401">
        <v>0</v>
      </c>
      <c r="P39" s="4395" t="s">
        <v>4842</v>
      </c>
      <c r="Q39" s="4395" t="s">
        <v>4863</v>
      </c>
      <c r="R39" s="4897" t="s">
        <v>4782</v>
      </c>
      <c r="S39" s="3307" t="s">
        <v>39</v>
      </c>
      <c r="T39" s="3265">
        <v>530612</v>
      </c>
      <c r="U39" s="3072"/>
      <c r="V39" s="2973" t="s">
        <v>87</v>
      </c>
      <c r="W39" s="3266"/>
      <c r="X39" s="3267"/>
      <c r="Y39" s="3228"/>
      <c r="Z39" s="3228"/>
      <c r="AA39" s="3228"/>
      <c r="AB39" s="3330">
        <f>SUM($AA$40)</f>
        <v>40000</v>
      </c>
      <c r="AC39" s="3187"/>
      <c r="AD39" s="3230"/>
      <c r="AE39" s="3230"/>
      <c r="AF39" s="4954" t="s">
        <v>4778</v>
      </c>
    </row>
    <row r="40" spans="1:32" ht="42" customHeight="1">
      <c r="A40" s="4778"/>
      <c r="B40" s="4944"/>
      <c r="C40" s="4935"/>
      <c r="D40" s="4514"/>
      <c r="E40" s="4514"/>
      <c r="F40" s="4514"/>
      <c r="G40" s="4514"/>
      <c r="H40" s="4514"/>
      <c r="I40" s="4514"/>
      <c r="J40" s="4514"/>
      <c r="K40" s="4514"/>
      <c r="L40" s="4514"/>
      <c r="M40" s="4393"/>
      <c r="N40" s="4393"/>
      <c r="O40" s="4393"/>
      <c r="P40" s="4514"/>
      <c r="Q40" s="4514"/>
      <c r="R40" s="4518"/>
      <c r="S40" s="3302"/>
      <c r="T40" s="3195"/>
      <c r="U40" s="3204"/>
      <c r="V40" s="1855" t="s">
        <v>956</v>
      </c>
      <c r="W40" s="3205">
        <v>1</v>
      </c>
      <c r="X40" s="1824" t="s">
        <v>269</v>
      </c>
      <c r="Y40" s="3191">
        <f>W42/1.12</f>
        <v>35714.28571428571</v>
      </c>
      <c r="Z40" s="1870">
        <f>+W40*Y40</f>
        <v>35714.28571428571</v>
      </c>
      <c r="AA40" s="1870">
        <f>+Z40*1.12</f>
        <v>40000</v>
      </c>
      <c r="AB40" s="1870"/>
      <c r="AC40" s="1824"/>
      <c r="AD40" s="3206" t="s">
        <v>251</v>
      </c>
      <c r="AE40" s="3206" t="s">
        <v>251</v>
      </c>
      <c r="AF40" s="4876"/>
    </row>
    <row r="41" spans="1:32" ht="42" customHeight="1">
      <c r="A41" s="4778"/>
      <c r="B41" s="4944"/>
      <c r="C41" s="4935"/>
      <c r="D41" s="4514"/>
      <c r="E41" s="4514"/>
      <c r="F41" s="4514"/>
      <c r="G41" s="4514"/>
      <c r="H41" s="4514"/>
      <c r="I41" s="4514"/>
      <c r="J41" s="4514"/>
      <c r="K41" s="4514"/>
      <c r="L41" s="4514"/>
      <c r="M41" s="4393"/>
      <c r="N41" s="4393"/>
      <c r="O41" s="4393"/>
      <c r="P41" s="4514"/>
      <c r="Q41" s="4514"/>
      <c r="R41" s="4518"/>
      <c r="S41" s="3302"/>
      <c r="T41" s="1849"/>
      <c r="U41" s="1849"/>
      <c r="V41" s="1855"/>
      <c r="W41" s="1864"/>
      <c r="X41" s="1824"/>
      <c r="Y41" s="3191"/>
      <c r="Z41" s="3191"/>
      <c r="AA41" s="3191"/>
      <c r="AB41" s="3199"/>
      <c r="AC41" s="1824"/>
      <c r="AD41" s="3200"/>
      <c r="AE41" s="3200"/>
      <c r="AF41" s="4876"/>
    </row>
    <row r="42" spans="1:32" ht="42" customHeight="1">
      <c r="A42" s="4778"/>
      <c r="B42" s="4944"/>
      <c r="C42" s="4935"/>
      <c r="D42" s="4514"/>
      <c r="E42" s="4514"/>
      <c r="F42" s="4514"/>
      <c r="G42" s="4514"/>
      <c r="H42" s="4514"/>
      <c r="I42" s="4514"/>
      <c r="J42" s="4514"/>
      <c r="K42" s="4514"/>
      <c r="L42" s="4514"/>
      <c r="M42" s="4393"/>
      <c r="N42" s="4393"/>
      <c r="O42" s="4393"/>
      <c r="P42" s="4514"/>
      <c r="Q42" s="4514"/>
      <c r="R42" s="4518"/>
      <c r="S42" s="3302"/>
      <c r="T42" s="1849"/>
      <c r="U42" s="1849"/>
      <c r="V42" s="1855"/>
      <c r="W42" s="3207">
        <v>40000</v>
      </c>
      <c r="X42" s="1824"/>
      <c r="Y42" s="3191"/>
      <c r="Z42" s="3191"/>
      <c r="AA42" s="3191"/>
      <c r="AB42" s="3199"/>
      <c r="AC42" s="1824"/>
      <c r="AD42" s="3200"/>
      <c r="AE42" s="3200"/>
      <c r="AF42" s="4876"/>
    </row>
    <row r="43" spans="1:32" ht="42" customHeight="1">
      <c r="A43" s="4778"/>
      <c r="B43" s="4944"/>
      <c r="C43" s="4945"/>
      <c r="D43" s="4525"/>
      <c r="E43" s="4525"/>
      <c r="F43" s="4525"/>
      <c r="G43" s="4525"/>
      <c r="H43" s="4525"/>
      <c r="I43" s="4525"/>
      <c r="J43" s="4525"/>
      <c r="K43" s="4525"/>
      <c r="L43" s="4525"/>
      <c r="M43" s="4402"/>
      <c r="N43" s="4402"/>
      <c r="O43" s="4402"/>
      <c r="P43" s="4525"/>
      <c r="Q43" s="4525"/>
      <c r="R43" s="4528"/>
      <c r="S43" s="3308"/>
      <c r="T43" s="3271"/>
      <c r="U43" s="3271"/>
      <c r="V43" s="3241"/>
      <c r="W43" s="3254"/>
      <c r="X43" s="3246"/>
      <c r="Y43" s="3242"/>
      <c r="Z43" s="3242"/>
      <c r="AA43" s="3242"/>
      <c r="AB43" s="3255"/>
      <c r="AC43" s="3246"/>
      <c r="AD43" s="3256"/>
      <c r="AE43" s="3256"/>
      <c r="AF43" s="4877"/>
    </row>
    <row r="44" spans="1:32" ht="18" customHeight="1">
      <c r="A44" s="4778"/>
      <c r="B44" s="4944"/>
      <c r="C44" s="4934" t="s">
        <v>272</v>
      </c>
      <c r="D44" s="4377" t="s">
        <v>302</v>
      </c>
      <c r="E44" s="4377" t="s">
        <v>388</v>
      </c>
      <c r="F44" s="4377" t="s">
        <v>944</v>
      </c>
      <c r="G44" s="4906" t="s">
        <v>305</v>
      </c>
      <c r="H44" s="4377" t="s">
        <v>306</v>
      </c>
      <c r="I44" s="4377" t="s">
        <v>278</v>
      </c>
      <c r="J44" s="4907" t="s">
        <v>4820</v>
      </c>
      <c r="K44" s="4907" t="s">
        <v>957</v>
      </c>
      <c r="L44" s="4956" t="s">
        <v>4799</v>
      </c>
      <c r="M44" s="4392">
        <v>1</v>
      </c>
      <c r="N44" s="4392">
        <v>0</v>
      </c>
      <c r="O44" s="4392">
        <v>1</v>
      </c>
      <c r="P44" s="4377" t="s">
        <v>4843</v>
      </c>
      <c r="Q44" s="4391" t="s">
        <v>4862</v>
      </c>
      <c r="R44" s="4903" t="s">
        <v>4782</v>
      </c>
      <c r="S44" s="3305"/>
      <c r="T44" s="3272"/>
      <c r="U44" s="3270"/>
      <c r="V44" s="2972"/>
      <c r="W44" s="3273"/>
      <c r="X44" s="3259"/>
      <c r="Y44" s="3260"/>
      <c r="Z44" s="3260"/>
      <c r="AA44" s="3260"/>
      <c r="AB44" s="3261"/>
      <c r="AC44" s="3259"/>
      <c r="AD44" s="3262"/>
      <c r="AE44" s="3262"/>
      <c r="AF44" s="4908"/>
    </row>
    <row r="45" spans="1:32" ht="18" customHeight="1">
      <c r="A45" s="4778"/>
      <c r="B45" s="4944"/>
      <c r="C45" s="4935"/>
      <c r="D45" s="4514"/>
      <c r="E45" s="4514"/>
      <c r="F45" s="4514"/>
      <c r="G45" s="4514"/>
      <c r="H45" s="4514"/>
      <c r="I45" s="4514"/>
      <c r="J45" s="4514"/>
      <c r="K45" s="4514"/>
      <c r="L45" s="4514"/>
      <c r="M45" s="4393"/>
      <c r="N45" s="4393"/>
      <c r="O45" s="4393"/>
      <c r="P45" s="4514"/>
      <c r="Q45" s="4514"/>
      <c r="R45" s="4518"/>
      <c r="S45" s="3303"/>
      <c r="T45" s="1849"/>
      <c r="U45" s="1849"/>
      <c r="V45" s="1855"/>
      <c r="W45" s="1864"/>
      <c r="X45" s="1824"/>
      <c r="Y45" s="3191"/>
      <c r="Z45" s="3191"/>
      <c r="AA45" s="3191"/>
      <c r="AB45" s="3199"/>
      <c r="AC45" s="1824"/>
      <c r="AD45" s="3200"/>
      <c r="AE45" s="3200"/>
      <c r="AF45" s="4876"/>
    </row>
    <row r="46" spans="1:32" ht="18" customHeight="1">
      <c r="A46" s="4778"/>
      <c r="B46" s="4944"/>
      <c r="C46" s="4935"/>
      <c r="D46" s="4514"/>
      <c r="E46" s="4514"/>
      <c r="F46" s="4514"/>
      <c r="G46" s="4514"/>
      <c r="H46" s="4514"/>
      <c r="I46" s="4514"/>
      <c r="J46" s="4514"/>
      <c r="K46" s="4514"/>
      <c r="L46" s="4514"/>
      <c r="M46" s="4393"/>
      <c r="N46" s="4393"/>
      <c r="O46" s="4393"/>
      <c r="P46" s="4514"/>
      <c r="Q46" s="4514"/>
      <c r="R46" s="4518"/>
      <c r="S46" s="3303"/>
      <c r="T46" s="1849"/>
      <c r="U46" s="1849"/>
      <c r="V46" s="3208"/>
      <c r="W46" s="1864"/>
      <c r="X46" s="1824"/>
      <c r="Y46" s="3191"/>
      <c r="Z46" s="3191"/>
      <c r="AA46" s="3191"/>
      <c r="AB46" s="3199"/>
      <c r="AC46" s="1824"/>
      <c r="AD46" s="3200"/>
      <c r="AE46" s="3200"/>
      <c r="AF46" s="4876"/>
    </row>
    <row r="47" spans="1:32" ht="18" customHeight="1">
      <c r="A47" s="4778"/>
      <c r="B47" s="4944"/>
      <c r="C47" s="4935"/>
      <c r="D47" s="4514"/>
      <c r="E47" s="4514"/>
      <c r="F47" s="4514"/>
      <c r="G47" s="4514"/>
      <c r="H47" s="4514"/>
      <c r="I47" s="4514"/>
      <c r="J47" s="4514"/>
      <c r="K47" s="4514"/>
      <c r="L47" s="4514"/>
      <c r="M47" s="4393"/>
      <c r="N47" s="4393"/>
      <c r="O47" s="4393"/>
      <c r="P47" s="4514"/>
      <c r="Q47" s="4514"/>
      <c r="R47" s="4518"/>
      <c r="S47" s="3303"/>
      <c r="T47" s="1849"/>
      <c r="U47" s="1849"/>
      <c r="V47" s="1855"/>
      <c r="W47" s="1864"/>
      <c r="X47" s="1824"/>
      <c r="Y47" s="3191"/>
      <c r="Z47" s="3191"/>
      <c r="AA47" s="3191"/>
      <c r="AB47" s="3199"/>
      <c r="AC47" s="1824"/>
      <c r="AD47" s="3200"/>
      <c r="AE47" s="3200"/>
      <c r="AF47" s="4876"/>
    </row>
    <row r="48" spans="1:32" ht="18" customHeight="1">
      <c r="A48" s="4778"/>
      <c r="B48" s="4944"/>
      <c r="C48" s="4935"/>
      <c r="D48" s="4514"/>
      <c r="E48" s="4514"/>
      <c r="F48" s="4514"/>
      <c r="G48" s="4514"/>
      <c r="H48" s="4514"/>
      <c r="I48" s="4514"/>
      <c r="J48" s="4514"/>
      <c r="K48" s="4514"/>
      <c r="L48" s="4514"/>
      <c r="M48" s="4393"/>
      <c r="N48" s="4393"/>
      <c r="O48" s="4393"/>
      <c r="P48" s="4514"/>
      <c r="Q48" s="4514"/>
      <c r="R48" s="4518"/>
      <c r="S48" s="3303"/>
      <c r="T48" s="1849"/>
      <c r="U48" s="1849"/>
      <c r="V48" s="1855"/>
      <c r="W48" s="1864"/>
      <c r="X48" s="1824"/>
      <c r="Y48" s="3191"/>
      <c r="Z48" s="3191"/>
      <c r="AA48" s="3191"/>
      <c r="AB48" s="3199"/>
      <c r="AC48" s="1824"/>
      <c r="AD48" s="3200"/>
      <c r="AE48" s="3200"/>
      <c r="AF48" s="4876"/>
    </row>
    <row r="49" spans="1:32" ht="18" customHeight="1">
      <c r="A49" s="4778"/>
      <c r="B49" s="4944"/>
      <c r="C49" s="4936"/>
      <c r="D49" s="4515"/>
      <c r="E49" s="4515"/>
      <c r="F49" s="4515"/>
      <c r="G49" s="4515"/>
      <c r="H49" s="4515"/>
      <c r="I49" s="4515"/>
      <c r="J49" s="4515"/>
      <c r="K49" s="4515"/>
      <c r="L49" s="4515"/>
      <c r="M49" s="4420"/>
      <c r="N49" s="4420"/>
      <c r="O49" s="4420"/>
      <c r="P49" s="4515"/>
      <c r="Q49" s="4515"/>
      <c r="R49" s="4519"/>
      <c r="S49" s="3306"/>
      <c r="T49" s="3268"/>
      <c r="U49" s="3268"/>
      <c r="V49" s="3232"/>
      <c r="W49" s="3233"/>
      <c r="X49" s="3234"/>
      <c r="Y49" s="3235"/>
      <c r="Z49" s="3235"/>
      <c r="AA49" s="3235"/>
      <c r="AB49" s="3237"/>
      <c r="AC49" s="3234"/>
      <c r="AD49" s="3238"/>
      <c r="AE49" s="3238"/>
      <c r="AF49" s="4880"/>
    </row>
    <row r="50" spans="1:32" ht="25.5" customHeight="1">
      <c r="A50" s="4778"/>
      <c r="B50" s="4944"/>
      <c r="C50" s="4937" t="s">
        <v>272</v>
      </c>
      <c r="D50" s="4395" t="s">
        <v>302</v>
      </c>
      <c r="E50" s="4395" t="s">
        <v>303</v>
      </c>
      <c r="F50" s="4395" t="s">
        <v>955</v>
      </c>
      <c r="G50" s="4930" t="s">
        <v>305</v>
      </c>
      <c r="H50" s="4395" t="s">
        <v>240</v>
      </c>
      <c r="I50" s="4395" t="s">
        <v>241</v>
      </c>
      <c r="J50" s="4896" t="s">
        <v>4821</v>
      </c>
      <c r="K50" s="4896" t="s">
        <v>958</v>
      </c>
      <c r="L50" s="4399" t="s">
        <v>4798</v>
      </c>
      <c r="M50" s="4401">
        <v>1</v>
      </c>
      <c r="N50" s="4401">
        <v>1</v>
      </c>
      <c r="O50" s="4401">
        <v>1</v>
      </c>
      <c r="P50" s="4395" t="s">
        <v>4870</v>
      </c>
      <c r="Q50" s="4395" t="s">
        <v>4861</v>
      </c>
      <c r="R50" s="4897" t="s">
        <v>4782</v>
      </c>
      <c r="S50" s="3115"/>
      <c r="T50" s="3274"/>
      <c r="U50" s="3071"/>
      <c r="V50" s="2973"/>
      <c r="W50" s="3227"/>
      <c r="X50" s="3187"/>
      <c r="Y50" s="3185"/>
      <c r="Z50" s="3185"/>
      <c r="AA50" s="3185"/>
      <c r="AB50" s="3229"/>
      <c r="AC50" s="3187"/>
      <c r="AD50" s="3230"/>
      <c r="AE50" s="3230"/>
      <c r="AF50" s="4954"/>
    </row>
    <row r="51" spans="1:32" ht="25.5" customHeight="1">
      <c r="A51" s="4778"/>
      <c r="B51" s="4944"/>
      <c r="C51" s="4935"/>
      <c r="D51" s="4514"/>
      <c r="E51" s="4514"/>
      <c r="F51" s="4514"/>
      <c r="G51" s="4514"/>
      <c r="H51" s="4514"/>
      <c r="I51" s="4514"/>
      <c r="J51" s="4514"/>
      <c r="K51" s="4514"/>
      <c r="L51" s="4514"/>
      <c r="M51" s="4393"/>
      <c r="N51" s="4393"/>
      <c r="O51" s="4393"/>
      <c r="P51" s="4514"/>
      <c r="Q51" s="4514"/>
      <c r="R51" s="4518"/>
      <c r="S51" s="3303"/>
      <c r="T51" s="1849"/>
      <c r="U51" s="1849"/>
      <c r="V51" s="1855"/>
      <c r="W51" s="1864"/>
      <c r="X51" s="1824"/>
      <c r="Y51" s="3191"/>
      <c r="Z51" s="3191"/>
      <c r="AA51" s="3191"/>
      <c r="AB51" s="3199"/>
      <c r="AC51" s="1824"/>
      <c r="AD51" s="3200"/>
      <c r="AE51" s="3200"/>
      <c r="AF51" s="4876"/>
    </row>
    <row r="52" spans="1:32" ht="25.5" customHeight="1">
      <c r="A52" s="4778"/>
      <c r="B52" s="4944"/>
      <c r="C52" s="4935"/>
      <c r="D52" s="4514"/>
      <c r="E52" s="4514"/>
      <c r="F52" s="4514"/>
      <c r="G52" s="4514"/>
      <c r="H52" s="4514"/>
      <c r="I52" s="4514"/>
      <c r="J52" s="4514"/>
      <c r="K52" s="4514"/>
      <c r="L52" s="4514"/>
      <c r="M52" s="4393"/>
      <c r="N52" s="4393"/>
      <c r="O52" s="4393"/>
      <c r="P52" s="4514"/>
      <c r="Q52" s="4514"/>
      <c r="R52" s="4518"/>
      <c r="S52" s="3303"/>
      <c r="T52" s="1849"/>
      <c r="U52" s="1849"/>
      <c r="V52" s="3208"/>
      <c r="W52" s="1864"/>
      <c r="X52" s="1824"/>
      <c r="Y52" s="3191"/>
      <c r="Z52" s="3191"/>
      <c r="AA52" s="3191"/>
      <c r="AB52" s="3199"/>
      <c r="AC52" s="1824"/>
      <c r="AD52" s="3200"/>
      <c r="AE52" s="3200"/>
      <c r="AF52" s="4876"/>
    </row>
    <row r="53" spans="1:32" ht="25.5" customHeight="1">
      <c r="A53" s="4778"/>
      <c r="B53" s="4944"/>
      <c r="C53" s="4935"/>
      <c r="D53" s="4514"/>
      <c r="E53" s="4514"/>
      <c r="F53" s="4514"/>
      <c r="G53" s="4514"/>
      <c r="H53" s="4514"/>
      <c r="I53" s="4514"/>
      <c r="J53" s="4514"/>
      <c r="K53" s="4514"/>
      <c r="L53" s="4514"/>
      <c r="M53" s="4393"/>
      <c r="N53" s="4393"/>
      <c r="O53" s="4393"/>
      <c r="P53" s="4514"/>
      <c r="Q53" s="4514"/>
      <c r="R53" s="4518"/>
      <c r="S53" s="3303"/>
      <c r="T53" s="1849"/>
      <c r="U53" s="1849"/>
      <c r="V53" s="1855"/>
      <c r="W53" s="1864"/>
      <c r="X53" s="1824"/>
      <c r="Y53" s="3191"/>
      <c r="Z53" s="3191"/>
      <c r="AA53" s="3191"/>
      <c r="AB53" s="3199"/>
      <c r="AC53" s="1824"/>
      <c r="AD53" s="3200"/>
      <c r="AE53" s="3200"/>
      <c r="AF53" s="4876"/>
    </row>
    <row r="54" spans="1:32" ht="25.5" customHeight="1">
      <c r="A54" s="4778"/>
      <c r="B54" s="4944"/>
      <c r="C54" s="4935"/>
      <c r="D54" s="4514"/>
      <c r="E54" s="4514"/>
      <c r="F54" s="4514"/>
      <c r="G54" s="4514"/>
      <c r="H54" s="4514"/>
      <c r="I54" s="4514"/>
      <c r="J54" s="4514"/>
      <c r="K54" s="4514"/>
      <c r="L54" s="4514"/>
      <c r="M54" s="4393"/>
      <c r="N54" s="4393"/>
      <c r="O54" s="4393"/>
      <c r="P54" s="4514"/>
      <c r="Q54" s="4514"/>
      <c r="R54" s="4518"/>
      <c r="S54" s="3303"/>
      <c r="T54" s="1849"/>
      <c r="U54" s="1849"/>
      <c r="V54" s="1855"/>
      <c r="W54" s="1864"/>
      <c r="X54" s="1824"/>
      <c r="Y54" s="3191"/>
      <c r="Z54" s="3191"/>
      <c r="AA54" s="3191"/>
      <c r="AB54" s="3199"/>
      <c r="AC54" s="1824"/>
      <c r="AD54" s="3200"/>
      <c r="AE54" s="3200"/>
      <c r="AF54" s="4876"/>
    </row>
    <row r="55" spans="1:32" ht="25.5" customHeight="1">
      <c r="A55" s="4778"/>
      <c r="B55" s="4944"/>
      <c r="C55" s="4945"/>
      <c r="D55" s="4525"/>
      <c r="E55" s="4525"/>
      <c r="F55" s="4525"/>
      <c r="G55" s="4525"/>
      <c r="H55" s="4525"/>
      <c r="I55" s="4525"/>
      <c r="J55" s="4525"/>
      <c r="K55" s="4525"/>
      <c r="L55" s="4525"/>
      <c r="M55" s="4402"/>
      <c r="N55" s="4402"/>
      <c r="O55" s="4402"/>
      <c r="P55" s="4525"/>
      <c r="Q55" s="4525"/>
      <c r="R55" s="4528"/>
      <c r="S55" s="3304"/>
      <c r="T55" s="3271"/>
      <c r="U55" s="3271"/>
      <c r="V55" s="3241"/>
      <c r="W55" s="3254"/>
      <c r="X55" s="3246"/>
      <c r="Y55" s="3242"/>
      <c r="Z55" s="3242"/>
      <c r="AA55" s="3242"/>
      <c r="AB55" s="3255"/>
      <c r="AC55" s="3246"/>
      <c r="AD55" s="3256"/>
      <c r="AE55" s="3256"/>
      <c r="AF55" s="4877"/>
    </row>
    <row r="56" spans="1:32" ht="45.75" customHeight="1">
      <c r="A56" s="4778"/>
      <c r="B56" s="4944"/>
      <c r="C56" s="4934" t="s">
        <v>272</v>
      </c>
      <c r="D56" s="4377" t="s">
        <v>302</v>
      </c>
      <c r="E56" s="4377" t="s">
        <v>303</v>
      </c>
      <c r="F56" s="4377" t="s">
        <v>955</v>
      </c>
      <c r="G56" s="4906" t="s">
        <v>305</v>
      </c>
      <c r="H56" s="4377" t="s">
        <v>256</v>
      </c>
      <c r="I56" s="4377" t="s">
        <v>241</v>
      </c>
      <c r="J56" s="4907" t="s">
        <v>4822</v>
      </c>
      <c r="K56" s="4907" t="s">
        <v>959</v>
      </c>
      <c r="L56" s="4377" t="s">
        <v>4797</v>
      </c>
      <c r="M56" s="4392">
        <v>0</v>
      </c>
      <c r="N56" s="4392">
        <v>1</v>
      </c>
      <c r="O56" s="4392">
        <v>0</v>
      </c>
      <c r="P56" s="4377" t="s">
        <v>4844</v>
      </c>
      <c r="Q56" s="4377" t="s">
        <v>4860</v>
      </c>
      <c r="R56" s="4903" t="s">
        <v>4782</v>
      </c>
      <c r="S56" s="3305"/>
      <c r="T56" s="3272"/>
      <c r="U56" s="3270"/>
      <c r="V56" s="2972"/>
      <c r="W56" s="3258"/>
      <c r="X56" s="3259"/>
      <c r="Y56" s="3260"/>
      <c r="Z56" s="3260"/>
      <c r="AA56" s="3260"/>
      <c r="AB56" s="3261"/>
      <c r="AC56" s="3259"/>
      <c r="AD56" s="3262"/>
      <c r="AE56" s="3262"/>
      <c r="AF56" s="4908"/>
    </row>
    <row r="57" spans="1:32" ht="45.75" customHeight="1">
      <c r="A57" s="4778"/>
      <c r="B57" s="4944"/>
      <c r="C57" s="4935"/>
      <c r="D57" s="4514"/>
      <c r="E57" s="4514"/>
      <c r="F57" s="4514"/>
      <c r="G57" s="4514"/>
      <c r="H57" s="4514"/>
      <c r="I57" s="4514"/>
      <c r="J57" s="4514"/>
      <c r="K57" s="4514"/>
      <c r="L57" s="4514"/>
      <c r="M57" s="4393"/>
      <c r="N57" s="4393"/>
      <c r="O57" s="4393"/>
      <c r="P57" s="4514"/>
      <c r="Q57" s="4514"/>
      <c r="R57" s="4518"/>
      <c r="S57" s="3303"/>
      <c r="T57" s="1849"/>
      <c r="U57" s="1849"/>
      <c r="V57" s="1855"/>
      <c r="W57" s="1864"/>
      <c r="X57" s="1824"/>
      <c r="Y57" s="3191"/>
      <c r="Z57" s="3191"/>
      <c r="AA57" s="3191"/>
      <c r="AB57" s="3199"/>
      <c r="AC57" s="1824"/>
      <c r="AD57" s="3200"/>
      <c r="AE57" s="3200"/>
      <c r="AF57" s="4876"/>
    </row>
    <row r="58" spans="1:32" ht="45.75" customHeight="1">
      <c r="A58" s="4778"/>
      <c r="B58" s="4944"/>
      <c r="C58" s="4935"/>
      <c r="D58" s="4514"/>
      <c r="E58" s="4514"/>
      <c r="F58" s="4514"/>
      <c r="G58" s="4514"/>
      <c r="H58" s="4514"/>
      <c r="I58" s="4514"/>
      <c r="J58" s="4514"/>
      <c r="K58" s="4514"/>
      <c r="L58" s="4514"/>
      <c r="M58" s="4393"/>
      <c r="N58" s="4393"/>
      <c r="O58" s="4393"/>
      <c r="P58" s="4514"/>
      <c r="Q58" s="4514"/>
      <c r="R58" s="4518"/>
      <c r="S58" s="3303"/>
      <c r="T58" s="1849"/>
      <c r="U58" s="1849"/>
      <c r="V58" s="3208"/>
      <c r="W58" s="1864"/>
      <c r="X58" s="1824"/>
      <c r="Y58" s="3191"/>
      <c r="Z58" s="3191"/>
      <c r="AA58" s="3191"/>
      <c r="AB58" s="3199"/>
      <c r="AC58" s="1824"/>
      <c r="AD58" s="3200"/>
      <c r="AE58" s="3200"/>
      <c r="AF58" s="4876"/>
    </row>
    <row r="59" spans="1:32" ht="45.75" customHeight="1">
      <c r="A59" s="4778"/>
      <c r="B59" s="4944"/>
      <c r="C59" s="4935"/>
      <c r="D59" s="4514"/>
      <c r="E59" s="4514"/>
      <c r="F59" s="4514"/>
      <c r="G59" s="4514"/>
      <c r="H59" s="4514"/>
      <c r="I59" s="4514"/>
      <c r="J59" s="4514"/>
      <c r="K59" s="4514"/>
      <c r="L59" s="4514"/>
      <c r="M59" s="4393"/>
      <c r="N59" s="4393"/>
      <c r="O59" s="4393"/>
      <c r="P59" s="4514"/>
      <c r="Q59" s="4514"/>
      <c r="R59" s="4518"/>
      <c r="S59" s="3303"/>
      <c r="T59" s="1849"/>
      <c r="U59" s="1849"/>
      <c r="V59" s="1855"/>
      <c r="W59" s="1864"/>
      <c r="X59" s="1824"/>
      <c r="Y59" s="3191"/>
      <c r="Z59" s="3191"/>
      <c r="AA59" s="3191"/>
      <c r="AB59" s="3199"/>
      <c r="AC59" s="1824"/>
      <c r="AD59" s="3200"/>
      <c r="AE59" s="3200"/>
      <c r="AF59" s="4876"/>
    </row>
    <row r="60" spans="1:32" ht="45.75" customHeight="1">
      <c r="A60" s="4778"/>
      <c r="B60" s="4944"/>
      <c r="C60" s="4935"/>
      <c r="D60" s="4514"/>
      <c r="E60" s="4514"/>
      <c r="F60" s="4514"/>
      <c r="G60" s="4514"/>
      <c r="H60" s="4514"/>
      <c r="I60" s="4514"/>
      <c r="J60" s="4514"/>
      <c r="K60" s="4514"/>
      <c r="L60" s="4514"/>
      <c r="M60" s="4393"/>
      <c r="N60" s="4393"/>
      <c r="O60" s="4393"/>
      <c r="P60" s="4514"/>
      <c r="Q60" s="4514"/>
      <c r="R60" s="4518"/>
      <c r="S60" s="3303"/>
      <c r="T60" s="1849"/>
      <c r="U60" s="1849"/>
      <c r="V60" s="1855"/>
      <c r="W60" s="1864"/>
      <c r="X60" s="1824"/>
      <c r="Y60" s="3191"/>
      <c r="Z60" s="3191"/>
      <c r="AA60" s="3191"/>
      <c r="AB60" s="3199"/>
      <c r="AC60" s="1824"/>
      <c r="AD60" s="3200"/>
      <c r="AE60" s="3200"/>
      <c r="AF60" s="4876"/>
    </row>
    <row r="61" spans="1:32" ht="45.75" customHeight="1">
      <c r="A61" s="4778"/>
      <c r="B61" s="4944"/>
      <c r="C61" s="4936"/>
      <c r="D61" s="4515"/>
      <c r="E61" s="4515"/>
      <c r="F61" s="4515"/>
      <c r="G61" s="4515"/>
      <c r="H61" s="4515"/>
      <c r="I61" s="4515"/>
      <c r="J61" s="4515"/>
      <c r="K61" s="4515"/>
      <c r="L61" s="4515"/>
      <c r="M61" s="4420"/>
      <c r="N61" s="4420"/>
      <c r="O61" s="4420"/>
      <c r="P61" s="4515"/>
      <c r="Q61" s="4515"/>
      <c r="R61" s="4519"/>
      <c r="S61" s="3306"/>
      <c r="T61" s="3268"/>
      <c r="U61" s="3268"/>
      <c r="V61" s="3232"/>
      <c r="W61" s="3233"/>
      <c r="X61" s="3234"/>
      <c r="Y61" s="3235"/>
      <c r="Z61" s="3235"/>
      <c r="AA61" s="3235"/>
      <c r="AB61" s="3237"/>
      <c r="AC61" s="3234"/>
      <c r="AD61" s="3238"/>
      <c r="AE61" s="3238"/>
      <c r="AF61" s="4880"/>
    </row>
    <row r="62" spans="1:32" ht="19.5" customHeight="1">
      <c r="A62" s="4778"/>
      <c r="B62" s="4944"/>
      <c r="C62" s="4937" t="s">
        <v>272</v>
      </c>
      <c r="D62" s="4896" t="s">
        <v>302</v>
      </c>
      <c r="E62" s="4395" t="s">
        <v>274</v>
      </c>
      <c r="F62" s="4395" t="s">
        <v>4777</v>
      </c>
      <c r="G62" s="4930" t="s">
        <v>305</v>
      </c>
      <c r="H62" s="4395" t="s">
        <v>240</v>
      </c>
      <c r="I62" s="4395" t="s">
        <v>294</v>
      </c>
      <c r="J62" s="4896" t="s">
        <v>4823</v>
      </c>
      <c r="K62" s="4896" t="s">
        <v>960</v>
      </c>
      <c r="L62" s="4395"/>
      <c r="M62" s="4401"/>
      <c r="N62" s="4401"/>
      <c r="O62" s="4401"/>
      <c r="P62" s="4395"/>
      <c r="Q62" s="4395"/>
      <c r="R62" s="4897"/>
      <c r="S62" s="3115"/>
      <c r="T62" s="3274"/>
      <c r="U62" s="3071"/>
      <c r="V62" s="2973"/>
      <c r="W62" s="3227"/>
      <c r="X62" s="3187"/>
      <c r="Y62" s="3185"/>
      <c r="Z62" s="3185"/>
      <c r="AA62" s="3185"/>
      <c r="AB62" s="3229"/>
      <c r="AC62" s="3187"/>
      <c r="AD62" s="3230"/>
      <c r="AE62" s="3230"/>
      <c r="AF62" s="4954" t="s">
        <v>4779</v>
      </c>
    </row>
    <row r="63" spans="1:32" ht="19.5" customHeight="1">
      <c r="A63" s="4778"/>
      <c r="B63" s="4944"/>
      <c r="C63" s="4935"/>
      <c r="D63" s="4514"/>
      <c r="E63" s="4514"/>
      <c r="F63" s="4514"/>
      <c r="G63" s="4514"/>
      <c r="H63" s="4514"/>
      <c r="I63" s="4514"/>
      <c r="J63" s="4514"/>
      <c r="K63" s="4514"/>
      <c r="L63" s="4514"/>
      <c r="M63" s="4393"/>
      <c r="N63" s="4393"/>
      <c r="O63" s="4393"/>
      <c r="P63" s="4514"/>
      <c r="Q63" s="4514"/>
      <c r="R63" s="4518"/>
      <c r="S63" s="3303"/>
      <c r="T63" s="1849"/>
      <c r="U63" s="1849"/>
      <c r="V63" s="1855"/>
      <c r="W63" s="1864"/>
      <c r="X63" s="1824"/>
      <c r="Y63" s="3191"/>
      <c r="Z63" s="3191"/>
      <c r="AA63" s="3191"/>
      <c r="AB63" s="3199"/>
      <c r="AC63" s="1824"/>
      <c r="AD63" s="3200"/>
      <c r="AE63" s="3200"/>
      <c r="AF63" s="4876"/>
    </row>
    <row r="64" spans="1:32" ht="19.5" customHeight="1">
      <c r="A64" s="4778"/>
      <c r="B64" s="4944"/>
      <c r="C64" s="4935"/>
      <c r="D64" s="4514"/>
      <c r="E64" s="4514"/>
      <c r="F64" s="4514"/>
      <c r="G64" s="4514"/>
      <c r="H64" s="4514"/>
      <c r="I64" s="4514"/>
      <c r="J64" s="4514"/>
      <c r="K64" s="4514"/>
      <c r="L64" s="4514"/>
      <c r="M64" s="4393"/>
      <c r="N64" s="4393"/>
      <c r="O64" s="4393"/>
      <c r="P64" s="4514"/>
      <c r="Q64" s="4514"/>
      <c r="R64" s="4518"/>
      <c r="S64" s="3303"/>
      <c r="T64" s="1849"/>
      <c r="U64" s="1849"/>
      <c r="V64" s="3208"/>
      <c r="W64" s="1864"/>
      <c r="X64" s="1824"/>
      <c r="Y64" s="3191"/>
      <c r="Z64" s="3191"/>
      <c r="AA64" s="3191"/>
      <c r="AB64" s="3199"/>
      <c r="AC64" s="1824"/>
      <c r="AD64" s="3200"/>
      <c r="AE64" s="3200"/>
      <c r="AF64" s="4876"/>
    </row>
    <row r="65" spans="1:32" ht="19.5" customHeight="1">
      <c r="A65" s="4778"/>
      <c r="B65" s="4944"/>
      <c r="C65" s="4935"/>
      <c r="D65" s="4514"/>
      <c r="E65" s="4514"/>
      <c r="F65" s="4514"/>
      <c r="G65" s="4514"/>
      <c r="H65" s="4514"/>
      <c r="I65" s="4514"/>
      <c r="J65" s="4514"/>
      <c r="K65" s="4514"/>
      <c r="L65" s="4514"/>
      <c r="M65" s="4393"/>
      <c r="N65" s="4393"/>
      <c r="O65" s="4393"/>
      <c r="P65" s="4514"/>
      <c r="Q65" s="4514"/>
      <c r="R65" s="4518"/>
      <c r="S65" s="3303"/>
      <c r="T65" s="1849"/>
      <c r="U65" s="1849"/>
      <c r="V65" s="1855"/>
      <c r="W65" s="1864"/>
      <c r="X65" s="1824"/>
      <c r="Y65" s="3191"/>
      <c r="Z65" s="3191"/>
      <c r="AA65" s="3191"/>
      <c r="AB65" s="3199"/>
      <c r="AC65" s="1824"/>
      <c r="AD65" s="3200"/>
      <c r="AE65" s="3200"/>
      <c r="AF65" s="4876"/>
    </row>
    <row r="66" spans="1:32" ht="19.5" customHeight="1">
      <c r="A66" s="4778"/>
      <c r="B66" s="4944"/>
      <c r="C66" s="4935"/>
      <c r="D66" s="4514"/>
      <c r="E66" s="4514"/>
      <c r="F66" s="4514"/>
      <c r="G66" s="4514"/>
      <c r="H66" s="4514"/>
      <c r="I66" s="4514"/>
      <c r="J66" s="4514"/>
      <c r="K66" s="4514"/>
      <c r="L66" s="4514"/>
      <c r="M66" s="4393"/>
      <c r="N66" s="4393"/>
      <c r="O66" s="4393"/>
      <c r="P66" s="4514"/>
      <c r="Q66" s="4514"/>
      <c r="R66" s="4518"/>
      <c r="S66" s="3303"/>
      <c r="T66" s="1849"/>
      <c r="U66" s="1849"/>
      <c r="V66" s="1855"/>
      <c r="W66" s="1864"/>
      <c r="X66" s="1824"/>
      <c r="Y66" s="3191"/>
      <c r="Z66" s="3191"/>
      <c r="AA66" s="3191"/>
      <c r="AB66" s="3199"/>
      <c r="AC66" s="1824"/>
      <c r="AD66" s="3200"/>
      <c r="AE66" s="3200"/>
      <c r="AF66" s="4876"/>
    </row>
    <row r="67" spans="1:32" ht="19.5" customHeight="1">
      <c r="A67" s="4778"/>
      <c r="B67" s="4944"/>
      <c r="C67" s="4945"/>
      <c r="D67" s="4525"/>
      <c r="E67" s="4525"/>
      <c r="F67" s="4525"/>
      <c r="G67" s="4525"/>
      <c r="H67" s="4525"/>
      <c r="I67" s="4525"/>
      <c r="J67" s="4525"/>
      <c r="K67" s="4525"/>
      <c r="L67" s="4525"/>
      <c r="M67" s="4402"/>
      <c r="N67" s="4402"/>
      <c r="O67" s="4402"/>
      <c r="P67" s="4525"/>
      <c r="Q67" s="4525"/>
      <c r="R67" s="4528"/>
      <c r="S67" s="3304"/>
      <c r="T67" s="3271"/>
      <c r="U67" s="3271"/>
      <c r="V67" s="3241"/>
      <c r="W67" s="3254"/>
      <c r="X67" s="3246"/>
      <c r="Y67" s="3242"/>
      <c r="Z67" s="3242"/>
      <c r="AA67" s="3242"/>
      <c r="AB67" s="3255"/>
      <c r="AC67" s="3246"/>
      <c r="AD67" s="3256"/>
      <c r="AE67" s="3256"/>
      <c r="AF67" s="4877"/>
    </row>
    <row r="68" spans="1:32" ht="24.75" customHeight="1">
      <c r="A68" s="4778"/>
      <c r="B68" s="4944"/>
      <c r="C68" s="4934" t="s">
        <v>235</v>
      </c>
      <c r="D68" s="4377" t="s">
        <v>236</v>
      </c>
      <c r="E68" s="4377" t="s">
        <v>244</v>
      </c>
      <c r="F68" s="4377" t="s">
        <v>337</v>
      </c>
      <c r="G68" s="4906" t="s">
        <v>239</v>
      </c>
      <c r="H68" s="4377" t="s">
        <v>240</v>
      </c>
      <c r="I68" s="4377" t="s">
        <v>257</v>
      </c>
      <c r="J68" s="4907" t="s">
        <v>4824</v>
      </c>
      <c r="K68" s="4907" t="s">
        <v>338</v>
      </c>
      <c r="L68" s="4377" t="s">
        <v>4796</v>
      </c>
      <c r="M68" s="4392">
        <v>0</v>
      </c>
      <c r="N68" s="4392">
        <v>1</v>
      </c>
      <c r="O68" s="4392">
        <v>1</v>
      </c>
      <c r="P68" s="4377" t="s">
        <v>3824</v>
      </c>
      <c r="Q68" s="4391" t="s">
        <v>4859</v>
      </c>
      <c r="R68" s="4903" t="s">
        <v>4782</v>
      </c>
      <c r="S68" s="3305"/>
      <c r="T68" s="3272"/>
      <c r="U68" s="3270"/>
      <c r="V68" s="2972"/>
      <c r="W68" s="3258"/>
      <c r="X68" s="3259"/>
      <c r="Y68" s="3260"/>
      <c r="Z68" s="3260"/>
      <c r="AA68" s="3260"/>
      <c r="AB68" s="3261"/>
      <c r="AC68" s="3259"/>
      <c r="AD68" s="3262"/>
      <c r="AE68" s="3262"/>
      <c r="AF68" s="4908"/>
    </row>
    <row r="69" spans="1:32" ht="24.75" customHeight="1">
      <c r="A69" s="4778"/>
      <c r="B69" s="4944"/>
      <c r="C69" s="4935"/>
      <c r="D69" s="4514"/>
      <c r="E69" s="4514"/>
      <c r="F69" s="4514"/>
      <c r="G69" s="4514"/>
      <c r="H69" s="4514"/>
      <c r="I69" s="4514"/>
      <c r="J69" s="4514"/>
      <c r="K69" s="4514"/>
      <c r="L69" s="4514"/>
      <c r="M69" s="4393"/>
      <c r="N69" s="4393"/>
      <c r="O69" s="4393"/>
      <c r="P69" s="4514"/>
      <c r="Q69" s="4514"/>
      <c r="R69" s="4518"/>
      <c r="S69" s="3303"/>
      <c r="T69" s="1849"/>
      <c r="U69" s="1849"/>
      <c r="V69" s="1855"/>
      <c r="W69" s="1864"/>
      <c r="X69" s="1824"/>
      <c r="Y69" s="3191"/>
      <c r="Z69" s="3191"/>
      <c r="AA69" s="3191"/>
      <c r="AB69" s="3199"/>
      <c r="AC69" s="1824"/>
      <c r="AD69" s="3200"/>
      <c r="AE69" s="3200"/>
      <c r="AF69" s="4876"/>
    </row>
    <row r="70" spans="1:32" ht="24.75" customHeight="1">
      <c r="A70" s="4778"/>
      <c r="B70" s="4944"/>
      <c r="C70" s="4935"/>
      <c r="D70" s="4514"/>
      <c r="E70" s="4514"/>
      <c r="F70" s="4514"/>
      <c r="G70" s="4514"/>
      <c r="H70" s="4514"/>
      <c r="I70" s="4514"/>
      <c r="J70" s="4514"/>
      <c r="K70" s="4514"/>
      <c r="L70" s="4514"/>
      <c r="M70" s="4393"/>
      <c r="N70" s="4393"/>
      <c r="O70" s="4393"/>
      <c r="P70" s="4514"/>
      <c r="Q70" s="4514"/>
      <c r="R70" s="4518"/>
      <c r="S70" s="3303"/>
      <c r="T70" s="1849"/>
      <c r="U70" s="1849"/>
      <c r="V70" s="3208"/>
      <c r="W70" s="1864"/>
      <c r="X70" s="1824"/>
      <c r="Y70" s="3191"/>
      <c r="Z70" s="3191"/>
      <c r="AA70" s="3191"/>
      <c r="AB70" s="3199"/>
      <c r="AC70" s="1824"/>
      <c r="AD70" s="3200"/>
      <c r="AE70" s="3200"/>
      <c r="AF70" s="4876"/>
    </row>
    <row r="71" spans="1:32" ht="24.75" customHeight="1">
      <c r="A71" s="4778"/>
      <c r="B71" s="4944"/>
      <c r="C71" s="4935"/>
      <c r="D71" s="4514"/>
      <c r="E71" s="4514"/>
      <c r="F71" s="4514"/>
      <c r="G71" s="4514"/>
      <c r="H71" s="4514"/>
      <c r="I71" s="4514"/>
      <c r="J71" s="4514"/>
      <c r="K71" s="4514"/>
      <c r="L71" s="4514"/>
      <c r="M71" s="4393"/>
      <c r="N71" s="4393"/>
      <c r="O71" s="4393"/>
      <c r="P71" s="4514"/>
      <c r="Q71" s="4514"/>
      <c r="R71" s="4518"/>
      <c r="S71" s="3303"/>
      <c r="T71" s="1849"/>
      <c r="U71" s="1849"/>
      <c r="V71" s="1855"/>
      <c r="W71" s="1864"/>
      <c r="X71" s="1824"/>
      <c r="Y71" s="3191"/>
      <c r="Z71" s="3191"/>
      <c r="AA71" s="3191"/>
      <c r="AB71" s="3199"/>
      <c r="AC71" s="1824"/>
      <c r="AD71" s="3200"/>
      <c r="AE71" s="3200"/>
      <c r="AF71" s="4876"/>
    </row>
    <row r="72" spans="1:32" ht="24.75" customHeight="1">
      <c r="A72" s="4778"/>
      <c r="B72" s="4944"/>
      <c r="C72" s="4935"/>
      <c r="D72" s="4514"/>
      <c r="E72" s="4514"/>
      <c r="F72" s="4514"/>
      <c r="G72" s="4514"/>
      <c r="H72" s="4514"/>
      <c r="I72" s="4514"/>
      <c r="J72" s="4514"/>
      <c r="K72" s="4514"/>
      <c r="L72" s="4514"/>
      <c r="M72" s="4393"/>
      <c r="N72" s="4393"/>
      <c r="O72" s="4393"/>
      <c r="P72" s="4514"/>
      <c r="Q72" s="4514"/>
      <c r="R72" s="4518"/>
      <c r="S72" s="3303"/>
      <c r="T72" s="1849"/>
      <c r="U72" s="1849"/>
      <c r="V72" s="1855"/>
      <c r="W72" s="1864"/>
      <c r="X72" s="1824"/>
      <c r="Y72" s="3191"/>
      <c r="Z72" s="3191"/>
      <c r="AA72" s="3191"/>
      <c r="AB72" s="3199"/>
      <c r="AC72" s="1824"/>
      <c r="AD72" s="3200"/>
      <c r="AE72" s="3200"/>
      <c r="AF72" s="4876"/>
    </row>
    <row r="73" spans="1:32" ht="24.75" customHeight="1">
      <c r="A73" s="4778"/>
      <c r="B73" s="4944"/>
      <c r="C73" s="4936"/>
      <c r="D73" s="4515"/>
      <c r="E73" s="4515"/>
      <c r="F73" s="4515"/>
      <c r="G73" s="4515"/>
      <c r="H73" s="4515"/>
      <c r="I73" s="4515"/>
      <c r="J73" s="4515"/>
      <c r="K73" s="4515"/>
      <c r="L73" s="4515"/>
      <c r="M73" s="4420"/>
      <c r="N73" s="4420"/>
      <c r="O73" s="4420"/>
      <c r="P73" s="4515"/>
      <c r="Q73" s="4515"/>
      <c r="R73" s="4519"/>
      <c r="S73" s="3306"/>
      <c r="T73" s="3268"/>
      <c r="U73" s="3268"/>
      <c r="V73" s="3232"/>
      <c r="W73" s="3233"/>
      <c r="X73" s="3234"/>
      <c r="Y73" s="3235"/>
      <c r="Z73" s="3235"/>
      <c r="AA73" s="3235"/>
      <c r="AB73" s="3237"/>
      <c r="AC73" s="3234"/>
      <c r="AD73" s="3238"/>
      <c r="AE73" s="3238"/>
      <c r="AF73" s="4880"/>
    </row>
    <row r="74" spans="1:32" ht="25.5" customHeight="1">
      <c r="A74" s="4778"/>
      <c r="B74" s="4944"/>
      <c r="C74" s="4937" t="s">
        <v>235</v>
      </c>
      <c r="D74" s="4395" t="s">
        <v>236</v>
      </c>
      <c r="E74" s="4395" t="s">
        <v>237</v>
      </c>
      <c r="F74" s="4395" t="s">
        <v>337</v>
      </c>
      <c r="G74" s="4930" t="s">
        <v>239</v>
      </c>
      <c r="H74" s="4395" t="s">
        <v>240</v>
      </c>
      <c r="I74" s="4395" t="s">
        <v>257</v>
      </c>
      <c r="J74" s="4896" t="s">
        <v>4825</v>
      </c>
      <c r="K74" s="4896" t="s">
        <v>371</v>
      </c>
      <c r="L74" s="4395" t="s">
        <v>4795</v>
      </c>
      <c r="M74" s="4401">
        <v>1</v>
      </c>
      <c r="N74" s="4401">
        <v>1</v>
      </c>
      <c r="O74" s="4401">
        <v>1</v>
      </c>
      <c r="P74" s="4395" t="s">
        <v>4845</v>
      </c>
      <c r="Q74" s="4395" t="s">
        <v>4858</v>
      </c>
      <c r="R74" s="4897" t="s">
        <v>4782</v>
      </c>
      <c r="S74" s="3115"/>
      <c r="T74" s="3274"/>
      <c r="U74" s="3071"/>
      <c r="V74" s="2973"/>
      <c r="W74" s="3227"/>
      <c r="X74" s="3187"/>
      <c r="Y74" s="3185"/>
      <c r="Z74" s="3185"/>
      <c r="AA74" s="3185"/>
      <c r="AB74" s="3229"/>
      <c r="AC74" s="3187"/>
      <c r="AD74" s="3230"/>
      <c r="AE74" s="3230"/>
      <c r="AF74" s="4954"/>
    </row>
    <row r="75" spans="1:32" ht="25.5" customHeight="1">
      <c r="A75" s="4778"/>
      <c r="B75" s="4944"/>
      <c r="C75" s="4935"/>
      <c r="D75" s="4514"/>
      <c r="E75" s="4514"/>
      <c r="F75" s="4514"/>
      <c r="G75" s="4514"/>
      <c r="H75" s="4514"/>
      <c r="I75" s="4514"/>
      <c r="J75" s="4514"/>
      <c r="K75" s="4514"/>
      <c r="L75" s="4514"/>
      <c r="M75" s="4393"/>
      <c r="N75" s="4393"/>
      <c r="O75" s="4393"/>
      <c r="P75" s="4514"/>
      <c r="Q75" s="4514"/>
      <c r="R75" s="4518"/>
      <c r="S75" s="3303"/>
      <c r="T75" s="1849"/>
      <c r="U75" s="1849"/>
      <c r="V75" s="1855"/>
      <c r="W75" s="1864"/>
      <c r="X75" s="1824"/>
      <c r="Y75" s="3191"/>
      <c r="Z75" s="3191"/>
      <c r="AA75" s="3191"/>
      <c r="AB75" s="3199"/>
      <c r="AC75" s="1824"/>
      <c r="AD75" s="3200"/>
      <c r="AE75" s="3200"/>
      <c r="AF75" s="4876"/>
    </row>
    <row r="76" spans="1:32" ht="25.5" customHeight="1">
      <c r="A76" s="4778"/>
      <c r="B76" s="4944"/>
      <c r="C76" s="4935"/>
      <c r="D76" s="4514"/>
      <c r="E76" s="4514"/>
      <c r="F76" s="4514"/>
      <c r="G76" s="4514"/>
      <c r="H76" s="4514"/>
      <c r="I76" s="4514"/>
      <c r="J76" s="4514"/>
      <c r="K76" s="4514"/>
      <c r="L76" s="4514"/>
      <c r="M76" s="4393"/>
      <c r="N76" s="4393"/>
      <c r="O76" s="4393"/>
      <c r="P76" s="4514"/>
      <c r="Q76" s="4514"/>
      <c r="R76" s="4518"/>
      <c r="S76" s="3303"/>
      <c r="T76" s="1849"/>
      <c r="U76" s="1849"/>
      <c r="V76" s="3208"/>
      <c r="W76" s="1864"/>
      <c r="X76" s="1824"/>
      <c r="Y76" s="3191"/>
      <c r="Z76" s="3191"/>
      <c r="AA76" s="3191"/>
      <c r="AB76" s="3199"/>
      <c r="AC76" s="1824"/>
      <c r="AD76" s="3200"/>
      <c r="AE76" s="3200"/>
      <c r="AF76" s="4876"/>
    </row>
    <row r="77" spans="1:32" ht="25.5" customHeight="1">
      <c r="A77" s="4778"/>
      <c r="B77" s="4944"/>
      <c r="C77" s="4935"/>
      <c r="D77" s="4514"/>
      <c r="E77" s="4514"/>
      <c r="F77" s="4514"/>
      <c r="G77" s="4514"/>
      <c r="H77" s="4514"/>
      <c r="I77" s="4514"/>
      <c r="J77" s="4514"/>
      <c r="K77" s="4514"/>
      <c r="L77" s="4514"/>
      <c r="M77" s="4393"/>
      <c r="N77" s="4393"/>
      <c r="O77" s="4393"/>
      <c r="P77" s="4514"/>
      <c r="Q77" s="4514"/>
      <c r="R77" s="4518"/>
      <c r="S77" s="3303"/>
      <c r="T77" s="1849"/>
      <c r="U77" s="1849"/>
      <c r="V77" s="1855"/>
      <c r="W77" s="1864"/>
      <c r="X77" s="1824"/>
      <c r="Y77" s="3191"/>
      <c r="Z77" s="3191"/>
      <c r="AA77" s="3191"/>
      <c r="AB77" s="3199"/>
      <c r="AC77" s="1824"/>
      <c r="AD77" s="3200"/>
      <c r="AE77" s="3200"/>
      <c r="AF77" s="4876"/>
    </row>
    <row r="78" spans="1:32" ht="25.5" customHeight="1">
      <c r="A78" s="4778"/>
      <c r="B78" s="4944"/>
      <c r="C78" s="4935"/>
      <c r="D78" s="4514"/>
      <c r="E78" s="4514"/>
      <c r="F78" s="4514"/>
      <c r="G78" s="4514"/>
      <c r="H78" s="4514"/>
      <c r="I78" s="4514"/>
      <c r="J78" s="4514"/>
      <c r="K78" s="4514"/>
      <c r="L78" s="4514"/>
      <c r="M78" s="4393"/>
      <c r="N78" s="4393"/>
      <c r="O78" s="4393"/>
      <c r="P78" s="4514"/>
      <c r="Q78" s="4514"/>
      <c r="R78" s="4518"/>
      <c r="S78" s="3303"/>
      <c r="T78" s="1849"/>
      <c r="U78" s="1849"/>
      <c r="V78" s="1855"/>
      <c r="W78" s="1864"/>
      <c r="X78" s="1824"/>
      <c r="Y78" s="3191"/>
      <c r="Z78" s="3191"/>
      <c r="AA78" s="3191"/>
      <c r="AB78" s="3199"/>
      <c r="AC78" s="1824"/>
      <c r="AD78" s="3200"/>
      <c r="AE78" s="3200"/>
      <c r="AF78" s="4876"/>
    </row>
    <row r="79" spans="1:32" ht="25.5" customHeight="1">
      <c r="A79" s="4778"/>
      <c r="B79" s="4944"/>
      <c r="C79" s="4938"/>
      <c r="D79" s="4927"/>
      <c r="E79" s="4927"/>
      <c r="F79" s="4927"/>
      <c r="G79" s="4927"/>
      <c r="H79" s="4927"/>
      <c r="I79" s="4927"/>
      <c r="J79" s="4927"/>
      <c r="K79" s="4927"/>
      <c r="L79" s="4927"/>
      <c r="M79" s="4929"/>
      <c r="N79" s="4929"/>
      <c r="O79" s="4929"/>
      <c r="P79" s="4927"/>
      <c r="Q79" s="4927"/>
      <c r="R79" s="4928"/>
      <c r="S79" s="3309"/>
      <c r="T79" s="1894"/>
      <c r="U79" s="1894"/>
      <c r="V79" s="1857"/>
      <c r="W79" s="1865"/>
      <c r="X79" s="1831"/>
      <c r="Y79" s="3209"/>
      <c r="Z79" s="3209"/>
      <c r="AA79" s="3209"/>
      <c r="AB79" s="3210"/>
      <c r="AC79" s="1831"/>
      <c r="AD79" s="3070"/>
      <c r="AE79" s="3070"/>
      <c r="AF79" s="4881"/>
    </row>
    <row r="80" spans="1:32" ht="22.5" customHeight="1" thickBot="1">
      <c r="A80" s="4778"/>
      <c r="B80" s="4774"/>
      <c r="C80" s="3320"/>
      <c r="D80" s="3321"/>
      <c r="E80" s="3321"/>
      <c r="F80" s="3321"/>
      <c r="G80" s="3321"/>
      <c r="H80" s="3321"/>
      <c r="I80" s="3321"/>
      <c r="J80" s="3321"/>
      <c r="K80" s="3321"/>
      <c r="L80" s="3321"/>
      <c r="M80" s="3321"/>
      <c r="N80" s="3321"/>
      <c r="O80" s="3321"/>
      <c r="P80" s="3321"/>
      <c r="Q80" s="3321"/>
      <c r="R80" s="3321"/>
      <c r="S80" s="4955" t="s">
        <v>961</v>
      </c>
      <c r="T80" s="4704"/>
      <c r="U80" s="4704"/>
      <c r="V80" s="4704"/>
      <c r="W80" s="4704"/>
      <c r="X80" s="4704"/>
      <c r="Y80" s="4704"/>
      <c r="Z80" s="4704"/>
      <c r="AA80" s="3318" t="s">
        <v>340</v>
      </c>
      <c r="AB80" s="3319">
        <f>SUM(AB9:AB79)</f>
        <v>40000</v>
      </c>
      <c r="AC80" s="1923"/>
      <c r="AD80" s="1923"/>
      <c r="AE80" s="1923"/>
      <c r="AF80" s="3317"/>
    </row>
    <row r="81" spans="1:32" ht="63" customHeight="1">
      <c r="A81" s="4778"/>
      <c r="B81" s="4947" t="s">
        <v>962</v>
      </c>
      <c r="C81" s="4949" t="s">
        <v>235</v>
      </c>
      <c r="D81" s="4931" t="s">
        <v>236</v>
      </c>
      <c r="E81" s="4931" t="s">
        <v>237</v>
      </c>
      <c r="F81" s="4931" t="s">
        <v>370</v>
      </c>
      <c r="G81" s="4932" t="s">
        <v>239</v>
      </c>
      <c r="H81" s="4931" t="s">
        <v>240</v>
      </c>
      <c r="I81" s="4931" t="s">
        <v>257</v>
      </c>
      <c r="J81" s="4933" t="s">
        <v>4826</v>
      </c>
      <c r="K81" s="4931" t="s">
        <v>963</v>
      </c>
      <c r="L81" s="4931" t="s">
        <v>4794</v>
      </c>
      <c r="M81" s="4917">
        <v>1</v>
      </c>
      <c r="N81" s="4917">
        <v>0</v>
      </c>
      <c r="O81" s="4917">
        <v>1</v>
      </c>
      <c r="P81" s="4924" t="s">
        <v>4846</v>
      </c>
      <c r="Q81" s="4924" t="s">
        <v>4857</v>
      </c>
      <c r="R81" s="4925" t="s">
        <v>4783</v>
      </c>
      <c r="S81" s="4910"/>
      <c r="T81" s="4913"/>
      <c r="U81" s="4913"/>
      <c r="V81" s="4916"/>
      <c r="W81" s="4917"/>
      <c r="X81" s="4918"/>
      <c r="Y81" s="4921"/>
      <c r="Z81" s="4926"/>
      <c r="AA81" s="4926"/>
      <c r="AB81" s="4926"/>
      <c r="AC81" s="4918"/>
      <c r="AD81" s="4918"/>
      <c r="AE81" s="4918"/>
      <c r="AF81" s="4909"/>
    </row>
    <row r="82" spans="1:32" ht="63" customHeight="1">
      <c r="A82" s="4778"/>
      <c r="B82" s="4944"/>
      <c r="C82" s="4935"/>
      <c r="D82" s="4514"/>
      <c r="E82" s="4514"/>
      <c r="F82" s="4514"/>
      <c r="G82" s="4514"/>
      <c r="H82" s="4514"/>
      <c r="I82" s="4514"/>
      <c r="J82" s="4514"/>
      <c r="K82" s="4514"/>
      <c r="L82" s="4514"/>
      <c r="M82" s="4393"/>
      <c r="N82" s="4393"/>
      <c r="O82" s="4393"/>
      <c r="P82" s="4514"/>
      <c r="Q82" s="4514"/>
      <c r="R82" s="4518"/>
      <c r="S82" s="4911"/>
      <c r="T82" s="4914"/>
      <c r="U82" s="4914"/>
      <c r="V82" s="4378"/>
      <c r="W82" s="4901"/>
      <c r="X82" s="4919"/>
      <c r="Y82" s="4922"/>
      <c r="Z82" s="4922"/>
      <c r="AA82" s="4922"/>
      <c r="AB82" s="4922"/>
      <c r="AC82" s="4919"/>
      <c r="AD82" s="4919"/>
      <c r="AE82" s="4919"/>
      <c r="AF82" s="4876"/>
    </row>
    <row r="83" spans="1:32" ht="63" customHeight="1">
      <c r="A83" s="4778"/>
      <c r="B83" s="4944"/>
      <c r="C83" s="4935"/>
      <c r="D83" s="4514"/>
      <c r="E83" s="4514"/>
      <c r="F83" s="4514"/>
      <c r="G83" s="4514"/>
      <c r="H83" s="4514"/>
      <c r="I83" s="4514"/>
      <c r="J83" s="4514"/>
      <c r="K83" s="4514"/>
      <c r="L83" s="4514"/>
      <c r="M83" s="4393"/>
      <c r="N83" s="4393"/>
      <c r="O83" s="4393"/>
      <c r="P83" s="4514"/>
      <c r="Q83" s="4514"/>
      <c r="R83" s="4518"/>
      <c r="S83" s="4911"/>
      <c r="T83" s="4914"/>
      <c r="U83" s="4914"/>
      <c r="V83" s="4378"/>
      <c r="W83" s="4901"/>
      <c r="X83" s="4919"/>
      <c r="Y83" s="4922"/>
      <c r="Z83" s="4922"/>
      <c r="AA83" s="4922"/>
      <c r="AB83" s="4922"/>
      <c r="AC83" s="4919"/>
      <c r="AD83" s="4919"/>
      <c r="AE83" s="4919"/>
      <c r="AF83" s="4876"/>
    </row>
    <row r="84" spans="1:32" ht="63" customHeight="1">
      <c r="A84" s="4778"/>
      <c r="B84" s="4944"/>
      <c r="C84" s="4935"/>
      <c r="D84" s="4514"/>
      <c r="E84" s="4514"/>
      <c r="F84" s="4514"/>
      <c r="G84" s="4514"/>
      <c r="H84" s="4514"/>
      <c r="I84" s="4514"/>
      <c r="J84" s="4514"/>
      <c r="K84" s="4514"/>
      <c r="L84" s="4514"/>
      <c r="M84" s="4393"/>
      <c r="N84" s="4393"/>
      <c r="O84" s="4393"/>
      <c r="P84" s="4514"/>
      <c r="Q84" s="4514"/>
      <c r="R84" s="4518"/>
      <c r="S84" s="4911"/>
      <c r="T84" s="4914"/>
      <c r="U84" s="4914"/>
      <c r="V84" s="4378"/>
      <c r="W84" s="4901"/>
      <c r="X84" s="4919"/>
      <c r="Y84" s="4922"/>
      <c r="Z84" s="4922"/>
      <c r="AA84" s="4922"/>
      <c r="AB84" s="4922"/>
      <c r="AC84" s="4919"/>
      <c r="AD84" s="4919"/>
      <c r="AE84" s="4919"/>
      <c r="AF84" s="4876"/>
    </row>
    <row r="85" spans="1:32" ht="63" customHeight="1">
      <c r="A85" s="4778"/>
      <c r="B85" s="4944"/>
      <c r="C85" s="4945"/>
      <c r="D85" s="4525"/>
      <c r="E85" s="4525"/>
      <c r="F85" s="4525"/>
      <c r="G85" s="4525"/>
      <c r="H85" s="4525"/>
      <c r="I85" s="4525"/>
      <c r="J85" s="4525"/>
      <c r="K85" s="4525"/>
      <c r="L85" s="4525"/>
      <c r="M85" s="4402"/>
      <c r="N85" s="4402"/>
      <c r="O85" s="4402"/>
      <c r="P85" s="4525"/>
      <c r="Q85" s="4525"/>
      <c r="R85" s="4528"/>
      <c r="S85" s="4912"/>
      <c r="T85" s="4915"/>
      <c r="U85" s="4915"/>
      <c r="V85" s="4396"/>
      <c r="W85" s="4902"/>
      <c r="X85" s="4920"/>
      <c r="Y85" s="4923"/>
      <c r="Z85" s="4923"/>
      <c r="AA85" s="4923"/>
      <c r="AB85" s="4923"/>
      <c r="AC85" s="4920"/>
      <c r="AD85" s="4920"/>
      <c r="AE85" s="4920"/>
      <c r="AF85" s="4877"/>
    </row>
    <row r="86" spans="1:32" ht="80.25" customHeight="1">
      <c r="A86" s="4778"/>
      <c r="B86" s="4944"/>
      <c r="C86" s="4934" t="s">
        <v>272</v>
      </c>
      <c r="D86" s="4377" t="s">
        <v>302</v>
      </c>
      <c r="E86" s="4377" t="s">
        <v>388</v>
      </c>
      <c r="F86" s="4377" t="s">
        <v>964</v>
      </c>
      <c r="G86" s="4906" t="s">
        <v>305</v>
      </c>
      <c r="H86" s="4377" t="s">
        <v>306</v>
      </c>
      <c r="I86" s="4377" t="s">
        <v>241</v>
      </c>
      <c r="J86" s="4377" t="s">
        <v>4827</v>
      </c>
      <c r="K86" s="4377" t="s">
        <v>965</v>
      </c>
      <c r="L86" s="4377" t="s">
        <v>4793</v>
      </c>
      <c r="M86" s="4940">
        <v>1991</v>
      </c>
      <c r="N86" s="4939">
        <v>0</v>
      </c>
      <c r="O86" s="4940">
        <v>1991</v>
      </c>
      <c r="P86" s="4377" t="s">
        <v>4871</v>
      </c>
      <c r="Q86" s="4907" t="s">
        <v>4872</v>
      </c>
      <c r="R86" s="4903" t="s">
        <v>4784</v>
      </c>
      <c r="S86" s="3310"/>
      <c r="T86" s="3272"/>
      <c r="U86" s="3272"/>
      <c r="V86" s="3284"/>
      <c r="W86" s="3285"/>
      <c r="X86" s="3286"/>
      <c r="Y86" s="3252"/>
      <c r="Z86" s="3252"/>
      <c r="AA86" s="3252"/>
      <c r="AB86" s="3252"/>
      <c r="AC86" s="3286"/>
      <c r="AD86" s="3287"/>
      <c r="AE86" s="3287"/>
      <c r="AF86" s="4879"/>
    </row>
    <row r="87" spans="1:32" ht="80.25" customHeight="1">
      <c r="A87" s="4778"/>
      <c r="B87" s="4944"/>
      <c r="C87" s="4935"/>
      <c r="D87" s="4514"/>
      <c r="E87" s="4514"/>
      <c r="F87" s="4514"/>
      <c r="G87" s="4514"/>
      <c r="H87" s="4514"/>
      <c r="I87" s="4514"/>
      <c r="J87" s="4514"/>
      <c r="K87" s="4514"/>
      <c r="L87" s="4514"/>
      <c r="M87" s="4894"/>
      <c r="N87" s="4393"/>
      <c r="O87" s="4894"/>
      <c r="P87" s="4514"/>
      <c r="Q87" s="4514"/>
      <c r="R87" s="4518"/>
      <c r="S87" s="3311"/>
      <c r="T87" s="1849"/>
      <c r="U87" s="1849"/>
      <c r="V87" s="3211"/>
      <c r="W87" s="3189"/>
      <c r="X87" s="3212"/>
      <c r="Y87" s="1870"/>
      <c r="Z87" s="3214"/>
      <c r="AA87" s="3214"/>
      <c r="AB87" s="1870"/>
      <c r="AC87" s="3212"/>
      <c r="AD87" s="3213"/>
      <c r="AE87" s="3213"/>
      <c r="AF87" s="4876"/>
    </row>
    <row r="88" spans="1:32" ht="80.25" customHeight="1">
      <c r="A88" s="4778"/>
      <c r="B88" s="4944"/>
      <c r="C88" s="4935"/>
      <c r="D88" s="4514"/>
      <c r="E88" s="4514"/>
      <c r="F88" s="4514"/>
      <c r="G88" s="4514"/>
      <c r="H88" s="4514"/>
      <c r="I88" s="4514"/>
      <c r="J88" s="4514"/>
      <c r="K88" s="4514"/>
      <c r="L88" s="4514"/>
      <c r="M88" s="4894"/>
      <c r="N88" s="4393"/>
      <c r="O88" s="4894"/>
      <c r="P88" s="4514"/>
      <c r="Q88" s="4514"/>
      <c r="R88" s="4518"/>
      <c r="S88" s="3311"/>
      <c r="T88" s="1849"/>
      <c r="U88" s="1849"/>
      <c r="V88" s="3211"/>
      <c r="W88" s="3189"/>
      <c r="X88" s="3212"/>
      <c r="Y88" s="1870"/>
      <c r="Z88" s="3214"/>
      <c r="AA88" s="3214"/>
      <c r="AB88" s="1870"/>
      <c r="AC88" s="3212"/>
      <c r="AD88" s="3213"/>
      <c r="AE88" s="3213"/>
      <c r="AF88" s="4876"/>
    </row>
    <row r="89" spans="1:32" ht="80.25" customHeight="1">
      <c r="A89" s="4778"/>
      <c r="B89" s="4944"/>
      <c r="C89" s="4935"/>
      <c r="D89" s="4514"/>
      <c r="E89" s="4514"/>
      <c r="F89" s="4514"/>
      <c r="G89" s="4514"/>
      <c r="H89" s="4514"/>
      <c r="I89" s="4514"/>
      <c r="J89" s="4514"/>
      <c r="K89" s="4514"/>
      <c r="L89" s="4514"/>
      <c r="M89" s="4894"/>
      <c r="N89" s="4393"/>
      <c r="O89" s="4894"/>
      <c r="P89" s="4514"/>
      <c r="Q89" s="4514"/>
      <c r="R89" s="4518"/>
      <c r="S89" s="3311"/>
      <c r="T89" s="1849"/>
      <c r="U89" s="1849"/>
      <c r="V89" s="3211"/>
      <c r="W89" s="3189"/>
      <c r="X89" s="3212"/>
      <c r="Y89" s="1870"/>
      <c r="Z89" s="3214"/>
      <c r="AA89" s="3214"/>
      <c r="AB89" s="1870"/>
      <c r="AC89" s="3212"/>
      <c r="AD89" s="3213"/>
      <c r="AE89" s="3213"/>
      <c r="AF89" s="4876"/>
    </row>
    <row r="90" spans="1:32" ht="80.25" customHeight="1">
      <c r="A90" s="4778"/>
      <c r="B90" s="4944"/>
      <c r="C90" s="4936"/>
      <c r="D90" s="4515"/>
      <c r="E90" s="4515"/>
      <c r="F90" s="4515"/>
      <c r="G90" s="4515"/>
      <c r="H90" s="4515"/>
      <c r="I90" s="4515"/>
      <c r="J90" s="4515"/>
      <c r="K90" s="4515"/>
      <c r="L90" s="4515"/>
      <c r="M90" s="4941"/>
      <c r="N90" s="4420"/>
      <c r="O90" s="4941"/>
      <c r="P90" s="4515"/>
      <c r="Q90" s="4515"/>
      <c r="R90" s="4519"/>
      <c r="S90" s="3312"/>
      <c r="T90" s="3268"/>
      <c r="U90" s="3268"/>
      <c r="V90" s="3279"/>
      <c r="W90" s="3280"/>
      <c r="X90" s="3281"/>
      <c r="Y90" s="3236"/>
      <c r="Z90" s="3282"/>
      <c r="AA90" s="3282"/>
      <c r="AB90" s="3236"/>
      <c r="AC90" s="3281"/>
      <c r="AD90" s="3283"/>
      <c r="AE90" s="3283"/>
      <c r="AF90" s="4880"/>
    </row>
    <row r="91" spans="1:32" ht="79.5" customHeight="1">
      <c r="A91" s="4778"/>
      <c r="B91" s="4944"/>
      <c r="C91" s="4937" t="s">
        <v>272</v>
      </c>
      <c r="D91" s="4395" t="s">
        <v>302</v>
      </c>
      <c r="E91" s="4395" t="s">
        <v>388</v>
      </c>
      <c r="F91" s="4395" t="s">
        <v>389</v>
      </c>
      <c r="G91" s="4930" t="s">
        <v>305</v>
      </c>
      <c r="H91" s="4395" t="s">
        <v>306</v>
      </c>
      <c r="I91" s="4395" t="s">
        <v>241</v>
      </c>
      <c r="J91" s="4395" t="s">
        <v>4828</v>
      </c>
      <c r="K91" s="4395" t="s">
        <v>966</v>
      </c>
      <c r="L91" s="4395" t="s">
        <v>4792</v>
      </c>
      <c r="M91" s="4952">
        <v>1</v>
      </c>
      <c r="N91" s="4952">
        <v>0</v>
      </c>
      <c r="O91" s="4952">
        <v>1</v>
      </c>
      <c r="P91" s="4395" t="s">
        <v>4873</v>
      </c>
      <c r="Q91" s="4896" t="s">
        <v>4856</v>
      </c>
      <c r="R91" s="4897" t="s">
        <v>4785</v>
      </c>
      <c r="S91" s="3313"/>
      <c r="T91" s="3274"/>
      <c r="U91" s="3274"/>
      <c r="V91" s="3275"/>
      <c r="W91" s="3276"/>
      <c r="X91" s="3277"/>
      <c r="Y91" s="3228"/>
      <c r="Z91" s="3228"/>
      <c r="AA91" s="3228"/>
      <c r="AB91" s="3228"/>
      <c r="AC91" s="3277"/>
      <c r="AD91" s="3278"/>
      <c r="AE91" s="3278"/>
      <c r="AF91" s="4875"/>
    </row>
    <row r="92" spans="1:32" ht="79.5" customHeight="1">
      <c r="A92" s="4778"/>
      <c r="B92" s="4944"/>
      <c r="C92" s="4935"/>
      <c r="D92" s="4514"/>
      <c r="E92" s="4514"/>
      <c r="F92" s="4514"/>
      <c r="G92" s="4514"/>
      <c r="H92" s="4514"/>
      <c r="I92" s="4514"/>
      <c r="J92" s="4514"/>
      <c r="K92" s="4514"/>
      <c r="L92" s="4514"/>
      <c r="M92" s="4393"/>
      <c r="N92" s="4393"/>
      <c r="O92" s="4393"/>
      <c r="P92" s="4514"/>
      <c r="Q92" s="4514"/>
      <c r="R92" s="4518"/>
      <c r="S92" s="3311"/>
      <c r="T92" s="1849"/>
      <c r="U92" s="1849"/>
      <c r="V92" s="3211"/>
      <c r="W92" s="3189"/>
      <c r="X92" s="3212"/>
      <c r="Y92" s="1870"/>
      <c r="Z92" s="3214"/>
      <c r="AA92" s="3214"/>
      <c r="AB92" s="1870"/>
      <c r="AC92" s="3212"/>
      <c r="AD92" s="3213"/>
      <c r="AE92" s="3213"/>
      <c r="AF92" s="4876"/>
    </row>
    <row r="93" spans="1:32" ht="79.5" customHeight="1">
      <c r="A93" s="4778"/>
      <c r="B93" s="4944"/>
      <c r="C93" s="4935"/>
      <c r="D93" s="4514"/>
      <c r="E93" s="4514"/>
      <c r="F93" s="4514"/>
      <c r="G93" s="4514"/>
      <c r="H93" s="4514"/>
      <c r="I93" s="4514"/>
      <c r="J93" s="4514"/>
      <c r="K93" s="4514"/>
      <c r="L93" s="4514"/>
      <c r="M93" s="4393"/>
      <c r="N93" s="4393"/>
      <c r="O93" s="4393"/>
      <c r="P93" s="4514"/>
      <c r="Q93" s="4514"/>
      <c r="R93" s="4518"/>
      <c r="S93" s="3311"/>
      <c r="T93" s="1849"/>
      <c r="U93" s="1849"/>
      <c r="V93" s="3211"/>
      <c r="W93" s="3189"/>
      <c r="X93" s="3212"/>
      <c r="Y93" s="1870"/>
      <c r="Z93" s="3214"/>
      <c r="AA93" s="3214"/>
      <c r="AB93" s="1870"/>
      <c r="AC93" s="3212"/>
      <c r="AD93" s="3213"/>
      <c r="AE93" s="3213"/>
      <c r="AF93" s="4876"/>
    </row>
    <row r="94" spans="1:32" ht="79.5" customHeight="1">
      <c r="A94" s="4778"/>
      <c r="B94" s="4944"/>
      <c r="C94" s="4935"/>
      <c r="D94" s="4514"/>
      <c r="E94" s="4514"/>
      <c r="F94" s="4514"/>
      <c r="G94" s="4514"/>
      <c r="H94" s="4514"/>
      <c r="I94" s="4514"/>
      <c r="J94" s="4514"/>
      <c r="K94" s="4514"/>
      <c r="L94" s="4514"/>
      <c r="M94" s="4393"/>
      <c r="N94" s="4393"/>
      <c r="O94" s="4393"/>
      <c r="P94" s="4514"/>
      <c r="Q94" s="4514"/>
      <c r="R94" s="4518"/>
      <c r="S94" s="3311"/>
      <c r="T94" s="1849"/>
      <c r="U94" s="1849"/>
      <c r="V94" s="3211"/>
      <c r="W94" s="3189"/>
      <c r="X94" s="3212"/>
      <c r="Y94" s="1870"/>
      <c r="Z94" s="3214"/>
      <c r="AA94" s="3214"/>
      <c r="AB94" s="1870"/>
      <c r="AC94" s="3212"/>
      <c r="AD94" s="3213"/>
      <c r="AE94" s="3213"/>
      <c r="AF94" s="4876"/>
    </row>
    <row r="95" spans="1:32" ht="79.5" customHeight="1">
      <c r="A95" s="4778"/>
      <c r="B95" s="4944"/>
      <c r="C95" s="4945"/>
      <c r="D95" s="4525"/>
      <c r="E95" s="4525"/>
      <c r="F95" s="4525"/>
      <c r="G95" s="4525"/>
      <c r="H95" s="4525"/>
      <c r="I95" s="4525"/>
      <c r="J95" s="4525"/>
      <c r="K95" s="4525"/>
      <c r="L95" s="4525"/>
      <c r="M95" s="4402"/>
      <c r="N95" s="4402"/>
      <c r="O95" s="4402"/>
      <c r="P95" s="4525"/>
      <c r="Q95" s="4525"/>
      <c r="R95" s="4528"/>
      <c r="S95" s="3314"/>
      <c r="T95" s="3271"/>
      <c r="U95" s="3271"/>
      <c r="V95" s="3288"/>
      <c r="W95" s="3289"/>
      <c r="X95" s="3290"/>
      <c r="Y95" s="3245"/>
      <c r="Z95" s="3291"/>
      <c r="AA95" s="3291"/>
      <c r="AB95" s="3245"/>
      <c r="AC95" s="3290"/>
      <c r="AD95" s="3292"/>
      <c r="AE95" s="3292"/>
      <c r="AF95" s="4877"/>
    </row>
    <row r="96" spans="1:32" ht="42.75" customHeight="1">
      <c r="A96" s="4778"/>
      <c r="B96" s="4944"/>
      <c r="C96" s="4934" t="s">
        <v>272</v>
      </c>
      <c r="D96" s="4377" t="s">
        <v>302</v>
      </c>
      <c r="E96" s="4377" t="s">
        <v>388</v>
      </c>
      <c r="F96" s="4377" t="s">
        <v>389</v>
      </c>
      <c r="G96" s="4906" t="s">
        <v>305</v>
      </c>
      <c r="H96" s="4377" t="s">
        <v>306</v>
      </c>
      <c r="I96" s="4377" t="s">
        <v>241</v>
      </c>
      <c r="J96" s="4377" t="s">
        <v>4829</v>
      </c>
      <c r="K96" s="4377" t="s">
        <v>967</v>
      </c>
      <c r="L96" s="4377" t="s">
        <v>4791</v>
      </c>
      <c r="M96" s="4904">
        <v>1</v>
      </c>
      <c r="N96" s="4904">
        <v>0</v>
      </c>
      <c r="O96" s="4904">
        <v>1</v>
      </c>
      <c r="P96" s="4907" t="s">
        <v>4874</v>
      </c>
      <c r="Q96" s="4907" t="s">
        <v>4855</v>
      </c>
      <c r="R96" s="4903" t="s">
        <v>4786</v>
      </c>
      <c r="S96" s="3315" t="s">
        <v>39</v>
      </c>
      <c r="T96" s="3270">
        <v>530207</v>
      </c>
      <c r="U96" s="3270"/>
      <c r="V96" s="2972" t="s">
        <v>31</v>
      </c>
      <c r="W96" s="3293"/>
      <c r="X96" s="3294"/>
      <c r="Y96" s="3252"/>
      <c r="Z96" s="3252"/>
      <c r="AA96" s="3252"/>
      <c r="AB96" s="3329">
        <f>$AA$97</f>
        <v>1000.1600000000001</v>
      </c>
      <c r="AC96" s="3259"/>
      <c r="AD96" s="3262"/>
      <c r="AE96" s="3262"/>
      <c r="AF96" s="4908" t="s">
        <v>968</v>
      </c>
    </row>
    <row r="97" spans="1:32" ht="42.75" customHeight="1">
      <c r="A97" s="4778"/>
      <c r="B97" s="4944"/>
      <c r="C97" s="4935"/>
      <c r="D97" s="4514"/>
      <c r="E97" s="4514"/>
      <c r="F97" s="4514"/>
      <c r="G97" s="4514"/>
      <c r="H97" s="4514"/>
      <c r="I97" s="4514"/>
      <c r="J97" s="4514"/>
      <c r="K97" s="4514"/>
      <c r="L97" s="4514"/>
      <c r="M97" s="4393"/>
      <c r="N97" s="4393"/>
      <c r="O97" s="4393"/>
      <c r="P97" s="4514"/>
      <c r="Q97" s="4514"/>
      <c r="R97" s="4518"/>
      <c r="S97" s="3302"/>
      <c r="T97" s="1849"/>
      <c r="U97" s="1849">
        <v>836100011</v>
      </c>
      <c r="V97" s="1855" t="s">
        <v>376</v>
      </c>
      <c r="W97" s="3205">
        <v>1</v>
      </c>
      <c r="X97" s="1824" t="s">
        <v>269</v>
      </c>
      <c r="Y97" s="3191">
        <v>893</v>
      </c>
      <c r="Z97" s="1870">
        <f>+W97*Y97</f>
        <v>893</v>
      </c>
      <c r="AA97" s="1870">
        <f>+Z97*1.12</f>
        <v>1000.1600000000001</v>
      </c>
      <c r="AB97" s="1870"/>
      <c r="AC97" s="1824"/>
      <c r="AD97" s="3206" t="s">
        <v>251</v>
      </c>
      <c r="AE97" s="3206" t="s">
        <v>251</v>
      </c>
      <c r="AF97" s="4876"/>
    </row>
    <row r="98" spans="1:32" ht="42.75" customHeight="1">
      <c r="A98" s="4778"/>
      <c r="B98" s="4944"/>
      <c r="C98" s="4935"/>
      <c r="D98" s="4514"/>
      <c r="E98" s="4514"/>
      <c r="F98" s="4514"/>
      <c r="G98" s="4514"/>
      <c r="H98" s="4514"/>
      <c r="I98" s="4514"/>
      <c r="J98" s="4514"/>
      <c r="K98" s="4514"/>
      <c r="L98" s="4514"/>
      <c r="M98" s="4393"/>
      <c r="N98" s="4393"/>
      <c r="O98" s="4393"/>
      <c r="P98" s="4514"/>
      <c r="Q98" s="4514"/>
      <c r="R98" s="4518"/>
      <c r="S98" s="3302" t="s">
        <v>39</v>
      </c>
      <c r="T98" s="1891">
        <v>530613</v>
      </c>
      <c r="U98" s="1891"/>
      <c r="V98" s="1856" t="s">
        <v>88</v>
      </c>
      <c r="W98" s="3215"/>
      <c r="X98" s="3216"/>
      <c r="Y98" s="1871"/>
      <c r="Z98" s="1871"/>
      <c r="AA98" s="1871"/>
      <c r="AB98" s="1871">
        <f>SUM($AA$99)</f>
        <v>20160.000000000004</v>
      </c>
      <c r="AC98" s="3212"/>
      <c r="AD98" s="3213"/>
      <c r="AE98" s="3213"/>
      <c r="AF98" s="4876"/>
    </row>
    <row r="99" spans="1:32" ht="42.75" customHeight="1">
      <c r="A99" s="4778"/>
      <c r="B99" s="4944"/>
      <c r="C99" s="4935"/>
      <c r="D99" s="4514"/>
      <c r="E99" s="4514"/>
      <c r="F99" s="4514"/>
      <c r="G99" s="4514"/>
      <c r="H99" s="4514"/>
      <c r="I99" s="4514"/>
      <c r="J99" s="4514"/>
      <c r="K99" s="4514"/>
      <c r="L99" s="4514"/>
      <c r="M99" s="4393"/>
      <c r="N99" s="4393"/>
      <c r="O99" s="4393"/>
      <c r="P99" s="4514"/>
      <c r="Q99" s="4514"/>
      <c r="R99" s="4518"/>
      <c r="S99" s="3311"/>
      <c r="T99" s="1849"/>
      <c r="U99" s="1849"/>
      <c r="V99" s="1855" t="s">
        <v>88</v>
      </c>
      <c r="W99" s="3189">
        <v>1</v>
      </c>
      <c r="X99" s="3217" t="s">
        <v>250</v>
      </c>
      <c r="Y99" s="1870">
        <v>18000</v>
      </c>
      <c r="Z99" s="1870">
        <f>W99*Y99</f>
        <v>18000</v>
      </c>
      <c r="AA99" s="1870">
        <f>Z99*1.12</f>
        <v>20160.000000000004</v>
      </c>
      <c r="AB99" s="1870"/>
      <c r="AC99" s="3218" t="s">
        <v>251</v>
      </c>
      <c r="AD99" s="3200" t="s">
        <v>251</v>
      </c>
      <c r="AE99" s="3200" t="s">
        <v>251</v>
      </c>
      <c r="AF99" s="4876"/>
    </row>
    <row r="100" spans="1:32" ht="42.75" customHeight="1">
      <c r="A100" s="4778"/>
      <c r="B100" s="4944"/>
      <c r="C100" s="4936"/>
      <c r="D100" s="4515"/>
      <c r="E100" s="4515"/>
      <c r="F100" s="4515"/>
      <c r="G100" s="4515"/>
      <c r="H100" s="4515"/>
      <c r="I100" s="4515"/>
      <c r="J100" s="4515"/>
      <c r="K100" s="4515"/>
      <c r="L100" s="4515"/>
      <c r="M100" s="4420"/>
      <c r="N100" s="4420"/>
      <c r="O100" s="4420"/>
      <c r="P100" s="4515"/>
      <c r="Q100" s="4515"/>
      <c r="R100" s="4519"/>
      <c r="S100" s="3312"/>
      <c r="T100" s="3268"/>
      <c r="U100" s="3268"/>
      <c r="V100" s="3279"/>
      <c r="W100" s="3280"/>
      <c r="X100" s="3281"/>
      <c r="Y100" s="3236"/>
      <c r="Z100" s="3282"/>
      <c r="AA100" s="3282"/>
      <c r="AB100" s="3236"/>
      <c r="AC100" s="3281"/>
      <c r="AD100" s="3283"/>
      <c r="AE100" s="3283"/>
      <c r="AF100" s="4880"/>
    </row>
    <row r="101" spans="1:32" ht="38.25" customHeight="1">
      <c r="A101" s="4778"/>
      <c r="B101" s="4944"/>
      <c r="C101" s="4950" t="s">
        <v>272</v>
      </c>
      <c r="D101" s="4896" t="s">
        <v>969</v>
      </c>
      <c r="E101" s="4896" t="s">
        <v>303</v>
      </c>
      <c r="F101" s="4896" t="s">
        <v>955</v>
      </c>
      <c r="G101" s="4953" t="s">
        <v>305</v>
      </c>
      <c r="H101" s="4395" t="s">
        <v>240</v>
      </c>
      <c r="I101" s="4395" t="s">
        <v>257</v>
      </c>
      <c r="J101" s="4395" t="s">
        <v>4830</v>
      </c>
      <c r="K101" s="4395" t="s">
        <v>970</v>
      </c>
      <c r="L101" s="4395" t="s">
        <v>4790</v>
      </c>
      <c r="M101" s="4893">
        <v>10000</v>
      </c>
      <c r="N101" s="4401">
        <v>0</v>
      </c>
      <c r="O101" s="4893">
        <v>10000</v>
      </c>
      <c r="P101" s="4896" t="s">
        <v>4847</v>
      </c>
      <c r="Q101" s="4896" t="s">
        <v>4854</v>
      </c>
      <c r="R101" s="4897" t="s">
        <v>4783</v>
      </c>
      <c r="S101" s="3313"/>
      <c r="T101" s="3274"/>
      <c r="U101" s="3274"/>
      <c r="V101" s="3275"/>
      <c r="W101" s="3276"/>
      <c r="X101" s="3277"/>
      <c r="Y101" s="3228"/>
      <c r="Z101" s="3228"/>
      <c r="AA101" s="3228"/>
      <c r="AB101" s="3228"/>
      <c r="AC101" s="3277"/>
      <c r="AD101" s="3278"/>
      <c r="AE101" s="3278"/>
      <c r="AF101" s="4875"/>
    </row>
    <row r="102" spans="1:32" ht="38.25" customHeight="1">
      <c r="A102" s="4778"/>
      <c r="B102" s="4944"/>
      <c r="C102" s="4935"/>
      <c r="D102" s="4514"/>
      <c r="E102" s="4514"/>
      <c r="F102" s="4514"/>
      <c r="G102" s="4514"/>
      <c r="H102" s="4514"/>
      <c r="I102" s="4514"/>
      <c r="J102" s="4514"/>
      <c r="K102" s="4514"/>
      <c r="L102" s="4514"/>
      <c r="M102" s="4894"/>
      <c r="N102" s="4393"/>
      <c r="O102" s="4894"/>
      <c r="P102" s="4514"/>
      <c r="Q102" s="4514"/>
      <c r="R102" s="4518"/>
      <c r="S102" s="3311"/>
      <c r="T102" s="1849"/>
      <c r="U102" s="1849"/>
      <c r="V102" s="3211"/>
      <c r="W102" s="3189"/>
      <c r="X102" s="3212"/>
      <c r="Y102" s="1870"/>
      <c r="Z102" s="3214"/>
      <c r="AA102" s="3214"/>
      <c r="AB102" s="1870"/>
      <c r="AC102" s="3212"/>
      <c r="AD102" s="3213"/>
      <c r="AE102" s="3213"/>
      <c r="AF102" s="4876"/>
    </row>
    <row r="103" spans="1:32" ht="38.25" customHeight="1">
      <c r="A103" s="4778"/>
      <c r="B103" s="4944"/>
      <c r="C103" s="4935"/>
      <c r="D103" s="4514"/>
      <c r="E103" s="4514"/>
      <c r="F103" s="4514"/>
      <c r="G103" s="4514"/>
      <c r="H103" s="4514"/>
      <c r="I103" s="4514"/>
      <c r="J103" s="4514"/>
      <c r="K103" s="4514"/>
      <c r="L103" s="4514"/>
      <c r="M103" s="4894"/>
      <c r="N103" s="4393"/>
      <c r="O103" s="4894"/>
      <c r="P103" s="4514"/>
      <c r="Q103" s="4514"/>
      <c r="R103" s="4518"/>
      <c r="S103" s="3311"/>
      <c r="T103" s="1849"/>
      <c r="U103" s="1849"/>
      <c r="V103" s="3211"/>
      <c r="W103" s="3189"/>
      <c r="X103" s="3212"/>
      <c r="Y103" s="1870"/>
      <c r="Z103" s="3214"/>
      <c r="AA103" s="3214"/>
      <c r="AB103" s="1870"/>
      <c r="AC103" s="3212"/>
      <c r="AD103" s="3213"/>
      <c r="AE103" s="3213"/>
      <c r="AF103" s="4876"/>
    </row>
    <row r="104" spans="1:32" ht="38.25" customHeight="1">
      <c r="A104" s="4778"/>
      <c r="B104" s="4944"/>
      <c r="C104" s="4935"/>
      <c r="D104" s="4514"/>
      <c r="E104" s="4514"/>
      <c r="F104" s="4514"/>
      <c r="G104" s="4514"/>
      <c r="H104" s="4514"/>
      <c r="I104" s="4514"/>
      <c r="J104" s="4514"/>
      <c r="K104" s="4514"/>
      <c r="L104" s="4514"/>
      <c r="M104" s="4894"/>
      <c r="N104" s="4393"/>
      <c r="O104" s="4894"/>
      <c r="P104" s="4514"/>
      <c r="Q104" s="4514"/>
      <c r="R104" s="4518"/>
      <c r="S104" s="3311"/>
      <c r="T104" s="1849"/>
      <c r="U104" s="1849"/>
      <c r="V104" s="3211"/>
      <c r="W104" s="3189"/>
      <c r="X104" s="3212"/>
      <c r="Y104" s="1870"/>
      <c r="Z104" s="3214"/>
      <c r="AA104" s="3214"/>
      <c r="AB104" s="1870"/>
      <c r="AC104" s="3212"/>
      <c r="AD104" s="3213"/>
      <c r="AE104" s="3213"/>
      <c r="AF104" s="4876"/>
    </row>
    <row r="105" spans="1:32" ht="38.25" customHeight="1">
      <c r="A105" s="4778"/>
      <c r="B105" s="4944"/>
      <c r="C105" s="4945"/>
      <c r="D105" s="4525"/>
      <c r="E105" s="4525"/>
      <c r="F105" s="4525"/>
      <c r="G105" s="4525"/>
      <c r="H105" s="4525"/>
      <c r="I105" s="4525"/>
      <c r="J105" s="4525"/>
      <c r="K105" s="4525"/>
      <c r="L105" s="4525"/>
      <c r="M105" s="4895"/>
      <c r="N105" s="4402"/>
      <c r="O105" s="4895"/>
      <c r="P105" s="4525"/>
      <c r="Q105" s="4525"/>
      <c r="R105" s="4528"/>
      <c r="S105" s="3314"/>
      <c r="T105" s="3271"/>
      <c r="U105" s="3271"/>
      <c r="V105" s="3288"/>
      <c r="W105" s="3289"/>
      <c r="X105" s="3290"/>
      <c r="Y105" s="3245"/>
      <c r="Z105" s="3291"/>
      <c r="AA105" s="3291"/>
      <c r="AB105" s="3245"/>
      <c r="AC105" s="3290"/>
      <c r="AD105" s="3292"/>
      <c r="AE105" s="3292"/>
      <c r="AF105" s="4877"/>
    </row>
    <row r="106" spans="1:32" ht="27" customHeight="1">
      <c r="A106" s="4778"/>
      <c r="B106" s="4944"/>
      <c r="C106" s="4934" t="s">
        <v>272</v>
      </c>
      <c r="D106" s="4377" t="s">
        <v>273</v>
      </c>
      <c r="E106" s="4377" t="s">
        <v>388</v>
      </c>
      <c r="F106" s="4377" t="s">
        <v>389</v>
      </c>
      <c r="G106" s="4906" t="s">
        <v>276</v>
      </c>
      <c r="H106" s="4377" t="s">
        <v>314</v>
      </c>
      <c r="I106" s="4377" t="s">
        <v>294</v>
      </c>
      <c r="J106" s="4377" t="s">
        <v>4831</v>
      </c>
      <c r="K106" s="4377" t="s">
        <v>971</v>
      </c>
      <c r="L106" s="4377" t="s">
        <v>972</v>
      </c>
      <c r="M106" s="4392">
        <v>1</v>
      </c>
      <c r="N106" s="4939">
        <v>0</v>
      </c>
      <c r="O106" s="4392">
        <v>1</v>
      </c>
      <c r="P106" s="4377" t="s">
        <v>4875</v>
      </c>
      <c r="Q106" s="4907" t="s">
        <v>4853</v>
      </c>
      <c r="R106" s="4903" t="s">
        <v>4784</v>
      </c>
      <c r="S106" s="3310"/>
      <c r="T106" s="3272"/>
      <c r="U106" s="3272"/>
      <c r="V106" s="3284"/>
      <c r="W106" s="3285"/>
      <c r="X106" s="3286"/>
      <c r="Y106" s="3252"/>
      <c r="Z106" s="3252"/>
      <c r="AA106" s="3252"/>
      <c r="AB106" s="3252"/>
      <c r="AC106" s="3286"/>
      <c r="AD106" s="3287"/>
      <c r="AE106" s="3287"/>
      <c r="AF106" s="4890"/>
    </row>
    <row r="107" spans="1:32" ht="27" customHeight="1">
      <c r="A107" s="4778"/>
      <c r="B107" s="4944"/>
      <c r="C107" s="4935"/>
      <c r="D107" s="4514"/>
      <c r="E107" s="4514"/>
      <c r="F107" s="4514"/>
      <c r="G107" s="4514"/>
      <c r="H107" s="4514"/>
      <c r="I107" s="4514"/>
      <c r="J107" s="4514"/>
      <c r="K107" s="4514"/>
      <c r="L107" s="4514"/>
      <c r="M107" s="4393"/>
      <c r="N107" s="4393"/>
      <c r="O107" s="4393"/>
      <c r="P107" s="4514"/>
      <c r="Q107" s="4514"/>
      <c r="R107" s="4518"/>
      <c r="S107" s="3311"/>
      <c r="T107" s="1849"/>
      <c r="U107" s="1849"/>
      <c r="V107" s="3211"/>
      <c r="W107" s="3189"/>
      <c r="X107" s="3212"/>
      <c r="Y107" s="1870"/>
      <c r="Z107" s="1870"/>
      <c r="AA107" s="1870"/>
      <c r="AB107" s="1870"/>
      <c r="AC107" s="3212"/>
      <c r="AD107" s="3213"/>
      <c r="AE107" s="3213"/>
      <c r="AF107" s="4891"/>
    </row>
    <row r="108" spans="1:32" ht="27" customHeight="1">
      <c r="A108" s="4778"/>
      <c r="B108" s="4944"/>
      <c r="C108" s="4935"/>
      <c r="D108" s="4514"/>
      <c r="E108" s="4514"/>
      <c r="F108" s="4514"/>
      <c r="G108" s="4514"/>
      <c r="H108" s="4514"/>
      <c r="I108" s="4514"/>
      <c r="J108" s="4514"/>
      <c r="K108" s="4514"/>
      <c r="L108" s="4514"/>
      <c r="M108" s="4393"/>
      <c r="N108" s="4393"/>
      <c r="O108" s="4393"/>
      <c r="P108" s="4514"/>
      <c r="Q108" s="4514"/>
      <c r="R108" s="4518"/>
      <c r="S108" s="3311"/>
      <c r="T108" s="1849"/>
      <c r="U108" s="1849"/>
      <c r="V108" s="3211"/>
      <c r="W108" s="3189"/>
      <c r="X108" s="3212"/>
      <c r="Y108" s="1870"/>
      <c r="Z108" s="1870"/>
      <c r="AA108" s="1870"/>
      <c r="AB108" s="1870"/>
      <c r="AC108" s="3212"/>
      <c r="AD108" s="3213"/>
      <c r="AE108" s="3213"/>
      <c r="AF108" s="4891"/>
    </row>
    <row r="109" spans="1:32" ht="27" customHeight="1">
      <c r="A109" s="4778"/>
      <c r="B109" s="4944"/>
      <c r="C109" s="4935"/>
      <c r="D109" s="4514"/>
      <c r="E109" s="4514"/>
      <c r="F109" s="4514"/>
      <c r="G109" s="4514"/>
      <c r="H109" s="4514"/>
      <c r="I109" s="4514"/>
      <c r="J109" s="4514"/>
      <c r="K109" s="4514"/>
      <c r="L109" s="4514"/>
      <c r="M109" s="4393"/>
      <c r="N109" s="4393"/>
      <c r="O109" s="4393"/>
      <c r="P109" s="4514"/>
      <c r="Q109" s="4514"/>
      <c r="R109" s="4518"/>
      <c r="S109" s="3311"/>
      <c r="T109" s="1849"/>
      <c r="U109" s="1849"/>
      <c r="V109" s="3211"/>
      <c r="W109" s="3189"/>
      <c r="X109" s="3212"/>
      <c r="Y109" s="1870"/>
      <c r="Z109" s="1870"/>
      <c r="AA109" s="1870"/>
      <c r="AB109" s="1870"/>
      <c r="AC109" s="3212"/>
      <c r="AD109" s="3213"/>
      <c r="AE109" s="3213"/>
      <c r="AF109" s="4891"/>
    </row>
    <row r="110" spans="1:32" ht="27" customHeight="1">
      <c r="A110" s="4778"/>
      <c r="B110" s="4944"/>
      <c r="C110" s="4936"/>
      <c r="D110" s="4515"/>
      <c r="E110" s="4515"/>
      <c r="F110" s="4515"/>
      <c r="G110" s="4515"/>
      <c r="H110" s="4515"/>
      <c r="I110" s="4515"/>
      <c r="J110" s="4515"/>
      <c r="K110" s="4515"/>
      <c r="L110" s="4515"/>
      <c r="M110" s="4420"/>
      <c r="N110" s="4420"/>
      <c r="O110" s="4420"/>
      <c r="P110" s="4515"/>
      <c r="Q110" s="4515"/>
      <c r="R110" s="4519"/>
      <c r="S110" s="3312"/>
      <c r="T110" s="3268"/>
      <c r="U110" s="3268"/>
      <c r="V110" s="3279"/>
      <c r="W110" s="3280"/>
      <c r="X110" s="3281"/>
      <c r="Y110" s="3236"/>
      <c r="Z110" s="3236"/>
      <c r="AA110" s="3236"/>
      <c r="AB110" s="3236"/>
      <c r="AC110" s="3281"/>
      <c r="AD110" s="3283"/>
      <c r="AE110" s="3283"/>
      <c r="AF110" s="4892"/>
    </row>
    <row r="111" spans="1:32" ht="31.5" customHeight="1">
      <c r="A111" s="4778"/>
      <c r="B111" s="4944"/>
      <c r="C111" s="4937" t="s">
        <v>235</v>
      </c>
      <c r="D111" s="4395" t="s">
        <v>236</v>
      </c>
      <c r="E111" s="4395" t="s">
        <v>237</v>
      </c>
      <c r="F111" s="4395" t="s">
        <v>370</v>
      </c>
      <c r="G111" s="4930" t="s">
        <v>239</v>
      </c>
      <c r="H111" s="4395" t="s">
        <v>240</v>
      </c>
      <c r="I111" s="4395" t="s">
        <v>257</v>
      </c>
      <c r="J111" s="4930" t="s">
        <v>4832</v>
      </c>
      <c r="K111" s="4395" t="s">
        <v>973</v>
      </c>
      <c r="L111" s="4896" t="s">
        <v>4789</v>
      </c>
      <c r="M111" s="4900">
        <v>1</v>
      </c>
      <c r="N111" s="4900">
        <v>0</v>
      </c>
      <c r="O111" s="4900">
        <v>0</v>
      </c>
      <c r="P111" s="4896" t="s">
        <v>4876</v>
      </c>
      <c r="Q111" s="4896" t="s">
        <v>4852</v>
      </c>
      <c r="R111" s="4897" t="s">
        <v>4784</v>
      </c>
      <c r="S111" s="3313"/>
      <c r="T111" s="3274"/>
      <c r="U111" s="3274"/>
      <c r="V111" s="3275"/>
      <c r="W111" s="3276"/>
      <c r="X111" s="3277"/>
      <c r="Y111" s="3228"/>
      <c r="Z111" s="3228"/>
      <c r="AA111" s="3228"/>
      <c r="AB111" s="3228"/>
      <c r="AC111" s="3277"/>
      <c r="AD111" s="3278"/>
      <c r="AE111" s="3278"/>
      <c r="AF111" s="4878" t="s">
        <v>4780</v>
      </c>
    </row>
    <row r="112" spans="1:32" ht="31.5" customHeight="1">
      <c r="A112" s="4778"/>
      <c r="B112" s="4944"/>
      <c r="C112" s="4935"/>
      <c r="D112" s="4514"/>
      <c r="E112" s="4514"/>
      <c r="F112" s="4514"/>
      <c r="G112" s="4514"/>
      <c r="H112" s="4514"/>
      <c r="I112" s="4514"/>
      <c r="J112" s="4514"/>
      <c r="K112" s="4514"/>
      <c r="L112" s="4898"/>
      <c r="M112" s="4901"/>
      <c r="N112" s="4901"/>
      <c r="O112" s="4901"/>
      <c r="P112" s="4514"/>
      <c r="Q112" s="4898"/>
      <c r="R112" s="4518"/>
      <c r="S112" s="3311"/>
      <c r="T112" s="1849"/>
      <c r="U112" s="1849"/>
      <c r="V112" s="3211"/>
      <c r="W112" s="3189"/>
      <c r="X112" s="3212"/>
      <c r="Y112" s="1870"/>
      <c r="Z112" s="1870"/>
      <c r="AA112" s="1870"/>
      <c r="AB112" s="1870"/>
      <c r="AC112" s="3212"/>
      <c r="AD112" s="3213"/>
      <c r="AE112" s="3213"/>
      <c r="AF112" s="4876"/>
    </row>
    <row r="113" spans="1:32" ht="31.5" customHeight="1">
      <c r="A113" s="4778"/>
      <c r="B113" s="4944"/>
      <c r="C113" s="4935"/>
      <c r="D113" s="4514"/>
      <c r="E113" s="4514"/>
      <c r="F113" s="4514"/>
      <c r="G113" s="4514"/>
      <c r="H113" s="4514"/>
      <c r="I113" s="4514"/>
      <c r="J113" s="4514"/>
      <c r="K113" s="4514"/>
      <c r="L113" s="4898"/>
      <c r="M113" s="4901"/>
      <c r="N113" s="4901"/>
      <c r="O113" s="4901"/>
      <c r="P113" s="4514"/>
      <c r="Q113" s="4898"/>
      <c r="R113" s="4518"/>
      <c r="S113" s="3311"/>
      <c r="T113" s="1849"/>
      <c r="U113" s="1849"/>
      <c r="V113" s="3211"/>
      <c r="W113" s="3189"/>
      <c r="X113" s="3212"/>
      <c r="Y113" s="1870"/>
      <c r="Z113" s="1870"/>
      <c r="AA113" s="1870"/>
      <c r="AB113" s="1870"/>
      <c r="AC113" s="3212"/>
      <c r="AD113" s="3213"/>
      <c r="AE113" s="3213"/>
      <c r="AF113" s="4876"/>
    </row>
    <row r="114" spans="1:32" ht="31.5" customHeight="1">
      <c r="A114" s="4778"/>
      <c r="B114" s="4944"/>
      <c r="C114" s="4935"/>
      <c r="D114" s="4514"/>
      <c r="E114" s="4514"/>
      <c r="F114" s="4514"/>
      <c r="G114" s="4514"/>
      <c r="H114" s="4514"/>
      <c r="I114" s="4514"/>
      <c r="J114" s="4514"/>
      <c r="K114" s="4514"/>
      <c r="L114" s="4898"/>
      <c r="M114" s="4901"/>
      <c r="N114" s="4901"/>
      <c r="O114" s="4901"/>
      <c r="P114" s="4514"/>
      <c r="Q114" s="4898"/>
      <c r="R114" s="4518"/>
      <c r="S114" s="3311"/>
      <c r="T114" s="1849"/>
      <c r="U114" s="1849"/>
      <c r="V114" s="3211"/>
      <c r="W114" s="3189"/>
      <c r="X114" s="3212"/>
      <c r="Y114" s="1870"/>
      <c r="Z114" s="1870"/>
      <c r="AA114" s="1870"/>
      <c r="AB114" s="1870"/>
      <c r="AC114" s="3212"/>
      <c r="AD114" s="3213"/>
      <c r="AE114" s="3213"/>
      <c r="AF114" s="4876"/>
    </row>
    <row r="115" spans="1:32" ht="31.5" customHeight="1">
      <c r="A115" s="4778"/>
      <c r="B115" s="4944"/>
      <c r="C115" s="4945"/>
      <c r="D115" s="4525"/>
      <c r="E115" s="4525"/>
      <c r="F115" s="4525"/>
      <c r="G115" s="4525"/>
      <c r="H115" s="4525"/>
      <c r="I115" s="4525"/>
      <c r="J115" s="4525"/>
      <c r="K115" s="4525"/>
      <c r="L115" s="4899"/>
      <c r="M115" s="4902"/>
      <c r="N115" s="4902"/>
      <c r="O115" s="4902"/>
      <c r="P115" s="4525"/>
      <c r="Q115" s="4899"/>
      <c r="R115" s="4528"/>
      <c r="S115" s="3314"/>
      <c r="T115" s="3271"/>
      <c r="U115" s="3271"/>
      <c r="V115" s="3288"/>
      <c r="W115" s="3289"/>
      <c r="X115" s="3290"/>
      <c r="Y115" s="3245"/>
      <c r="Z115" s="3245"/>
      <c r="AA115" s="3245"/>
      <c r="AB115" s="3245"/>
      <c r="AC115" s="3290"/>
      <c r="AD115" s="3292"/>
      <c r="AE115" s="3292"/>
      <c r="AF115" s="4877"/>
    </row>
    <row r="116" spans="1:32" ht="35.25" customHeight="1">
      <c r="A116" s="4778"/>
      <c r="B116" s="4944"/>
      <c r="C116" s="4934" t="s">
        <v>235</v>
      </c>
      <c r="D116" s="4377" t="s">
        <v>236</v>
      </c>
      <c r="E116" s="4377" t="s">
        <v>244</v>
      </c>
      <c r="F116" s="4377" t="s">
        <v>430</v>
      </c>
      <c r="G116" s="4906" t="s">
        <v>239</v>
      </c>
      <c r="H116" s="4377" t="s">
        <v>306</v>
      </c>
      <c r="I116" s="4377" t="s">
        <v>257</v>
      </c>
      <c r="J116" s="4377" t="s">
        <v>4833</v>
      </c>
      <c r="K116" s="4377" t="s">
        <v>974</v>
      </c>
      <c r="L116" s="4377" t="s">
        <v>975</v>
      </c>
      <c r="M116" s="4392">
        <v>200</v>
      </c>
      <c r="N116" s="4392">
        <v>200</v>
      </c>
      <c r="O116" s="4392">
        <v>200</v>
      </c>
      <c r="P116" s="4377" t="s">
        <v>4877</v>
      </c>
      <c r="Q116" s="4907" t="s">
        <v>4851</v>
      </c>
      <c r="R116" s="4903" t="s">
        <v>4784</v>
      </c>
      <c r="S116" s="3310"/>
      <c r="T116" s="3272"/>
      <c r="U116" s="3272"/>
      <c r="V116" s="3284"/>
      <c r="W116" s="3285"/>
      <c r="X116" s="3286"/>
      <c r="Y116" s="3252"/>
      <c r="Z116" s="3252"/>
      <c r="AA116" s="3252"/>
      <c r="AB116" s="3252"/>
      <c r="AC116" s="3286"/>
      <c r="AD116" s="3287"/>
      <c r="AE116" s="3287"/>
      <c r="AF116" s="4890"/>
    </row>
    <row r="117" spans="1:32" ht="35.25" customHeight="1">
      <c r="A117" s="4778"/>
      <c r="B117" s="4944"/>
      <c r="C117" s="4935"/>
      <c r="D117" s="4514"/>
      <c r="E117" s="4514"/>
      <c r="F117" s="4514"/>
      <c r="G117" s="4514"/>
      <c r="H117" s="4514"/>
      <c r="I117" s="4514"/>
      <c r="J117" s="4514"/>
      <c r="K117" s="4514"/>
      <c r="L117" s="4514"/>
      <c r="M117" s="4393"/>
      <c r="N117" s="4393"/>
      <c r="O117" s="4393"/>
      <c r="P117" s="4514"/>
      <c r="Q117" s="4514"/>
      <c r="R117" s="4518"/>
      <c r="S117" s="3311"/>
      <c r="T117" s="1849"/>
      <c r="U117" s="1849"/>
      <c r="V117" s="3211"/>
      <c r="W117" s="3189"/>
      <c r="X117" s="3212"/>
      <c r="Y117" s="1870"/>
      <c r="Z117" s="1870"/>
      <c r="AA117" s="1870"/>
      <c r="AB117" s="1870"/>
      <c r="AC117" s="3212"/>
      <c r="AD117" s="3213"/>
      <c r="AE117" s="3213"/>
      <c r="AF117" s="4891"/>
    </row>
    <row r="118" spans="1:32" ht="35.25" customHeight="1">
      <c r="A118" s="4778"/>
      <c r="B118" s="4944"/>
      <c r="C118" s="4935"/>
      <c r="D118" s="4514"/>
      <c r="E118" s="4514"/>
      <c r="F118" s="4514"/>
      <c r="G118" s="4514"/>
      <c r="H118" s="4514"/>
      <c r="I118" s="4514"/>
      <c r="J118" s="4514"/>
      <c r="K118" s="4514"/>
      <c r="L118" s="4514"/>
      <c r="M118" s="4393"/>
      <c r="N118" s="4393"/>
      <c r="O118" s="4393"/>
      <c r="P118" s="4514"/>
      <c r="Q118" s="4514"/>
      <c r="R118" s="4518"/>
      <c r="S118" s="3311"/>
      <c r="T118" s="1849"/>
      <c r="U118" s="1849"/>
      <c r="V118" s="3211"/>
      <c r="W118" s="3189"/>
      <c r="X118" s="3212"/>
      <c r="Y118" s="1870"/>
      <c r="Z118" s="1870"/>
      <c r="AA118" s="1870"/>
      <c r="AB118" s="1870"/>
      <c r="AC118" s="3212"/>
      <c r="AD118" s="3213"/>
      <c r="AE118" s="3213"/>
      <c r="AF118" s="4891"/>
    </row>
    <row r="119" spans="1:32" ht="35.25" customHeight="1">
      <c r="A119" s="4778"/>
      <c r="B119" s="4944"/>
      <c r="C119" s="4935"/>
      <c r="D119" s="4514"/>
      <c r="E119" s="4514"/>
      <c r="F119" s="4514"/>
      <c r="G119" s="4514"/>
      <c r="H119" s="4514"/>
      <c r="I119" s="4514"/>
      <c r="J119" s="4514"/>
      <c r="K119" s="4514"/>
      <c r="L119" s="4514"/>
      <c r="M119" s="4393"/>
      <c r="N119" s="4393"/>
      <c r="O119" s="4393"/>
      <c r="P119" s="4514"/>
      <c r="Q119" s="4514"/>
      <c r="R119" s="4518"/>
      <c r="S119" s="3311"/>
      <c r="T119" s="1849"/>
      <c r="U119" s="1849"/>
      <c r="V119" s="3211"/>
      <c r="W119" s="3189"/>
      <c r="X119" s="3212"/>
      <c r="Y119" s="1870"/>
      <c r="Z119" s="1870"/>
      <c r="AA119" s="1870"/>
      <c r="AB119" s="1870"/>
      <c r="AC119" s="3212"/>
      <c r="AD119" s="3213"/>
      <c r="AE119" s="3213"/>
      <c r="AF119" s="4891"/>
    </row>
    <row r="120" spans="1:32" ht="35.25" customHeight="1">
      <c r="A120" s="4778"/>
      <c r="B120" s="4944"/>
      <c r="C120" s="4936"/>
      <c r="D120" s="4515"/>
      <c r="E120" s="4515"/>
      <c r="F120" s="4515"/>
      <c r="G120" s="4515"/>
      <c r="H120" s="4515"/>
      <c r="I120" s="4515"/>
      <c r="J120" s="4515"/>
      <c r="K120" s="4515"/>
      <c r="L120" s="4515"/>
      <c r="M120" s="4420"/>
      <c r="N120" s="4420"/>
      <c r="O120" s="4420"/>
      <c r="P120" s="4515"/>
      <c r="Q120" s="4515"/>
      <c r="R120" s="4519"/>
      <c r="S120" s="3312"/>
      <c r="T120" s="3268"/>
      <c r="U120" s="3268"/>
      <c r="V120" s="3279"/>
      <c r="W120" s="3280"/>
      <c r="X120" s="3281"/>
      <c r="Y120" s="3236"/>
      <c r="Z120" s="3236"/>
      <c r="AA120" s="3236"/>
      <c r="AB120" s="3236"/>
      <c r="AC120" s="3281"/>
      <c r="AD120" s="3283"/>
      <c r="AE120" s="3283"/>
      <c r="AF120" s="4892"/>
    </row>
    <row r="121" spans="1:32" ht="30" customHeight="1">
      <c r="A121" s="4778"/>
      <c r="B121" s="4944"/>
      <c r="C121" s="4934" t="s">
        <v>235</v>
      </c>
      <c r="D121" s="4377" t="s">
        <v>236</v>
      </c>
      <c r="E121" s="4377" t="s">
        <v>244</v>
      </c>
      <c r="F121" s="4377" t="s">
        <v>337</v>
      </c>
      <c r="G121" s="4906" t="s">
        <v>239</v>
      </c>
      <c r="H121" s="4377" t="s">
        <v>240</v>
      </c>
      <c r="I121" s="4377" t="s">
        <v>257</v>
      </c>
      <c r="J121" s="4377" t="s">
        <v>4834</v>
      </c>
      <c r="K121" s="4377" t="s">
        <v>338</v>
      </c>
      <c r="L121" s="4377" t="s">
        <v>4788</v>
      </c>
      <c r="M121" s="4904">
        <v>0</v>
      </c>
      <c r="N121" s="4905">
        <v>1</v>
      </c>
      <c r="O121" s="4392">
        <v>1</v>
      </c>
      <c r="P121" s="4907" t="s">
        <v>4848</v>
      </c>
      <c r="Q121" s="4907" t="s">
        <v>4850</v>
      </c>
      <c r="R121" s="4903" t="s">
        <v>4787</v>
      </c>
      <c r="S121" s="3310"/>
      <c r="T121" s="3272"/>
      <c r="U121" s="3272"/>
      <c r="V121" s="3284"/>
      <c r="W121" s="3285"/>
      <c r="X121" s="3286"/>
      <c r="Y121" s="3252"/>
      <c r="Z121" s="3252"/>
      <c r="AA121" s="3252"/>
      <c r="AB121" s="3252"/>
      <c r="AC121" s="3286"/>
      <c r="AD121" s="3287"/>
      <c r="AE121" s="3287"/>
      <c r="AF121" s="4879"/>
    </row>
    <row r="122" spans="1:32" ht="30" customHeight="1">
      <c r="A122" s="4778"/>
      <c r="B122" s="4944"/>
      <c r="C122" s="4935"/>
      <c r="D122" s="4514"/>
      <c r="E122" s="4514"/>
      <c r="F122" s="4514"/>
      <c r="G122" s="4514"/>
      <c r="H122" s="4514"/>
      <c r="I122" s="4514"/>
      <c r="J122" s="4514"/>
      <c r="K122" s="4514"/>
      <c r="L122" s="4514"/>
      <c r="M122" s="4393"/>
      <c r="N122" s="4393"/>
      <c r="O122" s="4393"/>
      <c r="P122" s="4514"/>
      <c r="Q122" s="4514"/>
      <c r="R122" s="4518"/>
      <c r="S122" s="3311"/>
      <c r="T122" s="1849"/>
      <c r="U122" s="1849"/>
      <c r="V122" s="3211"/>
      <c r="W122" s="3189"/>
      <c r="X122" s="3212"/>
      <c r="Y122" s="1870"/>
      <c r="Z122" s="3214"/>
      <c r="AA122" s="3214"/>
      <c r="AB122" s="1870"/>
      <c r="AC122" s="3212"/>
      <c r="AD122" s="3213"/>
      <c r="AE122" s="3213"/>
      <c r="AF122" s="4876"/>
    </row>
    <row r="123" spans="1:32" ht="30" customHeight="1">
      <c r="A123" s="4778"/>
      <c r="B123" s="4944"/>
      <c r="C123" s="4935"/>
      <c r="D123" s="4514"/>
      <c r="E123" s="4514"/>
      <c r="F123" s="4514"/>
      <c r="G123" s="4514"/>
      <c r="H123" s="4514"/>
      <c r="I123" s="4514"/>
      <c r="J123" s="4514"/>
      <c r="K123" s="4514"/>
      <c r="L123" s="4514"/>
      <c r="M123" s="4393"/>
      <c r="N123" s="4393"/>
      <c r="O123" s="4393"/>
      <c r="P123" s="4514"/>
      <c r="Q123" s="4514"/>
      <c r="R123" s="4518"/>
      <c r="S123" s="3311"/>
      <c r="T123" s="1849"/>
      <c r="U123" s="1849"/>
      <c r="V123" s="3211"/>
      <c r="W123" s="3189"/>
      <c r="X123" s="3212"/>
      <c r="Y123" s="1870"/>
      <c r="Z123" s="3214"/>
      <c r="AA123" s="3214"/>
      <c r="AB123" s="1870"/>
      <c r="AC123" s="3212"/>
      <c r="AD123" s="3213"/>
      <c r="AE123" s="3213"/>
      <c r="AF123" s="4876"/>
    </row>
    <row r="124" spans="1:32" ht="30" customHeight="1">
      <c r="A124" s="4778"/>
      <c r="B124" s="4944"/>
      <c r="C124" s="4935"/>
      <c r="D124" s="4514"/>
      <c r="E124" s="4514"/>
      <c r="F124" s="4514"/>
      <c r="G124" s="4514"/>
      <c r="H124" s="4514"/>
      <c r="I124" s="4514"/>
      <c r="J124" s="4514"/>
      <c r="K124" s="4514"/>
      <c r="L124" s="4514"/>
      <c r="M124" s="4393"/>
      <c r="N124" s="4393"/>
      <c r="O124" s="4393"/>
      <c r="P124" s="4514"/>
      <c r="Q124" s="4514"/>
      <c r="R124" s="4518"/>
      <c r="S124" s="3311"/>
      <c r="T124" s="1849"/>
      <c r="U124" s="1849"/>
      <c r="V124" s="3211"/>
      <c r="W124" s="3189"/>
      <c r="X124" s="3212"/>
      <c r="Y124" s="1870"/>
      <c r="Z124" s="3214"/>
      <c r="AA124" s="3214"/>
      <c r="AB124" s="1870"/>
      <c r="AC124" s="3212"/>
      <c r="AD124" s="3213"/>
      <c r="AE124" s="3213"/>
      <c r="AF124" s="4876"/>
    </row>
    <row r="125" spans="1:32" ht="30" customHeight="1">
      <c r="A125" s="4778"/>
      <c r="B125" s="4944"/>
      <c r="C125" s="4936"/>
      <c r="D125" s="4515"/>
      <c r="E125" s="4515"/>
      <c r="F125" s="4515"/>
      <c r="G125" s="4515"/>
      <c r="H125" s="4515"/>
      <c r="I125" s="4515"/>
      <c r="J125" s="4515"/>
      <c r="K125" s="4515"/>
      <c r="L125" s="4515"/>
      <c r="M125" s="4420"/>
      <c r="N125" s="4420"/>
      <c r="O125" s="4420"/>
      <c r="P125" s="4515"/>
      <c r="Q125" s="4515"/>
      <c r="R125" s="4519"/>
      <c r="S125" s="3312"/>
      <c r="T125" s="3268"/>
      <c r="U125" s="3268"/>
      <c r="V125" s="3279"/>
      <c r="W125" s="3280"/>
      <c r="X125" s="3281"/>
      <c r="Y125" s="3236"/>
      <c r="Z125" s="3282"/>
      <c r="AA125" s="3282"/>
      <c r="AB125" s="3236"/>
      <c r="AC125" s="3281"/>
      <c r="AD125" s="3283"/>
      <c r="AE125" s="3283"/>
      <c r="AF125" s="4880"/>
    </row>
    <row r="126" spans="1:32" ht="30.75" customHeight="1">
      <c r="A126" s="4778"/>
      <c r="B126" s="4944"/>
      <c r="C126" s="4937" t="s">
        <v>235</v>
      </c>
      <c r="D126" s="4395" t="s">
        <v>236</v>
      </c>
      <c r="E126" s="4395" t="s">
        <v>237</v>
      </c>
      <c r="F126" s="4395" t="s">
        <v>976</v>
      </c>
      <c r="G126" s="4930" t="s">
        <v>239</v>
      </c>
      <c r="H126" s="4395" t="s">
        <v>240</v>
      </c>
      <c r="I126" s="4395" t="s">
        <v>257</v>
      </c>
      <c r="J126" s="4395" t="s">
        <v>4835</v>
      </c>
      <c r="K126" s="4395" t="s">
        <v>371</v>
      </c>
      <c r="L126" s="4395" t="s">
        <v>977</v>
      </c>
      <c r="M126" s="4401">
        <v>100</v>
      </c>
      <c r="N126" s="4401">
        <v>100</v>
      </c>
      <c r="O126" s="4401">
        <v>100</v>
      </c>
      <c r="P126" s="4395" t="s">
        <v>4878</v>
      </c>
      <c r="Q126" s="4896" t="s">
        <v>4849</v>
      </c>
      <c r="R126" s="4897" t="s">
        <v>4784</v>
      </c>
      <c r="S126" s="3313"/>
      <c r="T126" s="3274"/>
      <c r="U126" s="3274"/>
      <c r="V126" s="3275"/>
      <c r="W126" s="3276"/>
      <c r="X126" s="3277"/>
      <c r="Y126" s="3228"/>
      <c r="Z126" s="3228"/>
      <c r="AA126" s="3295"/>
      <c r="AB126" s="3228"/>
      <c r="AC126" s="3277"/>
      <c r="AD126" s="3278"/>
      <c r="AE126" s="3278"/>
      <c r="AF126" s="4875"/>
    </row>
    <row r="127" spans="1:32" ht="30.75" customHeight="1">
      <c r="A127" s="4778"/>
      <c r="B127" s="4944"/>
      <c r="C127" s="4935"/>
      <c r="D127" s="4514"/>
      <c r="E127" s="4514"/>
      <c r="F127" s="4514"/>
      <c r="G127" s="4514"/>
      <c r="H127" s="4514"/>
      <c r="I127" s="4514"/>
      <c r="J127" s="4514"/>
      <c r="K127" s="4514"/>
      <c r="L127" s="4514"/>
      <c r="M127" s="4393"/>
      <c r="N127" s="4393"/>
      <c r="O127" s="4393"/>
      <c r="P127" s="4514"/>
      <c r="Q127" s="4514"/>
      <c r="R127" s="4518"/>
      <c r="S127" s="3311"/>
      <c r="T127" s="1849"/>
      <c r="U127" s="1849"/>
      <c r="V127" s="3211"/>
      <c r="W127" s="3189"/>
      <c r="X127" s="3212"/>
      <c r="Y127" s="1870"/>
      <c r="Z127" s="3214"/>
      <c r="AA127" s="3214"/>
      <c r="AB127" s="1870"/>
      <c r="AC127" s="3212"/>
      <c r="AD127" s="3213"/>
      <c r="AE127" s="3213"/>
      <c r="AF127" s="4876"/>
    </row>
    <row r="128" spans="1:32" ht="30.75" customHeight="1">
      <c r="A128" s="4778"/>
      <c r="B128" s="4944"/>
      <c r="C128" s="4935"/>
      <c r="D128" s="4514"/>
      <c r="E128" s="4514"/>
      <c r="F128" s="4514"/>
      <c r="G128" s="4514"/>
      <c r="H128" s="4514"/>
      <c r="I128" s="4514"/>
      <c r="J128" s="4514"/>
      <c r="K128" s="4514"/>
      <c r="L128" s="4514"/>
      <c r="M128" s="4393"/>
      <c r="N128" s="4393"/>
      <c r="O128" s="4393"/>
      <c r="P128" s="4514"/>
      <c r="Q128" s="4514"/>
      <c r="R128" s="4518"/>
      <c r="S128" s="3311"/>
      <c r="T128" s="1849"/>
      <c r="U128" s="1849"/>
      <c r="V128" s="3211"/>
      <c r="W128" s="3189"/>
      <c r="X128" s="3212"/>
      <c r="Y128" s="1870"/>
      <c r="Z128" s="3214"/>
      <c r="AA128" s="3214"/>
      <c r="AB128" s="1870"/>
      <c r="AC128" s="3212"/>
      <c r="AD128" s="3213"/>
      <c r="AE128" s="3213"/>
      <c r="AF128" s="4876"/>
    </row>
    <row r="129" spans="1:32" ht="30.75" customHeight="1">
      <c r="A129" s="4778"/>
      <c r="B129" s="4944"/>
      <c r="C129" s="4935"/>
      <c r="D129" s="4514"/>
      <c r="E129" s="4514"/>
      <c r="F129" s="4514"/>
      <c r="G129" s="4514"/>
      <c r="H129" s="4514"/>
      <c r="I129" s="4514"/>
      <c r="J129" s="4514"/>
      <c r="K129" s="4514"/>
      <c r="L129" s="4514"/>
      <c r="M129" s="4393"/>
      <c r="N129" s="4393"/>
      <c r="O129" s="4393"/>
      <c r="P129" s="4514"/>
      <c r="Q129" s="4514"/>
      <c r="R129" s="4518"/>
      <c r="S129" s="3311"/>
      <c r="T129" s="1849"/>
      <c r="U129" s="1849"/>
      <c r="V129" s="3211"/>
      <c r="W129" s="3189"/>
      <c r="X129" s="3212"/>
      <c r="Y129" s="1870"/>
      <c r="Z129" s="3214"/>
      <c r="AA129" s="3214"/>
      <c r="AB129" s="1870"/>
      <c r="AC129" s="3212"/>
      <c r="AD129" s="3213"/>
      <c r="AE129" s="3213"/>
      <c r="AF129" s="4876"/>
    </row>
    <row r="130" spans="1:32" ht="30.75" customHeight="1">
      <c r="A130" s="4778"/>
      <c r="B130" s="4944"/>
      <c r="C130" s="4938"/>
      <c r="D130" s="4927"/>
      <c r="E130" s="4927"/>
      <c r="F130" s="4927"/>
      <c r="G130" s="4927"/>
      <c r="H130" s="4927"/>
      <c r="I130" s="4927"/>
      <c r="J130" s="4927"/>
      <c r="K130" s="4927"/>
      <c r="L130" s="4927"/>
      <c r="M130" s="4929"/>
      <c r="N130" s="4929"/>
      <c r="O130" s="4929"/>
      <c r="P130" s="4927"/>
      <c r="Q130" s="4927"/>
      <c r="R130" s="4928"/>
      <c r="S130" s="3316"/>
      <c r="T130" s="1894"/>
      <c r="U130" s="1894"/>
      <c r="V130" s="3219"/>
      <c r="W130" s="3220"/>
      <c r="X130" s="3221"/>
      <c r="Y130" s="1872"/>
      <c r="Z130" s="3222"/>
      <c r="AA130" s="3222"/>
      <c r="AB130" s="1872"/>
      <c r="AC130" s="3221"/>
      <c r="AD130" s="3223"/>
      <c r="AE130" s="3223"/>
      <c r="AF130" s="4881"/>
    </row>
    <row r="131" spans="1:32" ht="22.5" customHeight="1" thickBot="1">
      <c r="A131" s="4778"/>
      <c r="B131" s="4948"/>
      <c r="C131" s="3322"/>
      <c r="D131" s="3323"/>
      <c r="E131" s="3323"/>
      <c r="F131" s="3323"/>
      <c r="G131" s="3323"/>
      <c r="H131" s="3323"/>
      <c r="I131" s="3323"/>
      <c r="J131" s="3323"/>
      <c r="K131" s="3323"/>
      <c r="L131" s="3323"/>
      <c r="M131" s="3323"/>
      <c r="N131" s="3323"/>
      <c r="O131" s="3323"/>
      <c r="P131" s="3323"/>
      <c r="Q131" s="3323"/>
      <c r="R131" s="3323"/>
      <c r="S131" s="4882" t="s">
        <v>978</v>
      </c>
      <c r="T131" s="4883"/>
      <c r="U131" s="4883"/>
      <c r="V131" s="4883"/>
      <c r="W131" s="4883"/>
      <c r="X131" s="4883"/>
      <c r="Y131" s="4883"/>
      <c r="Z131" s="4883"/>
      <c r="AA131" s="3224" t="s">
        <v>340</v>
      </c>
      <c r="AB131" s="3225">
        <f>SUM(AB81:AB130)</f>
        <v>21160.160000000003</v>
      </c>
      <c r="AC131" s="4884"/>
      <c r="AD131" s="4885"/>
      <c r="AE131" s="4885"/>
      <c r="AF131" s="4886"/>
    </row>
    <row r="132" spans="1:32" ht="22.5" customHeight="1" thickBot="1">
      <c r="A132" s="4779"/>
      <c r="B132" s="4951"/>
      <c r="C132" s="4238"/>
      <c r="D132" s="4238"/>
      <c r="E132" s="4238"/>
      <c r="F132" s="4238"/>
      <c r="G132" s="4238"/>
      <c r="H132" s="4238"/>
      <c r="I132" s="4238"/>
      <c r="J132" s="4238"/>
      <c r="K132" s="4238"/>
      <c r="L132" s="4238"/>
      <c r="M132" s="4238"/>
      <c r="N132" s="4238"/>
      <c r="O132" s="4238"/>
      <c r="P132" s="4238"/>
      <c r="Q132" s="4238"/>
      <c r="R132" s="4238"/>
      <c r="S132" s="4887" t="s">
        <v>979</v>
      </c>
      <c r="T132" s="4888"/>
      <c r="U132" s="4888"/>
      <c r="V132" s="4888"/>
      <c r="W132" s="4888"/>
      <c r="X132" s="4888"/>
      <c r="Y132" s="4888"/>
      <c r="Z132" s="4888"/>
      <c r="AA132" s="2187" t="s">
        <v>340</v>
      </c>
      <c r="AB132" s="2188">
        <f>SUM(AB80,AB131)</f>
        <v>61160.160000000003</v>
      </c>
      <c r="AC132" s="1708"/>
      <c r="AD132" s="1708"/>
      <c r="AE132" s="1708"/>
      <c r="AF132" s="465"/>
    </row>
    <row r="133" spans="1:32" ht="17.25" thickTop="1">
      <c r="A133" s="466"/>
      <c r="B133" s="466"/>
      <c r="C133" s="1918" t="s">
        <v>3918</v>
      </c>
      <c r="D133" s="313"/>
      <c r="E133" s="313"/>
      <c r="F133" s="313"/>
      <c r="G133" s="313"/>
      <c r="H133" s="313"/>
      <c r="I133" s="313"/>
      <c r="J133" s="313"/>
      <c r="K133" s="313"/>
      <c r="L133" s="313"/>
      <c r="M133" s="313"/>
      <c r="N133" s="313"/>
      <c r="O133" s="313"/>
      <c r="P133" s="313"/>
      <c r="Q133" s="313"/>
      <c r="R133" s="313"/>
      <c r="S133" s="4889" t="s">
        <v>980</v>
      </c>
      <c r="T133" s="4150"/>
      <c r="U133" s="4150"/>
      <c r="V133" s="4150"/>
      <c r="W133" s="4150"/>
      <c r="X133" s="4150"/>
      <c r="Y133" s="4150"/>
      <c r="Z133" s="4150"/>
      <c r="AA133" s="4150"/>
      <c r="AB133" s="4150"/>
      <c r="AC133" s="4150"/>
      <c r="AD133" s="4150"/>
      <c r="AE133" s="4150"/>
      <c r="AF133" s="4150"/>
    </row>
    <row r="134" spans="1:32" ht="16.5" customHeight="1">
      <c r="A134" s="466"/>
      <c r="B134" s="466"/>
      <c r="C134" s="1918" t="s">
        <v>4771</v>
      </c>
      <c r="D134" s="313"/>
      <c r="E134" s="313"/>
      <c r="F134" s="313"/>
      <c r="G134" s="313"/>
      <c r="H134" s="313"/>
      <c r="I134" s="313"/>
      <c r="J134" s="313"/>
      <c r="K134" s="313"/>
      <c r="L134" s="313"/>
      <c r="M134" s="313"/>
      <c r="N134" s="313"/>
      <c r="O134" s="313"/>
      <c r="P134" s="313"/>
      <c r="Q134" s="313"/>
      <c r="R134" s="313"/>
      <c r="S134" s="467"/>
      <c r="T134" s="467"/>
      <c r="U134" s="128"/>
      <c r="V134" s="1884"/>
      <c r="W134" s="1884"/>
      <c r="X134" s="1884"/>
      <c r="Y134" s="1884"/>
      <c r="Z134" s="1884"/>
      <c r="AA134" s="1884"/>
      <c r="AC134" s="4389"/>
      <c r="AD134" s="4150"/>
      <c r="AE134" s="401"/>
      <c r="AF134" s="468"/>
    </row>
    <row r="135" spans="1:32" ht="16.5" customHeight="1">
      <c r="A135" s="466"/>
      <c r="B135" s="466"/>
      <c r="D135" s="313"/>
      <c r="E135" s="313"/>
      <c r="F135" s="313"/>
      <c r="G135" s="313"/>
      <c r="H135" s="313"/>
      <c r="I135" s="313"/>
      <c r="J135" s="313"/>
      <c r="K135" s="313"/>
      <c r="L135" s="313"/>
      <c r="M135" s="313"/>
      <c r="N135" s="313"/>
      <c r="O135" s="313"/>
      <c r="P135" s="313"/>
      <c r="Q135" s="313"/>
      <c r="R135" s="313"/>
      <c r="S135" s="467"/>
      <c r="T135" s="467"/>
      <c r="U135" s="4222" t="s">
        <v>343</v>
      </c>
      <c r="V135" s="4223"/>
      <c r="W135" s="4223"/>
      <c r="X135" s="4223"/>
      <c r="Y135" s="4223"/>
      <c r="Z135" s="4223"/>
      <c r="AB135" s="469"/>
      <c r="AC135" s="225"/>
      <c r="AD135" s="401"/>
      <c r="AE135" s="468"/>
    </row>
    <row r="136" spans="1:32" ht="18.75" thickBot="1">
      <c r="A136" s="466"/>
      <c r="B136" s="466"/>
      <c r="C136" s="313"/>
      <c r="D136" s="313"/>
      <c r="E136" s="313"/>
      <c r="F136" s="313"/>
      <c r="G136" s="313"/>
      <c r="H136" s="313"/>
      <c r="I136" s="313"/>
      <c r="J136" s="313"/>
      <c r="K136" s="313"/>
      <c r="L136" s="313"/>
      <c r="M136" s="313"/>
      <c r="N136" s="313"/>
      <c r="O136" s="313"/>
      <c r="P136" s="313"/>
      <c r="Q136" s="313"/>
      <c r="R136" s="313"/>
      <c r="S136" s="467"/>
      <c r="T136" s="470"/>
      <c r="U136" s="131"/>
      <c r="V136" s="131"/>
      <c r="W136" s="429"/>
      <c r="X136" s="190"/>
      <c r="Y136" s="131"/>
      <c r="Z136" s="131"/>
      <c r="AB136" s="227"/>
      <c r="AC136" s="227"/>
      <c r="AD136" s="401"/>
      <c r="AE136" s="468"/>
    </row>
    <row r="137" spans="1:32" ht="16.5" customHeight="1" thickTop="1">
      <c r="A137" s="466"/>
      <c r="B137" s="466"/>
      <c r="C137" s="313"/>
      <c r="D137" s="313"/>
      <c r="E137" s="313"/>
      <c r="F137" s="313"/>
      <c r="G137" s="313"/>
      <c r="H137" s="313"/>
      <c r="I137" s="313"/>
      <c r="J137" s="313"/>
      <c r="K137" s="313"/>
      <c r="L137" s="313"/>
      <c r="M137" s="313"/>
      <c r="N137" s="313"/>
      <c r="O137" s="313"/>
      <c r="P137" s="471"/>
      <c r="Q137" s="317"/>
      <c r="T137" s="472"/>
      <c r="U137" s="2238" t="s">
        <v>4</v>
      </c>
      <c r="V137" s="2239" t="s">
        <v>344</v>
      </c>
      <c r="W137" s="2265" t="s">
        <v>6</v>
      </c>
      <c r="X137" s="2241" t="s">
        <v>345</v>
      </c>
      <c r="Y137" s="2241" t="s">
        <v>8</v>
      </c>
      <c r="Z137" s="2242" t="s">
        <v>346</v>
      </c>
      <c r="AB137" s="228"/>
      <c r="AC137" s="229"/>
      <c r="AD137" s="401"/>
      <c r="AE137" s="468"/>
    </row>
    <row r="138" spans="1:32" ht="33">
      <c r="A138" s="466"/>
      <c r="B138" s="466"/>
      <c r="C138" s="313"/>
      <c r="D138" s="313"/>
      <c r="E138" s="313"/>
      <c r="F138" s="313"/>
      <c r="G138" s="313"/>
      <c r="H138" s="313"/>
      <c r="I138" s="313"/>
      <c r="J138" s="313"/>
      <c r="K138" s="313"/>
      <c r="L138" s="313"/>
      <c r="M138" s="313"/>
      <c r="N138" s="313"/>
      <c r="O138" s="313"/>
      <c r="P138" s="471"/>
      <c r="Q138" s="317"/>
      <c r="T138" s="467"/>
      <c r="U138" s="2254" t="s">
        <v>39</v>
      </c>
      <c r="V138" s="1618" t="s">
        <v>31</v>
      </c>
      <c r="W138" s="286">
        <v>530207</v>
      </c>
      <c r="X138" s="344" t="s">
        <v>13</v>
      </c>
      <c r="Y138" s="1568" t="s">
        <v>18</v>
      </c>
      <c r="Z138" s="654">
        <f>$AA$97</f>
        <v>1000.1600000000001</v>
      </c>
      <c r="AB138" s="228"/>
      <c r="AC138" s="229"/>
      <c r="AD138" s="401"/>
      <c r="AE138" s="468"/>
    </row>
    <row r="139" spans="1:32" ht="33">
      <c r="A139" s="466"/>
      <c r="B139" s="466"/>
      <c r="C139" s="313"/>
      <c r="D139" s="313"/>
      <c r="E139" s="313"/>
      <c r="F139" s="313"/>
      <c r="G139" s="313"/>
      <c r="H139" s="313"/>
      <c r="I139" s="313"/>
      <c r="J139" s="313"/>
      <c r="K139" s="313"/>
      <c r="L139" s="313"/>
      <c r="M139" s="313"/>
      <c r="N139" s="313"/>
      <c r="O139" s="313"/>
      <c r="P139" s="471"/>
      <c r="Q139" s="317"/>
      <c r="T139" s="467"/>
      <c r="U139" s="2254" t="s">
        <v>39</v>
      </c>
      <c r="V139" s="1618" t="s">
        <v>87</v>
      </c>
      <c r="W139" s="431">
        <v>530612</v>
      </c>
      <c r="X139" s="344" t="s">
        <v>13</v>
      </c>
      <c r="Y139" s="1568" t="s">
        <v>18</v>
      </c>
      <c r="Z139" s="654">
        <f>SUM($AA$40)</f>
        <v>40000</v>
      </c>
      <c r="AB139" s="228"/>
      <c r="AC139" s="229"/>
      <c r="AD139" s="401"/>
      <c r="AE139" s="468"/>
    </row>
    <row r="140" spans="1:32" ht="33">
      <c r="A140" s="466"/>
      <c r="B140" s="466"/>
      <c r="C140" s="313"/>
      <c r="D140" s="313"/>
      <c r="E140" s="313"/>
      <c r="F140" s="313"/>
      <c r="G140" s="313"/>
      <c r="H140" s="313"/>
      <c r="I140" s="313"/>
      <c r="J140" s="313"/>
      <c r="K140" s="313"/>
      <c r="L140" s="313"/>
      <c r="M140" s="313"/>
      <c r="N140" s="313"/>
      <c r="O140" s="313"/>
      <c r="P140" s="317"/>
      <c r="Q140" s="317"/>
      <c r="T140" s="467"/>
      <c r="U140" s="2254" t="s">
        <v>39</v>
      </c>
      <c r="V140" s="1618" t="s">
        <v>88</v>
      </c>
      <c r="W140" s="286">
        <v>530613</v>
      </c>
      <c r="X140" s="344" t="s">
        <v>13</v>
      </c>
      <c r="Y140" s="1568" t="s">
        <v>18</v>
      </c>
      <c r="Z140" s="654">
        <f>SUM($AA$99)</f>
        <v>20160.000000000004</v>
      </c>
      <c r="AB140" s="298"/>
      <c r="AC140" s="298"/>
      <c r="AD140" s="401"/>
      <c r="AE140" s="468"/>
    </row>
    <row r="141" spans="1:32" ht="16.5" customHeight="1" thickBot="1">
      <c r="A141" s="466"/>
      <c r="B141" s="466"/>
      <c r="C141" s="313"/>
      <c r="D141" s="313"/>
      <c r="E141" s="313"/>
      <c r="F141" s="313"/>
      <c r="G141" s="313"/>
      <c r="H141" s="313"/>
      <c r="I141" s="313"/>
      <c r="J141" s="313"/>
      <c r="K141" s="313"/>
      <c r="L141" s="313"/>
      <c r="M141" s="313"/>
      <c r="N141" s="313"/>
      <c r="O141" s="313"/>
      <c r="P141" s="313"/>
      <c r="Q141" s="313"/>
      <c r="R141" s="313"/>
      <c r="S141" s="467"/>
      <c r="T141" s="467"/>
      <c r="U141" s="2257"/>
      <c r="V141" s="2269" t="s">
        <v>183</v>
      </c>
      <c r="W141" s="2270"/>
      <c r="X141" s="2270"/>
      <c r="Y141" s="2246" t="s">
        <v>340</v>
      </c>
      <c r="Z141" s="140">
        <f>SUM(Z138:Z140)</f>
        <v>61160.160000000003</v>
      </c>
      <c r="AA141" s="131"/>
      <c r="AB141" s="298"/>
      <c r="AC141" s="307"/>
      <c r="AD141" s="401"/>
      <c r="AE141" s="468"/>
    </row>
    <row r="142" spans="1:32" ht="16.5" customHeight="1" thickTop="1">
      <c r="A142" s="466"/>
      <c r="B142" s="466"/>
      <c r="C142" s="313"/>
      <c r="D142" s="313"/>
      <c r="E142" s="313"/>
      <c r="F142" s="313"/>
      <c r="G142" s="313"/>
      <c r="H142" s="313"/>
      <c r="I142" s="313"/>
      <c r="J142" s="313"/>
      <c r="K142" s="313"/>
      <c r="L142" s="313"/>
      <c r="M142" s="313"/>
      <c r="N142" s="313"/>
      <c r="O142" s="313"/>
      <c r="P142" s="313"/>
      <c r="Q142" s="313"/>
      <c r="R142" s="313"/>
      <c r="S142" s="467"/>
      <c r="T142" s="467"/>
      <c r="U142" s="131"/>
      <c r="V142" s="131"/>
      <c r="W142" s="142" t="s">
        <v>347</v>
      </c>
      <c r="X142" s="429"/>
      <c r="Y142" s="190"/>
      <c r="Z142" s="131"/>
      <c r="AA142" s="131"/>
      <c r="AB142" s="298"/>
      <c r="AC142" s="307"/>
      <c r="AD142" s="401"/>
      <c r="AE142" s="468"/>
    </row>
    <row r="143" spans="1:32" ht="16.5" customHeight="1" thickBot="1">
      <c r="A143" s="466"/>
      <c r="B143" s="466"/>
      <c r="C143" s="313"/>
      <c r="D143" s="313"/>
      <c r="E143" s="313"/>
      <c r="F143" s="313"/>
      <c r="G143" s="313"/>
      <c r="H143" s="313"/>
      <c r="I143" s="313"/>
      <c r="J143" s="313"/>
      <c r="K143" s="313"/>
      <c r="L143" s="313"/>
      <c r="M143" s="313"/>
      <c r="N143" s="313"/>
      <c r="O143" s="313"/>
      <c r="P143" s="313"/>
      <c r="Q143" s="313"/>
      <c r="R143" s="313"/>
      <c r="S143" s="467"/>
      <c r="T143" s="467"/>
      <c r="U143" s="131"/>
      <c r="V143" s="131"/>
      <c r="W143" s="131"/>
      <c r="X143" s="429"/>
      <c r="Y143" s="190"/>
      <c r="Z143" s="131"/>
      <c r="AA143" s="131"/>
      <c r="AB143" s="309"/>
      <c r="AC143" s="298"/>
      <c r="AD143" s="401"/>
      <c r="AE143" s="468"/>
    </row>
    <row r="144" spans="1:32" ht="16.5" customHeight="1" thickTop="1">
      <c r="A144" s="466"/>
      <c r="B144" s="466"/>
      <c r="C144" s="313"/>
      <c r="D144" s="313"/>
      <c r="E144" s="313"/>
      <c r="F144" s="313"/>
      <c r="G144" s="313"/>
      <c r="H144" s="313"/>
      <c r="I144" s="313"/>
      <c r="J144" s="313"/>
      <c r="K144" s="313"/>
      <c r="L144" s="313"/>
      <c r="M144" s="313"/>
      <c r="N144" s="313"/>
      <c r="O144" s="313"/>
      <c r="P144" s="313"/>
      <c r="Q144" s="313"/>
      <c r="R144" s="313"/>
      <c r="S144" s="467"/>
      <c r="T144" s="467"/>
      <c r="U144" s="4303" t="s">
        <v>348</v>
      </c>
      <c r="V144" s="4304"/>
      <c r="W144" s="4305"/>
      <c r="X144" s="429"/>
      <c r="Y144" s="433" t="s">
        <v>349</v>
      </c>
      <c r="Z144" s="145" t="str">
        <f>IF(Z141=AB132,"OK","NO")</f>
        <v>OK</v>
      </c>
      <c r="AA144" s="131"/>
      <c r="AB144" s="309"/>
      <c r="AC144" s="298"/>
      <c r="AD144" s="401"/>
      <c r="AE144" s="468"/>
    </row>
    <row r="145" spans="1:31" ht="16.5" customHeight="1">
      <c r="A145" s="401"/>
      <c r="B145" s="401"/>
      <c r="C145" s="313"/>
      <c r="D145" s="313"/>
      <c r="E145" s="313"/>
      <c r="F145" s="313"/>
      <c r="G145" s="313"/>
      <c r="H145" s="313"/>
      <c r="I145" s="313"/>
      <c r="J145" s="313"/>
      <c r="K145" s="313"/>
      <c r="L145" s="313"/>
      <c r="M145" s="313"/>
      <c r="N145" s="313"/>
      <c r="O145" s="313"/>
      <c r="P145" s="313"/>
      <c r="Q145" s="313"/>
      <c r="R145" s="313"/>
      <c r="S145" s="467"/>
      <c r="T145" s="467"/>
      <c r="U145" s="4213" t="s">
        <v>3666</v>
      </c>
      <c r="V145" s="4208"/>
      <c r="W145" s="516">
        <f>SUM(Z138:Z140)</f>
        <v>61160.160000000003</v>
      </c>
      <c r="X145" s="429"/>
      <c r="Y145" s="190"/>
      <c r="Z145" s="145" t="str">
        <f>IF(W149=AB132,"OK","NO")</f>
        <v>OK</v>
      </c>
      <c r="AA145" s="131"/>
      <c r="AB145" s="309"/>
      <c r="AC145" s="298"/>
      <c r="AD145" s="401"/>
      <c r="AE145" s="468"/>
    </row>
    <row r="146" spans="1:31" ht="16.5" customHeight="1">
      <c r="A146" s="401"/>
      <c r="B146" s="401"/>
      <c r="C146" s="313"/>
      <c r="D146" s="313"/>
      <c r="E146" s="313"/>
      <c r="F146" s="313"/>
      <c r="G146" s="313"/>
      <c r="H146" s="313"/>
      <c r="I146" s="313"/>
      <c r="J146" s="313"/>
      <c r="K146" s="313"/>
      <c r="L146" s="313"/>
      <c r="M146" s="313"/>
      <c r="N146" s="313"/>
      <c r="O146" s="313"/>
      <c r="P146" s="313"/>
      <c r="Q146" s="313"/>
      <c r="R146" s="313"/>
      <c r="S146" s="467"/>
      <c r="T146" s="467"/>
      <c r="U146" s="4200" t="s">
        <v>3667</v>
      </c>
      <c r="V146" s="4201"/>
      <c r="W146" s="515">
        <v>0</v>
      </c>
      <c r="X146" s="429"/>
      <c r="Y146" s="190"/>
      <c r="Z146" s="145" t="str">
        <f>IF(W159=AB132,"OK","NO")</f>
        <v>OK</v>
      </c>
      <c r="AA146" s="131"/>
      <c r="AB146" s="309"/>
      <c r="AC146" s="298"/>
      <c r="AD146" s="401"/>
      <c r="AE146" s="468"/>
    </row>
    <row r="147" spans="1:31" ht="16.5" customHeight="1">
      <c r="A147" s="401"/>
      <c r="B147" s="401"/>
      <c r="C147" s="313"/>
      <c r="D147" s="313"/>
      <c r="E147" s="313"/>
      <c r="F147" s="313"/>
      <c r="G147" s="313"/>
      <c r="H147" s="313"/>
      <c r="I147" s="313"/>
      <c r="J147" s="313"/>
      <c r="K147" s="313"/>
      <c r="L147" s="313"/>
      <c r="M147" s="313"/>
      <c r="N147" s="313"/>
      <c r="O147" s="313"/>
      <c r="P147" s="313"/>
      <c r="Q147" s="313"/>
      <c r="R147" s="313"/>
      <c r="S147" s="467"/>
      <c r="T147" s="467"/>
      <c r="U147" s="4200" t="s">
        <v>3669</v>
      </c>
      <c r="V147" s="4201"/>
      <c r="W147" s="515">
        <v>0</v>
      </c>
      <c r="X147" s="429"/>
      <c r="Y147" s="434"/>
      <c r="Z147" s="145" t="str">
        <f>IF(Resumen!C358=AB132,"OK","NO")</f>
        <v>OK</v>
      </c>
      <c r="AA147" s="131"/>
      <c r="AB147" s="309"/>
      <c r="AC147" s="298"/>
      <c r="AD147" s="401"/>
      <c r="AE147" s="468"/>
    </row>
    <row r="148" spans="1:31" ht="16.5" customHeight="1">
      <c r="A148" s="401"/>
      <c r="B148" s="401"/>
      <c r="C148" s="313"/>
      <c r="D148" s="313"/>
      <c r="E148" s="313"/>
      <c r="F148" s="313"/>
      <c r="G148" s="313"/>
      <c r="H148" s="313"/>
      <c r="I148" s="313"/>
      <c r="J148" s="313"/>
      <c r="K148" s="313"/>
      <c r="L148" s="313"/>
      <c r="M148" s="313"/>
      <c r="N148" s="313"/>
      <c r="O148" s="313"/>
      <c r="P148" s="313"/>
      <c r="Q148" s="313"/>
      <c r="R148" s="313"/>
      <c r="S148" s="467"/>
      <c r="T148" s="467"/>
      <c r="U148" s="4200" t="s">
        <v>3668</v>
      </c>
      <c r="V148" s="4201"/>
      <c r="W148" s="517">
        <v>0</v>
      </c>
      <c r="X148" s="429"/>
      <c r="Y148" s="434"/>
      <c r="Z148" s="131"/>
      <c r="AA148" s="131"/>
      <c r="AB148" s="309"/>
      <c r="AC148" s="298"/>
      <c r="AD148" s="401"/>
      <c r="AE148" s="468"/>
    </row>
    <row r="149" spans="1:31" ht="16.5" customHeight="1">
      <c r="A149" s="401"/>
      <c r="B149" s="401"/>
      <c r="C149" s="313"/>
      <c r="D149" s="313"/>
      <c r="E149" s="313"/>
      <c r="F149" s="313"/>
      <c r="G149" s="313"/>
      <c r="H149" s="313"/>
      <c r="I149" s="313"/>
      <c r="J149" s="313"/>
      <c r="K149" s="313"/>
      <c r="L149" s="313"/>
      <c r="M149" s="313"/>
      <c r="N149" s="313"/>
      <c r="O149" s="313"/>
      <c r="P149" s="313"/>
      <c r="Q149" s="313"/>
      <c r="R149" s="313"/>
      <c r="S149" s="467"/>
      <c r="T149" s="467"/>
      <c r="U149" s="4553" t="s">
        <v>183</v>
      </c>
      <c r="V149" s="4554"/>
      <c r="W149" s="1571">
        <f>SUM(W145:W148)</f>
        <v>61160.160000000003</v>
      </c>
      <c r="X149" s="429"/>
      <c r="Y149" s="434"/>
      <c r="Z149" s="131"/>
      <c r="AA149" s="131"/>
      <c r="AB149" s="309"/>
      <c r="AC149" s="298"/>
      <c r="AD149" s="401"/>
      <c r="AE149" s="468"/>
    </row>
    <row r="150" spans="1:31" ht="16.5" customHeight="1">
      <c r="A150" s="401"/>
      <c r="B150" s="401"/>
      <c r="C150" s="313"/>
      <c r="D150" s="313"/>
      <c r="E150" s="313"/>
      <c r="F150" s="313"/>
      <c r="G150" s="313"/>
      <c r="H150" s="313"/>
      <c r="I150" s="313"/>
      <c r="J150" s="313"/>
      <c r="K150" s="313"/>
      <c r="L150" s="313"/>
      <c r="M150" s="313"/>
      <c r="N150" s="313"/>
      <c r="O150" s="313"/>
      <c r="P150" s="313"/>
      <c r="Q150" s="313"/>
      <c r="R150" s="313"/>
      <c r="S150" s="467"/>
      <c r="T150" s="467"/>
      <c r="U150" s="4555" t="s">
        <v>350</v>
      </c>
      <c r="V150" s="4556"/>
      <c r="W150" s="4557"/>
      <c r="X150" s="429"/>
      <c r="Y150" s="435"/>
      <c r="Z150" s="131"/>
      <c r="AA150" s="131"/>
      <c r="AB150" s="309"/>
      <c r="AC150" s="298"/>
      <c r="AD150" s="401"/>
      <c r="AE150" s="468"/>
    </row>
    <row r="151" spans="1:31" ht="16.5" customHeight="1">
      <c r="A151" s="401"/>
      <c r="B151" s="401"/>
      <c r="C151" s="313"/>
      <c r="D151" s="313"/>
      <c r="E151" s="313"/>
      <c r="F151" s="313"/>
      <c r="G151" s="313"/>
      <c r="H151" s="313"/>
      <c r="I151" s="313"/>
      <c r="J151" s="313"/>
      <c r="K151" s="313"/>
      <c r="L151" s="313"/>
      <c r="M151" s="313"/>
      <c r="N151" s="313"/>
      <c r="O151" s="313"/>
      <c r="P151" s="313"/>
      <c r="Q151" s="313"/>
      <c r="R151" s="313"/>
      <c r="S151" s="467"/>
      <c r="T151" s="467"/>
      <c r="U151" s="4207" t="s">
        <v>3670</v>
      </c>
      <c r="V151" s="4208"/>
      <c r="W151" s="516">
        <v>0</v>
      </c>
      <c r="X151" s="429"/>
      <c r="Y151" s="435"/>
      <c r="Z151" s="131"/>
      <c r="AA151" s="269"/>
      <c r="AB151" s="311"/>
      <c r="AC151" s="313"/>
      <c r="AD151" s="401"/>
      <c r="AE151" s="468"/>
    </row>
    <row r="152" spans="1:31" ht="16.5" customHeight="1">
      <c r="A152" s="401"/>
      <c r="B152" s="401"/>
      <c r="C152" s="313"/>
      <c r="D152" s="313"/>
      <c r="E152" s="313"/>
      <c r="F152" s="313"/>
      <c r="G152" s="313"/>
      <c r="H152" s="313"/>
      <c r="I152" s="313"/>
      <c r="J152" s="313"/>
      <c r="K152" s="313"/>
      <c r="L152" s="313"/>
      <c r="M152" s="313"/>
      <c r="N152" s="313"/>
      <c r="O152" s="313"/>
      <c r="P152" s="313"/>
      <c r="Q152" s="313"/>
      <c r="R152" s="313"/>
      <c r="S152" s="467"/>
      <c r="T152" s="467"/>
      <c r="U152" s="4209" t="s">
        <v>3671</v>
      </c>
      <c r="V152" s="4201"/>
      <c r="W152" s="515">
        <f>SUM(Z138:Z140)</f>
        <v>61160.160000000003</v>
      </c>
      <c r="X152" s="429"/>
      <c r="Y152" s="435"/>
      <c r="Z152" s="269"/>
      <c r="AA152" s="269"/>
      <c r="AB152" s="311"/>
      <c r="AC152" s="313"/>
      <c r="AD152" s="401"/>
      <c r="AE152" s="468"/>
    </row>
    <row r="153" spans="1:31" ht="16.5" customHeight="1">
      <c r="A153" s="401"/>
      <c r="B153" s="401"/>
      <c r="C153" s="313"/>
      <c r="D153" s="313"/>
      <c r="E153" s="313"/>
      <c r="F153" s="313"/>
      <c r="G153" s="313"/>
      <c r="H153" s="313"/>
      <c r="I153" s="313"/>
      <c r="J153" s="313"/>
      <c r="K153" s="313"/>
      <c r="L153" s="313"/>
      <c r="M153" s="313"/>
      <c r="N153" s="313"/>
      <c r="O153" s="313"/>
      <c r="P153" s="313"/>
      <c r="Q153" s="313"/>
      <c r="R153" s="313"/>
      <c r="S153" s="467"/>
      <c r="T153" s="467"/>
      <c r="U153" s="4209" t="s">
        <v>3672</v>
      </c>
      <c r="V153" s="4201"/>
      <c r="W153" s="515">
        <v>0</v>
      </c>
      <c r="X153" s="429"/>
      <c r="Y153" s="473"/>
      <c r="Z153" s="269"/>
      <c r="AA153" s="269"/>
      <c r="AB153" s="311"/>
      <c r="AC153" s="313"/>
      <c r="AD153" s="401"/>
      <c r="AE153" s="468"/>
    </row>
    <row r="154" spans="1:31" ht="16.5" customHeight="1">
      <c r="A154" s="401"/>
      <c r="B154" s="401"/>
      <c r="C154" s="313"/>
      <c r="D154" s="313"/>
      <c r="E154" s="313"/>
      <c r="F154" s="313"/>
      <c r="G154" s="313"/>
      <c r="H154" s="313"/>
      <c r="I154" s="313"/>
      <c r="J154" s="313"/>
      <c r="K154" s="313"/>
      <c r="L154" s="313"/>
      <c r="M154" s="313"/>
      <c r="N154" s="313"/>
      <c r="O154" s="313"/>
      <c r="P154" s="313"/>
      <c r="Q154" s="313"/>
      <c r="R154" s="313"/>
      <c r="S154" s="467"/>
      <c r="T154" s="467"/>
      <c r="U154" s="4209" t="s">
        <v>3673</v>
      </c>
      <c r="V154" s="4201"/>
      <c r="W154" s="515">
        <v>0</v>
      </c>
      <c r="X154" s="429"/>
      <c r="Y154" s="434"/>
      <c r="Z154" s="269"/>
      <c r="AA154" s="1884"/>
      <c r="AB154" s="1884"/>
      <c r="AC154" s="313"/>
      <c r="AD154" s="401"/>
      <c r="AE154" s="468"/>
    </row>
    <row r="155" spans="1:31" ht="16.5" customHeight="1">
      <c r="A155" s="401"/>
      <c r="B155" s="401"/>
      <c r="C155" s="313"/>
      <c r="D155" s="313"/>
      <c r="E155" s="313"/>
      <c r="F155" s="313"/>
      <c r="G155" s="313"/>
      <c r="H155" s="313"/>
      <c r="I155" s="313"/>
      <c r="J155" s="313"/>
      <c r="K155" s="313"/>
      <c r="L155" s="313"/>
      <c r="M155" s="313"/>
      <c r="N155" s="313"/>
      <c r="O155" s="313"/>
      <c r="P155" s="313"/>
      <c r="Q155" s="313"/>
      <c r="R155" s="313"/>
      <c r="S155" s="467"/>
      <c r="T155" s="467"/>
      <c r="U155" s="4209" t="s">
        <v>3674</v>
      </c>
      <c r="V155" s="4201"/>
      <c r="W155" s="515">
        <v>0</v>
      </c>
      <c r="X155" s="429"/>
      <c r="Y155" s="474"/>
      <c r="Z155" s="1887"/>
      <c r="AA155" s="272"/>
      <c r="AB155" s="271"/>
      <c r="AC155" s="313"/>
      <c r="AD155" s="401"/>
      <c r="AE155" s="468"/>
    </row>
    <row r="156" spans="1:31" ht="16.5" customHeight="1">
      <c r="A156" s="401"/>
      <c r="B156" s="401"/>
      <c r="C156" s="313"/>
      <c r="D156" s="313"/>
      <c r="E156" s="313"/>
      <c r="F156" s="313"/>
      <c r="G156" s="313"/>
      <c r="H156" s="313"/>
      <c r="I156" s="313"/>
      <c r="J156" s="313"/>
      <c r="K156" s="313"/>
      <c r="L156" s="313"/>
      <c r="M156" s="313"/>
      <c r="N156" s="313"/>
      <c r="O156" s="313"/>
      <c r="P156" s="313"/>
      <c r="Q156" s="313"/>
      <c r="R156" s="313"/>
      <c r="S156" s="467"/>
      <c r="T156" s="467"/>
      <c r="U156" s="4209" t="s">
        <v>3675</v>
      </c>
      <c r="V156" s="4201"/>
      <c r="W156" s="515">
        <v>0</v>
      </c>
      <c r="X156" s="429"/>
      <c r="Y156" s="474"/>
      <c r="Z156" s="271"/>
      <c r="AA156" s="274"/>
      <c r="AB156" s="346"/>
      <c r="AC156" s="313"/>
      <c r="AD156" s="401"/>
      <c r="AE156" s="468"/>
    </row>
    <row r="157" spans="1:31" ht="16.5" customHeight="1">
      <c r="A157" s="401"/>
      <c r="B157" s="401"/>
      <c r="C157" s="313"/>
      <c r="D157" s="313"/>
      <c r="E157" s="313"/>
      <c r="F157" s="313"/>
      <c r="G157" s="313"/>
      <c r="H157" s="313"/>
      <c r="I157" s="313"/>
      <c r="J157" s="313"/>
      <c r="K157" s="313"/>
      <c r="L157" s="313"/>
      <c r="M157" s="313"/>
      <c r="N157" s="313"/>
      <c r="O157" s="313"/>
      <c r="P157" s="313"/>
      <c r="Q157" s="313"/>
      <c r="R157" s="313"/>
      <c r="S157" s="467"/>
      <c r="T157" s="467"/>
      <c r="U157" s="4209" t="s">
        <v>3676</v>
      </c>
      <c r="V157" s="4201"/>
      <c r="W157" s="515">
        <v>0</v>
      </c>
      <c r="X157" s="429"/>
      <c r="Y157" s="474"/>
      <c r="Z157" s="345"/>
      <c r="AA157" s="317"/>
      <c r="AB157" s="311"/>
      <c r="AC157" s="313"/>
      <c r="AD157" s="401"/>
      <c r="AE157" s="468"/>
    </row>
    <row r="158" spans="1:31" ht="16.5" customHeight="1">
      <c r="A158" s="401"/>
      <c r="B158" s="401"/>
      <c r="C158" s="313"/>
      <c r="D158" s="313"/>
      <c r="E158" s="313"/>
      <c r="F158" s="313"/>
      <c r="G158" s="313"/>
      <c r="H158" s="313"/>
      <c r="I158" s="313"/>
      <c r="J158" s="313"/>
      <c r="K158" s="313"/>
      <c r="L158" s="313"/>
      <c r="M158" s="313"/>
      <c r="N158" s="313"/>
      <c r="O158" s="313"/>
      <c r="P158" s="313"/>
      <c r="Q158" s="313"/>
      <c r="R158" s="313"/>
      <c r="S158" s="467"/>
      <c r="T158" s="467"/>
      <c r="U158" s="4209" t="s">
        <v>3677</v>
      </c>
      <c r="V158" s="4201"/>
      <c r="W158" s="517">
        <v>0</v>
      </c>
      <c r="X158" s="429"/>
      <c r="Y158" s="475"/>
      <c r="Z158" s="317"/>
      <c r="AA158" s="269"/>
      <c r="AB158" s="311"/>
      <c r="AC158" s="313"/>
      <c r="AD158" s="401"/>
      <c r="AE158" s="468"/>
    </row>
    <row r="159" spans="1:31" ht="15.75" customHeight="1" thickBot="1">
      <c r="U159" s="4295" t="s">
        <v>183</v>
      </c>
      <c r="V159" s="4296"/>
      <c r="W159" s="1572">
        <f>SUM(W151:W158)</f>
        <v>61160.160000000003</v>
      </c>
      <c r="X159" s="429"/>
      <c r="Y159" s="473"/>
      <c r="Z159" s="269"/>
    </row>
    <row r="160" spans="1:31" ht="15.75" customHeight="1" thickTop="1"/>
  </sheetData>
  <mergeCells count="458">
    <mergeCell ref="AF39:AF43"/>
    <mergeCell ref="AF44:AF49"/>
    <mergeCell ref="E29:E33"/>
    <mergeCell ref="F29:F33"/>
    <mergeCell ref="G29:G33"/>
    <mergeCell ref="H29:H33"/>
    <mergeCell ref="I29:I33"/>
    <mergeCell ref="N14:N18"/>
    <mergeCell ref="O14:O18"/>
    <mergeCell ref="P14:P18"/>
    <mergeCell ref="Q14:Q18"/>
    <mergeCell ref="R14:R18"/>
    <mergeCell ref="L34:L38"/>
    <mergeCell ref="M34:M38"/>
    <mergeCell ref="N34:N38"/>
    <mergeCell ref="O34:O38"/>
    <mergeCell ref="P34:P38"/>
    <mergeCell ref="Q34:Q38"/>
    <mergeCell ref="R34:R38"/>
    <mergeCell ref="E34:E38"/>
    <mergeCell ref="F34:F38"/>
    <mergeCell ref="G34:G38"/>
    <mergeCell ref="H34:H38"/>
    <mergeCell ref="I34:I38"/>
    <mergeCell ref="AF50:AF55"/>
    <mergeCell ref="L14:L18"/>
    <mergeCell ref="M14:M18"/>
    <mergeCell ref="AF14:AF18"/>
    <mergeCell ref="AF19:AF23"/>
    <mergeCell ref="AF24:AF28"/>
    <mergeCell ref="AF29:AF33"/>
    <mergeCell ref="AF34:AF38"/>
    <mergeCell ref="J19:J23"/>
    <mergeCell ref="K19:K23"/>
    <mergeCell ref="N24:N28"/>
    <mergeCell ref="O24:O28"/>
    <mergeCell ref="P24:P28"/>
    <mergeCell ref="Q24:Q28"/>
    <mergeCell ref="R24:R28"/>
    <mergeCell ref="L29:L33"/>
    <mergeCell ref="M29:M33"/>
    <mergeCell ref="N29:N33"/>
    <mergeCell ref="O29:O33"/>
    <mergeCell ref="P29:P33"/>
    <mergeCell ref="Q29:Q33"/>
    <mergeCell ref="R29:R33"/>
    <mergeCell ref="J29:J33"/>
    <mergeCell ref="K29:K33"/>
    <mergeCell ref="C14:C18"/>
    <mergeCell ref="C19:C23"/>
    <mergeCell ref="E19:E23"/>
    <mergeCell ref="F19:F23"/>
    <mergeCell ref="G19:G23"/>
    <mergeCell ref="H19:H23"/>
    <mergeCell ref="I19:I23"/>
    <mergeCell ref="L24:L28"/>
    <mergeCell ref="M24:M28"/>
    <mergeCell ref="E24:E28"/>
    <mergeCell ref="F24:F28"/>
    <mergeCell ref="G24:G28"/>
    <mergeCell ref="H24:H28"/>
    <mergeCell ref="I24:I28"/>
    <mergeCell ref="J24:J28"/>
    <mergeCell ref="K24:K28"/>
    <mergeCell ref="E14:E18"/>
    <mergeCell ref="F14:F18"/>
    <mergeCell ref="G14:G18"/>
    <mergeCell ref="H14:H18"/>
    <mergeCell ref="I14:I18"/>
    <mergeCell ref="J14:J18"/>
    <mergeCell ref="K14:K18"/>
    <mergeCell ref="L50:L55"/>
    <mergeCell ref="M50:M55"/>
    <mergeCell ref="N50:N55"/>
    <mergeCell ref="O50:O55"/>
    <mergeCell ref="P50:P55"/>
    <mergeCell ref="Q50:Q55"/>
    <mergeCell ref="R50:R55"/>
    <mergeCell ref="E50:E55"/>
    <mergeCell ref="F50:F55"/>
    <mergeCell ref="G50:G55"/>
    <mergeCell ref="H50:H55"/>
    <mergeCell ref="I50:I55"/>
    <mergeCell ref="J50:J55"/>
    <mergeCell ref="K50:K55"/>
    <mergeCell ref="AF9:AF13"/>
    <mergeCell ref="J9:J13"/>
    <mergeCell ref="K9:K13"/>
    <mergeCell ref="L9:L13"/>
    <mergeCell ref="M9:M13"/>
    <mergeCell ref="N9:N13"/>
    <mergeCell ref="O9:O13"/>
    <mergeCell ref="P9:P13"/>
    <mergeCell ref="A1:AF1"/>
    <mergeCell ref="A2:AF2"/>
    <mergeCell ref="A3:AF3"/>
    <mergeCell ref="A4:AF4"/>
    <mergeCell ref="E9:E13"/>
    <mergeCell ref="F9:F13"/>
    <mergeCell ref="G9:G13"/>
    <mergeCell ref="H9:H13"/>
    <mergeCell ref="I9:I13"/>
    <mergeCell ref="A6:B8"/>
    <mergeCell ref="C6:D6"/>
    <mergeCell ref="E6:I6"/>
    <mergeCell ref="J6:R6"/>
    <mergeCell ref="S6:AF6"/>
    <mergeCell ref="C7:C8"/>
    <mergeCell ref="D7:D8"/>
    <mergeCell ref="Q19:Q23"/>
    <mergeCell ref="R19:R23"/>
    <mergeCell ref="L19:L23"/>
    <mergeCell ref="M19:M23"/>
    <mergeCell ref="N19:N23"/>
    <mergeCell ref="O19:O23"/>
    <mergeCell ref="P19:P23"/>
    <mergeCell ref="Q9:Q13"/>
    <mergeCell ref="R9:R13"/>
    <mergeCell ref="J34:J38"/>
    <mergeCell ref="K34:K38"/>
    <mergeCell ref="L39:L43"/>
    <mergeCell ref="M39:M43"/>
    <mergeCell ref="N39:N43"/>
    <mergeCell ref="O39:O43"/>
    <mergeCell ref="P39:P43"/>
    <mergeCell ref="Q39:Q43"/>
    <mergeCell ref="R39:R43"/>
    <mergeCell ref="E39:E43"/>
    <mergeCell ref="F39:F43"/>
    <mergeCell ref="G39:G43"/>
    <mergeCell ref="H39:H43"/>
    <mergeCell ref="I39:I43"/>
    <mergeCell ref="J39:J43"/>
    <mergeCell ref="K39:K43"/>
    <mergeCell ref="L44:L49"/>
    <mergeCell ref="M44:M49"/>
    <mergeCell ref="N44:N49"/>
    <mergeCell ref="O44:O49"/>
    <mergeCell ref="P44:P49"/>
    <mergeCell ref="Q44:Q49"/>
    <mergeCell ref="R44:R49"/>
    <mergeCell ref="E44:E49"/>
    <mergeCell ref="F44:F49"/>
    <mergeCell ref="G44:G49"/>
    <mergeCell ref="H44:H49"/>
    <mergeCell ref="I44:I49"/>
    <mergeCell ref="J44:J49"/>
    <mergeCell ref="K44:K49"/>
    <mergeCell ref="C56:C61"/>
    <mergeCell ref="D56:D61"/>
    <mergeCell ref="E56:E61"/>
    <mergeCell ref="F56:F61"/>
    <mergeCell ref="G56:G61"/>
    <mergeCell ref="H56:H61"/>
    <mergeCell ref="I56:I61"/>
    <mergeCell ref="Q56:Q61"/>
    <mergeCell ref="R56:R61"/>
    <mergeCell ref="AF56:AF61"/>
    <mergeCell ref="AF62:AF67"/>
    <mergeCell ref="AF68:AF73"/>
    <mergeCell ref="AF74:AF79"/>
    <mergeCell ref="S80:Z80"/>
    <mergeCell ref="J56:J61"/>
    <mergeCell ref="K56:K61"/>
    <mergeCell ref="L56:L61"/>
    <mergeCell ref="M56:M61"/>
    <mergeCell ref="N56:N61"/>
    <mergeCell ref="O56:O61"/>
    <mergeCell ref="P56:P61"/>
    <mergeCell ref="Q62:Q67"/>
    <mergeCell ref="R62:R67"/>
    <mergeCell ref="J62:J67"/>
    <mergeCell ref="K62:K67"/>
    <mergeCell ref="L62:L67"/>
    <mergeCell ref="M62:M67"/>
    <mergeCell ref="N62:N67"/>
    <mergeCell ref="O62:O67"/>
    <mergeCell ref="P62:P67"/>
    <mergeCell ref="P68:P73"/>
    <mergeCell ref="Q68:Q73"/>
    <mergeCell ref="R68:R73"/>
    <mergeCell ref="C29:C33"/>
    <mergeCell ref="D29:D33"/>
    <mergeCell ref="C34:C38"/>
    <mergeCell ref="D34:D38"/>
    <mergeCell ref="C39:C43"/>
    <mergeCell ref="D39:D43"/>
    <mergeCell ref="C44:C49"/>
    <mergeCell ref="D44:D49"/>
    <mergeCell ref="C50:C55"/>
    <mergeCell ref="D50:D55"/>
    <mergeCell ref="C74:C79"/>
    <mergeCell ref="D74:D79"/>
    <mergeCell ref="E74:E79"/>
    <mergeCell ref="F74:F79"/>
    <mergeCell ref="G74:G79"/>
    <mergeCell ref="H74:H79"/>
    <mergeCell ref="I74:I79"/>
    <mergeCell ref="C68:C73"/>
    <mergeCell ref="D68:D73"/>
    <mergeCell ref="D101:D105"/>
    <mergeCell ref="D106:D110"/>
    <mergeCell ref="E106:E110"/>
    <mergeCell ref="F106:F110"/>
    <mergeCell ref="G106:G110"/>
    <mergeCell ref="H106:H110"/>
    <mergeCell ref="I106:I110"/>
    <mergeCell ref="E101:E105"/>
    <mergeCell ref="F101:F105"/>
    <mergeCell ref="G101:G105"/>
    <mergeCell ref="H101:H105"/>
    <mergeCell ref="I101:I105"/>
    <mergeCell ref="E86:E90"/>
    <mergeCell ref="F86:F90"/>
    <mergeCell ref="G86:G90"/>
    <mergeCell ref="H86:H90"/>
    <mergeCell ref="I86:I90"/>
    <mergeCell ref="Q116:Q120"/>
    <mergeCell ref="R116:R120"/>
    <mergeCell ref="J116:J120"/>
    <mergeCell ref="K116:K120"/>
    <mergeCell ref="L116:L120"/>
    <mergeCell ref="M116:M120"/>
    <mergeCell ref="N116:N120"/>
    <mergeCell ref="O116:O120"/>
    <mergeCell ref="P116:P120"/>
    <mergeCell ref="Q106:Q110"/>
    <mergeCell ref="R106:R110"/>
    <mergeCell ref="P86:P90"/>
    <mergeCell ref="L91:L95"/>
    <mergeCell ref="M91:M95"/>
    <mergeCell ref="N91:N95"/>
    <mergeCell ref="O91:O95"/>
    <mergeCell ref="P91:P95"/>
    <mergeCell ref="Q91:Q95"/>
    <mergeCell ref="R91:R95"/>
    <mergeCell ref="J126:J130"/>
    <mergeCell ref="R126:R130"/>
    <mergeCell ref="H116:H120"/>
    <mergeCell ref="I116:I120"/>
    <mergeCell ref="O121:O125"/>
    <mergeCell ref="P121:P125"/>
    <mergeCell ref="Q121:Q125"/>
    <mergeCell ref="D121:D125"/>
    <mergeCell ref="B132:R132"/>
    <mergeCell ref="K126:K130"/>
    <mergeCell ref="L126:L130"/>
    <mergeCell ref="M126:M130"/>
    <mergeCell ref="N126:N130"/>
    <mergeCell ref="O126:O130"/>
    <mergeCell ref="P126:P130"/>
    <mergeCell ref="Q126:Q130"/>
    <mergeCell ref="F121:F125"/>
    <mergeCell ref="I121:I125"/>
    <mergeCell ref="E121:E125"/>
    <mergeCell ref="E126:E130"/>
    <mergeCell ref="F126:F130"/>
    <mergeCell ref="G126:G130"/>
    <mergeCell ref="H126:H130"/>
    <mergeCell ref="I126:I130"/>
    <mergeCell ref="A9:A132"/>
    <mergeCell ref="B9:B80"/>
    <mergeCell ref="C9:C13"/>
    <mergeCell ref="D9:D13"/>
    <mergeCell ref="D14:D18"/>
    <mergeCell ref="D19:D23"/>
    <mergeCell ref="C24:C28"/>
    <mergeCell ref="D24:D28"/>
    <mergeCell ref="D81:D85"/>
    <mergeCell ref="D86:D90"/>
    <mergeCell ref="D91:D95"/>
    <mergeCell ref="D96:D100"/>
    <mergeCell ref="C111:C115"/>
    <mergeCell ref="C116:C120"/>
    <mergeCell ref="D111:D115"/>
    <mergeCell ref="D116:D120"/>
    <mergeCell ref="C62:C67"/>
    <mergeCell ref="D62:D67"/>
    <mergeCell ref="B81:B131"/>
    <mergeCell ref="C81:C85"/>
    <mergeCell ref="C86:C90"/>
    <mergeCell ref="C91:C95"/>
    <mergeCell ref="C96:C100"/>
    <mergeCell ref="C101:C105"/>
    <mergeCell ref="C126:C130"/>
    <mergeCell ref="J106:J110"/>
    <mergeCell ref="K106:K110"/>
    <mergeCell ref="L106:L110"/>
    <mergeCell ref="M106:M110"/>
    <mergeCell ref="N106:N110"/>
    <mergeCell ref="O106:O110"/>
    <mergeCell ref="M81:M85"/>
    <mergeCell ref="N81:N85"/>
    <mergeCell ref="O81:O85"/>
    <mergeCell ref="J86:J90"/>
    <mergeCell ref="K86:K90"/>
    <mergeCell ref="L86:L90"/>
    <mergeCell ref="M86:M90"/>
    <mergeCell ref="N86:N90"/>
    <mergeCell ref="O86:O90"/>
    <mergeCell ref="E91:E95"/>
    <mergeCell ref="F91:F95"/>
    <mergeCell ref="G91:G95"/>
    <mergeCell ref="H91:H95"/>
    <mergeCell ref="I91:I95"/>
    <mergeCell ref="J91:J95"/>
    <mergeCell ref="D126:D130"/>
    <mergeCell ref="C106:C110"/>
    <mergeCell ref="F81:F85"/>
    <mergeCell ref="G81:G85"/>
    <mergeCell ref="H81:H85"/>
    <mergeCell ref="I81:I85"/>
    <mergeCell ref="J81:J85"/>
    <mergeCell ref="K81:K85"/>
    <mergeCell ref="L81:L85"/>
    <mergeCell ref="E81:E85"/>
    <mergeCell ref="C121:C125"/>
    <mergeCell ref="J111:J115"/>
    <mergeCell ref="K111:K115"/>
    <mergeCell ref="L111:L115"/>
    <mergeCell ref="E111:E115"/>
    <mergeCell ref="F111:F115"/>
    <mergeCell ref="G111:G115"/>
    <mergeCell ref="H111:H115"/>
    <mergeCell ref="I111:I115"/>
    <mergeCell ref="E116:E120"/>
    <mergeCell ref="F116:F120"/>
    <mergeCell ref="G116:G120"/>
    <mergeCell ref="G121:G125"/>
    <mergeCell ref="H121:H125"/>
    <mergeCell ref="J121:J125"/>
    <mergeCell ref="K121:K125"/>
    <mergeCell ref="E62:E67"/>
    <mergeCell ref="F62:F67"/>
    <mergeCell ref="G62:G67"/>
    <mergeCell ref="H62:H67"/>
    <mergeCell ref="I62:I67"/>
    <mergeCell ref="L68:L73"/>
    <mergeCell ref="M68:M73"/>
    <mergeCell ref="N68:N73"/>
    <mergeCell ref="O68:O73"/>
    <mergeCell ref="E68:E73"/>
    <mergeCell ref="F68:F73"/>
    <mergeCell ref="G68:G73"/>
    <mergeCell ref="H68:H73"/>
    <mergeCell ref="I68:I73"/>
    <mergeCell ref="J68:J73"/>
    <mergeCell ref="K68:K73"/>
    <mergeCell ref="Q74:Q79"/>
    <mergeCell ref="R74:R79"/>
    <mergeCell ref="J74:J79"/>
    <mergeCell ref="K74:K79"/>
    <mergeCell ref="L74:L79"/>
    <mergeCell ref="M74:M79"/>
    <mergeCell ref="N74:N79"/>
    <mergeCell ref="O74:O79"/>
    <mergeCell ref="P74:P79"/>
    <mergeCell ref="P81:P85"/>
    <mergeCell ref="Q81:Q85"/>
    <mergeCell ref="R81:R85"/>
    <mergeCell ref="Z81:Z85"/>
    <mergeCell ref="AA81:AA85"/>
    <mergeCell ref="AB81:AB85"/>
    <mergeCell ref="AC81:AC85"/>
    <mergeCell ref="AD81:AD85"/>
    <mergeCell ref="AE81:AE85"/>
    <mergeCell ref="AF81:AF85"/>
    <mergeCell ref="S81:S85"/>
    <mergeCell ref="T81:T85"/>
    <mergeCell ref="U81:U85"/>
    <mergeCell ref="V81:V85"/>
    <mergeCell ref="W81:W85"/>
    <mergeCell ref="X81:X85"/>
    <mergeCell ref="Y81:Y85"/>
    <mergeCell ref="Q86:Q90"/>
    <mergeCell ref="R86:R90"/>
    <mergeCell ref="AF86:AF90"/>
    <mergeCell ref="AF91:AF95"/>
    <mergeCell ref="K91:K95"/>
    <mergeCell ref="L96:L100"/>
    <mergeCell ref="M96:M100"/>
    <mergeCell ref="N96:N100"/>
    <mergeCell ref="O96:O100"/>
    <mergeCell ref="P96:P100"/>
    <mergeCell ref="Q96:Q100"/>
    <mergeCell ref="R96:R100"/>
    <mergeCell ref="AF96:AF100"/>
    <mergeCell ref="E96:E100"/>
    <mergeCell ref="F96:F100"/>
    <mergeCell ref="G96:G100"/>
    <mergeCell ref="H96:H100"/>
    <mergeCell ref="I96:I100"/>
    <mergeCell ref="J96:J100"/>
    <mergeCell ref="K96:K100"/>
    <mergeCell ref="J101:J105"/>
    <mergeCell ref="K101:K105"/>
    <mergeCell ref="L101:L105"/>
    <mergeCell ref="M101:M105"/>
    <mergeCell ref="N101:N105"/>
    <mergeCell ref="O101:O105"/>
    <mergeCell ref="P101:P105"/>
    <mergeCell ref="Q101:Q105"/>
    <mergeCell ref="R101:R105"/>
    <mergeCell ref="U144:W144"/>
    <mergeCell ref="U145:V145"/>
    <mergeCell ref="P106:P110"/>
    <mergeCell ref="Q111:Q115"/>
    <mergeCell ref="R111:R115"/>
    <mergeCell ref="M111:M115"/>
    <mergeCell ref="N111:N115"/>
    <mergeCell ref="O111:O115"/>
    <mergeCell ref="P111:P115"/>
    <mergeCell ref="R121:R125"/>
    <mergeCell ref="L121:L125"/>
    <mergeCell ref="M121:M125"/>
    <mergeCell ref="N121:N125"/>
    <mergeCell ref="U146:V146"/>
    <mergeCell ref="U154:V154"/>
    <mergeCell ref="U155:V155"/>
    <mergeCell ref="U156:V156"/>
    <mergeCell ref="U157:V157"/>
    <mergeCell ref="AF101:AF105"/>
    <mergeCell ref="AF111:AF115"/>
    <mergeCell ref="AF121:AF125"/>
    <mergeCell ref="AF126:AF130"/>
    <mergeCell ref="S131:Z131"/>
    <mergeCell ref="AC131:AF131"/>
    <mergeCell ref="S132:Z132"/>
    <mergeCell ref="S133:AF133"/>
    <mergeCell ref="U135:Z135"/>
    <mergeCell ref="AC134:AD134"/>
    <mergeCell ref="AF116:AF120"/>
    <mergeCell ref="AF106:AF110"/>
    <mergeCell ref="U158:V158"/>
    <mergeCell ref="U159:V159"/>
    <mergeCell ref="U147:V147"/>
    <mergeCell ref="U148:V148"/>
    <mergeCell ref="U149:V149"/>
    <mergeCell ref="U150:W150"/>
    <mergeCell ref="U151:V151"/>
    <mergeCell ref="U152:V152"/>
    <mergeCell ref="U153:V153"/>
    <mergeCell ref="P7:P8"/>
    <mergeCell ref="Q7:Q8"/>
    <mergeCell ref="R7:R8"/>
    <mergeCell ref="S7:Y7"/>
    <mergeCell ref="Z7:AB7"/>
    <mergeCell ref="AC7:AE7"/>
    <mergeCell ref="AF7:AF8"/>
    <mergeCell ref="E7:E8"/>
    <mergeCell ref="F7:F8"/>
    <mergeCell ref="G7:G8"/>
    <mergeCell ref="H7:H8"/>
    <mergeCell ref="I7:I8"/>
    <mergeCell ref="J7:J8"/>
    <mergeCell ref="K7:K8"/>
    <mergeCell ref="L7:L8"/>
    <mergeCell ref="M7:O7"/>
  </mergeCells>
  <dataValidations disablePrompts="1" count="4">
    <dataValidation type="list" allowBlank="1" showErrorMessage="1" sqref="E29">
      <formula1>INDIRECT(#REF!)</formula1>
    </dataValidation>
    <dataValidation type="list" allowBlank="1" showErrorMessage="1" sqref="F9 F14 F19 F24 F29 F34 F39 F44 F50 F56 F62 F68 F74">
      <formula1>INDIRECT($E9)</formula1>
    </dataValidation>
    <dataValidation type="list" allowBlank="1" showErrorMessage="1" sqref="E9 E14 E19 E24 E34 E39 E44 E50 E56 E62 E68 E74">
      <formula1>INDIRECT($G9)</formula1>
    </dataValidation>
    <dataValidation type="decimal" allowBlank="1" showInputMessage="1" showErrorMessage="1" prompt="DPLAN - Sólo debe ingresar valores, NO porcentajes." sqref="M9:O9 M14:O14 M19:O19 M24:O24 M29:O29 M34:O34 M39:O39 M44:O44 M50:O50 M56:O56 M62:O62 M68:O68 M74:O74">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&amp;"Cambria,Cursiva"&amp;12&amp;K0070C0Administración Central&amp;C&amp;"Century Schoolbook,Normal"&amp;12&amp;K002060&amp;P</oddHeader>
  </headerFooter>
  <ignoredErrors>
    <ignoredError sqref="X138:Y140" numberStoredAsText="1"/>
  </ignoredErrors>
  <drawing r:id="rId2"/>
  <legacyDrawing r:id="rId3"/>
  <extLst>
    <ext xmlns:x14="http://schemas.microsoft.com/office/spreadsheetml/2009/9/main" uri="{CCE6A557-97BC-4b89-ADB6-D9C93CAAB3DF}">
      <x14:dataValidations xmlns:xm="http://schemas.microsoft.com/office/excel/2006/main" disablePrompts="1" count="4">
        <x14:dataValidation type="list" allowBlank="1" showErrorMessage="1">
          <x14:formula1>
            <xm:f>PND!#REF!</xm:f>
          </x14:formula1>
          <xm:sqref>C9:D9 C14:D14 C19:D19 C24:D24 C29:D29 C34:D34 C39:D39 C44:D44 C50:D50 C56:D56 C62:D62 C68:D68 C74:D74</xm:sqref>
        </x14:dataValidation>
        <x14:dataValidation type="list" allowBlank="1" showErrorMessage="1">
          <x14:formula1>
            <xm:f>(PEDI!#REF!)</xm:f>
          </x14:formula1>
          <xm:sqref>H9 H14 H19 H24 H29 H34 H39 H44 H50 H56 H62 H68 H74</xm:sqref>
        </x14:dataValidation>
        <x14:dataValidation type="list" allowBlank="1" showErrorMessage="1">
          <x14:formula1>
            <xm:f>PEDI!#REF!</xm:f>
          </x14:formula1>
          <xm:sqref>G9 G14 G19 G24 G29 G34 G39 G44 G50 G56 G62 G68 G74</xm:sqref>
        </x14:dataValidation>
        <x14:dataValidation type="list" allowBlank="1" showErrorMessage="1">
          <x14:formula1>
            <xm:f>INDIRECT('Estrategias DAFO'!#REF!)</xm:f>
          </x14:formula1>
          <xm:sqref>I9 I14 I19 I24 I29 I34 I39 I44 I50 I56 I62 I68 I74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148"/>
  <sheetViews>
    <sheetView showGridLines="0" topLeftCell="Q121" workbookViewId="0">
      <selection activeCell="AF148" sqref="AF148"/>
    </sheetView>
  </sheetViews>
  <sheetFormatPr baseColWidth="10" defaultColWidth="12.5703125" defaultRowHeight="15.75" customHeight="1"/>
  <cols>
    <col min="1" max="2" width="5" customWidth="1"/>
    <col min="3" max="8" width="22.42578125" customWidth="1"/>
    <col min="9" max="9" width="20.28515625" customWidth="1"/>
    <col min="10" max="12" width="22.42578125" customWidth="1"/>
    <col min="13" max="15" width="8.7109375" customWidth="1"/>
    <col min="16" max="18" width="22.42578125" customWidth="1"/>
    <col min="19" max="19" width="23.7109375" customWidth="1"/>
    <col min="20" max="20" width="12.7109375" customWidth="1"/>
    <col min="21" max="21" width="19.7109375" customWidth="1"/>
    <col min="22" max="22" width="36.7109375" customWidth="1"/>
    <col min="23" max="23" width="12.7109375" customWidth="1"/>
    <col min="24" max="27" width="12" customWidth="1"/>
    <col min="28" max="28" width="12.7109375" customWidth="1"/>
    <col min="29" max="31" width="7.7109375" customWidth="1"/>
    <col min="32" max="32" width="19.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254" t="s">
        <v>981</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247"/>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25.5" customHeight="1">
      <c r="A9" s="4358" t="s">
        <v>981</v>
      </c>
      <c r="B9" s="4973" t="s">
        <v>981</v>
      </c>
      <c r="C9" s="4463" t="s">
        <v>272</v>
      </c>
      <c r="D9" s="4328" t="s">
        <v>302</v>
      </c>
      <c r="E9" s="4328" t="s">
        <v>388</v>
      </c>
      <c r="F9" s="4328" t="s">
        <v>944</v>
      </c>
      <c r="G9" s="4329" t="s">
        <v>305</v>
      </c>
      <c r="H9" s="4328" t="s">
        <v>306</v>
      </c>
      <c r="I9" s="4328" t="s">
        <v>278</v>
      </c>
      <c r="J9" s="4339" t="s">
        <v>4961</v>
      </c>
      <c r="K9" s="4345" t="s">
        <v>4944</v>
      </c>
      <c r="L9" s="4345" t="s">
        <v>4929</v>
      </c>
      <c r="M9" s="4249">
        <v>0</v>
      </c>
      <c r="N9" s="4484">
        <v>0</v>
      </c>
      <c r="O9" s="4249">
        <v>1</v>
      </c>
      <c r="P9" s="4345" t="s">
        <v>4928</v>
      </c>
      <c r="Q9" s="4345" t="s">
        <v>4886</v>
      </c>
      <c r="R9" s="4346" t="s">
        <v>4882</v>
      </c>
      <c r="S9" s="1996" t="s">
        <v>11</v>
      </c>
      <c r="T9" s="2702">
        <v>530601</v>
      </c>
      <c r="U9" s="2702"/>
      <c r="V9" s="2718" t="s">
        <v>41</v>
      </c>
      <c r="W9" s="1602"/>
      <c r="X9" s="414"/>
      <c r="Y9" s="1608"/>
      <c r="Z9" s="1608"/>
      <c r="AA9" s="1608"/>
      <c r="AB9" s="1610">
        <f>SUM($AA$10:$AA$12)</f>
        <v>22400.000000000004</v>
      </c>
      <c r="AC9" s="414"/>
      <c r="AD9" s="174"/>
      <c r="AE9" s="174"/>
      <c r="AF9" s="4324" t="s">
        <v>4879</v>
      </c>
    </row>
    <row r="10" spans="1:32" ht="25.5" customHeight="1">
      <c r="A10" s="4360"/>
      <c r="B10" s="4774"/>
      <c r="C10" s="4464"/>
      <c r="D10" s="4215"/>
      <c r="E10" s="4215"/>
      <c r="F10" s="4215"/>
      <c r="G10" s="4215"/>
      <c r="H10" s="4215"/>
      <c r="I10" s="4215"/>
      <c r="J10" s="4340"/>
      <c r="K10" s="4215"/>
      <c r="L10" s="4215"/>
      <c r="M10" s="4226"/>
      <c r="N10" s="4226"/>
      <c r="O10" s="4226"/>
      <c r="P10" s="4215"/>
      <c r="Q10" s="4215"/>
      <c r="R10" s="4233"/>
      <c r="S10" s="1593"/>
      <c r="T10" s="2703"/>
      <c r="U10" s="2701">
        <v>831130112</v>
      </c>
      <c r="V10" s="2719" t="s">
        <v>982</v>
      </c>
      <c r="W10" s="1601">
        <v>1</v>
      </c>
      <c r="X10" s="170" t="s">
        <v>250</v>
      </c>
      <c r="Y10" s="1606">
        <v>20000</v>
      </c>
      <c r="Z10" s="1606">
        <f>+W10*Y10</f>
        <v>20000</v>
      </c>
      <c r="AA10" s="1606">
        <f>+Z10*1.12</f>
        <v>22400.000000000004</v>
      </c>
      <c r="AB10" s="1607"/>
      <c r="AC10" s="170" t="s">
        <v>251</v>
      </c>
      <c r="AD10" s="282" t="s">
        <v>251</v>
      </c>
      <c r="AE10" s="282"/>
      <c r="AF10" s="4984"/>
    </row>
    <row r="11" spans="1:32" ht="25.5" customHeight="1">
      <c r="A11" s="4360"/>
      <c r="B11" s="4774"/>
      <c r="C11" s="4464"/>
      <c r="D11" s="4215"/>
      <c r="E11" s="4215"/>
      <c r="F11" s="4215"/>
      <c r="G11" s="4215"/>
      <c r="H11" s="4215"/>
      <c r="I11" s="4215"/>
      <c r="J11" s="4340"/>
      <c r="K11" s="4215"/>
      <c r="L11" s="4215"/>
      <c r="M11" s="4226"/>
      <c r="N11" s="4226"/>
      <c r="O11" s="4226"/>
      <c r="P11" s="4215"/>
      <c r="Q11" s="4215"/>
      <c r="R11" s="4233"/>
      <c r="S11" s="1769"/>
      <c r="T11" s="2701"/>
      <c r="U11" s="2701"/>
      <c r="V11" s="2720"/>
      <c r="W11" s="1602"/>
      <c r="X11" s="414"/>
      <c r="Y11" s="1608"/>
      <c r="Z11" s="1606"/>
      <c r="AA11" s="1606"/>
      <c r="AB11" s="1607"/>
      <c r="AC11" s="170"/>
      <c r="AD11" s="282"/>
      <c r="AE11" s="282"/>
      <c r="AF11" s="4984"/>
    </row>
    <row r="12" spans="1:32" ht="25.5" customHeight="1">
      <c r="A12" s="4360"/>
      <c r="B12" s="4774"/>
      <c r="C12" s="4464"/>
      <c r="D12" s="4215"/>
      <c r="E12" s="4215"/>
      <c r="F12" s="4215"/>
      <c r="G12" s="4215"/>
      <c r="H12" s="4215"/>
      <c r="I12" s="4215"/>
      <c r="J12" s="4340"/>
      <c r="K12" s="4215"/>
      <c r="L12" s="4215"/>
      <c r="M12" s="4226"/>
      <c r="N12" s="4226"/>
      <c r="O12" s="4226"/>
      <c r="P12" s="4215"/>
      <c r="Q12" s="4215"/>
      <c r="R12" s="4233"/>
      <c r="S12" s="1769"/>
      <c r="T12" s="2701"/>
      <c r="U12" s="2701"/>
      <c r="V12" s="2720"/>
      <c r="W12" s="1602"/>
      <c r="X12" s="414"/>
      <c r="Y12" s="1608"/>
      <c r="Z12" s="1606"/>
      <c r="AA12" s="1606"/>
      <c r="AB12" s="1607"/>
      <c r="AC12" s="170"/>
      <c r="AD12" s="282"/>
      <c r="AE12" s="282"/>
      <c r="AF12" s="4984"/>
    </row>
    <row r="13" spans="1:32" ht="25.5" customHeight="1">
      <c r="A13" s="4360"/>
      <c r="B13" s="4774"/>
      <c r="C13" s="4465"/>
      <c r="D13" s="4216"/>
      <c r="E13" s="4216"/>
      <c r="F13" s="4216"/>
      <c r="G13" s="4216"/>
      <c r="H13" s="4216"/>
      <c r="I13" s="4216"/>
      <c r="J13" s="4341"/>
      <c r="K13" s="4216"/>
      <c r="L13" s="4216"/>
      <c r="M13" s="4247"/>
      <c r="N13" s="4247"/>
      <c r="O13" s="4247"/>
      <c r="P13" s="4216"/>
      <c r="Q13" s="4216"/>
      <c r="R13" s="4258"/>
      <c r="S13" s="1595"/>
      <c r="T13" s="2704"/>
      <c r="U13" s="2704"/>
      <c r="V13" s="2721"/>
      <c r="W13" s="1603"/>
      <c r="X13" s="165"/>
      <c r="Y13" s="1611"/>
      <c r="Z13" s="1611"/>
      <c r="AA13" s="1611"/>
      <c r="AB13" s="1609"/>
      <c r="AC13" s="165"/>
      <c r="AD13" s="166"/>
      <c r="AE13" s="166"/>
      <c r="AF13" s="4985"/>
    </row>
    <row r="14" spans="1:32" ht="25.5" customHeight="1">
      <c r="A14" s="4360"/>
      <c r="B14" s="4774"/>
      <c r="C14" s="4463" t="s">
        <v>272</v>
      </c>
      <c r="D14" s="4328" t="s">
        <v>302</v>
      </c>
      <c r="E14" s="4328" t="s">
        <v>388</v>
      </c>
      <c r="F14" s="4328" t="s">
        <v>944</v>
      </c>
      <c r="G14" s="4329" t="s">
        <v>305</v>
      </c>
      <c r="H14" s="4328" t="s">
        <v>306</v>
      </c>
      <c r="I14" s="4328" t="s">
        <v>278</v>
      </c>
      <c r="J14" s="4228" t="s">
        <v>4962</v>
      </c>
      <c r="K14" s="4228" t="s">
        <v>4943</v>
      </c>
      <c r="L14" s="4345" t="s">
        <v>4930</v>
      </c>
      <c r="M14" s="4608">
        <v>0.05</v>
      </c>
      <c r="N14" s="4813">
        <v>0</v>
      </c>
      <c r="O14" s="4608">
        <v>0.05</v>
      </c>
      <c r="P14" s="4345" t="s">
        <v>4927</v>
      </c>
      <c r="Q14" s="4345" t="s">
        <v>4887</v>
      </c>
      <c r="R14" s="4322" t="s">
        <v>4883</v>
      </c>
      <c r="S14" s="3361" t="s">
        <v>11</v>
      </c>
      <c r="T14" s="3336">
        <v>840107</v>
      </c>
      <c r="U14" s="3337"/>
      <c r="V14" s="2718" t="s">
        <v>983</v>
      </c>
      <c r="W14" s="1602"/>
      <c r="X14" s="414"/>
      <c r="Y14" s="1608"/>
      <c r="Z14" s="1608"/>
      <c r="AA14" s="1608"/>
      <c r="AB14" s="1610">
        <f>SUM($AA$15:$AA$17)</f>
        <v>0</v>
      </c>
      <c r="AC14" s="414"/>
      <c r="AD14" s="174"/>
      <c r="AE14" s="174"/>
      <c r="AF14" s="4324" t="s">
        <v>4880</v>
      </c>
    </row>
    <row r="15" spans="1:32" ht="25.5" customHeight="1">
      <c r="A15" s="4360"/>
      <c r="B15" s="4774"/>
      <c r="C15" s="4464"/>
      <c r="D15" s="4215"/>
      <c r="E15" s="4215"/>
      <c r="F15" s="4215"/>
      <c r="G15" s="4215"/>
      <c r="H15" s="4215"/>
      <c r="I15" s="4215"/>
      <c r="J15" s="4215"/>
      <c r="K15" s="4215"/>
      <c r="L15" s="4215"/>
      <c r="M15" s="4226"/>
      <c r="N15" s="4226"/>
      <c r="O15" s="4226"/>
      <c r="P15" s="4215"/>
      <c r="Q15" s="4215"/>
      <c r="R15" s="4233"/>
      <c r="S15" s="1593"/>
      <c r="T15" s="2703"/>
      <c r="U15" s="2703">
        <v>4523000381</v>
      </c>
      <c r="V15" s="2719" t="s">
        <v>984</v>
      </c>
      <c r="W15" s="1601">
        <v>2</v>
      </c>
      <c r="X15" s="170" t="s">
        <v>985</v>
      </c>
      <c r="Y15" s="1606">
        <v>0</v>
      </c>
      <c r="Z15" s="1606">
        <f t="shared" ref="Z15:Z16" si="0">+W15*Y15</f>
        <v>0</v>
      </c>
      <c r="AA15" s="1606">
        <f t="shared" ref="AA15:AA16" si="1">+Z15*1.12</f>
        <v>0</v>
      </c>
      <c r="AB15" s="1607"/>
      <c r="AC15" s="170" t="s">
        <v>251</v>
      </c>
      <c r="AD15" s="282"/>
      <c r="AE15" s="282"/>
      <c r="AF15" s="4984"/>
    </row>
    <row r="16" spans="1:32" ht="25.5" customHeight="1">
      <c r="A16" s="4360"/>
      <c r="B16" s="4774"/>
      <c r="C16" s="4464"/>
      <c r="D16" s="4215"/>
      <c r="E16" s="4215"/>
      <c r="F16" s="4215"/>
      <c r="G16" s="4215"/>
      <c r="H16" s="4215"/>
      <c r="I16" s="4215"/>
      <c r="J16" s="4215"/>
      <c r="K16" s="4215"/>
      <c r="L16" s="4215"/>
      <c r="M16" s="4226"/>
      <c r="N16" s="4226"/>
      <c r="O16" s="4226"/>
      <c r="P16" s="4215"/>
      <c r="Q16" s="4215"/>
      <c r="R16" s="4233"/>
      <c r="S16" s="1769"/>
      <c r="T16" s="2701"/>
      <c r="U16" s="2701">
        <v>452200071</v>
      </c>
      <c r="V16" s="3041" t="s">
        <v>4982</v>
      </c>
      <c r="W16" s="1602">
        <v>2</v>
      </c>
      <c r="X16" s="414" t="s">
        <v>985</v>
      </c>
      <c r="Y16" s="1608">
        <v>0</v>
      </c>
      <c r="Z16" s="1606">
        <f t="shared" si="0"/>
        <v>0</v>
      </c>
      <c r="AA16" s="1606">
        <f t="shared" si="1"/>
        <v>0</v>
      </c>
      <c r="AB16" s="1607"/>
      <c r="AC16" s="170" t="s">
        <v>251</v>
      </c>
      <c r="AD16" s="282"/>
      <c r="AE16" s="282"/>
      <c r="AF16" s="4984"/>
    </row>
    <row r="17" spans="1:32" ht="25.5" customHeight="1">
      <c r="A17" s="4360"/>
      <c r="B17" s="4774"/>
      <c r="C17" s="4464"/>
      <c r="D17" s="4215"/>
      <c r="E17" s="4215"/>
      <c r="F17" s="4215"/>
      <c r="G17" s="4215"/>
      <c r="H17" s="4215"/>
      <c r="I17" s="4215"/>
      <c r="J17" s="4215"/>
      <c r="K17" s="4215"/>
      <c r="L17" s="4215"/>
      <c r="M17" s="4226"/>
      <c r="N17" s="4226"/>
      <c r="O17" s="4226"/>
      <c r="P17" s="4215"/>
      <c r="Q17" s="4215"/>
      <c r="R17" s="4233"/>
      <c r="S17" s="1996"/>
      <c r="T17" s="2702"/>
      <c r="U17" s="2702"/>
      <c r="V17" s="2720"/>
      <c r="W17" s="1602"/>
      <c r="X17" s="414"/>
      <c r="Y17" s="1608"/>
      <c r="Z17" s="1606"/>
      <c r="AA17" s="1606"/>
      <c r="AB17" s="1607"/>
      <c r="AC17" s="170"/>
      <c r="AD17" s="282"/>
      <c r="AE17" s="282"/>
      <c r="AF17" s="4984"/>
    </row>
    <row r="18" spans="1:32" ht="25.5" customHeight="1">
      <c r="A18" s="4360"/>
      <c r="B18" s="4774"/>
      <c r="C18" s="4465"/>
      <c r="D18" s="4216"/>
      <c r="E18" s="4216"/>
      <c r="F18" s="4216"/>
      <c r="G18" s="4216"/>
      <c r="H18" s="4216"/>
      <c r="I18" s="4216"/>
      <c r="J18" s="4216"/>
      <c r="K18" s="4216"/>
      <c r="L18" s="4216"/>
      <c r="M18" s="4247"/>
      <c r="N18" s="4247"/>
      <c r="O18" s="4247"/>
      <c r="P18" s="4216"/>
      <c r="Q18" s="4216"/>
      <c r="R18" s="4258"/>
      <c r="S18" s="1595"/>
      <c r="T18" s="1994"/>
      <c r="U18" s="1994"/>
      <c r="V18" s="2414"/>
      <c r="W18" s="1603"/>
      <c r="X18" s="165"/>
      <c r="Y18" s="1611"/>
      <c r="Z18" s="1611"/>
      <c r="AA18" s="1611"/>
      <c r="AB18" s="1609"/>
      <c r="AC18" s="165"/>
      <c r="AD18" s="166"/>
      <c r="AE18" s="166"/>
      <c r="AF18" s="4985"/>
    </row>
    <row r="19" spans="1:32" ht="25.5" customHeight="1">
      <c r="A19" s="4360"/>
      <c r="B19" s="4774"/>
      <c r="C19" s="4467" t="s">
        <v>272</v>
      </c>
      <c r="D19" s="4273" t="s">
        <v>302</v>
      </c>
      <c r="E19" s="4273" t="s">
        <v>388</v>
      </c>
      <c r="F19" s="4273" t="s">
        <v>944</v>
      </c>
      <c r="G19" s="4338" t="s">
        <v>305</v>
      </c>
      <c r="H19" s="4273" t="s">
        <v>306</v>
      </c>
      <c r="I19" s="4273" t="s">
        <v>278</v>
      </c>
      <c r="J19" s="4228" t="s">
        <v>4963</v>
      </c>
      <c r="K19" s="4228" t="s">
        <v>4942</v>
      </c>
      <c r="L19" s="4228" t="s">
        <v>4931</v>
      </c>
      <c r="M19" s="4246">
        <v>0</v>
      </c>
      <c r="N19" s="4246">
        <v>0</v>
      </c>
      <c r="O19" s="4246">
        <v>2</v>
      </c>
      <c r="P19" s="4228" t="s">
        <v>4926</v>
      </c>
      <c r="Q19" s="4228" t="s">
        <v>4888</v>
      </c>
      <c r="R19" s="4322" t="s">
        <v>4882</v>
      </c>
      <c r="S19" s="3361"/>
      <c r="T19" s="3338"/>
      <c r="U19" s="1759"/>
      <c r="V19" s="1600"/>
      <c r="W19" s="1602"/>
      <c r="X19" s="414"/>
      <c r="Y19" s="1608"/>
      <c r="Z19" s="1608"/>
      <c r="AA19" s="1608"/>
      <c r="AB19" s="1610"/>
      <c r="AC19" s="414"/>
      <c r="AD19" s="174"/>
      <c r="AE19" s="174"/>
      <c r="AF19" s="4486" t="s">
        <v>4879</v>
      </c>
    </row>
    <row r="20" spans="1:32" ht="25.5" customHeight="1">
      <c r="A20" s="4360"/>
      <c r="B20" s="4774"/>
      <c r="C20" s="4464"/>
      <c r="D20" s="4215"/>
      <c r="E20" s="4215"/>
      <c r="F20" s="4215"/>
      <c r="G20" s="4215"/>
      <c r="H20" s="4215"/>
      <c r="I20" s="4215"/>
      <c r="J20" s="4215"/>
      <c r="K20" s="4215"/>
      <c r="L20" s="4215"/>
      <c r="M20" s="4226"/>
      <c r="N20" s="4226"/>
      <c r="O20" s="4226"/>
      <c r="P20" s="4215"/>
      <c r="Q20" s="4215"/>
      <c r="R20" s="4233"/>
      <c r="S20" s="1593"/>
      <c r="T20" s="1768"/>
      <c r="U20" s="1768"/>
      <c r="V20" s="1599"/>
      <c r="W20" s="1601"/>
      <c r="X20" s="170"/>
      <c r="Y20" s="1606"/>
      <c r="Z20" s="1606"/>
      <c r="AA20" s="1606"/>
      <c r="AB20" s="1607"/>
      <c r="AC20" s="170"/>
      <c r="AD20" s="282"/>
      <c r="AE20" s="282"/>
      <c r="AF20" s="4984"/>
    </row>
    <row r="21" spans="1:32" ht="25.5" customHeight="1">
      <c r="A21" s="4360"/>
      <c r="B21" s="4774"/>
      <c r="C21" s="4464"/>
      <c r="D21" s="4215"/>
      <c r="E21" s="4215"/>
      <c r="F21" s="4215"/>
      <c r="G21" s="4215"/>
      <c r="H21" s="4215"/>
      <c r="I21" s="4215"/>
      <c r="J21" s="4215"/>
      <c r="K21" s="4215"/>
      <c r="L21" s="4215"/>
      <c r="M21" s="4226"/>
      <c r="N21" s="4226"/>
      <c r="O21" s="4226"/>
      <c r="P21" s="4215"/>
      <c r="Q21" s="4215"/>
      <c r="R21" s="4233"/>
      <c r="S21" s="1769"/>
      <c r="T21" s="1770"/>
      <c r="U21" s="1770"/>
      <c r="V21" s="2412"/>
      <c r="W21" s="1602"/>
      <c r="X21" s="414"/>
      <c r="Y21" s="1608"/>
      <c r="Z21" s="1606"/>
      <c r="AA21" s="1606"/>
      <c r="AB21" s="1607"/>
      <c r="AC21" s="170"/>
      <c r="AD21" s="282"/>
      <c r="AE21" s="282"/>
      <c r="AF21" s="4984"/>
    </row>
    <row r="22" spans="1:32" ht="25.5" customHeight="1">
      <c r="A22" s="4360"/>
      <c r="B22" s="4774"/>
      <c r="C22" s="4464"/>
      <c r="D22" s="4215"/>
      <c r="E22" s="4215"/>
      <c r="F22" s="4215"/>
      <c r="G22" s="4215"/>
      <c r="H22" s="4215"/>
      <c r="I22" s="4215"/>
      <c r="J22" s="4215"/>
      <c r="K22" s="4215"/>
      <c r="L22" s="4215"/>
      <c r="M22" s="4226"/>
      <c r="N22" s="4226"/>
      <c r="O22" s="4226"/>
      <c r="P22" s="4215"/>
      <c r="Q22" s="4215"/>
      <c r="R22" s="4233"/>
      <c r="S22" s="1996"/>
      <c r="T22" s="1759"/>
      <c r="U22" s="1759"/>
      <c r="V22" s="2412"/>
      <c r="W22" s="1602"/>
      <c r="X22" s="414"/>
      <c r="Y22" s="1608"/>
      <c r="Z22" s="1606"/>
      <c r="AA22" s="1606"/>
      <c r="AB22" s="1607"/>
      <c r="AC22" s="170"/>
      <c r="AD22" s="282"/>
      <c r="AE22" s="282"/>
      <c r="AF22" s="4984"/>
    </row>
    <row r="23" spans="1:32" ht="25.5" customHeight="1">
      <c r="A23" s="4360"/>
      <c r="B23" s="4774"/>
      <c r="C23" s="4465"/>
      <c r="D23" s="4216"/>
      <c r="E23" s="4216"/>
      <c r="F23" s="4216"/>
      <c r="G23" s="4216"/>
      <c r="H23" s="4216"/>
      <c r="I23" s="4216"/>
      <c r="J23" s="4216"/>
      <c r="K23" s="4216"/>
      <c r="L23" s="4216"/>
      <c r="M23" s="4247"/>
      <c r="N23" s="4247"/>
      <c r="O23" s="4247"/>
      <c r="P23" s="4216"/>
      <c r="Q23" s="4216"/>
      <c r="R23" s="4258"/>
      <c r="S23" s="1595"/>
      <c r="T23" s="1994"/>
      <c r="U23" s="1994"/>
      <c r="V23" s="2414"/>
      <c r="W23" s="1603"/>
      <c r="X23" s="165"/>
      <c r="Y23" s="1611"/>
      <c r="Z23" s="1611"/>
      <c r="AA23" s="1611"/>
      <c r="AB23" s="1609"/>
      <c r="AC23" s="165"/>
      <c r="AD23" s="166"/>
      <c r="AE23" s="166"/>
      <c r="AF23" s="4985"/>
    </row>
    <row r="24" spans="1:32" ht="23.25" customHeight="1">
      <c r="A24" s="4360"/>
      <c r="B24" s="4774"/>
      <c r="C24" s="4463" t="s">
        <v>272</v>
      </c>
      <c r="D24" s="4328" t="s">
        <v>302</v>
      </c>
      <c r="E24" s="4328" t="s">
        <v>388</v>
      </c>
      <c r="F24" s="4328" t="s">
        <v>944</v>
      </c>
      <c r="G24" s="4329" t="s">
        <v>305</v>
      </c>
      <c r="H24" s="4328" t="s">
        <v>306</v>
      </c>
      <c r="I24" s="4328" t="s">
        <v>278</v>
      </c>
      <c r="J24" s="4339" t="s">
        <v>4964</v>
      </c>
      <c r="K24" s="4273" t="s">
        <v>986</v>
      </c>
      <c r="L24" s="4345" t="s">
        <v>4932</v>
      </c>
      <c r="M24" s="4249">
        <v>0</v>
      </c>
      <c r="N24" s="4246">
        <v>0</v>
      </c>
      <c r="O24" s="4249">
        <v>1</v>
      </c>
      <c r="P24" s="4228" t="s">
        <v>4925</v>
      </c>
      <c r="Q24" s="4345" t="s">
        <v>4889</v>
      </c>
      <c r="R24" s="4322" t="s">
        <v>4882</v>
      </c>
      <c r="S24" s="1996"/>
      <c r="T24" s="1759"/>
      <c r="U24" s="1759"/>
      <c r="V24" s="1600"/>
      <c r="W24" s="1602"/>
      <c r="X24" s="414"/>
      <c r="Y24" s="1608"/>
      <c r="Z24" s="1608"/>
      <c r="AA24" s="1608"/>
      <c r="AB24" s="1610"/>
      <c r="AC24" s="414"/>
      <c r="AD24" s="174"/>
      <c r="AE24" s="174"/>
      <c r="AF24" s="4324"/>
    </row>
    <row r="25" spans="1:32" ht="23.25" customHeight="1">
      <c r="A25" s="4360"/>
      <c r="B25" s="4774"/>
      <c r="C25" s="4464"/>
      <c r="D25" s="4215"/>
      <c r="E25" s="4215"/>
      <c r="F25" s="4215"/>
      <c r="G25" s="4215"/>
      <c r="H25" s="4215"/>
      <c r="I25" s="4215"/>
      <c r="J25" s="4340"/>
      <c r="K25" s="4215"/>
      <c r="L25" s="4215"/>
      <c r="M25" s="4226"/>
      <c r="N25" s="4226"/>
      <c r="O25" s="4226"/>
      <c r="P25" s="4215"/>
      <c r="Q25" s="4215"/>
      <c r="R25" s="4233"/>
      <c r="S25" s="1593"/>
      <c r="T25" s="1768"/>
      <c r="U25" s="1768"/>
      <c r="V25" s="1599"/>
      <c r="W25" s="1601"/>
      <c r="X25" s="170"/>
      <c r="Y25" s="1606"/>
      <c r="Z25" s="1606"/>
      <c r="AA25" s="1606"/>
      <c r="AB25" s="1607"/>
      <c r="AC25" s="170"/>
      <c r="AD25" s="282"/>
      <c r="AE25" s="282"/>
      <c r="AF25" s="4984"/>
    </row>
    <row r="26" spans="1:32" ht="23.25" customHeight="1">
      <c r="A26" s="4360"/>
      <c r="B26" s="4774"/>
      <c r="C26" s="4464"/>
      <c r="D26" s="4215"/>
      <c r="E26" s="4215"/>
      <c r="F26" s="4215"/>
      <c r="G26" s="4215"/>
      <c r="H26" s="4215"/>
      <c r="I26" s="4215"/>
      <c r="J26" s="4340"/>
      <c r="K26" s="4215"/>
      <c r="L26" s="4215"/>
      <c r="M26" s="4226"/>
      <c r="N26" s="4226"/>
      <c r="O26" s="4226"/>
      <c r="P26" s="4215"/>
      <c r="Q26" s="4215"/>
      <c r="R26" s="4233"/>
      <c r="S26" s="1769"/>
      <c r="T26" s="1770"/>
      <c r="U26" s="1770"/>
      <c r="V26" s="2412"/>
      <c r="W26" s="1602"/>
      <c r="X26" s="414"/>
      <c r="Y26" s="1608"/>
      <c r="Z26" s="1606"/>
      <c r="AA26" s="1606"/>
      <c r="AB26" s="1607"/>
      <c r="AC26" s="170"/>
      <c r="AD26" s="282"/>
      <c r="AE26" s="282"/>
      <c r="AF26" s="4984"/>
    </row>
    <row r="27" spans="1:32" ht="23.25" customHeight="1">
      <c r="A27" s="4360"/>
      <c r="B27" s="4774"/>
      <c r="C27" s="4464"/>
      <c r="D27" s="4215"/>
      <c r="E27" s="4215"/>
      <c r="F27" s="4215"/>
      <c r="G27" s="4215"/>
      <c r="H27" s="4215"/>
      <c r="I27" s="4215"/>
      <c r="J27" s="4340"/>
      <c r="K27" s="4215"/>
      <c r="L27" s="4215"/>
      <c r="M27" s="4226"/>
      <c r="N27" s="4226"/>
      <c r="O27" s="4226"/>
      <c r="P27" s="4215"/>
      <c r="Q27" s="4215"/>
      <c r="R27" s="4233"/>
      <c r="S27" s="1996"/>
      <c r="T27" s="1759"/>
      <c r="U27" s="1759"/>
      <c r="V27" s="2412"/>
      <c r="W27" s="1602"/>
      <c r="X27" s="414"/>
      <c r="Y27" s="1608"/>
      <c r="Z27" s="1606"/>
      <c r="AA27" s="1606"/>
      <c r="AB27" s="1607"/>
      <c r="AC27" s="170"/>
      <c r="AD27" s="282"/>
      <c r="AE27" s="282"/>
      <c r="AF27" s="4984"/>
    </row>
    <row r="28" spans="1:32" ht="23.25" customHeight="1">
      <c r="A28" s="4360"/>
      <c r="B28" s="4774"/>
      <c r="C28" s="4465"/>
      <c r="D28" s="4216"/>
      <c r="E28" s="4216"/>
      <c r="F28" s="4216"/>
      <c r="G28" s="4216"/>
      <c r="H28" s="4216"/>
      <c r="I28" s="4216"/>
      <c r="J28" s="4341"/>
      <c r="K28" s="4216"/>
      <c r="L28" s="4216"/>
      <c r="M28" s="4247"/>
      <c r="N28" s="4247"/>
      <c r="O28" s="4247"/>
      <c r="P28" s="4216"/>
      <c r="Q28" s="4216"/>
      <c r="R28" s="4258"/>
      <c r="S28" s="1595"/>
      <c r="T28" s="1994"/>
      <c r="U28" s="1994"/>
      <c r="V28" s="2414"/>
      <c r="W28" s="1603"/>
      <c r="X28" s="165"/>
      <c r="Y28" s="1611"/>
      <c r="Z28" s="1611"/>
      <c r="AA28" s="1611"/>
      <c r="AB28" s="1609"/>
      <c r="AC28" s="165"/>
      <c r="AD28" s="166"/>
      <c r="AE28" s="166"/>
      <c r="AF28" s="4985"/>
    </row>
    <row r="29" spans="1:32" ht="31.5" customHeight="1">
      <c r="A29" s="4360"/>
      <c r="B29" s="4774"/>
      <c r="C29" s="4463" t="s">
        <v>235</v>
      </c>
      <c r="D29" s="4328" t="s">
        <v>236</v>
      </c>
      <c r="E29" s="4328" t="s">
        <v>237</v>
      </c>
      <c r="F29" s="4328" t="s">
        <v>370</v>
      </c>
      <c r="G29" s="4329" t="s">
        <v>239</v>
      </c>
      <c r="H29" s="4328" t="s">
        <v>240</v>
      </c>
      <c r="I29" s="4328" t="s">
        <v>257</v>
      </c>
      <c r="J29" s="4483" t="s">
        <v>4965</v>
      </c>
      <c r="K29" s="4273" t="s">
        <v>987</v>
      </c>
      <c r="L29" s="4345" t="s">
        <v>4933</v>
      </c>
      <c r="M29" s="4249">
        <v>1</v>
      </c>
      <c r="N29" s="2988"/>
      <c r="O29" s="4249">
        <v>1</v>
      </c>
      <c r="P29" s="4345" t="s">
        <v>4924</v>
      </c>
      <c r="Q29" s="4345" t="s">
        <v>4890</v>
      </c>
      <c r="R29" s="4322" t="s">
        <v>4884</v>
      </c>
      <c r="S29" s="1996"/>
      <c r="T29" s="1759"/>
      <c r="U29" s="1759"/>
      <c r="V29" s="1600"/>
      <c r="W29" s="1602"/>
      <c r="X29" s="414"/>
      <c r="Y29" s="1608"/>
      <c r="Z29" s="1608"/>
      <c r="AA29" s="1608"/>
      <c r="AB29" s="1610"/>
      <c r="AC29" s="414"/>
      <c r="AD29" s="168"/>
      <c r="AE29" s="168"/>
      <c r="AF29" s="4324"/>
    </row>
    <row r="30" spans="1:32" ht="31.5" customHeight="1">
      <c r="A30" s="4360"/>
      <c r="B30" s="4774"/>
      <c r="C30" s="4464"/>
      <c r="D30" s="4215"/>
      <c r="E30" s="4215"/>
      <c r="F30" s="4215"/>
      <c r="G30" s="4215"/>
      <c r="H30" s="4215"/>
      <c r="I30" s="4215"/>
      <c r="J30" s="4340"/>
      <c r="K30" s="4215"/>
      <c r="L30" s="4215"/>
      <c r="M30" s="4226"/>
      <c r="N30" s="2988"/>
      <c r="O30" s="4226"/>
      <c r="P30" s="4215"/>
      <c r="Q30" s="4215"/>
      <c r="R30" s="4233"/>
      <c r="S30" s="1593"/>
      <c r="T30" s="1768"/>
      <c r="U30" s="1768"/>
      <c r="V30" s="1599"/>
      <c r="W30" s="1601"/>
      <c r="X30" s="170"/>
      <c r="Y30" s="1606"/>
      <c r="Z30" s="1606"/>
      <c r="AA30" s="1606"/>
      <c r="AB30" s="1607"/>
      <c r="AC30" s="170"/>
      <c r="AD30" s="170"/>
      <c r="AE30" s="171"/>
      <c r="AF30" s="4984"/>
    </row>
    <row r="31" spans="1:32" ht="31.5" customHeight="1">
      <c r="A31" s="4360"/>
      <c r="B31" s="4774"/>
      <c r="C31" s="4464"/>
      <c r="D31" s="4215"/>
      <c r="E31" s="4215"/>
      <c r="F31" s="4215"/>
      <c r="G31" s="4215"/>
      <c r="H31" s="4215"/>
      <c r="I31" s="4215"/>
      <c r="J31" s="4340"/>
      <c r="K31" s="4215"/>
      <c r="L31" s="4215"/>
      <c r="M31" s="4226"/>
      <c r="N31" s="2988">
        <v>1</v>
      </c>
      <c r="O31" s="4226"/>
      <c r="P31" s="4215"/>
      <c r="Q31" s="4215"/>
      <c r="R31" s="4233"/>
      <c r="S31" s="1593"/>
      <c r="T31" s="1768"/>
      <c r="U31" s="1768"/>
      <c r="V31" s="1599"/>
      <c r="W31" s="1601"/>
      <c r="X31" s="170"/>
      <c r="Y31" s="1606"/>
      <c r="Z31" s="1606"/>
      <c r="AA31" s="1606"/>
      <c r="AB31" s="1607"/>
      <c r="AC31" s="170"/>
      <c r="AD31" s="170"/>
      <c r="AE31" s="282"/>
      <c r="AF31" s="4984"/>
    </row>
    <row r="32" spans="1:32" ht="31.5" customHeight="1">
      <c r="A32" s="4360"/>
      <c r="B32" s="4774"/>
      <c r="C32" s="4464"/>
      <c r="D32" s="4215"/>
      <c r="E32" s="4215"/>
      <c r="F32" s="4215"/>
      <c r="G32" s="4215"/>
      <c r="H32" s="4215"/>
      <c r="I32" s="4215"/>
      <c r="J32" s="4340"/>
      <c r="K32" s="4215"/>
      <c r="L32" s="4215"/>
      <c r="M32" s="4226"/>
      <c r="N32" s="2988"/>
      <c r="O32" s="4226"/>
      <c r="P32" s="4215"/>
      <c r="Q32" s="4215"/>
      <c r="R32" s="4233"/>
      <c r="S32" s="1593"/>
      <c r="T32" s="1768"/>
      <c r="U32" s="1768"/>
      <c r="V32" s="1599"/>
      <c r="W32" s="1601"/>
      <c r="X32" s="170"/>
      <c r="Y32" s="1606"/>
      <c r="Z32" s="1606"/>
      <c r="AA32" s="1606"/>
      <c r="AB32" s="1607"/>
      <c r="AC32" s="170"/>
      <c r="AD32" s="170"/>
      <c r="AE32" s="282"/>
      <c r="AF32" s="4984"/>
    </row>
    <row r="33" spans="1:32" ht="31.5" customHeight="1">
      <c r="A33" s="4360"/>
      <c r="B33" s="4774"/>
      <c r="C33" s="4465"/>
      <c r="D33" s="4216"/>
      <c r="E33" s="4216"/>
      <c r="F33" s="4216"/>
      <c r="G33" s="4216"/>
      <c r="H33" s="4216"/>
      <c r="I33" s="4216"/>
      <c r="J33" s="4341"/>
      <c r="K33" s="4216"/>
      <c r="L33" s="4216"/>
      <c r="M33" s="4247"/>
      <c r="N33" s="2989"/>
      <c r="O33" s="4247"/>
      <c r="P33" s="4216"/>
      <c r="Q33" s="4216"/>
      <c r="R33" s="4258"/>
      <c r="S33" s="1595"/>
      <c r="T33" s="1994"/>
      <c r="U33" s="1994"/>
      <c r="V33" s="2414"/>
      <c r="W33" s="1603"/>
      <c r="X33" s="165"/>
      <c r="Y33" s="1611"/>
      <c r="Z33" s="1611"/>
      <c r="AA33" s="1611"/>
      <c r="AB33" s="1609"/>
      <c r="AC33" s="165"/>
      <c r="AD33" s="165"/>
      <c r="AE33" s="166"/>
      <c r="AF33" s="4985"/>
    </row>
    <row r="34" spans="1:32" ht="23.25" customHeight="1">
      <c r="A34" s="4360"/>
      <c r="B34" s="4774"/>
      <c r="C34" s="4467" t="s">
        <v>272</v>
      </c>
      <c r="D34" s="4273" t="s">
        <v>302</v>
      </c>
      <c r="E34" s="4273" t="s">
        <v>303</v>
      </c>
      <c r="F34" s="4273" t="s">
        <v>955</v>
      </c>
      <c r="G34" s="4338" t="s">
        <v>305</v>
      </c>
      <c r="H34" s="4273" t="s">
        <v>256</v>
      </c>
      <c r="I34" s="4273" t="s">
        <v>241</v>
      </c>
      <c r="J34" s="4483" t="s">
        <v>4966</v>
      </c>
      <c r="K34" s="4273" t="s">
        <v>988</v>
      </c>
      <c r="L34" s="4228" t="s">
        <v>4934</v>
      </c>
      <c r="M34" s="4246">
        <v>4</v>
      </c>
      <c r="N34" s="4246">
        <v>0</v>
      </c>
      <c r="O34" s="4246">
        <v>4</v>
      </c>
      <c r="P34" s="4228" t="s">
        <v>4923</v>
      </c>
      <c r="Q34" s="4228" t="s">
        <v>4891</v>
      </c>
      <c r="R34" s="4322" t="s">
        <v>4883</v>
      </c>
      <c r="S34" s="1596"/>
      <c r="T34" s="1759"/>
      <c r="U34" s="1759"/>
      <c r="V34" s="2418"/>
      <c r="W34" s="1602"/>
      <c r="X34" s="414"/>
      <c r="Y34" s="1608"/>
      <c r="Z34" s="1608"/>
      <c r="AA34" s="1608"/>
      <c r="AB34" s="1610"/>
      <c r="AC34" s="414"/>
      <c r="AD34" s="174"/>
      <c r="AE34" s="174"/>
      <c r="AF34" s="4486"/>
    </row>
    <row r="35" spans="1:32" ht="23.25" customHeight="1">
      <c r="A35" s="4360"/>
      <c r="B35" s="4774"/>
      <c r="C35" s="4464"/>
      <c r="D35" s="4215"/>
      <c r="E35" s="4215"/>
      <c r="F35" s="4215"/>
      <c r="G35" s="4215"/>
      <c r="H35" s="4215"/>
      <c r="I35" s="4215"/>
      <c r="J35" s="4340"/>
      <c r="K35" s="4215"/>
      <c r="L35" s="4215"/>
      <c r="M35" s="4226"/>
      <c r="N35" s="4226"/>
      <c r="O35" s="4226"/>
      <c r="P35" s="4215"/>
      <c r="Q35" s="4215"/>
      <c r="R35" s="4233"/>
      <c r="S35" s="1769"/>
      <c r="T35" s="1770"/>
      <c r="U35" s="1770"/>
      <c r="V35" s="1599"/>
      <c r="W35" s="1601"/>
      <c r="X35" s="170"/>
      <c r="Y35" s="1606"/>
      <c r="Z35" s="1606"/>
      <c r="AA35" s="1606"/>
      <c r="AB35" s="1607"/>
      <c r="AC35" s="170"/>
      <c r="AD35" s="282"/>
      <c r="AE35" s="282"/>
      <c r="AF35" s="4984"/>
    </row>
    <row r="36" spans="1:32" ht="23.25" customHeight="1">
      <c r="A36" s="4360"/>
      <c r="B36" s="4774"/>
      <c r="C36" s="4464"/>
      <c r="D36" s="4215"/>
      <c r="E36" s="4215"/>
      <c r="F36" s="4215"/>
      <c r="G36" s="4215"/>
      <c r="H36" s="4215"/>
      <c r="I36" s="4215"/>
      <c r="J36" s="4340"/>
      <c r="K36" s="4215"/>
      <c r="L36" s="4215"/>
      <c r="M36" s="4226"/>
      <c r="N36" s="4226"/>
      <c r="O36" s="4226"/>
      <c r="P36" s="4215"/>
      <c r="Q36" s="4215"/>
      <c r="R36" s="4233"/>
      <c r="S36" s="1593"/>
      <c r="T36" s="1768"/>
      <c r="U36" s="1768"/>
      <c r="V36" s="1599"/>
      <c r="W36" s="1601"/>
      <c r="X36" s="170"/>
      <c r="Y36" s="1606"/>
      <c r="Z36" s="1606"/>
      <c r="AA36" s="1606"/>
      <c r="AB36" s="1607"/>
      <c r="AC36" s="170"/>
      <c r="AD36" s="282"/>
      <c r="AE36" s="282"/>
      <c r="AF36" s="4984"/>
    </row>
    <row r="37" spans="1:32" ht="23.25" customHeight="1">
      <c r="A37" s="4360"/>
      <c r="B37" s="4774"/>
      <c r="C37" s="4464"/>
      <c r="D37" s="4215"/>
      <c r="E37" s="4215"/>
      <c r="F37" s="4215"/>
      <c r="G37" s="4215"/>
      <c r="H37" s="4215"/>
      <c r="I37" s="4215"/>
      <c r="J37" s="4340"/>
      <c r="K37" s="4215"/>
      <c r="L37" s="4215"/>
      <c r="M37" s="4226"/>
      <c r="N37" s="4226"/>
      <c r="O37" s="4226"/>
      <c r="P37" s="4215"/>
      <c r="Q37" s="4215"/>
      <c r="R37" s="4233"/>
      <c r="S37" s="1593"/>
      <c r="T37" s="1768"/>
      <c r="U37" s="1768"/>
      <c r="V37" s="1599"/>
      <c r="W37" s="1601"/>
      <c r="X37" s="170"/>
      <c r="Y37" s="1606"/>
      <c r="Z37" s="1606"/>
      <c r="AA37" s="1606"/>
      <c r="AB37" s="1607"/>
      <c r="AC37" s="170"/>
      <c r="AD37" s="282"/>
      <c r="AE37" s="282"/>
      <c r="AF37" s="4984"/>
    </row>
    <row r="38" spans="1:32" ht="23.25" customHeight="1">
      <c r="A38" s="4360"/>
      <c r="B38" s="4774"/>
      <c r="C38" s="4465"/>
      <c r="D38" s="4216"/>
      <c r="E38" s="4216"/>
      <c r="F38" s="4216"/>
      <c r="G38" s="4216"/>
      <c r="H38" s="4216"/>
      <c r="I38" s="4216"/>
      <c r="J38" s="4341"/>
      <c r="K38" s="4216"/>
      <c r="L38" s="4216"/>
      <c r="M38" s="4247"/>
      <c r="N38" s="4247"/>
      <c r="O38" s="4247"/>
      <c r="P38" s="4216"/>
      <c r="Q38" s="4216"/>
      <c r="R38" s="4258"/>
      <c r="S38" s="1595"/>
      <c r="T38" s="1994"/>
      <c r="U38" s="1598"/>
      <c r="V38" s="2416"/>
      <c r="W38" s="1992"/>
      <c r="X38" s="1775"/>
      <c r="Y38" s="1777"/>
      <c r="Z38" s="1611"/>
      <c r="AA38" s="1611"/>
      <c r="AB38" s="1993"/>
      <c r="AC38" s="1775"/>
      <c r="AD38" s="1946"/>
      <c r="AE38" s="1946"/>
      <c r="AF38" s="4985"/>
    </row>
    <row r="39" spans="1:32" ht="30.75" customHeight="1">
      <c r="A39" s="4360"/>
      <c r="B39" s="4774"/>
      <c r="C39" s="4467" t="s">
        <v>235</v>
      </c>
      <c r="D39" s="4273" t="s">
        <v>236</v>
      </c>
      <c r="E39" s="4273" t="s">
        <v>237</v>
      </c>
      <c r="F39" s="4273" t="s">
        <v>355</v>
      </c>
      <c r="G39" s="4338" t="s">
        <v>239</v>
      </c>
      <c r="H39" s="4273" t="s">
        <v>240</v>
      </c>
      <c r="I39" s="4273" t="s">
        <v>257</v>
      </c>
      <c r="J39" s="4483" t="s">
        <v>4967</v>
      </c>
      <c r="K39" s="4273" t="s">
        <v>989</v>
      </c>
      <c r="L39" s="4228" t="s">
        <v>4935</v>
      </c>
      <c r="M39" s="4246">
        <v>0</v>
      </c>
      <c r="N39" s="2987"/>
      <c r="O39" s="4246">
        <v>1</v>
      </c>
      <c r="P39" s="4228" t="s">
        <v>4922</v>
      </c>
      <c r="Q39" s="4228" t="s">
        <v>4892</v>
      </c>
      <c r="R39" s="4322" t="s">
        <v>4882</v>
      </c>
      <c r="S39" s="1996"/>
      <c r="T39" s="1759"/>
      <c r="U39" s="1759"/>
      <c r="V39" s="2417"/>
      <c r="W39" s="1604"/>
      <c r="X39" s="178"/>
      <c r="Y39" s="1612"/>
      <c r="Z39" s="1608"/>
      <c r="AA39" s="1608"/>
      <c r="AB39" s="1613"/>
      <c r="AC39" s="178"/>
      <c r="AD39" s="181"/>
      <c r="AE39" s="181"/>
      <c r="AF39" s="4486"/>
    </row>
    <row r="40" spans="1:32" ht="30.75" customHeight="1">
      <c r="A40" s="4360"/>
      <c r="B40" s="4774"/>
      <c r="C40" s="4464"/>
      <c r="D40" s="4215"/>
      <c r="E40" s="4215"/>
      <c r="F40" s="4215"/>
      <c r="G40" s="4215"/>
      <c r="H40" s="4215"/>
      <c r="I40" s="4215"/>
      <c r="J40" s="4340"/>
      <c r="K40" s="4215"/>
      <c r="L40" s="4215"/>
      <c r="M40" s="4226"/>
      <c r="N40" s="2988"/>
      <c r="O40" s="4226"/>
      <c r="P40" s="4215"/>
      <c r="Q40" s="4215"/>
      <c r="R40" s="4233"/>
      <c r="S40" s="1593"/>
      <c r="T40" s="1768"/>
      <c r="U40" s="1768"/>
      <c r="V40" s="1599"/>
      <c r="W40" s="1601"/>
      <c r="X40" s="170"/>
      <c r="Y40" s="1606"/>
      <c r="Z40" s="1606"/>
      <c r="AA40" s="1606"/>
      <c r="AB40" s="1607"/>
      <c r="AC40" s="170"/>
      <c r="AD40" s="282"/>
      <c r="AE40" s="282"/>
      <c r="AF40" s="4984"/>
    </row>
    <row r="41" spans="1:32" ht="30.75" customHeight="1">
      <c r="A41" s="4360"/>
      <c r="B41" s="4774"/>
      <c r="C41" s="4464"/>
      <c r="D41" s="4215"/>
      <c r="E41" s="4215"/>
      <c r="F41" s="4215"/>
      <c r="G41" s="4215"/>
      <c r="H41" s="4215"/>
      <c r="I41" s="4215"/>
      <c r="J41" s="4340"/>
      <c r="K41" s="4215"/>
      <c r="L41" s="4215"/>
      <c r="M41" s="4226"/>
      <c r="N41" s="2988">
        <v>0</v>
      </c>
      <c r="O41" s="4226"/>
      <c r="P41" s="4215"/>
      <c r="Q41" s="4215"/>
      <c r="R41" s="4233"/>
      <c r="S41" s="1593"/>
      <c r="T41" s="1768"/>
      <c r="U41" s="1768"/>
      <c r="V41" s="1599"/>
      <c r="W41" s="1601"/>
      <c r="X41" s="170"/>
      <c r="Y41" s="1606"/>
      <c r="Z41" s="1606"/>
      <c r="AA41" s="1606"/>
      <c r="AB41" s="1607"/>
      <c r="AC41" s="170"/>
      <c r="AD41" s="282"/>
      <c r="AE41" s="282"/>
      <c r="AF41" s="4984"/>
    </row>
    <row r="42" spans="1:32" ht="30.75" customHeight="1">
      <c r="A42" s="4360"/>
      <c r="B42" s="4774"/>
      <c r="C42" s="4464"/>
      <c r="D42" s="4215"/>
      <c r="E42" s="4215"/>
      <c r="F42" s="4215"/>
      <c r="G42" s="4215"/>
      <c r="H42" s="4215"/>
      <c r="I42" s="4215"/>
      <c r="J42" s="4340"/>
      <c r="K42" s="4215"/>
      <c r="L42" s="4215"/>
      <c r="M42" s="4226"/>
      <c r="N42" s="2988"/>
      <c r="O42" s="4226"/>
      <c r="P42" s="4215"/>
      <c r="Q42" s="4215"/>
      <c r="R42" s="4233"/>
      <c r="S42" s="1593"/>
      <c r="T42" s="1768"/>
      <c r="U42" s="1768"/>
      <c r="V42" s="1599"/>
      <c r="W42" s="1601"/>
      <c r="X42" s="170"/>
      <c r="Y42" s="1606"/>
      <c r="Z42" s="1606"/>
      <c r="AA42" s="1606"/>
      <c r="AB42" s="1607"/>
      <c r="AC42" s="170"/>
      <c r="AD42" s="282"/>
      <c r="AE42" s="282"/>
      <c r="AF42" s="4984"/>
    </row>
    <row r="43" spans="1:32" ht="30.75" customHeight="1">
      <c r="A43" s="4360"/>
      <c r="B43" s="4774"/>
      <c r="C43" s="4464"/>
      <c r="D43" s="4215"/>
      <c r="E43" s="4215"/>
      <c r="F43" s="4215"/>
      <c r="G43" s="4215"/>
      <c r="H43" s="4215"/>
      <c r="I43" s="4215"/>
      <c r="J43" s="4340"/>
      <c r="K43" s="4215"/>
      <c r="L43" s="4215"/>
      <c r="M43" s="4226"/>
      <c r="N43" s="2988"/>
      <c r="O43" s="4226"/>
      <c r="P43" s="4215"/>
      <c r="Q43" s="4215"/>
      <c r="R43" s="4258"/>
      <c r="S43" s="1595"/>
      <c r="T43" s="1994"/>
      <c r="U43" s="1994"/>
      <c r="V43" s="2416"/>
      <c r="W43" s="1992"/>
      <c r="X43" s="1775"/>
      <c r="Y43" s="1777"/>
      <c r="Z43" s="1611"/>
      <c r="AA43" s="1611"/>
      <c r="AB43" s="1993"/>
      <c r="AC43" s="1775"/>
      <c r="AD43" s="1946"/>
      <c r="AE43" s="1946"/>
      <c r="AF43" s="4984"/>
    </row>
    <row r="44" spans="1:32" ht="21.75" customHeight="1">
      <c r="A44" s="4360"/>
      <c r="B44" s="4774"/>
      <c r="C44" s="4467" t="s">
        <v>272</v>
      </c>
      <c r="D44" s="4273" t="s">
        <v>302</v>
      </c>
      <c r="E44" s="4273" t="s">
        <v>388</v>
      </c>
      <c r="F44" s="4273" t="s">
        <v>847</v>
      </c>
      <c r="G44" s="4338" t="s">
        <v>305</v>
      </c>
      <c r="H44" s="4273" t="s">
        <v>306</v>
      </c>
      <c r="I44" s="4273" t="s">
        <v>257</v>
      </c>
      <c r="J44" s="4483" t="s">
        <v>4968</v>
      </c>
      <c r="K44" s="4273" t="s">
        <v>990</v>
      </c>
      <c r="L44" s="4228" t="s">
        <v>4936</v>
      </c>
      <c r="M44" s="4246">
        <v>0</v>
      </c>
      <c r="N44" s="2987"/>
      <c r="O44" s="4246">
        <v>3</v>
      </c>
      <c r="P44" s="4228" t="s">
        <v>4921</v>
      </c>
      <c r="Q44" s="4228" t="s">
        <v>4893</v>
      </c>
      <c r="R44" s="4322" t="s">
        <v>4883</v>
      </c>
      <c r="S44" s="1996"/>
      <c r="T44" s="1759"/>
      <c r="U44" s="1759"/>
      <c r="V44" s="2417"/>
      <c r="W44" s="1604"/>
      <c r="X44" s="178"/>
      <c r="Y44" s="1612"/>
      <c r="Z44" s="1608"/>
      <c r="AA44" s="1608"/>
      <c r="AB44" s="1613"/>
      <c r="AC44" s="178"/>
      <c r="AD44" s="181"/>
      <c r="AE44" s="181"/>
      <c r="AF44" s="4486"/>
    </row>
    <row r="45" spans="1:32" ht="21.75" customHeight="1">
      <c r="A45" s="4360"/>
      <c r="B45" s="4774"/>
      <c r="C45" s="4464"/>
      <c r="D45" s="4215"/>
      <c r="E45" s="4215"/>
      <c r="F45" s="4215"/>
      <c r="G45" s="4215"/>
      <c r="H45" s="4215"/>
      <c r="I45" s="4215"/>
      <c r="J45" s="4446"/>
      <c r="K45" s="4215"/>
      <c r="L45" s="4215"/>
      <c r="M45" s="4226"/>
      <c r="N45" s="2988"/>
      <c r="O45" s="4226"/>
      <c r="P45" s="4215"/>
      <c r="Q45" s="4215"/>
      <c r="R45" s="4233"/>
      <c r="S45" s="1593"/>
      <c r="T45" s="1768"/>
      <c r="U45" s="1768"/>
      <c r="V45" s="1599"/>
      <c r="W45" s="1601"/>
      <c r="X45" s="170"/>
      <c r="Y45" s="1606"/>
      <c r="Z45" s="1606"/>
      <c r="AA45" s="1606"/>
      <c r="AB45" s="1607"/>
      <c r="AC45" s="170"/>
      <c r="AD45" s="282"/>
      <c r="AE45" s="282"/>
      <c r="AF45" s="4984"/>
    </row>
    <row r="46" spans="1:32" ht="21.75" customHeight="1">
      <c r="A46" s="4360"/>
      <c r="B46" s="4774"/>
      <c r="C46" s="4464"/>
      <c r="D46" s="4215"/>
      <c r="E46" s="4215"/>
      <c r="F46" s="4215"/>
      <c r="G46" s="4215"/>
      <c r="H46" s="4215"/>
      <c r="I46" s="4215"/>
      <c r="J46" s="4446"/>
      <c r="K46" s="4215"/>
      <c r="L46" s="4215"/>
      <c r="M46" s="4226"/>
      <c r="N46" s="2988">
        <v>3</v>
      </c>
      <c r="O46" s="4226"/>
      <c r="P46" s="4215"/>
      <c r="Q46" s="4215"/>
      <c r="R46" s="4233"/>
      <c r="S46" s="1593"/>
      <c r="T46" s="1768"/>
      <c r="U46" s="1768"/>
      <c r="V46" s="1599"/>
      <c r="W46" s="1601"/>
      <c r="X46" s="170"/>
      <c r="Y46" s="1606"/>
      <c r="Z46" s="1606"/>
      <c r="AA46" s="1606"/>
      <c r="AB46" s="1607"/>
      <c r="AC46" s="170"/>
      <c r="AD46" s="282"/>
      <c r="AE46" s="282"/>
      <c r="AF46" s="4984"/>
    </row>
    <row r="47" spans="1:32" ht="21.75" customHeight="1">
      <c r="A47" s="4360"/>
      <c r="B47" s="4774"/>
      <c r="C47" s="4464"/>
      <c r="D47" s="4215"/>
      <c r="E47" s="4215"/>
      <c r="F47" s="4215"/>
      <c r="G47" s="4215"/>
      <c r="H47" s="4215"/>
      <c r="I47" s="4215"/>
      <c r="J47" s="4446"/>
      <c r="K47" s="4215"/>
      <c r="L47" s="4215"/>
      <c r="M47" s="4226"/>
      <c r="N47" s="2988"/>
      <c r="O47" s="4226"/>
      <c r="P47" s="4215"/>
      <c r="Q47" s="4215"/>
      <c r="R47" s="4233"/>
      <c r="S47" s="1593"/>
      <c r="T47" s="1768"/>
      <c r="U47" s="1768"/>
      <c r="V47" s="1599"/>
      <c r="W47" s="1601"/>
      <c r="X47" s="170"/>
      <c r="Y47" s="1606"/>
      <c r="Z47" s="1606"/>
      <c r="AA47" s="1606"/>
      <c r="AB47" s="1607"/>
      <c r="AC47" s="170"/>
      <c r="AD47" s="282"/>
      <c r="AE47" s="282"/>
      <c r="AF47" s="4984"/>
    </row>
    <row r="48" spans="1:32" ht="21.75" customHeight="1">
      <c r="A48" s="4360"/>
      <c r="B48" s="4774"/>
      <c r="C48" s="4464"/>
      <c r="D48" s="4215"/>
      <c r="E48" s="4215"/>
      <c r="F48" s="4215"/>
      <c r="G48" s="4215"/>
      <c r="H48" s="4215"/>
      <c r="I48" s="4215"/>
      <c r="J48" s="4446"/>
      <c r="K48" s="4215"/>
      <c r="L48" s="4215"/>
      <c r="M48" s="4226"/>
      <c r="N48" s="2988"/>
      <c r="O48" s="4226"/>
      <c r="P48" s="4215"/>
      <c r="Q48" s="4215"/>
      <c r="R48" s="4258"/>
      <c r="S48" s="1595"/>
      <c r="T48" s="1994"/>
      <c r="U48" s="1994"/>
      <c r="V48" s="2416"/>
      <c r="W48" s="1992"/>
      <c r="X48" s="1775"/>
      <c r="Y48" s="1777"/>
      <c r="Z48" s="1611"/>
      <c r="AA48" s="1611"/>
      <c r="AB48" s="1993"/>
      <c r="AC48" s="1775"/>
      <c r="AD48" s="1946"/>
      <c r="AE48" s="1946"/>
      <c r="AF48" s="4984"/>
    </row>
    <row r="49" spans="1:32" ht="22.5" customHeight="1">
      <c r="A49" s="4360"/>
      <c r="B49" s="4774"/>
      <c r="C49" s="4467" t="s">
        <v>272</v>
      </c>
      <c r="D49" s="4273" t="s">
        <v>302</v>
      </c>
      <c r="E49" s="4273" t="s">
        <v>388</v>
      </c>
      <c r="F49" s="4273" t="s">
        <v>944</v>
      </c>
      <c r="G49" s="4338" t="s">
        <v>305</v>
      </c>
      <c r="H49" s="4273" t="s">
        <v>306</v>
      </c>
      <c r="I49" s="4273" t="s">
        <v>257</v>
      </c>
      <c r="J49" s="4483" t="s">
        <v>4969</v>
      </c>
      <c r="K49" s="4228" t="s">
        <v>4941</v>
      </c>
      <c r="L49" s="4228" t="s">
        <v>4937</v>
      </c>
      <c r="M49" s="4246">
        <v>0</v>
      </c>
      <c r="N49" s="4246">
        <v>0</v>
      </c>
      <c r="O49" s="4246">
        <v>2</v>
      </c>
      <c r="P49" s="4228" t="s">
        <v>4920</v>
      </c>
      <c r="Q49" s="4228" t="s">
        <v>4894</v>
      </c>
      <c r="R49" s="4322" t="s">
        <v>4883</v>
      </c>
      <c r="S49" s="1996"/>
      <c r="T49" s="1759"/>
      <c r="U49" s="1759"/>
      <c r="V49" s="2417"/>
      <c r="W49" s="1604"/>
      <c r="X49" s="178"/>
      <c r="Y49" s="1612"/>
      <c r="Z49" s="1608"/>
      <c r="AA49" s="1608"/>
      <c r="AB49" s="1613"/>
      <c r="AC49" s="178"/>
      <c r="AD49" s="181"/>
      <c r="AE49" s="181"/>
      <c r="AF49" s="4486"/>
    </row>
    <row r="50" spans="1:32" ht="22.5" customHeight="1">
      <c r="A50" s="4360"/>
      <c r="B50" s="4774"/>
      <c r="C50" s="4464"/>
      <c r="D50" s="4215"/>
      <c r="E50" s="4215"/>
      <c r="F50" s="4215"/>
      <c r="G50" s="4215"/>
      <c r="H50" s="4215"/>
      <c r="I50" s="4215"/>
      <c r="J50" s="4446"/>
      <c r="K50" s="4215"/>
      <c r="L50" s="4215"/>
      <c r="M50" s="4226"/>
      <c r="N50" s="4226"/>
      <c r="O50" s="4226"/>
      <c r="P50" s="4215"/>
      <c r="Q50" s="4215"/>
      <c r="R50" s="4233"/>
      <c r="S50" s="1593"/>
      <c r="T50" s="1768"/>
      <c r="U50" s="1768"/>
      <c r="V50" s="1599"/>
      <c r="W50" s="1601"/>
      <c r="X50" s="170"/>
      <c r="Y50" s="1606"/>
      <c r="Z50" s="1606"/>
      <c r="AA50" s="1606"/>
      <c r="AB50" s="1607"/>
      <c r="AC50" s="170"/>
      <c r="AD50" s="282"/>
      <c r="AE50" s="282"/>
      <c r="AF50" s="4984"/>
    </row>
    <row r="51" spans="1:32" ht="22.5" customHeight="1">
      <c r="A51" s="4360"/>
      <c r="B51" s="4774"/>
      <c r="C51" s="4464"/>
      <c r="D51" s="4215"/>
      <c r="E51" s="4215"/>
      <c r="F51" s="4215"/>
      <c r="G51" s="4215"/>
      <c r="H51" s="4215"/>
      <c r="I51" s="4215"/>
      <c r="J51" s="4446"/>
      <c r="K51" s="4215"/>
      <c r="L51" s="4215"/>
      <c r="M51" s="4226"/>
      <c r="N51" s="4226"/>
      <c r="O51" s="4226"/>
      <c r="P51" s="4215"/>
      <c r="Q51" s="4215"/>
      <c r="R51" s="4233"/>
      <c r="S51" s="1593"/>
      <c r="T51" s="1768"/>
      <c r="U51" s="1768"/>
      <c r="V51" s="1599"/>
      <c r="W51" s="1601"/>
      <c r="X51" s="170"/>
      <c r="Y51" s="1606"/>
      <c r="Z51" s="1606"/>
      <c r="AA51" s="1606"/>
      <c r="AB51" s="1607"/>
      <c r="AC51" s="170"/>
      <c r="AD51" s="282"/>
      <c r="AE51" s="282"/>
      <c r="AF51" s="4984"/>
    </row>
    <row r="52" spans="1:32" ht="22.5" customHeight="1">
      <c r="A52" s="4360"/>
      <c r="B52" s="4774"/>
      <c r="C52" s="4464"/>
      <c r="D52" s="4215"/>
      <c r="E52" s="4215"/>
      <c r="F52" s="4215"/>
      <c r="G52" s="4215"/>
      <c r="H52" s="4215"/>
      <c r="I52" s="4215"/>
      <c r="J52" s="4446"/>
      <c r="K52" s="4215"/>
      <c r="L52" s="4215"/>
      <c r="M52" s="4226"/>
      <c r="N52" s="4226"/>
      <c r="O52" s="4226"/>
      <c r="P52" s="4215"/>
      <c r="Q52" s="4215"/>
      <c r="R52" s="4233"/>
      <c r="S52" s="1593"/>
      <c r="T52" s="1768"/>
      <c r="U52" s="1768"/>
      <c r="V52" s="1599"/>
      <c r="W52" s="1601"/>
      <c r="X52" s="170"/>
      <c r="Y52" s="1606"/>
      <c r="Z52" s="1606"/>
      <c r="AA52" s="1606"/>
      <c r="AB52" s="1607"/>
      <c r="AC52" s="170"/>
      <c r="AD52" s="282"/>
      <c r="AE52" s="282"/>
      <c r="AF52" s="4984"/>
    </row>
    <row r="53" spans="1:32" ht="22.5" customHeight="1">
      <c r="A53" s="4360"/>
      <c r="B53" s="4774"/>
      <c r="C53" s="4464"/>
      <c r="D53" s="4215"/>
      <c r="E53" s="4215"/>
      <c r="F53" s="4215"/>
      <c r="G53" s="4215"/>
      <c r="H53" s="4215"/>
      <c r="I53" s="4215"/>
      <c r="J53" s="4446"/>
      <c r="K53" s="4215"/>
      <c r="L53" s="4215"/>
      <c r="M53" s="4226"/>
      <c r="N53" s="4247"/>
      <c r="O53" s="4226"/>
      <c r="P53" s="4215"/>
      <c r="Q53" s="4215"/>
      <c r="R53" s="4258"/>
      <c r="S53" s="1990"/>
      <c r="T53" s="1991"/>
      <c r="U53" s="1991"/>
      <c r="V53" s="2416"/>
      <c r="W53" s="1992"/>
      <c r="X53" s="1775"/>
      <c r="Y53" s="1777"/>
      <c r="Z53" s="1777"/>
      <c r="AA53" s="1777"/>
      <c r="AB53" s="1993"/>
      <c r="AC53" s="1775"/>
      <c r="AD53" s="1946"/>
      <c r="AE53" s="1946"/>
      <c r="AF53" s="4984"/>
    </row>
    <row r="54" spans="1:32" ht="22.5" customHeight="1">
      <c r="A54" s="4360"/>
      <c r="B54" s="4774"/>
      <c r="C54" s="4467" t="s">
        <v>272</v>
      </c>
      <c r="D54" s="4273" t="s">
        <v>302</v>
      </c>
      <c r="E54" s="4273" t="s">
        <v>388</v>
      </c>
      <c r="F54" s="4273" t="s">
        <v>944</v>
      </c>
      <c r="G54" s="4338" t="s">
        <v>305</v>
      </c>
      <c r="H54" s="4273" t="s">
        <v>293</v>
      </c>
      <c r="I54" s="4273" t="s">
        <v>278</v>
      </c>
      <c r="J54" s="4483" t="s">
        <v>4970</v>
      </c>
      <c r="K54" s="4273" t="s">
        <v>991</v>
      </c>
      <c r="L54" s="4228" t="s">
        <v>4938</v>
      </c>
      <c r="M54" s="4246">
        <v>0</v>
      </c>
      <c r="N54" s="4246">
        <v>0</v>
      </c>
      <c r="O54" s="4246">
        <v>4</v>
      </c>
      <c r="P54" s="4228" t="s">
        <v>4919</v>
      </c>
      <c r="Q54" s="4228" t="s">
        <v>4895</v>
      </c>
      <c r="R54" s="4322" t="s">
        <v>4883</v>
      </c>
      <c r="S54" s="1596"/>
      <c r="T54" s="1997"/>
      <c r="U54" s="1997"/>
      <c r="V54" s="2417"/>
      <c r="W54" s="1604"/>
      <c r="X54" s="178"/>
      <c r="Y54" s="1612"/>
      <c r="Z54" s="1612"/>
      <c r="AA54" s="1612"/>
      <c r="AB54" s="1613"/>
      <c r="AC54" s="178"/>
      <c r="AD54" s="181"/>
      <c r="AE54" s="181"/>
      <c r="AF54" s="4486"/>
    </row>
    <row r="55" spans="1:32" ht="22.5" customHeight="1">
      <c r="A55" s="4360"/>
      <c r="B55" s="4774"/>
      <c r="C55" s="4464"/>
      <c r="D55" s="4215"/>
      <c r="E55" s="4215"/>
      <c r="F55" s="4215"/>
      <c r="G55" s="4215"/>
      <c r="H55" s="4215"/>
      <c r="I55" s="4215"/>
      <c r="J55" s="4446"/>
      <c r="K55" s="4215"/>
      <c r="L55" s="4215"/>
      <c r="M55" s="4226"/>
      <c r="N55" s="4226"/>
      <c r="O55" s="4226"/>
      <c r="P55" s="4215"/>
      <c r="Q55" s="4215"/>
      <c r="R55" s="4233"/>
      <c r="S55" s="1593"/>
      <c r="T55" s="1768"/>
      <c r="U55" s="1768"/>
      <c r="V55" s="1599"/>
      <c r="W55" s="1601"/>
      <c r="X55" s="170"/>
      <c r="Y55" s="1606"/>
      <c r="Z55" s="1606"/>
      <c r="AA55" s="1606"/>
      <c r="AB55" s="1607"/>
      <c r="AC55" s="170"/>
      <c r="AD55" s="282"/>
      <c r="AE55" s="282"/>
      <c r="AF55" s="4984"/>
    </row>
    <row r="56" spans="1:32" ht="22.5" customHeight="1">
      <c r="A56" s="4360"/>
      <c r="B56" s="4774"/>
      <c r="C56" s="4464"/>
      <c r="D56" s="4215"/>
      <c r="E56" s="4215"/>
      <c r="F56" s="4215"/>
      <c r="G56" s="4215"/>
      <c r="H56" s="4215"/>
      <c r="I56" s="4215"/>
      <c r="J56" s="4446"/>
      <c r="K56" s="4215"/>
      <c r="L56" s="4215"/>
      <c r="M56" s="4226"/>
      <c r="N56" s="4226"/>
      <c r="O56" s="4226"/>
      <c r="P56" s="4215"/>
      <c r="Q56" s="4215"/>
      <c r="R56" s="4233"/>
      <c r="S56" s="1593"/>
      <c r="T56" s="1768"/>
      <c r="U56" s="1768"/>
      <c r="V56" s="1599"/>
      <c r="W56" s="1601"/>
      <c r="X56" s="170"/>
      <c r="Y56" s="1606"/>
      <c r="Z56" s="1606"/>
      <c r="AA56" s="1606"/>
      <c r="AB56" s="1607"/>
      <c r="AC56" s="170"/>
      <c r="AD56" s="282"/>
      <c r="AE56" s="282"/>
      <c r="AF56" s="4984"/>
    </row>
    <row r="57" spans="1:32" ht="22.5" customHeight="1">
      <c r="A57" s="4360"/>
      <c r="B57" s="4774"/>
      <c r="C57" s="4464"/>
      <c r="D57" s="4215"/>
      <c r="E57" s="4215"/>
      <c r="F57" s="4215"/>
      <c r="G57" s="4215"/>
      <c r="H57" s="4215"/>
      <c r="I57" s="4215"/>
      <c r="J57" s="4446"/>
      <c r="K57" s="4215"/>
      <c r="L57" s="4215"/>
      <c r="M57" s="4226"/>
      <c r="N57" s="4226"/>
      <c r="O57" s="4226"/>
      <c r="P57" s="4215"/>
      <c r="Q57" s="4215"/>
      <c r="R57" s="4233"/>
      <c r="S57" s="1593"/>
      <c r="T57" s="1768"/>
      <c r="U57" s="1768"/>
      <c r="V57" s="1599"/>
      <c r="W57" s="1601"/>
      <c r="X57" s="170"/>
      <c r="Y57" s="1606"/>
      <c r="Z57" s="1606"/>
      <c r="AA57" s="1606"/>
      <c r="AB57" s="1607"/>
      <c r="AC57" s="170"/>
      <c r="AD57" s="282"/>
      <c r="AE57" s="282"/>
      <c r="AF57" s="4984"/>
    </row>
    <row r="58" spans="1:32" ht="22.5" customHeight="1">
      <c r="A58" s="4360"/>
      <c r="B58" s="4774"/>
      <c r="C58" s="4465"/>
      <c r="D58" s="4216"/>
      <c r="E58" s="4216"/>
      <c r="F58" s="4216"/>
      <c r="G58" s="4216"/>
      <c r="H58" s="4216"/>
      <c r="I58" s="4216"/>
      <c r="J58" s="4341"/>
      <c r="K58" s="4216"/>
      <c r="L58" s="4216"/>
      <c r="M58" s="4247"/>
      <c r="N58" s="4247"/>
      <c r="O58" s="4247"/>
      <c r="P58" s="4216"/>
      <c r="Q58" s="4216"/>
      <c r="R58" s="4258"/>
      <c r="S58" s="1595"/>
      <c r="T58" s="1994"/>
      <c r="U58" s="1994"/>
      <c r="V58" s="2414"/>
      <c r="W58" s="1603"/>
      <c r="X58" s="165"/>
      <c r="Y58" s="1611"/>
      <c r="Z58" s="1611"/>
      <c r="AA58" s="1611"/>
      <c r="AB58" s="1609"/>
      <c r="AC58" s="165"/>
      <c r="AD58" s="166"/>
      <c r="AE58" s="166"/>
      <c r="AF58" s="4985"/>
    </row>
    <row r="59" spans="1:32" ht="21" customHeight="1">
      <c r="A59" s="4360"/>
      <c r="B59" s="4774"/>
      <c r="C59" s="4467" t="s">
        <v>272</v>
      </c>
      <c r="D59" s="4273" t="s">
        <v>302</v>
      </c>
      <c r="E59" s="4273" t="s">
        <v>388</v>
      </c>
      <c r="F59" s="4273" t="s">
        <v>944</v>
      </c>
      <c r="G59" s="4338" t="s">
        <v>305</v>
      </c>
      <c r="H59" s="4273" t="s">
        <v>240</v>
      </c>
      <c r="I59" s="4975" t="s">
        <v>241</v>
      </c>
      <c r="J59" s="4713" t="s">
        <v>4971</v>
      </c>
      <c r="K59" s="4273" t="s">
        <v>992</v>
      </c>
      <c r="L59" s="4345" t="s">
        <v>4939</v>
      </c>
      <c r="M59" s="4249">
        <v>0</v>
      </c>
      <c r="N59" s="4246">
        <v>0</v>
      </c>
      <c r="O59" s="4249">
        <v>5</v>
      </c>
      <c r="P59" s="4345" t="s">
        <v>4918</v>
      </c>
      <c r="Q59" s="4345" t="s">
        <v>4896</v>
      </c>
      <c r="R59" s="4690" t="s">
        <v>4883</v>
      </c>
      <c r="S59" s="1996"/>
      <c r="T59" s="1759"/>
      <c r="U59" s="1759"/>
      <c r="V59" s="1600"/>
      <c r="W59" s="1602"/>
      <c r="X59" s="414"/>
      <c r="Y59" s="1608"/>
      <c r="Z59" s="1608"/>
      <c r="AA59" s="1608"/>
      <c r="AB59" s="1610"/>
      <c r="AC59" s="414"/>
      <c r="AD59" s="174"/>
      <c r="AE59" s="174"/>
      <c r="AF59" s="4324"/>
    </row>
    <row r="60" spans="1:32" ht="21" customHeight="1">
      <c r="A60" s="4360"/>
      <c r="B60" s="4774"/>
      <c r="C60" s="4464"/>
      <c r="D60" s="4215"/>
      <c r="E60" s="4215"/>
      <c r="F60" s="4215"/>
      <c r="G60" s="4215"/>
      <c r="H60" s="4215"/>
      <c r="I60" s="4976"/>
      <c r="J60" s="4693"/>
      <c r="K60" s="4215"/>
      <c r="L60" s="4215"/>
      <c r="M60" s="4226"/>
      <c r="N60" s="4226"/>
      <c r="O60" s="4226"/>
      <c r="P60" s="4215"/>
      <c r="Q60" s="4215"/>
      <c r="R60" s="4233"/>
      <c r="S60" s="1593"/>
      <c r="T60" s="1768"/>
      <c r="U60" s="1768"/>
      <c r="V60" s="1599"/>
      <c r="W60" s="1601"/>
      <c r="X60" s="170"/>
      <c r="Y60" s="1606"/>
      <c r="Z60" s="1606"/>
      <c r="AA60" s="1606"/>
      <c r="AB60" s="1607"/>
      <c r="AC60" s="170"/>
      <c r="AD60" s="282"/>
      <c r="AE60" s="282"/>
      <c r="AF60" s="4984"/>
    </row>
    <row r="61" spans="1:32" ht="21" customHeight="1">
      <c r="A61" s="4360"/>
      <c r="B61" s="4774"/>
      <c r="C61" s="4464"/>
      <c r="D61" s="4215"/>
      <c r="E61" s="4215"/>
      <c r="F61" s="4215"/>
      <c r="G61" s="4215"/>
      <c r="H61" s="4215"/>
      <c r="I61" s="4976"/>
      <c r="J61" s="4693"/>
      <c r="K61" s="4215"/>
      <c r="L61" s="4215"/>
      <c r="M61" s="4226"/>
      <c r="N61" s="4226"/>
      <c r="O61" s="4226"/>
      <c r="P61" s="4215"/>
      <c r="Q61" s="4215"/>
      <c r="R61" s="4233"/>
      <c r="S61" s="1769"/>
      <c r="T61" s="1770"/>
      <c r="U61" s="1770"/>
      <c r="V61" s="2412"/>
      <c r="W61" s="1602"/>
      <c r="X61" s="414"/>
      <c r="Y61" s="1608"/>
      <c r="Z61" s="1606"/>
      <c r="AA61" s="1606"/>
      <c r="AB61" s="1607"/>
      <c r="AC61" s="170"/>
      <c r="AD61" s="282"/>
      <c r="AE61" s="282"/>
      <c r="AF61" s="4984"/>
    </row>
    <row r="62" spans="1:32" ht="21" customHeight="1">
      <c r="A62" s="4360"/>
      <c r="B62" s="4774"/>
      <c r="C62" s="4464"/>
      <c r="D62" s="4215"/>
      <c r="E62" s="4215"/>
      <c r="F62" s="4215"/>
      <c r="G62" s="4215"/>
      <c r="H62" s="4215"/>
      <c r="I62" s="4976"/>
      <c r="J62" s="4693"/>
      <c r="K62" s="4215"/>
      <c r="L62" s="4215"/>
      <c r="M62" s="4226"/>
      <c r="N62" s="4226"/>
      <c r="O62" s="4226"/>
      <c r="P62" s="4215"/>
      <c r="Q62" s="4215"/>
      <c r="R62" s="4233"/>
      <c r="S62" s="1996"/>
      <c r="T62" s="1759"/>
      <c r="U62" s="1759"/>
      <c r="V62" s="2412"/>
      <c r="W62" s="1602"/>
      <c r="X62" s="414"/>
      <c r="Y62" s="1608"/>
      <c r="Z62" s="1606"/>
      <c r="AA62" s="1606"/>
      <c r="AB62" s="1607"/>
      <c r="AC62" s="170"/>
      <c r="AD62" s="282"/>
      <c r="AE62" s="282"/>
      <c r="AF62" s="4984"/>
    </row>
    <row r="63" spans="1:32" ht="21" customHeight="1">
      <c r="A63" s="4360"/>
      <c r="B63" s="4774"/>
      <c r="C63" s="4465"/>
      <c r="D63" s="4216"/>
      <c r="E63" s="4216"/>
      <c r="F63" s="4216"/>
      <c r="G63" s="4216"/>
      <c r="H63" s="4216"/>
      <c r="I63" s="4977"/>
      <c r="J63" s="4694"/>
      <c r="K63" s="4216"/>
      <c r="L63" s="4216"/>
      <c r="M63" s="4247"/>
      <c r="N63" s="4247"/>
      <c r="O63" s="4247"/>
      <c r="P63" s="4216"/>
      <c r="Q63" s="4216"/>
      <c r="R63" s="4258"/>
      <c r="S63" s="1595"/>
      <c r="T63" s="1994"/>
      <c r="U63" s="1994"/>
      <c r="V63" s="2414"/>
      <c r="W63" s="1603"/>
      <c r="X63" s="165"/>
      <c r="Y63" s="1611"/>
      <c r="Z63" s="1611"/>
      <c r="AA63" s="1611"/>
      <c r="AB63" s="1609"/>
      <c r="AC63" s="165"/>
      <c r="AD63" s="166"/>
      <c r="AE63" s="166"/>
      <c r="AF63" s="4985"/>
    </row>
    <row r="64" spans="1:32" ht="30" customHeight="1">
      <c r="A64" s="4360"/>
      <c r="B64" s="4774"/>
      <c r="C64" s="4463" t="s">
        <v>235</v>
      </c>
      <c r="D64" s="4328" t="s">
        <v>236</v>
      </c>
      <c r="E64" s="4328" t="s">
        <v>244</v>
      </c>
      <c r="F64" s="4328" t="s">
        <v>337</v>
      </c>
      <c r="G64" s="4329" t="s">
        <v>239</v>
      </c>
      <c r="H64" s="4328" t="s">
        <v>293</v>
      </c>
      <c r="I64" s="4328" t="s">
        <v>257</v>
      </c>
      <c r="J64" s="4483" t="s">
        <v>3785</v>
      </c>
      <c r="K64" s="4273" t="s">
        <v>338</v>
      </c>
      <c r="L64" s="4345" t="s">
        <v>4940</v>
      </c>
      <c r="M64" s="4249">
        <v>0</v>
      </c>
      <c r="N64" s="4246">
        <v>1</v>
      </c>
      <c r="O64" s="4249">
        <v>1</v>
      </c>
      <c r="P64" s="4345" t="s">
        <v>4917</v>
      </c>
      <c r="Q64" s="4345" t="s">
        <v>4897</v>
      </c>
      <c r="R64" s="4690" t="s">
        <v>4883</v>
      </c>
      <c r="S64" s="1996"/>
      <c r="T64" s="1759"/>
      <c r="U64" s="1759"/>
      <c r="V64" s="1600"/>
      <c r="W64" s="1602"/>
      <c r="X64" s="414"/>
      <c r="Y64" s="1608"/>
      <c r="Z64" s="1608"/>
      <c r="AA64" s="1608"/>
      <c r="AB64" s="1610"/>
      <c r="AC64" s="414"/>
      <c r="AD64" s="168"/>
      <c r="AE64" s="168"/>
      <c r="AF64" s="4324"/>
    </row>
    <row r="65" spans="1:32" ht="30" customHeight="1">
      <c r="A65" s="4360"/>
      <c r="B65" s="4774"/>
      <c r="C65" s="4464"/>
      <c r="D65" s="4215"/>
      <c r="E65" s="4215"/>
      <c r="F65" s="4215"/>
      <c r="G65" s="4215"/>
      <c r="H65" s="4215"/>
      <c r="I65" s="4215"/>
      <c r="J65" s="4446"/>
      <c r="K65" s="4215"/>
      <c r="L65" s="4215"/>
      <c r="M65" s="4226"/>
      <c r="N65" s="4226"/>
      <c r="O65" s="4226"/>
      <c r="P65" s="4215"/>
      <c r="Q65" s="4215"/>
      <c r="R65" s="4233"/>
      <c r="S65" s="1593"/>
      <c r="T65" s="1768"/>
      <c r="U65" s="1768"/>
      <c r="V65" s="1599"/>
      <c r="W65" s="1601"/>
      <c r="X65" s="170"/>
      <c r="Y65" s="1606"/>
      <c r="Z65" s="1606"/>
      <c r="AA65" s="1606"/>
      <c r="AB65" s="1607"/>
      <c r="AC65" s="170"/>
      <c r="AD65" s="170"/>
      <c r="AE65" s="171"/>
      <c r="AF65" s="4984"/>
    </row>
    <row r="66" spans="1:32" ht="30" customHeight="1">
      <c r="A66" s="4360"/>
      <c r="B66" s="4774"/>
      <c r="C66" s="4464"/>
      <c r="D66" s="4215"/>
      <c r="E66" s="4215"/>
      <c r="F66" s="4215"/>
      <c r="G66" s="4215"/>
      <c r="H66" s="4215"/>
      <c r="I66" s="4215"/>
      <c r="J66" s="4446"/>
      <c r="K66" s="4215"/>
      <c r="L66" s="4215"/>
      <c r="M66" s="4226"/>
      <c r="N66" s="4226"/>
      <c r="O66" s="4226"/>
      <c r="P66" s="4215"/>
      <c r="Q66" s="4215"/>
      <c r="R66" s="4233"/>
      <c r="S66" s="1593"/>
      <c r="T66" s="1768"/>
      <c r="U66" s="1768"/>
      <c r="V66" s="1599"/>
      <c r="W66" s="1601"/>
      <c r="X66" s="170"/>
      <c r="Y66" s="1606"/>
      <c r="Z66" s="1606"/>
      <c r="AA66" s="1606"/>
      <c r="AB66" s="1607"/>
      <c r="AC66" s="170"/>
      <c r="AD66" s="170"/>
      <c r="AE66" s="282"/>
      <c r="AF66" s="4984"/>
    </row>
    <row r="67" spans="1:32" ht="30" customHeight="1">
      <c r="A67" s="4360"/>
      <c r="B67" s="4774"/>
      <c r="C67" s="4464"/>
      <c r="D67" s="4215"/>
      <c r="E67" s="4215"/>
      <c r="F67" s="4215"/>
      <c r="G67" s="4215"/>
      <c r="H67" s="4215"/>
      <c r="I67" s="4215"/>
      <c r="J67" s="4446"/>
      <c r="K67" s="4215"/>
      <c r="L67" s="4215"/>
      <c r="M67" s="4226"/>
      <c r="N67" s="4226"/>
      <c r="O67" s="4226"/>
      <c r="P67" s="4215"/>
      <c r="Q67" s="4215"/>
      <c r="R67" s="4233"/>
      <c r="S67" s="1593"/>
      <c r="T67" s="1768"/>
      <c r="U67" s="1768"/>
      <c r="V67" s="1599"/>
      <c r="W67" s="1601"/>
      <c r="X67" s="170"/>
      <c r="Y67" s="1606"/>
      <c r="Z67" s="1606"/>
      <c r="AA67" s="1606"/>
      <c r="AB67" s="1607"/>
      <c r="AC67" s="170"/>
      <c r="AD67" s="170"/>
      <c r="AE67" s="282"/>
      <c r="AF67" s="4984"/>
    </row>
    <row r="68" spans="1:32" ht="30" customHeight="1">
      <c r="A68" s="4360"/>
      <c r="B68" s="4774"/>
      <c r="C68" s="4465"/>
      <c r="D68" s="4216"/>
      <c r="E68" s="4216"/>
      <c r="F68" s="4216"/>
      <c r="G68" s="4216"/>
      <c r="H68" s="4216"/>
      <c r="I68" s="4216"/>
      <c r="J68" s="4341"/>
      <c r="K68" s="4216"/>
      <c r="L68" s="4216"/>
      <c r="M68" s="4247"/>
      <c r="N68" s="4247"/>
      <c r="O68" s="4247"/>
      <c r="P68" s="4216"/>
      <c r="Q68" s="4216"/>
      <c r="R68" s="4258"/>
      <c r="S68" s="1595"/>
      <c r="T68" s="1994"/>
      <c r="U68" s="1994"/>
      <c r="V68" s="2414"/>
      <c r="W68" s="1603"/>
      <c r="X68" s="165"/>
      <c r="Y68" s="1611"/>
      <c r="Z68" s="1611"/>
      <c r="AA68" s="1611"/>
      <c r="AB68" s="1609"/>
      <c r="AC68" s="165"/>
      <c r="AD68" s="165"/>
      <c r="AE68" s="166"/>
      <c r="AF68" s="4985"/>
    </row>
    <row r="69" spans="1:32" ht="30.75" customHeight="1">
      <c r="A69" s="4360"/>
      <c r="B69" s="4774"/>
      <c r="C69" s="4467" t="s">
        <v>235</v>
      </c>
      <c r="D69" s="4273" t="s">
        <v>236</v>
      </c>
      <c r="E69" s="4273" t="s">
        <v>237</v>
      </c>
      <c r="F69" s="4273" t="s">
        <v>402</v>
      </c>
      <c r="G69" s="4338" t="s">
        <v>239</v>
      </c>
      <c r="H69" s="4273" t="s">
        <v>293</v>
      </c>
      <c r="I69" s="4273" t="s">
        <v>257</v>
      </c>
      <c r="J69" s="4483" t="s">
        <v>3786</v>
      </c>
      <c r="K69" s="4273" t="s">
        <v>371</v>
      </c>
      <c r="L69" s="4228" t="s">
        <v>779</v>
      </c>
      <c r="M69" s="4246">
        <v>80</v>
      </c>
      <c r="N69" s="2987"/>
      <c r="O69" s="4246">
        <v>100</v>
      </c>
      <c r="P69" s="4228" t="s">
        <v>4907</v>
      </c>
      <c r="Q69" s="4228" t="s">
        <v>4199</v>
      </c>
      <c r="R69" s="4322" t="s">
        <v>4983</v>
      </c>
      <c r="S69" s="1596"/>
      <c r="T69" s="1997"/>
      <c r="U69" s="1997"/>
      <c r="V69" s="3342"/>
      <c r="W69" s="1604"/>
      <c r="X69" s="178"/>
      <c r="Y69" s="1612"/>
      <c r="Z69" s="1612"/>
      <c r="AA69" s="1612"/>
      <c r="AB69" s="1613"/>
      <c r="AC69" s="178"/>
      <c r="AD69" s="181"/>
      <c r="AE69" s="181"/>
      <c r="AF69" s="4486"/>
    </row>
    <row r="70" spans="1:32" ht="30.75" customHeight="1">
      <c r="A70" s="4360"/>
      <c r="B70" s="4774"/>
      <c r="C70" s="4464"/>
      <c r="D70" s="4215"/>
      <c r="E70" s="4215"/>
      <c r="F70" s="4215"/>
      <c r="G70" s="4215"/>
      <c r="H70" s="4215"/>
      <c r="I70" s="4215"/>
      <c r="J70" s="4446"/>
      <c r="K70" s="4215"/>
      <c r="L70" s="4215"/>
      <c r="M70" s="4226"/>
      <c r="N70" s="2988"/>
      <c r="O70" s="4226"/>
      <c r="P70" s="4215"/>
      <c r="Q70" s="4215"/>
      <c r="R70" s="4233"/>
      <c r="S70" s="1769"/>
      <c r="T70" s="1770"/>
      <c r="U70" s="1770"/>
      <c r="V70" s="1599"/>
      <c r="W70" s="1601"/>
      <c r="X70" s="170"/>
      <c r="Y70" s="1606"/>
      <c r="Z70" s="1606"/>
      <c r="AA70" s="1606"/>
      <c r="AB70" s="1607"/>
      <c r="AC70" s="170"/>
      <c r="AD70" s="282"/>
      <c r="AE70" s="282"/>
      <c r="AF70" s="4984"/>
    </row>
    <row r="71" spans="1:32" ht="30.75" customHeight="1">
      <c r="A71" s="4360"/>
      <c r="B71" s="4774"/>
      <c r="C71" s="4464"/>
      <c r="D71" s="4215"/>
      <c r="E71" s="4215"/>
      <c r="F71" s="4215"/>
      <c r="G71" s="4215"/>
      <c r="H71" s="4215"/>
      <c r="I71" s="4215"/>
      <c r="J71" s="4446"/>
      <c r="K71" s="4215"/>
      <c r="L71" s="4215"/>
      <c r="M71" s="4226"/>
      <c r="N71" s="2988"/>
      <c r="O71" s="4226"/>
      <c r="P71" s="4215"/>
      <c r="Q71" s="4215"/>
      <c r="R71" s="4233"/>
      <c r="S71" s="1593"/>
      <c r="T71" s="1768"/>
      <c r="U71" s="1768"/>
      <c r="V71" s="1599"/>
      <c r="W71" s="1601"/>
      <c r="X71" s="170"/>
      <c r="Y71" s="1606"/>
      <c r="Z71" s="1606"/>
      <c r="AA71" s="1606"/>
      <c r="AB71" s="1607"/>
      <c r="AC71" s="170"/>
      <c r="AD71" s="282"/>
      <c r="AE71" s="282"/>
      <c r="AF71" s="4984"/>
    </row>
    <row r="72" spans="1:32" ht="30.75" customHeight="1">
      <c r="A72" s="4360"/>
      <c r="B72" s="4774"/>
      <c r="C72" s="4464"/>
      <c r="D72" s="4215"/>
      <c r="E72" s="4215"/>
      <c r="F72" s="4215"/>
      <c r="G72" s="4215"/>
      <c r="H72" s="4215"/>
      <c r="I72" s="4215"/>
      <c r="J72" s="4446"/>
      <c r="K72" s="4215"/>
      <c r="L72" s="4215"/>
      <c r="M72" s="4226"/>
      <c r="N72" s="2988">
        <v>90</v>
      </c>
      <c r="O72" s="4226"/>
      <c r="P72" s="4215"/>
      <c r="Q72" s="4215"/>
      <c r="R72" s="4233"/>
      <c r="S72" s="1593"/>
      <c r="T72" s="1768"/>
      <c r="U72" s="1768"/>
      <c r="V72" s="1599"/>
      <c r="W72" s="1601"/>
      <c r="X72" s="170"/>
      <c r="Y72" s="1606"/>
      <c r="Z72" s="1606"/>
      <c r="AA72" s="1606"/>
      <c r="AB72" s="1607"/>
      <c r="AC72" s="170"/>
      <c r="AD72" s="282"/>
      <c r="AE72" s="282"/>
      <c r="AF72" s="4984"/>
    </row>
    <row r="73" spans="1:32" ht="30.75" customHeight="1">
      <c r="A73" s="4360"/>
      <c r="B73" s="4774"/>
      <c r="C73" s="4465"/>
      <c r="D73" s="4216"/>
      <c r="E73" s="4216"/>
      <c r="F73" s="4216"/>
      <c r="G73" s="4216"/>
      <c r="H73" s="4216"/>
      <c r="I73" s="4216"/>
      <c r="J73" s="4341"/>
      <c r="K73" s="4216"/>
      <c r="L73" s="4216"/>
      <c r="M73" s="4247"/>
      <c r="N73" s="2989"/>
      <c r="O73" s="4247"/>
      <c r="P73" s="4216"/>
      <c r="Q73" s="4216"/>
      <c r="R73" s="4258"/>
      <c r="S73" s="1595"/>
      <c r="T73" s="1994"/>
      <c r="U73" s="1994"/>
      <c r="V73" s="2414"/>
      <c r="W73" s="1603"/>
      <c r="X73" s="165"/>
      <c r="Y73" s="1611"/>
      <c r="Z73" s="1611"/>
      <c r="AA73" s="1611"/>
      <c r="AB73" s="1609"/>
      <c r="AC73" s="165"/>
      <c r="AD73" s="166"/>
      <c r="AE73" s="166"/>
      <c r="AF73" s="4985"/>
    </row>
    <row r="74" spans="1:32" ht="22.5" customHeight="1" thickBot="1">
      <c r="A74" s="4360"/>
      <c r="B74" s="4782"/>
      <c r="C74" s="1980"/>
      <c r="D74" s="1980"/>
      <c r="E74" s="1980"/>
      <c r="F74" s="1980"/>
      <c r="G74" s="1980"/>
      <c r="H74" s="1980"/>
      <c r="I74" s="1980"/>
      <c r="J74" s="1980"/>
      <c r="K74" s="1980"/>
      <c r="L74" s="1980"/>
      <c r="M74" s="1981"/>
      <c r="N74" s="1981"/>
      <c r="O74" s="1981"/>
      <c r="P74" s="1980"/>
      <c r="Q74" s="1980"/>
      <c r="R74" s="1980"/>
      <c r="S74" s="4499" t="s">
        <v>993</v>
      </c>
      <c r="T74" s="4704"/>
      <c r="U74" s="4704"/>
      <c r="V74" s="4704"/>
      <c r="W74" s="4704"/>
      <c r="X74" s="4704"/>
      <c r="Y74" s="4704"/>
      <c r="Z74" s="4704"/>
      <c r="AA74" s="2172" t="s">
        <v>340</v>
      </c>
      <c r="AB74" s="2173">
        <f>SUM(AB9:AB73)</f>
        <v>22400.000000000004</v>
      </c>
      <c r="AC74" s="4501"/>
      <c r="AD74" s="4443"/>
      <c r="AE74" s="4443"/>
      <c r="AF74" s="4444"/>
    </row>
    <row r="75" spans="1:32" ht="26.25" customHeight="1">
      <c r="A75" s="4360"/>
      <c r="B75" s="4973" t="s">
        <v>994</v>
      </c>
      <c r="C75" s="4974" t="s">
        <v>272</v>
      </c>
      <c r="D75" s="4670" t="s">
        <v>302</v>
      </c>
      <c r="E75" s="4670" t="s">
        <v>388</v>
      </c>
      <c r="F75" s="4670" t="s">
        <v>944</v>
      </c>
      <c r="G75" s="4738" t="s">
        <v>305</v>
      </c>
      <c r="H75" s="4670" t="s">
        <v>306</v>
      </c>
      <c r="I75" s="4670" t="s">
        <v>241</v>
      </c>
      <c r="J75" s="4980" t="s">
        <v>4973</v>
      </c>
      <c r="K75" s="4981" t="s">
        <v>995</v>
      </c>
      <c r="L75" s="4256" t="s">
        <v>4952</v>
      </c>
      <c r="M75" s="4484">
        <v>1</v>
      </c>
      <c r="N75" s="4484">
        <v>0</v>
      </c>
      <c r="O75" s="4484">
        <v>1</v>
      </c>
      <c r="P75" s="4256" t="s">
        <v>4916</v>
      </c>
      <c r="Q75" s="4256" t="s">
        <v>4898</v>
      </c>
      <c r="R75" s="4979" t="s">
        <v>4885</v>
      </c>
      <c r="S75" s="1996" t="s">
        <v>11</v>
      </c>
      <c r="T75" s="3025">
        <v>840107</v>
      </c>
      <c r="U75" s="1768"/>
      <c r="V75" s="2718" t="s">
        <v>983</v>
      </c>
      <c r="W75" s="3344"/>
      <c r="X75" s="155"/>
      <c r="Y75" s="3066"/>
      <c r="Z75" s="1606"/>
      <c r="AA75" s="1606"/>
      <c r="AB75" s="3067">
        <f>SUM($AA$76:$AA$78)</f>
        <v>0</v>
      </c>
      <c r="AC75" s="155"/>
      <c r="AD75" s="156"/>
      <c r="AE75" s="156"/>
      <c r="AF75" s="4988" t="s">
        <v>4880</v>
      </c>
    </row>
    <row r="76" spans="1:32" ht="26.25" customHeight="1">
      <c r="A76" s="4360"/>
      <c r="B76" s="4774"/>
      <c r="C76" s="4464"/>
      <c r="D76" s="4215"/>
      <c r="E76" s="4215"/>
      <c r="F76" s="4215"/>
      <c r="G76" s="4215"/>
      <c r="H76" s="4215"/>
      <c r="I76" s="4215"/>
      <c r="J76" s="4971"/>
      <c r="K76" s="4982"/>
      <c r="L76" s="4215"/>
      <c r="M76" s="4226"/>
      <c r="N76" s="4226"/>
      <c r="O76" s="4226"/>
      <c r="P76" s="4215"/>
      <c r="Q76" s="4215"/>
      <c r="R76" s="4233"/>
      <c r="S76" s="1593"/>
      <c r="T76" s="1768"/>
      <c r="U76" s="1768">
        <v>4522000114</v>
      </c>
      <c r="V76" s="3351" t="s">
        <v>4881</v>
      </c>
      <c r="W76" s="1601">
        <v>2</v>
      </c>
      <c r="X76" s="170" t="s">
        <v>269</v>
      </c>
      <c r="Y76" s="1606">
        <v>0</v>
      </c>
      <c r="Z76" s="1606">
        <f t="shared" ref="Z76:Z77" si="2">+W76*Y76</f>
        <v>0</v>
      </c>
      <c r="AA76" s="1606">
        <f t="shared" ref="AA76:AA77" si="3">+Z76*1.12</f>
        <v>0</v>
      </c>
      <c r="AB76" s="1607"/>
      <c r="AC76" s="170" t="s">
        <v>251</v>
      </c>
      <c r="AD76" s="282"/>
      <c r="AE76" s="282"/>
      <c r="AF76" s="4984"/>
    </row>
    <row r="77" spans="1:32" ht="26.25" customHeight="1">
      <c r="A77" s="4360"/>
      <c r="B77" s="4774"/>
      <c r="C77" s="4464"/>
      <c r="D77" s="4215"/>
      <c r="E77" s="4215"/>
      <c r="F77" s="4215"/>
      <c r="G77" s="4215"/>
      <c r="H77" s="4215"/>
      <c r="I77" s="4215"/>
      <c r="J77" s="4971"/>
      <c r="K77" s="4982"/>
      <c r="L77" s="4215"/>
      <c r="M77" s="4226"/>
      <c r="N77" s="4226"/>
      <c r="O77" s="4226"/>
      <c r="P77" s="4215"/>
      <c r="Q77" s="4215"/>
      <c r="R77" s="4233"/>
      <c r="S77" s="1769"/>
      <c r="T77" s="1770"/>
      <c r="U77" s="3339">
        <v>473130013</v>
      </c>
      <c r="V77" s="2416" t="s">
        <v>996</v>
      </c>
      <c r="W77" s="1602">
        <v>1</v>
      </c>
      <c r="X77" s="414" t="s">
        <v>269</v>
      </c>
      <c r="Y77" s="1606">
        <v>0</v>
      </c>
      <c r="Z77" s="1606">
        <f t="shared" si="2"/>
        <v>0</v>
      </c>
      <c r="AA77" s="1606">
        <f t="shared" si="3"/>
        <v>0</v>
      </c>
      <c r="AB77" s="1607"/>
      <c r="AC77" s="170" t="s">
        <v>251</v>
      </c>
      <c r="AD77" s="282"/>
      <c r="AE77" s="282"/>
      <c r="AF77" s="4984"/>
    </row>
    <row r="78" spans="1:32" ht="26.25" customHeight="1">
      <c r="A78" s="4360"/>
      <c r="B78" s="4774"/>
      <c r="C78" s="4464"/>
      <c r="D78" s="4215"/>
      <c r="E78" s="4215"/>
      <c r="F78" s="4215"/>
      <c r="G78" s="4215"/>
      <c r="H78" s="4215"/>
      <c r="I78" s="4215"/>
      <c r="J78" s="4971"/>
      <c r="K78" s="4982"/>
      <c r="L78" s="4215"/>
      <c r="M78" s="4226"/>
      <c r="N78" s="4226"/>
      <c r="O78" s="4226"/>
      <c r="P78" s="4215"/>
      <c r="Q78" s="4215"/>
      <c r="R78" s="4233"/>
      <c r="S78" s="1996"/>
      <c r="T78" s="1768"/>
      <c r="U78" s="1768"/>
      <c r="V78" s="1599"/>
      <c r="W78" s="3345"/>
      <c r="X78" s="414"/>
      <c r="Y78" s="1608"/>
      <c r="Z78" s="1606"/>
      <c r="AA78" s="1606"/>
      <c r="AB78" s="1607"/>
      <c r="AC78" s="170"/>
      <c r="AD78" s="282"/>
      <c r="AE78" s="282"/>
      <c r="AF78" s="4984"/>
    </row>
    <row r="79" spans="1:32" ht="26.25" customHeight="1">
      <c r="A79" s="4360"/>
      <c r="B79" s="4774"/>
      <c r="C79" s="4465"/>
      <c r="D79" s="4216"/>
      <c r="E79" s="4216"/>
      <c r="F79" s="4216"/>
      <c r="G79" s="4216"/>
      <c r="H79" s="4216"/>
      <c r="I79" s="4216"/>
      <c r="J79" s="4972"/>
      <c r="K79" s="4983"/>
      <c r="L79" s="4216"/>
      <c r="M79" s="4247"/>
      <c r="N79" s="4247"/>
      <c r="O79" s="4247"/>
      <c r="P79" s="4216"/>
      <c r="Q79" s="4216"/>
      <c r="R79" s="4258"/>
      <c r="S79" s="1595"/>
      <c r="T79" s="1598"/>
      <c r="U79" s="1994"/>
      <c r="V79" s="2414"/>
      <c r="W79" s="3346"/>
      <c r="X79" s="165"/>
      <c r="Y79" s="1611"/>
      <c r="Z79" s="1611"/>
      <c r="AA79" s="1611"/>
      <c r="AB79" s="1609"/>
      <c r="AC79" s="165"/>
      <c r="AD79" s="166"/>
      <c r="AE79" s="166"/>
      <c r="AF79" s="4985"/>
    </row>
    <row r="80" spans="1:32" ht="25.5" customHeight="1">
      <c r="A80" s="4360"/>
      <c r="B80" s="4774"/>
      <c r="C80" s="4463" t="s">
        <v>272</v>
      </c>
      <c r="D80" s="4328" t="s">
        <v>302</v>
      </c>
      <c r="E80" s="4328" t="s">
        <v>303</v>
      </c>
      <c r="F80" s="4328" t="s">
        <v>318</v>
      </c>
      <c r="G80" s="4329" t="s">
        <v>305</v>
      </c>
      <c r="H80" s="4328" t="s">
        <v>240</v>
      </c>
      <c r="I80" s="4328" t="s">
        <v>257</v>
      </c>
      <c r="J80" s="4978" t="s">
        <v>4972</v>
      </c>
      <c r="K80" s="4713" t="s">
        <v>997</v>
      </c>
      <c r="L80" s="4345" t="s">
        <v>4953</v>
      </c>
      <c r="M80" s="4249">
        <v>1</v>
      </c>
      <c r="N80" s="4246">
        <v>0</v>
      </c>
      <c r="O80" s="4249">
        <v>1</v>
      </c>
      <c r="P80" s="4345" t="s">
        <v>4915</v>
      </c>
      <c r="Q80" s="4345" t="s">
        <v>4899</v>
      </c>
      <c r="R80" s="4690" t="s">
        <v>4885</v>
      </c>
      <c r="S80" s="1996"/>
      <c r="T80" s="1770"/>
      <c r="U80" s="1770"/>
      <c r="V80" s="2412"/>
      <c r="W80" s="3345"/>
      <c r="X80" s="414"/>
      <c r="Y80" s="1608"/>
      <c r="Z80" s="1608"/>
      <c r="AA80" s="1608"/>
      <c r="AB80" s="1610"/>
      <c r="AC80" s="414"/>
      <c r="AD80" s="168"/>
      <c r="AE80" s="168"/>
      <c r="AF80" s="4324"/>
    </row>
    <row r="81" spans="1:32" ht="25.5" customHeight="1">
      <c r="A81" s="4360"/>
      <c r="B81" s="4774"/>
      <c r="C81" s="4464"/>
      <c r="D81" s="4215"/>
      <c r="E81" s="4215"/>
      <c r="F81" s="4215"/>
      <c r="G81" s="4215"/>
      <c r="H81" s="4215"/>
      <c r="I81" s="4215"/>
      <c r="J81" s="4976"/>
      <c r="K81" s="4693"/>
      <c r="L81" s="4215"/>
      <c r="M81" s="4226"/>
      <c r="N81" s="4226"/>
      <c r="O81" s="4226"/>
      <c r="P81" s="4215"/>
      <c r="Q81" s="4215"/>
      <c r="R81" s="4233"/>
      <c r="S81" s="1593"/>
      <c r="T81" s="1768"/>
      <c r="U81" s="1768"/>
      <c r="V81" s="3343"/>
      <c r="W81" s="1601"/>
      <c r="X81" s="170"/>
      <c r="Y81" s="1606"/>
      <c r="Z81" s="1606"/>
      <c r="AA81" s="1606"/>
      <c r="AB81" s="1607"/>
      <c r="AC81" s="170"/>
      <c r="AD81" s="170"/>
      <c r="AE81" s="171"/>
      <c r="AF81" s="4984"/>
    </row>
    <row r="82" spans="1:32" ht="25.5" customHeight="1">
      <c r="A82" s="4360"/>
      <c r="B82" s="4774"/>
      <c r="C82" s="4464"/>
      <c r="D82" s="4215"/>
      <c r="E82" s="4215"/>
      <c r="F82" s="4215"/>
      <c r="G82" s="4215"/>
      <c r="H82" s="4215"/>
      <c r="I82" s="4215"/>
      <c r="J82" s="4976"/>
      <c r="K82" s="4693"/>
      <c r="L82" s="4215"/>
      <c r="M82" s="4226"/>
      <c r="N82" s="4226"/>
      <c r="O82" s="4226"/>
      <c r="P82" s="4215"/>
      <c r="Q82" s="4215"/>
      <c r="R82" s="4233"/>
      <c r="S82" s="1593"/>
      <c r="T82" s="1768"/>
      <c r="U82" s="1768"/>
      <c r="V82" s="1599"/>
      <c r="W82" s="1601"/>
      <c r="X82" s="170"/>
      <c r="Y82" s="1606"/>
      <c r="Z82" s="1606"/>
      <c r="AA82" s="1606"/>
      <c r="AB82" s="1607"/>
      <c r="AC82" s="170"/>
      <c r="AD82" s="170"/>
      <c r="AE82" s="282"/>
      <c r="AF82" s="4984"/>
    </row>
    <row r="83" spans="1:32" ht="25.5" customHeight="1">
      <c r="A83" s="4360"/>
      <c r="B83" s="4774"/>
      <c r="C83" s="4464"/>
      <c r="D83" s="4215"/>
      <c r="E83" s="4215"/>
      <c r="F83" s="4215"/>
      <c r="G83" s="4215"/>
      <c r="H83" s="4215"/>
      <c r="I83" s="4215"/>
      <c r="J83" s="4976"/>
      <c r="K83" s="4693"/>
      <c r="L83" s="4215"/>
      <c r="M83" s="4226"/>
      <c r="N83" s="4226"/>
      <c r="O83" s="4226"/>
      <c r="P83" s="4215"/>
      <c r="Q83" s="4215"/>
      <c r="R83" s="4233"/>
      <c r="S83" s="1593"/>
      <c r="T83" s="1768"/>
      <c r="U83" s="1768"/>
      <c r="V83" s="1599"/>
      <c r="W83" s="1601"/>
      <c r="X83" s="170"/>
      <c r="Y83" s="1606"/>
      <c r="Z83" s="1606"/>
      <c r="AA83" s="1606"/>
      <c r="AB83" s="1607"/>
      <c r="AC83" s="170"/>
      <c r="AD83" s="170"/>
      <c r="AE83" s="282"/>
      <c r="AF83" s="4984"/>
    </row>
    <row r="84" spans="1:32" ht="25.5" customHeight="1">
      <c r="A84" s="4360"/>
      <c r="B84" s="4774"/>
      <c r="C84" s="4465"/>
      <c r="D84" s="4216"/>
      <c r="E84" s="4216"/>
      <c r="F84" s="4216"/>
      <c r="G84" s="4216"/>
      <c r="H84" s="4216"/>
      <c r="I84" s="4216"/>
      <c r="J84" s="4977"/>
      <c r="K84" s="4694"/>
      <c r="L84" s="4216"/>
      <c r="M84" s="4247"/>
      <c r="N84" s="4247"/>
      <c r="O84" s="4247"/>
      <c r="P84" s="4216"/>
      <c r="Q84" s="4216"/>
      <c r="R84" s="4258"/>
      <c r="S84" s="1595"/>
      <c r="T84" s="1994"/>
      <c r="U84" s="1994"/>
      <c r="V84" s="2414"/>
      <c r="W84" s="1603"/>
      <c r="X84" s="165"/>
      <c r="Y84" s="1611"/>
      <c r="Z84" s="1611"/>
      <c r="AA84" s="1611"/>
      <c r="AB84" s="1609"/>
      <c r="AC84" s="165"/>
      <c r="AD84" s="165"/>
      <c r="AE84" s="166"/>
      <c r="AF84" s="4985"/>
    </row>
    <row r="85" spans="1:32" ht="24.75" customHeight="1">
      <c r="A85" s="4360"/>
      <c r="B85" s="4774"/>
      <c r="C85" s="4467" t="s">
        <v>272</v>
      </c>
      <c r="D85" s="4273" t="s">
        <v>302</v>
      </c>
      <c r="E85" s="4273" t="s">
        <v>388</v>
      </c>
      <c r="F85" s="4273" t="s">
        <v>847</v>
      </c>
      <c r="G85" s="4338" t="s">
        <v>305</v>
      </c>
      <c r="H85" s="4273" t="s">
        <v>240</v>
      </c>
      <c r="I85" s="4273" t="s">
        <v>241</v>
      </c>
      <c r="J85" s="4970" t="s">
        <v>4974</v>
      </c>
      <c r="K85" s="4706" t="s">
        <v>998</v>
      </c>
      <c r="L85" s="4228" t="s">
        <v>4954</v>
      </c>
      <c r="M85" s="4246">
        <v>0</v>
      </c>
      <c r="N85" s="4246">
        <v>3</v>
      </c>
      <c r="O85" s="4246">
        <v>3</v>
      </c>
      <c r="P85" s="4228" t="s">
        <v>4914</v>
      </c>
      <c r="Q85" s="4228" t="s">
        <v>4900</v>
      </c>
      <c r="R85" s="4740" t="s">
        <v>4885</v>
      </c>
      <c r="S85" s="1596"/>
      <c r="T85" s="1759"/>
      <c r="U85" s="1759"/>
      <c r="V85" s="2418"/>
      <c r="W85" s="1602"/>
      <c r="X85" s="414"/>
      <c r="Y85" s="1608"/>
      <c r="Z85" s="1608"/>
      <c r="AA85" s="1608"/>
      <c r="AB85" s="1610"/>
      <c r="AC85" s="414"/>
      <c r="AD85" s="174"/>
      <c r="AE85" s="174"/>
      <c r="AF85" s="4486"/>
    </row>
    <row r="86" spans="1:32" ht="24.75" customHeight="1">
      <c r="A86" s="4360"/>
      <c r="B86" s="4774"/>
      <c r="C86" s="4464"/>
      <c r="D86" s="4215"/>
      <c r="E86" s="4215"/>
      <c r="F86" s="4215"/>
      <c r="G86" s="4215"/>
      <c r="H86" s="4215"/>
      <c r="I86" s="4215"/>
      <c r="J86" s="4971"/>
      <c r="K86" s="4693"/>
      <c r="L86" s="4215"/>
      <c r="M86" s="4226"/>
      <c r="N86" s="4249"/>
      <c r="O86" s="4226"/>
      <c r="P86" s="4215"/>
      <c r="Q86" s="4215"/>
      <c r="R86" s="4233"/>
      <c r="S86" s="1769"/>
      <c r="T86" s="1770"/>
      <c r="U86" s="1770"/>
      <c r="V86" s="1599"/>
      <c r="W86" s="1601"/>
      <c r="X86" s="170"/>
      <c r="Y86" s="1606"/>
      <c r="Z86" s="1606"/>
      <c r="AA86" s="1606"/>
      <c r="AB86" s="1607"/>
      <c r="AC86" s="170"/>
      <c r="AD86" s="282"/>
      <c r="AE86" s="282"/>
      <c r="AF86" s="4984"/>
    </row>
    <row r="87" spans="1:32" ht="24.75" customHeight="1">
      <c r="A87" s="4360"/>
      <c r="B87" s="4774"/>
      <c r="C87" s="4464"/>
      <c r="D87" s="4215"/>
      <c r="E87" s="4215"/>
      <c r="F87" s="4215"/>
      <c r="G87" s="4215"/>
      <c r="H87" s="4215"/>
      <c r="I87" s="4215"/>
      <c r="J87" s="4971"/>
      <c r="K87" s="4693"/>
      <c r="L87" s="4215"/>
      <c r="M87" s="4226"/>
      <c r="N87" s="4249"/>
      <c r="O87" s="4226"/>
      <c r="P87" s="4215"/>
      <c r="Q87" s="4215"/>
      <c r="R87" s="4233"/>
      <c r="S87" s="1593"/>
      <c r="T87" s="1768"/>
      <c r="U87" s="1768"/>
      <c r="V87" s="1599"/>
      <c r="W87" s="1601"/>
      <c r="X87" s="170"/>
      <c r="Y87" s="1606"/>
      <c r="Z87" s="1606"/>
      <c r="AA87" s="1606"/>
      <c r="AB87" s="1607"/>
      <c r="AC87" s="170"/>
      <c r="AD87" s="282"/>
      <c r="AE87" s="282"/>
      <c r="AF87" s="4984"/>
    </row>
    <row r="88" spans="1:32" ht="24.75" customHeight="1">
      <c r="A88" s="4360"/>
      <c r="B88" s="4774"/>
      <c r="C88" s="4464"/>
      <c r="D88" s="4215"/>
      <c r="E88" s="4215"/>
      <c r="F88" s="4215"/>
      <c r="G88" s="4215"/>
      <c r="H88" s="4215"/>
      <c r="I88" s="4215"/>
      <c r="J88" s="4971"/>
      <c r="K88" s="4693"/>
      <c r="L88" s="4215"/>
      <c r="M88" s="4226"/>
      <c r="N88" s="4249"/>
      <c r="O88" s="4226"/>
      <c r="P88" s="4215"/>
      <c r="Q88" s="4215"/>
      <c r="R88" s="4233"/>
      <c r="S88" s="1593"/>
      <c r="T88" s="1768"/>
      <c r="U88" s="1768"/>
      <c r="V88" s="1599"/>
      <c r="W88" s="1601"/>
      <c r="X88" s="170"/>
      <c r="Y88" s="1606"/>
      <c r="Z88" s="1606"/>
      <c r="AA88" s="1606"/>
      <c r="AB88" s="1607"/>
      <c r="AC88" s="170"/>
      <c r="AD88" s="282"/>
      <c r="AE88" s="282"/>
      <c r="AF88" s="4984"/>
    </row>
    <row r="89" spans="1:32" ht="24.75" customHeight="1">
      <c r="A89" s="4360"/>
      <c r="B89" s="4774"/>
      <c r="C89" s="4465"/>
      <c r="D89" s="4216"/>
      <c r="E89" s="4216"/>
      <c r="F89" s="4216"/>
      <c r="G89" s="4216"/>
      <c r="H89" s="4216"/>
      <c r="I89" s="4216"/>
      <c r="J89" s="4972"/>
      <c r="K89" s="4694"/>
      <c r="L89" s="4216"/>
      <c r="M89" s="4247"/>
      <c r="N89" s="4481"/>
      <c r="O89" s="4247"/>
      <c r="P89" s="4216"/>
      <c r="Q89" s="4216"/>
      <c r="R89" s="4258"/>
      <c r="S89" s="1595"/>
      <c r="T89" s="1994"/>
      <c r="U89" s="1598"/>
      <c r="V89" s="2416"/>
      <c r="W89" s="1992"/>
      <c r="X89" s="1775"/>
      <c r="Y89" s="1777"/>
      <c r="Z89" s="1611"/>
      <c r="AA89" s="1611"/>
      <c r="AB89" s="1993"/>
      <c r="AC89" s="1775"/>
      <c r="AD89" s="1946"/>
      <c r="AE89" s="1946"/>
      <c r="AF89" s="4985"/>
    </row>
    <row r="90" spans="1:32" ht="24.75" customHeight="1">
      <c r="A90" s="4360"/>
      <c r="B90" s="4774"/>
      <c r="C90" s="4467" t="s">
        <v>272</v>
      </c>
      <c r="D90" s="4273" t="s">
        <v>302</v>
      </c>
      <c r="E90" s="4273" t="s">
        <v>388</v>
      </c>
      <c r="F90" s="4328" t="s">
        <v>944</v>
      </c>
      <c r="G90" s="4338" t="s">
        <v>305</v>
      </c>
      <c r="H90" s="4273" t="s">
        <v>240</v>
      </c>
      <c r="I90" s="4273" t="s">
        <v>241</v>
      </c>
      <c r="J90" s="4970" t="s">
        <v>4975</v>
      </c>
      <c r="K90" s="4713" t="s">
        <v>4945</v>
      </c>
      <c r="L90" s="4228" t="s">
        <v>4955</v>
      </c>
      <c r="M90" s="4246">
        <v>0</v>
      </c>
      <c r="N90" s="4246">
        <v>0</v>
      </c>
      <c r="O90" s="4246">
        <v>2</v>
      </c>
      <c r="P90" s="4228" t="s">
        <v>4913</v>
      </c>
      <c r="Q90" s="4228" t="s">
        <v>4901</v>
      </c>
      <c r="R90" s="4690" t="s">
        <v>4885</v>
      </c>
      <c r="S90" s="1996"/>
      <c r="T90" s="1759"/>
      <c r="U90" s="1759"/>
      <c r="V90" s="2417"/>
      <c r="W90" s="1604"/>
      <c r="X90" s="178"/>
      <c r="Y90" s="1612"/>
      <c r="Z90" s="1608"/>
      <c r="AA90" s="1608"/>
      <c r="AB90" s="1613"/>
      <c r="AC90" s="178"/>
      <c r="AD90" s="181"/>
      <c r="AE90" s="181"/>
      <c r="AF90" s="4486"/>
    </row>
    <row r="91" spans="1:32" ht="24.75" customHeight="1">
      <c r="A91" s="4360"/>
      <c r="B91" s="4774"/>
      <c r="C91" s="4464"/>
      <c r="D91" s="4215"/>
      <c r="E91" s="4215"/>
      <c r="F91" s="4215"/>
      <c r="G91" s="4215"/>
      <c r="H91" s="4215"/>
      <c r="I91" s="4215"/>
      <c r="J91" s="4971"/>
      <c r="K91" s="4693"/>
      <c r="L91" s="4215"/>
      <c r="M91" s="4226"/>
      <c r="N91" s="4226"/>
      <c r="O91" s="4226"/>
      <c r="P91" s="4215"/>
      <c r="Q91" s="4215"/>
      <c r="R91" s="4233"/>
      <c r="S91" s="1593"/>
      <c r="T91" s="1768"/>
      <c r="U91" s="1768"/>
      <c r="V91" s="1599"/>
      <c r="W91" s="1601"/>
      <c r="X91" s="170"/>
      <c r="Y91" s="1606"/>
      <c r="Z91" s="1606"/>
      <c r="AA91" s="1606"/>
      <c r="AB91" s="1607"/>
      <c r="AC91" s="170"/>
      <c r="AD91" s="282"/>
      <c r="AE91" s="282"/>
      <c r="AF91" s="4984"/>
    </row>
    <row r="92" spans="1:32" ht="24.75" customHeight="1">
      <c r="A92" s="4360"/>
      <c r="B92" s="4774"/>
      <c r="C92" s="4464"/>
      <c r="D92" s="4215"/>
      <c r="E92" s="4215"/>
      <c r="F92" s="4215"/>
      <c r="G92" s="4215"/>
      <c r="H92" s="4215"/>
      <c r="I92" s="4215"/>
      <c r="J92" s="4971"/>
      <c r="K92" s="4693"/>
      <c r="L92" s="4215"/>
      <c r="M92" s="4226"/>
      <c r="N92" s="4226"/>
      <c r="O92" s="4226"/>
      <c r="P92" s="4215"/>
      <c r="Q92" s="4215"/>
      <c r="R92" s="4233"/>
      <c r="S92" s="1593"/>
      <c r="T92" s="1768"/>
      <c r="U92" s="1768"/>
      <c r="V92" s="1599"/>
      <c r="W92" s="1601"/>
      <c r="X92" s="170"/>
      <c r="Y92" s="1606"/>
      <c r="Z92" s="1606"/>
      <c r="AA92" s="1606"/>
      <c r="AB92" s="1607"/>
      <c r="AC92" s="170"/>
      <c r="AD92" s="282"/>
      <c r="AE92" s="282"/>
      <c r="AF92" s="4984"/>
    </row>
    <row r="93" spans="1:32" ht="24.75" customHeight="1">
      <c r="A93" s="4360"/>
      <c r="B93" s="4774"/>
      <c r="C93" s="4464"/>
      <c r="D93" s="4215"/>
      <c r="E93" s="4215"/>
      <c r="F93" s="4215"/>
      <c r="G93" s="4215"/>
      <c r="H93" s="4215"/>
      <c r="I93" s="4215"/>
      <c r="J93" s="4971"/>
      <c r="K93" s="4693"/>
      <c r="L93" s="4215"/>
      <c r="M93" s="4226"/>
      <c r="N93" s="4226"/>
      <c r="O93" s="4226"/>
      <c r="P93" s="4215"/>
      <c r="Q93" s="4215"/>
      <c r="R93" s="4233"/>
      <c r="S93" s="1593"/>
      <c r="T93" s="1768"/>
      <c r="U93" s="1768"/>
      <c r="V93" s="1599"/>
      <c r="W93" s="1601"/>
      <c r="X93" s="170"/>
      <c r="Y93" s="1606"/>
      <c r="Z93" s="1606"/>
      <c r="AA93" s="1606"/>
      <c r="AB93" s="1607"/>
      <c r="AC93" s="170"/>
      <c r="AD93" s="282"/>
      <c r="AE93" s="282"/>
      <c r="AF93" s="4984"/>
    </row>
    <row r="94" spans="1:32" ht="24.75" customHeight="1">
      <c r="A94" s="4360"/>
      <c r="B94" s="4774"/>
      <c r="C94" s="4465"/>
      <c r="D94" s="4216"/>
      <c r="E94" s="4216"/>
      <c r="F94" s="4216"/>
      <c r="G94" s="4216"/>
      <c r="H94" s="4216"/>
      <c r="I94" s="4216"/>
      <c r="J94" s="4972"/>
      <c r="K94" s="4694"/>
      <c r="L94" s="4216"/>
      <c r="M94" s="4247"/>
      <c r="N94" s="4247"/>
      <c r="O94" s="4247"/>
      <c r="P94" s="4216"/>
      <c r="Q94" s="4216"/>
      <c r="R94" s="4258"/>
      <c r="S94" s="1595"/>
      <c r="T94" s="1994"/>
      <c r="U94" s="1994"/>
      <c r="V94" s="2414"/>
      <c r="W94" s="1603"/>
      <c r="X94" s="165"/>
      <c r="Y94" s="1611"/>
      <c r="Z94" s="1611"/>
      <c r="AA94" s="1611"/>
      <c r="AB94" s="1609"/>
      <c r="AC94" s="165"/>
      <c r="AD94" s="166"/>
      <c r="AE94" s="166"/>
      <c r="AF94" s="4985"/>
    </row>
    <row r="95" spans="1:32" ht="48" customHeight="1">
      <c r="A95" s="4360"/>
      <c r="B95" s="4774"/>
      <c r="C95" s="4467" t="s">
        <v>235</v>
      </c>
      <c r="D95" s="4273" t="s">
        <v>236</v>
      </c>
      <c r="E95" s="4273" t="s">
        <v>237</v>
      </c>
      <c r="F95" s="4273" t="s">
        <v>370</v>
      </c>
      <c r="G95" s="4338" t="s">
        <v>239</v>
      </c>
      <c r="H95" s="4273" t="s">
        <v>240</v>
      </c>
      <c r="I95" s="4273" t="s">
        <v>278</v>
      </c>
      <c r="J95" s="4970" t="s">
        <v>4976</v>
      </c>
      <c r="K95" s="4713" t="s">
        <v>4946</v>
      </c>
      <c r="L95" s="4228" t="s">
        <v>4956</v>
      </c>
      <c r="M95" s="4246">
        <v>4</v>
      </c>
      <c r="N95" s="4246">
        <v>0</v>
      </c>
      <c r="O95" s="4246">
        <v>4</v>
      </c>
      <c r="P95" s="4228" t="s">
        <v>4912</v>
      </c>
      <c r="Q95" s="4228" t="s">
        <v>4902</v>
      </c>
      <c r="R95" s="4740" t="s">
        <v>4885</v>
      </c>
      <c r="S95" s="1996"/>
      <c r="T95" s="1759"/>
      <c r="U95" s="3340"/>
      <c r="V95" s="3353"/>
      <c r="W95" s="1604"/>
      <c r="X95" s="178"/>
      <c r="Y95" s="1612"/>
      <c r="Z95" s="1608"/>
      <c r="AA95" s="1608"/>
      <c r="AB95" s="1613"/>
      <c r="AC95" s="178"/>
      <c r="AD95" s="181"/>
      <c r="AE95" s="181"/>
      <c r="AF95" s="4486"/>
    </row>
    <row r="96" spans="1:32" ht="48" customHeight="1">
      <c r="A96" s="4360"/>
      <c r="B96" s="4774"/>
      <c r="C96" s="4464"/>
      <c r="D96" s="4215"/>
      <c r="E96" s="4215"/>
      <c r="F96" s="4215"/>
      <c r="G96" s="4215"/>
      <c r="H96" s="4215"/>
      <c r="I96" s="4215"/>
      <c r="J96" s="4971"/>
      <c r="K96" s="4693"/>
      <c r="L96" s="4215"/>
      <c r="M96" s="4226"/>
      <c r="N96" s="4226"/>
      <c r="O96" s="4226"/>
      <c r="P96" s="4215"/>
      <c r="Q96" s="4215"/>
      <c r="R96" s="4233"/>
      <c r="S96" s="1593"/>
      <c r="T96" s="1768"/>
      <c r="U96" s="3352"/>
      <c r="V96" s="3354"/>
      <c r="W96" s="1601"/>
      <c r="X96" s="170"/>
      <c r="Y96" s="1606"/>
      <c r="Z96" s="1606"/>
      <c r="AA96" s="1606"/>
      <c r="AB96" s="1607"/>
      <c r="AC96" s="170"/>
      <c r="AD96" s="282"/>
      <c r="AE96" s="282"/>
      <c r="AF96" s="4984"/>
    </row>
    <row r="97" spans="1:32" ht="48" customHeight="1">
      <c r="A97" s="4360"/>
      <c r="B97" s="4774"/>
      <c r="C97" s="4464"/>
      <c r="D97" s="4215"/>
      <c r="E97" s="4215"/>
      <c r="F97" s="4215"/>
      <c r="G97" s="4215"/>
      <c r="H97" s="4215"/>
      <c r="I97" s="4215"/>
      <c r="J97" s="4971"/>
      <c r="K97" s="4693"/>
      <c r="L97" s="4215"/>
      <c r="M97" s="4226"/>
      <c r="N97" s="4226"/>
      <c r="O97" s="4226"/>
      <c r="P97" s="4215"/>
      <c r="Q97" s="4215"/>
      <c r="R97" s="4233"/>
      <c r="S97" s="1593"/>
      <c r="T97" s="1768"/>
      <c r="U97" s="3352"/>
      <c r="V97" s="3354"/>
      <c r="W97" s="1601"/>
      <c r="X97" s="170"/>
      <c r="Y97" s="1606"/>
      <c r="Z97" s="1606"/>
      <c r="AA97" s="1606"/>
      <c r="AB97" s="1607"/>
      <c r="AC97" s="170"/>
      <c r="AD97" s="282"/>
      <c r="AE97" s="282"/>
      <c r="AF97" s="4984"/>
    </row>
    <row r="98" spans="1:32" ht="48" customHeight="1">
      <c r="A98" s="4360"/>
      <c r="B98" s="4774"/>
      <c r="C98" s="4464"/>
      <c r="D98" s="4215"/>
      <c r="E98" s="4215"/>
      <c r="F98" s="4215"/>
      <c r="G98" s="4215"/>
      <c r="H98" s="4215"/>
      <c r="I98" s="4215"/>
      <c r="J98" s="4971"/>
      <c r="K98" s="4693"/>
      <c r="L98" s="4215"/>
      <c r="M98" s="4226"/>
      <c r="N98" s="4226"/>
      <c r="O98" s="4226"/>
      <c r="P98" s="4215"/>
      <c r="Q98" s="4215"/>
      <c r="R98" s="4233"/>
      <c r="S98" s="1593"/>
      <c r="T98" s="1768"/>
      <c r="U98" s="3340"/>
      <c r="V98" s="3355"/>
      <c r="W98" s="1601"/>
      <c r="X98" s="170"/>
      <c r="Y98" s="1606"/>
      <c r="Z98" s="1606"/>
      <c r="AA98" s="1606"/>
      <c r="AB98" s="1607"/>
      <c r="AC98" s="170"/>
      <c r="AD98" s="282"/>
      <c r="AE98" s="282"/>
      <c r="AF98" s="4984"/>
    </row>
    <row r="99" spans="1:32" ht="48" customHeight="1">
      <c r="A99" s="4360"/>
      <c r="B99" s="4774"/>
      <c r="C99" s="4465"/>
      <c r="D99" s="4216"/>
      <c r="E99" s="4216"/>
      <c r="F99" s="4216"/>
      <c r="G99" s="4216"/>
      <c r="H99" s="4216"/>
      <c r="I99" s="4216"/>
      <c r="J99" s="4972"/>
      <c r="K99" s="4694"/>
      <c r="L99" s="4216"/>
      <c r="M99" s="4247"/>
      <c r="N99" s="4247"/>
      <c r="O99" s="4247"/>
      <c r="P99" s="4216"/>
      <c r="Q99" s="4216"/>
      <c r="R99" s="4258"/>
      <c r="S99" s="1595"/>
      <c r="T99" s="1994"/>
      <c r="U99" s="1994"/>
      <c r="V99" s="2414"/>
      <c r="W99" s="1603"/>
      <c r="X99" s="165"/>
      <c r="Y99" s="1611"/>
      <c r="Z99" s="1611"/>
      <c r="AA99" s="1611"/>
      <c r="AB99" s="1609"/>
      <c r="AC99" s="165"/>
      <c r="AD99" s="166"/>
      <c r="AE99" s="166"/>
      <c r="AF99" s="4985"/>
    </row>
    <row r="100" spans="1:32" ht="39.75" customHeight="1">
      <c r="A100" s="4360"/>
      <c r="B100" s="4774"/>
      <c r="C100" s="4463" t="s">
        <v>272</v>
      </c>
      <c r="D100" s="4328" t="s">
        <v>302</v>
      </c>
      <c r="E100" s="4328" t="s">
        <v>388</v>
      </c>
      <c r="F100" s="4328" t="s">
        <v>847</v>
      </c>
      <c r="G100" s="4329" t="s">
        <v>305</v>
      </c>
      <c r="H100" s="4328" t="s">
        <v>240</v>
      </c>
      <c r="I100" s="4328" t="s">
        <v>257</v>
      </c>
      <c r="J100" s="4970" t="s">
        <v>4977</v>
      </c>
      <c r="K100" s="4713" t="s">
        <v>4947</v>
      </c>
      <c r="L100" s="4345" t="s">
        <v>4957</v>
      </c>
      <c r="M100" s="4249">
        <v>1</v>
      </c>
      <c r="N100" s="4246">
        <v>0</v>
      </c>
      <c r="O100" s="4249">
        <v>1</v>
      </c>
      <c r="P100" s="4345" t="s">
        <v>4911</v>
      </c>
      <c r="Q100" s="4345" t="s">
        <v>4903</v>
      </c>
      <c r="R100" s="4690" t="s">
        <v>4885</v>
      </c>
      <c r="S100" s="1996"/>
      <c r="T100" s="1759"/>
      <c r="U100" s="1759"/>
      <c r="V100" s="1600"/>
      <c r="W100" s="1602"/>
      <c r="X100" s="414"/>
      <c r="Y100" s="1608"/>
      <c r="Z100" s="1608"/>
      <c r="AA100" s="1608"/>
      <c r="AB100" s="1610"/>
      <c r="AC100" s="414"/>
      <c r="AD100" s="174"/>
      <c r="AE100" s="174"/>
      <c r="AF100" s="4324"/>
    </row>
    <row r="101" spans="1:32" ht="39.75" customHeight="1">
      <c r="A101" s="4360"/>
      <c r="B101" s="4774"/>
      <c r="C101" s="4464"/>
      <c r="D101" s="4215"/>
      <c r="E101" s="4215"/>
      <c r="F101" s="4215"/>
      <c r="G101" s="4215"/>
      <c r="H101" s="4215"/>
      <c r="I101" s="4215"/>
      <c r="J101" s="4971"/>
      <c r="K101" s="4693"/>
      <c r="L101" s="4215"/>
      <c r="M101" s="4226"/>
      <c r="N101" s="4226"/>
      <c r="O101" s="4226"/>
      <c r="P101" s="4215"/>
      <c r="Q101" s="4215"/>
      <c r="R101" s="4233"/>
      <c r="S101" s="1593"/>
      <c r="T101" s="1768"/>
      <c r="U101" s="1768"/>
      <c r="V101" s="1599"/>
      <c r="W101" s="1601"/>
      <c r="X101" s="170"/>
      <c r="Y101" s="1606"/>
      <c r="Z101" s="1606"/>
      <c r="AA101" s="1606"/>
      <c r="AB101" s="1607"/>
      <c r="AC101" s="170"/>
      <c r="AD101" s="282"/>
      <c r="AE101" s="282"/>
      <c r="AF101" s="4984"/>
    </row>
    <row r="102" spans="1:32" ht="39.75" customHeight="1">
      <c r="A102" s="4360"/>
      <c r="B102" s="4774"/>
      <c r="C102" s="4464"/>
      <c r="D102" s="4215"/>
      <c r="E102" s="4215"/>
      <c r="F102" s="4215"/>
      <c r="G102" s="4215"/>
      <c r="H102" s="4215"/>
      <c r="I102" s="4215"/>
      <c r="J102" s="4971"/>
      <c r="K102" s="4693"/>
      <c r="L102" s="4215"/>
      <c r="M102" s="4226"/>
      <c r="N102" s="4226"/>
      <c r="O102" s="4226"/>
      <c r="P102" s="4215"/>
      <c r="Q102" s="4215"/>
      <c r="R102" s="4233"/>
      <c r="S102" s="1769"/>
      <c r="T102" s="1770"/>
      <c r="U102" s="1770"/>
      <c r="V102" s="2412"/>
      <c r="W102" s="1602"/>
      <c r="X102" s="414"/>
      <c r="Y102" s="1608"/>
      <c r="Z102" s="1606"/>
      <c r="AA102" s="1606"/>
      <c r="AB102" s="1607"/>
      <c r="AC102" s="170"/>
      <c r="AD102" s="282"/>
      <c r="AE102" s="282"/>
      <c r="AF102" s="4984"/>
    </row>
    <row r="103" spans="1:32" ht="39.75" customHeight="1">
      <c r="A103" s="4360"/>
      <c r="B103" s="4774"/>
      <c r="C103" s="4464"/>
      <c r="D103" s="4215"/>
      <c r="E103" s="4215"/>
      <c r="F103" s="4215"/>
      <c r="G103" s="4215"/>
      <c r="H103" s="4215"/>
      <c r="I103" s="4215"/>
      <c r="J103" s="4971"/>
      <c r="K103" s="4693"/>
      <c r="L103" s="4215"/>
      <c r="M103" s="4226"/>
      <c r="N103" s="4226"/>
      <c r="O103" s="4226"/>
      <c r="P103" s="4215"/>
      <c r="Q103" s="4215"/>
      <c r="R103" s="4233"/>
      <c r="S103" s="1996"/>
      <c r="T103" s="1759"/>
      <c r="U103" s="1759"/>
      <c r="V103" s="2412"/>
      <c r="W103" s="1602"/>
      <c r="X103" s="414"/>
      <c r="Y103" s="1608"/>
      <c r="Z103" s="1606"/>
      <c r="AA103" s="1606"/>
      <c r="AB103" s="1607"/>
      <c r="AC103" s="170"/>
      <c r="AD103" s="282"/>
      <c r="AE103" s="282"/>
      <c r="AF103" s="4984"/>
    </row>
    <row r="104" spans="1:32" ht="39.75" customHeight="1">
      <c r="A104" s="4360"/>
      <c r="B104" s="4774"/>
      <c r="C104" s="4465"/>
      <c r="D104" s="4216"/>
      <c r="E104" s="4216"/>
      <c r="F104" s="4216"/>
      <c r="G104" s="4216"/>
      <c r="H104" s="4216"/>
      <c r="I104" s="4216"/>
      <c r="J104" s="4972"/>
      <c r="K104" s="4694"/>
      <c r="L104" s="4216"/>
      <c r="M104" s="4247"/>
      <c r="N104" s="4247"/>
      <c r="O104" s="4247"/>
      <c r="P104" s="4216"/>
      <c r="Q104" s="4216"/>
      <c r="R104" s="4258"/>
      <c r="S104" s="1595"/>
      <c r="T104" s="1994"/>
      <c r="U104" s="1994"/>
      <c r="V104" s="2414"/>
      <c r="W104" s="1603"/>
      <c r="X104" s="165"/>
      <c r="Y104" s="1611"/>
      <c r="Z104" s="1611"/>
      <c r="AA104" s="1611"/>
      <c r="AB104" s="1609"/>
      <c r="AC104" s="165"/>
      <c r="AD104" s="166"/>
      <c r="AE104" s="166"/>
      <c r="AF104" s="4985"/>
    </row>
    <row r="105" spans="1:32" ht="26.25" customHeight="1">
      <c r="A105" s="4360"/>
      <c r="B105" s="4774"/>
      <c r="C105" s="4463" t="s">
        <v>272</v>
      </c>
      <c r="D105" s="4328" t="s">
        <v>302</v>
      </c>
      <c r="E105" s="4328" t="s">
        <v>388</v>
      </c>
      <c r="F105" s="4328" t="s">
        <v>944</v>
      </c>
      <c r="G105" s="4329" t="s">
        <v>305</v>
      </c>
      <c r="H105" s="4328" t="s">
        <v>306</v>
      </c>
      <c r="I105" s="4328" t="s">
        <v>257</v>
      </c>
      <c r="J105" s="4970" t="s">
        <v>4978</v>
      </c>
      <c r="K105" s="4713" t="s">
        <v>4948</v>
      </c>
      <c r="L105" s="4345" t="s">
        <v>4958</v>
      </c>
      <c r="M105" s="4249">
        <v>1</v>
      </c>
      <c r="N105" s="4246">
        <v>0</v>
      </c>
      <c r="O105" s="4249">
        <v>0</v>
      </c>
      <c r="P105" s="4345" t="s">
        <v>4910</v>
      </c>
      <c r="Q105" s="4345" t="s">
        <v>4904</v>
      </c>
      <c r="R105" s="4740" t="s">
        <v>4885</v>
      </c>
      <c r="S105" s="1996"/>
      <c r="T105" s="1759"/>
      <c r="U105" s="1759"/>
      <c r="V105" s="1600"/>
      <c r="W105" s="1602"/>
      <c r="X105" s="414"/>
      <c r="Y105" s="1608"/>
      <c r="Z105" s="1608"/>
      <c r="AA105" s="1608"/>
      <c r="AB105" s="1610"/>
      <c r="AC105" s="414"/>
      <c r="AD105" s="168"/>
      <c r="AE105" s="168"/>
      <c r="AF105" s="4324"/>
    </row>
    <row r="106" spans="1:32" ht="26.25" customHeight="1">
      <c r="A106" s="4360"/>
      <c r="B106" s="4774"/>
      <c r="C106" s="4464"/>
      <c r="D106" s="4215"/>
      <c r="E106" s="4215"/>
      <c r="F106" s="4215"/>
      <c r="G106" s="4215"/>
      <c r="H106" s="4215"/>
      <c r="I106" s="4215"/>
      <c r="J106" s="4971"/>
      <c r="K106" s="4693"/>
      <c r="L106" s="4215"/>
      <c r="M106" s="4226"/>
      <c r="N106" s="4226"/>
      <c r="O106" s="4226"/>
      <c r="P106" s="4215"/>
      <c r="Q106" s="4215"/>
      <c r="R106" s="4233"/>
      <c r="S106" s="1593"/>
      <c r="T106" s="1768"/>
      <c r="U106" s="1768"/>
      <c r="V106" s="1599"/>
      <c r="W106" s="1601"/>
      <c r="X106" s="170"/>
      <c r="Y106" s="1606"/>
      <c r="Z106" s="1606"/>
      <c r="AA106" s="1606"/>
      <c r="AB106" s="1607"/>
      <c r="AC106" s="170"/>
      <c r="AD106" s="170"/>
      <c r="AE106" s="171"/>
      <c r="AF106" s="4984"/>
    </row>
    <row r="107" spans="1:32" ht="26.25" customHeight="1">
      <c r="A107" s="4360"/>
      <c r="B107" s="4774"/>
      <c r="C107" s="4464"/>
      <c r="D107" s="4215"/>
      <c r="E107" s="4215"/>
      <c r="F107" s="4215"/>
      <c r="G107" s="4215"/>
      <c r="H107" s="4215"/>
      <c r="I107" s="4215"/>
      <c r="J107" s="4971"/>
      <c r="K107" s="4693"/>
      <c r="L107" s="4215"/>
      <c r="M107" s="4226"/>
      <c r="N107" s="4226"/>
      <c r="O107" s="4226"/>
      <c r="P107" s="4215"/>
      <c r="Q107" s="4215"/>
      <c r="R107" s="4233"/>
      <c r="S107" s="1593"/>
      <c r="T107" s="1768"/>
      <c r="U107" s="1768"/>
      <c r="V107" s="1599"/>
      <c r="W107" s="1601"/>
      <c r="X107" s="170"/>
      <c r="Y107" s="1606"/>
      <c r="Z107" s="1606"/>
      <c r="AA107" s="1606"/>
      <c r="AB107" s="1607"/>
      <c r="AC107" s="170"/>
      <c r="AD107" s="170"/>
      <c r="AE107" s="282"/>
      <c r="AF107" s="4984"/>
    </row>
    <row r="108" spans="1:32" ht="26.25" customHeight="1">
      <c r="A108" s="4360"/>
      <c r="B108" s="4774"/>
      <c r="C108" s="4464"/>
      <c r="D108" s="4215"/>
      <c r="E108" s="4215"/>
      <c r="F108" s="4215"/>
      <c r="G108" s="4215"/>
      <c r="H108" s="4215"/>
      <c r="I108" s="4215"/>
      <c r="J108" s="4971"/>
      <c r="K108" s="4693"/>
      <c r="L108" s="4215"/>
      <c r="M108" s="4226"/>
      <c r="N108" s="4226"/>
      <c r="O108" s="4226"/>
      <c r="P108" s="4215"/>
      <c r="Q108" s="4215"/>
      <c r="R108" s="4233"/>
      <c r="S108" s="1593"/>
      <c r="T108" s="1768"/>
      <c r="U108" s="1768"/>
      <c r="V108" s="1599"/>
      <c r="W108" s="1601"/>
      <c r="X108" s="170"/>
      <c r="Y108" s="1606"/>
      <c r="Z108" s="1606"/>
      <c r="AA108" s="1606"/>
      <c r="AB108" s="1607"/>
      <c r="AC108" s="170"/>
      <c r="AD108" s="170"/>
      <c r="AE108" s="282"/>
      <c r="AF108" s="4984"/>
    </row>
    <row r="109" spans="1:32" ht="26.25" customHeight="1">
      <c r="A109" s="4360"/>
      <c r="B109" s="4774"/>
      <c r="C109" s="4465"/>
      <c r="D109" s="4216"/>
      <c r="E109" s="4216"/>
      <c r="F109" s="4216"/>
      <c r="G109" s="4216"/>
      <c r="H109" s="4216"/>
      <c r="I109" s="4216"/>
      <c r="J109" s="4972"/>
      <c r="K109" s="4694"/>
      <c r="L109" s="4216"/>
      <c r="M109" s="4247"/>
      <c r="N109" s="4247"/>
      <c r="O109" s="4247"/>
      <c r="P109" s="4216"/>
      <c r="Q109" s="4216"/>
      <c r="R109" s="4258"/>
      <c r="S109" s="1595"/>
      <c r="T109" s="1994"/>
      <c r="U109" s="1994"/>
      <c r="V109" s="2414"/>
      <c r="W109" s="1603"/>
      <c r="X109" s="165"/>
      <c r="Y109" s="1611"/>
      <c r="Z109" s="1611"/>
      <c r="AA109" s="1611"/>
      <c r="AB109" s="1609"/>
      <c r="AC109" s="165"/>
      <c r="AD109" s="165"/>
      <c r="AE109" s="166"/>
      <c r="AF109" s="4985"/>
    </row>
    <row r="110" spans="1:32" ht="33.75" customHeight="1">
      <c r="A110" s="4360"/>
      <c r="B110" s="4774"/>
      <c r="C110" s="4467" t="s">
        <v>272</v>
      </c>
      <c r="D110" s="4273" t="s">
        <v>302</v>
      </c>
      <c r="E110" s="4273" t="s">
        <v>388</v>
      </c>
      <c r="F110" s="4273" t="s">
        <v>944</v>
      </c>
      <c r="G110" s="4338" t="s">
        <v>305</v>
      </c>
      <c r="H110" s="4273" t="s">
        <v>240</v>
      </c>
      <c r="I110" s="4273" t="s">
        <v>278</v>
      </c>
      <c r="J110" s="4970" t="s">
        <v>4979</v>
      </c>
      <c r="K110" s="4713" t="s">
        <v>4949</v>
      </c>
      <c r="L110" s="4228" t="s">
        <v>4959</v>
      </c>
      <c r="M110" s="4246">
        <v>1</v>
      </c>
      <c r="N110" s="4246">
        <v>0</v>
      </c>
      <c r="O110" s="4246">
        <v>1</v>
      </c>
      <c r="P110" s="4228" t="s">
        <v>4909</v>
      </c>
      <c r="Q110" s="4228" t="s">
        <v>4905</v>
      </c>
      <c r="R110" s="4690" t="s">
        <v>4885</v>
      </c>
      <c r="S110" s="1596"/>
      <c r="T110" s="1759"/>
      <c r="U110" s="1759"/>
      <c r="V110" s="2418"/>
      <c r="W110" s="1602"/>
      <c r="X110" s="414"/>
      <c r="Y110" s="1608"/>
      <c r="Z110" s="1608"/>
      <c r="AA110" s="1608"/>
      <c r="AB110" s="1610"/>
      <c r="AC110" s="414"/>
      <c r="AD110" s="174"/>
      <c r="AE110" s="174"/>
      <c r="AF110" s="4486"/>
    </row>
    <row r="111" spans="1:32" ht="33.75" customHeight="1">
      <c r="A111" s="4360"/>
      <c r="B111" s="4774"/>
      <c r="C111" s="4464"/>
      <c r="D111" s="4215"/>
      <c r="E111" s="4215"/>
      <c r="F111" s="4215"/>
      <c r="G111" s="4215"/>
      <c r="H111" s="4215"/>
      <c r="I111" s="4215"/>
      <c r="J111" s="4971"/>
      <c r="K111" s="4693"/>
      <c r="L111" s="4215"/>
      <c r="M111" s="4226"/>
      <c r="N111" s="4226"/>
      <c r="O111" s="4226"/>
      <c r="P111" s="4215"/>
      <c r="Q111" s="4215"/>
      <c r="R111" s="4233"/>
      <c r="S111" s="1769"/>
      <c r="T111" s="1770"/>
      <c r="U111" s="1770"/>
      <c r="V111" s="1599"/>
      <c r="W111" s="1601"/>
      <c r="X111" s="170"/>
      <c r="Y111" s="1606"/>
      <c r="Z111" s="1606"/>
      <c r="AA111" s="1606"/>
      <c r="AB111" s="1607"/>
      <c r="AC111" s="170"/>
      <c r="AD111" s="282"/>
      <c r="AE111" s="282"/>
      <c r="AF111" s="4984"/>
    </row>
    <row r="112" spans="1:32" ht="33.75" customHeight="1">
      <c r="A112" s="4360"/>
      <c r="B112" s="4774"/>
      <c r="C112" s="4464"/>
      <c r="D112" s="4215"/>
      <c r="E112" s="4215"/>
      <c r="F112" s="4215"/>
      <c r="G112" s="4215"/>
      <c r="H112" s="4215"/>
      <c r="I112" s="4215"/>
      <c r="J112" s="4971"/>
      <c r="K112" s="4693"/>
      <c r="L112" s="4215"/>
      <c r="M112" s="4226"/>
      <c r="N112" s="4226"/>
      <c r="O112" s="4226"/>
      <c r="P112" s="4215"/>
      <c r="Q112" s="4215"/>
      <c r="R112" s="4233"/>
      <c r="S112" s="1593"/>
      <c r="T112" s="1768"/>
      <c r="U112" s="1768"/>
      <c r="V112" s="1599"/>
      <c r="W112" s="1601"/>
      <c r="X112" s="170"/>
      <c r="Y112" s="1606"/>
      <c r="Z112" s="1606"/>
      <c r="AA112" s="1606"/>
      <c r="AB112" s="1607"/>
      <c r="AC112" s="170"/>
      <c r="AD112" s="282"/>
      <c r="AE112" s="282"/>
      <c r="AF112" s="4984"/>
    </row>
    <row r="113" spans="1:32" ht="33.75" customHeight="1">
      <c r="A113" s="4360"/>
      <c r="B113" s="4774"/>
      <c r="C113" s="4464"/>
      <c r="D113" s="4215"/>
      <c r="E113" s="4215"/>
      <c r="F113" s="4215"/>
      <c r="G113" s="4215"/>
      <c r="H113" s="4215"/>
      <c r="I113" s="4215"/>
      <c r="J113" s="4971"/>
      <c r="K113" s="4693"/>
      <c r="L113" s="4215"/>
      <c r="M113" s="4226"/>
      <c r="N113" s="4226"/>
      <c r="O113" s="4226"/>
      <c r="P113" s="4215"/>
      <c r="Q113" s="4215"/>
      <c r="R113" s="4233"/>
      <c r="S113" s="1593"/>
      <c r="T113" s="1768"/>
      <c r="U113" s="1768"/>
      <c r="V113" s="1599"/>
      <c r="W113" s="1601"/>
      <c r="X113" s="170"/>
      <c r="Y113" s="1606"/>
      <c r="Z113" s="1606"/>
      <c r="AA113" s="1606"/>
      <c r="AB113" s="1607"/>
      <c r="AC113" s="170"/>
      <c r="AD113" s="282"/>
      <c r="AE113" s="282"/>
      <c r="AF113" s="4984"/>
    </row>
    <row r="114" spans="1:32" ht="33.75" customHeight="1">
      <c r="A114" s="4360"/>
      <c r="B114" s="4774"/>
      <c r="C114" s="4465"/>
      <c r="D114" s="4216"/>
      <c r="E114" s="4216"/>
      <c r="F114" s="4216"/>
      <c r="G114" s="4216"/>
      <c r="H114" s="4216"/>
      <c r="I114" s="4216"/>
      <c r="J114" s="4972"/>
      <c r="K114" s="4694"/>
      <c r="L114" s="4216"/>
      <c r="M114" s="4247"/>
      <c r="N114" s="4247"/>
      <c r="O114" s="4247"/>
      <c r="P114" s="4216"/>
      <c r="Q114" s="4216"/>
      <c r="R114" s="4258"/>
      <c r="S114" s="1595"/>
      <c r="T114" s="1991"/>
      <c r="U114" s="1991"/>
      <c r="V114" s="2416"/>
      <c r="W114" s="1992"/>
      <c r="X114" s="1775"/>
      <c r="Y114" s="1777"/>
      <c r="Z114" s="1611"/>
      <c r="AA114" s="1611"/>
      <c r="AB114" s="1993"/>
      <c r="AC114" s="1775"/>
      <c r="AD114" s="1946"/>
      <c r="AE114" s="1946"/>
      <c r="AF114" s="4985"/>
    </row>
    <row r="115" spans="1:32" ht="30" customHeight="1">
      <c r="A115" s="4360"/>
      <c r="B115" s="4774"/>
      <c r="C115" s="4467" t="s">
        <v>235</v>
      </c>
      <c r="D115" s="4273" t="s">
        <v>236</v>
      </c>
      <c r="E115" s="4273" t="s">
        <v>244</v>
      </c>
      <c r="F115" s="4273" t="s">
        <v>337</v>
      </c>
      <c r="G115" s="4338" t="s">
        <v>239</v>
      </c>
      <c r="H115" s="4273" t="s">
        <v>293</v>
      </c>
      <c r="I115" s="4273" t="s">
        <v>257</v>
      </c>
      <c r="J115" s="4970" t="s">
        <v>4980</v>
      </c>
      <c r="K115" s="4713" t="s">
        <v>4950</v>
      </c>
      <c r="L115" s="4345" t="s">
        <v>4940</v>
      </c>
      <c r="M115" s="4246">
        <v>0</v>
      </c>
      <c r="N115" s="4246">
        <v>1</v>
      </c>
      <c r="O115" s="4246">
        <v>1</v>
      </c>
      <c r="P115" s="4345" t="s">
        <v>4908</v>
      </c>
      <c r="Q115" s="4345" t="s">
        <v>4906</v>
      </c>
      <c r="R115" s="4740" t="s">
        <v>4885</v>
      </c>
      <c r="S115" s="1596"/>
      <c r="T115" s="1997"/>
      <c r="U115" s="1997"/>
      <c r="V115" s="2417"/>
      <c r="W115" s="1604"/>
      <c r="X115" s="178"/>
      <c r="Y115" s="1612"/>
      <c r="Z115" s="1612"/>
      <c r="AA115" s="1612"/>
      <c r="AB115" s="1613"/>
      <c r="AC115" s="178"/>
      <c r="AD115" s="181"/>
      <c r="AE115" s="181"/>
      <c r="AF115" s="4486"/>
    </row>
    <row r="116" spans="1:32" ht="30" customHeight="1">
      <c r="A116" s="4360"/>
      <c r="B116" s="4774"/>
      <c r="C116" s="4464"/>
      <c r="D116" s="4215"/>
      <c r="E116" s="4215"/>
      <c r="F116" s="4215"/>
      <c r="G116" s="4215"/>
      <c r="H116" s="4215"/>
      <c r="I116" s="4215"/>
      <c r="J116" s="4971"/>
      <c r="K116" s="4693"/>
      <c r="L116" s="4215"/>
      <c r="M116" s="4226"/>
      <c r="N116" s="4226"/>
      <c r="O116" s="4226"/>
      <c r="P116" s="4215"/>
      <c r="Q116" s="4215"/>
      <c r="R116" s="4233"/>
      <c r="S116" s="1593"/>
      <c r="T116" s="1768"/>
      <c r="U116" s="1768"/>
      <c r="V116" s="1599"/>
      <c r="W116" s="1601"/>
      <c r="X116" s="170"/>
      <c r="Y116" s="1606"/>
      <c r="Z116" s="1606"/>
      <c r="AA116" s="1606"/>
      <c r="AB116" s="1607"/>
      <c r="AC116" s="170"/>
      <c r="AD116" s="282"/>
      <c r="AE116" s="282"/>
      <c r="AF116" s="4984"/>
    </row>
    <row r="117" spans="1:32" ht="30" customHeight="1">
      <c r="A117" s="4360"/>
      <c r="B117" s="4774"/>
      <c r="C117" s="4464"/>
      <c r="D117" s="4215"/>
      <c r="E117" s="4215"/>
      <c r="F117" s="4215"/>
      <c r="G117" s="4215"/>
      <c r="H117" s="4215"/>
      <c r="I117" s="4215"/>
      <c r="J117" s="4971"/>
      <c r="K117" s="4693"/>
      <c r="L117" s="4215"/>
      <c r="M117" s="4226"/>
      <c r="N117" s="4226"/>
      <c r="O117" s="4226"/>
      <c r="P117" s="4215"/>
      <c r="Q117" s="4215"/>
      <c r="R117" s="4233"/>
      <c r="S117" s="1593"/>
      <c r="T117" s="1768"/>
      <c r="U117" s="1768"/>
      <c r="V117" s="1599"/>
      <c r="W117" s="1601"/>
      <c r="X117" s="170"/>
      <c r="Y117" s="1606"/>
      <c r="Z117" s="1606"/>
      <c r="AA117" s="1606"/>
      <c r="AB117" s="1607"/>
      <c r="AC117" s="170"/>
      <c r="AD117" s="282"/>
      <c r="AE117" s="282"/>
      <c r="AF117" s="4984"/>
    </row>
    <row r="118" spans="1:32" ht="30" customHeight="1">
      <c r="A118" s="4360"/>
      <c r="B118" s="4774"/>
      <c r="C118" s="4464"/>
      <c r="D118" s="4215"/>
      <c r="E118" s="4215"/>
      <c r="F118" s="4215"/>
      <c r="G118" s="4215"/>
      <c r="H118" s="4215"/>
      <c r="I118" s="4215"/>
      <c r="J118" s="4971"/>
      <c r="K118" s="4693"/>
      <c r="L118" s="4215"/>
      <c r="M118" s="4226"/>
      <c r="N118" s="4226"/>
      <c r="O118" s="4226"/>
      <c r="P118" s="4215"/>
      <c r="Q118" s="4215"/>
      <c r="R118" s="4233"/>
      <c r="S118" s="1593"/>
      <c r="T118" s="1768"/>
      <c r="U118" s="1768"/>
      <c r="V118" s="1599"/>
      <c r="W118" s="1601"/>
      <c r="X118" s="170"/>
      <c r="Y118" s="1606"/>
      <c r="Z118" s="1606"/>
      <c r="AA118" s="1606"/>
      <c r="AB118" s="1607"/>
      <c r="AC118" s="170"/>
      <c r="AD118" s="282"/>
      <c r="AE118" s="282"/>
      <c r="AF118" s="4984"/>
    </row>
    <row r="119" spans="1:32" ht="30" customHeight="1">
      <c r="A119" s="4360"/>
      <c r="B119" s="4774"/>
      <c r="C119" s="4465"/>
      <c r="D119" s="4216"/>
      <c r="E119" s="4216"/>
      <c r="F119" s="4216"/>
      <c r="G119" s="4216"/>
      <c r="H119" s="4216"/>
      <c r="I119" s="4216"/>
      <c r="J119" s="4972"/>
      <c r="K119" s="4694"/>
      <c r="L119" s="4216"/>
      <c r="M119" s="4247"/>
      <c r="N119" s="4247"/>
      <c r="O119" s="4247"/>
      <c r="P119" s="4216"/>
      <c r="Q119" s="4216"/>
      <c r="R119" s="4258"/>
      <c r="S119" s="1595"/>
      <c r="T119" s="1994"/>
      <c r="U119" s="1994"/>
      <c r="V119" s="2414"/>
      <c r="W119" s="1603"/>
      <c r="X119" s="165"/>
      <c r="Y119" s="1611"/>
      <c r="Z119" s="1611"/>
      <c r="AA119" s="1611"/>
      <c r="AB119" s="1609"/>
      <c r="AC119" s="165"/>
      <c r="AD119" s="166"/>
      <c r="AE119" s="166"/>
      <c r="AF119" s="4985"/>
    </row>
    <row r="120" spans="1:32" ht="148.5" customHeight="1">
      <c r="A120" s="4360"/>
      <c r="B120" s="4774"/>
      <c r="C120" s="3331" t="s">
        <v>235</v>
      </c>
      <c r="D120" s="3332" t="s">
        <v>236</v>
      </c>
      <c r="E120" s="3332" t="s">
        <v>237</v>
      </c>
      <c r="F120" s="3332" t="s">
        <v>370</v>
      </c>
      <c r="G120" s="3333" t="s">
        <v>239</v>
      </c>
      <c r="H120" s="3332" t="s">
        <v>293</v>
      </c>
      <c r="I120" s="3332" t="s">
        <v>257</v>
      </c>
      <c r="J120" s="3360" t="s">
        <v>4981</v>
      </c>
      <c r="K120" s="3360" t="s">
        <v>4951</v>
      </c>
      <c r="L120" s="3360" t="s">
        <v>4960</v>
      </c>
      <c r="M120" s="3334">
        <v>8</v>
      </c>
      <c r="N120" s="3334">
        <v>10</v>
      </c>
      <c r="O120" s="3334">
        <v>5</v>
      </c>
      <c r="P120" s="3360" t="s">
        <v>4907</v>
      </c>
      <c r="Q120" s="3360" t="s">
        <v>3911</v>
      </c>
      <c r="R120" s="3335" t="s">
        <v>4885</v>
      </c>
      <c r="S120" s="3362"/>
      <c r="T120" s="3341"/>
      <c r="U120" s="3341"/>
      <c r="V120" s="3332"/>
      <c r="W120" s="3347"/>
      <c r="X120" s="483"/>
      <c r="Y120" s="3348"/>
      <c r="Z120" s="3348"/>
      <c r="AA120" s="3348"/>
      <c r="AB120" s="3349"/>
      <c r="AC120" s="483"/>
      <c r="AD120" s="484"/>
      <c r="AE120" s="484"/>
      <c r="AF120" s="3350"/>
    </row>
    <row r="121" spans="1:32" ht="22.5" customHeight="1" thickBot="1">
      <c r="A121" s="4360"/>
      <c r="B121" s="4775"/>
      <c r="C121" s="1902"/>
      <c r="D121" s="1902"/>
      <c r="E121" s="1902"/>
      <c r="F121" s="1902"/>
      <c r="G121" s="1902"/>
      <c r="H121" s="1902"/>
      <c r="I121" s="1902"/>
      <c r="J121" s="1902"/>
      <c r="K121" s="1902"/>
      <c r="L121" s="1902"/>
      <c r="M121" s="1902"/>
      <c r="N121" s="1902"/>
      <c r="O121" s="1902"/>
      <c r="P121" s="1902"/>
      <c r="Q121" s="1902"/>
      <c r="R121" s="2001"/>
      <c r="S121" s="4986" t="s">
        <v>3927</v>
      </c>
      <c r="T121" s="4500"/>
      <c r="U121" s="4500"/>
      <c r="V121" s="4500"/>
      <c r="W121" s="4500"/>
      <c r="X121" s="4500"/>
      <c r="Y121" s="4500"/>
      <c r="Z121" s="4500"/>
      <c r="AA121" s="2172" t="s">
        <v>340</v>
      </c>
      <c r="AB121" s="2173">
        <f>SUM(AB75:AB120)</f>
        <v>0</v>
      </c>
      <c r="AC121" s="4501"/>
      <c r="AD121" s="4443"/>
      <c r="AE121" s="4443"/>
      <c r="AF121" s="4444"/>
    </row>
    <row r="122" spans="1:32" ht="22.5" customHeight="1" thickBot="1">
      <c r="A122" s="4362"/>
      <c r="B122" s="2155"/>
      <c r="C122" s="2002"/>
      <c r="D122" s="2002"/>
      <c r="E122" s="2002"/>
      <c r="F122" s="2002"/>
      <c r="G122" s="2002"/>
      <c r="H122" s="2002"/>
      <c r="I122" s="2002"/>
      <c r="J122" s="2002"/>
      <c r="K122" s="2002"/>
      <c r="L122" s="2002"/>
      <c r="M122" s="2002"/>
      <c r="N122" s="2002"/>
      <c r="O122" s="2002"/>
      <c r="P122" s="2002"/>
      <c r="Q122" s="2002"/>
      <c r="R122" s="2003"/>
      <c r="S122" s="4432" t="s">
        <v>993</v>
      </c>
      <c r="T122" s="4559"/>
      <c r="U122" s="4559"/>
      <c r="V122" s="4559"/>
      <c r="W122" s="4559"/>
      <c r="X122" s="4559"/>
      <c r="Y122" s="4559"/>
      <c r="Z122" s="4559"/>
      <c r="AA122" s="2177" t="s">
        <v>340</v>
      </c>
      <c r="AB122" s="2178">
        <f>+AB74+AB121</f>
        <v>22400.000000000004</v>
      </c>
      <c r="AC122" s="4987"/>
      <c r="AD122" s="4316"/>
      <c r="AE122" s="4316"/>
      <c r="AF122" s="4317"/>
    </row>
    <row r="123" spans="1:32" ht="17.25" thickTop="1">
      <c r="A123" s="7"/>
      <c r="B123" s="1"/>
      <c r="C123" s="485" t="s">
        <v>999</v>
      </c>
      <c r="D123" s="486"/>
      <c r="E123" s="221"/>
      <c r="F123" s="221"/>
      <c r="G123" s="221"/>
      <c r="H123" s="221"/>
      <c r="I123" s="221"/>
      <c r="J123" s="221"/>
      <c r="K123" s="221"/>
      <c r="L123" s="221"/>
      <c r="M123" s="221"/>
      <c r="N123" s="221"/>
      <c r="O123" s="221"/>
      <c r="P123" s="221"/>
      <c r="Q123" s="221"/>
      <c r="R123" s="221"/>
      <c r="S123" s="246" t="s">
        <v>1000</v>
      </c>
      <c r="T123" s="3324"/>
      <c r="U123" s="3324"/>
      <c r="V123" s="3324"/>
      <c r="W123" s="3324"/>
      <c r="X123" s="3324"/>
      <c r="Y123" s="3324"/>
      <c r="Z123" s="3324"/>
      <c r="AA123" s="3324"/>
      <c r="AB123" s="3324"/>
      <c r="AC123" s="3324"/>
      <c r="AD123" s="3324"/>
      <c r="AE123" s="3324"/>
      <c r="AF123" s="3324"/>
    </row>
    <row r="124" spans="1:32" ht="16.5" customHeight="1">
      <c r="A124" s="7"/>
      <c r="B124" s="1"/>
      <c r="C124" s="342" t="s">
        <v>1001</v>
      </c>
      <c r="D124" s="221"/>
      <c r="E124" s="221"/>
      <c r="F124" s="221"/>
      <c r="G124" s="221"/>
      <c r="H124" s="221"/>
      <c r="I124" s="221"/>
      <c r="J124" s="221"/>
      <c r="K124" s="221"/>
      <c r="L124" s="221"/>
      <c r="M124" s="221"/>
      <c r="N124" s="221"/>
      <c r="O124" s="221"/>
      <c r="P124" s="221"/>
      <c r="Q124" s="221"/>
      <c r="R124" s="221"/>
      <c r="S124" s="3"/>
      <c r="T124" s="3"/>
      <c r="U124" s="1884"/>
      <c r="V124" s="1884"/>
      <c r="W124" s="1884"/>
      <c r="X124" s="1884"/>
      <c r="Y124" s="1884"/>
      <c r="Z124" s="1884"/>
      <c r="AA124" s="135"/>
      <c r="AB124" s="4389"/>
      <c r="AC124" s="4150"/>
      <c r="AD124" s="1"/>
      <c r="AE124" s="487"/>
    </row>
    <row r="125" spans="1:32" ht="18">
      <c r="A125" s="7"/>
      <c r="B125" s="1"/>
      <c r="C125" s="221"/>
      <c r="D125" s="221"/>
      <c r="E125" s="221"/>
      <c r="F125" s="221"/>
      <c r="G125" s="221"/>
      <c r="H125" s="221"/>
      <c r="I125" s="221"/>
      <c r="J125" s="221"/>
      <c r="K125" s="221"/>
      <c r="L125" s="221"/>
      <c r="M125" s="221"/>
      <c r="N125" s="221"/>
      <c r="O125" s="221"/>
      <c r="P125" s="221"/>
      <c r="Q125" s="221"/>
      <c r="R125" s="221"/>
      <c r="S125" s="3"/>
      <c r="T125" s="488"/>
      <c r="U125" s="4222" t="s">
        <v>343</v>
      </c>
      <c r="V125" s="4223"/>
      <c r="W125" s="4223"/>
      <c r="X125" s="4223"/>
      <c r="Y125" s="4223"/>
      <c r="Z125" s="4223"/>
      <c r="AA125" s="135"/>
      <c r="AB125" s="469"/>
      <c r="AC125" s="225"/>
      <c r="AD125" s="1"/>
      <c r="AE125" s="487"/>
    </row>
    <row r="126" spans="1:32" ht="17.25" thickBot="1">
      <c r="A126" s="7"/>
      <c r="B126" s="1"/>
      <c r="C126" s="221"/>
      <c r="D126" s="221"/>
      <c r="E126" s="221"/>
      <c r="F126" s="221"/>
      <c r="G126" s="221"/>
      <c r="H126" s="221"/>
      <c r="I126" s="221"/>
      <c r="J126" s="221"/>
      <c r="K126" s="221"/>
      <c r="L126" s="221"/>
      <c r="M126" s="221"/>
      <c r="N126" s="221"/>
      <c r="O126" s="221"/>
      <c r="P126" s="221"/>
      <c r="Q126" s="221"/>
      <c r="R126" s="221"/>
      <c r="S126" s="14"/>
      <c r="T126" s="14"/>
      <c r="U126" s="131"/>
      <c r="V126" s="131"/>
      <c r="W126" s="429"/>
      <c r="X126" s="190"/>
      <c r="Y126" s="131"/>
      <c r="Z126" s="131"/>
      <c r="AA126" s="135"/>
      <c r="AB126" s="227"/>
      <c r="AC126" s="227"/>
      <c r="AD126" s="1"/>
      <c r="AE126" s="487"/>
    </row>
    <row r="127" spans="1:32" ht="16.5" customHeight="1" thickTop="1">
      <c r="A127" s="7"/>
      <c r="B127" s="1"/>
      <c r="C127" s="221"/>
      <c r="D127" s="221"/>
      <c r="E127" s="221"/>
      <c r="F127" s="221"/>
      <c r="G127" s="221"/>
      <c r="H127" s="221"/>
      <c r="I127" s="221"/>
      <c r="J127" s="221"/>
      <c r="K127" s="221"/>
      <c r="L127" s="221"/>
      <c r="M127" s="221"/>
      <c r="N127" s="221"/>
      <c r="O127" s="221"/>
      <c r="P127" s="221"/>
      <c r="Q127" s="221"/>
      <c r="R127" s="221"/>
      <c r="S127" s="3"/>
      <c r="T127" s="3"/>
      <c r="U127" s="2238" t="s">
        <v>4</v>
      </c>
      <c r="V127" s="2239" t="s">
        <v>344</v>
      </c>
      <c r="W127" s="2265" t="s">
        <v>6</v>
      </c>
      <c r="X127" s="2241" t="s">
        <v>345</v>
      </c>
      <c r="Y127" s="2241" t="s">
        <v>8</v>
      </c>
      <c r="Z127" s="2242" t="s">
        <v>346</v>
      </c>
      <c r="AA127" s="135"/>
      <c r="AB127" s="228"/>
      <c r="AC127" s="229"/>
      <c r="AD127" s="1"/>
      <c r="AE127" s="487"/>
    </row>
    <row r="128" spans="1:32" ht="33">
      <c r="A128" s="7"/>
      <c r="B128" s="1"/>
      <c r="C128" s="221"/>
      <c r="D128" s="221"/>
      <c r="E128" s="221"/>
      <c r="F128" s="221"/>
      <c r="G128" s="221"/>
      <c r="H128" s="221"/>
      <c r="I128" s="221"/>
      <c r="J128" s="221"/>
      <c r="K128" s="221"/>
      <c r="L128" s="221"/>
      <c r="M128" s="221"/>
      <c r="N128" s="221"/>
      <c r="O128" s="221"/>
      <c r="P128" s="221"/>
      <c r="Q128" s="265"/>
      <c r="R128" s="489"/>
      <c r="S128" s="262"/>
      <c r="T128" s="3"/>
      <c r="U128" s="1617" t="s">
        <v>11</v>
      </c>
      <c r="V128" s="2253" t="s">
        <v>41</v>
      </c>
      <c r="W128" s="139">
        <v>530601</v>
      </c>
      <c r="X128" s="137" t="s">
        <v>13</v>
      </c>
      <c r="Y128" s="137" t="s">
        <v>14</v>
      </c>
      <c r="Z128" s="287">
        <f>SUM($AA$10:$AA$12)</f>
        <v>22400.000000000004</v>
      </c>
      <c r="AA128" s="135"/>
      <c r="AB128" s="221"/>
      <c r="AC128" s="221"/>
      <c r="AD128" s="1"/>
      <c r="AE128" s="487"/>
    </row>
    <row r="129" spans="1:31" ht="17.25" customHeight="1" thickBot="1">
      <c r="A129" s="7"/>
      <c r="B129" s="1"/>
      <c r="C129" s="221"/>
      <c r="D129" s="221"/>
      <c r="E129" s="221"/>
      <c r="F129" s="221"/>
      <c r="G129" s="221"/>
      <c r="H129" s="221"/>
      <c r="I129" s="221"/>
      <c r="J129" s="221"/>
      <c r="K129" s="221"/>
      <c r="L129" s="221"/>
      <c r="M129" s="221"/>
      <c r="N129" s="221"/>
      <c r="O129" s="221"/>
      <c r="P129" s="221"/>
      <c r="Q129" s="221"/>
      <c r="R129" s="221"/>
      <c r="S129" s="3"/>
      <c r="T129" s="3"/>
      <c r="U129" s="2257"/>
      <c r="V129" s="2269" t="s">
        <v>183</v>
      </c>
      <c r="W129" s="2258"/>
      <c r="X129" s="2258"/>
      <c r="Y129" s="2246" t="s">
        <v>340</v>
      </c>
      <c r="Z129" s="140">
        <f>SUM(Z128)</f>
        <v>22400.000000000004</v>
      </c>
      <c r="AA129" s="131"/>
      <c r="AB129" s="221"/>
      <c r="AC129" s="234"/>
      <c r="AD129" s="1"/>
      <c r="AE129" s="487"/>
    </row>
    <row r="130" spans="1:31" ht="16.5" customHeight="1" thickTop="1">
      <c r="A130" s="7"/>
      <c r="B130" s="1"/>
      <c r="C130" s="221"/>
      <c r="D130" s="221"/>
      <c r="E130" s="221"/>
      <c r="F130" s="221"/>
      <c r="G130" s="221"/>
      <c r="H130" s="221"/>
      <c r="I130" s="221"/>
      <c r="J130" s="221"/>
      <c r="K130" s="221"/>
      <c r="L130" s="221"/>
      <c r="M130" s="221"/>
      <c r="N130" s="221"/>
      <c r="O130" s="221"/>
      <c r="P130" s="221"/>
      <c r="Q130" s="221"/>
      <c r="R130" s="221"/>
      <c r="S130" s="3"/>
      <c r="T130" s="3"/>
      <c r="U130" s="131"/>
      <c r="V130" s="131"/>
      <c r="W130" s="142" t="s">
        <v>347</v>
      </c>
      <c r="X130" s="429"/>
      <c r="Y130" s="190"/>
      <c r="Z130" s="131"/>
      <c r="AA130" s="131"/>
      <c r="AB130" s="221"/>
      <c r="AC130" s="234"/>
      <c r="AD130" s="1"/>
      <c r="AE130" s="487"/>
    </row>
    <row r="131" spans="1:31" ht="16.5" customHeight="1" thickBot="1">
      <c r="A131" s="7"/>
      <c r="B131" s="1"/>
      <c r="C131" s="221"/>
      <c r="D131" s="221"/>
      <c r="E131" s="221"/>
      <c r="F131" s="221"/>
      <c r="G131" s="221"/>
      <c r="H131" s="221"/>
      <c r="I131" s="221"/>
      <c r="J131" s="221"/>
      <c r="K131" s="221"/>
      <c r="L131" s="221"/>
      <c r="M131" s="221"/>
      <c r="N131" s="221"/>
      <c r="O131" s="221"/>
      <c r="P131" s="221"/>
      <c r="Q131" s="221"/>
      <c r="R131" s="221"/>
      <c r="S131" s="3"/>
      <c r="T131" s="3"/>
      <c r="U131" s="131"/>
      <c r="V131" s="131"/>
      <c r="W131" s="131"/>
      <c r="X131" s="429"/>
      <c r="Y131" s="190"/>
      <c r="Z131" s="131"/>
      <c r="AA131" s="131"/>
      <c r="AB131" s="268"/>
      <c r="AC131" s="221"/>
      <c r="AD131" s="1"/>
      <c r="AE131" s="487"/>
    </row>
    <row r="132" spans="1:31" ht="16.5" customHeight="1" thickTop="1">
      <c r="A132" s="7"/>
      <c r="B132" s="1"/>
      <c r="C132" s="221"/>
      <c r="D132" s="221"/>
      <c r="E132" s="221"/>
      <c r="F132" s="221"/>
      <c r="G132" s="221"/>
      <c r="H132" s="221"/>
      <c r="I132" s="221"/>
      <c r="J132" s="221"/>
      <c r="K132" s="221"/>
      <c r="L132" s="221"/>
      <c r="M132" s="221"/>
      <c r="N132" s="221"/>
      <c r="O132" s="221"/>
      <c r="P132" s="221"/>
      <c r="Q132" s="221"/>
      <c r="R132" s="221"/>
      <c r="S132" s="3"/>
      <c r="T132" s="3"/>
      <c r="U132" s="4303" t="s">
        <v>348</v>
      </c>
      <c r="V132" s="4304"/>
      <c r="W132" s="4305"/>
      <c r="X132" s="429"/>
      <c r="Y132" s="433" t="s">
        <v>349</v>
      </c>
      <c r="Z132" s="145" t="str">
        <f>IF(Z129=AB122,"OK","NO")</f>
        <v>OK</v>
      </c>
      <c r="AA132" s="131"/>
      <c r="AB132" s="268"/>
      <c r="AC132" s="221"/>
      <c r="AD132" s="1"/>
      <c r="AE132" s="487"/>
    </row>
    <row r="133" spans="1:31" ht="16.5" customHeight="1">
      <c r="A133" s="7"/>
      <c r="B133" s="1"/>
      <c r="C133" s="221"/>
      <c r="D133" s="221"/>
      <c r="E133" s="221"/>
      <c r="F133" s="221"/>
      <c r="G133" s="221"/>
      <c r="H133" s="221"/>
      <c r="I133" s="221"/>
      <c r="J133" s="221"/>
      <c r="K133" s="221"/>
      <c r="L133" s="221"/>
      <c r="M133" s="221"/>
      <c r="N133" s="221"/>
      <c r="O133" s="221"/>
      <c r="P133" s="221"/>
      <c r="Q133" s="221"/>
      <c r="R133" s="221"/>
      <c r="S133" s="3"/>
      <c r="T133" s="3"/>
      <c r="U133" s="4213" t="s">
        <v>3666</v>
      </c>
      <c r="V133" s="4208"/>
      <c r="W133" s="516">
        <v>0</v>
      </c>
      <c r="X133" s="429"/>
      <c r="Y133" s="190"/>
      <c r="Z133" s="145" t="str">
        <f>IF(W137=AB122,"OK","NO")</f>
        <v>OK</v>
      </c>
      <c r="AA133" s="131"/>
      <c r="AB133" s="268"/>
      <c r="AC133" s="221"/>
      <c r="AD133" s="1"/>
      <c r="AE133" s="487"/>
    </row>
    <row r="134" spans="1:31" ht="16.5" customHeight="1">
      <c r="A134" s="7"/>
      <c r="B134" s="1"/>
      <c r="C134" s="221"/>
      <c r="D134" s="221"/>
      <c r="E134" s="221"/>
      <c r="F134" s="221"/>
      <c r="G134" s="221"/>
      <c r="H134" s="221"/>
      <c r="I134" s="221"/>
      <c r="J134" s="221"/>
      <c r="K134" s="221"/>
      <c r="L134" s="221"/>
      <c r="M134" s="221"/>
      <c r="N134" s="221"/>
      <c r="O134" s="221"/>
      <c r="P134" s="221"/>
      <c r="Q134" s="221"/>
      <c r="R134" s="221"/>
      <c r="S134" s="3"/>
      <c r="T134" s="3"/>
      <c r="U134" s="4200" t="s">
        <v>3667</v>
      </c>
      <c r="V134" s="4201"/>
      <c r="W134" s="515">
        <v>0</v>
      </c>
      <c r="X134" s="429"/>
      <c r="Y134" s="190"/>
      <c r="Z134" s="145" t="str">
        <f>IF(W147=AB122,"OK","NO")</f>
        <v>OK</v>
      </c>
      <c r="AA134" s="131"/>
      <c r="AB134" s="268"/>
      <c r="AC134" s="221"/>
      <c r="AD134" s="1"/>
      <c r="AE134" s="487"/>
    </row>
    <row r="135" spans="1:31" ht="16.5" customHeight="1">
      <c r="A135" s="7"/>
      <c r="B135" s="1"/>
      <c r="C135" s="221"/>
      <c r="D135" s="221"/>
      <c r="E135" s="221"/>
      <c r="F135" s="221"/>
      <c r="G135" s="221"/>
      <c r="H135" s="221"/>
      <c r="I135" s="221"/>
      <c r="J135" s="221"/>
      <c r="K135" s="221"/>
      <c r="L135" s="221"/>
      <c r="M135" s="221"/>
      <c r="N135" s="221"/>
      <c r="O135" s="221"/>
      <c r="P135" s="221"/>
      <c r="Q135" s="221"/>
      <c r="R135" s="221"/>
      <c r="S135" s="3"/>
      <c r="T135" s="3"/>
      <c r="U135" s="4200" t="s">
        <v>3669</v>
      </c>
      <c r="V135" s="4201"/>
      <c r="W135" s="515">
        <f>SUM(Z128)</f>
        <v>22400.000000000004</v>
      </c>
      <c r="X135" s="429"/>
      <c r="Y135" s="434"/>
      <c r="Z135" s="145" t="str">
        <f>IF(Resumen!C357=AB122,"OK","NO")</f>
        <v>OK</v>
      </c>
      <c r="AA135" s="131"/>
      <c r="AB135" s="268"/>
      <c r="AC135" s="221"/>
      <c r="AD135" s="1"/>
      <c r="AE135" s="487"/>
    </row>
    <row r="136" spans="1:31" ht="16.5" customHeight="1">
      <c r="A136" s="7"/>
      <c r="B136" s="1"/>
      <c r="C136" s="221"/>
      <c r="D136" s="221"/>
      <c r="E136" s="221"/>
      <c r="F136" s="221"/>
      <c r="G136" s="221"/>
      <c r="H136" s="221"/>
      <c r="I136" s="221"/>
      <c r="J136" s="221"/>
      <c r="K136" s="221"/>
      <c r="L136" s="221"/>
      <c r="M136" s="221"/>
      <c r="N136" s="221"/>
      <c r="O136" s="221"/>
      <c r="P136" s="221"/>
      <c r="Q136" s="221"/>
      <c r="R136" s="221"/>
      <c r="S136" s="3"/>
      <c r="T136" s="3"/>
      <c r="U136" s="4200" t="s">
        <v>3668</v>
      </c>
      <c r="V136" s="4201"/>
      <c r="W136" s="517">
        <v>0</v>
      </c>
      <c r="X136" s="429"/>
      <c r="Y136" s="434"/>
      <c r="Z136" s="131"/>
      <c r="AA136" s="131"/>
      <c r="AB136" s="268"/>
      <c r="AC136" s="221"/>
      <c r="AD136" s="1"/>
      <c r="AE136" s="487"/>
    </row>
    <row r="137" spans="1:31" ht="16.5" customHeight="1">
      <c r="A137" s="7"/>
      <c r="B137" s="1"/>
      <c r="C137" s="221"/>
      <c r="D137" s="221"/>
      <c r="E137" s="221"/>
      <c r="F137" s="221"/>
      <c r="G137" s="221"/>
      <c r="H137" s="221"/>
      <c r="I137" s="221"/>
      <c r="J137" s="221"/>
      <c r="K137" s="221"/>
      <c r="L137" s="221"/>
      <c r="M137" s="221"/>
      <c r="N137" s="221"/>
      <c r="O137" s="221"/>
      <c r="P137" s="221"/>
      <c r="Q137" s="221"/>
      <c r="R137" s="221"/>
      <c r="S137" s="3"/>
      <c r="T137" s="3"/>
      <c r="U137" s="4553" t="s">
        <v>183</v>
      </c>
      <c r="V137" s="4554"/>
      <c r="W137" s="1571">
        <f>SUM(W133:W136)</f>
        <v>22400.000000000004</v>
      </c>
      <c r="X137" s="429"/>
      <c r="Y137" s="434"/>
      <c r="Z137" s="131"/>
      <c r="AA137" s="131"/>
      <c r="AB137" s="268"/>
      <c r="AC137" s="221"/>
      <c r="AD137" s="1"/>
      <c r="AE137" s="487"/>
    </row>
    <row r="138" spans="1:31" ht="16.5" customHeight="1">
      <c r="A138" s="7"/>
      <c r="B138" s="1"/>
      <c r="C138" s="221"/>
      <c r="D138" s="221"/>
      <c r="E138" s="221"/>
      <c r="F138" s="221"/>
      <c r="G138" s="221"/>
      <c r="H138" s="221"/>
      <c r="I138" s="221"/>
      <c r="J138" s="221"/>
      <c r="K138" s="221"/>
      <c r="L138" s="221"/>
      <c r="M138" s="221"/>
      <c r="N138" s="221"/>
      <c r="O138" s="221"/>
      <c r="P138" s="221"/>
      <c r="Q138" s="221"/>
      <c r="R138" s="221"/>
      <c r="S138" s="3"/>
      <c r="T138" s="3"/>
      <c r="U138" s="4555" t="s">
        <v>350</v>
      </c>
      <c r="V138" s="4556"/>
      <c r="W138" s="4557"/>
      <c r="X138" s="429"/>
      <c r="Y138" s="435"/>
      <c r="Z138" s="131"/>
      <c r="AA138" s="131"/>
      <c r="AB138" s="268"/>
      <c r="AC138" s="221"/>
      <c r="AD138" s="1"/>
      <c r="AE138" s="487"/>
    </row>
    <row r="139" spans="1:31" ht="16.5" customHeight="1">
      <c r="A139" s="7"/>
      <c r="B139" s="1"/>
      <c r="C139" s="221"/>
      <c r="D139" s="221"/>
      <c r="E139" s="221"/>
      <c r="F139" s="221"/>
      <c r="G139" s="221"/>
      <c r="H139" s="221"/>
      <c r="I139" s="221"/>
      <c r="J139" s="221"/>
      <c r="K139" s="221"/>
      <c r="L139" s="221"/>
      <c r="M139" s="221"/>
      <c r="N139" s="221"/>
      <c r="O139" s="221"/>
      <c r="P139" s="221"/>
      <c r="Q139" s="221"/>
      <c r="R139" s="221"/>
      <c r="S139" s="3"/>
      <c r="T139" s="3"/>
      <c r="U139" s="4207" t="s">
        <v>3670</v>
      </c>
      <c r="V139" s="4208"/>
      <c r="W139" s="516">
        <v>0</v>
      </c>
      <c r="X139" s="429"/>
      <c r="Y139" s="435"/>
      <c r="Z139" s="131"/>
      <c r="AA139" s="269"/>
      <c r="AB139" s="270"/>
      <c r="AC139" s="225"/>
      <c r="AD139" s="1"/>
      <c r="AE139" s="487"/>
    </row>
    <row r="140" spans="1:31" ht="16.5" customHeight="1">
      <c r="A140" s="7"/>
      <c r="B140" s="1"/>
      <c r="C140" s="221"/>
      <c r="D140" s="221"/>
      <c r="E140" s="221"/>
      <c r="F140" s="221"/>
      <c r="G140" s="221"/>
      <c r="H140" s="221"/>
      <c r="I140" s="221"/>
      <c r="J140" s="221"/>
      <c r="K140" s="221"/>
      <c r="L140" s="221"/>
      <c r="M140" s="221"/>
      <c r="N140" s="221"/>
      <c r="O140" s="221"/>
      <c r="P140" s="221"/>
      <c r="Q140" s="221"/>
      <c r="R140" s="221"/>
      <c r="S140" s="3"/>
      <c r="T140" s="3"/>
      <c r="U140" s="4209" t="s">
        <v>3671</v>
      </c>
      <c r="V140" s="4201"/>
      <c r="W140" s="515">
        <f>SUM(Z128)</f>
        <v>22400.000000000004</v>
      </c>
      <c r="X140" s="429"/>
      <c r="Y140" s="436"/>
      <c r="Z140" s="269"/>
      <c r="AA140" s="269"/>
      <c r="AB140" s="270"/>
      <c r="AC140" s="225"/>
      <c r="AD140" s="1"/>
      <c r="AE140" s="487"/>
    </row>
    <row r="141" spans="1:31" ht="16.5" customHeight="1">
      <c r="A141" s="7"/>
      <c r="B141" s="1"/>
      <c r="C141" s="221"/>
      <c r="D141" s="221"/>
      <c r="E141" s="221"/>
      <c r="F141" s="221"/>
      <c r="G141" s="221"/>
      <c r="H141" s="221"/>
      <c r="I141" s="221"/>
      <c r="J141" s="221"/>
      <c r="K141" s="221"/>
      <c r="L141" s="221"/>
      <c r="M141" s="221"/>
      <c r="N141" s="221"/>
      <c r="O141" s="221"/>
      <c r="P141" s="221"/>
      <c r="Q141" s="221"/>
      <c r="R141" s="221"/>
      <c r="S141" s="3"/>
      <c r="T141" s="3"/>
      <c r="U141" s="4209" t="s">
        <v>3672</v>
      </c>
      <c r="V141" s="4201"/>
      <c r="W141" s="515">
        <v>0</v>
      </c>
      <c r="X141" s="429"/>
      <c r="Y141" s="437"/>
      <c r="Z141" s="269"/>
      <c r="AA141" s="269"/>
      <c r="AB141" s="270"/>
      <c r="AC141" s="225"/>
      <c r="AD141" s="1"/>
      <c r="AE141" s="487"/>
    </row>
    <row r="142" spans="1:31" ht="16.5" customHeight="1">
      <c r="A142" s="7"/>
      <c r="B142" s="1"/>
      <c r="C142" s="221"/>
      <c r="D142" s="221"/>
      <c r="E142" s="221"/>
      <c r="F142" s="221"/>
      <c r="G142" s="221"/>
      <c r="H142" s="221"/>
      <c r="I142" s="221"/>
      <c r="J142" s="221"/>
      <c r="K142" s="221"/>
      <c r="L142" s="221"/>
      <c r="M142" s="221"/>
      <c r="N142" s="221"/>
      <c r="O142" s="221"/>
      <c r="P142" s="221"/>
      <c r="Q142" s="221"/>
      <c r="R142" s="221"/>
      <c r="S142" s="3"/>
      <c r="T142" s="3"/>
      <c r="U142" s="4209" t="s">
        <v>3673</v>
      </c>
      <c r="V142" s="4201"/>
      <c r="W142" s="515">
        <v>0</v>
      </c>
      <c r="X142" s="429"/>
      <c r="Y142" s="439"/>
      <c r="Z142" s="269"/>
      <c r="AA142" s="1884"/>
      <c r="AB142" s="1884"/>
      <c r="AC142" s="225"/>
      <c r="AD142" s="1"/>
      <c r="AE142" s="487"/>
    </row>
    <row r="143" spans="1:31" ht="16.5" customHeight="1">
      <c r="A143" s="7"/>
      <c r="B143" s="1"/>
      <c r="C143" s="221"/>
      <c r="D143" s="221"/>
      <c r="E143" s="221"/>
      <c r="F143" s="221"/>
      <c r="G143" s="221"/>
      <c r="H143" s="221"/>
      <c r="I143" s="221"/>
      <c r="J143" s="221"/>
      <c r="K143" s="221"/>
      <c r="L143" s="221"/>
      <c r="M143" s="221"/>
      <c r="N143" s="221"/>
      <c r="O143" s="221"/>
      <c r="P143" s="221"/>
      <c r="Q143" s="221"/>
      <c r="R143" s="221"/>
      <c r="S143" s="3"/>
      <c r="T143" s="3"/>
      <c r="U143" s="4209" t="s">
        <v>3674</v>
      </c>
      <c r="V143" s="4201"/>
      <c r="W143" s="515">
        <v>0</v>
      </c>
      <c r="X143" s="429"/>
      <c r="Y143" s="440"/>
      <c r="Z143" s="1887"/>
      <c r="AA143" s="272"/>
      <c r="AB143" s="271"/>
      <c r="AC143" s="225"/>
      <c r="AD143" s="1"/>
      <c r="AE143" s="487"/>
    </row>
    <row r="144" spans="1:31" ht="16.5" customHeight="1">
      <c r="A144" s="7"/>
      <c r="B144" s="1"/>
      <c r="C144" s="221"/>
      <c r="D144" s="221"/>
      <c r="E144" s="221"/>
      <c r="F144" s="221"/>
      <c r="G144" s="221"/>
      <c r="H144" s="221"/>
      <c r="I144" s="221"/>
      <c r="J144" s="221"/>
      <c r="K144" s="221"/>
      <c r="L144" s="221"/>
      <c r="M144" s="221"/>
      <c r="N144" s="221"/>
      <c r="O144" s="221"/>
      <c r="P144" s="221"/>
      <c r="Q144" s="221"/>
      <c r="R144" s="221"/>
      <c r="S144" s="3"/>
      <c r="T144" s="3"/>
      <c r="U144" s="4209" t="s">
        <v>3675</v>
      </c>
      <c r="V144" s="4201"/>
      <c r="W144" s="515">
        <v>0</v>
      </c>
      <c r="X144" s="429"/>
      <c r="Y144" s="440"/>
      <c r="Z144" s="271"/>
      <c r="AA144" s="274"/>
      <c r="AB144" s="380"/>
      <c r="AC144" s="225"/>
      <c r="AD144" s="1"/>
      <c r="AE144" s="487"/>
    </row>
    <row r="145" spans="1:31" ht="16.5" customHeight="1">
      <c r="A145" s="7"/>
      <c r="B145" s="1"/>
      <c r="C145" s="221"/>
      <c r="D145" s="221"/>
      <c r="E145" s="221"/>
      <c r="F145" s="221"/>
      <c r="G145" s="221"/>
      <c r="H145" s="221"/>
      <c r="I145" s="221"/>
      <c r="J145" s="221"/>
      <c r="K145" s="221"/>
      <c r="L145" s="221"/>
      <c r="M145" s="221"/>
      <c r="N145" s="221"/>
      <c r="O145" s="221"/>
      <c r="P145" s="221"/>
      <c r="Q145" s="221"/>
      <c r="R145" s="221"/>
      <c r="S145" s="3"/>
      <c r="T145" s="3"/>
      <c r="U145" s="4209" t="s">
        <v>3676</v>
      </c>
      <c r="V145" s="4201"/>
      <c r="W145" s="515">
        <v>0</v>
      </c>
      <c r="X145" s="429"/>
      <c r="Y145" s="440"/>
      <c r="Z145" s="345"/>
      <c r="AA145" s="235"/>
      <c r="AB145" s="270"/>
      <c r="AC145" s="225"/>
      <c r="AD145" s="1"/>
      <c r="AE145" s="487"/>
    </row>
    <row r="146" spans="1:31" ht="16.5" customHeight="1">
      <c r="A146" s="7"/>
      <c r="B146" s="1"/>
      <c r="C146" s="221"/>
      <c r="D146" s="221"/>
      <c r="E146" s="221"/>
      <c r="F146" s="221"/>
      <c r="G146" s="221"/>
      <c r="H146" s="221"/>
      <c r="I146" s="221"/>
      <c r="J146" s="221"/>
      <c r="K146" s="221"/>
      <c r="L146" s="221"/>
      <c r="M146" s="221"/>
      <c r="N146" s="221"/>
      <c r="O146" s="221"/>
      <c r="P146" s="221"/>
      <c r="Q146" s="221"/>
      <c r="R146" s="221"/>
      <c r="S146" s="3"/>
      <c r="T146" s="3"/>
      <c r="U146" s="4209" t="s">
        <v>3677</v>
      </c>
      <c r="V146" s="4201"/>
      <c r="W146" s="517">
        <v>0</v>
      </c>
      <c r="X146" s="429"/>
      <c r="Y146" s="441"/>
      <c r="Z146" s="235"/>
      <c r="AA146" s="269"/>
      <c r="AB146" s="270"/>
      <c r="AC146" s="225"/>
      <c r="AD146" s="1"/>
      <c r="AE146" s="487"/>
    </row>
    <row r="147" spans="1:31" ht="15.75" customHeight="1" thickBot="1">
      <c r="U147" s="4295" t="s">
        <v>183</v>
      </c>
      <c r="V147" s="4296"/>
      <c r="W147" s="1572">
        <f>SUM(W139:W146)</f>
        <v>22400.000000000004</v>
      </c>
      <c r="X147" s="429"/>
      <c r="Y147" s="437"/>
      <c r="Z147" s="269"/>
    </row>
    <row r="148" spans="1:31" ht="15.75" customHeight="1" thickTop="1"/>
  </sheetData>
  <mergeCells count="424">
    <mergeCell ref="AF39:AF43"/>
    <mergeCell ref="AF44:AF48"/>
    <mergeCell ref="E29:E33"/>
    <mergeCell ref="F29:F33"/>
    <mergeCell ref="G29:G33"/>
    <mergeCell ref="H29:H33"/>
    <mergeCell ref="I29:I33"/>
    <mergeCell ref="N14:N18"/>
    <mergeCell ref="O14:O18"/>
    <mergeCell ref="P14:P18"/>
    <mergeCell ref="Q14:Q18"/>
    <mergeCell ref="R14:R18"/>
    <mergeCell ref="L34:L38"/>
    <mergeCell ref="M34:M38"/>
    <mergeCell ref="N34:N38"/>
    <mergeCell ref="O34:O38"/>
    <mergeCell ref="P34:P38"/>
    <mergeCell ref="Q34:Q38"/>
    <mergeCell ref="R34:R38"/>
    <mergeCell ref="E34:E38"/>
    <mergeCell ref="F34:F38"/>
    <mergeCell ref="G34:G38"/>
    <mergeCell ref="H34:H38"/>
    <mergeCell ref="I34:I38"/>
    <mergeCell ref="AF49:AF53"/>
    <mergeCell ref="L14:L18"/>
    <mergeCell ref="M14:M18"/>
    <mergeCell ref="AF14:AF18"/>
    <mergeCell ref="AF19:AF23"/>
    <mergeCell ref="AF24:AF28"/>
    <mergeCell ref="AF29:AF33"/>
    <mergeCell ref="AF34:AF38"/>
    <mergeCell ref="J19:J23"/>
    <mergeCell ref="K19:K23"/>
    <mergeCell ref="N24:N28"/>
    <mergeCell ref="O24:O28"/>
    <mergeCell ref="P24:P28"/>
    <mergeCell ref="Q24:Q28"/>
    <mergeCell ref="R24:R28"/>
    <mergeCell ref="L29:L33"/>
    <mergeCell ref="M29:M33"/>
    <mergeCell ref="O29:O33"/>
    <mergeCell ref="P29:P33"/>
    <mergeCell ref="Q29:Q33"/>
    <mergeCell ref="R29:R33"/>
    <mergeCell ref="J29:J33"/>
    <mergeCell ref="K29:K33"/>
    <mergeCell ref="L49:L53"/>
    <mergeCell ref="C14:C18"/>
    <mergeCell ref="C19:C23"/>
    <mergeCell ref="E19:E23"/>
    <mergeCell ref="F19:F23"/>
    <mergeCell ref="G19:G23"/>
    <mergeCell ref="H19:H23"/>
    <mergeCell ref="I19:I23"/>
    <mergeCell ref="L24:L28"/>
    <mergeCell ref="M24:M28"/>
    <mergeCell ref="E24:E28"/>
    <mergeCell ref="F24:F28"/>
    <mergeCell ref="G24:G28"/>
    <mergeCell ref="H24:H28"/>
    <mergeCell ref="I24:I28"/>
    <mergeCell ref="J24:J28"/>
    <mergeCell ref="K24:K28"/>
    <mergeCell ref="D19:D23"/>
    <mergeCell ref="C24:C28"/>
    <mergeCell ref="D24:D28"/>
    <mergeCell ref="E14:E18"/>
    <mergeCell ref="F14:F18"/>
    <mergeCell ref="G14:G18"/>
    <mergeCell ref="H14:H18"/>
    <mergeCell ref="I14:I18"/>
    <mergeCell ref="N49:N53"/>
    <mergeCell ref="O49:O53"/>
    <mergeCell ref="P49:P53"/>
    <mergeCell ref="Q49:Q53"/>
    <mergeCell ref="R49:R53"/>
    <mergeCell ref="E49:E53"/>
    <mergeCell ref="F49:F53"/>
    <mergeCell ref="G49:G53"/>
    <mergeCell ref="H49:H53"/>
    <mergeCell ref="I49:I53"/>
    <mergeCell ref="J49:J53"/>
    <mergeCell ref="K49:K53"/>
    <mergeCell ref="J9:J13"/>
    <mergeCell ref="K9:K13"/>
    <mergeCell ref="L9:L13"/>
    <mergeCell ref="M9:M13"/>
    <mergeCell ref="N9:N13"/>
    <mergeCell ref="O9:O13"/>
    <mergeCell ref="P9:P13"/>
    <mergeCell ref="A1:AF1"/>
    <mergeCell ref="A2:AF2"/>
    <mergeCell ref="A3:AF3"/>
    <mergeCell ref="A4:AF4"/>
    <mergeCell ref="E9:E13"/>
    <mergeCell ref="F9:F13"/>
    <mergeCell ref="G9:G13"/>
    <mergeCell ref="H9:H13"/>
    <mergeCell ref="I9:I13"/>
    <mergeCell ref="A9:A122"/>
    <mergeCell ref="B9:B74"/>
    <mergeCell ref="C9:C13"/>
    <mergeCell ref="D9:D13"/>
    <mergeCell ref="D14:D18"/>
    <mergeCell ref="L90:L94"/>
    <mergeCell ref="M90:M94"/>
    <mergeCell ref="M49:M53"/>
    <mergeCell ref="R19:R23"/>
    <mergeCell ref="L19:L23"/>
    <mergeCell ref="M19:M23"/>
    <mergeCell ref="N19:N23"/>
    <mergeCell ref="O19:O23"/>
    <mergeCell ref="P19:P23"/>
    <mergeCell ref="Q9:Q13"/>
    <mergeCell ref="R9:R13"/>
    <mergeCell ref="AF9:AF13"/>
    <mergeCell ref="J14:J18"/>
    <mergeCell ref="K14:K18"/>
    <mergeCell ref="J34:J38"/>
    <mergeCell ref="K34:K38"/>
    <mergeCell ref="L39:L43"/>
    <mergeCell ref="M39:M43"/>
    <mergeCell ref="O39:O43"/>
    <mergeCell ref="P39:P43"/>
    <mergeCell ref="Q39:Q43"/>
    <mergeCell ref="Q19:Q23"/>
    <mergeCell ref="R39:R43"/>
    <mergeCell ref="E39:E43"/>
    <mergeCell ref="F39:F43"/>
    <mergeCell ref="G39:G43"/>
    <mergeCell ref="H39:H43"/>
    <mergeCell ref="I39:I43"/>
    <mergeCell ref="J39:J43"/>
    <mergeCell ref="K39:K43"/>
    <mergeCell ref="L44:L48"/>
    <mergeCell ref="M44:M48"/>
    <mergeCell ref="O44:O48"/>
    <mergeCell ref="P44:P48"/>
    <mergeCell ref="Q44:Q48"/>
    <mergeCell ref="R44:R48"/>
    <mergeCell ref="E44:E48"/>
    <mergeCell ref="F44:F48"/>
    <mergeCell ref="G44:G48"/>
    <mergeCell ref="H44:H48"/>
    <mergeCell ref="I44:I48"/>
    <mergeCell ref="J44:J48"/>
    <mergeCell ref="K44:K48"/>
    <mergeCell ref="C54:C58"/>
    <mergeCell ref="D54:D58"/>
    <mergeCell ref="E54:E58"/>
    <mergeCell ref="F54:F58"/>
    <mergeCell ref="G54:G58"/>
    <mergeCell ref="H54:H58"/>
    <mergeCell ref="I54:I58"/>
    <mergeCell ref="J54:J58"/>
    <mergeCell ref="K54:K58"/>
    <mergeCell ref="L54:L58"/>
    <mergeCell ref="M54:M58"/>
    <mergeCell ref="N54:N58"/>
    <mergeCell ref="O54:O58"/>
    <mergeCell ref="P54:P58"/>
    <mergeCell ref="Q54:Q58"/>
    <mergeCell ref="R54:R58"/>
    <mergeCell ref="AF54:AF58"/>
    <mergeCell ref="AF59:AF63"/>
    <mergeCell ref="Q59:Q63"/>
    <mergeCell ref="R59:R63"/>
    <mergeCell ref="AF64:AF68"/>
    <mergeCell ref="S74:Z74"/>
    <mergeCell ref="AC74:AF74"/>
    <mergeCell ref="AF69:AF73"/>
    <mergeCell ref="AF75:AF79"/>
    <mergeCell ref="AF80:AF84"/>
    <mergeCell ref="AF85:AF89"/>
    <mergeCell ref="AF90:AF94"/>
    <mergeCell ref="AF95:AF99"/>
    <mergeCell ref="U125:Z125"/>
    <mergeCell ref="AB124:AC124"/>
    <mergeCell ref="U132:W132"/>
    <mergeCell ref="U133:V133"/>
    <mergeCell ref="U134:V134"/>
    <mergeCell ref="U142:V142"/>
    <mergeCell ref="U143:V143"/>
    <mergeCell ref="AF100:AF104"/>
    <mergeCell ref="AF105:AF109"/>
    <mergeCell ref="AF110:AF114"/>
    <mergeCell ref="AF115:AF119"/>
    <mergeCell ref="S121:Z121"/>
    <mergeCell ref="AC121:AF121"/>
    <mergeCell ref="S122:Z122"/>
    <mergeCell ref="AC122:AF122"/>
    <mergeCell ref="U144:V144"/>
    <mergeCell ref="U145:V145"/>
    <mergeCell ref="U146:V146"/>
    <mergeCell ref="U147:V147"/>
    <mergeCell ref="U135:V135"/>
    <mergeCell ref="U136:V136"/>
    <mergeCell ref="U137:V137"/>
    <mergeCell ref="U138:W138"/>
    <mergeCell ref="U139:V139"/>
    <mergeCell ref="U140:V140"/>
    <mergeCell ref="U141:V141"/>
    <mergeCell ref="C29:C33"/>
    <mergeCell ref="D29:D33"/>
    <mergeCell ref="C34:C38"/>
    <mergeCell ref="D34:D38"/>
    <mergeCell ref="C39:C43"/>
    <mergeCell ref="D39:D43"/>
    <mergeCell ref="C44:C48"/>
    <mergeCell ref="D44:D48"/>
    <mergeCell ref="C49:C53"/>
    <mergeCell ref="D49:D53"/>
    <mergeCell ref="Q75:Q79"/>
    <mergeCell ref="R75:R79"/>
    <mergeCell ref="J75:J79"/>
    <mergeCell ref="K75:K79"/>
    <mergeCell ref="L75:L79"/>
    <mergeCell ref="M75:M79"/>
    <mergeCell ref="N75:N79"/>
    <mergeCell ref="O75:O79"/>
    <mergeCell ref="P75:P79"/>
    <mergeCell ref="C69:C73"/>
    <mergeCell ref="D69:D73"/>
    <mergeCell ref="E69:E73"/>
    <mergeCell ref="F69:F73"/>
    <mergeCell ref="G69:G73"/>
    <mergeCell ref="H69:H73"/>
    <mergeCell ref="I69:I73"/>
    <mergeCell ref="C64:C68"/>
    <mergeCell ref="D64:D68"/>
    <mergeCell ref="E64:E68"/>
    <mergeCell ref="F64:F68"/>
    <mergeCell ref="G64:G68"/>
    <mergeCell ref="H64:H68"/>
    <mergeCell ref="I64:I68"/>
    <mergeCell ref="E75:E79"/>
    <mergeCell ref="F75:F79"/>
    <mergeCell ref="G75:G79"/>
    <mergeCell ref="H75:H79"/>
    <mergeCell ref="I75:I79"/>
    <mergeCell ref="L80:L84"/>
    <mergeCell ref="M80:M84"/>
    <mergeCell ref="N80:N84"/>
    <mergeCell ref="O80:O84"/>
    <mergeCell ref="P80:P84"/>
    <mergeCell ref="Q80:Q84"/>
    <mergeCell ref="R80:R84"/>
    <mergeCell ref="E80:E84"/>
    <mergeCell ref="F80:F84"/>
    <mergeCell ref="G80:G84"/>
    <mergeCell ref="H80:H84"/>
    <mergeCell ref="I80:I84"/>
    <mergeCell ref="J80:J84"/>
    <mergeCell ref="K80:K84"/>
    <mergeCell ref="L115:L119"/>
    <mergeCell ref="M115:M119"/>
    <mergeCell ref="N115:N119"/>
    <mergeCell ref="O115:O119"/>
    <mergeCell ref="P115:P119"/>
    <mergeCell ref="Q115:Q119"/>
    <mergeCell ref="R115:R119"/>
    <mergeCell ref="E115:E119"/>
    <mergeCell ref="F115:F119"/>
    <mergeCell ref="G115:G119"/>
    <mergeCell ref="H115:H119"/>
    <mergeCell ref="I115:I119"/>
    <mergeCell ref="J115:J119"/>
    <mergeCell ref="K115:K119"/>
    <mergeCell ref="J59:J63"/>
    <mergeCell ref="K59:K63"/>
    <mergeCell ref="L59:L63"/>
    <mergeCell ref="M59:M63"/>
    <mergeCell ref="N59:N63"/>
    <mergeCell ref="O59:O63"/>
    <mergeCell ref="P59:P63"/>
    <mergeCell ref="C59:C63"/>
    <mergeCell ref="D59:D63"/>
    <mergeCell ref="E59:E63"/>
    <mergeCell ref="F59:F63"/>
    <mergeCell ref="G59:G63"/>
    <mergeCell ref="H59:H63"/>
    <mergeCell ref="I59:I63"/>
    <mergeCell ref="L85:L89"/>
    <mergeCell ref="M85:M89"/>
    <mergeCell ref="O85:O89"/>
    <mergeCell ref="P85:P89"/>
    <mergeCell ref="Q85:Q89"/>
    <mergeCell ref="R85:R89"/>
    <mergeCell ref="E85:E89"/>
    <mergeCell ref="F85:F89"/>
    <mergeCell ref="G85:G89"/>
    <mergeCell ref="H85:H89"/>
    <mergeCell ref="I85:I89"/>
    <mergeCell ref="J85:J89"/>
    <mergeCell ref="K85:K89"/>
    <mergeCell ref="N85:N89"/>
    <mergeCell ref="J64:J68"/>
    <mergeCell ref="K64:K68"/>
    <mergeCell ref="O69:O73"/>
    <mergeCell ref="P69:P73"/>
    <mergeCell ref="Q69:Q73"/>
    <mergeCell ref="R69:R73"/>
    <mergeCell ref="L64:L68"/>
    <mergeCell ref="M64:M68"/>
    <mergeCell ref="N64:N68"/>
    <mergeCell ref="O64:O68"/>
    <mergeCell ref="P64:P68"/>
    <mergeCell ref="Q64:Q68"/>
    <mergeCell ref="R64:R68"/>
    <mergeCell ref="J69:J73"/>
    <mergeCell ref="K69:K73"/>
    <mergeCell ref="L69:L73"/>
    <mergeCell ref="M69:M73"/>
    <mergeCell ref="D75:D79"/>
    <mergeCell ref="D80:D84"/>
    <mergeCell ref="D85:D89"/>
    <mergeCell ref="D90:D94"/>
    <mergeCell ref="D95:D99"/>
    <mergeCell ref="D100:D104"/>
    <mergeCell ref="B75:B121"/>
    <mergeCell ref="C75:C79"/>
    <mergeCell ref="C80:C84"/>
    <mergeCell ref="C85:C89"/>
    <mergeCell ref="C90:C94"/>
    <mergeCell ref="C95:C99"/>
    <mergeCell ref="C100:C104"/>
    <mergeCell ref="C115:C119"/>
    <mergeCell ref="D105:D109"/>
    <mergeCell ref="D110:D114"/>
    <mergeCell ref="D115:D119"/>
    <mergeCell ref="C105:C109"/>
    <mergeCell ref="C110:C114"/>
    <mergeCell ref="N90:N94"/>
    <mergeCell ref="O90:O94"/>
    <mergeCell ref="P90:P94"/>
    <mergeCell ref="Q90:Q94"/>
    <mergeCell ref="R90:R94"/>
    <mergeCell ref="E90:E94"/>
    <mergeCell ref="F90:F94"/>
    <mergeCell ref="G90:G94"/>
    <mergeCell ref="H90:H94"/>
    <mergeCell ref="I90:I94"/>
    <mergeCell ref="J90:J94"/>
    <mergeCell ref="K90:K94"/>
    <mergeCell ref="N95:N99"/>
    <mergeCell ref="O95:O99"/>
    <mergeCell ref="P95:P99"/>
    <mergeCell ref="Q95:Q99"/>
    <mergeCell ref="R95:R99"/>
    <mergeCell ref="E95:E99"/>
    <mergeCell ref="F95:F99"/>
    <mergeCell ref="G95:G99"/>
    <mergeCell ref="H95:H99"/>
    <mergeCell ref="I95:I99"/>
    <mergeCell ref="J95:J99"/>
    <mergeCell ref="K95:K99"/>
    <mergeCell ref="L95:L99"/>
    <mergeCell ref="M95:M99"/>
    <mergeCell ref="N100:N104"/>
    <mergeCell ref="O100:O104"/>
    <mergeCell ref="P100:P104"/>
    <mergeCell ref="Q100:Q104"/>
    <mergeCell ref="R100:R104"/>
    <mergeCell ref="E100:E104"/>
    <mergeCell ref="F100:F104"/>
    <mergeCell ref="G100:G104"/>
    <mergeCell ref="H100:H104"/>
    <mergeCell ref="I100:I104"/>
    <mergeCell ref="J100:J104"/>
    <mergeCell ref="K100:K104"/>
    <mergeCell ref="L100:L104"/>
    <mergeCell ref="M100:M104"/>
    <mergeCell ref="N105:N109"/>
    <mergeCell ref="O105:O109"/>
    <mergeCell ref="P105:P109"/>
    <mergeCell ref="Q105:Q109"/>
    <mergeCell ref="R105:R109"/>
    <mergeCell ref="E105:E109"/>
    <mergeCell ref="F105:F109"/>
    <mergeCell ref="G105:G109"/>
    <mergeCell ref="H105:H109"/>
    <mergeCell ref="I105:I109"/>
    <mergeCell ref="J105:J109"/>
    <mergeCell ref="K105:K109"/>
    <mergeCell ref="L105:L109"/>
    <mergeCell ref="M105:M109"/>
    <mergeCell ref="N110:N114"/>
    <mergeCell ref="O110:O114"/>
    <mergeCell ref="P110:P114"/>
    <mergeCell ref="Q110:Q114"/>
    <mergeCell ref="R110:R114"/>
    <mergeCell ref="E110:E114"/>
    <mergeCell ref="F110:F114"/>
    <mergeCell ref="G110:G114"/>
    <mergeCell ref="H110:H114"/>
    <mergeCell ref="I110:I114"/>
    <mergeCell ref="J110:J114"/>
    <mergeCell ref="K110:K114"/>
    <mergeCell ref="L110:L114"/>
    <mergeCell ref="M110:M114"/>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conditionalFormatting sqref="K85:K89">
    <cfRule type="notContainsBlanks" dxfId="2" priority="1">
      <formula>LEN(TRIM(K85))&gt;0</formula>
    </cfRule>
  </conditionalFormatting>
  <conditionalFormatting sqref="K85:K89">
    <cfRule type="notContainsBlanks" dxfId="1" priority="2">
      <formula>LEN(TRIM(K85))&gt;0</formula>
    </cfRule>
  </conditionalFormatting>
  <dataValidations count="3">
    <dataValidation type="list" allowBlank="1" showErrorMessage="1" sqref="F9 F14 F19 F24 F29 F34 F39 F44 F49 F54 F59 F64 F69 F75 F80 F85 F90 F95 F100 F105 F110 F115 F120">
      <formula1>INDIRECT($E9)</formula1>
    </dataValidation>
    <dataValidation type="list" allowBlank="1" showErrorMessage="1" sqref="E9 E14 E19 E24 E29 E34 E39 E44 E49 E54 E59 E64 E69 E75 E80 E85 E90 E95 E100 E105 E110 E115 E120">
      <formula1>INDIRECT($G9)</formula1>
    </dataValidation>
    <dataValidation type="decimal" allowBlank="1" showInputMessage="1" showErrorMessage="1" prompt="DPLAN - Sólo debe ingresar valores, NO porcentajes." sqref="M29:O29 N30:N33 M34:O34 M39:O39 N40:N43 M44:O44 N45:N48 M49:O49 M54:O54 M64:O64 M69:O69 N70:N73 M80:O80 M120:O120 M90:O90 M95:O95 M105:O105 M110:O110 M115:O115 M85 O85 N85">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&amp;"Cambria,Cursiva"&amp;12&amp;K0070C0Administración Central&amp;C&amp;"Century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C14:D14 C19:D19 C24:D24 C29:D29 C34:D34 C39:D39 C44:D44 C49:D49 C54:D54 C59:D59 C64:D64 C69:D69</xm:sqref>
        </x14:dataValidation>
        <x14:dataValidation type="list" allowBlank="1" showErrorMessage="1">
          <x14:formula1>
            <xm:f>(PEDI!#REF!)</xm:f>
          </x14:formula1>
          <xm:sqref>H9 H14 H19 H24 H29 H34 H39 H44 H49 H54 H59 H64 H69</xm:sqref>
        </x14:dataValidation>
        <x14:dataValidation type="list" allowBlank="1" showErrorMessage="1">
          <x14:formula1>
            <xm:f>PEDI!#REF!</xm:f>
          </x14:formula1>
          <xm:sqref>G9 G14 G19 G24 G29 G34 G39 G44 G49 G54 G59 G64 G69</xm:sqref>
        </x14:dataValidation>
        <x14:dataValidation type="list" allowBlank="1" showErrorMessage="1">
          <x14:formula1>
            <xm:f>INDIRECT('Estrategias DAFO'!#REF!)</xm:f>
          </x14:formula1>
          <xm:sqref>I9 I14 I19 I24 I29 I34 I39 I44 I49 I54 I59 I64 I69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E114"/>
  <sheetViews>
    <sheetView showGridLines="0" topLeftCell="Q78" workbookViewId="0">
      <selection activeCell="AE114" sqref="AE114"/>
    </sheetView>
  </sheetViews>
  <sheetFormatPr baseColWidth="10" defaultColWidth="12.5703125" defaultRowHeight="15.75" customHeight="1"/>
  <cols>
    <col min="1" max="1" width="7.5703125" customWidth="1"/>
    <col min="2" max="11" width="22.42578125" customWidth="1"/>
    <col min="12" max="14" width="8.7109375" customWidth="1"/>
    <col min="15" max="17" width="22.42578125" customWidth="1"/>
    <col min="18" max="18" width="25.7109375" customWidth="1"/>
    <col min="19" max="19" width="12.7109375" customWidth="1"/>
    <col min="20" max="20" width="26.7109375" customWidth="1"/>
    <col min="21" max="21" width="47.42578125" customWidth="1"/>
    <col min="22" max="22" width="12.7109375" customWidth="1"/>
    <col min="23" max="26" width="12" customWidth="1"/>
    <col min="27" max="27" width="15.140625" customWidth="1"/>
    <col min="28" max="30" width="7.7109375" customWidth="1"/>
    <col min="31" max="31" width="19.7109375" customWidth="1"/>
  </cols>
  <sheetData>
    <row r="1" spans="1:31"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row>
    <row r="2" spans="1:31"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row>
    <row r="3" spans="1:31" ht="30.75">
      <c r="A3" s="4254" t="s">
        <v>1002</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row>
    <row r="4" spans="1:31"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row>
    <row r="5" spans="1:31" ht="16.5" customHeight="1" thickBo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490"/>
    </row>
    <row r="6" spans="1:31" s="1747" customFormat="1" ht="24.95" customHeight="1" thickTop="1">
      <c r="A6" s="4278" t="s">
        <v>200</v>
      </c>
      <c r="B6" s="4282" t="s">
        <v>201</v>
      </c>
      <c r="C6" s="4283"/>
      <c r="D6" s="4284" t="s">
        <v>202</v>
      </c>
      <c r="E6" s="4285"/>
      <c r="F6" s="4285"/>
      <c r="G6" s="4285"/>
      <c r="H6" s="4286"/>
      <c r="I6" s="4287" t="s">
        <v>203</v>
      </c>
      <c r="J6" s="4288"/>
      <c r="K6" s="4288"/>
      <c r="L6" s="4288"/>
      <c r="M6" s="4288"/>
      <c r="N6" s="4288"/>
      <c r="O6" s="4288"/>
      <c r="P6" s="4288"/>
      <c r="Q6" s="4289"/>
      <c r="R6" s="4290" t="s">
        <v>204</v>
      </c>
      <c r="S6" s="4291"/>
      <c r="T6" s="4291"/>
      <c r="U6" s="4291"/>
      <c r="V6" s="4291"/>
      <c r="W6" s="4291"/>
      <c r="X6" s="4291"/>
      <c r="Y6" s="4291"/>
      <c r="Z6" s="4291"/>
      <c r="AA6" s="4291"/>
      <c r="AB6" s="4291"/>
      <c r="AC6" s="4291"/>
      <c r="AD6" s="4291"/>
      <c r="AE6" s="4292"/>
    </row>
    <row r="7" spans="1:31" s="1747" customFormat="1" ht="39.950000000000003" customHeight="1">
      <c r="A7" s="4280"/>
      <c r="B7" s="4175" t="s">
        <v>205</v>
      </c>
      <c r="C7" s="4177" t="s">
        <v>206</v>
      </c>
      <c r="D7" s="4179" t="s">
        <v>207</v>
      </c>
      <c r="E7" s="4179" t="s">
        <v>208</v>
      </c>
      <c r="F7" s="4179" t="s">
        <v>209</v>
      </c>
      <c r="G7" s="4179" t="s">
        <v>210</v>
      </c>
      <c r="H7" s="4179" t="s">
        <v>211</v>
      </c>
      <c r="I7" s="4181" t="s">
        <v>212</v>
      </c>
      <c r="J7" s="4183" t="s">
        <v>213</v>
      </c>
      <c r="K7" s="4183" t="s">
        <v>214</v>
      </c>
      <c r="L7" s="4185" t="s">
        <v>215</v>
      </c>
      <c r="M7" s="4186"/>
      <c r="N7" s="4187"/>
      <c r="O7" s="4183" t="s">
        <v>216</v>
      </c>
      <c r="P7" s="4183" t="s">
        <v>217</v>
      </c>
      <c r="Q7" s="4188" t="s">
        <v>218</v>
      </c>
      <c r="R7" s="4190" t="s">
        <v>219</v>
      </c>
      <c r="S7" s="4191"/>
      <c r="T7" s="4191"/>
      <c r="U7" s="4191"/>
      <c r="V7" s="4191"/>
      <c r="W7" s="4191"/>
      <c r="X7" s="4192"/>
      <c r="Y7" s="4193" t="s">
        <v>220</v>
      </c>
      <c r="Z7" s="4194"/>
      <c r="AA7" s="4195"/>
      <c r="AB7" s="4193" t="s">
        <v>221</v>
      </c>
      <c r="AC7" s="4194"/>
      <c r="AD7" s="4195"/>
      <c r="AE7" s="4293" t="s">
        <v>222</v>
      </c>
    </row>
    <row r="8" spans="1:31" s="1747" customFormat="1" ht="51.95" customHeight="1" thickBot="1">
      <c r="A8" s="4746"/>
      <c r="B8" s="4176"/>
      <c r="C8" s="4178"/>
      <c r="D8" s="4180"/>
      <c r="E8" s="4180"/>
      <c r="F8" s="4180"/>
      <c r="G8" s="4180"/>
      <c r="H8" s="4180"/>
      <c r="I8" s="4182"/>
      <c r="J8" s="4184"/>
      <c r="K8" s="4184"/>
      <c r="L8" s="1748" t="s">
        <v>223</v>
      </c>
      <c r="M8" s="1748" t="s">
        <v>224</v>
      </c>
      <c r="N8" s="1748" t="s">
        <v>225</v>
      </c>
      <c r="O8" s="4184"/>
      <c r="P8" s="4184"/>
      <c r="Q8" s="4189"/>
      <c r="R8" s="1749" t="s">
        <v>226</v>
      </c>
      <c r="S8" s="1750" t="s">
        <v>227</v>
      </c>
      <c r="T8" s="1751" t="s">
        <v>3771</v>
      </c>
      <c r="U8" s="1750" t="s">
        <v>229</v>
      </c>
      <c r="V8" s="1750" t="s">
        <v>230</v>
      </c>
      <c r="W8" s="1750" t="s">
        <v>3770</v>
      </c>
      <c r="X8" s="1752" t="s">
        <v>231</v>
      </c>
      <c r="Y8" s="1753" t="s">
        <v>232</v>
      </c>
      <c r="Z8" s="1753" t="s">
        <v>233</v>
      </c>
      <c r="AA8" s="1753" t="s">
        <v>234</v>
      </c>
      <c r="AB8" s="1754" t="s">
        <v>223</v>
      </c>
      <c r="AC8" s="1754" t="s">
        <v>224</v>
      </c>
      <c r="AD8" s="1754" t="s">
        <v>225</v>
      </c>
      <c r="AE8" s="4294"/>
    </row>
    <row r="9" spans="1:31" ht="25.5" customHeight="1">
      <c r="A9" s="4618" t="s">
        <v>1002</v>
      </c>
      <c r="B9" s="5011" t="s">
        <v>272</v>
      </c>
      <c r="C9" s="5006" t="s">
        <v>273</v>
      </c>
      <c r="D9" s="5005" t="s">
        <v>388</v>
      </c>
      <c r="E9" s="5006" t="s">
        <v>964</v>
      </c>
      <c r="F9" s="5007" t="s">
        <v>276</v>
      </c>
      <c r="G9" s="5006" t="s">
        <v>314</v>
      </c>
      <c r="H9" s="5006" t="s">
        <v>241</v>
      </c>
      <c r="I9" s="5010" t="s">
        <v>5047</v>
      </c>
      <c r="J9" s="5010" t="s">
        <v>1003</v>
      </c>
      <c r="K9" s="5024" t="s">
        <v>5034</v>
      </c>
      <c r="L9" s="5025">
        <v>1</v>
      </c>
      <c r="M9" s="3437"/>
      <c r="N9" s="5025">
        <v>1</v>
      </c>
      <c r="O9" s="5024" t="s">
        <v>5020</v>
      </c>
      <c r="P9" s="5024" t="s">
        <v>5007</v>
      </c>
      <c r="Q9" s="5026" t="s">
        <v>5003</v>
      </c>
      <c r="R9" s="3364" t="s">
        <v>29</v>
      </c>
      <c r="S9" s="3380">
        <v>530606</v>
      </c>
      <c r="T9" s="3380"/>
      <c r="U9" s="3395" t="s">
        <v>140</v>
      </c>
      <c r="V9" s="3405"/>
      <c r="W9" s="1969"/>
      <c r="X9" s="3416"/>
      <c r="Y9" s="3416"/>
      <c r="Z9" s="3416"/>
      <c r="AA9" s="3417">
        <f>($Z$10+$Z$11)</f>
        <v>0</v>
      </c>
      <c r="AB9" s="491"/>
      <c r="AC9" s="492"/>
      <c r="AD9" s="492"/>
      <c r="AE9" s="5022" t="s">
        <v>4984</v>
      </c>
    </row>
    <row r="10" spans="1:31" ht="25.5" customHeight="1">
      <c r="A10" s="4564"/>
      <c r="B10" s="5012"/>
      <c r="C10" s="4996"/>
      <c r="D10" s="4996"/>
      <c r="E10" s="4996"/>
      <c r="F10" s="4996"/>
      <c r="G10" s="4996"/>
      <c r="H10" s="4996"/>
      <c r="I10" s="4996"/>
      <c r="J10" s="4996"/>
      <c r="K10" s="4996"/>
      <c r="L10" s="4811"/>
      <c r="M10" s="3438"/>
      <c r="N10" s="4811"/>
      <c r="O10" s="4996"/>
      <c r="P10" s="4996"/>
      <c r="Q10" s="5027"/>
      <c r="R10" s="3365"/>
      <c r="S10" s="3381"/>
      <c r="T10" s="3381"/>
      <c r="U10" s="3396" t="s">
        <v>1004</v>
      </c>
      <c r="V10" s="3406"/>
      <c r="W10" s="539" t="s">
        <v>269</v>
      </c>
      <c r="X10" s="3418">
        <v>38000</v>
      </c>
      <c r="Y10" s="3418">
        <f>(V10*X10)</f>
        <v>0</v>
      </c>
      <c r="Z10" s="3418">
        <f>Y10*1.12</f>
        <v>0</v>
      </c>
      <c r="AA10" s="3419"/>
      <c r="AB10" s="2004" t="s">
        <v>251</v>
      </c>
      <c r="AC10" s="358" t="s">
        <v>251</v>
      </c>
      <c r="AD10" s="358" t="s">
        <v>251</v>
      </c>
      <c r="AE10" s="4984"/>
    </row>
    <row r="11" spans="1:31" ht="25.5" customHeight="1">
      <c r="A11" s="4564"/>
      <c r="B11" s="5012"/>
      <c r="C11" s="4996"/>
      <c r="D11" s="4996"/>
      <c r="E11" s="4996"/>
      <c r="F11" s="4996"/>
      <c r="G11" s="4996"/>
      <c r="H11" s="4996"/>
      <c r="I11" s="4996"/>
      <c r="J11" s="4996"/>
      <c r="K11" s="4996"/>
      <c r="L11" s="4811"/>
      <c r="M11" s="3438">
        <v>1</v>
      </c>
      <c r="N11" s="4811"/>
      <c r="O11" s="4996"/>
      <c r="P11" s="4996"/>
      <c r="Q11" s="5027"/>
      <c r="R11" s="3366"/>
      <c r="S11" s="2701"/>
      <c r="T11" s="2701"/>
      <c r="U11" s="2720"/>
      <c r="V11" s="2737"/>
      <c r="W11" s="355"/>
      <c r="X11" s="2771"/>
      <c r="Y11" s="2771"/>
      <c r="Z11" s="2771"/>
      <c r="AA11" s="2782"/>
      <c r="AB11" s="357"/>
      <c r="AC11" s="358"/>
      <c r="AD11" s="358"/>
      <c r="AE11" s="4984"/>
    </row>
    <row r="12" spans="1:31" ht="25.5" customHeight="1">
      <c r="A12" s="4564"/>
      <c r="B12" s="5012"/>
      <c r="C12" s="4996"/>
      <c r="D12" s="4996"/>
      <c r="E12" s="4996"/>
      <c r="F12" s="4996"/>
      <c r="G12" s="4996"/>
      <c r="H12" s="4996"/>
      <c r="I12" s="4996"/>
      <c r="J12" s="4996"/>
      <c r="K12" s="4996"/>
      <c r="L12" s="4811"/>
      <c r="M12" s="3438"/>
      <c r="N12" s="4811"/>
      <c r="O12" s="4996"/>
      <c r="P12" s="4996"/>
      <c r="Q12" s="5027"/>
      <c r="R12" s="3367"/>
      <c r="S12" s="2702"/>
      <c r="T12" s="2702"/>
      <c r="U12" s="2720"/>
      <c r="V12" s="2737"/>
      <c r="W12" s="355"/>
      <c r="X12" s="2771"/>
      <c r="Y12" s="2774"/>
      <c r="Z12" s="2774"/>
      <c r="AA12" s="2776"/>
      <c r="AB12" s="357"/>
      <c r="AC12" s="358"/>
      <c r="AD12" s="358"/>
      <c r="AE12" s="4984"/>
    </row>
    <row r="13" spans="1:31" ht="25.5" customHeight="1">
      <c r="A13" s="4564"/>
      <c r="B13" s="5013"/>
      <c r="C13" s="4997"/>
      <c r="D13" s="4997"/>
      <c r="E13" s="4997"/>
      <c r="F13" s="4997"/>
      <c r="G13" s="4997"/>
      <c r="H13" s="4997"/>
      <c r="I13" s="4997"/>
      <c r="J13" s="4997"/>
      <c r="K13" s="4997"/>
      <c r="L13" s="4812"/>
      <c r="M13" s="3439"/>
      <c r="N13" s="4812"/>
      <c r="O13" s="4997"/>
      <c r="P13" s="4997"/>
      <c r="Q13" s="5028"/>
      <c r="R13" s="3368"/>
      <c r="S13" s="2704"/>
      <c r="T13" s="2704"/>
      <c r="U13" s="2721"/>
      <c r="V13" s="2739"/>
      <c r="W13" s="361"/>
      <c r="X13" s="2777"/>
      <c r="Y13" s="2777"/>
      <c r="Z13" s="2777"/>
      <c r="AA13" s="2779"/>
      <c r="AB13" s="361"/>
      <c r="AC13" s="354"/>
      <c r="AD13" s="354"/>
      <c r="AE13" s="4985"/>
    </row>
    <row r="14" spans="1:31" ht="25.5">
      <c r="A14" s="4564"/>
      <c r="B14" s="4625" t="s">
        <v>272</v>
      </c>
      <c r="C14" s="4328" t="s">
        <v>273</v>
      </c>
      <c r="D14" s="4328" t="s">
        <v>388</v>
      </c>
      <c r="E14" s="4328" t="s">
        <v>964</v>
      </c>
      <c r="F14" s="4329" t="s">
        <v>276</v>
      </c>
      <c r="G14" s="4328" t="s">
        <v>314</v>
      </c>
      <c r="H14" s="4328" t="s">
        <v>241</v>
      </c>
      <c r="I14" s="4345" t="s">
        <v>5048</v>
      </c>
      <c r="J14" s="4345" t="s">
        <v>1005</v>
      </c>
      <c r="K14" s="4345" t="s">
        <v>5035</v>
      </c>
      <c r="L14" s="4747">
        <v>5</v>
      </c>
      <c r="M14" s="4748">
        <v>6</v>
      </c>
      <c r="N14" s="4747">
        <v>5</v>
      </c>
      <c r="O14" s="4345" t="s">
        <v>5021</v>
      </c>
      <c r="P14" s="4345" t="s">
        <v>5008</v>
      </c>
      <c r="Q14" s="4459" t="s">
        <v>5004</v>
      </c>
      <c r="R14" s="3369" t="s">
        <v>29</v>
      </c>
      <c r="S14" s="3382">
        <v>530805</v>
      </c>
      <c r="T14" s="3382"/>
      <c r="U14" s="3452" t="s">
        <v>91</v>
      </c>
      <c r="V14" s="3407"/>
      <c r="W14" s="447"/>
      <c r="X14" s="3420"/>
      <c r="Y14" s="3420"/>
      <c r="Z14" s="3420"/>
      <c r="AA14" s="3421">
        <f>SUM($Z$15:$Z$25)</f>
        <v>1261.3750002448003</v>
      </c>
      <c r="AB14" s="447"/>
      <c r="AC14" s="2005"/>
      <c r="AD14" s="2005"/>
      <c r="AE14" s="4762"/>
    </row>
    <row r="15" spans="1:31" ht="25.5">
      <c r="A15" s="4564"/>
      <c r="B15" s="4331"/>
      <c r="C15" s="4215"/>
      <c r="D15" s="4215"/>
      <c r="E15" s="4215"/>
      <c r="F15" s="4215"/>
      <c r="G15" s="4215"/>
      <c r="H15" s="4215"/>
      <c r="I15" s="4215"/>
      <c r="J15" s="4215"/>
      <c r="K15" s="4215"/>
      <c r="L15" s="4226"/>
      <c r="M15" s="4226"/>
      <c r="N15" s="4226"/>
      <c r="O15" s="4215"/>
      <c r="P15" s="4215"/>
      <c r="Q15" s="4449"/>
      <c r="R15" s="3370"/>
      <c r="S15" s="3383"/>
      <c r="T15" s="3383">
        <v>321930019</v>
      </c>
      <c r="U15" s="3453" t="s">
        <v>4987</v>
      </c>
      <c r="V15" s="3408">
        <v>120</v>
      </c>
      <c r="W15" s="493" t="s">
        <v>1006</v>
      </c>
      <c r="X15" s="3422">
        <v>2.52</v>
      </c>
      <c r="Y15" s="3423">
        <f t="shared" ref="Y15:Y25" si="0">(V15*X15)</f>
        <v>302.39999999999998</v>
      </c>
      <c r="Z15" s="3423">
        <f t="shared" ref="Z15:Z25" si="1">Y15*1.12</f>
        <v>338.68799999999999</v>
      </c>
      <c r="AA15" s="3424"/>
      <c r="AB15" s="500"/>
      <c r="AC15" s="494"/>
      <c r="AD15" s="494" t="s">
        <v>251</v>
      </c>
      <c r="AE15" s="4990"/>
    </row>
    <row r="16" spans="1:31" ht="18" customHeight="1">
      <c r="A16" s="4564"/>
      <c r="B16" s="4331"/>
      <c r="C16" s="4215"/>
      <c r="D16" s="4215"/>
      <c r="E16" s="4215"/>
      <c r="F16" s="4215"/>
      <c r="G16" s="4215"/>
      <c r="H16" s="4215"/>
      <c r="I16" s="4215"/>
      <c r="J16" s="4215"/>
      <c r="K16" s="4215"/>
      <c r="L16" s="4226"/>
      <c r="M16" s="4226"/>
      <c r="N16" s="4226"/>
      <c r="O16" s="4215"/>
      <c r="P16" s="4215"/>
      <c r="Q16" s="4449"/>
      <c r="R16" s="3370"/>
      <c r="S16" s="3383"/>
      <c r="T16" s="3383">
        <v>3533100120</v>
      </c>
      <c r="U16" s="3453" t="s">
        <v>4988</v>
      </c>
      <c r="V16" s="3408">
        <v>20</v>
      </c>
      <c r="W16" s="493" t="s">
        <v>269</v>
      </c>
      <c r="X16" s="3422">
        <v>2.6</v>
      </c>
      <c r="Y16" s="3423">
        <f t="shared" si="0"/>
        <v>52</v>
      </c>
      <c r="Z16" s="3423">
        <f t="shared" si="1"/>
        <v>58.240000000000009</v>
      </c>
      <c r="AA16" s="3424"/>
      <c r="AB16" s="500"/>
      <c r="AC16" s="494"/>
      <c r="AD16" s="494" t="s">
        <v>251</v>
      </c>
      <c r="AE16" s="4990"/>
    </row>
    <row r="17" spans="1:31" ht="18" customHeight="1">
      <c r="A17" s="4564"/>
      <c r="B17" s="4331"/>
      <c r="C17" s="4215"/>
      <c r="D17" s="4215"/>
      <c r="E17" s="4215"/>
      <c r="F17" s="4215"/>
      <c r="G17" s="4215"/>
      <c r="H17" s="4215"/>
      <c r="I17" s="4215"/>
      <c r="J17" s="4215"/>
      <c r="K17" s="4215"/>
      <c r="L17" s="4226"/>
      <c r="M17" s="4226"/>
      <c r="N17" s="4226"/>
      <c r="O17" s="4215"/>
      <c r="P17" s="4215"/>
      <c r="Q17" s="4449"/>
      <c r="R17" s="3371"/>
      <c r="S17" s="3384"/>
      <c r="T17" s="3383">
        <v>3533100116</v>
      </c>
      <c r="U17" s="3398" t="s">
        <v>1007</v>
      </c>
      <c r="V17" s="3408">
        <v>15</v>
      </c>
      <c r="W17" s="493" t="s">
        <v>1008</v>
      </c>
      <c r="X17" s="3422">
        <v>3.85</v>
      </c>
      <c r="Y17" s="3423">
        <f t="shared" si="0"/>
        <v>57.75</v>
      </c>
      <c r="Z17" s="3423">
        <f t="shared" si="1"/>
        <v>64.680000000000007</v>
      </c>
      <c r="AA17" s="3424"/>
      <c r="AB17" s="500"/>
      <c r="AC17" s="494"/>
      <c r="AD17" s="494" t="s">
        <v>251</v>
      </c>
      <c r="AE17" s="4990"/>
    </row>
    <row r="18" spans="1:31" ht="18" customHeight="1">
      <c r="A18" s="4564"/>
      <c r="B18" s="4331"/>
      <c r="C18" s="4215"/>
      <c r="D18" s="4215"/>
      <c r="E18" s="4215"/>
      <c r="F18" s="4215"/>
      <c r="G18" s="4215"/>
      <c r="H18" s="4215"/>
      <c r="I18" s="4215"/>
      <c r="J18" s="4215"/>
      <c r="K18" s="4215"/>
      <c r="L18" s="4226"/>
      <c r="M18" s="4226"/>
      <c r="N18" s="4226"/>
      <c r="O18" s="4215"/>
      <c r="P18" s="4215"/>
      <c r="Q18" s="4449"/>
      <c r="R18" s="3371"/>
      <c r="S18" s="3384"/>
      <c r="T18" s="3383">
        <v>3641000224</v>
      </c>
      <c r="U18" s="3453" t="s">
        <v>4989</v>
      </c>
      <c r="V18" s="3408">
        <v>150</v>
      </c>
      <c r="W18" s="493" t="s">
        <v>1009</v>
      </c>
      <c r="X18" s="3422">
        <v>1.25</v>
      </c>
      <c r="Y18" s="3423">
        <f t="shared" si="0"/>
        <v>187.5</v>
      </c>
      <c r="Z18" s="3423">
        <f t="shared" si="1"/>
        <v>210.00000000000003</v>
      </c>
      <c r="AA18" s="3424"/>
      <c r="AB18" s="500"/>
      <c r="AC18" s="494"/>
      <c r="AD18" s="494" t="s">
        <v>251</v>
      </c>
      <c r="AE18" s="4990"/>
    </row>
    <row r="19" spans="1:31" ht="18" customHeight="1">
      <c r="A19" s="4564"/>
      <c r="B19" s="4331"/>
      <c r="C19" s="4215"/>
      <c r="D19" s="4215"/>
      <c r="E19" s="4215"/>
      <c r="F19" s="4215"/>
      <c r="G19" s="4215"/>
      <c r="H19" s="4215"/>
      <c r="I19" s="4215"/>
      <c r="J19" s="4215"/>
      <c r="K19" s="4215"/>
      <c r="L19" s="4226"/>
      <c r="M19" s="4226"/>
      <c r="N19" s="4226"/>
      <c r="O19" s="4215"/>
      <c r="P19" s="4215"/>
      <c r="Q19" s="4449"/>
      <c r="R19" s="3371"/>
      <c r="S19" s="3384"/>
      <c r="T19" s="3383">
        <v>266101217</v>
      </c>
      <c r="U19" s="3453" t="s">
        <v>4990</v>
      </c>
      <c r="V19" s="3408">
        <v>25</v>
      </c>
      <c r="W19" s="493" t="s">
        <v>269</v>
      </c>
      <c r="X19" s="3422">
        <v>2.21</v>
      </c>
      <c r="Y19" s="3423">
        <f t="shared" si="0"/>
        <v>55.25</v>
      </c>
      <c r="Z19" s="3423">
        <f t="shared" si="1"/>
        <v>61.88</v>
      </c>
      <c r="AA19" s="3424"/>
      <c r="AB19" s="500"/>
      <c r="AC19" s="494"/>
      <c r="AD19" s="494" t="s">
        <v>251</v>
      </c>
      <c r="AE19" s="4990"/>
    </row>
    <row r="20" spans="1:31" ht="18" customHeight="1">
      <c r="A20" s="4564"/>
      <c r="B20" s="4331"/>
      <c r="C20" s="4215"/>
      <c r="D20" s="4215"/>
      <c r="E20" s="4215"/>
      <c r="F20" s="4215"/>
      <c r="G20" s="4215"/>
      <c r="H20" s="4215"/>
      <c r="I20" s="4215"/>
      <c r="J20" s="4215"/>
      <c r="K20" s="4215"/>
      <c r="L20" s="4226"/>
      <c r="M20" s="4226"/>
      <c r="N20" s="4226"/>
      <c r="O20" s="4215"/>
      <c r="P20" s="4215"/>
      <c r="Q20" s="4449"/>
      <c r="R20" s="3371"/>
      <c r="S20" s="3384"/>
      <c r="T20" s="3383">
        <v>3899300117</v>
      </c>
      <c r="U20" s="3453" t="s">
        <v>4991</v>
      </c>
      <c r="V20" s="3408">
        <v>20</v>
      </c>
      <c r="W20" s="493" t="s">
        <v>269</v>
      </c>
      <c r="X20" s="3422">
        <v>2.58</v>
      </c>
      <c r="Y20" s="3423">
        <f t="shared" si="0"/>
        <v>51.6</v>
      </c>
      <c r="Z20" s="3423">
        <f t="shared" si="1"/>
        <v>57.792000000000009</v>
      </c>
      <c r="AA20" s="3424"/>
      <c r="AB20" s="500"/>
      <c r="AC20" s="494"/>
      <c r="AD20" s="494" t="s">
        <v>251</v>
      </c>
      <c r="AE20" s="4990"/>
    </row>
    <row r="21" spans="1:31" ht="18" customHeight="1">
      <c r="A21" s="4564"/>
      <c r="B21" s="4331"/>
      <c r="C21" s="4215"/>
      <c r="D21" s="4215"/>
      <c r="E21" s="4215"/>
      <c r="F21" s="4215"/>
      <c r="G21" s="4215"/>
      <c r="H21" s="4215"/>
      <c r="I21" s="4215"/>
      <c r="J21" s="4215"/>
      <c r="K21" s="4215"/>
      <c r="L21" s="4226"/>
      <c r="M21" s="4226"/>
      <c r="N21" s="4226"/>
      <c r="O21" s="4215"/>
      <c r="P21" s="4215"/>
      <c r="Q21" s="4449"/>
      <c r="R21" s="3371"/>
      <c r="S21" s="3384"/>
      <c r="T21" s="3383">
        <v>3899300115</v>
      </c>
      <c r="U21" s="3453" t="s">
        <v>4992</v>
      </c>
      <c r="V21" s="3408">
        <v>20</v>
      </c>
      <c r="W21" s="493" t="s">
        <v>269</v>
      </c>
      <c r="X21" s="3422">
        <v>2.4</v>
      </c>
      <c r="Y21" s="3423">
        <f t="shared" si="0"/>
        <v>48</v>
      </c>
      <c r="Z21" s="3423">
        <f t="shared" si="1"/>
        <v>53.760000000000005</v>
      </c>
      <c r="AA21" s="3424"/>
      <c r="AB21" s="500"/>
      <c r="AC21" s="494"/>
      <c r="AD21" s="494" t="s">
        <v>251</v>
      </c>
      <c r="AE21" s="4990"/>
    </row>
    <row r="22" spans="1:31" ht="18" customHeight="1">
      <c r="A22" s="4564"/>
      <c r="B22" s="4331"/>
      <c r="C22" s="4215"/>
      <c r="D22" s="4215"/>
      <c r="E22" s="4215"/>
      <c r="F22" s="4215"/>
      <c r="G22" s="4215"/>
      <c r="H22" s="4215"/>
      <c r="I22" s="4215"/>
      <c r="J22" s="4215"/>
      <c r="K22" s="4215"/>
      <c r="L22" s="4226"/>
      <c r="M22" s="4226"/>
      <c r="N22" s="4226"/>
      <c r="O22" s="4215"/>
      <c r="P22" s="4215"/>
      <c r="Q22" s="4449"/>
      <c r="R22" s="3371"/>
      <c r="S22" s="3384"/>
      <c r="T22" s="3383">
        <v>342401419</v>
      </c>
      <c r="U22" s="3453" t="s">
        <v>4993</v>
      </c>
      <c r="V22" s="3408">
        <v>7</v>
      </c>
      <c r="W22" s="493" t="s">
        <v>1010</v>
      </c>
      <c r="X22" s="3422">
        <v>15.94</v>
      </c>
      <c r="Y22" s="3423">
        <f t="shared" si="0"/>
        <v>111.58</v>
      </c>
      <c r="Z22" s="3423">
        <f t="shared" si="1"/>
        <v>124.96960000000001</v>
      </c>
      <c r="AA22" s="3424"/>
      <c r="AB22" s="500"/>
      <c r="AC22" s="494"/>
      <c r="AD22" s="494" t="s">
        <v>251</v>
      </c>
      <c r="AE22" s="4990"/>
    </row>
    <row r="23" spans="1:31" ht="18" customHeight="1">
      <c r="A23" s="4564"/>
      <c r="B23" s="4331"/>
      <c r="C23" s="4215"/>
      <c r="D23" s="4215"/>
      <c r="E23" s="4215"/>
      <c r="F23" s="4215"/>
      <c r="G23" s="4215"/>
      <c r="H23" s="4215"/>
      <c r="I23" s="4215"/>
      <c r="J23" s="4215"/>
      <c r="K23" s="4215"/>
      <c r="L23" s="4226"/>
      <c r="M23" s="4226"/>
      <c r="N23" s="4226"/>
      <c r="O23" s="4215"/>
      <c r="P23" s="4215"/>
      <c r="Q23" s="4449"/>
      <c r="R23" s="3371"/>
      <c r="S23" s="3384"/>
      <c r="T23" s="3383">
        <v>354300219</v>
      </c>
      <c r="U23" s="3453" t="s">
        <v>4994</v>
      </c>
      <c r="V23" s="3408">
        <v>27</v>
      </c>
      <c r="W23" s="493" t="s">
        <v>269</v>
      </c>
      <c r="X23" s="3422">
        <v>3.8306547700000002</v>
      </c>
      <c r="Y23" s="3423">
        <f t="shared" si="0"/>
        <v>103.42767879</v>
      </c>
      <c r="Z23" s="3423">
        <f t="shared" si="1"/>
        <v>115.83900024480002</v>
      </c>
      <c r="AA23" s="3424"/>
      <c r="AB23" s="500"/>
      <c r="AC23" s="494"/>
      <c r="AD23" s="494" t="s">
        <v>251</v>
      </c>
      <c r="AE23" s="4990"/>
    </row>
    <row r="24" spans="1:31" ht="18" customHeight="1">
      <c r="A24" s="4564"/>
      <c r="B24" s="4331"/>
      <c r="C24" s="4215"/>
      <c r="D24" s="4215"/>
      <c r="E24" s="4215"/>
      <c r="F24" s="4215"/>
      <c r="G24" s="4215"/>
      <c r="H24" s="4215"/>
      <c r="I24" s="4215"/>
      <c r="J24" s="4215"/>
      <c r="K24" s="4215"/>
      <c r="L24" s="4226"/>
      <c r="M24" s="4226"/>
      <c r="N24" s="4226"/>
      <c r="O24" s="4215"/>
      <c r="P24" s="4215"/>
      <c r="Q24" s="4449"/>
      <c r="R24" s="3371"/>
      <c r="S24" s="3384"/>
      <c r="T24" s="3383">
        <v>266101215</v>
      </c>
      <c r="U24" s="3453" t="s">
        <v>4995</v>
      </c>
      <c r="V24" s="3408">
        <v>80</v>
      </c>
      <c r="W24" s="493" t="s">
        <v>269</v>
      </c>
      <c r="X24" s="3422">
        <v>1.5</v>
      </c>
      <c r="Y24" s="3423">
        <f t="shared" si="0"/>
        <v>120</v>
      </c>
      <c r="Z24" s="3423">
        <f t="shared" si="1"/>
        <v>134.4</v>
      </c>
      <c r="AA24" s="3424"/>
      <c r="AB24" s="500"/>
      <c r="AC24" s="494"/>
      <c r="AD24" s="494" t="s">
        <v>251</v>
      </c>
      <c r="AE24" s="4990"/>
    </row>
    <row r="25" spans="1:31" ht="18" customHeight="1">
      <c r="A25" s="4564"/>
      <c r="B25" s="4332"/>
      <c r="C25" s="4216"/>
      <c r="D25" s="4216"/>
      <c r="E25" s="4216"/>
      <c r="F25" s="4216"/>
      <c r="G25" s="4216"/>
      <c r="H25" s="4216"/>
      <c r="I25" s="4216"/>
      <c r="J25" s="4215"/>
      <c r="K25" s="4216"/>
      <c r="L25" s="4247"/>
      <c r="M25" s="4247"/>
      <c r="N25" s="4247"/>
      <c r="O25" s="4216"/>
      <c r="P25" s="4216"/>
      <c r="Q25" s="4450"/>
      <c r="R25" s="3372"/>
      <c r="S25" s="3385"/>
      <c r="T25" s="3385">
        <v>321931018</v>
      </c>
      <c r="U25" s="3454" t="s">
        <v>4996</v>
      </c>
      <c r="V25" s="3409">
        <v>24</v>
      </c>
      <c r="W25" s="495" t="s">
        <v>269</v>
      </c>
      <c r="X25" s="3425">
        <v>1.53</v>
      </c>
      <c r="Y25" s="3426">
        <f t="shared" si="0"/>
        <v>36.72</v>
      </c>
      <c r="Z25" s="3426">
        <f t="shared" si="1"/>
        <v>41.126400000000004</v>
      </c>
      <c r="AA25" s="3427"/>
      <c r="AB25" s="496"/>
      <c r="AC25" s="497"/>
      <c r="AD25" s="497" t="s">
        <v>251</v>
      </c>
      <c r="AE25" s="4991"/>
    </row>
    <row r="26" spans="1:31" ht="21.75" customHeight="1">
      <c r="A26" s="4564"/>
      <c r="B26" s="4625" t="s">
        <v>272</v>
      </c>
      <c r="C26" s="4328" t="s">
        <v>273</v>
      </c>
      <c r="D26" s="4328" t="s">
        <v>388</v>
      </c>
      <c r="E26" s="4328" t="s">
        <v>964</v>
      </c>
      <c r="F26" s="4329" t="s">
        <v>276</v>
      </c>
      <c r="G26" s="4328" t="s">
        <v>314</v>
      </c>
      <c r="H26" s="4328" t="s">
        <v>294</v>
      </c>
      <c r="I26" s="4345" t="s">
        <v>5049</v>
      </c>
      <c r="J26" s="4458" t="s">
        <v>1011</v>
      </c>
      <c r="K26" s="4999" t="s">
        <v>5036</v>
      </c>
      <c r="L26" s="5009">
        <v>1</v>
      </c>
      <c r="M26" s="5009">
        <v>1</v>
      </c>
      <c r="N26" s="5009">
        <v>0</v>
      </c>
      <c r="O26" s="4999" t="s">
        <v>5022</v>
      </c>
      <c r="P26" s="4999" t="s">
        <v>5009</v>
      </c>
      <c r="Q26" s="5015" t="s">
        <v>5003</v>
      </c>
      <c r="R26" s="3367"/>
      <c r="S26" s="2702"/>
      <c r="T26" s="2702"/>
      <c r="U26" s="2718"/>
      <c r="V26" s="2737"/>
      <c r="W26" s="355"/>
      <c r="X26" s="2771"/>
      <c r="Y26" s="2771"/>
      <c r="Z26" s="2771"/>
      <c r="AA26" s="2782"/>
      <c r="AB26" s="355"/>
      <c r="AC26" s="356"/>
      <c r="AD26" s="356"/>
      <c r="AE26" s="5023"/>
    </row>
    <row r="27" spans="1:31" ht="21.75" customHeight="1">
      <c r="A27" s="4564"/>
      <c r="B27" s="4331"/>
      <c r="C27" s="4215"/>
      <c r="D27" s="4215"/>
      <c r="E27" s="4215"/>
      <c r="F27" s="4215"/>
      <c r="G27" s="4215"/>
      <c r="H27" s="4215"/>
      <c r="I27" s="4215"/>
      <c r="J27" s="4449"/>
      <c r="K27" s="4996"/>
      <c r="L27" s="4811"/>
      <c r="M27" s="4811"/>
      <c r="N27" s="4811"/>
      <c r="O27" s="4996"/>
      <c r="P27" s="4996"/>
      <c r="Q27" s="5016"/>
      <c r="R27" s="3373"/>
      <c r="S27" s="2703"/>
      <c r="T27" s="2703"/>
      <c r="U27" s="2719"/>
      <c r="V27" s="2738"/>
      <c r="W27" s="357"/>
      <c r="X27" s="2774"/>
      <c r="Y27" s="2774"/>
      <c r="Z27" s="2774"/>
      <c r="AA27" s="2776"/>
      <c r="AB27" s="357"/>
      <c r="AC27" s="358"/>
      <c r="AD27" s="358"/>
      <c r="AE27" s="4984"/>
    </row>
    <row r="28" spans="1:31" ht="21.75" customHeight="1">
      <c r="A28" s="4564"/>
      <c r="B28" s="4331"/>
      <c r="C28" s="4215"/>
      <c r="D28" s="4215"/>
      <c r="E28" s="4215"/>
      <c r="F28" s="4215"/>
      <c r="G28" s="4215"/>
      <c r="H28" s="4215"/>
      <c r="I28" s="4215"/>
      <c r="J28" s="4449"/>
      <c r="K28" s="4996"/>
      <c r="L28" s="4811"/>
      <c r="M28" s="4811"/>
      <c r="N28" s="4811"/>
      <c r="O28" s="4996"/>
      <c r="P28" s="4996"/>
      <c r="Q28" s="5016"/>
      <c r="R28" s="3366"/>
      <c r="S28" s="2701"/>
      <c r="T28" s="2701"/>
      <c r="U28" s="2720"/>
      <c r="V28" s="2737"/>
      <c r="W28" s="355"/>
      <c r="X28" s="2771"/>
      <c r="Y28" s="2774"/>
      <c r="Z28" s="2774"/>
      <c r="AA28" s="2776"/>
      <c r="AB28" s="357"/>
      <c r="AC28" s="358"/>
      <c r="AD28" s="358"/>
      <c r="AE28" s="4984"/>
    </row>
    <row r="29" spans="1:31" ht="21.75" customHeight="1">
      <c r="A29" s="4564"/>
      <c r="B29" s="4331"/>
      <c r="C29" s="4215"/>
      <c r="D29" s="4215"/>
      <c r="E29" s="4215"/>
      <c r="F29" s="4215"/>
      <c r="G29" s="4215"/>
      <c r="H29" s="4215"/>
      <c r="I29" s="4215"/>
      <c r="J29" s="4449"/>
      <c r="K29" s="4996"/>
      <c r="L29" s="4811"/>
      <c r="M29" s="4811"/>
      <c r="N29" s="4811"/>
      <c r="O29" s="4996"/>
      <c r="P29" s="4996"/>
      <c r="Q29" s="5016"/>
      <c r="R29" s="3367"/>
      <c r="S29" s="2702"/>
      <c r="T29" s="2702"/>
      <c r="U29" s="2720"/>
      <c r="V29" s="2737"/>
      <c r="W29" s="355"/>
      <c r="X29" s="2771"/>
      <c r="Y29" s="2774"/>
      <c r="Z29" s="2774"/>
      <c r="AA29" s="2776"/>
      <c r="AB29" s="357"/>
      <c r="AC29" s="358"/>
      <c r="AD29" s="358"/>
      <c r="AE29" s="4984"/>
    </row>
    <row r="30" spans="1:31" ht="21.75" customHeight="1">
      <c r="A30" s="4564"/>
      <c r="B30" s="4332"/>
      <c r="C30" s="4216"/>
      <c r="D30" s="4216"/>
      <c r="E30" s="4216"/>
      <c r="F30" s="4216"/>
      <c r="G30" s="4216"/>
      <c r="H30" s="4216"/>
      <c r="I30" s="4216"/>
      <c r="J30" s="4450"/>
      <c r="K30" s="4997"/>
      <c r="L30" s="4812"/>
      <c r="M30" s="4812"/>
      <c r="N30" s="4812"/>
      <c r="O30" s="4997"/>
      <c r="P30" s="4997"/>
      <c r="Q30" s="5017"/>
      <c r="R30" s="3374"/>
      <c r="S30" s="3386"/>
      <c r="T30" s="3386"/>
      <c r="U30" s="2724"/>
      <c r="V30" s="2741"/>
      <c r="W30" s="353"/>
      <c r="X30" s="2783"/>
      <c r="Y30" s="2783"/>
      <c r="Z30" s="2783"/>
      <c r="AA30" s="2784"/>
      <c r="AB30" s="353"/>
      <c r="AC30" s="1179"/>
      <c r="AD30" s="1179"/>
      <c r="AE30" s="4985"/>
    </row>
    <row r="31" spans="1:31" ht="33.950000000000003" customHeight="1">
      <c r="A31" s="4564"/>
      <c r="B31" s="4337" t="s">
        <v>272</v>
      </c>
      <c r="C31" s="4273" t="s">
        <v>273</v>
      </c>
      <c r="D31" s="4273" t="s">
        <v>388</v>
      </c>
      <c r="E31" s="4273" t="s">
        <v>964</v>
      </c>
      <c r="F31" s="4338" t="s">
        <v>276</v>
      </c>
      <c r="G31" s="4273" t="s">
        <v>314</v>
      </c>
      <c r="H31" s="4273" t="s">
        <v>241</v>
      </c>
      <c r="I31" s="4228" t="s">
        <v>5050</v>
      </c>
      <c r="J31" s="4458" t="s">
        <v>1012</v>
      </c>
      <c r="K31" s="5001" t="s">
        <v>5037</v>
      </c>
      <c r="L31" s="5002">
        <v>6780</v>
      </c>
      <c r="M31" s="5002">
        <v>6790</v>
      </c>
      <c r="N31" s="5002">
        <v>4530</v>
      </c>
      <c r="O31" s="4999" t="s">
        <v>5023</v>
      </c>
      <c r="P31" s="4999" t="s">
        <v>5010</v>
      </c>
      <c r="Q31" s="4445" t="s">
        <v>5005</v>
      </c>
      <c r="R31" s="3375" t="s">
        <v>29</v>
      </c>
      <c r="S31" s="3387">
        <v>530807</v>
      </c>
      <c r="T31" s="3387"/>
      <c r="U31" s="3397" t="s">
        <v>44</v>
      </c>
      <c r="V31" s="3410"/>
      <c r="W31" s="498"/>
      <c r="X31" s="3428"/>
      <c r="Y31" s="3428"/>
      <c r="Z31" s="3428"/>
      <c r="AA31" s="3429">
        <f>SUM($Z$32:$Z$35)</f>
        <v>1040.0000038400001</v>
      </c>
      <c r="AB31" s="498"/>
      <c r="AC31" s="499"/>
      <c r="AD31" s="499"/>
      <c r="AE31" s="4989"/>
    </row>
    <row r="32" spans="1:31" ht="18" customHeight="1">
      <c r="A32" s="4564"/>
      <c r="B32" s="4241"/>
      <c r="C32" s="4215"/>
      <c r="D32" s="4215"/>
      <c r="E32" s="4215"/>
      <c r="F32" s="4215"/>
      <c r="G32" s="4215"/>
      <c r="H32" s="4215"/>
      <c r="I32" s="4215"/>
      <c r="J32" s="4449"/>
      <c r="K32" s="4996"/>
      <c r="L32" s="5003"/>
      <c r="M32" s="5003"/>
      <c r="N32" s="5003"/>
      <c r="O32" s="4996"/>
      <c r="P32" s="4996"/>
      <c r="Q32" s="4446"/>
      <c r="R32" s="3370"/>
      <c r="S32" s="3383"/>
      <c r="T32" s="3383">
        <v>38912013912</v>
      </c>
      <c r="U32" s="3453" t="s">
        <v>4997</v>
      </c>
      <c r="V32" s="3411">
        <v>20</v>
      </c>
      <c r="W32" s="500" t="s">
        <v>269</v>
      </c>
      <c r="X32" s="3423">
        <v>11.607142899999999</v>
      </c>
      <c r="Y32" s="3423">
        <f t="shared" ref="Y32:Y35" si="2">(V32*X32)</f>
        <v>232.14285799999999</v>
      </c>
      <c r="Z32" s="3423">
        <f t="shared" ref="Z32:Z35" si="3">Y32*1.12</f>
        <v>260.00000096000002</v>
      </c>
      <c r="AA32" s="3424"/>
      <c r="AB32" s="500"/>
      <c r="AC32" s="494"/>
      <c r="AD32" s="494" t="s">
        <v>251</v>
      </c>
      <c r="AE32" s="4990"/>
    </row>
    <row r="33" spans="1:31" ht="18" customHeight="1">
      <c r="A33" s="4564"/>
      <c r="B33" s="4241"/>
      <c r="C33" s="4215"/>
      <c r="D33" s="4215"/>
      <c r="E33" s="4215"/>
      <c r="F33" s="4215"/>
      <c r="G33" s="4215"/>
      <c r="H33" s="4215"/>
      <c r="I33" s="4215"/>
      <c r="J33" s="4449"/>
      <c r="K33" s="4996"/>
      <c r="L33" s="5003"/>
      <c r="M33" s="5003"/>
      <c r="N33" s="5003"/>
      <c r="O33" s="4996"/>
      <c r="P33" s="4996"/>
      <c r="Q33" s="4446"/>
      <c r="R33" s="3370"/>
      <c r="S33" s="3383"/>
      <c r="T33" s="3383">
        <v>38912013912</v>
      </c>
      <c r="U33" s="3453" t="s">
        <v>4998</v>
      </c>
      <c r="V33" s="3411">
        <v>20</v>
      </c>
      <c r="W33" s="500" t="s">
        <v>269</v>
      </c>
      <c r="X33" s="3423">
        <v>11.607142899999999</v>
      </c>
      <c r="Y33" s="3423">
        <f t="shared" si="2"/>
        <v>232.14285799999999</v>
      </c>
      <c r="Z33" s="3423">
        <f t="shared" si="3"/>
        <v>260.00000096000002</v>
      </c>
      <c r="AA33" s="3424"/>
      <c r="AB33" s="500"/>
      <c r="AC33" s="494"/>
      <c r="AD33" s="494" t="s">
        <v>251</v>
      </c>
      <c r="AE33" s="4990"/>
    </row>
    <row r="34" spans="1:31" ht="18" customHeight="1">
      <c r="A34" s="4564"/>
      <c r="B34" s="4241"/>
      <c r="C34" s="4215"/>
      <c r="D34" s="4215"/>
      <c r="E34" s="4215"/>
      <c r="F34" s="4215"/>
      <c r="G34" s="4215"/>
      <c r="H34" s="4215"/>
      <c r="I34" s="4215"/>
      <c r="J34" s="4449"/>
      <c r="K34" s="4996"/>
      <c r="L34" s="5003"/>
      <c r="M34" s="5003"/>
      <c r="N34" s="5003"/>
      <c r="O34" s="4996"/>
      <c r="P34" s="4996"/>
      <c r="Q34" s="4446"/>
      <c r="R34" s="3371"/>
      <c r="S34" s="3384"/>
      <c r="T34" s="3383">
        <v>38912013912</v>
      </c>
      <c r="U34" s="3453" t="s">
        <v>4999</v>
      </c>
      <c r="V34" s="3411">
        <v>20</v>
      </c>
      <c r="W34" s="500" t="s">
        <v>269</v>
      </c>
      <c r="X34" s="3423">
        <v>11.607142899999999</v>
      </c>
      <c r="Y34" s="3423">
        <f t="shared" si="2"/>
        <v>232.14285799999999</v>
      </c>
      <c r="Z34" s="3423">
        <f t="shared" si="3"/>
        <v>260.00000096000002</v>
      </c>
      <c r="AA34" s="3424"/>
      <c r="AB34" s="500"/>
      <c r="AC34" s="494"/>
      <c r="AD34" s="494" t="s">
        <v>251</v>
      </c>
      <c r="AE34" s="4990"/>
    </row>
    <row r="35" spans="1:31" ht="18" customHeight="1">
      <c r="A35" s="4564"/>
      <c r="B35" s="4365"/>
      <c r="C35" s="4348"/>
      <c r="D35" s="4348"/>
      <c r="E35" s="4348"/>
      <c r="F35" s="4348"/>
      <c r="G35" s="4348"/>
      <c r="H35" s="4348"/>
      <c r="I35" s="4348"/>
      <c r="J35" s="4472"/>
      <c r="K35" s="5000"/>
      <c r="L35" s="5004"/>
      <c r="M35" s="5004"/>
      <c r="N35" s="5004"/>
      <c r="O35" s="5000"/>
      <c r="P35" s="5000"/>
      <c r="Q35" s="4604"/>
      <c r="R35" s="3461"/>
      <c r="S35" s="3462"/>
      <c r="T35" s="3462">
        <v>38912013912</v>
      </c>
      <c r="U35" s="3463" t="s">
        <v>5000</v>
      </c>
      <c r="V35" s="3464">
        <v>20</v>
      </c>
      <c r="W35" s="3465" t="s">
        <v>269</v>
      </c>
      <c r="X35" s="3466">
        <v>11.607142899999999</v>
      </c>
      <c r="Y35" s="3466">
        <f t="shared" si="2"/>
        <v>232.14285799999999</v>
      </c>
      <c r="Z35" s="3466">
        <f t="shared" si="3"/>
        <v>260.00000096000002</v>
      </c>
      <c r="AA35" s="3467"/>
      <c r="AB35" s="3465"/>
      <c r="AC35" s="3468"/>
      <c r="AD35" s="3468" t="s">
        <v>251</v>
      </c>
      <c r="AE35" s="5008"/>
    </row>
    <row r="36" spans="1:31" ht="23.25" customHeight="1">
      <c r="A36" s="4564"/>
      <c r="B36" s="4625" t="s">
        <v>272</v>
      </c>
      <c r="C36" s="4328" t="s">
        <v>273</v>
      </c>
      <c r="D36" s="4328" t="s">
        <v>388</v>
      </c>
      <c r="E36" s="4328" t="s">
        <v>964</v>
      </c>
      <c r="F36" s="4329" t="s">
        <v>276</v>
      </c>
      <c r="G36" s="4328" t="s">
        <v>314</v>
      </c>
      <c r="H36" s="4328" t="s">
        <v>241</v>
      </c>
      <c r="I36" s="4459" t="s">
        <v>5051</v>
      </c>
      <c r="J36" s="4459" t="s">
        <v>1013</v>
      </c>
      <c r="K36" s="4578" t="s">
        <v>5038</v>
      </c>
      <c r="L36" s="4998">
        <v>1</v>
      </c>
      <c r="M36" s="4998">
        <v>1</v>
      </c>
      <c r="N36" s="4998">
        <v>1</v>
      </c>
      <c r="O36" s="4578" t="s">
        <v>5024</v>
      </c>
      <c r="P36" s="4578" t="s">
        <v>5011</v>
      </c>
      <c r="Q36" s="4596" t="s">
        <v>5006</v>
      </c>
      <c r="R36" s="3369" t="s">
        <v>29</v>
      </c>
      <c r="S36" s="3382">
        <v>840107</v>
      </c>
      <c r="T36" s="3382"/>
      <c r="U36" s="3400" t="s">
        <v>20</v>
      </c>
      <c r="V36" s="3407"/>
      <c r="W36" s="447"/>
      <c r="X36" s="3420"/>
      <c r="Y36" s="3420"/>
      <c r="Z36" s="3420"/>
      <c r="AA36" s="3421">
        <f>SUM($Z$37:$Z$39)</f>
        <v>5856.0000128000001</v>
      </c>
      <c r="AB36" s="447"/>
      <c r="AC36" s="3460"/>
      <c r="AD36" s="3460"/>
      <c r="AE36" s="4762" t="s">
        <v>4985</v>
      </c>
    </row>
    <row r="37" spans="1:31" ht="23.25" customHeight="1">
      <c r="A37" s="4564"/>
      <c r="B37" s="4331"/>
      <c r="C37" s="4215"/>
      <c r="D37" s="4215"/>
      <c r="E37" s="4215"/>
      <c r="F37" s="4215"/>
      <c r="G37" s="4215"/>
      <c r="H37" s="4215"/>
      <c r="I37" s="4449"/>
      <c r="J37" s="4449"/>
      <c r="K37" s="4996"/>
      <c r="L37" s="4811"/>
      <c r="M37" s="4811"/>
      <c r="N37" s="4811"/>
      <c r="O37" s="4996"/>
      <c r="P37" s="4996"/>
      <c r="Q37" s="4446"/>
      <c r="R37" s="3370"/>
      <c r="S37" s="3383"/>
      <c r="T37" s="3383">
        <v>4522000114</v>
      </c>
      <c r="U37" s="3453" t="s">
        <v>5001</v>
      </c>
      <c r="V37" s="3411">
        <v>4</v>
      </c>
      <c r="W37" s="500" t="s">
        <v>269</v>
      </c>
      <c r="X37" s="3423">
        <v>1082.1428599999999</v>
      </c>
      <c r="Y37" s="3423">
        <f t="shared" ref="Y37:Y38" si="4">(V37*X37)</f>
        <v>4328.5714399999997</v>
      </c>
      <c r="Z37" s="3423">
        <f t="shared" ref="Z37:Z38" si="5">Y37*1.12</f>
        <v>4848.0000128000001</v>
      </c>
      <c r="AA37" s="3424"/>
      <c r="AB37" s="500"/>
      <c r="AC37" s="500"/>
      <c r="AD37" s="386" t="s">
        <v>251</v>
      </c>
      <c r="AE37" s="4990"/>
    </row>
    <row r="38" spans="1:31" ht="23.25" customHeight="1">
      <c r="A38" s="4564"/>
      <c r="B38" s="4331"/>
      <c r="C38" s="4215"/>
      <c r="D38" s="4215"/>
      <c r="E38" s="4215"/>
      <c r="F38" s="4215"/>
      <c r="G38" s="4215"/>
      <c r="H38" s="4215"/>
      <c r="I38" s="4449"/>
      <c r="J38" s="4449"/>
      <c r="K38" s="4996"/>
      <c r="L38" s="4811"/>
      <c r="M38" s="4811"/>
      <c r="N38" s="4811"/>
      <c r="O38" s="4996"/>
      <c r="P38" s="4996"/>
      <c r="Q38" s="4446"/>
      <c r="R38" s="3370"/>
      <c r="S38" s="3383"/>
      <c r="T38" s="3383">
        <v>451700424</v>
      </c>
      <c r="U38" s="3398" t="s">
        <v>1014</v>
      </c>
      <c r="V38" s="3411">
        <v>1</v>
      </c>
      <c r="W38" s="500" t="s">
        <v>269</v>
      </c>
      <c r="X38" s="3423">
        <v>900</v>
      </c>
      <c r="Y38" s="3423">
        <f t="shared" si="4"/>
        <v>900</v>
      </c>
      <c r="Z38" s="3423">
        <f t="shared" si="5"/>
        <v>1008.0000000000001</v>
      </c>
      <c r="AA38" s="3424"/>
      <c r="AB38" s="500"/>
      <c r="AC38" s="500"/>
      <c r="AD38" s="494" t="s">
        <v>251</v>
      </c>
      <c r="AE38" s="4990"/>
    </row>
    <row r="39" spans="1:31" ht="23.25" customHeight="1">
      <c r="A39" s="4564"/>
      <c r="B39" s="4331"/>
      <c r="C39" s="4215"/>
      <c r="D39" s="4215"/>
      <c r="E39" s="4215"/>
      <c r="F39" s="4215"/>
      <c r="G39" s="4215"/>
      <c r="H39" s="4215"/>
      <c r="I39" s="4449"/>
      <c r="J39" s="4449"/>
      <c r="K39" s="4996"/>
      <c r="L39" s="4811"/>
      <c r="M39" s="4811"/>
      <c r="N39" s="4811"/>
      <c r="O39" s="4996"/>
      <c r="P39" s="4996"/>
      <c r="Q39" s="4446"/>
      <c r="R39" s="3370"/>
      <c r="S39" s="3383"/>
      <c r="T39" s="3383"/>
      <c r="U39" s="3398"/>
      <c r="V39" s="3411"/>
      <c r="W39" s="500"/>
      <c r="X39" s="3423"/>
      <c r="Y39" s="3423"/>
      <c r="Z39" s="3423"/>
      <c r="AA39" s="3424"/>
      <c r="AB39" s="500"/>
      <c r="AC39" s="500"/>
      <c r="AD39" s="494"/>
      <c r="AE39" s="4990"/>
    </row>
    <row r="40" spans="1:31" ht="23.25" customHeight="1">
      <c r="A40" s="4564"/>
      <c r="B40" s="4332"/>
      <c r="C40" s="4216"/>
      <c r="D40" s="4216"/>
      <c r="E40" s="4216"/>
      <c r="F40" s="4216"/>
      <c r="G40" s="4216"/>
      <c r="H40" s="4216"/>
      <c r="I40" s="4450"/>
      <c r="J40" s="4450"/>
      <c r="K40" s="4997"/>
      <c r="L40" s="4812"/>
      <c r="M40" s="4812"/>
      <c r="N40" s="4812"/>
      <c r="O40" s="4997"/>
      <c r="P40" s="4997"/>
      <c r="Q40" s="4341"/>
      <c r="R40" s="3372"/>
      <c r="S40" s="3385"/>
      <c r="T40" s="3385"/>
      <c r="U40" s="3399"/>
      <c r="V40" s="3412"/>
      <c r="W40" s="496"/>
      <c r="X40" s="3426"/>
      <c r="Y40" s="3426"/>
      <c r="Z40" s="3426"/>
      <c r="AA40" s="3427"/>
      <c r="AB40" s="496"/>
      <c r="AC40" s="496"/>
      <c r="AD40" s="497"/>
      <c r="AE40" s="4991"/>
    </row>
    <row r="41" spans="1:31" ht="38.25" customHeight="1">
      <c r="A41" s="4564"/>
      <c r="B41" s="4626" t="s">
        <v>272</v>
      </c>
      <c r="C41" s="4273" t="s">
        <v>273</v>
      </c>
      <c r="D41" s="4273" t="s">
        <v>388</v>
      </c>
      <c r="E41" s="4273" t="s">
        <v>964</v>
      </c>
      <c r="F41" s="4338" t="s">
        <v>276</v>
      </c>
      <c r="G41" s="4273" t="s">
        <v>314</v>
      </c>
      <c r="H41" s="4273" t="s">
        <v>241</v>
      </c>
      <c r="I41" s="4458" t="s">
        <v>5052</v>
      </c>
      <c r="J41" s="4458" t="s">
        <v>1015</v>
      </c>
      <c r="K41" s="4999" t="s">
        <v>5039</v>
      </c>
      <c r="L41" s="4810">
        <v>350</v>
      </c>
      <c r="M41" s="4810">
        <v>400</v>
      </c>
      <c r="N41" s="4810">
        <v>350</v>
      </c>
      <c r="O41" s="4999" t="s">
        <v>5025</v>
      </c>
      <c r="P41" s="4999" t="s">
        <v>5012</v>
      </c>
      <c r="Q41" s="5015" t="s">
        <v>5004</v>
      </c>
      <c r="R41" s="3376"/>
      <c r="S41" s="2705"/>
      <c r="T41" s="2705"/>
      <c r="U41" s="2722"/>
      <c r="V41" s="2740"/>
      <c r="W41" s="363"/>
      <c r="X41" s="2780"/>
      <c r="Y41" s="2780"/>
      <c r="Z41" s="2780"/>
      <c r="AA41" s="2773"/>
      <c r="AB41" s="363"/>
      <c r="AC41" s="367"/>
      <c r="AD41" s="367"/>
      <c r="AE41" s="4992"/>
    </row>
    <row r="42" spans="1:31" ht="38.25" customHeight="1">
      <c r="A42" s="4564"/>
      <c r="B42" s="4331"/>
      <c r="C42" s="4215"/>
      <c r="D42" s="4215"/>
      <c r="E42" s="4215"/>
      <c r="F42" s="4215"/>
      <c r="G42" s="4215"/>
      <c r="H42" s="4215"/>
      <c r="I42" s="4449"/>
      <c r="J42" s="4449"/>
      <c r="K42" s="4996"/>
      <c r="L42" s="4811"/>
      <c r="M42" s="4811"/>
      <c r="N42" s="4811"/>
      <c r="O42" s="4996"/>
      <c r="P42" s="4996"/>
      <c r="Q42" s="5016"/>
      <c r="R42" s="3373"/>
      <c r="S42" s="2703"/>
      <c r="T42" s="2703"/>
      <c r="U42" s="2719"/>
      <c r="V42" s="2738"/>
      <c r="W42" s="357"/>
      <c r="X42" s="2774"/>
      <c r="Y42" s="2774"/>
      <c r="Z42" s="2774"/>
      <c r="AA42" s="2776"/>
      <c r="AB42" s="357"/>
      <c r="AC42" s="358"/>
      <c r="AD42" s="358"/>
      <c r="AE42" s="4984"/>
    </row>
    <row r="43" spans="1:31" ht="38.25" customHeight="1">
      <c r="A43" s="4564"/>
      <c r="B43" s="4331"/>
      <c r="C43" s="4215"/>
      <c r="D43" s="4215"/>
      <c r="E43" s="4215"/>
      <c r="F43" s="4215"/>
      <c r="G43" s="4215"/>
      <c r="H43" s="4215"/>
      <c r="I43" s="4449"/>
      <c r="J43" s="4449"/>
      <c r="K43" s="4996"/>
      <c r="L43" s="4811"/>
      <c r="M43" s="4811"/>
      <c r="N43" s="4811"/>
      <c r="O43" s="4996"/>
      <c r="P43" s="4996"/>
      <c r="Q43" s="5016"/>
      <c r="R43" s="3373"/>
      <c r="S43" s="2703"/>
      <c r="T43" s="2703"/>
      <c r="U43" s="2719"/>
      <c r="V43" s="2738"/>
      <c r="W43" s="357"/>
      <c r="X43" s="2774"/>
      <c r="Y43" s="2774"/>
      <c r="Z43" s="2774"/>
      <c r="AA43" s="2776"/>
      <c r="AB43" s="357"/>
      <c r="AC43" s="358"/>
      <c r="AD43" s="358"/>
      <c r="AE43" s="4984"/>
    </row>
    <row r="44" spans="1:31" ht="38.25" customHeight="1">
      <c r="A44" s="4564"/>
      <c r="B44" s="4331"/>
      <c r="C44" s="4215"/>
      <c r="D44" s="4215"/>
      <c r="E44" s="4215"/>
      <c r="F44" s="4215"/>
      <c r="G44" s="4215"/>
      <c r="H44" s="4215"/>
      <c r="I44" s="4449"/>
      <c r="J44" s="4449"/>
      <c r="K44" s="4996"/>
      <c r="L44" s="4811"/>
      <c r="M44" s="4811"/>
      <c r="N44" s="4811"/>
      <c r="O44" s="4996"/>
      <c r="P44" s="4996"/>
      <c r="Q44" s="5016"/>
      <c r="R44" s="3373"/>
      <c r="S44" s="2703"/>
      <c r="T44" s="2703"/>
      <c r="U44" s="2719"/>
      <c r="V44" s="2738"/>
      <c r="W44" s="357"/>
      <c r="X44" s="2774"/>
      <c r="Y44" s="2774"/>
      <c r="Z44" s="2774"/>
      <c r="AA44" s="2776"/>
      <c r="AB44" s="357"/>
      <c r="AC44" s="358"/>
      <c r="AD44" s="358"/>
      <c r="AE44" s="4984"/>
    </row>
    <row r="45" spans="1:31" ht="38.25" customHeight="1">
      <c r="A45" s="4564"/>
      <c r="B45" s="4332"/>
      <c r="C45" s="4216"/>
      <c r="D45" s="4216"/>
      <c r="E45" s="4216"/>
      <c r="F45" s="4216"/>
      <c r="G45" s="4216"/>
      <c r="H45" s="4216"/>
      <c r="I45" s="4450"/>
      <c r="J45" s="4450"/>
      <c r="K45" s="4997"/>
      <c r="L45" s="4812"/>
      <c r="M45" s="4812"/>
      <c r="N45" s="4812"/>
      <c r="O45" s="4997"/>
      <c r="P45" s="4997"/>
      <c r="Q45" s="5017"/>
      <c r="R45" s="3368"/>
      <c r="S45" s="2704"/>
      <c r="T45" s="2704"/>
      <c r="U45" s="2721"/>
      <c r="V45" s="2739"/>
      <c r="W45" s="361"/>
      <c r="X45" s="2777"/>
      <c r="Y45" s="2777"/>
      <c r="Z45" s="2777"/>
      <c r="AA45" s="2779"/>
      <c r="AB45" s="361"/>
      <c r="AC45" s="354"/>
      <c r="AD45" s="354"/>
      <c r="AE45" s="4985"/>
    </row>
    <row r="46" spans="1:31" ht="31.5" customHeight="1">
      <c r="A46" s="4564"/>
      <c r="B46" s="4626" t="s">
        <v>272</v>
      </c>
      <c r="C46" s="4273" t="s">
        <v>273</v>
      </c>
      <c r="D46" s="4273" t="s">
        <v>388</v>
      </c>
      <c r="E46" s="4273" t="s">
        <v>964</v>
      </c>
      <c r="F46" s="4338" t="s">
        <v>276</v>
      </c>
      <c r="G46" s="4273" t="s">
        <v>314</v>
      </c>
      <c r="H46" s="4273" t="s">
        <v>241</v>
      </c>
      <c r="I46" s="4458" t="s">
        <v>5053</v>
      </c>
      <c r="J46" s="4459" t="s">
        <v>1016</v>
      </c>
      <c r="K46" s="4999" t="s">
        <v>5040</v>
      </c>
      <c r="L46" s="4810">
        <v>5</v>
      </c>
      <c r="M46" s="4810">
        <v>6</v>
      </c>
      <c r="N46" s="4810">
        <v>6</v>
      </c>
      <c r="O46" s="4999" t="s">
        <v>5026</v>
      </c>
      <c r="P46" s="5018" t="s">
        <v>5013</v>
      </c>
      <c r="Q46" s="4445" t="s">
        <v>5003</v>
      </c>
      <c r="R46" s="3363" t="s">
        <v>39</v>
      </c>
      <c r="S46" s="3388">
        <v>530613</v>
      </c>
      <c r="T46" s="3389"/>
      <c r="U46" s="3403" t="s">
        <v>88</v>
      </c>
      <c r="V46" s="3413"/>
      <c r="W46" s="503"/>
      <c r="X46" s="3430"/>
      <c r="Y46" s="3430"/>
      <c r="Z46" s="3430"/>
      <c r="AA46" s="3430">
        <f>SUM($Z$47)</f>
        <v>16800</v>
      </c>
      <c r="AB46" s="458"/>
      <c r="AC46" s="459"/>
      <c r="AD46" s="459"/>
      <c r="AE46" s="4989" t="s">
        <v>1017</v>
      </c>
    </row>
    <row r="47" spans="1:31" ht="31.5" customHeight="1">
      <c r="A47" s="4564"/>
      <c r="B47" s="4331"/>
      <c r="C47" s="4215"/>
      <c r="D47" s="4215"/>
      <c r="E47" s="4215"/>
      <c r="F47" s="4215"/>
      <c r="G47" s="4215"/>
      <c r="H47" s="4215"/>
      <c r="I47" s="4449"/>
      <c r="J47" s="4449"/>
      <c r="K47" s="4996"/>
      <c r="L47" s="4811"/>
      <c r="M47" s="4811"/>
      <c r="N47" s="4811"/>
      <c r="O47" s="4996"/>
      <c r="P47" s="4996"/>
      <c r="Q47" s="4446"/>
      <c r="R47" s="3377"/>
      <c r="S47" s="3390"/>
      <c r="T47" s="3390"/>
      <c r="U47" s="3404" t="s">
        <v>88</v>
      </c>
      <c r="V47" s="3451">
        <v>1</v>
      </c>
      <c r="W47" s="3450"/>
      <c r="X47" s="3431">
        <v>15000</v>
      </c>
      <c r="Y47" s="3431">
        <f>V47*X47</f>
        <v>15000</v>
      </c>
      <c r="Z47" s="3431">
        <f>Y47*1.12</f>
        <v>16800</v>
      </c>
      <c r="AA47" s="3431"/>
      <c r="AB47" s="462" t="s">
        <v>251</v>
      </c>
      <c r="AC47" s="464" t="s">
        <v>251</v>
      </c>
      <c r="AD47" s="464" t="s">
        <v>251</v>
      </c>
      <c r="AE47" s="4990"/>
    </row>
    <row r="48" spans="1:31" ht="31.5" customHeight="1">
      <c r="A48" s="4564"/>
      <c r="B48" s="4331"/>
      <c r="C48" s="4215"/>
      <c r="D48" s="4215"/>
      <c r="E48" s="4215"/>
      <c r="F48" s="4215"/>
      <c r="G48" s="4215"/>
      <c r="H48" s="4215"/>
      <c r="I48" s="4449"/>
      <c r="J48" s="4449"/>
      <c r="K48" s="4996"/>
      <c r="L48" s="4811"/>
      <c r="M48" s="4811"/>
      <c r="N48" s="4811"/>
      <c r="O48" s="4996"/>
      <c r="P48" s="4996"/>
      <c r="Q48" s="4446"/>
      <c r="R48" s="3370"/>
      <c r="S48" s="3383"/>
      <c r="T48" s="3383"/>
      <c r="U48" s="3398"/>
      <c r="V48" s="3411"/>
      <c r="W48" s="500"/>
      <c r="X48" s="3423"/>
      <c r="Y48" s="3423"/>
      <c r="Z48" s="3423"/>
      <c r="AA48" s="3424"/>
      <c r="AB48" s="500"/>
      <c r="AC48" s="494"/>
      <c r="AD48" s="494"/>
      <c r="AE48" s="4990"/>
    </row>
    <row r="49" spans="1:31" ht="31.5" customHeight="1">
      <c r="A49" s="4564"/>
      <c r="B49" s="4331"/>
      <c r="C49" s="4215"/>
      <c r="D49" s="4215"/>
      <c r="E49" s="4215"/>
      <c r="F49" s="4215"/>
      <c r="G49" s="4215"/>
      <c r="H49" s="4215"/>
      <c r="I49" s="4449"/>
      <c r="J49" s="4449"/>
      <c r="K49" s="4996"/>
      <c r="L49" s="4811"/>
      <c r="M49" s="4811"/>
      <c r="N49" s="4811"/>
      <c r="O49" s="4996"/>
      <c r="P49" s="4996"/>
      <c r="Q49" s="4446"/>
      <c r="R49" s="3370"/>
      <c r="S49" s="3383"/>
      <c r="T49" s="3383"/>
      <c r="U49" s="3398"/>
      <c r="V49" s="3411"/>
      <c r="W49" s="500"/>
      <c r="X49" s="3423"/>
      <c r="Y49" s="3423"/>
      <c r="Z49" s="3423"/>
      <c r="AA49" s="3424"/>
      <c r="AB49" s="500"/>
      <c r="AC49" s="494"/>
      <c r="AD49" s="494"/>
      <c r="AE49" s="4990"/>
    </row>
    <row r="50" spans="1:31" ht="31.5" customHeight="1">
      <c r="A50" s="4564"/>
      <c r="B50" s="4332"/>
      <c r="C50" s="4216"/>
      <c r="D50" s="4216"/>
      <c r="E50" s="4216"/>
      <c r="F50" s="4216"/>
      <c r="G50" s="4216"/>
      <c r="H50" s="4216"/>
      <c r="I50" s="4450"/>
      <c r="J50" s="4450"/>
      <c r="K50" s="4997"/>
      <c r="L50" s="4812"/>
      <c r="M50" s="4812"/>
      <c r="N50" s="4812"/>
      <c r="O50" s="4997"/>
      <c r="P50" s="4997"/>
      <c r="Q50" s="4341"/>
      <c r="R50" s="3372"/>
      <c r="S50" s="3385"/>
      <c r="T50" s="3385"/>
      <c r="U50" s="3399"/>
      <c r="V50" s="3412"/>
      <c r="W50" s="496"/>
      <c r="X50" s="3426"/>
      <c r="Y50" s="3426"/>
      <c r="Z50" s="3426"/>
      <c r="AA50" s="3427"/>
      <c r="AB50" s="496"/>
      <c r="AC50" s="497"/>
      <c r="AD50" s="497"/>
      <c r="AE50" s="4991"/>
    </row>
    <row r="51" spans="1:31" ht="25.5">
      <c r="A51" s="4564"/>
      <c r="B51" s="4626" t="s">
        <v>272</v>
      </c>
      <c r="C51" s="4273" t="s">
        <v>273</v>
      </c>
      <c r="D51" s="4273" t="s">
        <v>388</v>
      </c>
      <c r="E51" s="4273" t="s">
        <v>964</v>
      </c>
      <c r="F51" s="4338" t="s">
        <v>276</v>
      </c>
      <c r="G51" s="4273" t="s">
        <v>314</v>
      </c>
      <c r="H51" s="4273" t="s">
        <v>278</v>
      </c>
      <c r="I51" s="4458" t="s">
        <v>5054</v>
      </c>
      <c r="J51" s="4458" t="s">
        <v>1018</v>
      </c>
      <c r="K51" s="5018" t="s">
        <v>5041</v>
      </c>
      <c r="L51" s="4810">
        <v>6</v>
      </c>
      <c r="M51" s="3328"/>
      <c r="N51" s="4810">
        <v>7</v>
      </c>
      <c r="O51" s="4999" t="s">
        <v>5027</v>
      </c>
      <c r="P51" s="4999" t="s">
        <v>5014</v>
      </c>
      <c r="Q51" s="4445" t="s">
        <v>5003</v>
      </c>
      <c r="R51" s="3375" t="s">
        <v>29</v>
      </c>
      <c r="S51" s="3391">
        <v>530802</v>
      </c>
      <c r="T51" s="3387"/>
      <c r="U51" s="3455" t="s">
        <v>5002</v>
      </c>
      <c r="V51" s="3410"/>
      <c r="W51" s="498"/>
      <c r="X51" s="3428"/>
      <c r="Y51" s="3428"/>
      <c r="Z51" s="3428"/>
      <c r="AA51" s="3429">
        <f>SUM($Z$52:$Z$53)</f>
        <v>1120</v>
      </c>
      <c r="AB51" s="498"/>
      <c r="AC51" s="499"/>
      <c r="AD51" s="499"/>
      <c r="AE51" s="4762"/>
    </row>
    <row r="52" spans="1:31" ht="21" customHeight="1">
      <c r="A52" s="4564"/>
      <c r="B52" s="4331"/>
      <c r="C52" s="4215"/>
      <c r="D52" s="4215"/>
      <c r="E52" s="4215"/>
      <c r="F52" s="4215"/>
      <c r="G52" s="4215"/>
      <c r="H52" s="4215"/>
      <c r="I52" s="4449"/>
      <c r="J52" s="4449"/>
      <c r="K52" s="4996"/>
      <c r="L52" s="4811"/>
      <c r="M52" s="3438"/>
      <c r="N52" s="4811"/>
      <c r="O52" s="4996"/>
      <c r="P52" s="4996"/>
      <c r="Q52" s="4446"/>
      <c r="R52" s="3370"/>
      <c r="S52" s="3383"/>
      <c r="T52" s="3383">
        <v>881220012</v>
      </c>
      <c r="U52" s="3453" t="s">
        <v>1020</v>
      </c>
      <c r="V52" s="3411">
        <v>40</v>
      </c>
      <c r="W52" s="500" t="s">
        <v>269</v>
      </c>
      <c r="X52" s="3423">
        <v>25</v>
      </c>
      <c r="Y52" s="3423">
        <f t="shared" ref="Y52" si="6">+V52*X52</f>
        <v>1000</v>
      </c>
      <c r="Z52" s="3423">
        <f t="shared" ref="Z52" si="7">+Y52*1.12</f>
        <v>1120</v>
      </c>
      <c r="AA52" s="3432"/>
      <c r="AB52" s="500"/>
      <c r="AC52" s="494" t="s">
        <v>251</v>
      </c>
      <c r="AD52" s="494"/>
      <c r="AE52" s="4990"/>
    </row>
    <row r="53" spans="1:31" ht="21" customHeight="1">
      <c r="A53" s="4564"/>
      <c r="B53" s="4331"/>
      <c r="C53" s="4215"/>
      <c r="D53" s="4215"/>
      <c r="E53" s="4215"/>
      <c r="F53" s="4215"/>
      <c r="G53" s="4215"/>
      <c r="H53" s="4215"/>
      <c r="I53" s="4449"/>
      <c r="J53" s="4449"/>
      <c r="K53" s="4996"/>
      <c r="L53" s="4811"/>
      <c r="M53" s="3438">
        <v>7</v>
      </c>
      <c r="N53" s="4811"/>
      <c r="O53" s="4996"/>
      <c r="P53" s="4996"/>
      <c r="Q53" s="4446"/>
      <c r="R53" s="3370"/>
      <c r="S53" s="3383"/>
      <c r="T53" s="3383"/>
      <c r="U53" s="3398"/>
      <c r="V53" s="3411"/>
      <c r="W53" s="500"/>
      <c r="X53" s="3423"/>
      <c r="Y53" s="3423"/>
      <c r="Z53" s="3423"/>
      <c r="AA53" s="3424"/>
      <c r="AB53" s="500"/>
      <c r="AC53" s="494"/>
      <c r="AD53" s="494"/>
      <c r="AE53" s="4990"/>
    </row>
    <row r="54" spans="1:31" ht="21" customHeight="1">
      <c r="A54" s="4564"/>
      <c r="B54" s="4331"/>
      <c r="C54" s="4215"/>
      <c r="D54" s="4215"/>
      <c r="E54" s="4215"/>
      <c r="F54" s="4215"/>
      <c r="G54" s="4215"/>
      <c r="H54" s="4215"/>
      <c r="I54" s="4449"/>
      <c r="J54" s="4449"/>
      <c r="K54" s="4996"/>
      <c r="L54" s="4811"/>
      <c r="M54" s="3438"/>
      <c r="N54" s="4811"/>
      <c r="O54" s="4996"/>
      <c r="P54" s="4996"/>
      <c r="Q54" s="4446"/>
      <c r="R54" s="3370"/>
      <c r="S54" s="3383"/>
      <c r="T54" s="3383"/>
      <c r="U54" s="3398"/>
      <c r="V54" s="3411"/>
      <c r="W54" s="500"/>
      <c r="X54" s="3423"/>
      <c r="Y54" s="3423"/>
      <c r="Z54" s="3423"/>
      <c r="AA54" s="3424"/>
      <c r="AB54" s="500"/>
      <c r="AC54" s="494"/>
      <c r="AD54" s="494"/>
      <c r="AE54" s="4990"/>
    </row>
    <row r="55" spans="1:31" ht="21" customHeight="1">
      <c r="A55" s="4564"/>
      <c r="B55" s="4332"/>
      <c r="C55" s="4216"/>
      <c r="D55" s="4216"/>
      <c r="E55" s="4216"/>
      <c r="F55" s="4216"/>
      <c r="G55" s="4216"/>
      <c r="H55" s="4216"/>
      <c r="I55" s="4450"/>
      <c r="J55" s="4450"/>
      <c r="K55" s="4997"/>
      <c r="L55" s="4812"/>
      <c r="M55" s="3439"/>
      <c r="N55" s="4812"/>
      <c r="O55" s="4997"/>
      <c r="P55" s="4997"/>
      <c r="Q55" s="4341"/>
      <c r="R55" s="3372"/>
      <c r="S55" s="3385"/>
      <c r="T55" s="3385"/>
      <c r="U55" s="3399"/>
      <c r="V55" s="3412"/>
      <c r="W55" s="496"/>
      <c r="X55" s="3426"/>
      <c r="Y55" s="3426"/>
      <c r="Z55" s="3426"/>
      <c r="AA55" s="3427"/>
      <c r="AB55" s="496"/>
      <c r="AC55" s="497"/>
      <c r="AD55" s="497"/>
      <c r="AE55" s="4991"/>
    </row>
    <row r="56" spans="1:31" ht="25.5">
      <c r="A56" s="4564"/>
      <c r="B56" s="4626" t="s">
        <v>272</v>
      </c>
      <c r="C56" s="4273" t="s">
        <v>273</v>
      </c>
      <c r="D56" s="4273" t="s">
        <v>388</v>
      </c>
      <c r="E56" s="4273" t="s">
        <v>964</v>
      </c>
      <c r="F56" s="4338" t="s">
        <v>276</v>
      </c>
      <c r="G56" s="4273" t="s">
        <v>314</v>
      </c>
      <c r="H56" s="4273" t="s">
        <v>241</v>
      </c>
      <c r="I56" s="4458" t="s">
        <v>5055</v>
      </c>
      <c r="J56" s="4458" t="s">
        <v>1021</v>
      </c>
      <c r="K56" s="4999" t="s">
        <v>5042</v>
      </c>
      <c r="L56" s="4810">
        <v>12</v>
      </c>
      <c r="M56" s="3328"/>
      <c r="N56" s="4810">
        <v>13</v>
      </c>
      <c r="O56" s="5001" t="s">
        <v>5028</v>
      </c>
      <c r="P56" s="4999" t="s">
        <v>5015</v>
      </c>
      <c r="Q56" s="4445" t="s">
        <v>5003</v>
      </c>
      <c r="R56" s="3369" t="s">
        <v>29</v>
      </c>
      <c r="S56" s="3392">
        <v>840104</v>
      </c>
      <c r="T56" s="3382"/>
      <c r="U56" s="3400" t="s">
        <v>24</v>
      </c>
      <c r="V56" s="3407"/>
      <c r="W56" s="447"/>
      <c r="X56" s="3420"/>
      <c r="Y56" s="3420"/>
      <c r="Z56" s="3420"/>
      <c r="AA56" s="3421">
        <f>SUM($Z$57:$Z$58)</f>
        <v>3528.0000000000005</v>
      </c>
      <c r="AB56" s="447"/>
      <c r="AC56" s="2005"/>
      <c r="AD56" s="2005"/>
      <c r="AE56" s="4762" t="s">
        <v>4986</v>
      </c>
    </row>
    <row r="57" spans="1:31" ht="21.75" customHeight="1">
      <c r="A57" s="4564"/>
      <c r="B57" s="4331"/>
      <c r="C57" s="4215"/>
      <c r="D57" s="4215"/>
      <c r="E57" s="4215"/>
      <c r="F57" s="4215"/>
      <c r="G57" s="4215"/>
      <c r="H57" s="4215"/>
      <c r="I57" s="4449"/>
      <c r="J57" s="4449"/>
      <c r="K57" s="4996"/>
      <c r="L57" s="4811"/>
      <c r="M57" s="3438"/>
      <c r="N57" s="4811"/>
      <c r="O57" s="4996"/>
      <c r="P57" s="4996"/>
      <c r="Q57" s="4446"/>
      <c r="R57" s="3370"/>
      <c r="S57" s="3383"/>
      <c r="T57" s="3383">
        <v>4391301112</v>
      </c>
      <c r="U57" s="3398" t="s">
        <v>1022</v>
      </c>
      <c r="V57" s="3411">
        <v>3</v>
      </c>
      <c r="W57" s="500" t="s">
        <v>269</v>
      </c>
      <c r="X57" s="3423">
        <v>1050</v>
      </c>
      <c r="Y57" s="3423">
        <f t="shared" ref="Y57" si="8">+V57*X57</f>
        <v>3150</v>
      </c>
      <c r="Z57" s="3423">
        <f t="shared" ref="Z57" si="9">+Y57*1.12</f>
        <v>3528.0000000000005</v>
      </c>
      <c r="AA57" s="3424"/>
      <c r="AB57" s="500"/>
      <c r="AC57" s="494"/>
      <c r="AD57" s="494" t="s">
        <v>251</v>
      </c>
      <c r="AE57" s="4990"/>
    </row>
    <row r="58" spans="1:31" ht="21.75" customHeight="1">
      <c r="A58" s="4564"/>
      <c r="B58" s="4331"/>
      <c r="C58" s="4215"/>
      <c r="D58" s="4215"/>
      <c r="E58" s="4215"/>
      <c r="F58" s="4215"/>
      <c r="G58" s="4215"/>
      <c r="H58" s="4215"/>
      <c r="I58" s="4449"/>
      <c r="J58" s="4449"/>
      <c r="K58" s="4996"/>
      <c r="L58" s="4811"/>
      <c r="M58" s="3438">
        <v>14</v>
      </c>
      <c r="N58" s="4811"/>
      <c r="O58" s="4996"/>
      <c r="P58" s="4996"/>
      <c r="Q58" s="4446"/>
      <c r="R58" s="3370"/>
      <c r="S58" s="3383"/>
      <c r="T58" s="3383"/>
      <c r="U58" s="3398"/>
      <c r="V58" s="3411"/>
      <c r="W58" s="500"/>
      <c r="X58" s="3423"/>
      <c r="Y58" s="3423"/>
      <c r="Z58" s="3423"/>
      <c r="AA58" s="3424"/>
      <c r="AB58" s="500"/>
      <c r="AC58" s="494"/>
      <c r="AD58" s="494"/>
      <c r="AE58" s="4990"/>
    </row>
    <row r="59" spans="1:31" ht="21.75" customHeight="1">
      <c r="A59" s="4564"/>
      <c r="B59" s="4331"/>
      <c r="C59" s="4215"/>
      <c r="D59" s="4215"/>
      <c r="E59" s="4215"/>
      <c r="F59" s="4215"/>
      <c r="G59" s="4215"/>
      <c r="H59" s="4215"/>
      <c r="I59" s="4449"/>
      <c r="J59" s="4449"/>
      <c r="K59" s="4996"/>
      <c r="L59" s="4811"/>
      <c r="M59" s="3438"/>
      <c r="N59" s="4811"/>
      <c r="O59" s="4996"/>
      <c r="P59" s="4996"/>
      <c r="Q59" s="4446"/>
      <c r="R59" s="3370"/>
      <c r="S59" s="3383"/>
      <c r="T59" s="3383"/>
      <c r="U59" s="3398"/>
      <c r="V59" s="3411"/>
      <c r="W59" s="500"/>
      <c r="X59" s="3423"/>
      <c r="Y59" s="3423"/>
      <c r="Z59" s="3423"/>
      <c r="AA59" s="3424"/>
      <c r="AB59" s="500"/>
      <c r="AC59" s="494"/>
      <c r="AD59" s="494"/>
      <c r="AE59" s="4990"/>
    </row>
    <row r="60" spans="1:31" ht="21.75" customHeight="1">
      <c r="A60" s="4564"/>
      <c r="B60" s="4332"/>
      <c r="C60" s="4216"/>
      <c r="D60" s="4216"/>
      <c r="E60" s="4216"/>
      <c r="F60" s="4216"/>
      <c r="G60" s="4216"/>
      <c r="H60" s="4216"/>
      <c r="I60" s="4450"/>
      <c r="J60" s="4450"/>
      <c r="K60" s="4997"/>
      <c r="L60" s="4812"/>
      <c r="M60" s="3439"/>
      <c r="N60" s="4812"/>
      <c r="O60" s="4997"/>
      <c r="P60" s="4997"/>
      <c r="Q60" s="4341"/>
      <c r="R60" s="3372"/>
      <c r="S60" s="3385"/>
      <c r="T60" s="3385"/>
      <c r="U60" s="3399"/>
      <c r="V60" s="3412"/>
      <c r="W60" s="496"/>
      <c r="X60" s="3426"/>
      <c r="Y60" s="3426"/>
      <c r="Z60" s="3426"/>
      <c r="AA60" s="3427"/>
      <c r="AB60" s="496"/>
      <c r="AC60" s="497"/>
      <c r="AD60" s="497"/>
      <c r="AE60" s="4991"/>
    </row>
    <row r="61" spans="1:31" ht="25.5">
      <c r="A61" s="4564"/>
      <c r="B61" s="4626" t="s">
        <v>272</v>
      </c>
      <c r="C61" s="4273" t="s">
        <v>273</v>
      </c>
      <c r="D61" s="4273" t="s">
        <v>388</v>
      </c>
      <c r="E61" s="4273" t="s">
        <v>964</v>
      </c>
      <c r="F61" s="4338" t="s">
        <v>276</v>
      </c>
      <c r="G61" s="4273" t="s">
        <v>314</v>
      </c>
      <c r="H61" s="4273" t="s">
        <v>241</v>
      </c>
      <c r="I61" s="4458" t="s">
        <v>5056</v>
      </c>
      <c r="J61" s="5014" t="s">
        <v>1023</v>
      </c>
      <c r="K61" s="4999" t="s">
        <v>3774</v>
      </c>
      <c r="L61" s="4810">
        <v>21</v>
      </c>
      <c r="M61" s="4810">
        <v>0</v>
      </c>
      <c r="N61" s="4810">
        <v>0</v>
      </c>
      <c r="O61" s="5019" t="s">
        <v>5029</v>
      </c>
      <c r="P61" s="4999" t="s">
        <v>5016</v>
      </c>
      <c r="Q61" s="4445" t="s">
        <v>5003</v>
      </c>
      <c r="R61" s="3369" t="s">
        <v>29</v>
      </c>
      <c r="S61" s="3382">
        <v>530402</v>
      </c>
      <c r="T61" s="3382"/>
      <c r="U61" s="3400" t="s">
        <v>16</v>
      </c>
      <c r="V61" s="3407"/>
      <c r="W61" s="447"/>
      <c r="X61" s="3420"/>
      <c r="Y61" s="3420"/>
      <c r="Z61" s="3420"/>
      <c r="AA61" s="3421">
        <f>SUM($Z$62:$Z$63)</f>
        <v>5600.0000000000009</v>
      </c>
      <c r="AB61" s="447"/>
      <c r="AC61" s="2005"/>
      <c r="AD61" s="2005"/>
      <c r="AE61" s="4989"/>
    </row>
    <row r="62" spans="1:31" ht="21.75" customHeight="1">
      <c r="A62" s="4564"/>
      <c r="B62" s="4331"/>
      <c r="C62" s="4215"/>
      <c r="D62" s="4215"/>
      <c r="E62" s="4215"/>
      <c r="F62" s="4215"/>
      <c r="G62" s="4215"/>
      <c r="H62" s="4215"/>
      <c r="I62" s="4449"/>
      <c r="J62" s="4449"/>
      <c r="K62" s="4996"/>
      <c r="L62" s="4811"/>
      <c r="M62" s="4811"/>
      <c r="N62" s="4811"/>
      <c r="O62" s="5020"/>
      <c r="P62" s="4996"/>
      <c r="Q62" s="4446"/>
      <c r="R62" s="3370"/>
      <c r="S62" s="3383"/>
      <c r="T62" s="3383">
        <v>541210015</v>
      </c>
      <c r="U62" s="3398" t="s">
        <v>1024</v>
      </c>
      <c r="V62" s="3411">
        <v>1</v>
      </c>
      <c r="W62" s="500" t="s">
        <v>269</v>
      </c>
      <c r="X62" s="3423">
        <v>5000</v>
      </c>
      <c r="Y62" s="3423">
        <f t="shared" ref="Y62" si="10">+V62*X62</f>
        <v>5000</v>
      </c>
      <c r="Z62" s="3423">
        <f t="shared" ref="Z62" si="11">+Y62*1.12</f>
        <v>5600.0000000000009</v>
      </c>
      <c r="AA62" s="3422"/>
      <c r="AB62" s="500"/>
      <c r="AC62" s="494"/>
      <c r="AD62" s="494" t="s">
        <v>251</v>
      </c>
      <c r="AE62" s="4990"/>
    </row>
    <row r="63" spans="1:31" ht="21.75" customHeight="1">
      <c r="A63" s="4564"/>
      <c r="B63" s="4331"/>
      <c r="C63" s="4215"/>
      <c r="D63" s="4215"/>
      <c r="E63" s="4215"/>
      <c r="F63" s="4215"/>
      <c r="G63" s="4215"/>
      <c r="H63" s="4215"/>
      <c r="I63" s="4449"/>
      <c r="J63" s="4449"/>
      <c r="K63" s="4996"/>
      <c r="L63" s="4811"/>
      <c r="M63" s="4811"/>
      <c r="N63" s="4811"/>
      <c r="O63" s="5020"/>
      <c r="P63" s="4996"/>
      <c r="Q63" s="4446"/>
      <c r="R63" s="3370"/>
      <c r="S63" s="3383"/>
      <c r="T63" s="3383"/>
      <c r="U63" s="3398"/>
      <c r="V63" s="3411"/>
      <c r="W63" s="500"/>
      <c r="X63" s="3423"/>
      <c r="Y63" s="3423"/>
      <c r="Z63" s="3423"/>
      <c r="AA63" s="3424"/>
      <c r="AB63" s="500"/>
      <c r="AC63" s="494"/>
      <c r="AD63" s="494"/>
      <c r="AE63" s="4990"/>
    </row>
    <row r="64" spans="1:31" ht="21.75" customHeight="1">
      <c r="A64" s="4564"/>
      <c r="B64" s="4331"/>
      <c r="C64" s="4215"/>
      <c r="D64" s="4215"/>
      <c r="E64" s="4215"/>
      <c r="F64" s="4215"/>
      <c r="G64" s="4215"/>
      <c r="H64" s="4215"/>
      <c r="I64" s="4449"/>
      <c r="J64" s="4449"/>
      <c r="K64" s="4996"/>
      <c r="L64" s="4811"/>
      <c r="M64" s="4811"/>
      <c r="N64" s="4811"/>
      <c r="O64" s="5020"/>
      <c r="P64" s="4996"/>
      <c r="Q64" s="4446"/>
      <c r="R64" s="3370"/>
      <c r="S64" s="3383"/>
      <c r="T64" s="3383"/>
      <c r="U64" s="3398"/>
      <c r="V64" s="3411"/>
      <c r="W64" s="500"/>
      <c r="X64" s="3423"/>
      <c r="Y64" s="3423"/>
      <c r="Z64" s="3423"/>
      <c r="AA64" s="3424"/>
      <c r="AB64" s="500"/>
      <c r="AC64" s="494"/>
      <c r="AD64" s="494"/>
      <c r="AE64" s="4990"/>
    </row>
    <row r="65" spans="1:31" ht="21.75" customHeight="1">
      <c r="A65" s="4564"/>
      <c r="B65" s="4332"/>
      <c r="C65" s="4216"/>
      <c r="D65" s="4216"/>
      <c r="E65" s="4216"/>
      <c r="F65" s="4216"/>
      <c r="G65" s="4216"/>
      <c r="H65" s="4216"/>
      <c r="I65" s="4450"/>
      <c r="J65" s="4450"/>
      <c r="K65" s="4997"/>
      <c r="L65" s="4812"/>
      <c r="M65" s="4812"/>
      <c r="N65" s="4812"/>
      <c r="O65" s="5021"/>
      <c r="P65" s="4997"/>
      <c r="Q65" s="4341"/>
      <c r="R65" s="3372"/>
      <c r="S65" s="3385"/>
      <c r="T65" s="3385"/>
      <c r="U65" s="3399"/>
      <c r="V65" s="3412"/>
      <c r="W65" s="496"/>
      <c r="X65" s="3426"/>
      <c r="Y65" s="3426"/>
      <c r="Z65" s="3426"/>
      <c r="AA65" s="3427"/>
      <c r="AB65" s="496"/>
      <c r="AC65" s="497"/>
      <c r="AD65" s="497"/>
      <c r="AE65" s="4991"/>
    </row>
    <row r="66" spans="1:31" ht="21" customHeight="1">
      <c r="A66" s="4564"/>
      <c r="B66" s="4626" t="s">
        <v>272</v>
      </c>
      <c r="C66" s="4273" t="s">
        <v>273</v>
      </c>
      <c r="D66" s="4273" t="s">
        <v>388</v>
      </c>
      <c r="E66" s="4273" t="s">
        <v>964</v>
      </c>
      <c r="F66" s="4338" t="s">
        <v>276</v>
      </c>
      <c r="G66" s="4273" t="s">
        <v>314</v>
      </c>
      <c r="H66" s="4273" t="s">
        <v>241</v>
      </c>
      <c r="I66" s="4458" t="s">
        <v>5057</v>
      </c>
      <c r="J66" s="4458" t="s">
        <v>1025</v>
      </c>
      <c r="K66" s="5018" t="s">
        <v>5043</v>
      </c>
      <c r="L66" s="4810">
        <v>1</v>
      </c>
      <c r="M66" s="4810">
        <v>1</v>
      </c>
      <c r="N66" s="4810">
        <v>1</v>
      </c>
      <c r="O66" s="4999" t="s">
        <v>5030</v>
      </c>
      <c r="P66" s="4999" t="s">
        <v>5017</v>
      </c>
      <c r="Q66" s="4445" t="s">
        <v>5005</v>
      </c>
      <c r="R66" s="3369"/>
      <c r="S66" s="3382"/>
      <c r="T66" s="3382"/>
      <c r="U66" s="3400"/>
      <c r="V66" s="3407"/>
      <c r="W66" s="447"/>
      <c r="X66" s="3420"/>
      <c r="Y66" s="3420"/>
      <c r="Z66" s="3420"/>
      <c r="AA66" s="3421"/>
      <c r="AB66" s="447"/>
      <c r="AC66" s="2005"/>
      <c r="AD66" s="2005"/>
      <c r="AE66" s="4989"/>
    </row>
    <row r="67" spans="1:31" ht="21" customHeight="1">
      <c r="A67" s="4564"/>
      <c r="B67" s="4331"/>
      <c r="C67" s="4215"/>
      <c r="D67" s="4215"/>
      <c r="E67" s="4215"/>
      <c r="F67" s="4215"/>
      <c r="G67" s="4215"/>
      <c r="H67" s="4215"/>
      <c r="I67" s="4449"/>
      <c r="J67" s="4449"/>
      <c r="K67" s="4996"/>
      <c r="L67" s="4811"/>
      <c r="M67" s="4811"/>
      <c r="N67" s="4811"/>
      <c r="O67" s="4996"/>
      <c r="P67" s="4996"/>
      <c r="Q67" s="4446"/>
      <c r="R67" s="3370"/>
      <c r="S67" s="3383"/>
      <c r="T67" s="3383"/>
      <c r="U67" s="3398"/>
      <c r="V67" s="3411"/>
      <c r="W67" s="500"/>
      <c r="X67" s="3423"/>
      <c r="Y67" s="3423"/>
      <c r="Z67" s="3423"/>
      <c r="AA67" s="3424"/>
      <c r="AB67" s="500"/>
      <c r="AC67" s="494"/>
      <c r="AD67" s="494"/>
      <c r="AE67" s="4990"/>
    </row>
    <row r="68" spans="1:31" ht="21" customHeight="1">
      <c r="A68" s="4564"/>
      <c r="B68" s="4331"/>
      <c r="C68" s="4215"/>
      <c r="D68" s="4215"/>
      <c r="E68" s="4215"/>
      <c r="F68" s="4215"/>
      <c r="G68" s="4215"/>
      <c r="H68" s="4215"/>
      <c r="I68" s="4449"/>
      <c r="J68" s="4449"/>
      <c r="K68" s="4996"/>
      <c r="L68" s="4811"/>
      <c r="M68" s="4811"/>
      <c r="N68" s="4811"/>
      <c r="O68" s="4996"/>
      <c r="P68" s="4996"/>
      <c r="Q68" s="4446"/>
      <c r="R68" s="3370"/>
      <c r="S68" s="3383"/>
      <c r="T68" s="3383"/>
      <c r="U68" s="3398"/>
      <c r="V68" s="3411"/>
      <c r="W68" s="500"/>
      <c r="X68" s="3423"/>
      <c r="Y68" s="3423"/>
      <c r="Z68" s="3423"/>
      <c r="AA68" s="3424"/>
      <c r="AB68" s="500"/>
      <c r="AC68" s="494"/>
      <c r="AD68" s="494"/>
      <c r="AE68" s="4990"/>
    </row>
    <row r="69" spans="1:31" ht="21" customHeight="1">
      <c r="A69" s="4564"/>
      <c r="B69" s="4331"/>
      <c r="C69" s="4215"/>
      <c r="D69" s="4215"/>
      <c r="E69" s="4215"/>
      <c r="F69" s="4215"/>
      <c r="G69" s="4215"/>
      <c r="H69" s="4215"/>
      <c r="I69" s="4449"/>
      <c r="J69" s="4449"/>
      <c r="K69" s="4996"/>
      <c r="L69" s="4811"/>
      <c r="M69" s="4811"/>
      <c r="N69" s="4811"/>
      <c r="O69" s="4996"/>
      <c r="P69" s="4996"/>
      <c r="Q69" s="4446"/>
      <c r="R69" s="3370"/>
      <c r="S69" s="3383"/>
      <c r="T69" s="3383"/>
      <c r="U69" s="3398"/>
      <c r="V69" s="3411"/>
      <c r="W69" s="500"/>
      <c r="X69" s="3423"/>
      <c r="Y69" s="3423"/>
      <c r="Z69" s="3423"/>
      <c r="AA69" s="3424"/>
      <c r="AB69" s="500"/>
      <c r="AC69" s="494"/>
      <c r="AD69" s="494"/>
      <c r="AE69" s="4990"/>
    </row>
    <row r="70" spans="1:31" ht="21" customHeight="1">
      <c r="A70" s="4564"/>
      <c r="B70" s="4332"/>
      <c r="C70" s="4216"/>
      <c r="D70" s="4216"/>
      <c r="E70" s="4216"/>
      <c r="F70" s="4216"/>
      <c r="G70" s="4216"/>
      <c r="H70" s="4216"/>
      <c r="I70" s="4450"/>
      <c r="J70" s="4450"/>
      <c r="K70" s="4997"/>
      <c r="L70" s="4812"/>
      <c r="M70" s="4812"/>
      <c r="N70" s="4812"/>
      <c r="O70" s="4997"/>
      <c r="P70" s="4997"/>
      <c r="Q70" s="4341"/>
      <c r="R70" s="3372"/>
      <c r="S70" s="3385"/>
      <c r="T70" s="3385"/>
      <c r="U70" s="3399"/>
      <c r="V70" s="3412"/>
      <c r="W70" s="496"/>
      <c r="X70" s="3426"/>
      <c r="Y70" s="3426"/>
      <c r="Z70" s="3426"/>
      <c r="AA70" s="3427"/>
      <c r="AB70" s="496"/>
      <c r="AC70" s="497"/>
      <c r="AD70" s="497"/>
      <c r="AE70" s="4991"/>
    </row>
    <row r="71" spans="1:31" ht="138" customHeight="1">
      <c r="A71" s="4564"/>
      <c r="B71" s="3327" t="s">
        <v>272</v>
      </c>
      <c r="C71" s="3357" t="s">
        <v>273</v>
      </c>
      <c r="D71" s="3325" t="s">
        <v>388</v>
      </c>
      <c r="E71" s="3325" t="s">
        <v>964</v>
      </c>
      <c r="F71" s="3326" t="s">
        <v>276</v>
      </c>
      <c r="G71" s="3325" t="s">
        <v>314</v>
      </c>
      <c r="H71" s="3357" t="s">
        <v>241</v>
      </c>
      <c r="I71" s="3359" t="s">
        <v>5058</v>
      </c>
      <c r="J71" s="3359" t="s">
        <v>1026</v>
      </c>
      <c r="K71" s="3456" t="s">
        <v>5044</v>
      </c>
      <c r="L71" s="3440">
        <v>200</v>
      </c>
      <c r="M71" s="3440">
        <v>260</v>
      </c>
      <c r="N71" s="3440">
        <v>280</v>
      </c>
      <c r="O71" s="3456" t="s">
        <v>5031</v>
      </c>
      <c r="P71" s="3456" t="s">
        <v>5012</v>
      </c>
      <c r="Q71" s="3358" t="s">
        <v>5006</v>
      </c>
      <c r="R71" s="3378"/>
      <c r="S71" s="3393"/>
      <c r="T71" s="3393"/>
      <c r="U71" s="3401"/>
      <c r="V71" s="3414"/>
      <c r="W71" s="504"/>
      <c r="X71" s="3433"/>
      <c r="Y71" s="3433"/>
      <c r="Z71" s="3433"/>
      <c r="AA71" s="3434"/>
      <c r="AB71" s="504"/>
      <c r="AC71" s="505"/>
      <c r="AD71" s="505"/>
      <c r="AE71" s="3436"/>
    </row>
    <row r="72" spans="1:31" ht="31.5" customHeight="1">
      <c r="A72" s="4564"/>
      <c r="B72" s="5030" t="s">
        <v>235</v>
      </c>
      <c r="C72" s="5031" t="s">
        <v>236</v>
      </c>
      <c r="D72" s="5031" t="s">
        <v>388</v>
      </c>
      <c r="E72" s="5031" t="s">
        <v>964</v>
      </c>
      <c r="F72" s="5032" t="s">
        <v>239</v>
      </c>
      <c r="G72" s="4273" t="s">
        <v>240</v>
      </c>
      <c r="H72" s="4273" t="s">
        <v>257</v>
      </c>
      <c r="I72" s="4458" t="s">
        <v>5059</v>
      </c>
      <c r="J72" s="5014" t="s">
        <v>338</v>
      </c>
      <c r="K72" s="4999" t="s">
        <v>5045</v>
      </c>
      <c r="L72" s="5029">
        <v>0</v>
      </c>
      <c r="M72" s="4810">
        <v>1</v>
      </c>
      <c r="N72" s="4810">
        <v>1</v>
      </c>
      <c r="O72" s="5018" t="s">
        <v>5032</v>
      </c>
      <c r="P72" s="5018" t="s">
        <v>5018</v>
      </c>
      <c r="Q72" s="4445" t="s">
        <v>5003</v>
      </c>
      <c r="R72" s="3369"/>
      <c r="S72" s="3382"/>
      <c r="T72" s="3382"/>
      <c r="U72" s="3400"/>
      <c r="V72" s="3407"/>
      <c r="W72" s="447"/>
      <c r="X72" s="3420"/>
      <c r="Y72" s="3420"/>
      <c r="Z72" s="3420"/>
      <c r="AA72" s="3421"/>
      <c r="AB72" s="447"/>
      <c r="AC72" s="2005"/>
      <c r="AD72" s="2005"/>
      <c r="AE72" s="4989"/>
    </row>
    <row r="73" spans="1:31" ht="31.5" customHeight="1">
      <c r="A73" s="4564"/>
      <c r="B73" s="4331"/>
      <c r="C73" s="4215"/>
      <c r="D73" s="4215"/>
      <c r="E73" s="4215"/>
      <c r="F73" s="4215"/>
      <c r="G73" s="4215"/>
      <c r="H73" s="4215"/>
      <c r="I73" s="4449"/>
      <c r="J73" s="4449"/>
      <c r="K73" s="4996"/>
      <c r="L73" s="4811"/>
      <c r="M73" s="4811"/>
      <c r="N73" s="4811"/>
      <c r="O73" s="4996"/>
      <c r="P73" s="4996"/>
      <c r="Q73" s="4446"/>
      <c r="R73" s="3370"/>
      <c r="S73" s="3383"/>
      <c r="T73" s="3383"/>
      <c r="U73" s="3398"/>
      <c r="V73" s="3411"/>
      <c r="W73" s="500"/>
      <c r="X73" s="3423"/>
      <c r="Y73" s="3423"/>
      <c r="Z73" s="3423"/>
      <c r="AA73" s="3424"/>
      <c r="AB73" s="500"/>
      <c r="AC73" s="494"/>
      <c r="AD73" s="494"/>
      <c r="AE73" s="4990"/>
    </row>
    <row r="74" spans="1:31" ht="31.5" customHeight="1">
      <c r="A74" s="4564"/>
      <c r="B74" s="4331"/>
      <c r="C74" s="4215"/>
      <c r="D74" s="4215"/>
      <c r="E74" s="4215"/>
      <c r="F74" s="4215"/>
      <c r="G74" s="4215"/>
      <c r="H74" s="4215"/>
      <c r="I74" s="4449"/>
      <c r="J74" s="4449"/>
      <c r="K74" s="4996"/>
      <c r="L74" s="4811"/>
      <c r="M74" s="4811"/>
      <c r="N74" s="4811"/>
      <c r="O74" s="4996"/>
      <c r="P74" s="4996"/>
      <c r="Q74" s="4446"/>
      <c r="R74" s="3370"/>
      <c r="S74" s="3383"/>
      <c r="T74" s="3383"/>
      <c r="U74" s="3398"/>
      <c r="V74" s="3411"/>
      <c r="W74" s="500"/>
      <c r="X74" s="3423"/>
      <c r="Y74" s="3423"/>
      <c r="Z74" s="3423"/>
      <c r="AA74" s="3424"/>
      <c r="AB74" s="500"/>
      <c r="AC74" s="494"/>
      <c r="AD74" s="494"/>
      <c r="AE74" s="4990"/>
    </row>
    <row r="75" spans="1:31" ht="31.5" customHeight="1">
      <c r="A75" s="4564"/>
      <c r="B75" s="4331"/>
      <c r="C75" s="4215"/>
      <c r="D75" s="4215"/>
      <c r="E75" s="4215"/>
      <c r="F75" s="4215"/>
      <c r="G75" s="4215"/>
      <c r="H75" s="4215"/>
      <c r="I75" s="4449"/>
      <c r="J75" s="4449"/>
      <c r="K75" s="4996"/>
      <c r="L75" s="4811"/>
      <c r="M75" s="4811"/>
      <c r="N75" s="4811"/>
      <c r="O75" s="4996"/>
      <c r="P75" s="4996"/>
      <c r="Q75" s="4446"/>
      <c r="R75" s="3370"/>
      <c r="S75" s="3383"/>
      <c r="T75" s="3383"/>
      <c r="U75" s="3398"/>
      <c r="V75" s="3411"/>
      <c r="W75" s="500"/>
      <c r="X75" s="3423"/>
      <c r="Y75" s="3423"/>
      <c r="Z75" s="3423"/>
      <c r="AA75" s="3424"/>
      <c r="AB75" s="500"/>
      <c r="AC75" s="494"/>
      <c r="AD75" s="494"/>
      <c r="AE75" s="4990"/>
    </row>
    <row r="76" spans="1:31" ht="31.5" customHeight="1">
      <c r="A76" s="4564"/>
      <c r="B76" s="4332"/>
      <c r="C76" s="4216"/>
      <c r="D76" s="4216"/>
      <c r="E76" s="4216"/>
      <c r="F76" s="4216"/>
      <c r="G76" s="4216"/>
      <c r="H76" s="4216"/>
      <c r="I76" s="4450"/>
      <c r="J76" s="4450"/>
      <c r="K76" s="4997"/>
      <c r="L76" s="4812"/>
      <c r="M76" s="4812"/>
      <c r="N76" s="4812"/>
      <c r="O76" s="4997"/>
      <c r="P76" s="4997"/>
      <c r="Q76" s="4341"/>
      <c r="R76" s="3379"/>
      <c r="S76" s="3394"/>
      <c r="T76" s="3394"/>
      <c r="U76" s="3402"/>
      <c r="V76" s="3415"/>
      <c r="W76" s="2007"/>
      <c r="X76" s="2787"/>
      <c r="Y76" s="2787"/>
      <c r="Z76" s="2787"/>
      <c r="AA76" s="3435"/>
      <c r="AB76" s="2007"/>
      <c r="AC76" s="2008"/>
      <c r="AD76" s="2008"/>
      <c r="AE76" s="4991"/>
    </row>
    <row r="77" spans="1:31" ht="28.5" customHeight="1">
      <c r="A77" s="4564"/>
      <c r="B77" s="5030" t="s">
        <v>235</v>
      </c>
      <c r="C77" s="5031" t="s">
        <v>236</v>
      </c>
      <c r="D77" s="5031" t="s">
        <v>388</v>
      </c>
      <c r="E77" s="5031" t="s">
        <v>964</v>
      </c>
      <c r="F77" s="5032" t="s">
        <v>239</v>
      </c>
      <c r="G77" s="4273" t="s">
        <v>240</v>
      </c>
      <c r="H77" s="4273" t="s">
        <v>241</v>
      </c>
      <c r="I77" s="4458" t="s">
        <v>5060</v>
      </c>
      <c r="J77" s="4458" t="s">
        <v>371</v>
      </c>
      <c r="K77" s="5018" t="s">
        <v>5046</v>
      </c>
      <c r="L77" s="4810">
        <v>1</v>
      </c>
      <c r="M77" s="4810">
        <v>1</v>
      </c>
      <c r="N77" s="4810">
        <v>1</v>
      </c>
      <c r="O77" s="4999" t="s">
        <v>5033</v>
      </c>
      <c r="P77" s="4999" t="s">
        <v>5019</v>
      </c>
      <c r="Q77" s="5015" t="s">
        <v>5006</v>
      </c>
      <c r="R77" s="3376"/>
      <c r="S77" s="2705"/>
      <c r="T77" s="2705"/>
      <c r="U77" s="2722"/>
      <c r="V77" s="2740"/>
      <c r="W77" s="363"/>
      <c r="X77" s="2780"/>
      <c r="Y77" s="2780"/>
      <c r="Z77" s="2780"/>
      <c r="AA77" s="2773"/>
      <c r="AB77" s="363"/>
      <c r="AC77" s="367"/>
      <c r="AD77" s="367"/>
      <c r="AE77" s="4992"/>
    </row>
    <row r="78" spans="1:31" ht="28.5" customHeight="1">
      <c r="A78" s="4564"/>
      <c r="B78" s="4331"/>
      <c r="C78" s="4215"/>
      <c r="D78" s="4215"/>
      <c r="E78" s="4215"/>
      <c r="F78" s="4215"/>
      <c r="G78" s="4215"/>
      <c r="H78" s="4215"/>
      <c r="I78" s="4449"/>
      <c r="J78" s="4449"/>
      <c r="K78" s="4996"/>
      <c r="L78" s="4811"/>
      <c r="M78" s="4811"/>
      <c r="N78" s="4811"/>
      <c r="O78" s="4996"/>
      <c r="P78" s="4996"/>
      <c r="Q78" s="5016"/>
      <c r="R78" s="3373"/>
      <c r="S78" s="2703"/>
      <c r="T78" s="2703"/>
      <c r="U78" s="2719"/>
      <c r="V78" s="2738"/>
      <c r="W78" s="357"/>
      <c r="X78" s="2774"/>
      <c r="Y78" s="2774"/>
      <c r="Z78" s="2774"/>
      <c r="AA78" s="2776"/>
      <c r="AB78" s="357"/>
      <c r="AC78" s="358"/>
      <c r="AD78" s="358"/>
      <c r="AE78" s="4984"/>
    </row>
    <row r="79" spans="1:31" ht="28.5" customHeight="1">
      <c r="A79" s="4564"/>
      <c r="B79" s="4331"/>
      <c r="C79" s="4215"/>
      <c r="D79" s="4215"/>
      <c r="E79" s="4215"/>
      <c r="F79" s="4215"/>
      <c r="G79" s="4215"/>
      <c r="H79" s="4215"/>
      <c r="I79" s="4449"/>
      <c r="J79" s="4449"/>
      <c r="K79" s="4996"/>
      <c r="L79" s="4811"/>
      <c r="M79" s="4811"/>
      <c r="N79" s="4811"/>
      <c r="O79" s="4996"/>
      <c r="P79" s="4996"/>
      <c r="Q79" s="5016"/>
      <c r="R79" s="3373"/>
      <c r="S79" s="2703"/>
      <c r="T79" s="2703"/>
      <c r="U79" s="2719"/>
      <c r="V79" s="2738"/>
      <c r="W79" s="357"/>
      <c r="X79" s="2774"/>
      <c r="Y79" s="2774"/>
      <c r="Z79" s="2774"/>
      <c r="AA79" s="2776"/>
      <c r="AB79" s="357"/>
      <c r="AC79" s="358"/>
      <c r="AD79" s="358"/>
      <c r="AE79" s="4984"/>
    </row>
    <row r="80" spans="1:31" ht="28.5" customHeight="1">
      <c r="A80" s="4564"/>
      <c r="B80" s="4331"/>
      <c r="C80" s="4215"/>
      <c r="D80" s="4215"/>
      <c r="E80" s="4215"/>
      <c r="F80" s="4215"/>
      <c r="G80" s="4215"/>
      <c r="H80" s="4215"/>
      <c r="I80" s="4449"/>
      <c r="J80" s="4449"/>
      <c r="K80" s="4996"/>
      <c r="L80" s="4811"/>
      <c r="M80" s="4811"/>
      <c r="N80" s="4811"/>
      <c r="O80" s="4996"/>
      <c r="P80" s="4996"/>
      <c r="Q80" s="5016"/>
      <c r="R80" s="3373"/>
      <c r="S80" s="2703"/>
      <c r="T80" s="2703"/>
      <c r="U80" s="2719"/>
      <c r="V80" s="2738"/>
      <c r="W80" s="357"/>
      <c r="X80" s="2774"/>
      <c r="Y80" s="2774"/>
      <c r="Z80" s="2774"/>
      <c r="AA80" s="2776"/>
      <c r="AB80" s="357"/>
      <c r="AC80" s="358"/>
      <c r="AD80" s="358"/>
      <c r="AE80" s="4984"/>
    </row>
    <row r="81" spans="1:31" ht="28.5" customHeight="1" thickBot="1">
      <c r="A81" s="4564"/>
      <c r="B81" s="4615"/>
      <c r="C81" s="4224"/>
      <c r="D81" s="4224"/>
      <c r="E81" s="4224"/>
      <c r="F81" s="4224"/>
      <c r="G81" s="4321"/>
      <c r="H81" s="4321"/>
      <c r="I81" s="5036"/>
      <c r="J81" s="5036"/>
      <c r="K81" s="5033"/>
      <c r="L81" s="5034"/>
      <c r="M81" s="5034"/>
      <c r="N81" s="5034"/>
      <c r="O81" s="5033"/>
      <c r="P81" s="5033"/>
      <c r="Q81" s="5035"/>
      <c r="R81" s="3441"/>
      <c r="S81" s="3442"/>
      <c r="T81" s="3442"/>
      <c r="U81" s="3443"/>
      <c r="V81" s="3444"/>
      <c r="W81" s="3445"/>
      <c r="X81" s="3446"/>
      <c r="Y81" s="3446"/>
      <c r="Z81" s="3446"/>
      <c r="AA81" s="3447"/>
      <c r="AB81" s="3445"/>
      <c r="AC81" s="3448"/>
      <c r="AD81" s="3448"/>
      <c r="AE81" s="4993"/>
    </row>
    <row r="82" spans="1:31" ht="22.5" customHeight="1" thickBot="1">
      <c r="A82" s="4362"/>
      <c r="B82" s="2156"/>
      <c r="C82" s="2009"/>
      <c r="D82" s="2009"/>
      <c r="E82" s="2009"/>
      <c r="F82" s="2009"/>
      <c r="G82" s="2009"/>
      <c r="H82" s="2009"/>
      <c r="I82" s="2009"/>
      <c r="J82" s="2009"/>
      <c r="K82" s="2009"/>
      <c r="L82" s="2009"/>
      <c r="M82" s="2009"/>
      <c r="N82" s="2009"/>
      <c r="O82" s="2009"/>
      <c r="P82" s="2009"/>
      <c r="Q82" s="2010"/>
      <c r="R82" s="4994" t="s">
        <v>1027</v>
      </c>
      <c r="S82" s="4995"/>
      <c r="T82" s="4995"/>
      <c r="U82" s="4995"/>
      <c r="V82" s="4995"/>
      <c r="W82" s="4995"/>
      <c r="X82" s="4995"/>
      <c r="Y82" s="4995"/>
      <c r="Z82" s="2011" t="s">
        <v>340</v>
      </c>
      <c r="AA82" s="2012">
        <f>SUM(AA9:AA81)</f>
        <v>35205.375016884798</v>
      </c>
      <c r="AB82" s="4434"/>
      <c r="AC82" s="4316"/>
      <c r="AD82" s="4316"/>
      <c r="AE82" s="4317"/>
    </row>
    <row r="83" spans="1:31" ht="17.25" thickTop="1">
      <c r="A83" s="25"/>
      <c r="B83" s="1917" t="s">
        <v>3928</v>
      </c>
      <c r="C83" s="298"/>
      <c r="D83" s="298"/>
      <c r="E83" s="298"/>
      <c r="F83" s="298"/>
      <c r="G83" s="298"/>
      <c r="H83" s="298"/>
      <c r="I83" s="298"/>
      <c r="J83" s="298"/>
      <c r="K83" s="298"/>
      <c r="L83" s="298"/>
      <c r="M83" s="298"/>
      <c r="N83" s="298"/>
      <c r="O83" s="298"/>
      <c r="P83" s="298"/>
      <c r="Q83" s="298"/>
      <c r="R83" s="4388" t="s">
        <v>1028</v>
      </c>
      <c r="S83" s="4150"/>
      <c r="T83" s="4150"/>
      <c r="U83" s="4150"/>
      <c r="V83" s="4150"/>
      <c r="W83" s="4150"/>
      <c r="X83" s="4150"/>
      <c r="Y83" s="4150"/>
      <c r="Z83" s="4150"/>
      <c r="AA83" s="4150"/>
      <c r="AB83" s="4150"/>
      <c r="AC83" s="4150"/>
      <c r="AD83" s="4150"/>
      <c r="AE83" s="4150"/>
    </row>
    <row r="84" spans="1:31" ht="16.5" customHeight="1">
      <c r="A84" s="25"/>
      <c r="B84" s="1917" t="s">
        <v>3929</v>
      </c>
      <c r="C84" s="298"/>
      <c r="D84" s="298"/>
      <c r="E84" s="298"/>
      <c r="F84" s="298"/>
      <c r="G84" s="298"/>
      <c r="H84" s="298"/>
      <c r="I84" s="298"/>
      <c r="J84" s="298"/>
      <c r="K84" s="298"/>
      <c r="L84" s="298"/>
      <c r="M84" s="298"/>
      <c r="N84" s="298"/>
      <c r="O84" s="298"/>
      <c r="P84" s="298"/>
      <c r="Q84" s="298"/>
      <c r="R84" s="398"/>
      <c r="S84" s="398"/>
      <c r="T84" s="398"/>
      <c r="U84" s="25"/>
      <c r="V84" s="25"/>
      <c r="W84" s="25"/>
      <c r="X84" s="25"/>
      <c r="Y84" s="25"/>
      <c r="Z84" s="25"/>
      <c r="AA84" s="399"/>
      <c r="AB84" s="25"/>
      <c r="AC84" s="25"/>
      <c r="AD84" s="508"/>
    </row>
    <row r="85" spans="1:31" ht="18.75">
      <c r="A85" s="25"/>
      <c r="B85" s="298"/>
      <c r="C85" s="298"/>
      <c r="D85" s="298"/>
      <c r="E85" s="298"/>
      <c r="F85" s="298"/>
      <c r="G85" s="298"/>
      <c r="H85" s="298"/>
      <c r="I85" s="298"/>
      <c r="J85" s="298"/>
      <c r="K85" s="298"/>
      <c r="L85" s="298"/>
      <c r="M85" s="298"/>
      <c r="N85" s="298"/>
      <c r="O85" s="298"/>
      <c r="P85" s="298"/>
      <c r="Q85" s="298"/>
      <c r="R85" s="398"/>
      <c r="S85" s="488"/>
      <c r="T85" s="4222" t="s">
        <v>343</v>
      </c>
      <c r="U85" s="4223"/>
      <c r="V85" s="4223"/>
      <c r="W85" s="4223"/>
      <c r="X85" s="4223"/>
      <c r="Y85" s="4223"/>
      <c r="AA85" s="4389"/>
      <c r="AB85" s="4150"/>
      <c r="AC85" s="25"/>
      <c r="AD85" s="508"/>
    </row>
    <row r="86" spans="1:31" ht="16.5" customHeight="1" thickBot="1">
      <c r="A86" s="25"/>
      <c r="B86" s="298"/>
      <c r="C86" s="298"/>
      <c r="D86" s="298"/>
      <c r="E86" s="298"/>
      <c r="F86" s="298"/>
      <c r="G86" s="298"/>
      <c r="H86" s="298"/>
      <c r="I86" s="298"/>
      <c r="J86" s="298"/>
      <c r="K86" s="298"/>
      <c r="L86" s="298"/>
      <c r="M86" s="298"/>
      <c r="N86" s="298"/>
      <c r="O86" s="298"/>
      <c r="P86" s="298"/>
      <c r="Q86" s="298"/>
      <c r="R86" s="14"/>
      <c r="S86" s="14"/>
      <c r="T86" s="131"/>
      <c r="U86" s="131"/>
      <c r="V86" s="429"/>
      <c r="W86" s="190"/>
      <c r="X86" s="131"/>
      <c r="Y86" s="131"/>
      <c r="AA86" s="469"/>
      <c r="AB86" s="225"/>
      <c r="AC86" s="25"/>
      <c r="AD86" s="508"/>
    </row>
    <row r="87" spans="1:31" ht="16.5" customHeight="1" thickTop="1">
      <c r="A87" s="25"/>
      <c r="B87" s="298"/>
      <c r="C87" s="298"/>
      <c r="D87" s="298"/>
      <c r="E87" s="298"/>
      <c r="F87" s="298"/>
      <c r="G87" s="298"/>
      <c r="H87" s="298"/>
      <c r="I87" s="298"/>
      <c r="J87" s="298"/>
      <c r="K87" s="298"/>
      <c r="L87" s="298"/>
      <c r="M87" s="298"/>
      <c r="N87" s="298"/>
      <c r="O87" s="298"/>
      <c r="P87" s="298"/>
      <c r="Q87" s="298"/>
      <c r="R87" s="398"/>
      <c r="S87" s="398"/>
      <c r="T87" s="2238" t="s">
        <v>4</v>
      </c>
      <c r="U87" s="2239" t="s">
        <v>344</v>
      </c>
      <c r="V87" s="2265" t="s">
        <v>6</v>
      </c>
      <c r="W87" s="2241" t="s">
        <v>345</v>
      </c>
      <c r="X87" s="2241" t="s">
        <v>8</v>
      </c>
      <c r="Y87" s="2242" t="s">
        <v>346</v>
      </c>
      <c r="AA87" s="227"/>
      <c r="AB87" s="227"/>
      <c r="AC87" s="25"/>
      <c r="AD87" s="508"/>
    </row>
    <row r="88" spans="1:31" ht="33">
      <c r="A88" s="25"/>
      <c r="B88" s="298"/>
      <c r="C88" s="298"/>
      <c r="D88" s="298"/>
      <c r="E88" s="298"/>
      <c r="F88" s="298"/>
      <c r="G88" s="298"/>
      <c r="H88" s="298"/>
      <c r="I88" s="298"/>
      <c r="J88" s="298"/>
      <c r="K88" s="298"/>
      <c r="L88" s="298"/>
      <c r="M88" s="298"/>
      <c r="N88" s="298"/>
      <c r="O88" s="298"/>
      <c r="P88" s="298"/>
      <c r="Q88" s="298"/>
      <c r="R88" s="398"/>
      <c r="S88" s="398"/>
      <c r="T88" s="2254" t="s">
        <v>29</v>
      </c>
      <c r="U88" s="2271" t="s">
        <v>16</v>
      </c>
      <c r="V88" s="510">
        <v>530402</v>
      </c>
      <c r="W88" s="344" t="s">
        <v>13</v>
      </c>
      <c r="X88" s="1568" t="s">
        <v>30</v>
      </c>
      <c r="Y88" s="512">
        <f>SUM($Z$62:$Z$63)</f>
        <v>5600.0000000000009</v>
      </c>
      <c r="AA88" s="228"/>
      <c r="AB88" s="229"/>
      <c r="AC88" s="25"/>
      <c r="AD88" s="508"/>
    </row>
    <row r="89" spans="1:31" ht="33">
      <c r="A89" s="25"/>
      <c r="B89" s="298"/>
      <c r="C89" s="298"/>
      <c r="D89" s="298"/>
      <c r="E89" s="298"/>
      <c r="F89" s="298"/>
      <c r="G89" s="298"/>
      <c r="H89" s="298"/>
      <c r="I89" s="298"/>
      <c r="J89" s="298"/>
      <c r="K89" s="298"/>
      <c r="L89" s="298"/>
      <c r="M89" s="298"/>
      <c r="N89" s="298"/>
      <c r="O89" s="298"/>
      <c r="P89" s="298"/>
      <c r="Q89" s="298"/>
      <c r="R89" s="398"/>
      <c r="S89" s="398"/>
      <c r="T89" s="2274" t="s">
        <v>29</v>
      </c>
      <c r="U89" s="2272" t="s">
        <v>88</v>
      </c>
      <c r="V89" s="513">
        <v>530613</v>
      </c>
      <c r="W89" s="344" t="s">
        <v>13</v>
      </c>
      <c r="X89" s="1568" t="s">
        <v>30</v>
      </c>
      <c r="Y89" s="514">
        <f>SUM($Z$47)</f>
        <v>16800</v>
      </c>
      <c r="AA89" s="228"/>
      <c r="AB89" s="229"/>
      <c r="AC89" s="25"/>
      <c r="AD89" s="508"/>
    </row>
    <row r="90" spans="1:31" ht="33">
      <c r="A90" s="25"/>
      <c r="B90" s="298"/>
      <c r="C90" s="298"/>
      <c r="D90" s="298"/>
      <c r="E90" s="298"/>
      <c r="F90" s="298"/>
      <c r="G90" s="298"/>
      <c r="H90" s="298"/>
      <c r="I90" s="298"/>
      <c r="J90" s="298"/>
      <c r="K90" s="298"/>
      <c r="L90" s="298"/>
      <c r="M90" s="298"/>
      <c r="N90" s="298"/>
      <c r="O90" s="298"/>
      <c r="P90" s="298"/>
      <c r="Q90" s="298"/>
      <c r="R90" s="398"/>
      <c r="S90" s="398"/>
      <c r="T90" s="2274" t="s">
        <v>29</v>
      </c>
      <c r="U90" s="2272" t="s">
        <v>1019</v>
      </c>
      <c r="V90" s="513">
        <v>530802</v>
      </c>
      <c r="W90" s="344" t="s">
        <v>13</v>
      </c>
      <c r="X90" s="1568" t="s">
        <v>30</v>
      </c>
      <c r="Y90" s="514">
        <f>SUM($Z$52:$Z$53)</f>
        <v>1120</v>
      </c>
      <c r="AA90" s="228"/>
      <c r="AB90" s="229"/>
      <c r="AC90" s="25"/>
      <c r="AD90" s="508"/>
    </row>
    <row r="91" spans="1:31" ht="33">
      <c r="A91" s="25"/>
      <c r="B91" s="298"/>
      <c r="C91" s="298"/>
      <c r="D91" s="298"/>
      <c r="E91" s="298"/>
      <c r="F91" s="298"/>
      <c r="G91" s="298"/>
      <c r="H91" s="298"/>
      <c r="I91" s="298"/>
      <c r="J91" s="298"/>
      <c r="K91" s="298"/>
      <c r="L91" s="298"/>
      <c r="M91" s="298"/>
      <c r="N91" s="298"/>
      <c r="O91" s="298"/>
      <c r="P91" s="298"/>
      <c r="Q91" s="298"/>
      <c r="R91" s="398"/>
      <c r="S91" s="398"/>
      <c r="T91" s="2274" t="s">
        <v>29</v>
      </c>
      <c r="U91" s="3449" t="s">
        <v>91</v>
      </c>
      <c r="V91" s="3457">
        <v>530805</v>
      </c>
      <c r="W91" s="344" t="s">
        <v>13</v>
      </c>
      <c r="X91" s="1568" t="s">
        <v>30</v>
      </c>
      <c r="Y91" s="514">
        <f>SUM($Z$15:$Z$25)</f>
        <v>1261.3750002448003</v>
      </c>
      <c r="AA91" s="228"/>
      <c r="AB91" s="229"/>
      <c r="AC91" s="25"/>
      <c r="AD91" s="508"/>
    </row>
    <row r="92" spans="1:31" ht="33">
      <c r="A92" s="25"/>
      <c r="B92" s="298"/>
      <c r="C92" s="298"/>
      <c r="D92" s="298"/>
      <c r="E92" s="298"/>
      <c r="F92" s="298"/>
      <c r="G92" s="298"/>
      <c r="H92" s="298"/>
      <c r="I92" s="298"/>
      <c r="J92" s="298"/>
      <c r="K92" s="298"/>
      <c r="L92" s="298"/>
      <c r="M92" s="298"/>
      <c r="N92" s="298"/>
      <c r="O92" s="298"/>
      <c r="P92" s="298"/>
      <c r="Q92" s="298"/>
      <c r="R92" s="398"/>
      <c r="S92" s="398"/>
      <c r="T92" s="2274" t="s">
        <v>29</v>
      </c>
      <c r="U92" s="2272" t="s">
        <v>44</v>
      </c>
      <c r="V92" s="560">
        <v>530807</v>
      </c>
      <c r="W92" s="344" t="s">
        <v>13</v>
      </c>
      <c r="X92" s="1568" t="s">
        <v>30</v>
      </c>
      <c r="Y92" s="514">
        <f>SUM($Z$32:$Z$35)</f>
        <v>1040.0000038400001</v>
      </c>
      <c r="AA92" s="228"/>
      <c r="AB92" s="229"/>
      <c r="AC92" s="25"/>
      <c r="AD92" s="508"/>
    </row>
    <row r="93" spans="1:31" ht="33">
      <c r="A93" s="25"/>
      <c r="B93" s="298"/>
      <c r="C93" s="298"/>
      <c r="D93" s="298"/>
      <c r="E93" s="298"/>
      <c r="F93" s="298"/>
      <c r="G93" s="298"/>
      <c r="H93" s="298"/>
      <c r="I93" s="298"/>
      <c r="J93" s="298"/>
      <c r="K93" s="298"/>
      <c r="L93" s="298"/>
      <c r="M93" s="298"/>
      <c r="N93" s="298"/>
      <c r="O93" s="298"/>
      <c r="P93" s="298"/>
      <c r="Q93" s="298"/>
      <c r="R93" s="398"/>
      <c r="S93" s="398"/>
      <c r="T93" s="2274" t="s">
        <v>29</v>
      </c>
      <c r="U93" s="2272" t="s">
        <v>24</v>
      </c>
      <c r="V93" s="513">
        <v>840104</v>
      </c>
      <c r="W93" s="344" t="s">
        <v>13</v>
      </c>
      <c r="X93" s="1569" t="s">
        <v>14</v>
      </c>
      <c r="Y93" s="514">
        <f>SUM($Z$57:$Z$58)</f>
        <v>3528.0000000000005</v>
      </c>
      <c r="AA93" s="228"/>
      <c r="AB93" s="229"/>
      <c r="AC93" s="25"/>
      <c r="AD93" s="508"/>
    </row>
    <row r="94" spans="1:31" ht="33">
      <c r="A94" s="25"/>
      <c r="B94" s="298"/>
      <c r="C94" s="298"/>
      <c r="D94" s="298"/>
      <c r="E94" s="298"/>
      <c r="F94" s="298"/>
      <c r="G94" s="298"/>
      <c r="H94" s="298"/>
      <c r="I94" s="298"/>
      <c r="J94" s="298"/>
      <c r="K94" s="298"/>
      <c r="L94" s="298"/>
      <c r="M94" s="298"/>
      <c r="N94" s="298"/>
      <c r="O94" s="298"/>
      <c r="P94" s="298"/>
      <c r="Q94" s="298"/>
      <c r="R94" s="398"/>
      <c r="S94" s="398"/>
      <c r="T94" s="2274" t="s">
        <v>29</v>
      </c>
      <c r="U94" s="2272" t="s">
        <v>20</v>
      </c>
      <c r="V94" s="560">
        <v>840107</v>
      </c>
      <c r="W94" s="344" t="s">
        <v>13</v>
      </c>
      <c r="X94" s="1569" t="s">
        <v>14</v>
      </c>
      <c r="Y94" s="514">
        <f>SUM($Z$37:$Z$39)</f>
        <v>5856.0000128000001</v>
      </c>
      <c r="AA94" s="228"/>
      <c r="AB94" s="229"/>
      <c r="AC94" s="25"/>
      <c r="AD94" s="508"/>
    </row>
    <row r="95" spans="1:31" ht="16.5" customHeight="1" thickBot="1">
      <c r="A95" s="25"/>
      <c r="B95" s="298"/>
      <c r="C95" s="298"/>
      <c r="D95" s="298"/>
      <c r="E95" s="298"/>
      <c r="F95" s="298"/>
      <c r="G95" s="298"/>
      <c r="H95" s="298"/>
      <c r="I95" s="298"/>
      <c r="J95" s="298"/>
      <c r="K95" s="298"/>
      <c r="L95" s="298"/>
      <c r="M95" s="298"/>
      <c r="N95" s="298"/>
      <c r="S95" s="398"/>
      <c r="T95" s="3459"/>
      <c r="U95" s="2269" t="s">
        <v>183</v>
      </c>
      <c r="V95" s="3458"/>
      <c r="W95" s="3458"/>
      <c r="X95" s="2246" t="s">
        <v>340</v>
      </c>
      <c r="Y95" s="140">
        <f>SUM(Y88:Y94)</f>
        <v>35205.375016884798</v>
      </c>
      <c r="AA95" s="298"/>
      <c r="AB95" s="298"/>
      <c r="AC95" s="25"/>
      <c r="AD95" s="508"/>
    </row>
    <row r="96" spans="1:31" ht="16.5" customHeight="1" thickTop="1">
      <c r="A96" s="25"/>
      <c r="B96" s="298"/>
      <c r="C96" s="298"/>
      <c r="D96" s="298"/>
      <c r="E96" s="298"/>
      <c r="F96" s="298"/>
      <c r="G96" s="298"/>
      <c r="H96" s="298"/>
      <c r="I96" s="298"/>
      <c r="J96" s="298"/>
      <c r="K96" s="298"/>
      <c r="L96" s="298"/>
      <c r="M96" s="298"/>
      <c r="N96" s="298"/>
      <c r="S96" s="398"/>
      <c r="T96" s="131"/>
      <c r="U96" s="131"/>
      <c r="V96" s="142" t="s">
        <v>347</v>
      </c>
      <c r="W96" s="429"/>
      <c r="X96" s="190"/>
      <c r="Y96" s="131"/>
      <c r="Z96" s="131"/>
      <c r="AA96" s="298"/>
      <c r="AB96" s="307"/>
      <c r="AC96" s="25"/>
      <c r="AD96" s="508"/>
    </row>
    <row r="97" spans="1:30" ht="16.5" customHeight="1" thickBot="1">
      <c r="A97" s="25"/>
      <c r="B97" s="298"/>
      <c r="C97" s="298"/>
      <c r="D97" s="298"/>
      <c r="E97" s="298"/>
      <c r="F97" s="298"/>
      <c r="G97" s="298"/>
      <c r="H97" s="298"/>
      <c r="I97" s="298"/>
      <c r="J97" s="298"/>
      <c r="K97" s="298"/>
      <c r="L97" s="298"/>
      <c r="M97" s="298"/>
      <c r="N97" s="298"/>
      <c r="S97" s="398"/>
      <c r="T97" s="131"/>
      <c r="U97" s="131"/>
      <c r="V97" s="131"/>
      <c r="W97" s="429"/>
      <c r="X97" s="190"/>
      <c r="Y97" s="131"/>
      <c r="Z97" s="131"/>
      <c r="AA97" s="298"/>
      <c r="AB97" s="307"/>
      <c r="AC97" s="25"/>
      <c r="AD97" s="508"/>
    </row>
    <row r="98" spans="1:30" ht="16.5" customHeight="1" thickTop="1">
      <c r="A98" s="25"/>
      <c r="B98" s="298"/>
      <c r="C98" s="298"/>
      <c r="D98" s="298"/>
      <c r="E98" s="298"/>
      <c r="F98" s="298"/>
      <c r="G98" s="298"/>
      <c r="H98" s="298"/>
      <c r="I98" s="298"/>
      <c r="J98" s="298"/>
      <c r="K98" s="298"/>
      <c r="L98" s="298"/>
      <c r="M98" s="298"/>
      <c r="N98" s="298"/>
      <c r="S98" s="398"/>
      <c r="T98" s="4303" t="s">
        <v>348</v>
      </c>
      <c r="U98" s="4304"/>
      <c r="V98" s="4305"/>
      <c r="W98" s="429"/>
      <c r="X98" s="433" t="s">
        <v>349</v>
      </c>
      <c r="Y98" s="145" t="str">
        <f>IF(Y95=AA82,"OK","NO")</f>
        <v>OK</v>
      </c>
      <c r="Z98" s="131"/>
      <c r="AA98" s="309"/>
      <c r="AB98" s="298"/>
      <c r="AC98" s="25"/>
      <c r="AD98" s="508"/>
    </row>
    <row r="99" spans="1:30" ht="16.5" customHeight="1">
      <c r="A99" s="25"/>
      <c r="B99" s="298"/>
      <c r="C99" s="298"/>
      <c r="D99" s="298"/>
      <c r="E99" s="298"/>
      <c r="F99" s="298"/>
      <c r="G99" s="298"/>
      <c r="H99" s="298"/>
      <c r="I99" s="298"/>
      <c r="J99" s="298"/>
      <c r="K99" s="298"/>
      <c r="L99" s="298"/>
      <c r="M99" s="298"/>
      <c r="N99" s="298"/>
      <c r="S99" s="398"/>
      <c r="T99" s="4213" t="s">
        <v>3666</v>
      </c>
      <c r="U99" s="4208"/>
      <c r="V99" s="516">
        <v>0</v>
      </c>
      <c r="W99" s="429"/>
      <c r="X99" s="190"/>
      <c r="Y99" s="145" t="str">
        <f>IF(V103=AA82,"OK","NO")</f>
        <v>OK</v>
      </c>
      <c r="Z99" s="131"/>
      <c r="AA99" s="309"/>
      <c r="AB99" s="298"/>
      <c r="AC99" s="25"/>
      <c r="AD99" s="508"/>
    </row>
    <row r="100" spans="1:30" ht="16.5" customHeight="1">
      <c r="A100" s="25"/>
      <c r="B100" s="298"/>
      <c r="C100" s="298"/>
      <c r="D100" s="298"/>
      <c r="E100" s="298"/>
      <c r="F100" s="298"/>
      <c r="G100" s="298"/>
      <c r="H100" s="298"/>
      <c r="I100" s="298"/>
      <c r="J100" s="298"/>
      <c r="K100" s="298"/>
      <c r="L100" s="298"/>
      <c r="M100" s="298"/>
      <c r="N100" s="298"/>
      <c r="S100" s="398"/>
      <c r="T100" s="4200" t="s">
        <v>3667</v>
      </c>
      <c r="U100" s="4201"/>
      <c r="V100" s="515">
        <f>SUM(Y88:Y92)</f>
        <v>25821.375004084799</v>
      </c>
      <c r="W100" s="429"/>
      <c r="X100" s="190"/>
      <c r="Y100" s="145" t="str">
        <f>IF(V113=AA82,"OK","NO")</f>
        <v>OK</v>
      </c>
      <c r="Z100" s="131"/>
      <c r="AA100" s="309"/>
      <c r="AB100" s="298"/>
      <c r="AC100" s="25"/>
      <c r="AD100" s="508"/>
    </row>
    <row r="101" spans="1:30" ht="16.5">
      <c r="A101" s="25"/>
      <c r="B101" s="298"/>
      <c r="C101" s="298"/>
      <c r="D101" s="298"/>
      <c r="E101" s="298"/>
      <c r="F101" s="298"/>
      <c r="G101" s="298"/>
      <c r="H101" s="298"/>
      <c r="I101" s="298"/>
      <c r="J101" s="298"/>
      <c r="K101" s="298"/>
      <c r="L101" s="298"/>
      <c r="M101" s="298"/>
      <c r="N101" s="298"/>
      <c r="O101" s="298"/>
      <c r="P101" s="298"/>
      <c r="Q101" s="298"/>
      <c r="R101" s="398"/>
      <c r="S101" s="398"/>
      <c r="T101" s="4200" t="s">
        <v>3669</v>
      </c>
      <c r="U101" s="4201"/>
      <c r="V101" s="515">
        <f>SUM(Y93:Y94)</f>
        <v>9384.0000128000011</v>
      </c>
      <c r="W101" s="429"/>
      <c r="X101" s="434"/>
      <c r="Y101" s="145" t="str">
        <f>IF(Resumen!C359=AA82,"OK","NO")</f>
        <v>OK</v>
      </c>
      <c r="Z101" s="131"/>
      <c r="AA101" s="309"/>
      <c r="AB101" s="298"/>
      <c r="AC101" s="25"/>
      <c r="AD101" s="508"/>
    </row>
    <row r="102" spans="1:30" ht="16.5" customHeight="1">
      <c r="A102" s="25"/>
      <c r="B102" s="298"/>
      <c r="C102" s="298"/>
      <c r="D102" s="298"/>
      <c r="E102" s="298"/>
      <c r="F102" s="298"/>
      <c r="G102" s="298"/>
      <c r="H102" s="298"/>
      <c r="I102" s="298"/>
      <c r="J102" s="298"/>
      <c r="K102" s="298"/>
      <c r="L102" s="298"/>
      <c r="M102" s="298"/>
      <c r="N102" s="298"/>
      <c r="O102" s="298"/>
      <c r="P102" s="298"/>
      <c r="Q102" s="298"/>
      <c r="R102" s="398"/>
      <c r="S102" s="398"/>
      <c r="T102" s="4200" t="s">
        <v>3668</v>
      </c>
      <c r="U102" s="4201"/>
      <c r="V102" s="517">
        <v>0</v>
      </c>
      <c r="W102" s="429"/>
      <c r="X102" s="434"/>
      <c r="Y102" s="131"/>
      <c r="Z102" s="131"/>
      <c r="AA102" s="309"/>
      <c r="AB102" s="298"/>
      <c r="AC102" s="25"/>
      <c r="AD102" s="508"/>
    </row>
    <row r="103" spans="1:30" ht="16.5" customHeight="1">
      <c r="A103" s="25"/>
      <c r="B103" s="298"/>
      <c r="C103" s="298"/>
      <c r="D103" s="298"/>
      <c r="E103" s="298"/>
      <c r="F103" s="298"/>
      <c r="G103" s="298"/>
      <c r="H103" s="298"/>
      <c r="I103" s="298"/>
      <c r="J103" s="298"/>
      <c r="K103" s="298"/>
      <c r="L103" s="298"/>
      <c r="M103" s="298"/>
      <c r="N103" s="298"/>
      <c r="O103" s="298"/>
      <c r="P103" s="298"/>
      <c r="Q103" s="298"/>
      <c r="R103" s="398"/>
      <c r="S103" s="398"/>
      <c r="T103" s="4553" t="s">
        <v>183</v>
      </c>
      <c r="U103" s="4554"/>
      <c r="V103" s="1571">
        <f>SUM(V99:V102)</f>
        <v>35205.375016884798</v>
      </c>
      <c r="W103" s="429"/>
      <c r="X103" s="434"/>
      <c r="Y103" s="131"/>
      <c r="Z103" s="131"/>
      <c r="AA103" s="309"/>
      <c r="AB103" s="298"/>
      <c r="AC103" s="25"/>
      <c r="AD103" s="508"/>
    </row>
    <row r="104" spans="1:30" ht="16.5" customHeight="1">
      <c r="A104" s="25"/>
      <c r="B104" s="298"/>
      <c r="C104" s="298"/>
      <c r="D104" s="298"/>
      <c r="E104" s="298"/>
      <c r="F104" s="298"/>
      <c r="G104" s="298"/>
      <c r="H104" s="298"/>
      <c r="I104" s="298"/>
      <c r="J104" s="298"/>
      <c r="K104" s="298"/>
      <c r="L104" s="298"/>
      <c r="M104" s="298"/>
      <c r="N104" s="298"/>
      <c r="O104" s="298"/>
      <c r="P104" s="298"/>
      <c r="Q104" s="298"/>
      <c r="R104" s="398"/>
      <c r="S104" s="398"/>
      <c r="T104" s="4555" t="s">
        <v>350</v>
      </c>
      <c r="U104" s="4556"/>
      <c r="V104" s="4557"/>
      <c r="W104" s="429"/>
      <c r="X104" s="435"/>
      <c r="Y104" s="131"/>
      <c r="Z104" s="131"/>
      <c r="AA104" s="309"/>
      <c r="AB104" s="298"/>
      <c r="AC104" s="25"/>
      <c r="AD104" s="508"/>
    </row>
    <row r="105" spans="1:30" ht="16.5" customHeight="1">
      <c r="A105" s="25"/>
      <c r="B105" s="298"/>
      <c r="C105" s="298"/>
      <c r="D105" s="298"/>
      <c r="E105" s="298"/>
      <c r="F105" s="298"/>
      <c r="G105" s="298"/>
      <c r="H105" s="298"/>
      <c r="I105" s="298"/>
      <c r="J105" s="298"/>
      <c r="K105" s="298"/>
      <c r="L105" s="298"/>
      <c r="M105" s="298"/>
      <c r="N105" s="298"/>
      <c r="O105" s="298"/>
      <c r="P105" s="298"/>
      <c r="Q105" s="298"/>
      <c r="R105" s="398"/>
      <c r="S105" s="398"/>
      <c r="T105" s="4207" t="s">
        <v>3670</v>
      </c>
      <c r="U105" s="4208"/>
      <c r="V105" s="516">
        <v>0</v>
      </c>
      <c r="W105" s="429"/>
      <c r="X105" s="435"/>
      <c r="Y105" s="131"/>
      <c r="Z105" s="131"/>
      <c r="AA105" s="309"/>
      <c r="AB105" s="298"/>
      <c r="AC105" s="25"/>
      <c r="AD105" s="508"/>
    </row>
    <row r="106" spans="1:30" ht="16.5" customHeight="1">
      <c r="A106" s="25"/>
      <c r="B106" s="298"/>
      <c r="C106" s="298"/>
      <c r="D106" s="298"/>
      <c r="E106" s="298"/>
      <c r="F106" s="298"/>
      <c r="G106" s="298"/>
      <c r="H106" s="298"/>
      <c r="I106" s="298"/>
      <c r="J106" s="298"/>
      <c r="K106" s="298"/>
      <c r="L106" s="298"/>
      <c r="M106" s="298"/>
      <c r="N106" s="298"/>
      <c r="O106" s="298"/>
      <c r="P106" s="298"/>
      <c r="Q106" s="298"/>
      <c r="R106" s="398"/>
      <c r="S106" s="398"/>
      <c r="T106" s="4209" t="s">
        <v>3671</v>
      </c>
      <c r="U106" s="4201"/>
      <c r="V106" s="515">
        <f>SUM(Y88:Y92)</f>
        <v>25821.375004084799</v>
      </c>
      <c r="W106" s="429"/>
      <c r="X106" s="436"/>
      <c r="Y106" s="269"/>
      <c r="Z106" s="269"/>
      <c r="AA106" s="311"/>
      <c r="AB106" s="313"/>
      <c r="AC106" s="25"/>
      <c r="AD106" s="508"/>
    </row>
    <row r="107" spans="1:30" ht="16.5" customHeight="1">
      <c r="A107" s="25"/>
      <c r="B107" s="298"/>
      <c r="C107" s="298"/>
      <c r="D107" s="298"/>
      <c r="E107" s="298"/>
      <c r="F107" s="298"/>
      <c r="G107" s="298"/>
      <c r="H107" s="298"/>
      <c r="I107" s="298"/>
      <c r="J107" s="298"/>
      <c r="K107" s="298"/>
      <c r="L107" s="298"/>
      <c r="M107" s="298"/>
      <c r="N107" s="298"/>
      <c r="O107" s="298"/>
      <c r="P107" s="298"/>
      <c r="Q107" s="298"/>
      <c r="R107" s="398"/>
      <c r="S107" s="398"/>
      <c r="T107" s="4209" t="s">
        <v>3672</v>
      </c>
      <c r="U107" s="4201"/>
      <c r="V107" s="515">
        <v>0</v>
      </c>
      <c r="W107" s="429"/>
      <c r="X107" s="437"/>
      <c r="Y107" s="269"/>
      <c r="Z107" s="269"/>
      <c r="AA107" s="311"/>
      <c r="AB107" s="313"/>
      <c r="AC107" s="25"/>
      <c r="AD107" s="508"/>
    </row>
    <row r="108" spans="1:30" ht="16.5" customHeight="1">
      <c r="A108" s="25"/>
      <c r="B108" s="298"/>
      <c r="C108" s="298"/>
      <c r="D108" s="298"/>
      <c r="E108" s="298"/>
      <c r="F108" s="298"/>
      <c r="G108" s="298"/>
      <c r="H108" s="298"/>
      <c r="I108" s="298"/>
      <c r="J108" s="298"/>
      <c r="K108" s="298"/>
      <c r="L108" s="298"/>
      <c r="M108" s="298"/>
      <c r="N108" s="298"/>
      <c r="O108" s="298"/>
      <c r="P108" s="298"/>
      <c r="Q108" s="298"/>
      <c r="R108" s="398"/>
      <c r="S108" s="398"/>
      <c r="T108" s="4209" t="s">
        <v>3673</v>
      </c>
      <c r="U108" s="4201"/>
      <c r="V108" s="515">
        <v>0</v>
      </c>
      <c r="W108" s="429"/>
      <c r="X108" s="439"/>
      <c r="Y108" s="269"/>
      <c r="Z108" s="269"/>
      <c r="AA108" s="311"/>
      <c r="AB108" s="313"/>
      <c r="AC108" s="25"/>
      <c r="AD108" s="508"/>
    </row>
    <row r="109" spans="1:30" ht="16.5" customHeight="1">
      <c r="A109" s="25"/>
      <c r="B109" s="298"/>
      <c r="C109" s="298"/>
      <c r="D109" s="298"/>
      <c r="E109" s="298"/>
      <c r="F109" s="298"/>
      <c r="G109" s="298"/>
      <c r="H109" s="298"/>
      <c r="I109" s="298"/>
      <c r="J109" s="298"/>
      <c r="K109" s="298"/>
      <c r="L109" s="298"/>
      <c r="M109" s="298"/>
      <c r="N109" s="298"/>
      <c r="O109" s="298"/>
      <c r="P109" s="298"/>
      <c r="Q109" s="298"/>
      <c r="R109" s="398"/>
      <c r="S109" s="398"/>
      <c r="T109" s="4209" t="s">
        <v>3674</v>
      </c>
      <c r="U109" s="4201"/>
      <c r="V109" s="515">
        <v>0</v>
      </c>
      <c r="W109" s="429"/>
      <c r="X109" s="440"/>
      <c r="Y109" s="4480"/>
      <c r="Z109" s="4150"/>
      <c r="AA109" s="4150"/>
      <c r="AB109" s="313"/>
      <c r="AC109" s="25"/>
      <c r="AD109" s="508"/>
    </row>
    <row r="110" spans="1:30" ht="16.5" customHeight="1">
      <c r="A110" s="25"/>
      <c r="B110" s="298"/>
      <c r="C110" s="298"/>
      <c r="D110" s="298"/>
      <c r="E110" s="298"/>
      <c r="F110" s="298"/>
      <c r="G110" s="298"/>
      <c r="H110" s="298"/>
      <c r="I110" s="298"/>
      <c r="J110" s="298"/>
      <c r="K110" s="298"/>
      <c r="L110" s="298"/>
      <c r="M110" s="298"/>
      <c r="N110" s="298"/>
      <c r="O110" s="298"/>
      <c r="P110" s="298"/>
      <c r="Q110" s="298"/>
      <c r="R110" s="398"/>
      <c r="S110" s="398"/>
      <c r="T110" s="4209" t="s">
        <v>3675</v>
      </c>
      <c r="U110" s="4201"/>
      <c r="V110" s="515">
        <v>0</v>
      </c>
      <c r="W110" s="429"/>
      <c r="X110" s="440"/>
      <c r="Y110" s="271"/>
      <c r="Z110" s="272"/>
      <c r="AA110" s="271"/>
      <c r="AB110" s="313"/>
      <c r="AC110" s="25"/>
      <c r="AD110" s="508"/>
    </row>
    <row r="111" spans="1:30" ht="16.5" customHeight="1">
      <c r="A111" s="25"/>
      <c r="B111" s="298"/>
      <c r="C111" s="298"/>
      <c r="D111" s="298"/>
      <c r="E111" s="298"/>
      <c r="F111" s="298"/>
      <c r="G111" s="298"/>
      <c r="H111" s="298"/>
      <c r="I111" s="298"/>
      <c r="J111" s="298"/>
      <c r="K111" s="298"/>
      <c r="L111" s="298"/>
      <c r="M111" s="298"/>
      <c r="N111" s="298"/>
      <c r="O111" s="298"/>
      <c r="P111" s="298"/>
      <c r="Q111" s="298"/>
      <c r="R111" s="398"/>
      <c r="S111" s="398"/>
      <c r="T111" s="4209" t="s">
        <v>3676</v>
      </c>
      <c r="U111" s="4201"/>
      <c r="V111" s="515">
        <f>SUM(Y93:Y94)</f>
        <v>9384.0000128000011</v>
      </c>
      <c r="W111" s="429"/>
      <c r="X111" s="440"/>
      <c r="Y111" s="345"/>
      <c r="Z111" s="274"/>
      <c r="AA111" s="346"/>
      <c r="AB111" s="313"/>
      <c r="AC111" s="25"/>
      <c r="AD111" s="508"/>
    </row>
    <row r="112" spans="1:30" ht="16.5" customHeight="1">
      <c r="A112" s="25"/>
      <c r="B112" s="298"/>
      <c r="C112" s="298"/>
      <c r="D112" s="298"/>
      <c r="E112" s="298"/>
      <c r="F112" s="298"/>
      <c r="G112" s="298"/>
      <c r="H112" s="298"/>
      <c r="I112" s="298"/>
      <c r="J112" s="298"/>
      <c r="K112" s="298"/>
      <c r="L112" s="298"/>
      <c r="M112" s="298"/>
      <c r="N112" s="298"/>
      <c r="O112" s="298"/>
      <c r="P112" s="298"/>
      <c r="Q112" s="298"/>
      <c r="R112" s="398"/>
      <c r="S112" s="398"/>
      <c r="T112" s="4209" t="s">
        <v>3677</v>
      </c>
      <c r="U112" s="4201"/>
      <c r="V112" s="517">
        <v>0</v>
      </c>
      <c r="W112" s="429"/>
      <c r="X112" s="441"/>
      <c r="Y112" s="317"/>
      <c r="Z112" s="317"/>
      <c r="AA112" s="311"/>
      <c r="AB112" s="313"/>
      <c r="AC112" s="25"/>
      <c r="AD112" s="508"/>
    </row>
    <row r="113" spans="1:30" ht="16.5" customHeight="1" thickBot="1">
      <c r="A113" s="25"/>
      <c r="B113" s="298"/>
      <c r="C113" s="298"/>
      <c r="D113" s="298"/>
      <c r="E113" s="298"/>
      <c r="F113" s="298"/>
      <c r="G113" s="298"/>
      <c r="H113" s="298"/>
      <c r="I113" s="298"/>
      <c r="J113" s="298"/>
      <c r="K113" s="298"/>
      <c r="L113" s="298"/>
      <c r="M113" s="298"/>
      <c r="N113" s="298"/>
      <c r="O113" s="298"/>
      <c r="P113" s="298"/>
      <c r="Q113" s="298"/>
      <c r="R113" s="398"/>
      <c r="S113" s="398"/>
      <c r="T113" s="4295" t="s">
        <v>183</v>
      </c>
      <c r="U113" s="4296"/>
      <c r="V113" s="1572">
        <f>SUM(V105:V112)</f>
        <v>35205.375016884798</v>
      </c>
      <c r="W113" s="429"/>
      <c r="X113" s="437"/>
      <c r="Y113" s="269"/>
      <c r="Z113" s="269"/>
      <c r="AA113" s="311"/>
      <c r="AB113" s="313"/>
      <c r="AC113" s="25"/>
      <c r="AD113" s="508"/>
    </row>
    <row r="114" spans="1:30" ht="15.75" customHeight="1" thickTop="1"/>
  </sheetData>
  <mergeCells count="268">
    <mergeCell ref="P41:P45"/>
    <mergeCell ref="Q41:Q45"/>
    <mergeCell ref="I41:I45"/>
    <mergeCell ref="J41:J45"/>
    <mergeCell ref="K41:K45"/>
    <mergeCell ref="L41:L45"/>
    <mergeCell ref="M41:M45"/>
    <mergeCell ref="N41:N45"/>
    <mergeCell ref="O41:O45"/>
    <mergeCell ref="O56:O60"/>
    <mergeCell ref="P46:P50"/>
    <mergeCell ref="Q46:Q50"/>
    <mergeCell ref="I46:I50"/>
    <mergeCell ref="J46:J50"/>
    <mergeCell ref="K46:K50"/>
    <mergeCell ref="L46:L50"/>
    <mergeCell ref="M46:M50"/>
    <mergeCell ref="N46:N50"/>
    <mergeCell ref="O46:O50"/>
    <mergeCell ref="K77:K81"/>
    <mergeCell ref="L77:L81"/>
    <mergeCell ref="M77:M81"/>
    <mergeCell ref="N77:N81"/>
    <mergeCell ref="O77:O81"/>
    <mergeCell ref="P77:P81"/>
    <mergeCell ref="Q77:Q81"/>
    <mergeCell ref="D77:D81"/>
    <mergeCell ref="E77:E81"/>
    <mergeCell ref="F77:F81"/>
    <mergeCell ref="G77:G81"/>
    <mergeCell ref="H77:H81"/>
    <mergeCell ref="I77:I81"/>
    <mergeCell ref="J77:J81"/>
    <mergeCell ref="C31:C35"/>
    <mergeCell ref="B36:B40"/>
    <mergeCell ref="C36:C40"/>
    <mergeCell ref="B72:B76"/>
    <mergeCell ref="C72:C76"/>
    <mergeCell ref="B46:B50"/>
    <mergeCell ref="C46:C50"/>
    <mergeCell ref="B41:B45"/>
    <mergeCell ref="C41:C45"/>
    <mergeCell ref="B61:B65"/>
    <mergeCell ref="C61:C65"/>
    <mergeCell ref="D61:D65"/>
    <mergeCell ref="E61:E65"/>
    <mergeCell ref="F61:F65"/>
    <mergeCell ref="G61:G65"/>
    <mergeCell ref="H61:H65"/>
    <mergeCell ref="B77:B81"/>
    <mergeCell ref="C77:C81"/>
    <mergeCell ref="H72:H76"/>
    <mergeCell ref="D66:D70"/>
    <mergeCell ref="E66:E70"/>
    <mergeCell ref="F66:F70"/>
    <mergeCell ref="G66:G70"/>
    <mergeCell ref="H66:H70"/>
    <mergeCell ref="D72:D76"/>
    <mergeCell ref="E72:E76"/>
    <mergeCell ref="F72:F76"/>
    <mergeCell ref="G72:G76"/>
    <mergeCell ref="B66:B70"/>
    <mergeCell ref="C66:C70"/>
    <mergeCell ref="P72:P76"/>
    <mergeCell ref="Q72:Q76"/>
    <mergeCell ref="I66:I70"/>
    <mergeCell ref="J66:J70"/>
    <mergeCell ref="K66:K70"/>
    <mergeCell ref="L66:L70"/>
    <mergeCell ref="M66:M70"/>
    <mergeCell ref="N66:N70"/>
    <mergeCell ref="O66:O70"/>
    <mergeCell ref="P66:P70"/>
    <mergeCell ref="Q66:Q70"/>
    <mergeCell ref="I72:I76"/>
    <mergeCell ref="J72:J76"/>
    <mergeCell ref="K72:K76"/>
    <mergeCell ref="L72:L76"/>
    <mergeCell ref="M72:M76"/>
    <mergeCell ref="N72:N76"/>
    <mergeCell ref="O72:O76"/>
    <mergeCell ref="AE51:AE55"/>
    <mergeCell ref="AE56:AE60"/>
    <mergeCell ref="AE61:AE65"/>
    <mergeCell ref="K56:K60"/>
    <mergeCell ref="L56:L60"/>
    <mergeCell ref="K61:K65"/>
    <mergeCell ref="L61:L65"/>
    <mergeCell ref="AE9:AE13"/>
    <mergeCell ref="AE14:AE25"/>
    <mergeCell ref="AE26:AE30"/>
    <mergeCell ref="K9:K13"/>
    <mergeCell ref="L9:L13"/>
    <mergeCell ref="N9:N13"/>
    <mergeCell ref="O9:O13"/>
    <mergeCell ref="P9:P13"/>
    <mergeCell ref="Q9:Q13"/>
    <mergeCell ref="K14:K25"/>
    <mergeCell ref="L14:L25"/>
    <mergeCell ref="M14:M25"/>
    <mergeCell ref="N14:N25"/>
    <mergeCell ref="O14:O25"/>
    <mergeCell ref="P14:P25"/>
    <mergeCell ref="Q14:Q25"/>
    <mergeCell ref="P56:P60"/>
    <mergeCell ref="P61:P65"/>
    <mergeCell ref="Q61:Q65"/>
    <mergeCell ref="I61:I65"/>
    <mergeCell ref="J61:J65"/>
    <mergeCell ref="M26:M30"/>
    <mergeCell ref="N26:N30"/>
    <mergeCell ref="O26:O30"/>
    <mergeCell ref="P26:P30"/>
    <mergeCell ref="Q26:Q30"/>
    <mergeCell ref="I51:I55"/>
    <mergeCell ref="J51:J55"/>
    <mergeCell ref="I26:I30"/>
    <mergeCell ref="J26:J30"/>
    <mergeCell ref="K51:K55"/>
    <mergeCell ref="L51:L55"/>
    <mergeCell ref="N51:N55"/>
    <mergeCell ref="O51:O55"/>
    <mergeCell ref="P51:P55"/>
    <mergeCell ref="Q51:Q55"/>
    <mergeCell ref="N56:N60"/>
    <mergeCell ref="Q56:Q60"/>
    <mergeCell ref="M61:M65"/>
    <mergeCell ref="N61:N65"/>
    <mergeCell ref="O61:O65"/>
    <mergeCell ref="A1:AE1"/>
    <mergeCell ref="A2:AE2"/>
    <mergeCell ref="A3:AE3"/>
    <mergeCell ref="A4:AE4"/>
    <mergeCell ref="AE31:AE35"/>
    <mergeCell ref="AE36:AE40"/>
    <mergeCell ref="AE41:AE45"/>
    <mergeCell ref="AE46:AE50"/>
    <mergeCell ref="K26:K30"/>
    <mergeCell ref="L26:L30"/>
    <mergeCell ref="I9:I13"/>
    <mergeCell ref="J9:J13"/>
    <mergeCell ref="I14:I25"/>
    <mergeCell ref="J14:J25"/>
    <mergeCell ref="A9:A82"/>
    <mergeCell ref="B9:B13"/>
    <mergeCell ref="C9:C13"/>
    <mergeCell ref="B14:B25"/>
    <mergeCell ref="C14:C25"/>
    <mergeCell ref="B56:B60"/>
    <mergeCell ref="C56:C60"/>
    <mergeCell ref="B26:B30"/>
    <mergeCell ref="C26:C30"/>
    <mergeCell ref="B31:B35"/>
    <mergeCell ref="D9:D13"/>
    <mergeCell ref="E9:E13"/>
    <mergeCell ref="F9:F13"/>
    <mergeCell ref="G9:G13"/>
    <mergeCell ref="H9:H13"/>
    <mergeCell ref="D26:D30"/>
    <mergeCell ref="E26:E30"/>
    <mergeCell ref="F26:F30"/>
    <mergeCell ref="G26:G30"/>
    <mergeCell ref="H26:H30"/>
    <mergeCell ref="D14:D25"/>
    <mergeCell ref="E14:E25"/>
    <mergeCell ref="F14:F25"/>
    <mergeCell ref="G14:G25"/>
    <mergeCell ref="H14:H25"/>
    <mergeCell ref="D31:D35"/>
    <mergeCell ref="E31:E35"/>
    <mergeCell ref="F31:F35"/>
    <mergeCell ref="G31:G35"/>
    <mergeCell ref="H31:H35"/>
    <mergeCell ref="P31:P35"/>
    <mergeCell ref="Q31:Q35"/>
    <mergeCell ref="I31:I35"/>
    <mergeCell ref="J31:J35"/>
    <mergeCell ref="K31:K35"/>
    <mergeCell ref="L31:L35"/>
    <mergeCell ref="M31:M35"/>
    <mergeCell ref="N31:N35"/>
    <mergeCell ref="O31:O35"/>
    <mergeCell ref="P36:P40"/>
    <mergeCell ref="Q36:Q40"/>
    <mergeCell ref="I36:I40"/>
    <mergeCell ref="J36:J40"/>
    <mergeCell ref="K36:K40"/>
    <mergeCell ref="L36:L40"/>
    <mergeCell ref="M36:M40"/>
    <mergeCell ref="N36:N40"/>
    <mergeCell ref="O36:O40"/>
    <mergeCell ref="E56:E60"/>
    <mergeCell ref="F56:F60"/>
    <mergeCell ref="G56:G60"/>
    <mergeCell ref="H56:H60"/>
    <mergeCell ref="D36:D40"/>
    <mergeCell ref="E36:E40"/>
    <mergeCell ref="F36:F40"/>
    <mergeCell ref="G36:G40"/>
    <mergeCell ref="H36:H40"/>
    <mergeCell ref="D46:D50"/>
    <mergeCell ref="E46:E50"/>
    <mergeCell ref="F46:F50"/>
    <mergeCell ref="G46:G50"/>
    <mergeCell ref="H46:H50"/>
    <mergeCell ref="D41:D45"/>
    <mergeCell ref="E41:E45"/>
    <mergeCell ref="F41:F45"/>
    <mergeCell ref="G41:G45"/>
    <mergeCell ref="H41:H45"/>
    <mergeCell ref="Y109:AA109"/>
    <mergeCell ref="T110:U110"/>
    <mergeCell ref="T111:U111"/>
    <mergeCell ref="T112:U112"/>
    <mergeCell ref="AE66:AE70"/>
    <mergeCell ref="AE72:AE76"/>
    <mergeCell ref="AE77:AE81"/>
    <mergeCell ref="R82:Y82"/>
    <mergeCell ref="AB82:AE82"/>
    <mergeCell ref="R83:AE83"/>
    <mergeCell ref="T85:Y85"/>
    <mergeCell ref="AA85:AB85"/>
    <mergeCell ref="A6:A8"/>
    <mergeCell ref="T113:U113"/>
    <mergeCell ref="T101:U101"/>
    <mergeCell ref="T102:U102"/>
    <mergeCell ref="T103:U103"/>
    <mergeCell ref="T104:V104"/>
    <mergeCell ref="T105:U105"/>
    <mergeCell ref="T106:U106"/>
    <mergeCell ref="T107:U107"/>
    <mergeCell ref="T98:V98"/>
    <mergeCell ref="T99:U99"/>
    <mergeCell ref="T100:U100"/>
    <mergeCell ref="T108:U108"/>
    <mergeCell ref="T109:U109"/>
    <mergeCell ref="B51:B55"/>
    <mergeCell ref="C51:C55"/>
    <mergeCell ref="D51:D55"/>
    <mergeCell ref="E51:E55"/>
    <mergeCell ref="F51:F55"/>
    <mergeCell ref="G51:G55"/>
    <mergeCell ref="H51:H55"/>
    <mergeCell ref="I56:I60"/>
    <mergeCell ref="J56:J60"/>
    <mergeCell ref="D56:D60"/>
    <mergeCell ref="B6:C6"/>
    <mergeCell ref="D6:H6"/>
    <mergeCell ref="I6:Q6"/>
    <mergeCell ref="R6:AE6"/>
    <mergeCell ref="B7:B8"/>
    <mergeCell ref="C7:C8"/>
    <mergeCell ref="D7:D8"/>
    <mergeCell ref="E7:E8"/>
    <mergeCell ref="F7:F8"/>
    <mergeCell ref="G7:G8"/>
    <mergeCell ref="H7:H8"/>
    <mergeCell ref="I7:I8"/>
    <mergeCell ref="J7:J8"/>
    <mergeCell ref="K7:K8"/>
    <mergeCell ref="L7:N7"/>
    <mergeCell ref="O7:O8"/>
    <mergeCell ref="P7:P8"/>
    <mergeCell ref="Q7:Q8"/>
    <mergeCell ref="R7:X7"/>
    <mergeCell ref="Y7:AA7"/>
    <mergeCell ref="AB7:AD7"/>
    <mergeCell ref="AE7:AE8"/>
  </mergeCells>
  <dataValidations count="6">
    <dataValidation type="list" allowBlank="1" showErrorMessage="1" sqref="E14 E26 E31 E36 E41 E46 E51 E56 E61 E66 E72 E77">
      <formula1>INDIRECT($D14)</formula1>
    </dataValidation>
    <dataValidation type="list" allowBlank="1" showInputMessage="1" showErrorMessage="1" prompt="Orientación: - Escoja un Lineamiento Estratégico de la lista despegable." sqref="E9">
      <formula1>INDIRECT($D9)</formula1>
    </dataValidation>
    <dataValidation type="list" allowBlank="1" showInputMessage="1" showErrorMessage="1" prompt="Orientación: - Escoja un Eje Estratégico de la lista despegable." sqref="D9">
      <formula1>INDIRECT($F9)</formula1>
    </dataValidation>
    <dataValidation type="list" allowBlank="1" showInputMessage="1" showErrorMessage="1" prompt="Orientación: - Escoja una Política Pública/Meta Nacional de la lista despegable." sqref="C9">
      <formula1>INDIRECT($B9)</formula1>
    </dataValidation>
    <dataValidation type="list" allowBlank="1" showErrorMessage="1" sqref="D14 D26 D31 D36 D41 D46 D51 D56 D61 D66 D72 D77">
      <formula1>INDIRECT($F14)</formula1>
    </dataValidation>
    <dataValidation type="decimal" allowBlank="1" showInputMessage="1" showErrorMessage="1" prompt="DPLAN - Sólo debe ingresar valores, NO porcentajes." sqref="L9:N9 M10:M13 L36:N36 L41:N41 L46:N46 L51:N51 M52:M55 L56:N56 M57:M60 L61:N61 L66:N66 L72:N72 L77:N77">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
&amp;"Cambria,Cursiva"&amp;K0070C0Dirección de Educación Continua&amp;C&amp;"Century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prompt="Orientación: - Escoja un OEI de la lista despegable.">
          <x14:formula1>
            <xm:f>PEDI!#REF!</xm:f>
          </x14:formula1>
          <xm:sqref>F9</xm:sqref>
        </x14:dataValidation>
        <x14:dataValidation type="list" allowBlank="1" showErrorMessage="1">
          <x14:formula1>
            <xm:f>INDIRECT('Estrategias DAFO'!#REF!)</xm:f>
          </x14:formula1>
          <xm:sqref>H9 H14 H26 H31 H36 H41 H46 H51 H56 H61 H66 H72 H77</xm:sqref>
        </x14:dataValidation>
        <x14:dataValidation type="list" allowBlank="1" showErrorMessage="1">
          <x14:formula1>
            <xm:f>(PEDI!#REF!)</xm:f>
          </x14:formula1>
          <xm:sqref>G14 G26 G31 G36 G41 G46 G51 G56 G61 G66 G72 G77</xm:sqref>
        </x14:dataValidation>
        <x14:dataValidation type="list" allowBlank="1" showErrorMessage="1">
          <x14:formula1>
            <xm:f>PND!#REF!</xm:f>
          </x14:formula1>
          <xm:sqref>C14 B26:C26 B31:C31 B36:C36 B41:C41 B46:C46 B51:C51 B56:C56 B61:C61 B66:C66 B72:C72 B77:C77</xm:sqref>
        </x14:dataValidation>
        <x14:dataValidation type="list" allowBlank="1" showInputMessage="1" showErrorMessage="1" prompt="Orientación: - Escoja un Objetivo Nacional de la lista despegable.">
          <x14:formula1>
            <xm:f>PND!#REF!</xm:f>
          </x14:formula1>
          <xm:sqref>B9 B14</xm:sqref>
        </x14:dataValidation>
        <x14:dataValidation type="list" allowBlank="1" showErrorMessage="1">
          <x14:formula1>
            <xm:f>PEDI!#REF!</xm:f>
          </x14:formula1>
          <xm:sqref>F14 F26 F31 F36 F41 F46 F51 F56 F61 F66 F72 F77</xm:sqref>
        </x14:dataValidation>
        <x14:dataValidation type="list" allowBlank="1" showInputMessage="1" showErrorMessage="1" prompt="Orientación: - Escoja un Producto Institucional de la lista despegable.">
          <x14:formula1>
            <xm:f>(PEDI!#REF!)</xm:f>
          </x14:formula1>
          <xm:sqref>G9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81"/>
  <sheetViews>
    <sheetView showGridLines="0" topLeftCell="Q53" workbookViewId="0">
      <selection activeCell="AF81" sqref="AF81"/>
    </sheetView>
  </sheetViews>
  <sheetFormatPr baseColWidth="10" defaultColWidth="12.5703125" defaultRowHeight="15.75" customHeight="1"/>
  <cols>
    <col min="1" max="2" width="5" customWidth="1"/>
    <col min="3" max="12" width="22.42578125" customWidth="1"/>
    <col min="13" max="15" width="8.7109375" customWidth="1"/>
    <col min="16" max="16" width="25.7109375" customWidth="1"/>
    <col min="17" max="18" width="22.42578125" customWidth="1"/>
    <col min="19" max="19" width="18.7109375" customWidth="1"/>
    <col min="20" max="20" width="12.7109375" customWidth="1"/>
    <col min="21" max="21" width="18.7109375" customWidth="1"/>
    <col min="22" max="22" width="42.85546875" customWidth="1"/>
    <col min="23" max="23" width="12.7109375" customWidth="1"/>
    <col min="24" max="28" width="12" customWidth="1"/>
    <col min="29" max="31" width="7.7109375" customWidth="1"/>
    <col min="32" max="32" width="19.7109375" customWidth="1"/>
  </cols>
  <sheetData>
    <row r="1" spans="1:32" ht="42"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254" t="s">
        <v>1029</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39" customHeight="1">
      <c r="A9" s="4358" t="s">
        <v>1029</v>
      </c>
      <c r="B9" s="5037"/>
      <c r="C9" s="4491" t="s">
        <v>235</v>
      </c>
      <c r="D9" s="4328" t="s">
        <v>236</v>
      </c>
      <c r="E9" s="4328" t="s">
        <v>237</v>
      </c>
      <c r="F9" s="4328" t="s">
        <v>238</v>
      </c>
      <c r="G9" s="4329" t="s">
        <v>239</v>
      </c>
      <c r="H9" s="4328" t="s">
        <v>240</v>
      </c>
      <c r="I9" s="4328" t="s">
        <v>257</v>
      </c>
      <c r="J9" s="4328" t="s">
        <v>1030</v>
      </c>
      <c r="K9" s="4328" t="s">
        <v>1031</v>
      </c>
      <c r="L9" s="4328" t="s">
        <v>1032</v>
      </c>
      <c r="M9" s="5042">
        <v>4</v>
      </c>
      <c r="N9" s="5043">
        <v>4</v>
      </c>
      <c r="O9" s="5042">
        <v>4</v>
      </c>
      <c r="P9" s="4345" t="s">
        <v>5080</v>
      </c>
      <c r="Q9" s="4345" t="s">
        <v>5064</v>
      </c>
      <c r="R9" s="4346" t="s">
        <v>5081</v>
      </c>
      <c r="S9" s="3469" t="s">
        <v>11</v>
      </c>
      <c r="T9" s="3476">
        <v>840107</v>
      </c>
      <c r="U9" s="3477"/>
      <c r="V9" s="3501" t="s">
        <v>1033</v>
      </c>
      <c r="W9" s="3486"/>
      <c r="X9" s="355"/>
      <c r="Y9" s="2771"/>
      <c r="Z9" s="2771"/>
      <c r="AA9" s="2771"/>
      <c r="AB9" s="2776">
        <f>SUM($AA$10)</f>
        <v>0</v>
      </c>
      <c r="AC9" s="355"/>
      <c r="AD9" s="356"/>
      <c r="AE9" s="356"/>
      <c r="AF9" s="5023" t="s">
        <v>5061</v>
      </c>
    </row>
    <row r="10" spans="1:32" ht="39" customHeight="1">
      <c r="A10" s="4360"/>
      <c r="B10" s="5038"/>
      <c r="C10" s="4492"/>
      <c r="D10" s="4215"/>
      <c r="E10" s="4215"/>
      <c r="F10" s="4215"/>
      <c r="G10" s="4215"/>
      <c r="H10" s="4215"/>
      <c r="I10" s="4215"/>
      <c r="J10" s="4215"/>
      <c r="K10" s="4215"/>
      <c r="L10" s="4215"/>
      <c r="M10" s="4629"/>
      <c r="N10" s="4629"/>
      <c r="O10" s="4629"/>
      <c r="P10" s="4215"/>
      <c r="Q10" s="4215"/>
      <c r="R10" s="4233"/>
      <c r="S10" s="3470"/>
      <c r="T10" s="3381"/>
      <c r="U10" s="3381" t="s">
        <v>1034</v>
      </c>
      <c r="V10" s="3502" t="s">
        <v>5062</v>
      </c>
      <c r="W10" s="3487"/>
      <c r="X10" s="357" t="s">
        <v>269</v>
      </c>
      <c r="Y10" s="2774">
        <v>1627.08</v>
      </c>
      <c r="Z10" s="2774">
        <f>+W10*Y10</f>
        <v>0</v>
      </c>
      <c r="AA10" s="2774">
        <f>+Z10*1.12</f>
        <v>0</v>
      </c>
      <c r="AB10" s="2774"/>
      <c r="AC10" s="357"/>
      <c r="AD10" s="358"/>
      <c r="AE10" s="358"/>
      <c r="AF10" s="4488"/>
    </row>
    <row r="11" spans="1:32" ht="39" customHeight="1">
      <c r="A11" s="4360"/>
      <c r="B11" s="5038"/>
      <c r="C11" s="4492"/>
      <c r="D11" s="4215"/>
      <c r="E11" s="4215"/>
      <c r="F11" s="4215"/>
      <c r="G11" s="4215"/>
      <c r="H11" s="4215"/>
      <c r="I11" s="4215"/>
      <c r="J11" s="4215"/>
      <c r="K11" s="4215"/>
      <c r="L11" s="4215"/>
      <c r="M11" s="4629"/>
      <c r="N11" s="4629"/>
      <c r="O11" s="4629"/>
      <c r="P11" s="4215"/>
      <c r="Q11" s="4215"/>
      <c r="R11" s="4233"/>
      <c r="S11" s="3471"/>
      <c r="T11" s="3478"/>
      <c r="U11" s="3381"/>
      <c r="V11" s="3503"/>
      <c r="W11" s="3487"/>
      <c r="X11" s="355"/>
      <c r="Y11" s="2771"/>
      <c r="Z11" s="2774"/>
      <c r="AA11" s="2774"/>
      <c r="AB11" s="2776"/>
      <c r="AC11" s="357"/>
      <c r="AD11" s="358"/>
      <c r="AE11" s="358"/>
      <c r="AF11" s="4488"/>
    </row>
    <row r="12" spans="1:32" ht="39" customHeight="1">
      <c r="A12" s="4360"/>
      <c r="B12" s="5038"/>
      <c r="C12" s="4492"/>
      <c r="D12" s="4215"/>
      <c r="E12" s="4215"/>
      <c r="F12" s="4215"/>
      <c r="G12" s="4215"/>
      <c r="H12" s="4215"/>
      <c r="I12" s="4215"/>
      <c r="J12" s="4215"/>
      <c r="K12" s="4215"/>
      <c r="L12" s="4215"/>
      <c r="M12" s="4629"/>
      <c r="N12" s="4629"/>
      <c r="O12" s="4629"/>
      <c r="P12" s="4215"/>
      <c r="Q12" s="4215"/>
      <c r="R12" s="4233"/>
      <c r="S12" s="3472"/>
      <c r="T12" s="3479"/>
      <c r="U12" s="3381"/>
      <c r="V12" s="3502"/>
      <c r="W12" s="3487"/>
      <c r="X12" s="355"/>
      <c r="Y12" s="2771"/>
      <c r="Z12" s="2774"/>
      <c r="AA12" s="2774"/>
      <c r="AB12" s="2774"/>
      <c r="AC12" s="357"/>
      <c r="AD12" s="358"/>
      <c r="AE12" s="358"/>
      <c r="AF12" s="4488"/>
    </row>
    <row r="13" spans="1:32" ht="39" customHeight="1">
      <c r="A13" s="4360"/>
      <c r="B13" s="5038"/>
      <c r="C13" s="4493"/>
      <c r="D13" s="4216"/>
      <c r="E13" s="4216"/>
      <c r="F13" s="4216"/>
      <c r="G13" s="4216"/>
      <c r="H13" s="4216"/>
      <c r="I13" s="4216"/>
      <c r="J13" s="4216"/>
      <c r="K13" s="4216"/>
      <c r="L13" s="4216"/>
      <c r="M13" s="4630"/>
      <c r="N13" s="4630"/>
      <c r="O13" s="4630"/>
      <c r="P13" s="4216"/>
      <c r="Q13" s="4216"/>
      <c r="R13" s="4258"/>
      <c r="S13" s="3473"/>
      <c r="T13" s="3480"/>
      <c r="U13" s="3480"/>
      <c r="V13" s="3504"/>
      <c r="W13" s="3488"/>
      <c r="X13" s="361"/>
      <c r="Y13" s="2777"/>
      <c r="Z13" s="2777"/>
      <c r="AA13" s="2777"/>
      <c r="AB13" s="2779"/>
      <c r="AC13" s="361"/>
      <c r="AD13" s="354"/>
      <c r="AE13" s="354"/>
      <c r="AF13" s="4489"/>
    </row>
    <row r="14" spans="1:32" ht="50.25" customHeight="1">
      <c r="A14" s="4360"/>
      <c r="B14" s="5038"/>
      <c r="C14" s="4491" t="s">
        <v>235</v>
      </c>
      <c r="D14" s="4328" t="s">
        <v>236</v>
      </c>
      <c r="E14" s="4328" t="s">
        <v>237</v>
      </c>
      <c r="F14" s="4328" t="s">
        <v>373</v>
      </c>
      <c r="G14" s="4329" t="s">
        <v>239</v>
      </c>
      <c r="H14" s="4328" t="s">
        <v>240</v>
      </c>
      <c r="I14" s="4328" t="s">
        <v>241</v>
      </c>
      <c r="J14" s="4471" t="s">
        <v>1035</v>
      </c>
      <c r="K14" s="4665" t="s">
        <v>1036</v>
      </c>
      <c r="L14" s="4345" t="s">
        <v>1037</v>
      </c>
      <c r="M14" s="5042">
        <v>1</v>
      </c>
      <c r="N14" s="5041">
        <v>1</v>
      </c>
      <c r="O14" s="5042">
        <v>1</v>
      </c>
      <c r="P14" s="4345" t="s">
        <v>5079</v>
      </c>
      <c r="Q14" s="4345" t="s">
        <v>5065</v>
      </c>
      <c r="R14" s="4346" t="s">
        <v>5081</v>
      </c>
      <c r="S14" s="2689"/>
      <c r="T14" s="2702"/>
      <c r="U14" s="2702"/>
      <c r="V14" s="3505"/>
      <c r="W14" s="2737"/>
      <c r="X14" s="355"/>
      <c r="Y14" s="2771"/>
      <c r="Z14" s="2771"/>
      <c r="AA14" s="2771"/>
      <c r="AB14" s="2782"/>
      <c r="AC14" s="355"/>
      <c r="AD14" s="355"/>
      <c r="AE14" s="355"/>
      <c r="AF14" s="5053"/>
    </row>
    <row r="15" spans="1:32" ht="50.25" customHeight="1">
      <c r="A15" s="4360"/>
      <c r="B15" s="5038"/>
      <c r="C15" s="4492"/>
      <c r="D15" s="4215"/>
      <c r="E15" s="4215"/>
      <c r="F15" s="4215"/>
      <c r="G15" s="4215"/>
      <c r="H15" s="4215"/>
      <c r="I15" s="4215"/>
      <c r="J15" s="4449"/>
      <c r="K15" s="4660"/>
      <c r="L15" s="4215"/>
      <c r="M15" s="4629"/>
      <c r="N15" s="4629"/>
      <c r="O15" s="4629"/>
      <c r="P15" s="4215"/>
      <c r="Q15" s="4215"/>
      <c r="R15" s="4233"/>
      <c r="S15" s="2691"/>
      <c r="T15" s="2703"/>
      <c r="U15" s="2703"/>
      <c r="V15" s="3040"/>
      <c r="W15" s="2738"/>
      <c r="X15" s="357"/>
      <c r="Y15" s="2774"/>
      <c r="Z15" s="2774"/>
      <c r="AA15" s="2774"/>
      <c r="AB15" s="2776"/>
      <c r="AC15" s="357"/>
      <c r="AD15" s="357"/>
      <c r="AE15" s="357"/>
      <c r="AF15" s="4496"/>
    </row>
    <row r="16" spans="1:32" ht="50.25" customHeight="1">
      <c r="A16" s="4360"/>
      <c r="B16" s="5038"/>
      <c r="C16" s="4492"/>
      <c r="D16" s="4215"/>
      <c r="E16" s="4215"/>
      <c r="F16" s="4215"/>
      <c r="G16" s="4215"/>
      <c r="H16" s="4215"/>
      <c r="I16" s="4215"/>
      <c r="J16" s="4449"/>
      <c r="K16" s="4660"/>
      <c r="L16" s="4215"/>
      <c r="M16" s="4629"/>
      <c r="N16" s="4629"/>
      <c r="O16" s="4629"/>
      <c r="P16" s="4215"/>
      <c r="Q16" s="4215"/>
      <c r="R16" s="4233"/>
      <c r="S16" s="2691"/>
      <c r="T16" s="2703"/>
      <c r="U16" s="2703"/>
      <c r="V16" s="3040"/>
      <c r="W16" s="2738"/>
      <c r="X16" s="357"/>
      <c r="Y16" s="2774"/>
      <c r="Z16" s="2774"/>
      <c r="AA16" s="2774"/>
      <c r="AB16" s="2776"/>
      <c r="AC16" s="357"/>
      <c r="AD16" s="357"/>
      <c r="AE16" s="358"/>
      <c r="AF16" s="4496"/>
    </row>
    <row r="17" spans="1:32" ht="50.25" customHeight="1">
      <c r="A17" s="4360"/>
      <c r="B17" s="5038"/>
      <c r="C17" s="4492"/>
      <c r="D17" s="4215"/>
      <c r="E17" s="4215"/>
      <c r="F17" s="4215"/>
      <c r="G17" s="4215"/>
      <c r="H17" s="4215"/>
      <c r="I17" s="4215"/>
      <c r="J17" s="4449"/>
      <c r="K17" s="4660"/>
      <c r="L17" s="4215"/>
      <c r="M17" s="4629"/>
      <c r="N17" s="4629"/>
      <c r="O17" s="4629"/>
      <c r="P17" s="4215"/>
      <c r="Q17" s="4215"/>
      <c r="R17" s="4233"/>
      <c r="S17" s="2691"/>
      <c r="T17" s="2703"/>
      <c r="U17" s="2703"/>
      <c r="V17" s="3040"/>
      <c r="W17" s="2738"/>
      <c r="X17" s="357"/>
      <c r="Y17" s="2774"/>
      <c r="Z17" s="2774"/>
      <c r="AA17" s="2774"/>
      <c r="AB17" s="2776"/>
      <c r="AC17" s="357"/>
      <c r="AD17" s="357"/>
      <c r="AE17" s="358"/>
      <c r="AF17" s="4496"/>
    </row>
    <row r="18" spans="1:32" ht="50.25" customHeight="1">
      <c r="A18" s="4360"/>
      <c r="B18" s="5038"/>
      <c r="C18" s="4493"/>
      <c r="D18" s="4216"/>
      <c r="E18" s="4216"/>
      <c r="F18" s="4216"/>
      <c r="G18" s="4216"/>
      <c r="H18" s="4216"/>
      <c r="I18" s="4216"/>
      <c r="J18" s="4450"/>
      <c r="K18" s="4664"/>
      <c r="L18" s="4216"/>
      <c r="M18" s="4630"/>
      <c r="N18" s="4630"/>
      <c r="O18" s="4630"/>
      <c r="P18" s="4216"/>
      <c r="Q18" s="4216"/>
      <c r="R18" s="4258"/>
      <c r="S18" s="2692"/>
      <c r="T18" s="2704"/>
      <c r="U18" s="2704"/>
      <c r="V18" s="3506"/>
      <c r="W18" s="2739"/>
      <c r="X18" s="361"/>
      <c r="Y18" s="2777"/>
      <c r="Z18" s="2777"/>
      <c r="AA18" s="2777"/>
      <c r="AB18" s="2779"/>
      <c r="AC18" s="361"/>
      <c r="AD18" s="361"/>
      <c r="AE18" s="354"/>
      <c r="AF18" s="4497"/>
    </row>
    <row r="19" spans="1:32" ht="37.5" customHeight="1">
      <c r="A19" s="4360"/>
      <c r="B19" s="5038"/>
      <c r="C19" s="4494" t="s">
        <v>235</v>
      </c>
      <c r="D19" s="4273" t="s">
        <v>236</v>
      </c>
      <c r="E19" s="4273" t="s">
        <v>237</v>
      </c>
      <c r="F19" s="4273" t="s">
        <v>238</v>
      </c>
      <c r="G19" s="4338" t="s">
        <v>239</v>
      </c>
      <c r="H19" s="4273" t="s">
        <v>240</v>
      </c>
      <c r="I19" s="4273" t="s">
        <v>257</v>
      </c>
      <c r="J19" s="4808" t="s">
        <v>1038</v>
      </c>
      <c r="K19" s="4328" t="s">
        <v>1039</v>
      </c>
      <c r="L19" s="4273" t="s">
        <v>1040</v>
      </c>
      <c r="M19" s="5041">
        <v>2</v>
      </c>
      <c r="N19" s="5041">
        <v>2</v>
      </c>
      <c r="O19" s="5041">
        <v>2</v>
      </c>
      <c r="P19" s="4228" t="s">
        <v>5078</v>
      </c>
      <c r="Q19" s="4228" t="s">
        <v>5066</v>
      </c>
      <c r="R19" s="4322" t="s">
        <v>5081</v>
      </c>
      <c r="S19" s="3367"/>
      <c r="T19" s="3481"/>
      <c r="U19" s="3380"/>
      <c r="V19" s="3507"/>
      <c r="W19" s="3486"/>
      <c r="X19" s="355"/>
      <c r="Y19" s="2771"/>
      <c r="Z19" s="2771"/>
      <c r="AA19" s="2771"/>
      <c r="AB19" s="2782"/>
      <c r="AC19" s="355"/>
      <c r="AD19" s="356"/>
      <c r="AE19" s="356"/>
      <c r="AF19" s="5049"/>
    </row>
    <row r="20" spans="1:32" ht="37.5" customHeight="1">
      <c r="A20" s="4360"/>
      <c r="B20" s="5038"/>
      <c r="C20" s="4492"/>
      <c r="D20" s="4215"/>
      <c r="E20" s="4215"/>
      <c r="F20" s="4215"/>
      <c r="G20" s="4215"/>
      <c r="H20" s="4215"/>
      <c r="I20" s="4215"/>
      <c r="J20" s="4331"/>
      <c r="K20" s="4215"/>
      <c r="L20" s="4215"/>
      <c r="M20" s="4629"/>
      <c r="N20" s="4629"/>
      <c r="O20" s="4629"/>
      <c r="P20" s="4215"/>
      <c r="Q20" s="4215"/>
      <c r="R20" s="4233"/>
      <c r="S20" s="2690"/>
      <c r="T20" s="3482"/>
      <c r="U20" s="3381"/>
      <c r="V20" s="3503"/>
      <c r="W20" s="3487"/>
      <c r="X20" s="357"/>
      <c r="Y20" s="2774"/>
      <c r="Z20" s="2774"/>
      <c r="AA20" s="2774"/>
      <c r="AB20" s="2776"/>
      <c r="AC20" s="357"/>
      <c r="AD20" s="358"/>
      <c r="AE20" s="358"/>
      <c r="AF20" s="4496"/>
    </row>
    <row r="21" spans="1:32" ht="37.5" customHeight="1">
      <c r="A21" s="4360"/>
      <c r="B21" s="5038"/>
      <c r="C21" s="4492"/>
      <c r="D21" s="4215"/>
      <c r="E21" s="4215"/>
      <c r="F21" s="4215"/>
      <c r="G21" s="4215"/>
      <c r="H21" s="4215"/>
      <c r="I21" s="4215"/>
      <c r="J21" s="4331"/>
      <c r="K21" s="4215"/>
      <c r="L21" s="4215"/>
      <c r="M21" s="4629"/>
      <c r="N21" s="4629"/>
      <c r="O21" s="4629"/>
      <c r="P21" s="4215"/>
      <c r="Q21" s="4215"/>
      <c r="R21" s="4233"/>
      <c r="S21" s="2691"/>
      <c r="T21" s="3482"/>
      <c r="U21" s="3381"/>
      <c r="V21" s="3502"/>
      <c r="W21" s="3487"/>
      <c r="X21" s="357"/>
      <c r="Y21" s="2774"/>
      <c r="Z21" s="2774"/>
      <c r="AA21" s="2774"/>
      <c r="AB21" s="2776"/>
      <c r="AC21" s="357"/>
      <c r="AD21" s="358"/>
      <c r="AE21" s="358"/>
      <c r="AF21" s="4496"/>
    </row>
    <row r="22" spans="1:32" ht="37.5" customHeight="1">
      <c r="A22" s="4360"/>
      <c r="B22" s="5038"/>
      <c r="C22" s="4492"/>
      <c r="D22" s="4215"/>
      <c r="E22" s="4215"/>
      <c r="F22" s="4215"/>
      <c r="G22" s="4215"/>
      <c r="H22" s="4215"/>
      <c r="I22" s="4215"/>
      <c r="J22" s="4331"/>
      <c r="K22" s="4215"/>
      <c r="L22" s="4215"/>
      <c r="M22" s="4629"/>
      <c r="N22" s="4629"/>
      <c r="O22" s="4629"/>
      <c r="P22" s="4215"/>
      <c r="Q22" s="4215"/>
      <c r="R22" s="4233"/>
      <c r="S22" s="2691"/>
      <c r="T22" s="3483"/>
      <c r="U22" s="3484"/>
      <c r="V22" s="3508"/>
      <c r="W22" s="3489"/>
      <c r="X22" s="357"/>
      <c r="Y22" s="2774"/>
      <c r="Z22" s="2774"/>
      <c r="AA22" s="2774"/>
      <c r="AB22" s="2776"/>
      <c r="AC22" s="357"/>
      <c r="AD22" s="358"/>
      <c r="AE22" s="358"/>
      <c r="AF22" s="4496"/>
    </row>
    <row r="23" spans="1:32" ht="37.5" customHeight="1">
      <c r="A23" s="4360"/>
      <c r="B23" s="5038"/>
      <c r="C23" s="4493"/>
      <c r="D23" s="4216"/>
      <c r="E23" s="4216"/>
      <c r="F23" s="4216"/>
      <c r="G23" s="4216"/>
      <c r="H23" s="4216"/>
      <c r="I23" s="4216"/>
      <c r="J23" s="4332"/>
      <c r="K23" s="4216"/>
      <c r="L23" s="4216"/>
      <c r="M23" s="4630"/>
      <c r="N23" s="4630"/>
      <c r="O23" s="4630"/>
      <c r="P23" s="4216"/>
      <c r="Q23" s="4216"/>
      <c r="R23" s="4258"/>
      <c r="S23" s="2692"/>
      <c r="T23" s="2704"/>
      <c r="U23" s="2706"/>
      <c r="V23" s="3509"/>
      <c r="W23" s="2741"/>
      <c r="X23" s="353"/>
      <c r="Y23" s="2783"/>
      <c r="Z23" s="2777"/>
      <c r="AA23" s="2777"/>
      <c r="AB23" s="2784"/>
      <c r="AC23" s="353"/>
      <c r="AD23" s="1179"/>
      <c r="AE23" s="1179"/>
      <c r="AF23" s="4497"/>
    </row>
    <row r="24" spans="1:32" ht="30.75" customHeight="1">
      <c r="A24" s="4360"/>
      <c r="B24" s="5038"/>
      <c r="C24" s="4494" t="s">
        <v>235</v>
      </c>
      <c r="D24" s="4273" t="s">
        <v>236</v>
      </c>
      <c r="E24" s="4273" t="s">
        <v>237</v>
      </c>
      <c r="F24" s="4273" t="s">
        <v>355</v>
      </c>
      <c r="G24" s="4338" t="s">
        <v>239</v>
      </c>
      <c r="H24" s="4273" t="s">
        <v>240</v>
      </c>
      <c r="I24" s="4273" t="s">
        <v>241</v>
      </c>
      <c r="J24" s="4631" t="s">
        <v>1041</v>
      </c>
      <c r="K24" s="4273" t="s">
        <v>1042</v>
      </c>
      <c r="L24" s="4273" t="s">
        <v>1043</v>
      </c>
      <c r="M24" s="5041">
        <v>0</v>
      </c>
      <c r="N24" s="5041">
        <v>1</v>
      </c>
      <c r="O24" s="5041">
        <v>1</v>
      </c>
      <c r="P24" s="4228" t="s">
        <v>5077</v>
      </c>
      <c r="Q24" s="4228" t="s">
        <v>5067</v>
      </c>
      <c r="R24" s="4322" t="s">
        <v>5081</v>
      </c>
      <c r="S24" s="2689"/>
      <c r="T24" s="2702"/>
      <c r="U24" s="2702"/>
      <c r="V24" s="3038"/>
      <c r="W24" s="2740"/>
      <c r="X24" s="363"/>
      <c r="Y24" s="2780"/>
      <c r="Z24" s="2771"/>
      <c r="AA24" s="2771"/>
      <c r="AB24" s="2773"/>
      <c r="AC24" s="363"/>
      <c r="AD24" s="367"/>
      <c r="AE24" s="367"/>
      <c r="AF24" s="5049"/>
    </row>
    <row r="25" spans="1:32" ht="30.75" customHeight="1">
      <c r="A25" s="4360"/>
      <c r="B25" s="5038"/>
      <c r="C25" s="4492"/>
      <c r="D25" s="4215"/>
      <c r="E25" s="4215"/>
      <c r="F25" s="4215"/>
      <c r="G25" s="4215"/>
      <c r="H25" s="4215"/>
      <c r="I25" s="4215"/>
      <c r="J25" s="4331"/>
      <c r="K25" s="4215"/>
      <c r="L25" s="4215"/>
      <c r="M25" s="4629"/>
      <c r="N25" s="4629"/>
      <c r="O25" s="4629"/>
      <c r="P25" s="4215"/>
      <c r="Q25" s="4215"/>
      <c r="R25" s="4233"/>
      <c r="S25" s="2691"/>
      <c r="T25" s="2703"/>
      <c r="U25" s="2703"/>
      <c r="V25" s="3040"/>
      <c r="W25" s="2738"/>
      <c r="X25" s="357"/>
      <c r="Y25" s="2774"/>
      <c r="Z25" s="2774"/>
      <c r="AA25" s="2774"/>
      <c r="AB25" s="2776"/>
      <c r="AC25" s="357"/>
      <c r="AD25" s="358"/>
      <c r="AE25" s="358"/>
      <c r="AF25" s="4496"/>
    </row>
    <row r="26" spans="1:32" ht="30.75" customHeight="1">
      <c r="A26" s="4360"/>
      <c r="B26" s="5038"/>
      <c r="C26" s="4492"/>
      <c r="D26" s="4215"/>
      <c r="E26" s="4215"/>
      <c r="F26" s="4215"/>
      <c r="G26" s="4215"/>
      <c r="H26" s="4215"/>
      <c r="I26" s="4215"/>
      <c r="J26" s="4331"/>
      <c r="K26" s="4215"/>
      <c r="L26" s="4215"/>
      <c r="M26" s="4629"/>
      <c r="N26" s="4629"/>
      <c r="O26" s="4629"/>
      <c r="P26" s="4215"/>
      <c r="Q26" s="4215"/>
      <c r="R26" s="4233"/>
      <c r="S26" s="2691"/>
      <c r="T26" s="2703"/>
      <c r="U26" s="2703"/>
      <c r="V26" s="3040"/>
      <c r="W26" s="2738"/>
      <c r="X26" s="357"/>
      <c r="Y26" s="2774"/>
      <c r="Z26" s="2774"/>
      <c r="AA26" s="2774"/>
      <c r="AB26" s="2776"/>
      <c r="AC26" s="357"/>
      <c r="AD26" s="358"/>
      <c r="AE26" s="358"/>
      <c r="AF26" s="4496"/>
    </row>
    <row r="27" spans="1:32" ht="30.75" customHeight="1">
      <c r="A27" s="4360"/>
      <c r="B27" s="5038"/>
      <c r="C27" s="4492"/>
      <c r="D27" s="4215"/>
      <c r="E27" s="4215"/>
      <c r="F27" s="4215"/>
      <c r="G27" s="4215"/>
      <c r="H27" s="4215"/>
      <c r="I27" s="4215"/>
      <c r="J27" s="4331"/>
      <c r="K27" s="4215"/>
      <c r="L27" s="4215"/>
      <c r="M27" s="4629"/>
      <c r="N27" s="4629"/>
      <c r="O27" s="4629"/>
      <c r="P27" s="4215"/>
      <c r="Q27" s="4215"/>
      <c r="R27" s="4233"/>
      <c r="S27" s="2691"/>
      <c r="T27" s="2703"/>
      <c r="U27" s="2703"/>
      <c r="V27" s="3040"/>
      <c r="W27" s="2738"/>
      <c r="X27" s="357"/>
      <c r="Y27" s="2774"/>
      <c r="Z27" s="2774"/>
      <c r="AA27" s="2774"/>
      <c r="AB27" s="2776"/>
      <c r="AC27" s="357"/>
      <c r="AD27" s="358"/>
      <c r="AE27" s="358"/>
      <c r="AF27" s="4496"/>
    </row>
    <row r="28" spans="1:32" ht="30.75" customHeight="1">
      <c r="A28" s="4360"/>
      <c r="B28" s="5038"/>
      <c r="C28" s="4493"/>
      <c r="D28" s="4216"/>
      <c r="E28" s="4216"/>
      <c r="F28" s="4216"/>
      <c r="G28" s="4216"/>
      <c r="H28" s="4216"/>
      <c r="I28" s="4216"/>
      <c r="J28" s="4332"/>
      <c r="K28" s="4216"/>
      <c r="L28" s="4216"/>
      <c r="M28" s="4630"/>
      <c r="N28" s="4630"/>
      <c r="O28" s="4630"/>
      <c r="P28" s="4216"/>
      <c r="Q28" s="4216"/>
      <c r="R28" s="4258"/>
      <c r="S28" s="2692"/>
      <c r="T28" s="2704"/>
      <c r="U28" s="2704"/>
      <c r="V28" s="3506"/>
      <c r="W28" s="2739"/>
      <c r="X28" s="361"/>
      <c r="Y28" s="2777"/>
      <c r="Z28" s="2777"/>
      <c r="AA28" s="2777"/>
      <c r="AB28" s="2779"/>
      <c r="AC28" s="361"/>
      <c r="AD28" s="354"/>
      <c r="AE28" s="354"/>
      <c r="AF28" s="4497"/>
    </row>
    <row r="29" spans="1:32" ht="38.25" customHeight="1">
      <c r="A29" s="4360"/>
      <c r="B29" s="5038"/>
      <c r="C29" s="4494" t="s">
        <v>235</v>
      </c>
      <c r="D29" s="4273" t="s">
        <v>236</v>
      </c>
      <c r="E29" s="4273" t="s">
        <v>237</v>
      </c>
      <c r="F29" s="4273" t="s">
        <v>238</v>
      </c>
      <c r="G29" s="4338" t="s">
        <v>239</v>
      </c>
      <c r="H29" s="4273" t="s">
        <v>240</v>
      </c>
      <c r="I29" s="4273" t="s">
        <v>257</v>
      </c>
      <c r="J29" s="4631" t="s">
        <v>1044</v>
      </c>
      <c r="K29" s="5031" t="s">
        <v>1045</v>
      </c>
      <c r="L29" s="4273" t="s">
        <v>1046</v>
      </c>
      <c r="M29" s="5041">
        <v>2</v>
      </c>
      <c r="N29" s="5041">
        <v>2</v>
      </c>
      <c r="O29" s="5041">
        <v>2</v>
      </c>
      <c r="P29" s="4228" t="s">
        <v>5076</v>
      </c>
      <c r="Q29" s="4228" t="s">
        <v>5068</v>
      </c>
      <c r="R29" s="4322" t="s">
        <v>5081</v>
      </c>
      <c r="S29" s="3364"/>
      <c r="T29" s="3476"/>
      <c r="U29" s="3380"/>
      <c r="V29" s="3507"/>
      <c r="W29" s="3490"/>
      <c r="X29" s="328"/>
      <c r="Y29" s="3493"/>
      <c r="Z29" s="3416"/>
      <c r="AA29" s="3416"/>
      <c r="AB29" s="3494"/>
      <c r="AC29" s="328"/>
      <c r="AD29" s="329"/>
      <c r="AE29" s="329"/>
      <c r="AF29" s="5050"/>
    </row>
    <row r="30" spans="1:32" ht="38.25" customHeight="1">
      <c r="A30" s="4360"/>
      <c r="B30" s="5038"/>
      <c r="C30" s="4492"/>
      <c r="D30" s="4215"/>
      <c r="E30" s="4215"/>
      <c r="F30" s="4215"/>
      <c r="G30" s="4215"/>
      <c r="H30" s="4215"/>
      <c r="I30" s="4215"/>
      <c r="J30" s="4331"/>
      <c r="K30" s="4215"/>
      <c r="L30" s="4215"/>
      <c r="M30" s="4629"/>
      <c r="N30" s="4629"/>
      <c r="O30" s="4629"/>
      <c r="P30" s="4215"/>
      <c r="Q30" s="4215"/>
      <c r="R30" s="4233"/>
      <c r="S30" s="3470"/>
      <c r="T30" s="3381"/>
      <c r="U30" s="3381"/>
      <c r="V30" s="3502"/>
      <c r="W30" s="3406"/>
      <c r="X30" s="539"/>
      <c r="Y30" s="3418"/>
      <c r="Z30" s="3418"/>
      <c r="AA30" s="3418"/>
      <c r="AB30" s="3419"/>
      <c r="AC30" s="539"/>
      <c r="AD30" s="541"/>
      <c r="AE30" s="541"/>
      <c r="AF30" s="5051"/>
    </row>
    <row r="31" spans="1:32" ht="38.25" customHeight="1">
      <c r="A31" s="4360"/>
      <c r="B31" s="5038"/>
      <c r="C31" s="4492"/>
      <c r="D31" s="4215"/>
      <c r="E31" s="4215"/>
      <c r="F31" s="4215"/>
      <c r="G31" s="4215"/>
      <c r="H31" s="4215"/>
      <c r="I31" s="4215"/>
      <c r="J31" s="4331"/>
      <c r="K31" s="4215"/>
      <c r="L31" s="4215"/>
      <c r="M31" s="4629"/>
      <c r="N31" s="4629"/>
      <c r="O31" s="4629"/>
      <c r="P31" s="4215"/>
      <c r="Q31" s="4215"/>
      <c r="R31" s="4233"/>
      <c r="S31" s="3470"/>
      <c r="T31" s="3381"/>
      <c r="U31" s="3381"/>
      <c r="V31" s="3502"/>
      <c r="W31" s="3406"/>
      <c r="X31" s="539"/>
      <c r="Y31" s="3418"/>
      <c r="Z31" s="3418"/>
      <c r="AA31" s="3418"/>
      <c r="AB31" s="3419"/>
      <c r="AC31" s="539"/>
      <c r="AD31" s="541"/>
      <c r="AE31" s="541"/>
      <c r="AF31" s="5051"/>
    </row>
    <row r="32" spans="1:32" ht="38.25" customHeight="1">
      <c r="A32" s="4360"/>
      <c r="B32" s="5038"/>
      <c r="C32" s="4492"/>
      <c r="D32" s="4215"/>
      <c r="E32" s="4215"/>
      <c r="F32" s="4215"/>
      <c r="G32" s="4215"/>
      <c r="H32" s="4215"/>
      <c r="I32" s="4215"/>
      <c r="J32" s="4331"/>
      <c r="K32" s="4215"/>
      <c r="L32" s="4215"/>
      <c r="M32" s="4629"/>
      <c r="N32" s="4629"/>
      <c r="O32" s="4629"/>
      <c r="P32" s="4215"/>
      <c r="Q32" s="4215"/>
      <c r="R32" s="4233"/>
      <c r="S32" s="3470"/>
      <c r="T32" s="3381"/>
      <c r="U32" s="3381"/>
      <c r="V32" s="3502"/>
      <c r="W32" s="3406"/>
      <c r="X32" s="539"/>
      <c r="Y32" s="3418"/>
      <c r="Z32" s="3418"/>
      <c r="AA32" s="3418"/>
      <c r="AB32" s="3419"/>
      <c r="AC32" s="539"/>
      <c r="AD32" s="541"/>
      <c r="AE32" s="541"/>
      <c r="AF32" s="5051"/>
    </row>
    <row r="33" spans="1:32" ht="38.25" customHeight="1">
      <c r="A33" s="5039"/>
      <c r="B33" s="5040"/>
      <c r="C33" s="4493"/>
      <c r="D33" s="4216"/>
      <c r="E33" s="4216"/>
      <c r="F33" s="4216"/>
      <c r="G33" s="4216"/>
      <c r="H33" s="4216"/>
      <c r="I33" s="4216"/>
      <c r="J33" s="4332"/>
      <c r="K33" s="4216"/>
      <c r="L33" s="4216"/>
      <c r="M33" s="4630"/>
      <c r="N33" s="4630"/>
      <c r="O33" s="4630"/>
      <c r="P33" s="4216"/>
      <c r="Q33" s="4216"/>
      <c r="R33" s="4258"/>
      <c r="S33" s="3473"/>
      <c r="T33" s="3480"/>
      <c r="U33" s="3480"/>
      <c r="V33" s="3504"/>
      <c r="W33" s="3491"/>
      <c r="X33" s="339"/>
      <c r="Y33" s="3495"/>
      <c r="Z33" s="3495"/>
      <c r="AA33" s="3495"/>
      <c r="AB33" s="3496"/>
      <c r="AC33" s="339"/>
      <c r="AD33" s="330"/>
      <c r="AE33" s="330"/>
      <c r="AF33" s="5052"/>
    </row>
    <row r="34" spans="1:32" ht="35.25" customHeight="1">
      <c r="A34" s="5044" t="s">
        <v>1029</v>
      </c>
      <c r="B34" s="5045"/>
      <c r="C34" s="4494" t="s">
        <v>235</v>
      </c>
      <c r="D34" s="4273" t="s">
        <v>236</v>
      </c>
      <c r="E34" s="4273" t="s">
        <v>237</v>
      </c>
      <c r="F34" s="4273" t="s">
        <v>238</v>
      </c>
      <c r="G34" s="4338" t="s">
        <v>239</v>
      </c>
      <c r="H34" s="4273" t="s">
        <v>240</v>
      </c>
      <c r="I34" s="4273" t="s">
        <v>257</v>
      </c>
      <c r="J34" s="4631" t="s">
        <v>1047</v>
      </c>
      <c r="K34" s="4273" t="s">
        <v>1048</v>
      </c>
      <c r="L34" s="4273" t="s">
        <v>1049</v>
      </c>
      <c r="M34" s="5041">
        <v>2</v>
      </c>
      <c r="N34" s="5041">
        <v>2</v>
      </c>
      <c r="O34" s="5041">
        <v>2</v>
      </c>
      <c r="P34" s="4228" t="s">
        <v>5075</v>
      </c>
      <c r="Q34" s="4228" t="s">
        <v>5069</v>
      </c>
      <c r="R34" s="4322" t="s">
        <v>5081</v>
      </c>
      <c r="S34" s="3469" t="s">
        <v>11</v>
      </c>
      <c r="T34" s="3380">
        <v>531404</v>
      </c>
      <c r="U34" s="3380"/>
      <c r="V34" s="3501" t="s">
        <v>24</v>
      </c>
      <c r="W34" s="3405"/>
      <c r="X34" s="1969"/>
      <c r="Y34" s="3416"/>
      <c r="Z34" s="3416"/>
      <c r="AA34" s="3416"/>
      <c r="AB34" s="3497">
        <f>SUM($AA$35:$AA$35)</f>
        <v>56000.000000000007</v>
      </c>
      <c r="AC34" s="1969"/>
      <c r="AD34" s="1970"/>
      <c r="AE34" s="1970"/>
      <c r="AF34" s="5050"/>
    </row>
    <row r="35" spans="1:32" ht="35.25" customHeight="1">
      <c r="A35" s="4360"/>
      <c r="B35" s="5038"/>
      <c r="C35" s="4492"/>
      <c r="D35" s="4215"/>
      <c r="E35" s="4215"/>
      <c r="F35" s="4215"/>
      <c r="G35" s="4215"/>
      <c r="H35" s="4215"/>
      <c r="I35" s="4215"/>
      <c r="J35" s="4331"/>
      <c r="K35" s="4215"/>
      <c r="L35" s="4215"/>
      <c r="M35" s="4629"/>
      <c r="N35" s="4629"/>
      <c r="O35" s="4629"/>
      <c r="P35" s="4215"/>
      <c r="Q35" s="4215"/>
      <c r="R35" s="4233"/>
      <c r="S35" s="3470"/>
      <c r="T35" s="3381"/>
      <c r="U35" s="3381" t="s">
        <v>1050</v>
      </c>
      <c r="V35" s="3502" t="s">
        <v>1051</v>
      </c>
      <c r="W35" s="3406">
        <v>1</v>
      </c>
      <c r="X35" s="3492" t="s">
        <v>269</v>
      </c>
      <c r="Y35" s="3418">
        <v>50000</v>
      </c>
      <c r="Z35" s="3418">
        <f>+W35*Y35</f>
        <v>50000</v>
      </c>
      <c r="AA35" s="3418">
        <f>+Z35*1.12</f>
        <v>56000.000000000007</v>
      </c>
      <c r="AB35" s="3498"/>
      <c r="AC35" s="539"/>
      <c r="AD35" s="541"/>
      <c r="AE35" s="541"/>
      <c r="AF35" s="5051"/>
    </row>
    <row r="36" spans="1:32" ht="51">
      <c r="A36" s="4360"/>
      <c r="B36" s="5038"/>
      <c r="C36" s="4492"/>
      <c r="D36" s="4215"/>
      <c r="E36" s="4215"/>
      <c r="F36" s="4215"/>
      <c r="G36" s="4215"/>
      <c r="H36" s="4215"/>
      <c r="I36" s="4215"/>
      <c r="J36" s="4331"/>
      <c r="K36" s="4215"/>
      <c r="L36" s="4215"/>
      <c r="M36" s="4629"/>
      <c r="N36" s="4629"/>
      <c r="O36" s="4629"/>
      <c r="P36" s="4215"/>
      <c r="Q36" s="4215"/>
      <c r="R36" s="4233"/>
      <c r="S36" s="3471" t="s">
        <v>11</v>
      </c>
      <c r="T36" s="3485">
        <v>530204</v>
      </c>
      <c r="U36" s="3381"/>
      <c r="V36" s="3503" t="s">
        <v>26</v>
      </c>
      <c r="W36" s="3406"/>
      <c r="X36" s="539"/>
      <c r="Y36" s="3418"/>
      <c r="Z36" s="3418"/>
      <c r="AA36" s="3418"/>
      <c r="AB36" s="3419">
        <f>SUM($AA$37:$AA$37)</f>
        <v>234.08</v>
      </c>
      <c r="AC36" s="539"/>
      <c r="AD36" s="541" t="s">
        <v>251</v>
      </c>
      <c r="AE36" s="541"/>
      <c r="AF36" s="5051"/>
    </row>
    <row r="37" spans="1:32" ht="35.25" customHeight="1">
      <c r="A37" s="4360"/>
      <c r="B37" s="5038"/>
      <c r="C37" s="4492"/>
      <c r="D37" s="4215"/>
      <c r="E37" s="4215"/>
      <c r="F37" s="4215"/>
      <c r="G37" s="4215"/>
      <c r="H37" s="4215"/>
      <c r="I37" s="4215"/>
      <c r="J37" s="4331"/>
      <c r="K37" s="4215"/>
      <c r="L37" s="4215"/>
      <c r="M37" s="4629"/>
      <c r="N37" s="4629"/>
      <c r="O37" s="4629"/>
      <c r="P37" s="4215"/>
      <c r="Q37" s="4215"/>
      <c r="R37" s="4233"/>
      <c r="S37" s="3470"/>
      <c r="T37" s="3381"/>
      <c r="U37" s="3381">
        <v>452300054</v>
      </c>
      <c r="V37" s="3502" t="s">
        <v>5063</v>
      </c>
      <c r="W37" s="3406">
        <v>100</v>
      </c>
      <c r="X37" s="539" t="s">
        <v>269</v>
      </c>
      <c r="Y37" s="3418">
        <v>2.09</v>
      </c>
      <c r="Z37" s="3418">
        <f t="shared" ref="Z37" si="0">+Y37*W37</f>
        <v>209</v>
      </c>
      <c r="AA37" s="3418">
        <f t="shared" ref="AA37" si="1">+Z37*1.12</f>
        <v>234.08</v>
      </c>
      <c r="AB37" s="3419"/>
      <c r="AC37" s="539"/>
      <c r="AD37" s="541" t="s">
        <v>251</v>
      </c>
      <c r="AE37" s="541"/>
      <c r="AF37" s="5051"/>
    </row>
    <row r="38" spans="1:32" ht="35.25" customHeight="1">
      <c r="A38" s="4360"/>
      <c r="B38" s="5038"/>
      <c r="C38" s="4493"/>
      <c r="D38" s="4216"/>
      <c r="E38" s="4216"/>
      <c r="F38" s="4216"/>
      <c r="G38" s="4216"/>
      <c r="H38" s="4216"/>
      <c r="I38" s="4216"/>
      <c r="J38" s="4332"/>
      <c r="K38" s="4216"/>
      <c r="L38" s="4216"/>
      <c r="M38" s="4630"/>
      <c r="N38" s="4630"/>
      <c r="O38" s="4630"/>
      <c r="P38" s="4216"/>
      <c r="Q38" s="4216"/>
      <c r="R38" s="4258"/>
      <c r="S38" s="3473"/>
      <c r="T38" s="3480"/>
      <c r="U38" s="3480"/>
      <c r="V38" s="3510"/>
      <c r="W38" s="3491"/>
      <c r="X38" s="339"/>
      <c r="Y38" s="3499"/>
      <c r="Z38" s="3495"/>
      <c r="AA38" s="3495"/>
      <c r="AB38" s="3500"/>
      <c r="AC38" s="325"/>
      <c r="AD38" s="326"/>
      <c r="AE38" s="326"/>
      <c r="AF38" s="5052"/>
    </row>
    <row r="39" spans="1:32" ht="30.75" customHeight="1">
      <c r="A39" s="4360"/>
      <c r="B39" s="5038"/>
      <c r="C39" s="4494" t="s">
        <v>235</v>
      </c>
      <c r="D39" s="4273" t="s">
        <v>236</v>
      </c>
      <c r="E39" s="4273" t="s">
        <v>237</v>
      </c>
      <c r="F39" s="4273" t="s">
        <v>326</v>
      </c>
      <c r="G39" s="4338" t="s">
        <v>239</v>
      </c>
      <c r="H39" s="4273" t="s">
        <v>240</v>
      </c>
      <c r="I39" s="4273" t="s">
        <v>257</v>
      </c>
      <c r="J39" s="4631" t="s">
        <v>1052</v>
      </c>
      <c r="K39" s="5031" t="s">
        <v>1053</v>
      </c>
      <c r="L39" s="4273" t="s">
        <v>1054</v>
      </c>
      <c r="M39" s="5041">
        <v>2</v>
      </c>
      <c r="N39" s="5041">
        <v>2</v>
      </c>
      <c r="O39" s="5041">
        <v>2</v>
      </c>
      <c r="P39" s="4228" t="s">
        <v>5074</v>
      </c>
      <c r="Q39" s="4228" t="s">
        <v>5070</v>
      </c>
      <c r="R39" s="4322" t="s">
        <v>5081</v>
      </c>
      <c r="S39" s="2689"/>
      <c r="T39" s="2702"/>
      <c r="U39" s="2702"/>
      <c r="V39" s="3038"/>
      <c r="W39" s="2740"/>
      <c r="X39" s="363"/>
      <c r="Y39" s="2780"/>
      <c r="Z39" s="2771"/>
      <c r="AA39" s="2771"/>
      <c r="AB39" s="2773"/>
      <c r="AC39" s="363"/>
      <c r="AD39" s="367"/>
      <c r="AE39" s="367"/>
      <c r="AF39" s="5049"/>
    </row>
    <row r="40" spans="1:32" ht="30.75" customHeight="1">
      <c r="A40" s="4360"/>
      <c r="B40" s="5038"/>
      <c r="C40" s="4492"/>
      <c r="D40" s="4215"/>
      <c r="E40" s="4215"/>
      <c r="F40" s="4215"/>
      <c r="G40" s="4215"/>
      <c r="H40" s="4215"/>
      <c r="I40" s="4215"/>
      <c r="J40" s="4331"/>
      <c r="K40" s="4215"/>
      <c r="L40" s="4215"/>
      <c r="M40" s="4629"/>
      <c r="N40" s="4629"/>
      <c r="O40" s="4629"/>
      <c r="P40" s="4215"/>
      <c r="Q40" s="4215"/>
      <c r="R40" s="4233"/>
      <c r="S40" s="2691"/>
      <c r="T40" s="2703"/>
      <c r="U40" s="2703"/>
      <c r="V40" s="3040"/>
      <c r="W40" s="2738"/>
      <c r="X40" s="357"/>
      <c r="Y40" s="2774"/>
      <c r="Z40" s="2774"/>
      <c r="AA40" s="2774"/>
      <c r="AB40" s="2776"/>
      <c r="AC40" s="357"/>
      <c r="AD40" s="358"/>
      <c r="AE40" s="358"/>
      <c r="AF40" s="4496"/>
    </row>
    <row r="41" spans="1:32" ht="30.75" customHeight="1">
      <c r="A41" s="4360"/>
      <c r="B41" s="5038"/>
      <c r="C41" s="4492"/>
      <c r="D41" s="4215"/>
      <c r="E41" s="4215"/>
      <c r="F41" s="4215"/>
      <c r="G41" s="4215"/>
      <c r="H41" s="4215"/>
      <c r="I41" s="4215"/>
      <c r="J41" s="4331"/>
      <c r="K41" s="4215"/>
      <c r="L41" s="4215"/>
      <c r="M41" s="4629"/>
      <c r="N41" s="4629"/>
      <c r="O41" s="4629"/>
      <c r="P41" s="4215"/>
      <c r="Q41" s="4215"/>
      <c r="R41" s="4233"/>
      <c r="S41" s="2691"/>
      <c r="T41" s="2703"/>
      <c r="U41" s="2703"/>
      <c r="V41" s="3040"/>
      <c r="W41" s="2738"/>
      <c r="X41" s="357"/>
      <c r="Y41" s="2774"/>
      <c r="Z41" s="2774"/>
      <c r="AA41" s="2774"/>
      <c r="AB41" s="2776"/>
      <c r="AC41" s="357"/>
      <c r="AD41" s="358"/>
      <c r="AE41" s="358"/>
      <c r="AF41" s="4496"/>
    </row>
    <row r="42" spans="1:32" ht="30.75" customHeight="1">
      <c r="A42" s="4360"/>
      <c r="B42" s="5038"/>
      <c r="C42" s="4492"/>
      <c r="D42" s="4215"/>
      <c r="E42" s="4215"/>
      <c r="F42" s="4215"/>
      <c r="G42" s="4215"/>
      <c r="H42" s="4215"/>
      <c r="I42" s="4215"/>
      <c r="J42" s="4331"/>
      <c r="K42" s="4215"/>
      <c r="L42" s="4215"/>
      <c r="M42" s="4629"/>
      <c r="N42" s="4629"/>
      <c r="O42" s="4629"/>
      <c r="P42" s="4215"/>
      <c r="Q42" s="4215"/>
      <c r="R42" s="4233"/>
      <c r="S42" s="2691"/>
      <c r="T42" s="2703"/>
      <c r="U42" s="2703"/>
      <c r="V42" s="3040"/>
      <c r="W42" s="2738"/>
      <c r="X42" s="357"/>
      <c r="Y42" s="2774"/>
      <c r="Z42" s="2774"/>
      <c r="AA42" s="2774"/>
      <c r="AB42" s="2776"/>
      <c r="AC42" s="357"/>
      <c r="AD42" s="358"/>
      <c r="AE42" s="358"/>
      <c r="AF42" s="4496"/>
    </row>
    <row r="43" spans="1:32" ht="30.75" customHeight="1">
      <c r="A43" s="4360"/>
      <c r="B43" s="5038"/>
      <c r="C43" s="4493"/>
      <c r="D43" s="4216"/>
      <c r="E43" s="4216"/>
      <c r="F43" s="4216"/>
      <c r="G43" s="4216"/>
      <c r="H43" s="4216"/>
      <c r="I43" s="4216"/>
      <c r="J43" s="4332"/>
      <c r="K43" s="4216"/>
      <c r="L43" s="4216"/>
      <c r="M43" s="4630"/>
      <c r="N43" s="4630"/>
      <c r="O43" s="4630"/>
      <c r="P43" s="4216"/>
      <c r="Q43" s="4216"/>
      <c r="R43" s="4258"/>
      <c r="S43" s="2692"/>
      <c r="T43" s="2704"/>
      <c r="U43" s="2704"/>
      <c r="V43" s="3506"/>
      <c r="W43" s="2739"/>
      <c r="X43" s="361"/>
      <c r="Y43" s="2777"/>
      <c r="Z43" s="2777"/>
      <c r="AA43" s="2777"/>
      <c r="AB43" s="2779"/>
      <c r="AC43" s="361"/>
      <c r="AD43" s="354"/>
      <c r="AE43" s="354"/>
      <c r="AF43" s="4497"/>
    </row>
    <row r="44" spans="1:32" ht="30.75" customHeight="1">
      <c r="A44" s="4360"/>
      <c r="B44" s="5038"/>
      <c r="C44" s="4494" t="s">
        <v>235</v>
      </c>
      <c r="D44" s="4273" t="s">
        <v>236</v>
      </c>
      <c r="E44" s="4273" t="s">
        <v>244</v>
      </c>
      <c r="F44" s="4273" t="s">
        <v>309</v>
      </c>
      <c r="G44" s="4338" t="s">
        <v>239</v>
      </c>
      <c r="H44" s="4273" t="s">
        <v>240</v>
      </c>
      <c r="I44" s="4273" t="s">
        <v>257</v>
      </c>
      <c r="J44" s="4631" t="s">
        <v>1055</v>
      </c>
      <c r="K44" s="4273" t="s">
        <v>1056</v>
      </c>
      <c r="L44" s="4273" t="s">
        <v>1057</v>
      </c>
      <c r="M44" s="5041">
        <v>0</v>
      </c>
      <c r="N44" s="5041">
        <v>1</v>
      </c>
      <c r="O44" s="5041">
        <v>1</v>
      </c>
      <c r="P44" s="5046" t="s">
        <v>5073</v>
      </c>
      <c r="Q44" s="5046" t="s">
        <v>5071</v>
      </c>
      <c r="R44" s="4322" t="s">
        <v>5081</v>
      </c>
      <c r="S44" s="2697"/>
      <c r="T44" s="2702"/>
      <c r="U44" s="2702"/>
      <c r="V44" s="3511"/>
      <c r="W44" s="2737"/>
      <c r="X44" s="355"/>
      <c r="Y44" s="2771"/>
      <c r="Z44" s="2771"/>
      <c r="AA44" s="2771"/>
      <c r="AB44" s="2782"/>
      <c r="AC44" s="355"/>
      <c r="AD44" s="356"/>
      <c r="AE44" s="356"/>
      <c r="AF44" s="5049"/>
    </row>
    <row r="45" spans="1:32" ht="30.75" customHeight="1">
      <c r="A45" s="4360"/>
      <c r="B45" s="5038"/>
      <c r="C45" s="4492"/>
      <c r="D45" s="4215"/>
      <c r="E45" s="4215"/>
      <c r="F45" s="4215"/>
      <c r="G45" s="4215"/>
      <c r="H45" s="4215"/>
      <c r="I45" s="4215"/>
      <c r="J45" s="4331"/>
      <c r="K45" s="4215"/>
      <c r="L45" s="4215"/>
      <c r="M45" s="4629"/>
      <c r="N45" s="4629"/>
      <c r="O45" s="4629"/>
      <c r="P45" s="4215"/>
      <c r="Q45" s="4215"/>
      <c r="R45" s="4233"/>
      <c r="S45" s="2690"/>
      <c r="T45" s="2701"/>
      <c r="U45" s="2701"/>
      <c r="V45" s="3040"/>
      <c r="W45" s="2738"/>
      <c r="X45" s="357"/>
      <c r="Y45" s="2774"/>
      <c r="Z45" s="2774"/>
      <c r="AA45" s="2774"/>
      <c r="AB45" s="2776"/>
      <c r="AC45" s="357"/>
      <c r="AD45" s="358"/>
      <c r="AE45" s="358"/>
      <c r="AF45" s="4496"/>
    </row>
    <row r="46" spans="1:32" ht="30.75" customHeight="1">
      <c r="A46" s="4360"/>
      <c r="B46" s="5038"/>
      <c r="C46" s="4492"/>
      <c r="D46" s="4215"/>
      <c r="E46" s="4215"/>
      <c r="F46" s="4215"/>
      <c r="G46" s="4215"/>
      <c r="H46" s="4215"/>
      <c r="I46" s="4215"/>
      <c r="J46" s="4331"/>
      <c r="K46" s="4215"/>
      <c r="L46" s="4215"/>
      <c r="M46" s="4629"/>
      <c r="N46" s="4629"/>
      <c r="O46" s="4629"/>
      <c r="P46" s="4215"/>
      <c r="Q46" s="4215"/>
      <c r="R46" s="4233"/>
      <c r="S46" s="2691"/>
      <c r="T46" s="2703"/>
      <c r="U46" s="2703"/>
      <c r="V46" s="3040"/>
      <c r="W46" s="2738"/>
      <c r="X46" s="357"/>
      <c r="Y46" s="2774"/>
      <c r="Z46" s="2774"/>
      <c r="AA46" s="2774"/>
      <c r="AB46" s="2776"/>
      <c r="AC46" s="357"/>
      <c r="AD46" s="358"/>
      <c r="AE46" s="358"/>
      <c r="AF46" s="4496"/>
    </row>
    <row r="47" spans="1:32" ht="30.75" customHeight="1">
      <c r="A47" s="4360"/>
      <c r="B47" s="5038"/>
      <c r="C47" s="4492"/>
      <c r="D47" s="4215"/>
      <c r="E47" s="4215"/>
      <c r="F47" s="4215"/>
      <c r="G47" s="4215"/>
      <c r="H47" s="4215"/>
      <c r="I47" s="4215"/>
      <c r="J47" s="4331"/>
      <c r="K47" s="4215"/>
      <c r="L47" s="4215"/>
      <c r="M47" s="4629"/>
      <c r="N47" s="4629"/>
      <c r="O47" s="4629"/>
      <c r="P47" s="4215"/>
      <c r="Q47" s="4215"/>
      <c r="R47" s="4233"/>
      <c r="S47" s="2691"/>
      <c r="T47" s="2703"/>
      <c r="U47" s="2703"/>
      <c r="V47" s="3040"/>
      <c r="W47" s="2738"/>
      <c r="X47" s="357"/>
      <c r="Y47" s="2774"/>
      <c r="Z47" s="2774"/>
      <c r="AA47" s="2774"/>
      <c r="AB47" s="2776"/>
      <c r="AC47" s="357"/>
      <c r="AD47" s="358"/>
      <c r="AE47" s="358"/>
      <c r="AF47" s="4496"/>
    </row>
    <row r="48" spans="1:32" ht="30.75" customHeight="1">
      <c r="A48" s="4360"/>
      <c r="B48" s="5038"/>
      <c r="C48" s="4493"/>
      <c r="D48" s="4216"/>
      <c r="E48" s="4216"/>
      <c r="F48" s="4216"/>
      <c r="G48" s="4216"/>
      <c r="H48" s="4216"/>
      <c r="I48" s="4216"/>
      <c r="J48" s="4332"/>
      <c r="K48" s="4216"/>
      <c r="L48" s="4216"/>
      <c r="M48" s="4630"/>
      <c r="N48" s="4630"/>
      <c r="O48" s="4630"/>
      <c r="P48" s="4216"/>
      <c r="Q48" s="4216"/>
      <c r="R48" s="4258"/>
      <c r="S48" s="3474"/>
      <c r="T48" s="3386"/>
      <c r="U48" s="3386"/>
      <c r="V48" s="3506"/>
      <c r="W48" s="2739"/>
      <c r="X48" s="361"/>
      <c r="Y48" s="2777"/>
      <c r="Z48" s="2777"/>
      <c r="AA48" s="2777"/>
      <c r="AB48" s="2779"/>
      <c r="AC48" s="361"/>
      <c r="AD48" s="354"/>
      <c r="AE48" s="354"/>
      <c r="AF48" s="4497"/>
    </row>
    <row r="49" spans="1:32" ht="30.75" customHeight="1">
      <c r="A49" s="4360"/>
      <c r="B49" s="5038"/>
      <c r="C49" s="4494" t="s">
        <v>235</v>
      </c>
      <c r="D49" s="4273" t="s">
        <v>236</v>
      </c>
      <c r="E49" s="4273" t="s">
        <v>237</v>
      </c>
      <c r="F49" s="4273" t="s">
        <v>326</v>
      </c>
      <c r="G49" s="4338" t="s">
        <v>239</v>
      </c>
      <c r="H49" s="4273" t="s">
        <v>240</v>
      </c>
      <c r="I49" s="4273" t="s">
        <v>257</v>
      </c>
      <c r="J49" s="4273" t="s">
        <v>1058</v>
      </c>
      <c r="K49" s="4273" t="s">
        <v>707</v>
      </c>
      <c r="L49" s="4273" t="s">
        <v>1059</v>
      </c>
      <c r="M49" s="5041">
        <v>2</v>
      </c>
      <c r="N49" s="5041">
        <v>2</v>
      </c>
      <c r="O49" s="5041">
        <v>2</v>
      </c>
      <c r="P49" s="4228" t="s">
        <v>5072</v>
      </c>
      <c r="Q49" s="4228" t="s">
        <v>3911</v>
      </c>
      <c r="R49" s="4322" t="s">
        <v>5081</v>
      </c>
      <c r="S49" s="2697"/>
      <c r="T49" s="2705"/>
      <c r="U49" s="2705"/>
      <c r="V49" s="3512"/>
      <c r="W49" s="2740"/>
      <c r="X49" s="363"/>
      <c r="Y49" s="2780"/>
      <c r="Z49" s="2780"/>
      <c r="AA49" s="2780"/>
      <c r="AB49" s="2773"/>
      <c r="AC49" s="363"/>
      <c r="AD49" s="367"/>
      <c r="AE49" s="367"/>
      <c r="AF49" s="5049"/>
    </row>
    <row r="50" spans="1:32" ht="30.75" customHeight="1">
      <c r="A50" s="4360"/>
      <c r="B50" s="5038"/>
      <c r="C50" s="4492"/>
      <c r="D50" s="4215"/>
      <c r="E50" s="4215"/>
      <c r="F50" s="4215"/>
      <c r="G50" s="4215"/>
      <c r="H50" s="4215"/>
      <c r="I50" s="4215"/>
      <c r="J50" s="4215"/>
      <c r="K50" s="4215"/>
      <c r="L50" s="4215"/>
      <c r="M50" s="4629"/>
      <c r="N50" s="4629"/>
      <c r="O50" s="4629"/>
      <c r="P50" s="4215"/>
      <c r="Q50" s="4215"/>
      <c r="R50" s="4233"/>
      <c r="S50" s="2690"/>
      <c r="T50" s="2701"/>
      <c r="U50" s="2701"/>
      <c r="V50" s="3040"/>
      <c r="W50" s="2738"/>
      <c r="X50" s="357"/>
      <c r="Y50" s="2774"/>
      <c r="Z50" s="2774"/>
      <c r="AA50" s="2774"/>
      <c r="AB50" s="2776"/>
      <c r="AC50" s="357"/>
      <c r="AD50" s="358"/>
      <c r="AE50" s="358"/>
      <c r="AF50" s="4496"/>
    </row>
    <row r="51" spans="1:32" ht="30.75" customHeight="1">
      <c r="A51" s="4360"/>
      <c r="B51" s="5038"/>
      <c r="C51" s="4492"/>
      <c r="D51" s="4215"/>
      <c r="E51" s="4215"/>
      <c r="F51" s="4215"/>
      <c r="G51" s="4215"/>
      <c r="H51" s="4215"/>
      <c r="I51" s="4215"/>
      <c r="J51" s="4215"/>
      <c r="K51" s="4215"/>
      <c r="L51" s="4215"/>
      <c r="M51" s="4629"/>
      <c r="N51" s="4629"/>
      <c r="O51" s="4629"/>
      <c r="P51" s="4215"/>
      <c r="Q51" s="4215"/>
      <c r="R51" s="4233"/>
      <c r="S51" s="2691"/>
      <c r="T51" s="2703"/>
      <c r="U51" s="2703"/>
      <c r="V51" s="3040"/>
      <c r="W51" s="2738"/>
      <c r="X51" s="357"/>
      <c r="Y51" s="2774"/>
      <c r="Z51" s="2774"/>
      <c r="AA51" s="2774"/>
      <c r="AB51" s="2776"/>
      <c r="AC51" s="357"/>
      <c r="AD51" s="358"/>
      <c r="AE51" s="358"/>
      <c r="AF51" s="4496"/>
    </row>
    <row r="52" spans="1:32" ht="30.75" customHeight="1">
      <c r="A52" s="4360"/>
      <c r="B52" s="5038"/>
      <c r="C52" s="4492"/>
      <c r="D52" s="4215"/>
      <c r="E52" s="4215"/>
      <c r="F52" s="4215"/>
      <c r="G52" s="4215"/>
      <c r="H52" s="4215"/>
      <c r="I52" s="4215"/>
      <c r="J52" s="4215"/>
      <c r="K52" s="4215"/>
      <c r="L52" s="4215"/>
      <c r="M52" s="4629"/>
      <c r="N52" s="4629"/>
      <c r="O52" s="4629"/>
      <c r="P52" s="4215"/>
      <c r="Q52" s="4215"/>
      <c r="R52" s="4233"/>
      <c r="S52" s="2691"/>
      <c r="T52" s="2703"/>
      <c r="U52" s="2703"/>
      <c r="V52" s="3040"/>
      <c r="W52" s="2738"/>
      <c r="X52" s="357"/>
      <c r="Y52" s="2774"/>
      <c r="Z52" s="2774"/>
      <c r="AA52" s="2774"/>
      <c r="AB52" s="2776"/>
      <c r="AC52" s="357"/>
      <c r="AD52" s="358"/>
      <c r="AE52" s="358"/>
      <c r="AF52" s="4496"/>
    </row>
    <row r="53" spans="1:32" ht="30.75" customHeight="1">
      <c r="A53" s="4360"/>
      <c r="B53" s="5038"/>
      <c r="C53" s="4493"/>
      <c r="D53" s="4216"/>
      <c r="E53" s="4216"/>
      <c r="F53" s="4216"/>
      <c r="G53" s="4216"/>
      <c r="H53" s="4216"/>
      <c r="I53" s="4216"/>
      <c r="J53" s="4216"/>
      <c r="K53" s="4216"/>
      <c r="L53" s="4216"/>
      <c r="M53" s="4630"/>
      <c r="N53" s="4630"/>
      <c r="O53" s="4630"/>
      <c r="P53" s="4216"/>
      <c r="Q53" s="4216"/>
      <c r="R53" s="4258"/>
      <c r="S53" s="2692"/>
      <c r="T53" s="2704"/>
      <c r="U53" s="2704"/>
      <c r="V53" s="3506"/>
      <c r="W53" s="2739"/>
      <c r="X53" s="361"/>
      <c r="Y53" s="2777"/>
      <c r="Z53" s="2777"/>
      <c r="AA53" s="2777"/>
      <c r="AB53" s="2779"/>
      <c r="AC53" s="361"/>
      <c r="AD53" s="354"/>
      <c r="AE53" s="354"/>
      <c r="AF53" s="4497"/>
    </row>
    <row r="54" spans="1:32" ht="22.5" customHeight="1">
      <c r="A54" s="2013"/>
      <c r="B54" s="2014"/>
      <c r="C54" s="2015"/>
      <c r="D54" s="2016"/>
      <c r="E54" s="2016"/>
      <c r="F54" s="2016"/>
      <c r="G54" s="2016"/>
      <c r="H54" s="2016"/>
      <c r="I54" s="2016"/>
      <c r="J54" s="2016"/>
      <c r="K54" s="2016"/>
      <c r="L54" s="2016"/>
      <c r="M54" s="2016"/>
      <c r="N54" s="2016"/>
      <c r="O54" s="2016"/>
      <c r="P54" s="2016"/>
      <c r="Q54" s="2016"/>
      <c r="R54" s="2016"/>
      <c r="S54" s="5047" t="s">
        <v>1060</v>
      </c>
      <c r="T54" s="5048"/>
      <c r="U54" s="5048"/>
      <c r="V54" s="5048"/>
      <c r="W54" s="5048"/>
      <c r="X54" s="5048"/>
      <c r="Y54" s="5048"/>
      <c r="Z54" s="5048"/>
      <c r="AA54" s="2017" t="s">
        <v>340</v>
      </c>
      <c r="AB54" s="2012">
        <f>SUM(AB9:AB53)</f>
        <v>56234.080000000009</v>
      </c>
      <c r="AC54" s="4859"/>
      <c r="AD54" s="4316"/>
      <c r="AE54" s="4316"/>
      <c r="AF54" s="4317"/>
    </row>
    <row r="55" spans="1:32" ht="17.25" thickTop="1">
      <c r="A55" s="25"/>
      <c r="B55" s="374"/>
      <c r="C55" s="12" t="s">
        <v>442</v>
      </c>
      <c r="D55" s="298"/>
      <c r="E55" s="298"/>
      <c r="F55" s="298"/>
      <c r="G55" s="298"/>
      <c r="H55" s="298"/>
      <c r="I55" s="298"/>
      <c r="J55" s="298"/>
      <c r="K55" s="298"/>
      <c r="L55" s="298"/>
      <c r="M55" s="298"/>
      <c r="N55" s="298"/>
      <c r="O55" s="298"/>
      <c r="P55" s="298"/>
      <c r="Q55" s="298"/>
      <c r="R55" s="298"/>
      <c r="S55" s="4388" t="s">
        <v>1061</v>
      </c>
      <c r="T55" s="4150"/>
      <c r="U55" s="4150"/>
      <c r="V55" s="4150"/>
      <c r="W55" s="4150"/>
      <c r="X55" s="4150"/>
      <c r="Y55" s="4150"/>
      <c r="Z55" s="4150"/>
      <c r="AA55" s="4150"/>
      <c r="AB55" s="4150"/>
      <c r="AC55" s="4150"/>
      <c r="AD55" s="4150"/>
      <c r="AE55" s="4150"/>
      <c r="AF55" s="4150"/>
    </row>
    <row r="56" spans="1:32" ht="16.5" customHeight="1">
      <c r="A56" s="25"/>
      <c r="B56" s="374"/>
      <c r="C56" s="12" t="s">
        <v>444</v>
      </c>
      <c r="D56" s="298"/>
      <c r="E56" s="298"/>
      <c r="F56" s="298"/>
      <c r="G56" s="298"/>
      <c r="H56" s="298"/>
      <c r="I56" s="298"/>
      <c r="J56" s="298"/>
      <c r="K56" s="298"/>
      <c r="L56" s="298"/>
      <c r="M56" s="298"/>
      <c r="N56" s="298"/>
      <c r="O56" s="298"/>
      <c r="P56" s="298"/>
      <c r="Q56" s="298"/>
      <c r="R56" s="298"/>
      <c r="S56" s="398"/>
      <c r="T56" s="398"/>
      <c r="U56" s="398"/>
      <c r="V56" s="1884"/>
      <c r="W56" s="1884"/>
      <c r="X56" s="1884"/>
      <c r="Y56" s="1884"/>
      <c r="Z56" s="1884"/>
      <c r="AA56" s="1884"/>
      <c r="AC56" s="4389"/>
      <c r="AD56" s="4150"/>
      <c r="AE56" s="25"/>
      <c r="AF56" s="25"/>
    </row>
    <row r="57" spans="1:32" ht="18.75">
      <c r="A57" s="25"/>
      <c r="B57" s="25"/>
      <c r="C57" s="298"/>
      <c r="D57" s="298"/>
      <c r="E57" s="298"/>
      <c r="F57" s="298"/>
      <c r="G57" s="298"/>
      <c r="H57" s="298"/>
      <c r="I57" s="298"/>
      <c r="J57" s="298"/>
      <c r="K57" s="298"/>
      <c r="L57" s="298"/>
      <c r="M57" s="298"/>
      <c r="N57" s="298"/>
      <c r="O57" s="298"/>
      <c r="P57" s="298"/>
      <c r="Q57" s="298"/>
      <c r="R57" s="298"/>
      <c r="S57" s="398"/>
      <c r="T57" s="488"/>
      <c r="U57" s="4222" t="s">
        <v>343</v>
      </c>
      <c r="V57" s="4223"/>
      <c r="W57" s="4223"/>
      <c r="X57" s="4223"/>
      <c r="Y57" s="4223"/>
      <c r="Z57" s="4223"/>
      <c r="AB57" s="469"/>
      <c r="AC57" s="225"/>
      <c r="AD57" s="25"/>
      <c r="AE57" s="25"/>
    </row>
    <row r="58" spans="1:32" ht="16.5" customHeight="1" thickBot="1">
      <c r="A58" s="25"/>
      <c r="B58" s="25"/>
      <c r="C58" s="298"/>
      <c r="D58" s="298"/>
      <c r="E58" s="298"/>
      <c r="F58" s="298"/>
      <c r="G58" s="298"/>
      <c r="H58" s="298"/>
      <c r="I58" s="298"/>
      <c r="J58" s="298"/>
      <c r="K58" s="298"/>
      <c r="L58" s="298"/>
      <c r="M58" s="298"/>
      <c r="N58" s="298"/>
      <c r="O58" s="298"/>
      <c r="P58" s="298"/>
      <c r="Q58" s="298"/>
      <c r="R58" s="298"/>
      <c r="S58" s="14"/>
      <c r="T58" s="14"/>
      <c r="U58" s="131"/>
      <c r="V58" s="131"/>
      <c r="W58" s="429"/>
      <c r="X58" s="190"/>
      <c r="Y58" s="131"/>
      <c r="Z58" s="131"/>
      <c r="AB58" s="227"/>
      <c r="AC58" s="227"/>
      <c r="AD58" s="25"/>
      <c r="AE58" s="25"/>
    </row>
    <row r="59" spans="1:32" ht="16.5" customHeight="1" thickTop="1">
      <c r="A59" s="25"/>
      <c r="B59" s="25"/>
      <c r="C59" s="298"/>
      <c r="D59" s="298"/>
      <c r="E59" s="298"/>
      <c r="F59" s="298"/>
      <c r="G59" s="298"/>
      <c r="H59" s="298"/>
      <c r="I59" s="298"/>
      <c r="J59" s="298"/>
      <c r="K59" s="298"/>
      <c r="L59" s="298"/>
      <c r="M59" s="298"/>
      <c r="N59" s="298"/>
      <c r="O59" s="298"/>
      <c r="P59" s="298"/>
      <c r="Q59" s="298"/>
      <c r="R59" s="298"/>
      <c r="S59" s="398"/>
      <c r="T59" s="398"/>
      <c r="U59" s="2238" t="s">
        <v>4</v>
      </c>
      <c r="V59" s="2239" t="s">
        <v>344</v>
      </c>
      <c r="W59" s="2265" t="s">
        <v>6</v>
      </c>
      <c r="X59" s="2241" t="s">
        <v>345</v>
      </c>
      <c r="Y59" s="2241" t="s">
        <v>8</v>
      </c>
      <c r="Z59" s="2242" t="s">
        <v>346</v>
      </c>
      <c r="AB59" s="228"/>
      <c r="AC59" s="229"/>
      <c r="AD59" s="25"/>
      <c r="AE59" s="25"/>
    </row>
    <row r="60" spans="1:32" ht="66">
      <c r="A60" s="25"/>
      <c r="B60" s="25"/>
      <c r="C60" s="298"/>
      <c r="D60" s="298"/>
      <c r="E60" s="298"/>
      <c r="F60" s="298"/>
      <c r="G60" s="298"/>
      <c r="H60" s="298"/>
      <c r="I60" s="298"/>
      <c r="J60" s="298"/>
      <c r="K60" s="298"/>
      <c r="L60" s="298"/>
      <c r="M60" s="298"/>
      <c r="N60" s="298"/>
      <c r="O60" s="298"/>
      <c r="P60" s="298"/>
      <c r="Q60" s="298"/>
      <c r="R60" s="298"/>
      <c r="S60" s="398"/>
      <c r="T60" s="398"/>
      <c r="U60" s="2254" t="s">
        <v>11</v>
      </c>
      <c r="V60" s="2271" t="s">
        <v>26</v>
      </c>
      <c r="W60" s="510">
        <v>530204</v>
      </c>
      <c r="X60" s="137" t="s">
        <v>13</v>
      </c>
      <c r="Y60" s="511" t="s">
        <v>14</v>
      </c>
      <c r="Z60" s="512">
        <f>SUM($AA$37:$AA$37)</f>
        <v>234.08</v>
      </c>
      <c r="AB60" s="228"/>
      <c r="AC60" s="229"/>
      <c r="AD60" s="25"/>
      <c r="AE60" s="25"/>
    </row>
    <row r="61" spans="1:32" ht="33">
      <c r="A61" s="25"/>
      <c r="B61" s="25"/>
      <c r="C61" s="298"/>
      <c r="D61" s="298"/>
      <c r="E61" s="298"/>
      <c r="F61" s="298"/>
      <c r="G61" s="298"/>
      <c r="H61" s="298"/>
      <c r="I61" s="298"/>
      <c r="J61" s="298"/>
      <c r="K61" s="298"/>
      <c r="L61" s="298"/>
      <c r="M61" s="298"/>
      <c r="N61" s="298"/>
      <c r="O61" s="298"/>
      <c r="P61" s="298"/>
      <c r="Q61" s="298"/>
      <c r="R61" s="298"/>
      <c r="S61" s="398"/>
      <c r="T61" s="398"/>
      <c r="U61" s="2254" t="s">
        <v>11</v>
      </c>
      <c r="V61" s="2272" t="s">
        <v>24</v>
      </c>
      <c r="W61" s="513">
        <v>531404</v>
      </c>
      <c r="X61" s="137" t="s">
        <v>13</v>
      </c>
      <c r="Y61" s="511" t="s">
        <v>14</v>
      </c>
      <c r="Z61" s="514">
        <f>SUM($AA$35:$AA$35)</f>
        <v>56000.000000000007</v>
      </c>
      <c r="AB61" s="298"/>
      <c r="AC61" s="298"/>
      <c r="AD61" s="25"/>
      <c r="AE61" s="25"/>
    </row>
    <row r="62" spans="1:32" ht="16.5" customHeight="1" thickBot="1">
      <c r="A62" s="25"/>
      <c r="B62" s="25"/>
      <c r="C62" s="298"/>
      <c r="D62" s="298"/>
      <c r="E62" s="298"/>
      <c r="F62" s="298"/>
      <c r="G62" s="298"/>
      <c r="H62" s="298"/>
      <c r="I62" s="298"/>
      <c r="J62" s="298"/>
      <c r="K62" s="298"/>
      <c r="L62" s="298"/>
      <c r="M62" s="298"/>
      <c r="N62" s="298"/>
      <c r="O62" s="298"/>
      <c r="P62" s="298"/>
      <c r="Q62" s="298"/>
      <c r="R62" s="298"/>
      <c r="S62" s="398"/>
      <c r="T62" s="398"/>
      <c r="U62" s="2273"/>
      <c r="V62" s="2269" t="s">
        <v>183</v>
      </c>
      <c r="W62" s="2258"/>
      <c r="X62" s="2258"/>
      <c r="Y62" s="2246" t="s">
        <v>340</v>
      </c>
      <c r="Z62" s="140">
        <f>SUM(Z60:Z61)</f>
        <v>56234.080000000009</v>
      </c>
      <c r="AA62" s="131"/>
      <c r="AB62" s="298"/>
      <c r="AC62" s="307"/>
      <c r="AD62" s="25"/>
      <c r="AE62" s="25"/>
    </row>
    <row r="63" spans="1:32" ht="16.5" customHeight="1" thickTop="1">
      <c r="A63" s="25"/>
      <c r="B63" s="25"/>
      <c r="C63" s="298"/>
      <c r="D63" s="298"/>
      <c r="E63" s="298"/>
      <c r="F63" s="298"/>
      <c r="G63" s="298"/>
      <c r="H63" s="298"/>
      <c r="I63" s="298"/>
      <c r="J63" s="298"/>
      <c r="K63" s="298"/>
      <c r="L63" s="298"/>
      <c r="M63" s="298"/>
      <c r="N63" s="298"/>
      <c r="O63" s="298"/>
      <c r="P63" s="298"/>
      <c r="Q63" s="298"/>
      <c r="R63" s="298"/>
      <c r="S63" s="398"/>
      <c r="T63" s="398"/>
      <c r="U63" s="131"/>
      <c r="V63" s="131"/>
      <c r="W63" s="142" t="s">
        <v>347</v>
      </c>
      <c r="X63" s="429"/>
      <c r="Y63" s="190"/>
      <c r="Z63" s="131"/>
      <c r="AA63" s="131"/>
      <c r="AB63" s="298"/>
      <c r="AC63" s="307"/>
      <c r="AD63" s="25"/>
      <c r="AE63" s="25"/>
    </row>
    <row r="64" spans="1:32" ht="16.5" customHeight="1" thickBot="1">
      <c r="A64" s="25"/>
      <c r="B64" s="25"/>
      <c r="C64" s="298"/>
      <c r="D64" s="298"/>
      <c r="E64" s="298"/>
      <c r="F64" s="298"/>
      <c r="G64" s="298"/>
      <c r="H64" s="298"/>
      <c r="I64" s="298"/>
      <c r="J64" s="298"/>
      <c r="K64" s="298"/>
      <c r="L64" s="298"/>
      <c r="M64" s="298"/>
      <c r="N64" s="298"/>
      <c r="O64" s="298"/>
      <c r="P64" s="298"/>
      <c r="Q64" s="298"/>
      <c r="R64" s="298"/>
      <c r="S64" s="398"/>
      <c r="T64" s="398"/>
      <c r="U64" s="131"/>
      <c r="V64" s="131"/>
      <c r="W64" s="131"/>
      <c r="X64" s="429"/>
      <c r="Y64" s="190"/>
      <c r="Z64" s="131"/>
      <c r="AA64" s="131"/>
      <c r="AB64" s="309"/>
      <c r="AC64" s="298"/>
      <c r="AD64" s="25"/>
      <c r="AE64" s="25"/>
    </row>
    <row r="65" spans="1:31" ht="16.5" customHeight="1" thickTop="1">
      <c r="A65" s="25"/>
      <c r="B65" s="25"/>
      <c r="C65" s="298"/>
      <c r="D65" s="298"/>
      <c r="E65" s="298"/>
      <c r="F65" s="298"/>
      <c r="G65" s="298"/>
      <c r="H65" s="298"/>
      <c r="I65" s="298"/>
      <c r="J65" s="298"/>
      <c r="K65" s="298"/>
      <c r="L65" s="298"/>
      <c r="M65" s="298"/>
      <c r="N65" s="298"/>
      <c r="O65" s="298"/>
      <c r="P65" s="298"/>
      <c r="Q65" s="298"/>
      <c r="R65" s="298"/>
      <c r="S65" s="398"/>
      <c r="T65" s="398"/>
      <c r="U65" s="4303" t="s">
        <v>348</v>
      </c>
      <c r="V65" s="4304"/>
      <c r="W65" s="4305"/>
      <c r="X65" s="429"/>
      <c r="Y65" s="433" t="s">
        <v>349</v>
      </c>
      <c r="Z65" s="145" t="str">
        <f>IF(Z62=AB54,"OK","NO")</f>
        <v>OK</v>
      </c>
      <c r="AA65" s="131"/>
      <c r="AB65" s="309"/>
      <c r="AC65" s="298"/>
      <c r="AD65" s="25"/>
      <c r="AE65" s="25"/>
    </row>
    <row r="66" spans="1:31" ht="16.5" customHeight="1">
      <c r="A66" s="25"/>
      <c r="B66" s="25"/>
      <c r="C66" s="298"/>
      <c r="D66" s="298"/>
      <c r="E66" s="298"/>
      <c r="F66" s="298"/>
      <c r="G66" s="298"/>
      <c r="H66" s="298"/>
      <c r="I66" s="298"/>
      <c r="J66" s="298"/>
      <c r="K66" s="298"/>
      <c r="L66" s="298"/>
      <c r="M66" s="298"/>
      <c r="N66" s="298"/>
      <c r="O66" s="298"/>
      <c r="P66" s="298"/>
      <c r="Q66" s="298"/>
      <c r="R66" s="298"/>
      <c r="S66" s="398"/>
      <c r="T66" s="398"/>
      <c r="U66" s="4213" t="s">
        <v>3666</v>
      </c>
      <c r="V66" s="4208"/>
      <c r="W66" s="516">
        <v>0</v>
      </c>
      <c r="X66" s="429"/>
      <c r="Y66" s="190"/>
      <c r="Z66" s="145" t="str">
        <f>IF(W70=AB54,"OK","NO")</f>
        <v>OK</v>
      </c>
      <c r="AA66" s="131"/>
      <c r="AB66" s="309"/>
      <c r="AC66" s="298"/>
      <c r="AD66" s="25"/>
      <c r="AE66" s="25"/>
    </row>
    <row r="67" spans="1:31" ht="16.5" customHeight="1">
      <c r="A67" s="25"/>
      <c r="B67" s="25"/>
      <c r="C67" s="298"/>
      <c r="D67" s="298"/>
      <c r="E67" s="298"/>
      <c r="F67" s="298"/>
      <c r="G67" s="298"/>
      <c r="H67" s="298"/>
      <c r="I67" s="298"/>
      <c r="J67" s="298"/>
      <c r="K67" s="298"/>
      <c r="L67" s="298"/>
      <c r="M67" s="298"/>
      <c r="N67" s="298"/>
      <c r="O67" s="298"/>
      <c r="P67" s="298"/>
      <c r="Q67" s="298"/>
      <c r="R67" s="298"/>
      <c r="S67" s="398"/>
      <c r="T67" s="398"/>
      <c r="U67" s="4200" t="s">
        <v>3667</v>
      </c>
      <c r="V67" s="4201"/>
      <c r="W67" s="515">
        <v>0</v>
      </c>
      <c r="X67" s="429"/>
      <c r="Y67" s="190"/>
      <c r="Z67" s="145" t="str">
        <f>IF(W80=AB54,"OK","NO")</f>
        <v>OK</v>
      </c>
      <c r="AA67" s="131"/>
      <c r="AB67" s="309"/>
      <c r="AC67" s="298"/>
      <c r="AD67" s="25"/>
      <c r="AE67" s="25"/>
    </row>
    <row r="68" spans="1:31" ht="16.5" customHeight="1">
      <c r="A68" s="25"/>
      <c r="B68" s="25"/>
      <c r="C68" s="298"/>
      <c r="D68" s="298"/>
      <c r="E68" s="298"/>
      <c r="F68" s="298"/>
      <c r="G68" s="298"/>
      <c r="H68" s="298"/>
      <c r="I68" s="298"/>
      <c r="J68" s="298"/>
      <c r="K68" s="298"/>
      <c r="L68" s="298"/>
      <c r="M68" s="298"/>
      <c r="N68" s="298"/>
      <c r="O68" s="298"/>
      <c r="P68" s="298"/>
      <c r="Q68" s="298"/>
      <c r="R68" s="298"/>
      <c r="S68" s="398"/>
      <c r="T68" s="398"/>
      <c r="U68" s="4200" t="s">
        <v>3669</v>
      </c>
      <c r="V68" s="4201"/>
      <c r="W68" s="515">
        <f>SUM(Z60:Z61)</f>
        <v>56234.080000000009</v>
      </c>
      <c r="X68" s="429"/>
      <c r="Y68" s="434"/>
      <c r="Z68" s="145" t="str">
        <f>IF(Resumen!C360=AB54,"OK","NO")</f>
        <v>OK</v>
      </c>
      <c r="AA68" s="131"/>
      <c r="AB68" s="309"/>
      <c r="AC68" s="298"/>
      <c r="AD68" s="25"/>
      <c r="AE68" s="25"/>
    </row>
    <row r="69" spans="1:31" ht="16.5" customHeight="1">
      <c r="A69" s="25"/>
      <c r="B69" s="25"/>
      <c r="C69" s="298"/>
      <c r="D69" s="298"/>
      <c r="E69" s="298"/>
      <c r="F69" s="298"/>
      <c r="G69" s="298"/>
      <c r="H69" s="298"/>
      <c r="I69" s="298"/>
      <c r="J69" s="298"/>
      <c r="K69" s="298"/>
      <c r="L69" s="298"/>
      <c r="M69" s="298"/>
      <c r="N69" s="298"/>
      <c r="O69" s="298"/>
      <c r="P69" s="298"/>
      <c r="Q69" s="298"/>
      <c r="R69" s="298"/>
      <c r="S69" s="398"/>
      <c r="T69" s="398"/>
      <c r="U69" s="4200" t="s">
        <v>3668</v>
      </c>
      <c r="V69" s="4201"/>
      <c r="W69" s="517">
        <v>0</v>
      </c>
      <c r="X69" s="429"/>
      <c r="Y69" s="434"/>
      <c r="Z69" s="131"/>
      <c r="AA69" s="131"/>
      <c r="AB69" s="309"/>
      <c r="AC69" s="298"/>
      <c r="AD69" s="25"/>
      <c r="AE69" s="25"/>
    </row>
    <row r="70" spans="1:31" ht="16.5" customHeight="1">
      <c r="A70" s="25"/>
      <c r="B70" s="25"/>
      <c r="C70" s="298"/>
      <c r="D70" s="298"/>
      <c r="E70" s="298"/>
      <c r="F70" s="298"/>
      <c r="G70" s="298"/>
      <c r="H70" s="298"/>
      <c r="I70" s="298"/>
      <c r="J70" s="298"/>
      <c r="K70" s="298"/>
      <c r="L70" s="298"/>
      <c r="M70" s="298"/>
      <c r="N70" s="298"/>
      <c r="O70" s="298"/>
      <c r="P70" s="298"/>
      <c r="Q70" s="298"/>
      <c r="R70" s="298"/>
      <c r="S70" s="398"/>
      <c r="T70" s="398"/>
      <c r="U70" s="4553" t="s">
        <v>183</v>
      </c>
      <c r="V70" s="4554"/>
      <c r="W70" s="1571">
        <f>SUM(W66:W69)</f>
        <v>56234.080000000009</v>
      </c>
      <c r="X70" s="429"/>
      <c r="Y70" s="434"/>
      <c r="Z70" s="131"/>
      <c r="AA70" s="131"/>
      <c r="AB70" s="309"/>
      <c r="AC70" s="298"/>
      <c r="AD70" s="25"/>
      <c r="AE70" s="25"/>
    </row>
    <row r="71" spans="1:31" ht="16.5" customHeight="1">
      <c r="A71" s="25"/>
      <c r="B71" s="25"/>
      <c r="C71" s="298"/>
      <c r="D71" s="298"/>
      <c r="E71" s="298"/>
      <c r="F71" s="298"/>
      <c r="G71" s="298"/>
      <c r="H71" s="298"/>
      <c r="I71" s="298"/>
      <c r="J71" s="298"/>
      <c r="K71" s="298"/>
      <c r="L71" s="298"/>
      <c r="M71" s="298"/>
      <c r="N71" s="298"/>
      <c r="O71" s="298"/>
      <c r="P71" s="298"/>
      <c r="Q71" s="298"/>
      <c r="R71" s="298"/>
      <c r="S71" s="398"/>
      <c r="T71" s="398"/>
      <c r="U71" s="4555" t="s">
        <v>350</v>
      </c>
      <c r="V71" s="4556"/>
      <c r="W71" s="4557"/>
      <c r="X71" s="429"/>
      <c r="Y71" s="435"/>
      <c r="Z71" s="131"/>
      <c r="AA71" s="131"/>
      <c r="AB71" s="309"/>
      <c r="AC71" s="298"/>
      <c r="AD71" s="25"/>
      <c r="AE71" s="25"/>
    </row>
    <row r="72" spans="1:31" ht="16.5" customHeight="1">
      <c r="A72" s="25"/>
      <c r="B72" s="25"/>
      <c r="C72" s="298"/>
      <c r="D72" s="298"/>
      <c r="E72" s="298"/>
      <c r="F72" s="298"/>
      <c r="G72" s="298"/>
      <c r="H72" s="298"/>
      <c r="I72" s="298"/>
      <c r="J72" s="298"/>
      <c r="K72" s="298"/>
      <c r="L72" s="298"/>
      <c r="M72" s="298"/>
      <c r="N72" s="298"/>
      <c r="O72" s="298"/>
      <c r="P72" s="298"/>
      <c r="Q72" s="298"/>
      <c r="R72" s="298"/>
      <c r="S72" s="398"/>
      <c r="T72" s="398"/>
      <c r="U72" s="4207" t="s">
        <v>3670</v>
      </c>
      <c r="V72" s="4208"/>
      <c r="W72" s="516">
        <v>0</v>
      </c>
      <c r="X72" s="429"/>
      <c r="Y72" s="435"/>
      <c r="Z72" s="131"/>
      <c r="AA72" s="131"/>
      <c r="AB72" s="309"/>
      <c r="AC72" s="298"/>
      <c r="AD72" s="25"/>
      <c r="AE72" s="25"/>
    </row>
    <row r="73" spans="1:31" ht="16.5" customHeight="1">
      <c r="A73" s="25"/>
      <c r="B73" s="25"/>
      <c r="C73" s="298"/>
      <c r="D73" s="298"/>
      <c r="E73" s="298"/>
      <c r="F73" s="298"/>
      <c r="G73" s="298"/>
      <c r="H73" s="298"/>
      <c r="I73" s="298"/>
      <c r="J73" s="298"/>
      <c r="K73" s="298"/>
      <c r="L73" s="298"/>
      <c r="M73" s="298"/>
      <c r="N73" s="298"/>
      <c r="O73" s="298"/>
      <c r="P73" s="298"/>
      <c r="Q73" s="298"/>
      <c r="R73" s="298"/>
      <c r="S73" s="398"/>
      <c r="T73" s="398"/>
      <c r="U73" s="4209" t="s">
        <v>3671</v>
      </c>
      <c r="V73" s="4201"/>
      <c r="W73" s="515">
        <f>SUM(Z60)</f>
        <v>234.08</v>
      </c>
      <c r="X73" s="429"/>
      <c r="Y73" s="435"/>
      <c r="Z73" s="131"/>
      <c r="AA73" s="131"/>
      <c r="AB73" s="309"/>
      <c r="AC73" s="298"/>
      <c r="AD73" s="25"/>
      <c r="AE73" s="25"/>
    </row>
    <row r="74" spans="1:31" ht="16.5" customHeight="1">
      <c r="A74" s="25"/>
      <c r="B74" s="25"/>
      <c r="C74" s="298"/>
      <c r="D74" s="298"/>
      <c r="E74" s="298"/>
      <c r="F74" s="298"/>
      <c r="G74" s="298"/>
      <c r="H74" s="298"/>
      <c r="I74" s="298"/>
      <c r="J74" s="298"/>
      <c r="K74" s="298"/>
      <c r="L74" s="298"/>
      <c r="M74" s="298"/>
      <c r="N74" s="298"/>
      <c r="O74" s="298"/>
      <c r="P74" s="298"/>
      <c r="Q74" s="298"/>
      <c r="R74" s="298"/>
      <c r="S74" s="398"/>
      <c r="T74" s="398"/>
      <c r="U74" s="4209" t="s">
        <v>3672</v>
      </c>
      <c r="V74" s="4201"/>
      <c r="W74" s="515">
        <v>0</v>
      </c>
      <c r="X74" s="429"/>
      <c r="Y74" s="473"/>
      <c r="Z74" s="131"/>
      <c r="AA74" s="131"/>
      <c r="AB74" s="309"/>
      <c r="AC74" s="298"/>
      <c r="AD74" s="25"/>
      <c r="AE74" s="25"/>
    </row>
    <row r="75" spans="1:31" ht="16.5" customHeight="1">
      <c r="A75" s="25"/>
      <c r="B75" s="25"/>
      <c r="C75" s="298"/>
      <c r="D75" s="298"/>
      <c r="E75" s="298"/>
      <c r="F75" s="298"/>
      <c r="G75" s="298"/>
      <c r="H75" s="298"/>
      <c r="I75" s="298"/>
      <c r="J75" s="298"/>
      <c r="K75" s="298"/>
      <c r="L75" s="298"/>
      <c r="M75" s="298"/>
      <c r="N75" s="298"/>
      <c r="O75" s="298"/>
      <c r="P75" s="298"/>
      <c r="Q75" s="298"/>
      <c r="R75" s="298"/>
      <c r="S75" s="398"/>
      <c r="T75" s="398"/>
      <c r="U75" s="4209" t="s">
        <v>3673</v>
      </c>
      <c r="V75" s="4201"/>
      <c r="W75" s="515">
        <v>0</v>
      </c>
      <c r="X75" s="429"/>
      <c r="Y75" s="434"/>
      <c r="Z75" s="131"/>
      <c r="AA75" s="1884"/>
      <c r="AB75" s="1884"/>
      <c r="AC75" s="313"/>
      <c r="AD75" s="25"/>
      <c r="AE75" s="25"/>
    </row>
    <row r="76" spans="1:31" ht="16.5" customHeight="1">
      <c r="A76" s="25"/>
      <c r="B76" s="25"/>
      <c r="C76" s="298"/>
      <c r="D76" s="298"/>
      <c r="E76" s="298"/>
      <c r="F76" s="298"/>
      <c r="G76" s="298"/>
      <c r="H76" s="298"/>
      <c r="I76" s="298"/>
      <c r="J76" s="298"/>
      <c r="K76" s="298"/>
      <c r="L76" s="298"/>
      <c r="M76" s="298"/>
      <c r="N76" s="298"/>
      <c r="O76" s="298"/>
      <c r="P76" s="298"/>
      <c r="Q76" s="298"/>
      <c r="R76" s="298"/>
      <c r="S76" s="398"/>
      <c r="T76" s="398"/>
      <c r="U76" s="4209" t="s">
        <v>3674</v>
      </c>
      <c r="V76" s="4201"/>
      <c r="W76" s="515">
        <v>0</v>
      </c>
      <c r="X76" s="429"/>
      <c r="Y76" s="474"/>
      <c r="Z76" s="1887"/>
      <c r="AA76" s="272"/>
      <c r="AB76" s="271"/>
      <c r="AC76" s="313"/>
      <c r="AD76" s="25"/>
      <c r="AE76" s="25"/>
    </row>
    <row r="77" spans="1:31" ht="16.5" customHeight="1">
      <c r="A77" s="25"/>
      <c r="B77" s="25"/>
      <c r="C77" s="298"/>
      <c r="D77" s="298"/>
      <c r="E77" s="298"/>
      <c r="F77" s="298"/>
      <c r="G77" s="298"/>
      <c r="H77" s="298"/>
      <c r="I77" s="298"/>
      <c r="J77" s="298"/>
      <c r="K77" s="298"/>
      <c r="L77" s="298"/>
      <c r="M77" s="298"/>
      <c r="N77" s="298"/>
      <c r="O77" s="298"/>
      <c r="P77" s="298"/>
      <c r="Q77" s="298"/>
      <c r="R77" s="298"/>
      <c r="S77" s="398"/>
      <c r="T77" s="398"/>
      <c r="U77" s="4209" t="s">
        <v>3675</v>
      </c>
      <c r="V77" s="4201"/>
      <c r="W77" s="515">
        <v>0</v>
      </c>
      <c r="X77" s="429"/>
      <c r="Y77" s="474"/>
      <c r="Z77" s="271"/>
      <c r="AA77" s="274"/>
      <c r="AB77" s="315"/>
      <c r="AC77" s="313"/>
      <c r="AD77" s="25"/>
      <c r="AE77" s="25"/>
    </row>
    <row r="78" spans="1:31" ht="16.5" customHeight="1">
      <c r="A78" s="25"/>
      <c r="B78" s="25"/>
      <c r="C78" s="298"/>
      <c r="D78" s="298"/>
      <c r="E78" s="298"/>
      <c r="F78" s="298"/>
      <c r="G78" s="298"/>
      <c r="H78" s="298"/>
      <c r="I78" s="298"/>
      <c r="J78" s="298"/>
      <c r="K78" s="298"/>
      <c r="L78" s="298"/>
      <c r="M78" s="298"/>
      <c r="N78" s="298"/>
      <c r="O78" s="298"/>
      <c r="P78" s="298"/>
      <c r="Q78" s="298"/>
      <c r="R78" s="298"/>
      <c r="S78" s="398"/>
      <c r="T78" s="398"/>
      <c r="U78" s="4209" t="s">
        <v>3676</v>
      </c>
      <c r="V78" s="4201"/>
      <c r="W78" s="515">
        <f>SUM(Z61)</f>
        <v>56000.000000000007</v>
      </c>
      <c r="X78" s="429"/>
      <c r="Y78" s="474"/>
      <c r="Z78" s="273"/>
      <c r="AA78" s="317"/>
      <c r="AB78" s="311"/>
      <c r="AC78" s="313"/>
      <c r="AD78" s="25"/>
      <c r="AE78" s="25"/>
    </row>
    <row r="79" spans="1:31" ht="16.5" customHeight="1">
      <c r="A79" s="25"/>
      <c r="B79" s="25"/>
      <c r="C79" s="298"/>
      <c r="D79" s="298"/>
      <c r="E79" s="298"/>
      <c r="F79" s="298"/>
      <c r="G79" s="298"/>
      <c r="H79" s="298"/>
      <c r="I79" s="298"/>
      <c r="J79" s="298"/>
      <c r="K79" s="298"/>
      <c r="L79" s="298"/>
      <c r="M79" s="298"/>
      <c r="N79" s="298"/>
      <c r="O79" s="298"/>
      <c r="P79" s="298"/>
      <c r="Q79" s="298"/>
      <c r="R79" s="298"/>
      <c r="S79" s="398"/>
      <c r="T79" s="398"/>
      <c r="U79" s="4209" t="s">
        <v>3677</v>
      </c>
      <c r="V79" s="4201"/>
      <c r="W79" s="517">
        <v>0</v>
      </c>
      <c r="X79" s="429"/>
      <c r="Y79" s="475"/>
      <c r="Z79" s="317"/>
      <c r="AA79" s="131"/>
      <c r="AB79" s="309"/>
      <c r="AC79" s="298"/>
      <c r="AD79" s="25"/>
      <c r="AE79" s="25"/>
    </row>
    <row r="80" spans="1:31" ht="15.75" customHeight="1" thickBot="1">
      <c r="U80" s="4295" t="s">
        <v>183</v>
      </c>
      <c r="V80" s="4296"/>
      <c r="W80" s="1572">
        <f>SUM(W72:W79)</f>
        <v>56234.080000000009</v>
      </c>
      <c r="X80" s="429"/>
      <c r="Y80" s="473"/>
      <c r="Z80" s="131"/>
    </row>
    <row r="81" ht="15.75" customHeight="1" thickTop="1"/>
  </sheetData>
  <mergeCells count="203">
    <mergeCell ref="A1:AF1"/>
    <mergeCell ref="A2:AF2"/>
    <mergeCell ref="A3:AF3"/>
    <mergeCell ref="A4:AF4"/>
    <mergeCell ref="AF14:AF18"/>
    <mergeCell ref="E14:E18"/>
    <mergeCell ref="F14:F18"/>
    <mergeCell ref="G14:G18"/>
    <mergeCell ref="H14:H18"/>
    <mergeCell ref="I14:I18"/>
    <mergeCell ref="J14:J18"/>
    <mergeCell ref="K14:K18"/>
    <mergeCell ref="Q9:Q13"/>
    <mergeCell ref="R9:R13"/>
    <mergeCell ref="AF9:AF13"/>
    <mergeCell ref="J9:J13"/>
    <mergeCell ref="K9:K13"/>
    <mergeCell ref="L9:L13"/>
    <mergeCell ref="M9:M13"/>
    <mergeCell ref="C9:C13"/>
    <mergeCell ref="D9:D13"/>
    <mergeCell ref="C14:C18"/>
    <mergeCell ref="D14:D18"/>
    <mergeCell ref="R14:R18"/>
    <mergeCell ref="K49:K53"/>
    <mergeCell ref="S54:Z54"/>
    <mergeCell ref="AF49:AF53"/>
    <mergeCell ref="Q44:Q48"/>
    <mergeCell ref="AF19:AF23"/>
    <mergeCell ref="AF24:AF28"/>
    <mergeCell ref="AF29:AF33"/>
    <mergeCell ref="AF34:AF38"/>
    <mergeCell ref="AF39:AF43"/>
    <mergeCell ref="AF44:AF48"/>
    <mergeCell ref="R24:R28"/>
    <mergeCell ref="Q49:Q53"/>
    <mergeCell ref="R44:R48"/>
    <mergeCell ref="Q19:Q23"/>
    <mergeCell ref="R19:R23"/>
    <mergeCell ref="N19:N23"/>
    <mergeCell ref="O19:O23"/>
    <mergeCell ref="P19:P23"/>
    <mergeCell ref="P34:P38"/>
    <mergeCell ref="Q34:Q38"/>
    <mergeCell ref="R34:R38"/>
    <mergeCell ref="P39:P43"/>
    <mergeCell ref="R39:R43"/>
    <mergeCell ref="AC54:AF54"/>
    <mergeCell ref="U80:V80"/>
    <mergeCell ref="U71:W71"/>
    <mergeCell ref="U72:V72"/>
    <mergeCell ref="U73:V73"/>
    <mergeCell ref="U74:V74"/>
    <mergeCell ref="U75:V75"/>
    <mergeCell ref="U76:V76"/>
    <mergeCell ref="S55:AF55"/>
    <mergeCell ref="U57:Z57"/>
    <mergeCell ref="AC56:AD56"/>
    <mergeCell ref="U65:W65"/>
    <mergeCell ref="U66:V66"/>
    <mergeCell ref="U67:V67"/>
    <mergeCell ref="U68:V68"/>
    <mergeCell ref="U69:V69"/>
    <mergeCell ref="U78:V78"/>
    <mergeCell ref="U79:V79"/>
    <mergeCell ref="U70:V70"/>
    <mergeCell ref="U77:V77"/>
    <mergeCell ref="G9:G13"/>
    <mergeCell ref="E9:E13"/>
    <mergeCell ref="F9:F13"/>
    <mergeCell ref="C19:C23"/>
    <mergeCell ref="D19:D23"/>
    <mergeCell ref="E19:E23"/>
    <mergeCell ref="F19:F23"/>
    <mergeCell ref="G19:G23"/>
    <mergeCell ref="R49:R53"/>
    <mergeCell ref="O24:O28"/>
    <mergeCell ref="P24:P28"/>
    <mergeCell ref="J44:J48"/>
    <mergeCell ref="K44:K48"/>
    <mergeCell ref="L44:L48"/>
    <mergeCell ref="M44:M48"/>
    <mergeCell ref="N39:N43"/>
    <mergeCell ref="O39:O43"/>
    <mergeCell ref="N44:N48"/>
    <mergeCell ref="O44:O48"/>
    <mergeCell ref="P44:P48"/>
    <mergeCell ref="M29:M33"/>
    <mergeCell ref="N29:N33"/>
    <mergeCell ref="O29:O33"/>
    <mergeCell ref="P29:P33"/>
    <mergeCell ref="P49:P53"/>
    <mergeCell ref="I39:I43"/>
    <mergeCell ref="H49:H53"/>
    <mergeCell ref="H39:H43"/>
    <mergeCell ref="C24:C28"/>
    <mergeCell ref="D24:D28"/>
    <mergeCell ref="E24:E28"/>
    <mergeCell ref="F24:F28"/>
    <mergeCell ref="G24:G28"/>
    <mergeCell ref="L49:L53"/>
    <mergeCell ref="M49:M53"/>
    <mergeCell ref="N49:N53"/>
    <mergeCell ref="O49:O53"/>
    <mergeCell ref="I44:I48"/>
    <mergeCell ref="I29:I33"/>
    <mergeCell ref="G44:G48"/>
    <mergeCell ref="H44:H48"/>
    <mergeCell ref="G34:G38"/>
    <mergeCell ref="H34:H38"/>
    <mergeCell ref="G39:G43"/>
    <mergeCell ref="I49:I53"/>
    <mergeCell ref="J49:J53"/>
    <mergeCell ref="G49:G53"/>
    <mergeCell ref="K34:K38"/>
    <mergeCell ref="Q39:Q43"/>
    <mergeCell ref="C29:C33"/>
    <mergeCell ref="D29:D33"/>
    <mergeCell ref="E29:E33"/>
    <mergeCell ref="F29:F33"/>
    <mergeCell ref="G29:G33"/>
    <mergeCell ref="H29:H33"/>
    <mergeCell ref="M19:M23"/>
    <mergeCell ref="M24:M28"/>
    <mergeCell ref="H19:H23"/>
    <mergeCell ref="I19:I23"/>
    <mergeCell ref="K39:K43"/>
    <mergeCell ref="L39:L43"/>
    <mergeCell ref="M39:M43"/>
    <mergeCell ref="H24:H28"/>
    <mergeCell ref="I24:I28"/>
    <mergeCell ref="Q24:Q28"/>
    <mergeCell ref="J19:J23"/>
    <mergeCell ref="K19:K23"/>
    <mergeCell ref="I34:I38"/>
    <mergeCell ref="J34:J38"/>
    <mergeCell ref="J24:J28"/>
    <mergeCell ref="K24:K28"/>
    <mergeCell ref="J39:J43"/>
    <mergeCell ref="A34:B53"/>
    <mergeCell ref="C34:C38"/>
    <mergeCell ref="D34:D38"/>
    <mergeCell ref="E34:E38"/>
    <mergeCell ref="F34:F38"/>
    <mergeCell ref="C39:C43"/>
    <mergeCell ref="D39:D43"/>
    <mergeCell ref="E39:E43"/>
    <mergeCell ref="F39:F43"/>
    <mergeCell ref="C44:C48"/>
    <mergeCell ref="D44:D48"/>
    <mergeCell ref="E44:E48"/>
    <mergeCell ref="F44:F48"/>
    <mergeCell ref="C49:C53"/>
    <mergeCell ref="D49:D53"/>
    <mergeCell ref="E49:E53"/>
    <mergeCell ref="F49:F53"/>
    <mergeCell ref="L34:L38"/>
    <mergeCell ref="M34:M38"/>
    <mergeCell ref="N34:N38"/>
    <mergeCell ref="O34:O38"/>
    <mergeCell ref="P7:P8"/>
    <mergeCell ref="Q7:Q8"/>
    <mergeCell ref="I9:I13"/>
    <mergeCell ref="O9:O13"/>
    <mergeCell ref="P9:P13"/>
    <mergeCell ref="Q29:Q33"/>
    <mergeCell ref="J29:J33"/>
    <mergeCell ref="K29:K33"/>
    <mergeCell ref="L29:L33"/>
    <mergeCell ref="L14:L18"/>
    <mergeCell ref="M14:M18"/>
    <mergeCell ref="N9:N13"/>
    <mergeCell ref="N14:N18"/>
    <mergeCell ref="O14:O18"/>
    <mergeCell ref="P14:P18"/>
    <mergeCell ref="Q14:Q18"/>
    <mergeCell ref="L19:L23"/>
    <mergeCell ref="L24:L28"/>
    <mergeCell ref="N24:N28"/>
    <mergeCell ref="A9:B33"/>
    <mergeCell ref="H9:H13"/>
    <mergeCell ref="S6:AF6"/>
    <mergeCell ref="L7:L8"/>
    <mergeCell ref="M7:O7"/>
    <mergeCell ref="R7:R8"/>
    <mergeCell ref="S7:Y7"/>
    <mergeCell ref="Z7:AB7"/>
    <mergeCell ref="AC7:AE7"/>
    <mergeCell ref="AF7:AF8"/>
    <mergeCell ref="C7:C8"/>
    <mergeCell ref="D7:D8"/>
    <mergeCell ref="E7:E8"/>
    <mergeCell ref="F7:F8"/>
    <mergeCell ref="G7:G8"/>
    <mergeCell ref="H7:H8"/>
    <mergeCell ref="I7:I8"/>
    <mergeCell ref="J7:J8"/>
    <mergeCell ref="K7:K8"/>
    <mergeCell ref="A6:B8"/>
    <mergeCell ref="C6:D6"/>
    <mergeCell ref="E6:I6"/>
    <mergeCell ref="J6:R6"/>
    <mergeCell ref="R29:R33"/>
  </mergeCells>
  <dataValidations count="3">
    <dataValidation type="list" allowBlank="1" showErrorMessage="1" sqref="F9 F14 F19 F24 F29 F34 F39 F44 F49">
      <formula1>INDIRECT($E9)</formula1>
    </dataValidation>
    <dataValidation type="list" allowBlank="1" showErrorMessage="1" sqref="E9 E14 E19 E24 E29 E34 E39 E44 E49">
      <formula1>INDIRECT($G9)</formula1>
    </dataValidation>
    <dataValidation type="decimal" allowBlank="1" showInputMessage="1" showErrorMessage="1" prompt="DPLAN - Sólo debe ingresar valores, NO porcentajes." sqref="M14:O14 M19:O19 M24:O24 M29:O29 M34:O34 M39:O39 M44:O44 M49:O49">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&amp;"Cambria,Cursiva"&amp;12&amp;K0070C0Administración Central&amp;C&amp;"Century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C14:D14 C19:D19 C24:D24 C29:D29 C34:D34 C39:D39 C44:D44 C49:D49</xm:sqref>
        </x14:dataValidation>
        <x14:dataValidation type="list" allowBlank="1" showErrorMessage="1">
          <x14:formula1>
            <xm:f>(PEDI!#REF!)</xm:f>
          </x14:formula1>
          <xm:sqref>H9 H14 H19 H24 H29 H34 H39 H44 H49</xm:sqref>
        </x14:dataValidation>
        <x14:dataValidation type="list" allowBlank="1" showErrorMessage="1">
          <x14:formula1>
            <xm:f>PEDI!#REF!</xm:f>
          </x14:formula1>
          <xm:sqref>G9 G14 G19 G24 G29 G34 G39 G44 G49</xm:sqref>
        </x14:dataValidation>
        <x14:dataValidation type="list" allowBlank="1" showErrorMessage="1">
          <x14:formula1>
            <xm:f>INDIRECT('Estrategias DAFO'!#REF!)</xm:f>
          </x14:formula1>
          <xm:sqref>I9 I14 I19 I24 I29 I34 I39 I44 I49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G315"/>
  <sheetViews>
    <sheetView showGridLines="0" topLeftCell="R283" zoomScaleNormal="100" workbookViewId="0">
      <selection activeCell="AG315" sqref="AG315"/>
    </sheetView>
  </sheetViews>
  <sheetFormatPr baseColWidth="10" defaultColWidth="12.5703125" defaultRowHeight="15.75" customHeight="1"/>
  <cols>
    <col min="1" max="2" width="5" customWidth="1"/>
    <col min="3" max="11" width="22.42578125" customWidth="1"/>
    <col min="12" max="12" width="26.140625" customWidth="1"/>
    <col min="13" max="15" width="8.7109375" customWidth="1"/>
    <col min="16" max="16" width="25.7109375" customWidth="1"/>
    <col min="17" max="18" width="22.42578125" customWidth="1"/>
    <col min="19" max="19" width="26" customWidth="1"/>
    <col min="20" max="20" width="12.42578125" customWidth="1"/>
    <col min="21" max="21" width="27" customWidth="1"/>
    <col min="22" max="22" width="47.7109375" customWidth="1"/>
    <col min="23" max="23" width="13.42578125" customWidth="1"/>
    <col min="24" max="24" width="12" customWidth="1"/>
    <col min="25" max="25" width="13.85546875" customWidth="1"/>
    <col min="26" max="26" width="13.7109375" customWidth="1"/>
    <col min="27" max="27" width="13" customWidth="1"/>
    <col min="28" max="28" width="13.7109375" customWidth="1"/>
    <col min="29" max="31" width="7.7109375" customWidth="1"/>
    <col min="32" max="32" width="19.7109375" customWidth="1"/>
    <col min="33" max="33" width="6.85546875" customWidth="1"/>
  </cols>
  <sheetData>
    <row r="1" spans="1:33" ht="42.75"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c r="AG1" s="518"/>
    </row>
    <row r="2" spans="1:33"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c r="AG2" s="519"/>
    </row>
    <row r="3" spans="1:33" ht="26.25">
      <c r="A3" s="5118" t="s">
        <v>1062</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c r="AG3" s="520"/>
    </row>
    <row r="4" spans="1:33"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c r="AG4" s="520"/>
    </row>
    <row r="5" spans="1:33" ht="16.5" customHeight="1" thickBo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153"/>
      <c r="AE5" s="68"/>
      <c r="AF5" s="247"/>
      <c r="AG5" s="521"/>
    </row>
    <row r="6" spans="1:33"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3"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3"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3" ht="43.5" customHeight="1">
      <c r="A9" s="5120" t="s">
        <v>1062</v>
      </c>
      <c r="B9" s="5121" t="s">
        <v>1062</v>
      </c>
      <c r="C9" s="5122" t="s">
        <v>235</v>
      </c>
      <c r="D9" s="5010" t="s">
        <v>236</v>
      </c>
      <c r="E9" s="5010" t="s">
        <v>237</v>
      </c>
      <c r="F9" s="5010" t="s">
        <v>370</v>
      </c>
      <c r="G9" s="5119" t="s">
        <v>239</v>
      </c>
      <c r="H9" s="5010" t="s">
        <v>240</v>
      </c>
      <c r="I9" s="5010" t="s">
        <v>257</v>
      </c>
      <c r="J9" s="5010" t="s">
        <v>5149</v>
      </c>
      <c r="K9" s="5010" t="s">
        <v>1063</v>
      </c>
      <c r="L9" s="5010" t="s">
        <v>5098</v>
      </c>
      <c r="M9" s="5116">
        <v>1</v>
      </c>
      <c r="N9" s="5117">
        <v>1</v>
      </c>
      <c r="O9" s="5117">
        <v>1</v>
      </c>
      <c r="P9" s="5010" t="s">
        <v>5278</v>
      </c>
      <c r="Q9" s="5010" t="s">
        <v>5277</v>
      </c>
      <c r="R9" s="5026" t="s">
        <v>5092</v>
      </c>
      <c r="S9" s="3515"/>
      <c r="T9" s="2018"/>
      <c r="U9" s="2018"/>
      <c r="V9" s="3530"/>
      <c r="W9" s="2633"/>
      <c r="X9" s="3547"/>
      <c r="Y9" s="2651"/>
      <c r="Z9" s="2651"/>
      <c r="AA9" s="2651"/>
      <c r="AB9" s="2652"/>
      <c r="AC9" s="1967"/>
      <c r="AD9" s="1971"/>
      <c r="AE9" s="1971"/>
      <c r="AF9" s="5115" t="s">
        <v>5083</v>
      </c>
      <c r="AG9" s="522"/>
    </row>
    <row r="10" spans="1:33" ht="43.5" customHeight="1">
      <c r="A10" s="4360"/>
      <c r="B10" s="5056"/>
      <c r="C10" s="5058"/>
      <c r="D10" s="5063"/>
      <c r="E10" s="5063"/>
      <c r="F10" s="5063"/>
      <c r="G10" s="5063"/>
      <c r="H10" s="5063"/>
      <c r="I10" s="5063"/>
      <c r="J10" s="5063"/>
      <c r="K10" s="5063"/>
      <c r="L10" s="5063"/>
      <c r="M10" s="5071"/>
      <c r="N10" s="5071"/>
      <c r="O10" s="5071"/>
      <c r="P10" s="5063"/>
      <c r="Q10" s="5063"/>
      <c r="R10" s="5074"/>
      <c r="S10" s="3516"/>
      <c r="T10" s="523"/>
      <c r="U10" s="523"/>
      <c r="V10" s="2681"/>
      <c r="W10" s="2630"/>
      <c r="X10" s="3544"/>
      <c r="Y10" s="2645"/>
      <c r="Z10" s="2645"/>
      <c r="AA10" s="2645"/>
      <c r="AB10" s="2646"/>
      <c r="AC10" s="532"/>
      <c r="AD10" s="533"/>
      <c r="AE10" s="533"/>
      <c r="AF10" s="5094"/>
      <c r="AG10" s="522"/>
    </row>
    <row r="11" spans="1:33" ht="43.5" customHeight="1">
      <c r="A11" s="4360"/>
      <c r="B11" s="5056"/>
      <c r="C11" s="5058"/>
      <c r="D11" s="5063"/>
      <c r="E11" s="5063"/>
      <c r="F11" s="5063"/>
      <c r="G11" s="5063"/>
      <c r="H11" s="5063"/>
      <c r="I11" s="5063"/>
      <c r="J11" s="5063"/>
      <c r="K11" s="5063"/>
      <c r="L11" s="5063"/>
      <c r="M11" s="5071"/>
      <c r="N11" s="5071"/>
      <c r="O11" s="5071"/>
      <c r="P11" s="5063"/>
      <c r="Q11" s="5063"/>
      <c r="R11" s="5074"/>
      <c r="S11" s="3516"/>
      <c r="T11" s="523"/>
      <c r="U11" s="523"/>
      <c r="V11" s="2681"/>
      <c r="W11" s="2630"/>
      <c r="X11" s="3544"/>
      <c r="Y11" s="2645"/>
      <c r="Z11" s="2645"/>
      <c r="AA11" s="2645"/>
      <c r="AB11" s="2646"/>
      <c r="AC11" s="532"/>
      <c r="AD11" s="533"/>
      <c r="AE11" s="533"/>
      <c r="AF11" s="5094"/>
      <c r="AG11" s="522"/>
    </row>
    <row r="12" spans="1:33" ht="43.5" customHeight="1">
      <c r="A12" s="4360"/>
      <c r="B12" s="5056"/>
      <c r="C12" s="5058"/>
      <c r="D12" s="5063"/>
      <c r="E12" s="5063"/>
      <c r="F12" s="5063"/>
      <c r="G12" s="5063"/>
      <c r="H12" s="5063"/>
      <c r="I12" s="5063"/>
      <c r="J12" s="5063"/>
      <c r="K12" s="5063"/>
      <c r="L12" s="5063"/>
      <c r="M12" s="5071"/>
      <c r="N12" s="5071"/>
      <c r="O12" s="5071"/>
      <c r="P12" s="5063"/>
      <c r="Q12" s="5063"/>
      <c r="R12" s="5074"/>
      <c r="S12" s="3516"/>
      <c r="T12" s="529"/>
      <c r="U12" s="523"/>
      <c r="V12" s="3531"/>
      <c r="W12" s="2630"/>
      <c r="X12" s="3544"/>
      <c r="Y12" s="2645"/>
      <c r="Z12" s="2645"/>
      <c r="AA12" s="2645"/>
      <c r="AB12" s="2646"/>
      <c r="AC12" s="532"/>
      <c r="AD12" s="533"/>
      <c r="AE12" s="533"/>
      <c r="AF12" s="5094"/>
      <c r="AG12" s="522"/>
    </row>
    <row r="13" spans="1:33" ht="43.5" customHeight="1">
      <c r="A13" s="4360"/>
      <c r="B13" s="5056"/>
      <c r="C13" s="5058"/>
      <c r="D13" s="5063"/>
      <c r="E13" s="5063"/>
      <c r="F13" s="5063"/>
      <c r="G13" s="5063"/>
      <c r="H13" s="5063"/>
      <c r="I13" s="5063"/>
      <c r="J13" s="5063"/>
      <c r="K13" s="5063"/>
      <c r="L13" s="5063"/>
      <c r="M13" s="5071"/>
      <c r="N13" s="5071"/>
      <c r="O13" s="5071"/>
      <c r="P13" s="5063"/>
      <c r="Q13" s="5063"/>
      <c r="R13" s="5074"/>
      <c r="S13" s="3523"/>
      <c r="T13" s="530"/>
      <c r="U13" s="530"/>
      <c r="V13" s="2682"/>
      <c r="W13" s="2631"/>
      <c r="X13" s="3548"/>
      <c r="Y13" s="2647"/>
      <c r="Z13" s="2647"/>
      <c r="AA13" s="2647"/>
      <c r="AB13" s="3557"/>
      <c r="AC13" s="575"/>
      <c r="AD13" s="321"/>
      <c r="AE13" s="321"/>
      <c r="AF13" s="5094"/>
      <c r="AG13" s="522"/>
    </row>
    <row r="14" spans="1:33" ht="29.25" customHeight="1">
      <c r="A14" s="4360"/>
      <c r="B14" s="5056"/>
      <c r="C14" s="5059" t="s">
        <v>235</v>
      </c>
      <c r="D14" s="5064" t="s">
        <v>236</v>
      </c>
      <c r="E14" s="5064" t="s">
        <v>237</v>
      </c>
      <c r="F14" s="5064" t="s">
        <v>370</v>
      </c>
      <c r="G14" s="5076" t="s">
        <v>239</v>
      </c>
      <c r="H14" s="5064" t="s">
        <v>240</v>
      </c>
      <c r="I14" s="5064" t="s">
        <v>257</v>
      </c>
      <c r="J14" s="5064" t="s">
        <v>5150</v>
      </c>
      <c r="K14" s="5064" t="s">
        <v>1064</v>
      </c>
      <c r="L14" s="5064" t="s">
        <v>5099</v>
      </c>
      <c r="M14" s="5070">
        <v>1</v>
      </c>
      <c r="N14" s="5070">
        <v>1</v>
      </c>
      <c r="O14" s="5070">
        <v>1</v>
      </c>
      <c r="P14" s="5064" t="s">
        <v>5196</v>
      </c>
      <c r="Q14" s="5064" t="s">
        <v>5276</v>
      </c>
      <c r="R14" s="5073" t="s">
        <v>5279</v>
      </c>
      <c r="S14" s="3573"/>
      <c r="T14" s="3574"/>
      <c r="U14" s="3574"/>
      <c r="V14" s="3575"/>
      <c r="W14" s="3576"/>
      <c r="X14" s="3577"/>
      <c r="Y14" s="3578"/>
      <c r="Z14" s="3578"/>
      <c r="AA14" s="3578"/>
      <c r="AB14" s="3579"/>
      <c r="AC14" s="3580"/>
      <c r="AD14" s="3581"/>
      <c r="AE14" s="3581"/>
      <c r="AF14" s="5084"/>
      <c r="AG14" s="522"/>
    </row>
    <row r="15" spans="1:33" ht="29.25" customHeight="1">
      <c r="A15" s="4360"/>
      <c r="B15" s="5056"/>
      <c r="C15" s="5058"/>
      <c r="D15" s="5063"/>
      <c r="E15" s="5063"/>
      <c r="F15" s="5063"/>
      <c r="G15" s="5063"/>
      <c r="H15" s="5063"/>
      <c r="I15" s="5063"/>
      <c r="J15" s="5063"/>
      <c r="K15" s="5063"/>
      <c r="L15" s="5063"/>
      <c r="M15" s="5071"/>
      <c r="N15" s="5071"/>
      <c r="O15" s="5071"/>
      <c r="P15" s="5063"/>
      <c r="Q15" s="5063"/>
      <c r="R15" s="5074"/>
      <c r="S15" s="3516"/>
      <c r="T15" s="523"/>
      <c r="U15" s="523"/>
      <c r="V15" s="2681"/>
      <c r="W15" s="2630"/>
      <c r="X15" s="3544"/>
      <c r="Y15" s="2645"/>
      <c r="Z15" s="2645"/>
      <c r="AA15" s="2645"/>
      <c r="AB15" s="2646"/>
      <c r="AC15" s="532"/>
      <c r="AD15" s="532"/>
      <c r="AE15" s="526"/>
      <c r="AF15" s="5051"/>
      <c r="AG15" s="522"/>
    </row>
    <row r="16" spans="1:33" ht="29.25" customHeight="1">
      <c r="A16" s="4360"/>
      <c r="B16" s="5056"/>
      <c r="C16" s="5058"/>
      <c r="D16" s="5063"/>
      <c r="E16" s="5063"/>
      <c r="F16" s="5063"/>
      <c r="G16" s="5063"/>
      <c r="H16" s="5063"/>
      <c r="I16" s="5063"/>
      <c r="J16" s="5063"/>
      <c r="K16" s="5063"/>
      <c r="L16" s="5063"/>
      <c r="M16" s="5071"/>
      <c r="N16" s="5071"/>
      <c r="O16" s="5071"/>
      <c r="P16" s="5063"/>
      <c r="Q16" s="5063"/>
      <c r="R16" s="5074"/>
      <c r="S16" s="3516"/>
      <c r="T16" s="523"/>
      <c r="U16" s="523"/>
      <c r="V16" s="2681"/>
      <c r="W16" s="2630"/>
      <c r="X16" s="3544"/>
      <c r="Y16" s="2645"/>
      <c r="Z16" s="2645"/>
      <c r="AA16" s="2645"/>
      <c r="AB16" s="2646"/>
      <c r="AC16" s="532"/>
      <c r="AD16" s="532"/>
      <c r="AE16" s="533"/>
      <c r="AF16" s="5051"/>
      <c r="AG16" s="522"/>
    </row>
    <row r="17" spans="1:33" ht="29.25" customHeight="1">
      <c r="A17" s="4360"/>
      <c r="B17" s="5056"/>
      <c r="C17" s="5058"/>
      <c r="D17" s="5063"/>
      <c r="E17" s="5063"/>
      <c r="F17" s="5063"/>
      <c r="G17" s="5063"/>
      <c r="H17" s="5063"/>
      <c r="I17" s="5063"/>
      <c r="J17" s="5063"/>
      <c r="K17" s="5063"/>
      <c r="L17" s="5063"/>
      <c r="M17" s="5071"/>
      <c r="N17" s="5071"/>
      <c r="O17" s="5071"/>
      <c r="P17" s="5063"/>
      <c r="Q17" s="5063"/>
      <c r="R17" s="5074"/>
      <c r="S17" s="3516"/>
      <c r="T17" s="523"/>
      <c r="U17" s="523"/>
      <c r="V17" s="2681"/>
      <c r="W17" s="2630"/>
      <c r="X17" s="3544"/>
      <c r="Y17" s="2645"/>
      <c r="Z17" s="2645"/>
      <c r="AA17" s="2645"/>
      <c r="AB17" s="2646"/>
      <c r="AC17" s="532"/>
      <c r="AD17" s="532"/>
      <c r="AE17" s="533"/>
      <c r="AF17" s="5051"/>
      <c r="AG17" s="522"/>
    </row>
    <row r="18" spans="1:33" ht="29.25" customHeight="1">
      <c r="A18" s="4360"/>
      <c r="B18" s="5056"/>
      <c r="C18" s="5060"/>
      <c r="D18" s="5065"/>
      <c r="E18" s="5065"/>
      <c r="F18" s="5065"/>
      <c r="G18" s="5065"/>
      <c r="H18" s="5065"/>
      <c r="I18" s="5065"/>
      <c r="J18" s="5065"/>
      <c r="K18" s="5065"/>
      <c r="L18" s="5065"/>
      <c r="M18" s="5072"/>
      <c r="N18" s="5072"/>
      <c r="O18" s="5072"/>
      <c r="P18" s="5065"/>
      <c r="Q18" s="5065"/>
      <c r="R18" s="5075"/>
      <c r="S18" s="3569"/>
      <c r="T18" s="3570"/>
      <c r="U18" s="3570"/>
      <c r="V18" s="2686"/>
      <c r="W18" s="1781"/>
      <c r="X18" s="3571"/>
      <c r="Y18" s="2667"/>
      <c r="Z18" s="2667"/>
      <c r="AA18" s="2667"/>
      <c r="AB18" s="2668"/>
      <c r="AC18" s="1782"/>
      <c r="AD18" s="1782"/>
      <c r="AE18" s="3572"/>
      <c r="AF18" s="5085"/>
      <c r="AG18" s="522"/>
    </row>
    <row r="19" spans="1:33" ht="30.75" customHeight="1">
      <c r="A19" s="4360"/>
      <c r="B19" s="5056"/>
      <c r="C19" s="5061" t="s">
        <v>235</v>
      </c>
      <c r="D19" s="5062" t="s">
        <v>236</v>
      </c>
      <c r="E19" s="5062" t="s">
        <v>237</v>
      </c>
      <c r="F19" s="5062" t="s">
        <v>370</v>
      </c>
      <c r="G19" s="5069" t="s">
        <v>239</v>
      </c>
      <c r="H19" s="5062" t="s">
        <v>240</v>
      </c>
      <c r="I19" s="5062" t="s">
        <v>257</v>
      </c>
      <c r="J19" s="5069" t="s">
        <v>5151</v>
      </c>
      <c r="K19" s="5062" t="s">
        <v>1065</v>
      </c>
      <c r="L19" s="5062" t="s">
        <v>5100</v>
      </c>
      <c r="M19" s="5077">
        <v>0</v>
      </c>
      <c r="N19" s="5077">
        <v>1</v>
      </c>
      <c r="O19" s="5077">
        <v>0</v>
      </c>
      <c r="P19" s="5062" t="s">
        <v>5197</v>
      </c>
      <c r="Q19" s="5062" t="s">
        <v>5275</v>
      </c>
      <c r="R19" s="5078" t="s">
        <v>5279</v>
      </c>
      <c r="S19" s="3525"/>
      <c r="T19" s="2018"/>
      <c r="U19" s="2018"/>
      <c r="V19" s="3530"/>
      <c r="W19" s="2633"/>
      <c r="X19" s="3547"/>
      <c r="Y19" s="2651"/>
      <c r="Z19" s="2651"/>
      <c r="AA19" s="2651"/>
      <c r="AB19" s="2652"/>
      <c r="AC19" s="1967"/>
      <c r="AD19" s="1971"/>
      <c r="AE19" s="1971"/>
      <c r="AF19" s="5086"/>
      <c r="AG19" s="522"/>
    </row>
    <row r="20" spans="1:33" ht="30.75" customHeight="1">
      <c r="A20" s="4360"/>
      <c r="B20" s="5056"/>
      <c r="C20" s="5058"/>
      <c r="D20" s="5063"/>
      <c r="E20" s="5063"/>
      <c r="F20" s="5063"/>
      <c r="G20" s="5063"/>
      <c r="H20" s="5063"/>
      <c r="I20" s="5063"/>
      <c r="J20" s="5063"/>
      <c r="K20" s="5063"/>
      <c r="L20" s="5063"/>
      <c r="M20" s="5071"/>
      <c r="N20" s="5071"/>
      <c r="O20" s="5071"/>
      <c r="P20" s="5063"/>
      <c r="Q20" s="5063"/>
      <c r="R20" s="5074"/>
      <c r="S20" s="3516"/>
      <c r="T20" s="523"/>
      <c r="U20" s="523"/>
      <c r="V20" s="2681"/>
      <c r="W20" s="2630"/>
      <c r="X20" s="3544"/>
      <c r="Y20" s="2645"/>
      <c r="Z20" s="2645"/>
      <c r="AA20" s="2645"/>
      <c r="AB20" s="2646"/>
      <c r="AC20" s="532"/>
      <c r="AD20" s="533"/>
      <c r="AE20" s="533"/>
      <c r="AF20" s="5051"/>
      <c r="AG20" s="522"/>
    </row>
    <row r="21" spans="1:33" ht="30.75" customHeight="1">
      <c r="A21" s="4360"/>
      <c r="B21" s="5056"/>
      <c r="C21" s="5058"/>
      <c r="D21" s="5063"/>
      <c r="E21" s="5063"/>
      <c r="F21" s="5063"/>
      <c r="G21" s="5063"/>
      <c r="H21" s="5063"/>
      <c r="I21" s="5063"/>
      <c r="J21" s="5063"/>
      <c r="K21" s="5063"/>
      <c r="L21" s="5063"/>
      <c r="M21" s="5071"/>
      <c r="N21" s="5071"/>
      <c r="O21" s="5071"/>
      <c r="P21" s="5063"/>
      <c r="Q21" s="5063"/>
      <c r="R21" s="5074"/>
      <c r="S21" s="3516"/>
      <c r="T21" s="523"/>
      <c r="U21" s="523"/>
      <c r="V21" s="2681"/>
      <c r="W21" s="2630"/>
      <c r="X21" s="3544"/>
      <c r="Y21" s="2645"/>
      <c r="Z21" s="2645"/>
      <c r="AA21" s="2645"/>
      <c r="AB21" s="2646"/>
      <c r="AC21" s="532"/>
      <c r="AD21" s="533"/>
      <c r="AE21" s="533"/>
      <c r="AF21" s="5051"/>
      <c r="AG21" s="522"/>
    </row>
    <row r="22" spans="1:33" ht="30.75" customHeight="1">
      <c r="A22" s="4360"/>
      <c r="B22" s="5056"/>
      <c r="C22" s="5058"/>
      <c r="D22" s="5063"/>
      <c r="E22" s="5063"/>
      <c r="F22" s="5063"/>
      <c r="G22" s="5063"/>
      <c r="H22" s="5063"/>
      <c r="I22" s="5063"/>
      <c r="J22" s="5063"/>
      <c r="K22" s="5063"/>
      <c r="L22" s="5063"/>
      <c r="M22" s="5071"/>
      <c r="N22" s="5071"/>
      <c r="O22" s="5071"/>
      <c r="P22" s="5063"/>
      <c r="Q22" s="5063"/>
      <c r="R22" s="5074"/>
      <c r="S22" s="3516"/>
      <c r="T22" s="523"/>
      <c r="U22" s="523"/>
      <c r="V22" s="2681"/>
      <c r="W22" s="2630"/>
      <c r="X22" s="3544"/>
      <c r="Y22" s="2645"/>
      <c r="Z22" s="2645"/>
      <c r="AA22" s="2645"/>
      <c r="AB22" s="2646"/>
      <c r="AC22" s="532"/>
      <c r="AD22" s="533"/>
      <c r="AE22" s="533"/>
      <c r="AF22" s="5051"/>
      <c r="AG22" s="522"/>
    </row>
    <row r="23" spans="1:33" ht="30.75" customHeight="1">
      <c r="A23" s="4360"/>
      <c r="B23" s="5056"/>
      <c r="C23" s="5058"/>
      <c r="D23" s="5063"/>
      <c r="E23" s="5063"/>
      <c r="F23" s="5063"/>
      <c r="G23" s="5063"/>
      <c r="H23" s="5063"/>
      <c r="I23" s="5063"/>
      <c r="J23" s="5063"/>
      <c r="K23" s="5063"/>
      <c r="L23" s="5063"/>
      <c r="M23" s="5071"/>
      <c r="N23" s="5071"/>
      <c r="O23" s="5071"/>
      <c r="P23" s="5063"/>
      <c r="Q23" s="5063"/>
      <c r="R23" s="5074"/>
      <c r="S23" s="3523"/>
      <c r="T23" s="530"/>
      <c r="U23" s="530"/>
      <c r="V23" s="2682"/>
      <c r="W23" s="2631"/>
      <c r="X23" s="3548"/>
      <c r="Y23" s="2647"/>
      <c r="Z23" s="2647"/>
      <c r="AA23" s="2647"/>
      <c r="AB23" s="3557"/>
      <c r="AC23" s="575"/>
      <c r="AD23" s="321"/>
      <c r="AE23" s="321"/>
      <c r="AF23" s="5051"/>
      <c r="AG23" s="522"/>
    </row>
    <row r="24" spans="1:33" ht="30" customHeight="1">
      <c r="A24" s="4360"/>
      <c r="B24" s="5056"/>
      <c r="C24" s="5059" t="s">
        <v>235</v>
      </c>
      <c r="D24" s="5064" t="s">
        <v>236</v>
      </c>
      <c r="E24" s="5064" t="s">
        <v>237</v>
      </c>
      <c r="F24" s="5064" t="s">
        <v>370</v>
      </c>
      <c r="G24" s="5076" t="s">
        <v>239</v>
      </c>
      <c r="H24" s="5064" t="s">
        <v>240</v>
      </c>
      <c r="I24" s="5064" t="s">
        <v>278</v>
      </c>
      <c r="J24" s="5076" t="s">
        <v>5152</v>
      </c>
      <c r="K24" s="5064" t="s">
        <v>1066</v>
      </c>
      <c r="L24" s="5064" t="s">
        <v>5101</v>
      </c>
      <c r="M24" s="5070">
        <v>0</v>
      </c>
      <c r="N24" s="5070">
        <v>1</v>
      </c>
      <c r="O24" s="5079">
        <v>0</v>
      </c>
      <c r="P24" s="5064" t="s">
        <v>5198</v>
      </c>
      <c r="Q24" s="5064" t="s">
        <v>5274</v>
      </c>
      <c r="R24" s="5073" t="s">
        <v>5279</v>
      </c>
      <c r="S24" s="3573"/>
      <c r="T24" s="3574"/>
      <c r="U24" s="3574"/>
      <c r="V24" s="3575"/>
      <c r="W24" s="3576"/>
      <c r="X24" s="3577"/>
      <c r="Y24" s="3578"/>
      <c r="Z24" s="3578"/>
      <c r="AA24" s="3578"/>
      <c r="AB24" s="3579"/>
      <c r="AC24" s="3580"/>
      <c r="AD24" s="3582"/>
      <c r="AE24" s="3582"/>
      <c r="AF24" s="5084"/>
      <c r="AG24" s="522"/>
    </row>
    <row r="25" spans="1:33" ht="30" customHeight="1">
      <c r="A25" s="4360"/>
      <c r="B25" s="5056"/>
      <c r="C25" s="5058"/>
      <c r="D25" s="5063"/>
      <c r="E25" s="5063"/>
      <c r="F25" s="5063"/>
      <c r="G25" s="5063"/>
      <c r="H25" s="5063"/>
      <c r="I25" s="5063"/>
      <c r="J25" s="5063"/>
      <c r="K25" s="5063"/>
      <c r="L25" s="5063"/>
      <c r="M25" s="5071"/>
      <c r="N25" s="5071"/>
      <c r="O25" s="5071"/>
      <c r="P25" s="5063"/>
      <c r="Q25" s="5063"/>
      <c r="R25" s="5074"/>
      <c r="S25" s="3516"/>
      <c r="T25" s="523"/>
      <c r="U25" s="523"/>
      <c r="V25" s="2681"/>
      <c r="W25" s="2630"/>
      <c r="X25" s="3544"/>
      <c r="Y25" s="2645"/>
      <c r="Z25" s="2645"/>
      <c r="AA25" s="2645"/>
      <c r="AB25" s="2646"/>
      <c r="AC25" s="532"/>
      <c r="AD25" s="533"/>
      <c r="AE25" s="533"/>
      <c r="AF25" s="5051"/>
      <c r="AG25" s="522"/>
    </row>
    <row r="26" spans="1:33" ht="30" customHeight="1">
      <c r="A26" s="4360"/>
      <c r="B26" s="5056"/>
      <c r="C26" s="5058"/>
      <c r="D26" s="5063"/>
      <c r="E26" s="5063"/>
      <c r="F26" s="5063"/>
      <c r="G26" s="5063"/>
      <c r="H26" s="5063"/>
      <c r="I26" s="5063"/>
      <c r="J26" s="5063"/>
      <c r="K26" s="5063"/>
      <c r="L26" s="5063"/>
      <c r="M26" s="5071"/>
      <c r="N26" s="5071"/>
      <c r="O26" s="5071"/>
      <c r="P26" s="5063"/>
      <c r="Q26" s="5063"/>
      <c r="R26" s="5074"/>
      <c r="S26" s="3516"/>
      <c r="T26" s="523"/>
      <c r="U26" s="523"/>
      <c r="V26" s="2681"/>
      <c r="W26" s="2630"/>
      <c r="X26" s="3544"/>
      <c r="Y26" s="2645"/>
      <c r="Z26" s="2645"/>
      <c r="AA26" s="2645"/>
      <c r="AB26" s="2646"/>
      <c r="AC26" s="532"/>
      <c r="AD26" s="533"/>
      <c r="AE26" s="533"/>
      <c r="AF26" s="5051"/>
      <c r="AG26" s="522"/>
    </row>
    <row r="27" spans="1:33" ht="30" customHeight="1">
      <c r="A27" s="4360"/>
      <c r="B27" s="5056"/>
      <c r="C27" s="5058"/>
      <c r="D27" s="5063"/>
      <c r="E27" s="5063"/>
      <c r="F27" s="5063"/>
      <c r="G27" s="5063"/>
      <c r="H27" s="5063"/>
      <c r="I27" s="5063"/>
      <c r="J27" s="5063"/>
      <c r="K27" s="5063"/>
      <c r="L27" s="5063"/>
      <c r="M27" s="5071"/>
      <c r="N27" s="5071"/>
      <c r="O27" s="5071"/>
      <c r="P27" s="5063"/>
      <c r="Q27" s="5063"/>
      <c r="R27" s="5074"/>
      <c r="S27" s="3516"/>
      <c r="T27" s="523"/>
      <c r="U27" s="523"/>
      <c r="V27" s="2681"/>
      <c r="W27" s="2630"/>
      <c r="X27" s="3544"/>
      <c r="Y27" s="2645"/>
      <c r="Z27" s="2645"/>
      <c r="AA27" s="2645"/>
      <c r="AB27" s="2646"/>
      <c r="AC27" s="532"/>
      <c r="AD27" s="533"/>
      <c r="AE27" s="533"/>
      <c r="AF27" s="5051"/>
      <c r="AG27" s="522"/>
    </row>
    <row r="28" spans="1:33" ht="30" customHeight="1">
      <c r="A28" s="4360"/>
      <c r="B28" s="5056"/>
      <c r="C28" s="5060"/>
      <c r="D28" s="5065"/>
      <c r="E28" s="5065"/>
      <c r="F28" s="5065"/>
      <c r="G28" s="5065"/>
      <c r="H28" s="5065"/>
      <c r="I28" s="5065"/>
      <c r="J28" s="5065"/>
      <c r="K28" s="5065"/>
      <c r="L28" s="5065"/>
      <c r="M28" s="5072"/>
      <c r="N28" s="5072"/>
      <c r="O28" s="5072"/>
      <c r="P28" s="5065"/>
      <c r="Q28" s="5065"/>
      <c r="R28" s="5075"/>
      <c r="S28" s="3569"/>
      <c r="T28" s="3570"/>
      <c r="U28" s="3570"/>
      <c r="V28" s="2686"/>
      <c r="W28" s="1781"/>
      <c r="X28" s="3571"/>
      <c r="Y28" s="2667"/>
      <c r="Z28" s="2667"/>
      <c r="AA28" s="2667"/>
      <c r="AB28" s="2668"/>
      <c r="AC28" s="1782"/>
      <c r="AD28" s="3572"/>
      <c r="AE28" s="3572"/>
      <c r="AF28" s="5085"/>
      <c r="AG28" s="522"/>
    </row>
    <row r="29" spans="1:33" ht="50.25" hidden="1" customHeight="1">
      <c r="A29" s="4360"/>
      <c r="B29" s="5056"/>
      <c r="C29" s="5061" t="s">
        <v>235</v>
      </c>
      <c r="D29" s="5062" t="s">
        <v>236</v>
      </c>
      <c r="E29" s="5062" t="s">
        <v>237</v>
      </c>
      <c r="F29" s="5062" t="s">
        <v>370</v>
      </c>
      <c r="G29" s="5069" t="s">
        <v>239</v>
      </c>
      <c r="H29" s="5062" t="s">
        <v>240</v>
      </c>
      <c r="I29" s="5062" t="s">
        <v>257</v>
      </c>
      <c r="J29" s="5062" t="s">
        <v>5082</v>
      </c>
      <c r="K29" s="5062" t="s">
        <v>1067</v>
      </c>
      <c r="L29" s="5062" t="s">
        <v>1068</v>
      </c>
      <c r="M29" s="5077"/>
      <c r="N29" s="5077"/>
      <c r="O29" s="5077">
        <v>1</v>
      </c>
      <c r="P29" s="5062" t="s">
        <v>1069</v>
      </c>
      <c r="Q29" s="5097" t="s">
        <v>1070</v>
      </c>
      <c r="R29" s="5078" t="s">
        <v>1071</v>
      </c>
      <c r="S29" s="3630"/>
      <c r="T29" s="3631"/>
      <c r="U29" s="3631"/>
      <c r="V29" s="3627"/>
      <c r="W29" s="3628"/>
      <c r="X29" s="3632"/>
      <c r="Y29" s="3633"/>
      <c r="Z29" s="3633"/>
      <c r="AA29" s="3633"/>
      <c r="AB29" s="3634"/>
      <c r="AC29" s="3259"/>
      <c r="AD29" s="3262"/>
      <c r="AE29" s="3262"/>
      <c r="AF29" s="5096"/>
      <c r="AG29" s="522"/>
    </row>
    <row r="30" spans="1:33" ht="50.25" hidden="1" customHeight="1">
      <c r="A30" s="4360"/>
      <c r="B30" s="5056"/>
      <c r="C30" s="5058"/>
      <c r="D30" s="5063"/>
      <c r="E30" s="5063"/>
      <c r="F30" s="5063"/>
      <c r="G30" s="5063"/>
      <c r="H30" s="5063"/>
      <c r="I30" s="5063"/>
      <c r="J30" s="5063"/>
      <c r="K30" s="5063"/>
      <c r="L30" s="5063"/>
      <c r="M30" s="5071"/>
      <c r="N30" s="5071"/>
      <c r="O30" s="5071"/>
      <c r="P30" s="5063"/>
      <c r="Q30" s="5063"/>
      <c r="R30" s="5074"/>
      <c r="S30" s="3635"/>
      <c r="T30" s="3636"/>
      <c r="U30" s="3636"/>
      <c r="V30" s="1883"/>
      <c r="W30" s="1864"/>
      <c r="X30" s="3637"/>
      <c r="Y30" s="3214"/>
      <c r="Z30" s="3214"/>
      <c r="AA30" s="3214"/>
      <c r="AB30" s="3638"/>
      <c r="AC30" s="1824"/>
      <c r="AD30" s="3200"/>
      <c r="AE30" s="3200"/>
      <c r="AF30" s="4717"/>
      <c r="AG30" s="522"/>
    </row>
    <row r="31" spans="1:33" ht="50.25" hidden="1" customHeight="1">
      <c r="A31" s="4360"/>
      <c r="B31" s="5056"/>
      <c r="C31" s="5058"/>
      <c r="D31" s="5063"/>
      <c r="E31" s="5063"/>
      <c r="F31" s="5063"/>
      <c r="G31" s="5063"/>
      <c r="H31" s="5063"/>
      <c r="I31" s="5063"/>
      <c r="J31" s="5063"/>
      <c r="K31" s="5063"/>
      <c r="L31" s="5063"/>
      <c r="M31" s="5071"/>
      <c r="N31" s="5071"/>
      <c r="O31" s="5071"/>
      <c r="P31" s="5063"/>
      <c r="Q31" s="5063"/>
      <c r="R31" s="5074"/>
      <c r="S31" s="3635"/>
      <c r="T31" s="3636"/>
      <c r="U31" s="3636"/>
      <c r="V31" s="1883"/>
      <c r="W31" s="1864"/>
      <c r="X31" s="3637"/>
      <c r="Y31" s="3214"/>
      <c r="Z31" s="3214"/>
      <c r="AA31" s="3214"/>
      <c r="AB31" s="3638"/>
      <c r="AC31" s="1824"/>
      <c r="AD31" s="3200"/>
      <c r="AE31" s="3200"/>
      <c r="AF31" s="4717"/>
      <c r="AG31" s="522"/>
    </row>
    <row r="32" spans="1:33" ht="50.25" hidden="1" customHeight="1">
      <c r="A32" s="4360"/>
      <c r="B32" s="5056"/>
      <c r="C32" s="5058"/>
      <c r="D32" s="5063"/>
      <c r="E32" s="5063"/>
      <c r="F32" s="5063"/>
      <c r="G32" s="5063"/>
      <c r="H32" s="5063"/>
      <c r="I32" s="5063"/>
      <c r="J32" s="5063"/>
      <c r="K32" s="5063"/>
      <c r="L32" s="5063"/>
      <c r="M32" s="5071"/>
      <c r="N32" s="5071"/>
      <c r="O32" s="5071"/>
      <c r="P32" s="5063"/>
      <c r="Q32" s="5063"/>
      <c r="R32" s="5074"/>
      <c r="S32" s="3635"/>
      <c r="T32" s="3636"/>
      <c r="U32" s="3636"/>
      <c r="V32" s="1883"/>
      <c r="W32" s="1864"/>
      <c r="X32" s="3637"/>
      <c r="Y32" s="3214"/>
      <c r="Z32" s="3214"/>
      <c r="AA32" s="3214"/>
      <c r="AB32" s="3638"/>
      <c r="AC32" s="1824"/>
      <c r="AD32" s="3200"/>
      <c r="AE32" s="3200"/>
      <c r="AF32" s="4717"/>
      <c r="AG32" s="522"/>
    </row>
    <row r="33" spans="1:33" ht="50.25" hidden="1" customHeight="1">
      <c r="A33" s="4360"/>
      <c r="B33" s="5056"/>
      <c r="C33" s="5058"/>
      <c r="D33" s="5063"/>
      <c r="E33" s="5063"/>
      <c r="F33" s="5063"/>
      <c r="G33" s="5063"/>
      <c r="H33" s="5063"/>
      <c r="I33" s="5063"/>
      <c r="J33" s="5063"/>
      <c r="K33" s="5063"/>
      <c r="L33" s="5063"/>
      <c r="M33" s="5071"/>
      <c r="N33" s="5071"/>
      <c r="O33" s="5071"/>
      <c r="P33" s="5063"/>
      <c r="Q33" s="5063"/>
      <c r="R33" s="5074"/>
      <c r="S33" s="3639"/>
      <c r="T33" s="3640"/>
      <c r="U33" s="3640"/>
      <c r="V33" s="3641"/>
      <c r="W33" s="3233"/>
      <c r="X33" s="3642"/>
      <c r="Y33" s="3282"/>
      <c r="Z33" s="3282"/>
      <c r="AA33" s="3282"/>
      <c r="AB33" s="3643"/>
      <c r="AC33" s="3234"/>
      <c r="AD33" s="3238"/>
      <c r="AE33" s="3238"/>
      <c r="AF33" s="4717"/>
      <c r="AG33" s="522"/>
    </row>
    <row r="34" spans="1:33" ht="30" customHeight="1">
      <c r="A34" s="4360"/>
      <c r="B34" s="5056"/>
      <c r="C34" s="5059" t="s">
        <v>235</v>
      </c>
      <c r="D34" s="5064" t="s">
        <v>236</v>
      </c>
      <c r="E34" s="5064" t="s">
        <v>237</v>
      </c>
      <c r="F34" s="5064" t="s">
        <v>370</v>
      </c>
      <c r="G34" s="5076" t="s">
        <v>239</v>
      </c>
      <c r="H34" s="5064" t="s">
        <v>240</v>
      </c>
      <c r="I34" s="5064" t="s">
        <v>257</v>
      </c>
      <c r="J34" s="5076" t="s">
        <v>5153</v>
      </c>
      <c r="K34" s="5091" t="s">
        <v>1072</v>
      </c>
      <c r="L34" s="5064" t="s">
        <v>5102</v>
      </c>
      <c r="M34" s="5070">
        <v>1</v>
      </c>
      <c r="N34" s="5070">
        <v>0</v>
      </c>
      <c r="O34" s="5070">
        <v>0</v>
      </c>
      <c r="P34" s="5064" t="s">
        <v>5199</v>
      </c>
      <c r="Q34" s="5064" t="s">
        <v>5273</v>
      </c>
      <c r="R34" s="5073" t="s">
        <v>5280</v>
      </c>
      <c r="S34" s="3573"/>
      <c r="T34" s="3574"/>
      <c r="U34" s="3574"/>
      <c r="V34" s="3575"/>
      <c r="W34" s="3576"/>
      <c r="X34" s="3577"/>
      <c r="Y34" s="3578"/>
      <c r="Z34" s="3578"/>
      <c r="AA34" s="3578"/>
      <c r="AB34" s="3579"/>
      <c r="AC34" s="3580"/>
      <c r="AD34" s="3582"/>
      <c r="AE34" s="3582"/>
      <c r="AF34" s="5084"/>
      <c r="AG34" s="522"/>
    </row>
    <row r="35" spans="1:33" ht="30" customHeight="1">
      <c r="A35" s="4360"/>
      <c r="B35" s="5056"/>
      <c r="C35" s="5058"/>
      <c r="D35" s="5063"/>
      <c r="E35" s="5063"/>
      <c r="F35" s="5063"/>
      <c r="G35" s="5063"/>
      <c r="H35" s="5063"/>
      <c r="I35" s="5063"/>
      <c r="J35" s="5063"/>
      <c r="K35" s="5063"/>
      <c r="L35" s="5063"/>
      <c r="M35" s="5071"/>
      <c r="N35" s="5071"/>
      <c r="O35" s="5071"/>
      <c r="P35" s="5063"/>
      <c r="Q35" s="5063"/>
      <c r="R35" s="5074"/>
      <c r="S35" s="3516"/>
      <c r="T35" s="523"/>
      <c r="U35" s="523"/>
      <c r="V35" s="2681"/>
      <c r="W35" s="2630"/>
      <c r="X35" s="3544"/>
      <c r="Y35" s="2645"/>
      <c r="Z35" s="2645"/>
      <c r="AA35" s="2645"/>
      <c r="AB35" s="2646"/>
      <c r="AC35" s="532"/>
      <c r="AD35" s="533"/>
      <c r="AE35" s="533"/>
      <c r="AF35" s="5051"/>
      <c r="AG35" s="522"/>
    </row>
    <row r="36" spans="1:33" ht="30" customHeight="1">
      <c r="A36" s="4360"/>
      <c r="B36" s="5056"/>
      <c r="C36" s="5058"/>
      <c r="D36" s="5063"/>
      <c r="E36" s="5063"/>
      <c r="F36" s="5063"/>
      <c r="G36" s="5063"/>
      <c r="H36" s="5063"/>
      <c r="I36" s="5063"/>
      <c r="J36" s="5063"/>
      <c r="K36" s="5063"/>
      <c r="L36" s="5063"/>
      <c r="M36" s="5071"/>
      <c r="N36" s="5071"/>
      <c r="O36" s="5071"/>
      <c r="P36" s="5063"/>
      <c r="Q36" s="5063"/>
      <c r="R36" s="5074"/>
      <c r="S36" s="3516"/>
      <c r="T36" s="523"/>
      <c r="U36" s="523"/>
      <c r="V36" s="2681"/>
      <c r="W36" s="2630"/>
      <c r="X36" s="3544"/>
      <c r="Y36" s="2645"/>
      <c r="Z36" s="2645"/>
      <c r="AA36" s="2645"/>
      <c r="AB36" s="2646"/>
      <c r="AC36" s="532"/>
      <c r="AD36" s="533"/>
      <c r="AE36" s="533"/>
      <c r="AF36" s="5051"/>
      <c r="AG36" s="522"/>
    </row>
    <row r="37" spans="1:33" ht="30" customHeight="1">
      <c r="A37" s="4360"/>
      <c r="B37" s="5056"/>
      <c r="C37" s="5058"/>
      <c r="D37" s="5063"/>
      <c r="E37" s="5063"/>
      <c r="F37" s="5063"/>
      <c r="G37" s="5063"/>
      <c r="H37" s="5063"/>
      <c r="I37" s="5063"/>
      <c r="J37" s="5063"/>
      <c r="K37" s="5063"/>
      <c r="L37" s="5063"/>
      <c r="M37" s="5071"/>
      <c r="N37" s="5071"/>
      <c r="O37" s="5071"/>
      <c r="P37" s="5063"/>
      <c r="Q37" s="5063"/>
      <c r="R37" s="5074"/>
      <c r="S37" s="3522"/>
      <c r="T37" s="529"/>
      <c r="U37" s="529"/>
      <c r="V37" s="2681"/>
      <c r="W37" s="2630"/>
      <c r="X37" s="3544"/>
      <c r="Y37" s="2645"/>
      <c r="Z37" s="2645"/>
      <c r="AA37" s="2645"/>
      <c r="AB37" s="2646"/>
      <c r="AC37" s="532"/>
      <c r="AD37" s="533"/>
      <c r="AE37" s="533"/>
      <c r="AF37" s="5051"/>
      <c r="AG37" s="522"/>
    </row>
    <row r="38" spans="1:33" ht="30" customHeight="1">
      <c r="A38" s="4360"/>
      <c r="B38" s="5056"/>
      <c r="C38" s="5060"/>
      <c r="D38" s="5065"/>
      <c r="E38" s="5065"/>
      <c r="F38" s="5065"/>
      <c r="G38" s="5065"/>
      <c r="H38" s="5065"/>
      <c r="I38" s="5065"/>
      <c r="J38" s="5065"/>
      <c r="K38" s="5065"/>
      <c r="L38" s="5065"/>
      <c r="M38" s="5072"/>
      <c r="N38" s="5072"/>
      <c r="O38" s="5072"/>
      <c r="P38" s="5065"/>
      <c r="Q38" s="5065"/>
      <c r="R38" s="5075"/>
      <c r="S38" s="3569"/>
      <c r="T38" s="3570"/>
      <c r="U38" s="3570"/>
      <c r="V38" s="2686"/>
      <c r="W38" s="1781"/>
      <c r="X38" s="3571"/>
      <c r="Y38" s="2667"/>
      <c r="Z38" s="2667"/>
      <c r="AA38" s="2667"/>
      <c r="AB38" s="2668"/>
      <c r="AC38" s="1782"/>
      <c r="AD38" s="3572"/>
      <c r="AE38" s="3572"/>
      <c r="AF38" s="5085"/>
      <c r="AG38" s="522"/>
    </row>
    <row r="39" spans="1:33" ht="39.75" customHeight="1">
      <c r="A39" s="4360"/>
      <c r="B39" s="5056"/>
      <c r="C39" s="5061" t="s">
        <v>235</v>
      </c>
      <c r="D39" s="5062" t="s">
        <v>236</v>
      </c>
      <c r="E39" s="5062" t="s">
        <v>237</v>
      </c>
      <c r="F39" s="5062" t="s">
        <v>370</v>
      </c>
      <c r="G39" s="5069" t="s">
        <v>239</v>
      </c>
      <c r="H39" s="5062" t="s">
        <v>240</v>
      </c>
      <c r="I39" s="5062" t="s">
        <v>257</v>
      </c>
      <c r="J39" s="5062" t="s">
        <v>5154</v>
      </c>
      <c r="K39" s="5062" t="s">
        <v>1073</v>
      </c>
      <c r="L39" s="5062" t="s">
        <v>5103</v>
      </c>
      <c r="M39" s="5077">
        <v>1</v>
      </c>
      <c r="N39" s="5077">
        <v>1</v>
      </c>
      <c r="O39" s="5077">
        <v>1</v>
      </c>
      <c r="P39" s="5062" t="s">
        <v>5200</v>
      </c>
      <c r="Q39" s="5062" t="s">
        <v>5272</v>
      </c>
      <c r="R39" s="5078" t="s">
        <v>5280</v>
      </c>
      <c r="S39" s="3525"/>
      <c r="T39" s="2018"/>
      <c r="U39" s="2018"/>
      <c r="V39" s="3530"/>
      <c r="W39" s="2633"/>
      <c r="X39" s="3547"/>
      <c r="Y39" s="2651"/>
      <c r="Z39" s="2651"/>
      <c r="AA39" s="2651"/>
      <c r="AB39" s="2652"/>
      <c r="AC39" s="1967"/>
      <c r="AD39" s="2027"/>
      <c r="AE39" s="2027"/>
      <c r="AF39" s="5086"/>
      <c r="AG39" s="522"/>
    </row>
    <row r="40" spans="1:33" ht="39.75" customHeight="1">
      <c r="A40" s="4360"/>
      <c r="B40" s="5056"/>
      <c r="C40" s="5058"/>
      <c r="D40" s="5063"/>
      <c r="E40" s="5063"/>
      <c r="F40" s="5063"/>
      <c r="G40" s="5063"/>
      <c r="H40" s="5063"/>
      <c r="I40" s="5063"/>
      <c r="J40" s="5063"/>
      <c r="K40" s="5063"/>
      <c r="L40" s="5063"/>
      <c r="M40" s="5071"/>
      <c r="N40" s="5071"/>
      <c r="O40" s="5071"/>
      <c r="P40" s="5063"/>
      <c r="Q40" s="5063"/>
      <c r="R40" s="5074"/>
      <c r="S40" s="3516"/>
      <c r="T40" s="523"/>
      <c r="U40" s="523"/>
      <c r="V40" s="2681"/>
      <c r="W40" s="2630"/>
      <c r="X40" s="3544"/>
      <c r="Y40" s="2645"/>
      <c r="Z40" s="2645"/>
      <c r="AA40" s="2645"/>
      <c r="AB40" s="2646"/>
      <c r="AC40" s="532"/>
      <c r="AD40" s="532"/>
      <c r="AE40" s="526"/>
      <c r="AF40" s="5051"/>
      <c r="AG40" s="522"/>
    </row>
    <row r="41" spans="1:33" ht="39.75" customHeight="1">
      <c r="A41" s="4360"/>
      <c r="B41" s="5056"/>
      <c r="C41" s="5058"/>
      <c r="D41" s="5063"/>
      <c r="E41" s="5063"/>
      <c r="F41" s="5063"/>
      <c r="G41" s="5063"/>
      <c r="H41" s="5063"/>
      <c r="I41" s="5063"/>
      <c r="J41" s="5063"/>
      <c r="K41" s="5063"/>
      <c r="L41" s="5063"/>
      <c r="M41" s="5071"/>
      <c r="N41" s="5071"/>
      <c r="O41" s="5071"/>
      <c r="P41" s="5063"/>
      <c r="Q41" s="5063"/>
      <c r="R41" s="5074"/>
      <c r="S41" s="3516"/>
      <c r="T41" s="523"/>
      <c r="U41" s="523"/>
      <c r="V41" s="2681"/>
      <c r="W41" s="2630"/>
      <c r="X41" s="3544"/>
      <c r="Y41" s="2645"/>
      <c r="Z41" s="2645"/>
      <c r="AA41" s="2645"/>
      <c r="AB41" s="2646"/>
      <c r="AC41" s="532"/>
      <c r="AD41" s="532"/>
      <c r="AE41" s="533"/>
      <c r="AF41" s="5051"/>
      <c r="AG41" s="522"/>
    </row>
    <row r="42" spans="1:33" ht="39.75" customHeight="1">
      <c r="A42" s="4360"/>
      <c r="B42" s="5056"/>
      <c r="C42" s="5058"/>
      <c r="D42" s="5063"/>
      <c r="E42" s="5063"/>
      <c r="F42" s="5063"/>
      <c r="G42" s="5063"/>
      <c r="H42" s="5063"/>
      <c r="I42" s="5063"/>
      <c r="J42" s="5063"/>
      <c r="K42" s="5063"/>
      <c r="L42" s="5063"/>
      <c r="M42" s="5071"/>
      <c r="N42" s="5071"/>
      <c r="O42" s="5071"/>
      <c r="P42" s="5063"/>
      <c r="Q42" s="5063"/>
      <c r="R42" s="5074"/>
      <c r="S42" s="3516"/>
      <c r="T42" s="523"/>
      <c r="U42" s="523"/>
      <c r="V42" s="2681"/>
      <c r="W42" s="2630"/>
      <c r="X42" s="3544"/>
      <c r="Y42" s="2645"/>
      <c r="Z42" s="2645"/>
      <c r="AA42" s="2645"/>
      <c r="AB42" s="2646"/>
      <c r="AC42" s="532"/>
      <c r="AD42" s="532"/>
      <c r="AE42" s="533"/>
      <c r="AF42" s="5051"/>
      <c r="AG42" s="522"/>
    </row>
    <row r="43" spans="1:33" ht="39.75" customHeight="1">
      <c r="A43" s="4360"/>
      <c r="B43" s="5056"/>
      <c r="C43" s="5058"/>
      <c r="D43" s="5063"/>
      <c r="E43" s="5063"/>
      <c r="F43" s="5063"/>
      <c r="G43" s="5063"/>
      <c r="H43" s="5063"/>
      <c r="I43" s="5063"/>
      <c r="J43" s="5063"/>
      <c r="K43" s="5063"/>
      <c r="L43" s="5063"/>
      <c r="M43" s="5071"/>
      <c r="N43" s="5071"/>
      <c r="O43" s="5071"/>
      <c r="P43" s="5063"/>
      <c r="Q43" s="5063"/>
      <c r="R43" s="5074"/>
      <c r="S43" s="3523"/>
      <c r="T43" s="530"/>
      <c r="U43" s="530"/>
      <c r="V43" s="2682"/>
      <c r="W43" s="2631"/>
      <c r="X43" s="3548"/>
      <c r="Y43" s="2647"/>
      <c r="Z43" s="2647"/>
      <c r="AA43" s="2647"/>
      <c r="AB43" s="3557"/>
      <c r="AC43" s="575"/>
      <c r="AD43" s="575"/>
      <c r="AE43" s="321"/>
      <c r="AF43" s="5051"/>
      <c r="AG43" s="522"/>
    </row>
    <row r="44" spans="1:33" ht="30" customHeight="1">
      <c r="A44" s="4360"/>
      <c r="B44" s="5056"/>
      <c r="C44" s="5059" t="s">
        <v>235</v>
      </c>
      <c r="D44" s="5064" t="s">
        <v>236</v>
      </c>
      <c r="E44" s="5064" t="s">
        <v>237</v>
      </c>
      <c r="F44" s="5064" t="s">
        <v>370</v>
      </c>
      <c r="G44" s="5076" t="s">
        <v>239</v>
      </c>
      <c r="H44" s="5064" t="s">
        <v>240</v>
      </c>
      <c r="I44" s="5064" t="s">
        <v>257</v>
      </c>
      <c r="J44" s="5076" t="s">
        <v>5155</v>
      </c>
      <c r="K44" s="5064" t="s">
        <v>1074</v>
      </c>
      <c r="L44" s="5064" t="s">
        <v>5104</v>
      </c>
      <c r="M44" s="5079">
        <v>0</v>
      </c>
      <c r="N44" s="5079">
        <v>0</v>
      </c>
      <c r="O44" s="5070">
        <v>1</v>
      </c>
      <c r="P44" s="5064" t="s">
        <v>5201</v>
      </c>
      <c r="Q44" s="5064" t="s">
        <v>5271</v>
      </c>
      <c r="R44" s="5073" t="s">
        <v>5281</v>
      </c>
      <c r="S44" s="3573"/>
      <c r="T44" s="3574"/>
      <c r="U44" s="3574"/>
      <c r="V44" s="3575"/>
      <c r="W44" s="3576"/>
      <c r="X44" s="3577"/>
      <c r="Y44" s="3578"/>
      <c r="Z44" s="3578"/>
      <c r="AA44" s="3578"/>
      <c r="AB44" s="3579"/>
      <c r="AC44" s="3580"/>
      <c r="AD44" s="3582"/>
      <c r="AE44" s="3582"/>
      <c r="AF44" s="5084"/>
      <c r="AG44" s="522"/>
    </row>
    <row r="45" spans="1:33" ht="30" customHeight="1">
      <c r="A45" s="4360"/>
      <c r="B45" s="5056"/>
      <c r="C45" s="5058"/>
      <c r="D45" s="5063"/>
      <c r="E45" s="5063"/>
      <c r="F45" s="5063"/>
      <c r="G45" s="5063"/>
      <c r="H45" s="5063"/>
      <c r="I45" s="5063"/>
      <c r="J45" s="5063"/>
      <c r="K45" s="5063"/>
      <c r="L45" s="5063"/>
      <c r="M45" s="5071"/>
      <c r="N45" s="5071"/>
      <c r="O45" s="5071"/>
      <c r="P45" s="5063"/>
      <c r="Q45" s="5063"/>
      <c r="R45" s="5074"/>
      <c r="S45" s="3516"/>
      <c r="T45" s="523"/>
      <c r="U45" s="523"/>
      <c r="V45" s="2681"/>
      <c r="W45" s="2630"/>
      <c r="X45" s="3544"/>
      <c r="Y45" s="2645"/>
      <c r="Z45" s="2645"/>
      <c r="AA45" s="2645"/>
      <c r="AB45" s="2646"/>
      <c r="AC45" s="532"/>
      <c r="AD45" s="533"/>
      <c r="AE45" s="533"/>
      <c r="AF45" s="5051"/>
      <c r="AG45" s="522"/>
    </row>
    <row r="46" spans="1:33" ht="30" customHeight="1">
      <c r="A46" s="4360"/>
      <c r="B46" s="5056"/>
      <c r="C46" s="5058"/>
      <c r="D46" s="5063"/>
      <c r="E46" s="5063"/>
      <c r="F46" s="5063"/>
      <c r="G46" s="5063"/>
      <c r="H46" s="5063"/>
      <c r="I46" s="5063"/>
      <c r="J46" s="5063"/>
      <c r="K46" s="5063"/>
      <c r="L46" s="5063"/>
      <c r="M46" s="5071"/>
      <c r="N46" s="5071"/>
      <c r="O46" s="5071"/>
      <c r="P46" s="5063"/>
      <c r="Q46" s="5063"/>
      <c r="R46" s="5074"/>
      <c r="S46" s="3516"/>
      <c r="T46" s="523"/>
      <c r="U46" s="523"/>
      <c r="V46" s="2681"/>
      <c r="W46" s="2630"/>
      <c r="X46" s="3544"/>
      <c r="Y46" s="2645"/>
      <c r="Z46" s="2645"/>
      <c r="AA46" s="2645"/>
      <c r="AB46" s="2646"/>
      <c r="AC46" s="532"/>
      <c r="AD46" s="533"/>
      <c r="AE46" s="533"/>
      <c r="AF46" s="5051"/>
      <c r="AG46" s="522"/>
    </row>
    <row r="47" spans="1:33" ht="30" customHeight="1">
      <c r="A47" s="4360"/>
      <c r="B47" s="5056"/>
      <c r="C47" s="5058"/>
      <c r="D47" s="5063"/>
      <c r="E47" s="5063"/>
      <c r="F47" s="5063"/>
      <c r="G47" s="5063"/>
      <c r="H47" s="5063"/>
      <c r="I47" s="5063"/>
      <c r="J47" s="5063"/>
      <c r="K47" s="5063"/>
      <c r="L47" s="5063"/>
      <c r="M47" s="5071"/>
      <c r="N47" s="5071"/>
      <c r="O47" s="5071"/>
      <c r="P47" s="5063"/>
      <c r="Q47" s="5063"/>
      <c r="R47" s="5074"/>
      <c r="S47" s="3516"/>
      <c r="T47" s="523"/>
      <c r="U47" s="523"/>
      <c r="V47" s="2681"/>
      <c r="W47" s="2630"/>
      <c r="X47" s="3544"/>
      <c r="Y47" s="2645"/>
      <c r="Z47" s="2645"/>
      <c r="AA47" s="2645"/>
      <c r="AB47" s="2646"/>
      <c r="AC47" s="532"/>
      <c r="AD47" s="533"/>
      <c r="AE47" s="533"/>
      <c r="AF47" s="5051"/>
      <c r="AG47" s="522"/>
    </row>
    <row r="48" spans="1:33" ht="30" customHeight="1">
      <c r="A48" s="4360"/>
      <c r="B48" s="5056"/>
      <c r="C48" s="5060"/>
      <c r="D48" s="5065"/>
      <c r="E48" s="5065"/>
      <c r="F48" s="5065"/>
      <c r="G48" s="5065"/>
      <c r="H48" s="5065"/>
      <c r="I48" s="5065"/>
      <c r="J48" s="5065"/>
      <c r="K48" s="5065"/>
      <c r="L48" s="5065"/>
      <c r="M48" s="5072"/>
      <c r="N48" s="5072"/>
      <c r="O48" s="5072"/>
      <c r="P48" s="5065"/>
      <c r="Q48" s="5065"/>
      <c r="R48" s="5075"/>
      <c r="S48" s="3569"/>
      <c r="T48" s="3570"/>
      <c r="U48" s="3570"/>
      <c r="V48" s="2686"/>
      <c r="W48" s="1781"/>
      <c r="X48" s="3571"/>
      <c r="Y48" s="2667"/>
      <c r="Z48" s="2667"/>
      <c r="AA48" s="2667"/>
      <c r="AB48" s="2668"/>
      <c r="AC48" s="1782"/>
      <c r="AD48" s="3572"/>
      <c r="AE48" s="3572"/>
      <c r="AF48" s="5085"/>
      <c r="AG48" s="522"/>
    </row>
    <row r="49" spans="1:33" ht="30" customHeight="1">
      <c r="A49" s="4360"/>
      <c r="B49" s="5056"/>
      <c r="C49" s="5061" t="s">
        <v>235</v>
      </c>
      <c r="D49" s="5062" t="s">
        <v>236</v>
      </c>
      <c r="E49" s="5062" t="s">
        <v>237</v>
      </c>
      <c r="F49" s="5062" t="s">
        <v>370</v>
      </c>
      <c r="G49" s="5069" t="s">
        <v>239</v>
      </c>
      <c r="H49" s="5062" t="s">
        <v>240</v>
      </c>
      <c r="I49" s="5062" t="s">
        <v>257</v>
      </c>
      <c r="J49" s="5069" t="s">
        <v>5156</v>
      </c>
      <c r="K49" s="5062" t="s">
        <v>1075</v>
      </c>
      <c r="L49" s="5062" t="s">
        <v>5105</v>
      </c>
      <c r="M49" s="5092">
        <v>0</v>
      </c>
      <c r="N49" s="5077">
        <v>1</v>
      </c>
      <c r="O49" s="5077">
        <v>1</v>
      </c>
      <c r="P49" s="5062" t="s">
        <v>5202</v>
      </c>
      <c r="Q49" s="5062" t="s">
        <v>5270</v>
      </c>
      <c r="R49" s="5078" t="s">
        <v>5280</v>
      </c>
      <c r="S49" s="3525"/>
      <c r="T49" s="2018"/>
      <c r="U49" s="2018"/>
      <c r="V49" s="3530"/>
      <c r="W49" s="2633"/>
      <c r="X49" s="3547"/>
      <c r="Y49" s="2651"/>
      <c r="Z49" s="2651"/>
      <c r="AA49" s="2651"/>
      <c r="AB49" s="2652"/>
      <c r="AC49" s="1967"/>
      <c r="AD49" s="1971"/>
      <c r="AE49" s="1971"/>
      <c r="AF49" s="5086"/>
      <c r="AG49" s="522"/>
    </row>
    <row r="50" spans="1:33" ht="30" customHeight="1">
      <c r="A50" s="4360"/>
      <c r="B50" s="5056"/>
      <c r="C50" s="5058"/>
      <c r="D50" s="5063"/>
      <c r="E50" s="5063"/>
      <c r="F50" s="5063"/>
      <c r="G50" s="5063"/>
      <c r="H50" s="5063"/>
      <c r="I50" s="5063"/>
      <c r="J50" s="5063"/>
      <c r="K50" s="5063"/>
      <c r="L50" s="5063"/>
      <c r="M50" s="5071"/>
      <c r="N50" s="5071"/>
      <c r="O50" s="5071"/>
      <c r="P50" s="5063"/>
      <c r="Q50" s="5063"/>
      <c r="R50" s="5074"/>
      <c r="S50" s="3516"/>
      <c r="T50" s="523"/>
      <c r="U50" s="523"/>
      <c r="V50" s="2681"/>
      <c r="W50" s="2630"/>
      <c r="X50" s="3544"/>
      <c r="Y50" s="2645"/>
      <c r="Z50" s="2645"/>
      <c r="AA50" s="2645"/>
      <c r="AB50" s="2646"/>
      <c r="AC50" s="532"/>
      <c r="AD50" s="533"/>
      <c r="AE50" s="533"/>
      <c r="AF50" s="5051"/>
      <c r="AG50" s="522"/>
    </row>
    <row r="51" spans="1:33" ht="30" customHeight="1">
      <c r="A51" s="4360"/>
      <c r="B51" s="5056"/>
      <c r="C51" s="5058"/>
      <c r="D51" s="5063"/>
      <c r="E51" s="5063"/>
      <c r="F51" s="5063"/>
      <c r="G51" s="5063"/>
      <c r="H51" s="5063"/>
      <c r="I51" s="5063"/>
      <c r="J51" s="5063"/>
      <c r="K51" s="5063"/>
      <c r="L51" s="5063"/>
      <c r="M51" s="5071"/>
      <c r="N51" s="5071"/>
      <c r="O51" s="5071"/>
      <c r="P51" s="5063"/>
      <c r="Q51" s="5063"/>
      <c r="R51" s="5074"/>
      <c r="S51" s="3516"/>
      <c r="T51" s="523"/>
      <c r="U51" s="523"/>
      <c r="V51" s="2681"/>
      <c r="W51" s="2630"/>
      <c r="X51" s="3544"/>
      <c r="Y51" s="2645"/>
      <c r="Z51" s="2645"/>
      <c r="AA51" s="2645"/>
      <c r="AB51" s="2646"/>
      <c r="AC51" s="532"/>
      <c r="AD51" s="533"/>
      <c r="AE51" s="533"/>
      <c r="AF51" s="5051"/>
      <c r="AG51" s="522"/>
    </row>
    <row r="52" spans="1:33" ht="30" customHeight="1">
      <c r="A52" s="4360"/>
      <c r="B52" s="5056"/>
      <c r="C52" s="5058"/>
      <c r="D52" s="5063"/>
      <c r="E52" s="5063"/>
      <c r="F52" s="5063"/>
      <c r="G52" s="5063"/>
      <c r="H52" s="5063"/>
      <c r="I52" s="5063"/>
      <c r="J52" s="5063"/>
      <c r="K52" s="5063"/>
      <c r="L52" s="5063"/>
      <c r="M52" s="5071"/>
      <c r="N52" s="5071"/>
      <c r="O52" s="5071"/>
      <c r="P52" s="5063"/>
      <c r="Q52" s="5063"/>
      <c r="R52" s="5074"/>
      <c r="S52" s="3516"/>
      <c r="T52" s="523"/>
      <c r="U52" s="523"/>
      <c r="V52" s="2681"/>
      <c r="W52" s="2630"/>
      <c r="X52" s="3544"/>
      <c r="Y52" s="2645"/>
      <c r="Z52" s="2645"/>
      <c r="AA52" s="2645"/>
      <c r="AB52" s="2646"/>
      <c r="AC52" s="532"/>
      <c r="AD52" s="533"/>
      <c r="AE52" s="533"/>
      <c r="AF52" s="5051"/>
      <c r="AG52" s="522"/>
    </row>
    <row r="53" spans="1:33" ht="30" customHeight="1">
      <c r="A53" s="4360"/>
      <c r="B53" s="5056"/>
      <c r="C53" s="5058"/>
      <c r="D53" s="5063"/>
      <c r="E53" s="5063"/>
      <c r="F53" s="5063"/>
      <c r="G53" s="5063"/>
      <c r="H53" s="5063"/>
      <c r="I53" s="5063"/>
      <c r="J53" s="5063"/>
      <c r="K53" s="5063"/>
      <c r="L53" s="5063"/>
      <c r="M53" s="5071"/>
      <c r="N53" s="5071"/>
      <c r="O53" s="5071"/>
      <c r="P53" s="5063"/>
      <c r="Q53" s="5063"/>
      <c r="R53" s="5074"/>
      <c r="S53" s="3523"/>
      <c r="T53" s="530"/>
      <c r="U53" s="530"/>
      <c r="V53" s="2682"/>
      <c r="W53" s="2631"/>
      <c r="X53" s="3548"/>
      <c r="Y53" s="2647"/>
      <c r="Z53" s="2647"/>
      <c r="AA53" s="2647"/>
      <c r="AB53" s="3557"/>
      <c r="AC53" s="575"/>
      <c r="AD53" s="321"/>
      <c r="AE53" s="321"/>
      <c r="AF53" s="5051"/>
      <c r="AG53" s="522"/>
    </row>
    <row r="54" spans="1:33" ht="31.5" customHeight="1">
      <c r="A54" s="4360"/>
      <c r="B54" s="5056"/>
      <c r="C54" s="5059" t="s">
        <v>235</v>
      </c>
      <c r="D54" s="5064" t="s">
        <v>236</v>
      </c>
      <c r="E54" s="5064" t="s">
        <v>237</v>
      </c>
      <c r="F54" s="5064" t="s">
        <v>370</v>
      </c>
      <c r="G54" s="5076" t="s">
        <v>239</v>
      </c>
      <c r="H54" s="5064" t="s">
        <v>240</v>
      </c>
      <c r="I54" s="5064" t="s">
        <v>257</v>
      </c>
      <c r="J54" s="5064" t="s">
        <v>5157</v>
      </c>
      <c r="K54" s="5064" t="s">
        <v>1076</v>
      </c>
      <c r="L54" s="5064" t="s">
        <v>5106</v>
      </c>
      <c r="M54" s="5070">
        <v>1</v>
      </c>
      <c r="N54" s="5070">
        <v>0</v>
      </c>
      <c r="O54" s="5070">
        <v>1</v>
      </c>
      <c r="P54" s="5064" t="s">
        <v>5282</v>
      </c>
      <c r="Q54" s="5064" t="s">
        <v>5283</v>
      </c>
      <c r="R54" s="5073" t="s">
        <v>5280</v>
      </c>
      <c r="S54" s="3573"/>
      <c r="T54" s="3574"/>
      <c r="U54" s="3574"/>
      <c r="V54" s="3575"/>
      <c r="W54" s="3576"/>
      <c r="X54" s="3577"/>
      <c r="Y54" s="3578"/>
      <c r="Z54" s="3578"/>
      <c r="AA54" s="3578"/>
      <c r="AB54" s="3579"/>
      <c r="AC54" s="3580"/>
      <c r="AD54" s="3582"/>
      <c r="AE54" s="3582"/>
      <c r="AF54" s="5084"/>
      <c r="AG54" s="522"/>
    </row>
    <row r="55" spans="1:33" ht="31.5" customHeight="1">
      <c r="A55" s="4360"/>
      <c r="B55" s="5056"/>
      <c r="C55" s="5058"/>
      <c r="D55" s="5063"/>
      <c r="E55" s="5063"/>
      <c r="F55" s="5063"/>
      <c r="G55" s="5063"/>
      <c r="H55" s="5063"/>
      <c r="I55" s="5063"/>
      <c r="J55" s="5063"/>
      <c r="K55" s="5063"/>
      <c r="L55" s="5063"/>
      <c r="M55" s="5071"/>
      <c r="N55" s="5071"/>
      <c r="O55" s="5071"/>
      <c r="P55" s="5063"/>
      <c r="Q55" s="5063"/>
      <c r="R55" s="5074"/>
      <c r="S55" s="3516"/>
      <c r="T55" s="523"/>
      <c r="U55" s="523"/>
      <c r="V55" s="2681"/>
      <c r="W55" s="2630"/>
      <c r="X55" s="3544"/>
      <c r="Y55" s="2645"/>
      <c r="Z55" s="2645"/>
      <c r="AA55" s="2645"/>
      <c r="AB55" s="2646"/>
      <c r="AC55" s="532"/>
      <c r="AD55" s="533"/>
      <c r="AE55" s="533"/>
      <c r="AF55" s="5051"/>
      <c r="AG55" s="522"/>
    </row>
    <row r="56" spans="1:33" ht="31.5" customHeight="1">
      <c r="A56" s="4360"/>
      <c r="B56" s="5056"/>
      <c r="C56" s="5058"/>
      <c r="D56" s="5063"/>
      <c r="E56" s="5063"/>
      <c r="F56" s="5063"/>
      <c r="G56" s="5063"/>
      <c r="H56" s="5063"/>
      <c r="I56" s="5063"/>
      <c r="J56" s="5063"/>
      <c r="K56" s="5063"/>
      <c r="L56" s="5063"/>
      <c r="M56" s="5071"/>
      <c r="N56" s="5071"/>
      <c r="O56" s="5071"/>
      <c r="P56" s="5063"/>
      <c r="Q56" s="5063"/>
      <c r="R56" s="5074"/>
      <c r="S56" s="3516"/>
      <c r="T56" s="523"/>
      <c r="U56" s="523"/>
      <c r="V56" s="2681"/>
      <c r="W56" s="2630"/>
      <c r="X56" s="3544"/>
      <c r="Y56" s="2645"/>
      <c r="Z56" s="2645"/>
      <c r="AA56" s="2645"/>
      <c r="AB56" s="2646"/>
      <c r="AC56" s="532"/>
      <c r="AD56" s="533"/>
      <c r="AE56" s="533"/>
      <c r="AF56" s="5051"/>
      <c r="AG56" s="522"/>
    </row>
    <row r="57" spans="1:33" ht="31.5" customHeight="1">
      <c r="A57" s="4360"/>
      <c r="B57" s="5056"/>
      <c r="C57" s="5058"/>
      <c r="D57" s="5063"/>
      <c r="E57" s="5063"/>
      <c r="F57" s="5063"/>
      <c r="G57" s="5063"/>
      <c r="H57" s="5063"/>
      <c r="I57" s="5063"/>
      <c r="J57" s="5063"/>
      <c r="K57" s="5063"/>
      <c r="L57" s="5063"/>
      <c r="M57" s="5071"/>
      <c r="N57" s="5071"/>
      <c r="O57" s="5071"/>
      <c r="P57" s="5063"/>
      <c r="Q57" s="5063"/>
      <c r="R57" s="5074"/>
      <c r="S57" s="3516"/>
      <c r="T57" s="523"/>
      <c r="U57" s="523"/>
      <c r="V57" s="2681"/>
      <c r="W57" s="2630"/>
      <c r="X57" s="3544"/>
      <c r="Y57" s="2645"/>
      <c r="Z57" s="2645"/>
      <c r="AA57" s="2645"/>
      <c r="AB57" s="2646"/>
      <c r="AC57" s="532"/>
      <c r="AD57" s="533"/>
      <c r="AE57" s="533"/>
      <c r="AF57" s="5051"/>
      <c r="AG57" s="522"/>
    </row>
    <row r="58" spans="1:33" ht="31.5" customHeight="1">
      <c r="A58" s="4360"/>
      <c r="B58" s="5056"/>
      <c r="C58" s="5060"/>
      <c r="D58" s="5065"/>
      <c r="E58" s="5065"/>
      <c r="F58" s="5065"/>
      <c r="G58" s="5065"/>
      <c r="H58" s="5065"/>
      <c r="I58" s="5065"/>
      <c r="J58" s="5065"/>
      <c r="K58" s="5065"/>
      <c r="L58" s="5065"/>
      <c r="M58" s="5072"/>
      <c r="N58" s="5072"/>
      <c r="O58" s="5072"/>
      <c r="P58" s="5065"/>
      <c r="Q58" s="5065"/>
      <c r="R58" s="5075"/>
      <c r="S58" s="3569"/>
      <c r="T58" s="3570"/>
      <c r="U58" s="3570"/>
      <c r="V58" s="2686"/>
      <c r="W58" s="1781"/>
      <c r="X58" s="3571"/>
      <c r="Y58" s="2667"/>
      <c r="Z58" s="2667"/>
      <c r="AA58" s="2667"/>
      <c r="AB58" s="2668"/>
      <c r="AC58" s="1782"/>
      <c r="AD58" s="3572"/>
      <c r="AE58" s="3572"/>
      <c r="AF58" s="5085"/>
      <c r="AG58" s="522"/>
    </row>
    <row r="59" spans="1:33" ht="23.25" customHeight="1">
      <c r="A59" s="4360"/>
      <c r="B59" s="5056"/>
      <c r="C59" s="5061" t="s">
        <v>235</v>
      </c>
      <c r="D59" s="5062" t="s">
        <v>236</v>
      </c>
      <c r="E59" s="5062" t="s">
        <v>237</v>
      </c>
      <c r="F59" s="5062" t="s">
        <v>370</v>
      </c>
      <c r="G59" s="5069" t="s">
        <v>239</v>
      </c>
      <c r="H59" s="5062" t="s">
        <v>240</v>
      </c>
      <c r="I59" s="5062" t="s">
        <v>257</v>
      </c>
      <c r="J59" s="5069" t="s">
        <v>5158</v>
      </c>
      <c r="K59" s="5062" t="s">
        <v>1077</v>
      </c>
      <c r="L59" s="5062" t="s">
        <v>5107</v>
      </c>
      <c r="M59" s="5077">
        <v>1</v>
      </c>
      <c r="N59" s="5092">
        <v>0</v>
      </c>
      <c r="O59" s="5077">
        <v>1</v>
      </c>
      <c r="P59" s="5062" t="s">
        <v>5203</v>
      </c>
      <c r="Q59" s="5062" t="s">
        <v>5269</v>
      </c>
      <c r="R59" s="5078" t="s">
        <v>5281</v>
      </c>
      <c r="S59" s="3525"/>
      <c r="T59" s="2018"/>
      <c r="U59" s="2018"/>
      <c r="V59" s="3530"/>
      <c r="W59" s="2633"/>
      <c r="X59" s="3547"/>
      <c r="Y59" s="2651"/>
      <c r="Z59" s="2651"/>
      <c r="AA59" s="2651"/>
      <c r="AB59" s="2652"/>
      <c r="AC59" s="1967"/>
      <c r="AD59" s="1971"/>
      <c r="AE59" s="1971"/>
      <c r="AF59" s="5086"/>
      <c r="AG59" s="522"/>
    </row>
    <row r="60" spans="1:33" ht="23.25" customHeight="1">
      <c r="A60" s="4360"/>
      <c r="B60" s="5056"/>
      <c r="C60" s="5058"/>
      <c r="D60" s="5063"/>
      <c r="E60" s="5063"/>
      <c r="F60" s="5063"/>
      <c r="G60" s="5063"/>
      <c r="H60" s="5063"/>
      <c r="I60" s="5063"/>
      <c r="J60" s="5063"/>
      <c r="K60" s="5063"/>
      <c r="L60" s="5063"/>
      <c r="M60" s="5071"/>
      <c r="N60" s="5071"/>
      <c r="O60" s="5071"/>
      <c r="P60" s="5063"/>
      <c r="Q60" s="5063"/>
      <c r="R60" s="5074"/>
      <c r="S60" s="3516"/>
      <c r="T60" s="523"/>
      <c r="U60" s="523"/>
      <c r="V60" s="2681"/>
      <c r="W60" s="2630"/>
      <c r="X60" s="3544"/>
      <c r="Y60" s="2645"/>
      <c r="Z60" s="2645"/>
      <c r="AA60" s="2645"/>
      <c r="AB60" s="2646"/>
      <c r="AC60" s="532"/>
      <c r="AD60" s="533"/>
      <c r="AE60" s="533"/>
      <c r="AF60" s="5051"/>
      <c r="AG60" s="522"/>
    </row>
    <row r="61" spans="1:33" ht="23.25" customHeight="1">
      <c r="A61" s="4360"/>
      <c r="B61" s="5056"/>
      <c r="C61" s="5058"/>
      <c r="D61" s="5063"/>
      <c r="E61" s="5063"/>
      <c r="F61" s="5063"/>
      <c r="G61" s="5063"/>
      <c r="H61" s="5063"/>
      <c r="I61" s="5063"/>
      <c r="J61" s="5063"/>
      <c r="K61" s="5063"/>
      <c r="L61" s="5063"/>
      <c r="M61" s="5071"/>
      <c r="N61" s="5071"/>
      <c r="O61" s="5071"/>
      <c r="P61" s="5063"/>
      <c r="Q61" s="5063"/>
      <c r="R61" s="5074"/>
      <c r="S61" s="3516"/>
      <c r="T61" s="523"/>
      <c r="U61" s="523"/>
      <c r="V61" s="2681"/>
      <c r="W61" s="2630"/>
      <c r="X61" s="3544"/>
      <c r="Y61" s="2645"/>
      <c r="Z61" s="2645"/>
      <c r="AA61" s="2645"/>
      <c r="AB61" s="2646"/>
      <c r="AC61" s="532"/>
      <c r="AD61" s="533"/>
      <c r="AE61" s="533"/>
      <c r="AF61" s="5051"/>
      <c r="AG61" s="522"/>
    </row>
    <row r="62" spans="1:33" ht="23.25" customHeight="1">
      <c r="A62" s="4360"/>
      <c r="B62" s="5056"/>
      <c r="C62" s="5058"/>
      <c r="D62" s="5063"/>
      <c r="E62" s="5063"/>
      <c r="F62" s="5063"/>
      <c r="G62" s="5063"/>
      <c r="H62" s="5063"/>
      <c r="I62" s="5063"/>
      <c r="J62" s="5063"/>
      <c r="K62" s="5063"/>
      <c r="L62" s="5063"/>
      <c r="M62" s="5071"/>
      <c r="N62" s="5071"/>
      <c r="O62" s="5071"/>
      <c r="P62" s="5063"/>
      <c r="Q62" s="5063"/>
      <c r="R62" s="5074"/>
      <c r="S62" s="3516"/>
      <c r="T62" s="523"/>
      <c r="U62" s="523"/>
      <c r="V62" s="2681"/>
      <c r="W62" s="2630"/>
      <c r="X62" s="3544"/>
      <c r="Y62" s="2645"/>
      <c r="Z62" s="2645"/>
      <c r="AA62" s="2645"/>
      <c r="AB62" s="2646"/>
      <c r="AC62" s="532"/>
      <c r="AD62" s="533"/>
      <c r="AE62" s="533"/>
      <c r="AF62" s="5051"/>
      <c r="AG62" s="522"/>
    </row>
    <row r="63" spans="1:33" ht="23.25" customHeight="1">
      <c r="A63" s="4360"/>
      <c r="B63" s="5056"/>
      <c r="C63" s="5058"/>
      <c r="D63" s="5063"/>
      <c r="E63" s="5063"/>
      <c r="F63" s="5063"/>
      <c r="G63" s="5063"/>
      <c r="H63" s="5063"/>
      <c r="I63" s="5063"/>
      <c r="J63" s="5063"/>
      <c r="K63" s="5063"/>
      <c r="L63" s="5063"/>
      <c r="M63" s="5071"/>
      <c r="N63" s="5071"/>
      <c r="O63" s="5071"/>
      <c r="P63" s="5063"/>
      <c r="Q63" s="5063"/>
      <c r="R63" s="5074"/>
      <c r="S63" s="3523"/>
      <c r="T63" s="530"/>
      <c r="U63" s="530"/>
      <c r="V63" s="2682"/>
      <c r="W63" s="2631"/>
      <c r="X63" s="3548"/>
      <c r="Y63" s="2647"/>
      <c r="Z63" s="2647"/>
      <c r="AA63" s="2647"/>
      <c r="AB63" s="3557"/>
      <c r="AC63" s="575"/>
      <c r="AD63" s="321"/>
      <c r="AE63" s="321"/>
      <c r="AF63" s="5051"/>
      <c r="AG63" s="522"/>
    </row>
    <row r="64" spans="1:33" ht="18" customHeight="1">
      <c r="A64" s="4360"/>
      <c r="B64" s="5056"/>
      <c r="C64" s="5059" t="s">
        <v>235</v>
      </c>
      <c r="D64" s="5064" t="s">
        <v>236</v>
      </c>
      <c r="E64" s="5064" t="s">
        <v>237</v>
      </c>
      <c r="F64" s="5064" t="s">
        <v>370</v>
      </c>
      <c r="G64" s="5076" t="s">
        <v>239</v>
      </c>
      <c r="H64" s="5064" t="s">
        <v>240</v>
      </c>
      <c r="I64" s="5064" t="s">
        <v>257</v>
      </c>
      <c r="J64" s="5076" t="s">
        <v>5159</v>
      </c>
      <c r="K64" s="5064" t="s">
        <v>1078</v>
      </c>
      <c r="L64" s="5064" t="s">
        <v>5108</v>
      </c>
      <c r="M64" s="5070">
        <v>1</v>
      </c>
      <c r="N64" s="5070">
        <v>0</v>
      </c>
      <c r="O64" s="5070">
        <v>1</v>
      </c>
      <c r="P64" s="5064" t="s">
        <v>5204</v>
      </c>
      <c r="Q64" s="5064" t="s">
        <v>5268</v>
      </c>
      <c r="R64" s="5073" t="s">
        <v>5280</v>
      </c>
      <c r="S64" s="3583" t="s">
        <v>17</v>
      </c>
      <c r="T64" s="3574">
        <v>840107</v>
      </c>
      <c r="U64" s="3574"/>
      <c r="V64" s="3575" t="s">
        <v>20</v>
      </c>
      <c r="W64" s="3576"/>
      <c r="X64" s="3577"/>
      <c r="Y64" s="3578"/>
      <c r="Z64" s="3578"/>
      <c r="AA64" s="3578"/>
      <c r="AB64" s="3584">
        <f>SUM($AA$65:$AA$73)</f>
        <v>113435.99679999999</v>
      </c>
      <c r="AC64" s="3580"/>
      <c r="AD64" s="3582"/>
      <c r="AE64" s="3582"/>
      <c r="AF64" s="5093" t="s">
        <v>5084</v>
      </c>
      <c r="AG64" s="522"/>
    </row>
    <row r="65" spans="1:33" ht="18" customHeight="1">
      <c r="A65" s="4360"/>
      <c r="B65" s="5056"/>
      <c r="C65" s="5058"/>
      <c r="D65" s="5063"/>
      <c r="E65" s="5063"/>
      <c r="F65" s="5063"/>
      <c r="G65" s="5063"/>
      <c r="H65" s="5063"/>
      <c r="I65" s="5063"/>
      <c r="J65" s="5063"/>
      <c r="K65" s="5063"/>
      <c r="L65" s="5063"/>
      <c r="M65" s="5071"/>
      <c r="N65" s="5071"/>
      <c r="O65" s="5071"/>
      <c r="P65" s="5063"/>
      <c r="Q65" s="5063"/>
      <c r="R65" s="5074"/>
      <c r="S65" s="3516"/>
      <c r="T65" s="523"/>
      <c r="U65" s="3381">
        <v>4523000839</v>
      </c>
      <c r="V65" s="2681" t="s">
        <v>354</v>
      </c>
      <c r="W65" s="2630">
        <v>50</v>
      </c>
      <c r="X65" s="3544" t="s">
        <v>269</v>
      </c>
      <c r="Y65" s="2645">
        <v>1300</v>
      </c>
      <c r="Z65" s="2645">
        <f t="shared" ref="Z65:Z70" si="0">+W65*Y65</f>
        <v>65000</v>
      </c>
      <c r="AA65" s="2645">
        <f t="shared" ref="AA65:AA73" si="1">+Z65*1.12</f>
        <v>72800</v>
      </c>
      <c r="AB65" s="2646"/>
      <c r="AC65" s="532" t="s">
        <v>251</v>
      </c>
      <c r="AD65" s="533"/>
      <c r="AE65" s="533"/>
      <c r="AF65" s="5094"/>
      <c r="AG65" s="531" t="s">
        <v>1079</v>
      </c>
    </row>
    <row r="66" spans="1:33" ht="18" customHeight="1">
      <c r="A66" s="4360"/>
      <c r="B66" s="5056"/>
      <c r="C66" s="5058"/>
      <c r="D66" s="5063"/>
      <c r="E66" s="5063"/>
      <c r="F66" s="5063"/>
      <c r="G66" s="5063"/>
      <c r="H66" s="5063"/>
      <c r="I66" s="5063"/>
      <c r="J66" s="5063"/>
      <c r="K66" s="5063"/>
      <c r="L66" s="5063"/>
      <c r="M66" s="5071"/>
      <c r="N66" s="5071"/>
      <c r="O66" s="5071"/>
      <c r="P66" s="5063"/>
      <c r="Q66" s="5063"/>
      <c r="R66" s="5074"/>
      <c r="S66" s="3516"/>
      <c r="T66" s="523"/>
      <c r="U66" s="523">
        <v>452200016</v>
      </c>
      <c r="V66" s="2681" t="s">
        <v>1080</v>
      </c>
      <c r="W66" s="2630">
        <v>15</v>
      </c>
      <c r="X66" s="3544" t="s">
        <v>269</v>
      </c>
      <c r="Y66" s="2645">
        <v>1400</v>
      </c>
      <c r="Z66" s="2645">
        <f t="shared" si="0"/>
        <v>21000</v>
      </c>
      <c r="AA66" s="2645">
        <f t="shared" si="1"/>
        <v>23520.000000000004</v>
      </c>
      <c r="AB66" s="2646"/>
      <c r="AC66" s="532" t="s">
        <v>251</v>
      </c>
      <c r="AD66" s="533"/>
      <c r="AE66" s="533"/>
      <c r="AF66" s="5094"/>
      <c r="AG66" s="531" t="s">
        <v>1081</v>
      </c>
    </row>
    <row r="67" spans="1:33" ht="18" customHeight="1">
      <c r="A67" s="4360"/>
      <c r="B67" s="5056"/>
      <c r="C67" s="5058"/>
      <c r="D67" s="5063"/>
      <c r="E67" s="5063"/>
      <c r="F67" s="5063"/>
      <c r="G67" s="5063"/>
      <c r="H67" s="5063"/>
      <c r="I67" s="5063"/>
      <c r="J67" s="5063"/>
      <c r="K67" s="5063"/>
      <c r="L67" s="5063"/>
      <c r="M67" s="5071"/>
      <c r="N67" s="5071"/>
      <c r="O67" s="5071"/>
      <c r="P67" s="5063"/>
      <c r="Q67" s="5063"/>
      <c r="R67" s="5074"/>
      <c r="S67" s="3516"/>
      <c r="T67" s="529"/>
      <c r="U67" s="523">
        <v>461220011</v>
      </c>
      <c r="V67" s="2681" t="s">
        <v>5091</v>
      </c>
      <c r="W67" s="2630">
        <v>25</v>
      </c>
      <c r="X67" s="3544" t="s">
        <v>269</v>
      </c>
      <c r="Y67" s="2656">
        <v>100</v>
      </c>
      <c r="Z67" s="2645">
        <f t="shared" si="0"/>
        <v>2500</v>
      </c>
      <c r="AA67" s="2645">
        <f t="shared" si="1"/>
        <v>2800.0000000000005</v>
      </c>
      <c r="AB67" s="2646"/>
      <c r="AC67" s="532" t="s">
        <v>251</v>
      </c>
      <c r="AD67" s="533"/>
      <c r="AE67" s="533"/>
      <c r="AF67" s="5094"/>
      <c r="AG67" s="522"/>
    </row>
    <row r="68" spans="1:33" ht="18" customHeight="1">
      <c r="A68" s="4360"/>
      <c r="B68" s="5056"/>
      <c r="C68" s="5058"/>
      <c r="D68" s="5063"/>
      <c r="E68" s="5063"/>
      <c r="F68" s="5063"/>
      <c r="G68" s="5063"/>
      <c r="H68" s="5063"/>
      <c r="I68" s="5063"/>
      <c r="J68" s="5063"/>
      <c r="K68" s="5063"/>
      <c r="L68" s="5063"/>
      <c r="M68" s="5071"/>
      <c r="N68" s="5071"/>
      <c r="O68" s="5071"/>
      <c r="P68" s="5063"/>
      <c r="Q68" s="5063"/>
      <c r="R68" s="5074"/>
      <c r="S68" s="3524"/>
      <c r="T68" s="529"/>
      <c r="U68" s="523">
        <v>452900014</v>
      </c>
      <c r="V68" s="2684" t="s">
        <v>5284</v>
      </c>
      <c r="W68" s="3644">
        <v>8</v>
      </c>
      <c r="X68" s="3549" t="s">
        <v>269</v>
      </c>
      <c r="Y68" s="3561">
        <v>800</v>
      </c>
      <c r="Z68" s="3561">
        <f t="shared" si="0"/>
        <v>6400</v>
      </c>
      <c r="AA68" s="3561">
        <f t="shared" si="1"/>
        <v>7168.0000000000009</v>
      </c>
      <c r="AB68" s="2646"/>
      <c r="AC68" s="535" t="s">
        <v>251</v>
      </c>
      <c r="AD68" s="533"/>
      <c r="AE68" s="533"/>
      <c r="AF68" s="5094"/>
      <c r="AG68" s="3629" t="s">
        <v>5285</v>
      </c>
    </row>
    <row r="69" spans="1:33" ht="18" customHeight="1">
      <c r="A69" s="4360"/>
      <c r="B69" s="5056"/>
      <c r="C69" s="5058"/>
      <c r="D69" s="5063"/>
      <c r="E69" s="5063"/>
      <c r="F69" s="5063"/>
      <c r="G69" s="5063"/>
      <c r="H69" s="5063"/>
      <c r="I69" s="5063"/>
      <c r="J69" s="5063"/>
      <c r="K69" s="5063"/>
      <c r="L69" s="5063"/>
      <c r="M69" s="5071"/>
      <c r="N69" s="5071"/>
      <c r="O69" s="5071"/>
      <c r="P69" s="5063"/>
      <c r="Q69" s="5063"/>
      <c r="R69" s="5074"/>
      <c r="S69" s="3524"/>
      <c r="T69" s="529"/>
      <c r="U69" s="523">
        <v>4523000411</v>
      </c>
      <c r="V69" s="3539" t="s">
        <v>1082</v>
      </c>
      <c r="W69" s="3543">
        <v>1</v>
      </c>
      <c r="X69" s="3549" t="s">
        <v>269</v>
      </c>
      <c r="Y69" s="3568">
        <v>1100</v>
      </c>
      <c r="Z69" s="3561">
        <f t="shared" si="0"/>
        <v>1100</v>
      </c>
      <c r="AA69" s="3561">
        <f t="shared" si="1"/>
        <v>1232.0000000000002</v>
      </c>
      <c r="AB69" s="2646"/>
      <c r="AC69" s="535" t="s">
        <v>251</v>
      </c>
      <c r="AD69" s="533"/>
      <c r="AE69" s="533"/>
      <c r="AF69" s="5094"/>
      <c r="AG69" s="522"/>
    </row>
    <row r="70" spans="1:33" ht="18" customHeight="1">
      <c r="A70" s="4360"/>
      <c r="B70" s="5056"/>
      <c r="C70" s="5058"/>
      <c r="D70" s="5063"/>
      <c r="E70" s="5063"/>
      <c r="F70" s="5063"/>
      <c r="G70" s="5063"/>
      <c r="H70" s="5063"/>
      <c r="I70" s="5063"/>
      <c r="J70" s="5063"/>
      <c r="K70" s="5063"/>
      <c r="L70" s="5063"/>
      <c r="M70" s="5071"/>
      <c r="N70" s="5071"/>
      <c r="O70" s="5071"/>
      <c r="P70" s="5063"/>
      <c r="Q70" s="5063"/>
      <c r="R70" s="5074"/>
      <c r="S70" s="3524"/>
      <c r="T70" s="529"/>
      <c r="U70" s="523">
        <v>4516003111</v>
      </c>
      <c r="V70" s="2681" t="s">
        <v>1083</v>
      </c>
      <c r="W70" s="2630">
        <v>6</v>
      </c>
      <c r="X70" s="3544" t="s">
        <v>269</v>
      </c>
      <c r="Y70" s="3561">
        <v>700</v>
      </c>
      <c r="Z70" s="3561">
        <f t="shared" si="0"/>
        <v>4200</v>
      </c>
      <c r="AA70" s="3561">
        <f t="shared" si="1"/>
        <v>4704</v>
      </c>
      <c r="AB70" s="2646"/>
      <c r="AC70" s="535" t="s">
        <v>251</v>
      </c>
      <c r="AD70" s="533"/>
      <c r="AE70" s="533"/>
      <c r="AF70" s="5094"/>
      <c r="AG70" s="531" t="s">
        <v>1084</v>
      </c>
    </row>
    <row r="71" spans="1:33" ht="18" customHeight="1">
      <c r="A71" s="4360"/>
      <c r="B71" s="5056"/>
      <c r="C71" s="5058"/>
      <c r="D71" s="5063"/>
      <c r="E71" s="5063"/>
      <c r="F71" s="5063"/>
      <c r="G71" s="5063"/>
      <c r="H71" s="5063"/>
      <c r="I71" s="5063"/>
      <c r="J71" s="5063"/>
      <c r="K71" s="5063"/>
      <c r="L71" s="5063"/>
      <c r="M71" s="5071"/>
      <c r="N71" s="5071"/>
      <c r="O71" s="5071"/>
      <c r="P71" s="5063"/>
      <c r="Q71" s="5063"/>
      <c r="R71" s="5074"/>
      <c r="S71" s="3524"/>
      <c r="T71" s="529"/>
      <c r="U71" s="523">
        <v>452900015</v>
      </c>
      <c r="V71" s="2683" t="s">
        <v>5090</v>
      </c>
      <c r="W71" s="2638">
        <v>2</v>
      </c>
      <c r="X71" s="3550" t="s">
        <v>269</v>
      </c>
      <c r="Y71" s="2645">
        <v>150</v>
      </c>
      <c r="Z71" s="3561">
        <f t="shared" ref="Z71:Z73" si="2">W71*Y71</f>
        <v>300</v>
      </c>
      <c r="AA71" s="3561">
        <f t="shared" si="1"/>
        <v>336.00000000000006</v>
      </c>
      <c r="AB71" s="3419"/>
      <c r="AC71" s="539"/>
      <c r="AD71" s="541" t="s">
        <v>251</v>
      </c>
      <c r="AE71" s="533"/>
      <c r="AF71" s="5094"/>
      <c r="AG71" s="531" t="s">
        <v>1085</v>
      </c>
    </row>
    <row r="72" spans="1:33" ht="18" customHeight="1">
      <c r="A72" s="4360"/>
      <c r="B72" s="5056"/>
      <c r="C72" s="5058"/>
      <c r="D72" s="5063"/>
      <c r="E72" s="5063"/>
      <c r="F72" s="5063"/>
      <c r="G72" s="5063"/>
      <c r="H72" s="5063"/>
      <c r="I72" s="5063"/>
      <c r="J72" s="5063"/>
      <c r="K72" s="5063"/>
      <c r="L72" s="5063"/>
      <c r="M72" s="5071"/>
      <c r="N72" s="5071"/>
      <c r="O72" s="5071"/>
      <c r="P72" s="5063"/>
      <c r="Q72" s="5063"/>
      <c r="R72" s="5074"/>
      <c r="S72" s="3524"/>
      <c r="T72" s="529"/>
      <c r="U72" s="523">
        <v>452900015</v>
      </c>
      <c r="V72" s="2683" t="s">
        <v>5089</v>
      </c>
      <c r="W72" s="2638">
        <v>1</v>
      </c>
      <c r="X72" s="3550" t="s">
        <v>269</v>
      </c>
      <c r="Y72" s="2645">
        <v>182.14</v>
      </c>
      <c r="Z72" s="3561">
        <f t="shared" si="2"/>
        <v>182.14</v>
      </c>
      <c r="AA72" s="3561">
        <f t="shared" si="1"/>
        <v>203.99680000000001</v>
      </c>
      <c r="AB72" s="3419"/>
      <c r="AC72" s="539"/>
      <c r="AD72" s="541" t="s">
        <v>251</v>
      </c>
      <c r="AE72" s="533"/>
      <c r="AF72" s="5094"/>
      <c r="AG72" s="531" t="s">
        <v>1086</v>
      </c>
    </row>
    <row r="73" spans="1:33" ht="18" customHeight="1">
      <c r="A73" s="4360"/>
      <c r="B73" s="5056"/>
      <c r="C73" s="5058"/>
      <c r="D73" s="5063"/>
      <c r="E73" s="5063"/>
      <c r="F73" s="5063"/>
      <c r="G73" s="5063"/>
      <c r="H73" s="5063"/>
      <c r="I73" s="5063"/>
      <c r="J73" s="5063"/>
      <c r="K73" s="5063"/>
      <c r="L73" s="5063"/>
      <c r="M73" s="5071"/>
      <c r="N73" s="5071"/>
      <c r="O73" s="5071"/>
      <c r="P73" s="5063"/>
      <c r="Q73" s="5063"/>
      <c r="R73" s="5074"/>
      <c r="S73" s="3524"/>
      <c r="T73" s="529"/>
      <c r="U73" s="523">
        <v>473130013</v>
      </c>
      <c r="V73" s="3537" t="s">
        <v>1087</v>
      </c>
      <c r="W73" s="2638">
        <v>1</v>
      </c>
      <c r="X73" s="3550" t="s">
        <v>269</v>
      </c>
      <c r="Y73" s="2645">
        <v>600</v>
      </c>
      <c r="Z73" s="3561">
        <f t="shared" si="2"/>
        <v>600</v>
      </c>
      <c r="AA73" s="3561">
        <f t="shared" si="1"/>
        <v>672.00000000000011</v>
      </c>
      <c r="AB73" s="3419"/>
      <c r="AC73" s="539"/>
      <c r="AD73" s="537" t="s">
        <v>251</v>
      </c>
      <c r="AE73" s="533"/>
      <c r="AF73" s="5094"/>
      <c r="AG73" s="531" t="s">
        <v>1088</v>
      </c>
    </row>
    <row r="74" spans="1:33" ht="18" customHeight="1">
      <c r="A74" s="4360"/>
      <c r="B74" s="5056"/>
      <c r="C74" s="5058"/>
      <c r="D74" s="5063"/>
      <c r="E74" s="5063"/>
      <c r="F74" s="5063"/>
      <c r="G74" s="5063"/>
      <c r="H74" s="5063"/>
      <c r="I74" s="5063"/>
      <c r="J74" s="5063"/>
      <c r="K74" s="5063"/>
      <c r="L74" s="5063"/>
      <c r="M74" s="5071"/>
      <c r="N74" s="5071"/>
      <c r="O74" s="5071"/>
      <c r="P74" s="5063"/>
      <c r="Q74" s="5063"/>
      <c r="R74" s="5074"/>
      <c r="S74" s="3471" t="s">
        <v>17</v>
      </c>
      <c r="T74" s="538">
        <v>840107</v>
      </c>
      <c r="U74" s="538"/>
      <c r="V74" s="3503" t="s">
        <v>20</v>
      </c>
      <c r="W74" s="3406"/>
      <c r="X74" s="3492"/>
      <c r="Y74" s="2656"/>
      <c r="Z74" s="2656"/>
      <c r="AA74" s="2656"/>
      <c r="AB74" s="3558">
        <f>SUM($AA$75:$AA$75)</f>
        <v>414919.06400000007</v>
      </c>
      <c r="AC74" s="539"/>
      <c r="AD74" s="541"/>
      <c r="AE74" s="541"/>
      <c r="AF74" s="5094"/>
      <c r="AG74" s="522"/>
    </row>
    <row r="75" spans="1:33" ht="81.75" customHeight="1">
      <c r="A75" s="4360"/>
      <c r="B75" s="5056"/>
      <c r="C75" s="5058"/>
      <c r="D75" s="5063"/>
      <c r="E75" s="5063"/>
      <c r="F75" s="5063"/>
      <c r="G75" s="5063"/>
      <c r="H75" s="5063"/>
      <c r="I75" s="5063"/>
      <c r="J75" s="5063"/>
      <c r="K75" s="5063"/>
      <c r="L75" s="5063"/>
      <c r="M75" s="5071"/>
      <c r="N75" s="5071"/>
      <c r="O75" s="5071"/>
      <c r="P75" s="5063"/>
      <c r="Q75" s="5063"/>
      <c r="R75" s="5074"/>
      <c r="S75" s="3365"/>
      <c r="T75" s="540"/>
      <c r="U75" s="3475" t="s">
        <v>1089</v>
      </c>
      <c r="V75" s="3502" t="s">
        <v>5088</v>
      </c>
      <c r="W75" s="3406">
        <v>1</v>
      </c>
      <c r="X75" s="3492" t="s">
        <v>269</v>
      </c>
      <c r="Y75" s="2656">
        <v>370463.45</v>
      </c>
      <c r="Z75" s="2656">
        <f>+W75*Y75</f>
        <v>370463.45</v>
      </c>
      <c r="AA75" s="2656">
        <f>+Z75*1.12</f>
        <v>414919.06400000007</v>
      </c>
      <c r="AB75" s="3558"/>
      <c r="AC75" s="539"/>
      <c r="AD75" s="541"/>
      <c r="AE75" s="541"/>
      <c r="AF75" s="5094"/>
      <c r="AG75" s="522"/>
    </row>
    <row r="76" spans="1:33" ht="18" customHeight="1">
      <c r="A76" s="4360"/>
      <c r="B76" s="5056"/>
      <c r="C76" s="5058"/>
      <c r="D76" s="5063"/>
      <c r="E76" s="5063"/>
      <c r="F76" s="5063"/>
      <c r="G76" s="5063"/>
      <c r="H76" s="5063"/>
      <c r="I76" s="5063"/>
      <c r="J76" s="5063"/>
      <c r="K76" s="5063"/>
      <c r="L76" s="5063"/>
      <c r="M76" s="5071"/>
      <c r="N76" s="5071"/>
      <c r="O76" s="5071"/>
      <c r="P76" s="5063"/>
      <c r="Q76" s="5063"/>
      <c r="R76" s="5074"/>
      <c r="S76" s="3471" t="s">
        <v>17</v>
      </c>
      <c r="T76" s="538">
        <v>530105</v>
      </c>
      <c r="U76" s="540"/>
      <c r="V76" s="3503" t="s">
        <v>43</v>
      </c>
      <c r="W76" s="3406"/>
      <c r="X76" s="3492"/>
      <c r="Y76" s="2656"/>
      <c r="Z76" s="2656"/>
      <c r="AA76" s="2656"/>
      <c r="AB76" s="3558">
        <f>SUM($AA$77:$AA$78)</f>
        <v>264442.25920000003</v>
      </c>
      <c r="AC76" s="539"/>
      <c r="AD76" s="541"/>
      <c r="AE76" s="541"/>
      <c r="AF76" s="5094"/>
      <c r="AG76" s="522"/>
    </row>
    <row r="77" spans="1:33" ht="33.950000000000003" customHeight="1">
      <c r="A77" s="4360"/>
      <c r="B77" s="5056"/>
      <c r="C77" s="5058"/>
      <c r="D77" s="5063"/>
      <c r="E77" s="5063"/>
      <c r="F77" s="5063"/>
      <c r="G77" s="5063"/>
      <c r="H77" s="5063"/>
      <c r="I77" s="5063"/>
      <c r="J77" s="5063"/>
      <c r="K77" s="5063"/>
      <c r="L77" s="5063"/>
      <c r="M77" s="5071"/>
      <c r="N77" s="5071"/>
      <c r="O77" s="5071"/>
      <c r="P77" s="5063"/>
      <c r="Q77" s="5063"/>
      <c r="R77" s="5074"/>
      <c r="S77" s="3365"/>
      <c r="T77" s="540"/>
      <c r="U77" s="540">
        <v>842900012</v>
      </c>
      <c r="V77" s="3502" t="s">
        <v>5087</v>
      </c>
      <c r="W77" s="3406">
        <v>1</v>
      </c>
      <c r="X77" s="3492" t="s">
        <v>250</v>
      </c>
      <c r="Y77" s="2656">
        <v>227500</v>
      </c>
      <c r="Z77" s="2656">
        <f t="shared" ref="Z77:Z78" si="3">+W77*Y77</f>
        <v>227500</v>
      </c>
      <c r="AA77" s="2656">
        <f t="shared" ref="AA77:AA78" si="4">+Z77*1.12</f>
        <v>254800.00000000003</v>
      </c>
      <c r="AB77" s="3558"/>
      <c r="AC77" s="539" t="s">
        <v>251</v>
      </c>
      <c r="AD77" s="541" t="s">
        <v>251</v>
      </c>
      <c r="AE77" s="541" t="s">
        <v>251</v>
      </c>
      <c r="AF77" s="5094"/>
      <c r="AG77" s="522"/>
    </row>
    <row r="78" spans="1:33" ht="33.950000000000003" customHeight="1">
      <c r="A78" s="4360"/>
      <c r="B78" s="5056"/>
      <c r="C78" s="5060"/>
      <c r="D78" s="5065"/>
      <c r="E78" s="5065"/>
      <c r="F78" s="5065"/>
      <c r="G78" s="5065"/>
      <c r="H78" s="5065"/>
      <c r="I78" s="5065"/>
      <c r="J78" s="5065"/>
      <c r="K78" s="5065"/>
      <c r="L78" s="5065"/>
      <c r="M78" s="5072"/>
      <c r="N78" s="5072"/>
      <c r="O78" s="5072"/>
      <c r="P78" s="5065"/>
      <c r="Q78" s="5065"/>
      <c r="R78" s="5075"/>
      <c r="S78" s="3585"/>
      <c r="T78" s="3586"/>
      <c r="U78" s="3587">
        <v>842900012</v>
      </c>
      <c r="V78" s="3588" t="s">
        <v>1090</v>
      </c>
      <c r="W78" s="3589">
        <v>1</v>
      </c>
      <c r="X78" s="3590" t="s">
        <v>250</v>
      </c>
      <c r="Y78" s="3591">
        <v>8609.16</v>
      </c>
      <c r="Z78" s="3591">
        <f t="shared" si="3"/>
        <v>8609.16</v>
      </c>
      <c r="AA78" s="3591">
        <f t="shared" si="4"/>
        <v>9642.2592000000004</v>
      </c>
      <c r="AB78" s="3592"/>
      <c r="AC78" s="2669" t="s">
        <v>251</v>
      </c>
      <c r="AD78" s="2670" t="s">
        <v>251</v>
      </c>
      <c r="AE78" s="2670" t="s">
        <v>251</v>
      </c>
      <c r="AF78" s="5095"/>
      <c r="AG78" s="522"/>
    </row>
    <row r="79" spans="1:33" ht="30" customHeight="1">
      <c r="A79" s="4360"/>
      <c r="B79" s="5056"/>
      <c r="C79" s="5059" t="s">
        <v>235</v>
      </c>
      <c r="D79" s="5064" t="s">
        <v>236</v>
      </c>
      <c r="E79" s="5064" t="s">
        <v>237</v>
      </c>
      <c r="F79" s="5064" t="s">
        <v>370</v>
      </c>
      <c r="G79" s="5076" t="s">
        <v>239</v>
      </c>
      <c r="H79" s="5064" t="s">
        <v>240</v>
      </c>
      <c r="I79" s="5064" t="s">
        <v>257</v>
      </c>
      <c r="J79" s="5064" t="s">
        <v>5160</v>
      </c>
      <c r="K79" s="5064" t="s">
        <v>338</v>
      </c>
      <c r="L79" s="5064" t="s">
        <v>5109</v>
      </c>
      <c r="M79" s="5079">
        <v>0</v>
      </c>
      <c r="N79" s="5070">
        <v>1</v>
      </c>
      <c r="O79" s="5070">
        <v>1</v>
      </c>
      <c r="P79" s="5064" t="s">
        <v>5205</v>
      </c>
      <c r="Q79" s="5064" t="s">
        <v>5238</v>
      </c>
      <c r="R79" s="5073" t="s">
        <v>5280</v>
      </c>
      <c r="S79" s="3583"/>
      <c r="T79" s="3593"/>
      <c r="U79" s="3594"/>
      <c r="V79" s="3595"/>
      <c r="W79" s="3596"/>
      <c r="X79" s="3597"/>
      <c r="Y79" s="3598"/>
      <c r="Z79" s="3598"/>
      <c r="AA79" s="3598"/>
      <c r="AB79" s="3584"/>
      <c r="AC79" s="3599"/>
      <c r="AD79" s="3600"/>
      <c r="AE79" s="3600"/>
      <c r="AF79" s="5084"/>
      <c r="AG79" s="522"/>
    </row>
    <row r="80" spans="1:33" ht="30" customHeight="1">
      <c r="A80" s="4360"/>
      <c r="B80" s="5056"/>
      <c r="C80" s="5058"/>
      <c r="D80" s="5063"/>
      <c r="E80" s="5063"/>
      <c r="F80" s="5063"/>
      <c r="G80" s="5063"/>
      <c r="H80" s="5063"/>
      <c r="I80" s="5063"/>
      <c r="J80" s="5063"/>
      <c r="K80" s="5063"/>
      <c r="L80" s="5063"/>
      <c r="M80" s="5071"/>
      <c r="N80" s="5071"/>
      <c r="O80" s="5071"/>
      <c r="P80" s="5063"/>
      <c r="Q80" s="5063"/>
      <c r="R80" s="5074"/>
      <c r="S80" s="3516"/>
      <c r="T80" s="523"/>
      <c r="U80" s="523"/>
      <c r="V80" s="2681"/>
      <c r="W80" s="2630"/>
      <c r="X80" s="3544"/>
      <c r="Y80" s="2645"/>
      <c r="Z80" s="2645"/>
      <c r="AA80" s="2645"/>
      <c r="AB80" s="2646"/>
      <c r="AC80" s="532"/>
      <c r="AD80" s="533"/>
      <c r="AE80" s="533"/>
      <c r="AF80" s="5051"/>
      <c r="AG80" s="522"/>
    </row>
    <row r="81" spans="1:33" ht="30" customHeight="1">
      <c r="A81" s="4360"/>
      <c r="B81" s="5056"/>
      <c r="C81" s="5058"/>
      <c r="D81" s="5063"/>
      <c r="E81" s="5063"/>
      <c r="F81" s="5063"/>
      <c r="G81" s="5063"/>
      <c r="H81" s="5063"/>
      <c r="I81" s="5063"/>
      <c r="J81" s="5063"/>
      <c r="K81" s="5063"/>
      <c r="L81" s="5063"/>
      <c r="M81" s="5071"/>
      <c r="N81" s="5071"/>
      <c r="O81" s="5071"/>
      <c r="P81" s="5063"/>
      <c r="Q81" s="5063"/>
      <c r="R81" s="5074"/>
      <c r="S81" s="3516"/>
      <c r="T81" s="523"/>
      <c r="U81" s="523"/>
      <c r="V81" s="2681"/>
      <c r="W81" s="2630"/>
      <c r="X81" s="3544"/>
      <c r="Y81" s="2645"/>
      <c r="Z81" s="2645"/>
      <c r="AA81" s="2645"/>
      <c r="AB81" s="2646"/>
      <c r="AC81" s="532"/>
      <c r="AD81" s="533"/>
      <c r="AE81" s="533"/>
      <c r="AF81" s="5051"/>
      <c r="AG81" s="522"/>
    </row>
    <row r="82" spans="1:33" ht="30" customHeight="1">
      <c r="A82" s="4360"/>
      <c r="B82" s="5056"/>
      <c r="C82" s="5058"/>
      <c r="D82" s="5063"/>
      <c r="E82" s="5063"/>
      <c r="F82" s="5063"/>
      <c r="G82" s="5063"/>
      <c r="H82" s="5063"/>
      <c r="I82" s="5063"/>
      <c r="J82" s="5063"/>
      <c r="K82" s="5063"/>
      <c r="L82" s="5063"/>
      <c r="M82" s="5071"/>
      <c r="N82" s="5071"/>
      <c r="O82" s="5071"/>
      <c r="P82" s="5063"/>
      <c r="Q82" s="5063"/>
      <c r="R82" s="5074"/>
      <c r="S82" s="3516"/>
      <c r="T82" s="523"/>
      <c r="U82" s="523"/>
      <c r="V82" s="2681"/>
      <c r="W82" s="2630"/>
      <c r="X82" s="3544"/>
      <c r="Y82" s="2645"/>
      <c r="Z82" s="2645"/>
      <c r="AA82" s="2645"/>
      <c r="AB82" s="2646"/>
      <c r="AC82" s="532"/>
      <c r="AD82" s="533"/>
      <c r="AE82" s="533"/>
      <c r="AF82" s="5051"/>
      <c r="AG82" s="522"/>
    </row>
    <row r="83" spans="1:33" ht="30" customHeight="1">
      <c r="A83" s="4360"/>
      <c r="B83" s="5056"/>
      <c r="C83" s="5060"/>
      <c r="D83" s="5065"/>
      <c r="E83" s="5065"/>
      <c r="F83" s="5065"/>
      <c r="G83" s="5065"/>
      <c r="H83" s="5065"/>
      <c r="I83" s="5065"/>
      <c r="J83" s="5065"/>
      <c r="K83" s="5065"/>
      <c r="L83" s="5065"/>
      <c r="M83" s="5072"/>
      <c r="N83" s="5072"/>
      <c r="O83" s="5072"/>
      <c r="P83" s="5065"/>
      <c r="Q83" s="5065"/>
      <c r="R83" s="5075"/>
      <c r="S83" s="3569"/>
      <c r="T83" s="3570"/>
      <c r="U83" s="3570"/>
      <c r="V83" s="2686"/>
      <c r="W83" s="1781"/>
      <c r="X83" s="3571"/>
      <c r="Y83" s="2667"/>
      <c r="Z83" s="2667"/>
      <c r="AA83" s="2667"/>
      <c r="AB83" s="2668"/>
      <c r="AC83" s="1782"/>
      <c r="AD83" s="3572"/>
      <c r="AE83" s="3572"/>
      <c r="AF83" s="5085"/>
      <c r="AG83" s="522"/>
    </row>
    <row r="84" spans="1:33" ht="30.75" customHeight="1">
      <c r="A84" s="4360"/>
      <c r="B84" s="5056"/>
      <c r="C84" s="5061" t="s">
        <v>235</v>
      </c>
      <c r="D84" s="5062" t="s">
        <v>236</v>
      </c>
      <c r="E84" s="5062" t="s">
        <v>237</v>
      </c>
      <c r="F84" s="5062" t="s">
        <v>370</v>
      </c>
      <c r="G84" s="5069" t="s">
        <v>239</v>
      </c>
      <c r="H84" s="5062" t="s">
        <v>240</v>
      </c>
      <c r="I84" s="5062" t="s">
        <v>257</v>
      </c>
      <c r="J84" s="5062" t="s">
        <v>5161</v>
      </c>
      <c r="K84" s="5062" t="s">
        <v>1091</v>
      </c>
      <c r="L84" s="5062" t="s">
        <v>5110</v>
      </c>
      <c r="M84" s="5077">
        <v>1</v>
      </c>
      <c r="N84" s="5077">
        <v>1</v>
      </c>
      <c r="O84" s="5077">
        <v>1</v>
      </c>
      <c r="P84" s="5082" t="s">
        <v>5206</v>
      </c>
      <c r="Q84" s="5062" t="s">
        <v>5237</v>
      </c>
      <c r="R84" s="5078" t="s">
        <v>5092</v>
      </c>
      <c r="S84" s="3525"/>
      <c r="T84" s="2018"/>
      <c r="U84" s="2018"/>
      <c r="V84" s="3530"/>
      <c r="W84" s="2633"/>
      <c r="X84" s="3547"/>
      <c r="Y84" s="2651"/>
      <c r="Z84" s="2651"/>
      <c r="AA84" s="2651"/>
      <c r="AB84" s="2652"/>
      <c r="AC84" s="1967"/>
      <c r="AD84" s="1971"/>
      <c r="AE84" s="1971"/>
      <c r="AF84" s="5086"/>
      <c r="AG84" s="522"/>
    </row>
    <row r="85" spans="1:33" ht="30.75" customHeight="1">
      <c r="A85" s="4360"/>
      <c r="B85" s="5056"/>
      <c r="C85" s="5058"/>
      <c r="D85" s="5063"/>
      <c r="E85" s="5063"/>
      <c r="F85" s="5063"/>
      <c r="G85" s="5063"/>
      <c r="H85" s="5063"/>
      <c r="I85" s="5063"/>
      <c r="J85" s="5063"/>
      <c r="K85" s="5063"/>
      <c r="L85" s="5063"/>
      <c r="M85" s="5071"/>
      <c r="N85" s="5071"/>
      <c r="O85" s="5071"/>
      <c r="P85" s="5063"/>
      <c r="Q85" s="5063"/>
      <c r="R85" s="5074"/>
      <c r="S85" s="3516"/>
      <c r="T85" s="523"/>
      <c r="U85" s="523"/>
      <c r="V85" s="2681"/>
      <c r="W85" s="2630"/>
      <c r="X85" s="3544"/>
      <c r="Y85" s="2645"/>
      <c r="Z85" s="2645"/>
      <c r="AA85" s="2645"/>
      <c r="AB85" s="2646"/>
      <c r="AC85" s="532"/>
      <c r="AD85" s="533"/>
      <c r="AE85" s="533"/>
      <c r="AF85" s="5051"/>
      <c r="AG85" s="522"/>
    </row>
    <row r="86" spans="1:33" ht="30.75" customHeight="1">
      <c r="A86" s="4360"/>
      <c r="B86" s="5056"/>
      <c r="C86" s="5058"/>
      <c r="D86" s="5063"/>
      <c r="E86" s="5063"/>
      <c r="F86" s="5063"/>
      <c r="G86" s="5063"/>
      <c r="H86" s="5063"/>
      <c r="I86" s="5063"/>
      <c r="J86" s="5063"/>
      <c r="K86" s="5063"/>
      <c r="L86" s="5063"/>
      <c r="M86" s="5071"/>
      <c r="N86" s="5071"/>
      <c r="O86" s="5071"/>
      <c r="P86" s="5063"/>
      <c r="Q86" s="5063"/>
      <c r="R86" s="5074"/>
      <c r="S86" s="3516"/>
      <c r="T86" s="523"/>
      <c r="U86" s="523"/>
      <c r="V86" s="2681"/>
      <c r="W86" s="2630"/>
      <c r="X86" s="3544"/>
      <c r="Y86" s="2645"/>
      <c r="Z86" s="2645"/>
      <c r="AA86" s="2645"/>
      <c r="AB86" s="2646"/>
      <c r="AC86" s="532"/>
      <c r="AD86" s="533"/>
      <c r="AE86" s="533"/>
      <c r="AF86" s="5051"/>
      <c r="AG86" s="522"/>
    </row>
    <row r="87" spans="1:33" ht="30.75" customHeight="1">
      <c r="A87" s="4360"/>
      <c r="B87" s="5056"/>
      <c r="C87" s="5058"/>
      <c r="D87" s="5063"/>
      <c r="E87" s="5063"/>
      <c r="F87" s="5063"/>
      <c r="G87" s="5063"/>
      <c r="H87" s="5063"/>
      <c r="I87" s="5063"/>
      <c r="J87" s="5063"/>
      <c r="K87" s="5063"/>
      <c r="L87" s="5063"/>
      <c r="M87" s="5071"/>
      <c r="N87" s="5071"/>
      <c r="O87" s="5071"/>
      <c r="P87" s="5063"/>
      <c r="Q87" s="5063"/>
      <c r="R87" s="5074"/>
      <c r="S87" s="3516"/>
      <c r="T87" s="523"/>
      <c r="U87" s="523"/>
      <c r="V87" s="2681"/>
      <c r="W87" s="2630"/>
      <c r="X87" s="3544"/>
      <c r="Y87" s="2645"/>
      <c r="Z87" s="2645"/>
      <c r="AA87" s="2645"/>
      <c r="AB87" s="2646"/>
      <c r="AC87" s="532"/>
      <c r="AD87" s="533"/>
      <c r="AE87" s="533"/>
      <c r="AF87" s="5051"/>
      <c r="AG87" s="522"/>
    </row>
    <row r="88" spans="1:33" ht="30.75" customHeight="1" thickBot="1">
      <c r="A88" s="4360"/>
      <c r="B88" s="5056"/>
      <c r="C88" s="5066"/>
      <c r="D88" s="5067"/>
      <c r="E88" s="5067"/>
      <c r="F88" s="5067"/>
      <c r="G88" s="5067"/>
      <c r="H88" s="5067"/>
      <c r="I88" s="5067"/>
      <c r="J88" s="5067"/>
      <c r="K88" s="5067"/>
      <c r="L88" s="5067"/>
      <c r="M88" s="5081"/>
      <c r="N88" s="5081"/>
      <c r="O88" s="5081"/>
      <c r="P88" s="5067"/>
      <c r="Q88" s="5067"/>
      <c r="R88" s="5083"/>
      <c r="S88" s="3517"/>
      <c r="T88" s="524"/>
      <c r="U88" s="524"/>
      <c r="V88" s="3532"/>
      <c r="W88" s="2642"/>
      <c r="X88" s="3546"/>
      <c r="Y88" s="2659"/>
      <c r="Z88" s="2659"/>
      <c r="AA88" s="2659"/>
      <c r="AB88" s="2660"/>
      <c r="AC88" s="578"/>
      <c r="AD88" s="341"/>
      <c r="AE88" s="341"/>
      <c r="AF88" s="5087"/>
      <c r="AG88" s="522"/>
    </row>
    <row r="89" spans="1:33" ht="22.5" customHeight="1" thickBot="1">
      <c r="A89" s="4360"/>
      <c r="B89" s="4775"/>
      <c r="C89" s="5080"/>
      <c r="D89" s="4567"/>
      <c r="E89" s="4567"/>
      <c r="F89" s="4567"/>
      <c r="G89" s="4567"/>
      <c r="H89" s="4567"/>
      <c r="I89" s="4567"/>
      <c r="J89" s="4567"/>
      <c r="K89" s="4567"/>
      <c r="L89" s="4567"/>
      <c r="M89" s="4567"/>
      <c r="N89" s="4567"/>
      <c r="O89" s="4567"/>
      <c r="P89" s="4567"/>
      <c r="Q89" s="4567"/>
      <c r="R89" s="5099"/>
      <c r="S89" s="5108" t="s">
        <v>1092</v>
      </c>
      <c r="T89" s="5109"/>
      <c r="U89" s="5109"/>
      <c r="V89" s="5109"/>
      <c r="W89" s="5109"/>
      <c r="X89" s="5109"/>
      <c r="Y89" s="5109"/>
      <c r="Z89" s="5109"/>
      <c r="AA89" s="2232" t="s">
        <v>340</v>
      </c>
      <c r="AB89" s="2233">
        <f>SUM(AB9:AB88)</f>
        <v>792797.32000000007</v>
      </c>
      <c r="AC89" s="5112"/>
      <c r="AD89" s="5113"/>
      <c r="AE89" s="5113"/>
      <c r="AF89" s="5114"/>
      <c r="AG89" s="544"/>
    </row>
    <row r="90" spans="1:33" ht="33" customHeight="1">
      <c r="A90" s="4360"/>
      <c r="B90" s="5055" t="s">
        <v>1093</v>
      </c>
      <c r="C90" s="5057" t="s">
        <v>235</v>
      </c>
      <c r="D90" s="5068" t="s">
        <v>236</v>
      </c>
      <c r="E90" s="5068" t="s">
        <v>237</v>
      </c>
      <c r="F90" s="5068" t="s">
        <v>370</v>
      </c>
      <c r="G90" s="5098" t="s">
        <v>239</v>
      </c>
      <c r="H90" s="5068" t="s">
        <v>240</v>
      </c>
      <c r="I90" s="5068" t="s">
        <v>257</v>
      </c>
      <c r="J90" s="5098" t="s">
        <v>5162</v>
      </c>
      <c r="K90" s="5068" t="s">
        <v>1094</v>
      </c>
      <c r="L90" s="5068" t="s">
        <v>5111</v>
      </c>
      <c r="M90" s="5104">
        <v>0</v>
      </c>
      <c r="N90" s="5104">
        <v>1</v>
      </c>
      <c r="O90" s="5104">
        <v>1</v>
      </c>
      <c r="P90" s="5068" t="s">
        <v>5207</v>
      </c>
      <c r="Q90" s="5068" t="s">
        <v>5267</v>
      </c>
      <c r="R90" s="5090" t="s">
        <v>5093</v>
      </c>
      <c r="S90" s="3518"/>
      <c r="T90" s="670"/>
      <c r="U90" s="573"/>
      <c r="V90" s="3533"/>
      <c r="W90" s="2629"/>
      <c r="X90" s="3545"/>
      <c r="Y90" s="3559"/>
      <c r="Z90" s="3559"/>
      <c r="AA90" s="3559"/>
      <c r="AB90" s="3560"/>
      <c r="AC90" s="577"/>
      <c r="AD90" s="320"/>
      <c r="AE90" s="320"/>
      <c r="AF90" s="5102"/>
      <c r="AG90" s="522"/>
    </row>
    <row r="91" spans="1:33" ht="33" customHeight="1">
      <c r="A91" s="4360"/>
      <c r="B91" s="5056"/>
      <c r="C91" s="5058"/>
      <c r="D91" s="5063"/>
      <c r="E91" s="5063"/>
      <c r="F91" s="5063"/>
      <c r="G91" s="5063"/>
      <c r="H91" s="5063"/>
      <c r="I91" s="5063"/>
      <c r="J91" s="5063"/>
      <c r="K91" s="5063"/>
      <c r="L91" s="5063"/>
      <c r="M91" s="5071"/>
      <c r="N91" s="5071"/>
      <c r="O91" s="5071"/>
      <c r="P91" s="5063"/>
      <c r="Q91" s="5063"/>
      <c r="R91" s="5074"/>
      <c r="S91" s="3516"/>
      <c r="T91" s="579"/>
      <c r="U91" s="545"/>
      <c r="V91" s="2681"/>
      <c r="W91" s="2630"/>
      <c r="X91" s="3544"/>
      <c r="Y91" s="3561"/>
      <c r="Z91" s="3561"/>
      <c r="AA91" s="3561"/>
      <c r="AB91" s="3562"/>
      <c r="AC91" s="532"/>
      <c r="AD91" s="533"/>
      <c r="AE91" s="533"/>
      <c r="AF91" s="5051"/>
      <c r="AG91" s="522"/>
    </row>
    <row r="92" spans="1:33" ht="33" customHeight="1">
      <c r="A92" s="4360"/>
      <c r="B92" s="5056"/>
      <c r="C92" s="5058"/>
      <c r="D92" s="5063"/>
      <c r="E92" s="5063"/>
      <c r="F92" s="5063"/>
      <c r="G92" s="5063"/>
      <c r="H92" s="5063"/>
      <c r="I92" s="5063"/>
      <c r="J92" s="5063"/>
      <c r="K92" s="5063"/>
      <c r="L92" s="5063"/>
      <c r="M92" s="5071"/>
      <c r="N92" s="5071"/>
      <c r="O92" s="5071"/>
      <c r="P92" s="5063"/>
      <c r="Q92" s="5063"/>
      <c r="R92" s="5074"/>
      <c r="S92" s="3522"/>
      <c r="T92" s="671"/>
      <c r="U92" s="572"/>
      <c r="V92" s="3531"/>
      <c r="W92" s="2630"/>
      <c r="X92" s="3544"/>
      <c r="Y92" s="3561"/>
      <c r="Z92" s="3561"/>
      <c r="AA92" s="3561"/>
      <c r="AB92" s="3562"/>
      <c r="AC92" s="532"/>
      <c r="AD92" s="533"/>
      <c r="AE92" s="533"/>
      <c r="AF92" s="5051"/>
      <c r="AG92" s="522"/>
    </row>
    <row r="93" spans="1:33" ht="33" customHeight="1">
      <c r="A93" s="4360"/>
      <c r="B93" s="5056"/>
      <c r="C93" s="5058"/>
      <c r="D93" s="5063"/>
      <c r="E93" s="5063"/>
      <c r="F93" s="5063"/>
      <c r="G93" s="5063"/>
      <c r="H93" s="5063"/>
      <c r="I93" s="5063"/>
      <c r="J93" s="5063"/>
      <c r="K93" s="5063"/>
      <c r="L93" s="5063"/>
      <c r="M93" s="5071"/>
      <c r="N93" s="5071"/>
      <c r="O93" s="5071"/>
      <c r="P93" s="5063"/>
      <c r="Q93" s="5063"/>
      <c r="R93" s="5074"/>
      <c r="S93" s="3522"/>
      <c r="T93" s="671"/>
      <c r="U93" s="572"/>
      <c r="V93" s="2681"/>
      <c r="W93" s="2630"/>
      <c r="X93" s="3544"/>
      <c r="Y93" s="3561"/>
      <c r="Z93" s="3561"/>
      <c r="AA93" s="3561"/>
      <c r="AB93" s="3562"/>
      <c r="AC93" s="532"/>
      <c r="AD93" s="533"/>
      <c r="AE93" s="533"/>
      <c r="AF93" s="5051"/>
      <c r="AG93" s="522"/>
    </row>
    <row r="94" spans="1:33" ht="33" customHeight="1">
      <c r="A94" s="4360"/>
      <c r="B94" s="5056"/>
      <c r="C94" s="5058"/>
      <c r="D94" s="5063"/>
      <c r="E94" s="5063"/>
      <c r="F94" s="5063"/>
      <c r="G94" s="5063"/>
      <c r="H94" s="5063"/>
      <c r="I94" s="5063"/>
      <c r="J94" s="5063"/>
      <c r="K94" s="5063"/>
      <c r="L94" s="5063"/>
      <c r="M94" s="5071"/>
      <c r="N94" s="5071"/>
      <c r="O94" s="5071"/>
      <c r="P94" s="5063"/>
      <c r="Q94" s="5063"/>
      <c r="R94" s="5074"/>
      <c r="S94" s="3523"/>
      <c r="T94" s="323"/>
      <c r="U94" s="574"/>
      <c r="V94" s="2682"/>
      <c r="W94" s="2631"/>
      <c r="X94" s="3548"/>
      <c r="Y94" s="3603"/>
      <c r="Z94" s="3603"/>
      <c r="AA94" s="3603"/>
      <c r="AB94" s="3604"/>
      <c r="AC94" s="575"/>
      <c r="AD94" s="321"/>
      <c r="AE94" s="321"/>
      <c r="AF94" s="5051"/>
      <c r="AG94" s="522"/>
    </row>
    <row r="95" spans="1:33" ht="29.25" customHeight="1">
      <c r="A95" s="4360"/>
      <c r="B95" s="5056"/>
      <c r="C95" s="5059" t="s">
        <v>235</v>
      </c>
      <c r="D95" s="5064" t="s">
        <v>236</v>
      </c>
      <c r="E95" s="5064" t="s">
        <v>237</v>
      </c>
      <c r="F95" s="5064" t="s">
        <v>370</v>
      </c>
      <c r="G95" s="5076" t="s">
        <v>239</v>
      </c>
      <c r="H95" s="5064" t="s">
        <v>240</v>
      </c>
      <c r="I95" s="5064" t="s">
        <v>257</v>
      </c>
      <c r="J95" s="5064" t="s">
        <v>5163</v>
      </c>
      <c r="K95" s="5064" t="s">
        <v>1095</v>
      </c>
      <c r="L95" s="5064" t="s">
        <v>5112</v>
      </c>
      <c r="M95" s="5079">
        <v>1</v>
      </c>
      <c r="N95" s="5079">
        <v>0</v>
      </c>
      <c r="O95" s="5079">
        <v>0</v>
      </c>
      <c r="P95" s="5064" t="s">
        <v>5208</v>
      </c>
      <c r="Q95" s="5064" t="s">
        <v>5266</v>
      </c>
      <c r="R95" s="5073" t="s">
        <v>5093</v>
      </c>
      <c r="S95" s="3573"/>
      <c r="T95" s="3605"/>
      <c r="U95" s="3606"/>
      <c r="V95" s="3575"/>
      <c r="W95" s="3576"/>
      <c r="X95" s="3577"/>
      <c r="Y95" s="3607"/>
      <c r="Z95" s="3607"/>
      <c r="AA95" s="3607"/>
      <c r="AB95" s="3608"/>
      <c r="AC95" s="3580"/>
      <c r="AD95" s="3581"/>
      <c r="AE95" s="3581"/>
      <c r="AF95" s="5084"/>
      <c r="AG95" s="522"/>
    </row>
    <row r="96" spans="1:33" ht="29.25" customHeight="1">
      <c r="A96" s="4360"/>
      <c r="B96" s="5056"/>
      <c r="C96" s="5058"/>
      <c r="D96" s="5063"/>
      <c r="E96" s="5063"/>
      <c r="F96" s="5063"/>
      <c r="G96" s="5063"/>
      <c r="H96" s="5063"/>
      <c r="I96" s="5063"/>
      <c r="J96" s="5063"/>
      <c r="K96" s="5063"/>
      <c r="L96" s="5063"/>
      <c r="M96" s="5071"/>
      <c r="N96" s="5071"/>
      <c r="O96" s="5071"/>
      <c r="P96" s="5063"/>
      <c r="Q96" s="5063"/>
      <c r="R96" s="5074"/>
      <c r="S96" s="3516"/>
      <c r="T96" s="579"/>
      <c r="U96" s="545"/>
      <c r="V96" s="2681"/>
      <c r="W96" s="2630"/>
      <c r="X96" s="3544"/>
      <c r="Y96" s="3561"/>
      <c r="Z96" s="3561"/>
      <c r="AA96" s="3561"/>
      <c r="AB96" s="3562"/>
      <c r="AC96" s="532"/>
      <c r="AD96" s="532"/>
      <c r="AE96" s="526"/>
      <c r="AF96" s="5051"/>
      <c r="AG96" s="522"/>
    </row>
    <row r="97" spans="1:33" ht="29.25" customHeight="1">
      <c r="A97" s="4360"/>
      <c r="B97" s="5056"/>
      <c r="C97" s="5058"/>
      <c r="D97" s="5063"/>
      <c r="E97" s="5063"/>
      <c r="F97" s="5063"/>
      <c r="G97" s="5063"/>
      <c r="H97" s="5063"/>
      <c r="I97" s="5063"/>
      <c r="J97" s="5063"/>
      <c r="K97" s="5063"/>
      <c r="L97" s="5063"/>
      <c r="M97" s="5071"/>
      <c r="N97" s="5071"/>
      <c r="O97" s="5071"/>
      <c r="P97" s="5063"/>
      <c r="Q97" s="5063"/>
      <c r="R97" s="5074"/>
      <c r="S97" s="3522"/>
      <c r="T97" s="671"/>
      <c r="U97" s="572"/>
      <c r="V97" s="3531"/>
      <c r="W97" s="2630"/>
      <c r="X97" s="3544"/>
      <c r="Y97" s="3561"/>
      <c r="Z97" s="3561"/>
      <c r="AA97" s="3561"/>
      <c r="AB97" s="3562"/>
      <c r="AC97" s="532"/>
      <c r="AD97" s="532"/>
      <c r="AE97" s="533"/>
      <c r="AF97" s="5051"/>
      <c r="AG97" s="522"/>
    </row>
    <row r="98" spans="1:33" ht="29.25" customHeight="1">
      <c r="A98" s="4360"/>
      <c r="B98" s="5056"/>
      <c r="C98" s="5058"/>
      <c r="D98" s="5063"/>
      <c r="E98" s="5063"/>
      <c r="F98" s="5063"/>
      <c r="G98" s="5063"/>
      <c r="H98" s="5063"/>
      <c r="I98" s="5063"/>
      <c r="J98" s="5063"/>
      <c r="K98" s="5063"/>
      <c r="L98" s="5063"/>
      <c r="M98" s="5071"/>
      <c r="N98" s="5071"/>
      <c r="O98" s="5071"/>
      <c r="P98" s="5063"/>
      <c r="Q98" s="5063"/>
      <c r="R98" s="5074"/>
      <c r="S98" s="3516"/>
      <c r="T98" s="579"/>
      <c r="U98" s="545"/>
      <c r="V98" s="2681"/>
      <c r="W98" s="2630"/>
      <c r="X98" s="3544"/>
      <c r="Y98" s="3561"/>
      <c r="Z98" s="3561"/>
      <c r="AA98" s="3561"/>
      <c r="AB98" s="3562"/>
      <c r="AC98" s="532"/>
      <c r="AD98" s="532"/>
      <c r="AE98" s="533"/>
      <c r="AF98" s="5051"/>
      <c r="AG98" s="522"/>
    </row>
    <row r="99" spans="1:33" ht="29.25" customHeight="1">
      <c r="A99" s="4360"/>
      <c r="B99" s="5056"/>
      <c r="C99" s="5060"/>
      <c r="D99" s="5065"/>
      <c r="E99" s="5065"/>
      <c r="F99" s="5065"/>
      <c r="G99" s="5065"/>
      <c r="H99" s="5065"/>
      <c r="I99" s="5065"/>
      <c r="J99" s="5065"/>
      <c r="K99" s="5065"/>
      <c r="L99" s="5065"/>
      <c r="M99" s="5072"/>
      <c r="N99" s="5072"/>
      <c r="O99" s="5072"/>
      <c r="P99" s="5065"/>
      <c r="Q99" s="5065"/>
      <c r="R99" s="5075"/>
      <c r="S99" s="3569"/>
      <c r="T99" s="2666"/>
      <c r="U99" s="3601"/>
      <c r="V99" s="2686"/>
      <c r="W99" s="1781"/>
      <c r="X99" s="3571"/>
      <c r="Y99" s="1783"/>
      <c r="Z99" s="1783"/>
      <c r="AA99" s="1783"/>
      <c r="AB99" s="3602"/>
      <c r="AC99" s="1782"/>
      <c r="AD99" s="1782"/>
      <c r="AE99" s="3572"/>
      <c r="AF99" s="5085"/>
      <c r="AG99" s="522"/>
    </row>
    <row r="100" spans="1:33" ht="30" customHeight="1">
      <c r="A100" s="4360"/>
      <c r="B100" s="5056"/>
      <c r="C100" s="5061" t="s">
        <v>235</v>
      </c>
      <c r="D100" s="5062" t="s">
        <v>236</v>
      </c>
      <c r="E100" s="5062" t="s">
        <v>237</v>
      </c>
      <c r="F100" s="5062" t="s">
        <v>370</v>
      </c>
      <c r="G100" s="5069" t="s">
        <v>239</v>
      </c>
      <c r="H100" s="5062" t="s">
        <v>293</v>
      </c>
      <c r="I100" s="5062" t="s">
        <v>241</v>
      </c>
      <c r="J100" s="5062" t="s">
        <v>5164</v>
      </c>
      <c r="K100" s="5062" t="s">
        <v>1096</v>
      </c>
      <c r="L100" s="5062" t="s">
        <v>5113</v>
      </c>
      <c r="M100" s="5092">
        <v>1</v>
      </c>
      <c r="N100" s="5092">
        <v>1</v>
      </c>
      <c r="O100" s="5092">
        <v>1</v>
      </c>
      <c r="P100" s="5062" t="s">
        <v>5209</v>
      </c>
      <c r="Q100" s="5062" t="s">
        <v>5265</v>
      </c>
      <c r="R100" s="5078" t="s">
        <v>5093</v>
      </c>
      <c r="S100" s="3525"/>
      <c r="T100" s="3528"/>
      <c r="U100" s="2026"/>
      <c r="V100" s="3530"/>
      <c r="W100" s="2633"/>
      <c r="X100" s="3547"/>
      <c r="Y100" s="3565"/>
      <c r="Z100" s="3565"/>
      <c r="AA100" s="3565"/>
      <c r="AB100" s="3566"/>
      <c r="AC100" s="1967"/>
      <c r="AD100" s="1971"/>
      <c r="AE100" s="1971"/>
      <c r="AF100" s="5086"/>
      <c r="AG100" s="522"/>
    </row>
    <row r="101" spans="1:33" ht="30" customHeight="1">
      <c r="A101" s="4360"/>
      <c r="B101" s="5056"/>
      <c r="C101" s="5058"/>
      <c r="D101" s="5063"/>
      <c r="E101" s="5063"/>
      <c r="F101" s="5063"/>
      <c r="G101" s="5063"/>
      <c r="H101" s="5063"/>
      <c r="I101" s="5063"/>
      <c r="J101" s="5063"/>
      <c r="K101" s="5063"/>
      <c r="L101" s="5063"/>
      <c r="M101" s="5071"/>
      <c r="N101" s="5071"/>
      <c r="O101" s="5071"/>
      <c r="P101" s="5063"/>
      <c r="Q101" s="5063"/>
      <c r="R101" s="5074"/>
      <c r="S101" s="3516"/>
      <c r="T101" s="579"/>
      <c r="U101" s="545"/>
      <c r="V101" s="2681"/>
      <c r="W101" s="2630"/>
      <c r="X101" s="3544"/>
      <c r="Y101" s="3561"/>
      <c r="Z101" s="3561"/>
      <c r="AA101" s="3561"/>
      <c r="AB101" s="3562"/>
      <c r="AC101" s="532"/>
      <c r="AD101" s="533"/>
      <c r="AE101" s="533"/>
      <c r="AF101" s="5051"/>
      <c r="AG101" s="522"/>
    </row>
    <row r="102" spans="1:33" ht="30" customHeight="1">
      <c r="A102" s="4360"/>
      <c r="B102" s="5056"/>
      <c r="C102" s="5058"/>
      <c r="D102" s="5063"/>
      <c r="E102" s="5063"/>
      <c r="F102" s="5063"/>
      <c r="G102" s="5063"/>
      <c r="H102" s="5063"/>
      <c r="I102" s="5063"/>
      <c r="J102" s="5063"/>
      <c r="K102" s="5063"/>
      <c r="L102" s="5063"/>
      <c r="M102" s="5071"/>
      <c r="N102" s="5071"/>
      <c r="O102" s="5071"/>
      <c r="P102" s="5063"/>
      <c r="Q102" s="5063"/>
      <c r="R102" s="5074"/>
      <c r="S102" s="3516"/>
      <c r="T102" s="579"/>
      <c r="U102" s="545"/>
      <c r="V102" s="2681"/>
      <c r="W102" s="2630"/>
      <c r="X102" s="3544"/>
      <c r="Y102" s="3561"/>
      <c r="Z102" s="3561"/>
      <c r="AA102" s="3561"/>
      <c r="AB102" s="3562"/>
      <c r="AC102" s="532"/>
      <c r="AD102" s="533"/>
      <c r="AE102" s="533"/>
      <c r="AF102" s="5051"/>
      <c r="AG102" s="522"/>
    </row>
    <row r="103" spans="1:33" ht="30" customHeight="1">
      <c r="A103" s="4360"/>
      <c r="B103" s="5056"/>
      <c r="C103" s="5058"/>
      <c r="D103" s="5063"/>
      <c r="E103" s="5063"/>
      <c r="F103" s="5063"/>
      <c r="G103" s="5063"/>
      <c r="H103" s="5063"/>
      <c r="I103" s="5063"/>
      <c r="J103" s="5063"/>
      <c r="K103" s="5063"/>
      <c r="L103" s="5063"/>
      <c r="M103" s="5071"/>
      <c r="N103" s="5071"/>
      <c r="O103" s="5071"/>
      <c r="P103" s="5063"/>
      <c r="Q103" s="5063"/>
      <c r="R103" s="5074"/>
      <c r="S103" s="3516"/>
      <c r="T103" s="579"/>
      <c r="U103" s="545"/>
      <c r="V103" s="2681"/>
      <c r="W103" s="2630"/>
      <c r="X103" s="3544"/>
      <c r="Y103" s="3561"/>
      <c r="Z103" s="3561"/>
      <c r="AA103" s="3561"/>
      <c r="AB103" s="3562"/>
      <c r="AC103" s="532"/>
      <c r="AD103" s="533"/>
      <c r="AE103" s="533"/>
      <c r="AF103" s="5051"/>
      <c r="AG103" s="522"/>
    </row>
    <row r="104" spans="1:33" ht="30" customHeight="1">
      <c r="A104" s="4360"/>
      <c r="B104" s="5056"/>
      <c r="C104" s="5058"/>
      <c r="D104" s="5063"/>
      <c r="E104" s="5063"/>
      <c r="F104" s="5063"/>
      <c r="G104" s="5063"/>
      <c r="H104" s="5063"/>
      <c r="I104" s="5063"/>
      <c r="J104" s="5063"/>
      <c r="K104" s="5063"/>
      <c r="L104" s="5063"/>
      <c r="M104" s="5071"/>
      <c r="N104" s="5071"/>
      <c r="O104" s="5071"/>
      <c r="P104" s="5063"/>
      <c r="Q104" s="5063"/>
      <c r="R104" s="5074"/>
      <c r="S104" s="3523"/>
      <c r="T104" s="323"/>
      <c r="U104" s="574"/>
      <c r="V104" s="2682"/>
      <c r="W104" s="2631"/>
      <c r="X104" s="3548"/>
      <c r="Y104" s="3603"/>
      <c r="Z104" s="3603"/>
      <c r="AA104" s="3603"/>
      <c r="AB104" s="3604"/>
      <c r="AC104" s="575"/>
      <c r="AD104" s="321"/>
      <c r="AE104" s="321"/>
      <c r="AF104" s="5051"/>
      <c r="AG104" s="522"/>
    </row>
    <row r="105" spans="1:33" ht="30.75" customHeight="1">
      <c r="A105" s="4360"/>
      <c r="B105" s="5056"/>
      <c r="C105" s="5059" t="s">
        <v>235</v>
      </c>
      <c r="D105" s="5064" t="s">
        <v>236</v>
      </c>
      <c r="E105" s="5064" t="s">
        <v>237</v>
      </c>
      <c r="F105" s="5064" t="s">
        <v>370</v>
      </c>
      <c r="G105" s="5076" t="s">
        <v>239</v>
      </c>
      <c r="H105" s="5064" t="s">
        <v>240</v>
      </c>
      <c r="I105" s="5064" t="s">
        <v>257</v>
      </c>
      <c r="J105" s="5064" t="s">
        <v>5165</v>
      </c>
      <c r="K105" s="5064" t="s">
        <v>1097</v>
      </c>
      <c r="L105" s="5064" t="s">
        <v>5114</v>
      </c>
      <c r="M105" s="5079">
        <v>2</v>
      </c>
      <c r="N105" s="5079">
        <v>2</v>
      </c>
      <c r="O105" s="5079">
        <v>2</v>
      </c>
      <c r="P105" s="5064" t="s">
        <v>5210</v>
      </c>
      <c r="Q105" s="5064" t="s">
        <v>5264</v>
      </c>
      <c r="R105" s="5073" t="s">
        <v>5093</v>
      </c>
      <c r="S105" s="3573"/>
      <c r="T105" s="3609"/>
      <c r="U105" s="3610"/>
      <c r="V105" s="3575"/>
      <c r="W105" s="3576"/>
      <c r="X105" s="3577"/>
      <c r="Y105" s="3607"/>
      <c r="Z105" s="3607"/>
      <c r="AA105" s="3607"/>
      <c r="AB105" s="3608"/>
      <c r="AC105" s="3580"/>
      <c r="AD105" s="3582"/>
      <c r="AE105" s="3582"/>
      <c r="AF105" s="5084"/>
      <c r="AG105" s="522"/>
    </row>
    <row r="106" spans="1:33" ht="30.75" customHeight="1">
      <c r="A106" s="4360"/>
      <c r="B106" s="5056"/>
      <c r="C106" s="5058"/>
      <c r="D106" s="5063"/>
      <c r="E106" s="5063"/>
      <c r="F106" s="5063"/>
      <c r="G106" s="5063"/>
      <c r="H106" s="5063"/>
      <c r="I106" s="5063"/>
      <c r="J106" s="5063"/>
      <c r="K106" s="5063"/>
      <c r="L106" s="5063"/>
      <c r="M106" s="5071"/>
      <c r="N106" s="5071"/>
      <c r="O106" s="5071"/>
      <c r="P106" s="5063"/>
      <c r="Q106" s="5063"/>
      <c r="R106" s="5074"/>
      <c r="S106" s="3516"/>
      <c r="T106" s="579"/>
      <c r="U106" s="545"/>
      <c r="V106" s="2681"/>
      <c r="W106" s="2630"/>
      <c r="X106" s="3544"/>
      <c r="Y106" s="3561"/>
      <c r="Z106" s="3561"/>
      <c r="AA106" s="3561"/>
      <c r="AB106" s="3562"/>
      <c r="AC106" s="532"/>
      <c r="AD106" s="533"/>
      <c r="AE106" s="533"/>
      <c r="AF106" s="5051"/>
      <c r="AG106" s="522"/>
    </row>
    <row r="107" spans="1:33" ht="30.75" customHeight="1">
      <c r="A107" s="4360"/>
      <c r="B107" s="5056"/>
      <c r="C107" s="5058"/>
      <c r="D107" s="5063"/>
      <c r="E107" s="5063"/>
      <c r="F107" s="5063"/>
      <c r="G107" s="5063"/>
      <c r="H107" s="5063"/>
      <c r="I107" s="5063"/>
      <c r="J107" s="5063"/>
      <c r="K107" s="5063"/>
      <c r="L107" s="5063"/>
      <c r="M107" s="5071"/>
      <c r="N107" s="5071"/>
      <c r="O107" s="5071"/>
      <c r="P107" s="5063"/>
      <c r="Q107" s="5063"/>
      <c r="R107" s="5074"/>
      <c r="S107" s="3516"/>
      <c r="T107" s="579"/>
      <c r="U107" s="545"/>
      <c r="V107" s="2681"/>
      <c r="W107" s="2630"/>
      <c r="X107" s="3544"/>
      <c r="Y107" s="3561"/>
      <c r="Z107" s="3561"/>
      <c r="AA107" s="3561"/>
      <c r="AB107" s="3562"/>
      <c r="AC107" s="532"/>
      <c r="AD107" s="533"/>
      <c r="AE107" s="533"/>
      <c r="AF107" s="5051"/>
      <c r="AG107" s="522"/>
    </row>
    <row r="108" spans="1:33" ht="30.75" customHeight="1">
      <c r="A108" s="4360"/>
      <c r="B108" s="5056"/>
      <c r="C108" s="5058"/>
      <c r="D108" s="5063"/>
      <c r="E108" s="5063"/>
      <c r="F108" s="5063"/>
      <c r="G108" s="5063"/>
      <c r="H108" s="5063"/>
      <c r="I108" s="5063"/>
      <c r="J108" s="5063"/>
      <c r="K108" s="5063"/>
      <c r="L108" s="5063"/>
      <c r="M108" s="5071"/>
      <c r="N108" s="5071"/>
      <c r="O108" s="5071"/>
      <c r="P108" s="5063"/>
      <c r="Q108" s="5063"/>
      <c r="R108" s="5074"/>
      <c r="S108" s="3516"/>
      <c r="T108" s="579"/>
      <c r="U108" s="545"/>
      <c r="V108" s="2681"/>
      <c r="W108" s="2630"/>
      <c r="X108" s="3544"/>
      <c r="Y108" s="3561"/>
      <c r="Z108" s="3561"/>
      <c r="AA108" s="3561"/>
      <c r="AB108" s="3562"/>
      <c r="AC108" s="532"/>
      <c r="AD108" s="533"/>
      <c r="AE108" s="533"/>
      <c r="AF108" s="5051"/>
      <c r="AG108" s="522"/>
    </row>
    <row r="109" spans="1:33" ht="30.75" customHeight="1">
      <c r="A109" s="4360"/>
      <c r="B109" s="5056"/>
      <c r="C109" s="5060"/>
      <c r="D109" s="5065"/>
      <c r="E109" s="5065"/>
      <c r="F109" s="5065"/>
      <c r="G109" s="5065"/>
      <c r="H109" s="5065"/>
      <c r="I109" s="5065"/>
      <c r="J109" s="5065"/>
      <c r="K109" s="5065"/>
      <c r="L109" s="5065"/>
      <c r="M109" s="5072"/>
      <c r="N109" s="5072"/>
      <c r="O109" s="5072"/>
      <c r="P109" s="5065"/>
      <c r="Q109" s="5065"/>
      <c r="R109" s="5075"/>
      <c r="S109" s="3569"/>
      <c r="T109" s="2666"/>
      <c r="U109" s="3601"/>
      <c r="V109" s="2686"/>
      <c r="W109" s="1781"/>
      <c r="X109" s="3571"/>
      <c r="Y109" s="1783"/>
      <c r="Z109" s="1783"/>
      <c r="AA109" s="1783"/>
      <c r="AB109" s="3602"/>
      <c r="AC109" s="1782"/>
      <c r="AD109" s="3572"/>
      <c r="AE109" s="3572"/>
      <c r="AF109" s="5085"/>
      <c r="AG109" s="522"/>
    </row>
    <row r="110" spans="1:33" ht="30" customHeight="1">
      <c r="A110" s="4360"/>
      <c r="B110" s="5056"/>
      <c r="C110" s="5061" t="s">
        <v>235</v>
      </c>
      <c r="D110" s="5062" t="s">
        <v>236</v>
      </c>
      <c r="E110" s="5062" t="s">
        <v>237</v>
      </c>
      <c r="F110" s="5062" t="s">
        <v>255</v>
      </c>
      <c r="G110" s="5069" t="s">
        <v>239</v>
      </c>
      <c r="H110" s="5062" t="s">
        <v>256</v>
      </c>
      <c r="I110" s="5062" t="s">
        <v>241</v>
      </c>
      <c r="J110" s="5062" t="s">
        <v>5166</v>
      </c>
      <c r="K110" s="5062" t="s">
        <v>1098</v>
      </c>
      <c r="L110" s="5062" t="s">
        <v>5115</v>
      </c>
      <c r="M110" s="5092">
        <v>1</v>
      </c>
      <c r="N110" s="5092">
        <v>1</v>
      </c>
      <c r="O110" s="5092">
        <v>1</v>
      </c>
      <c r="P110" s="5062" t="s">
        <v>5211</v>
      </c>
      <c r="Q110" s="5062" t="s">
        <v>5263</v>
      </c>
      <c r="R110" s="5078" t="s">
        <v>5093</v>
      </c>
      <c r="S110" s="3525"/>
      <c r="T110" s="3528"/>
      <c r="U110" s="2026"/>
      <c r="V110" s="3530"/>
      <c r="W110" s="2633"/>
      <c r="X110" s="3547"/>
      <c r="Y110" s="3565"/>
      <c r="Z110" s="3565"/>
      <c r="AA110" s="3565"/>
      <c r="AB110" s="3566"/>
      <c r="AC110" s="1967"/>
      <c r="AD110" s="1971"/>
      <c r="AE110" s="1971"/>
      <c r="AF110" s="5086"/>
      <c r="AG110" s="522"/>
    </row>
    <row r="111" spans="1:33" ht="30" customHeight="1">
      <c r="A111" s="4360"/>
      <c r="B111" s="5056"/>
      <c r="C111" s="5058"/>
      <c r="D111" s="5063"/>
      <c r="E111" s="5063"/>
      <c r="F111" s="5063"/>
      <c r="G111" s="5063"/>
      <c r="H111" s="5063"/>
      <c r="I111" s="5063"/>
      <c r="J111" s="5063"/>
      <c r="K111" s="5063"/>
      <c r="L111" s="5063"/>
      <c r="M111" s="5071"/>
      <c r="N111" s="5071"/>
      <c r="O111" s="5071"/>
      <c r="P111" s="5063"/>
      <c r="Q111" s="5063"/>
      <c r="R111" s="5074"/>
      <c r="S111" s="3516"/>
      <c r="T111" s="579"/>
      <c r="U111" s="545"/>
      <c r="V111" s="2681"/>
      <c r="W111" s="2630"/>
      <c r="X111" s="3544"/>
      <c r="Y111" s="3561"/>
      <c r="Z111" s="3561"/>
      <c r="AA111" s="3561"/>
      <c r="AB111" s="3562"/>
      <c r="AC111" s="532"/>
      <c r="AD111" s="533"/>
      <c r="AE111" s="533"/>
      <c r="AF111" s="5051"/>
      <c r="AG111" s="522"/>
    </row>
    <row r="112" spans="1:33" ht="30" customHeight="1">
      <c r="A112" s="4360"/>
      <c r="B112" s="5056"/>
      <c r="C112" s="5058"/>
      <c r="D112" s="5063"/>
      <c r="E112" s="5063"/>
      <c r="F112" s="5063"/>
      <c r="G112" s="5063"/>
      <c r="H112" s="5063"/>
      <c r="I112" s="5063"/>
      <c r="J112" s="5063"/>
      <c r="K112" s="5063"/>
      <c r="L112" s="5063"/>
      <c r="M112" s="5071"/>
      <c r="N112" s="5071"/>
      <c r="O112" s="5071"/>
      <c r="P112" s="5063"/>
      <c r="Q112" s="5063"/>
      <c r="R112" s="5074"/>
      <c r="S112" s="3522"/>
      <c r="T112" s="671"/>
      <c r="U112" s="572"/>
      <c r="V112" s="3531"/>
      <c r="W112" s="2630"/>
      <c r="X112" s="3544"/>
      <c r="Y112" s="3561"/>
      <c r="Z112" s="3561"/>
      <c r="AA112" s="3561"/>
      <c r="AB112" s="3562"/>
      <c r="AC112" s="532"/>
      <c r="AD112" s="533"/>
      <c r="AE112" s="533"/>
      <c r="AF112" s="5051"/>
      <c r="AG112" s="522"/>
    </row>
    <row r="113" spans="1:33" ht="30" customHeight="1">
      <c r="A113" s="4360"/>
      <c r="B113" s="5056"/>
      <c r="C113" s="5058"/>
      <c r="D113" s="5063"/>
      <c r="E113" s="5063"/>
      <c r="F113" s="5063"/>
      <c r="G113" s="5063"/>
      <c r="H113" s="5063"/>
      <c r="I113" s="5063"/>
      <c r="J113" s="5063"/>
      <c r="K113" s="5063"/>
      <c r="L113" s="5063"/>
      <c r="M113" s="5071"/>
      <c r="N113" s="5071"/>
      <c r="O113" s="5071"/>
      <c r="P113" s="5063"/>
      <c r="Q113" s="5063"/>
      <c r="R113" s="5074"/>
      <c r="S113" s="3516"/>
      <c r="T113" s="579"/>
      <c r="U113" s="545"/>
      <c r="V113" s="2681"/>
      <c r="W113" s="2630"/>
      <c r="X113" s="3544"/>
      <c r="Y113" s="3561"/>
      <c r="Z113" s="3561"/>
      <c r="AA113" s="3561"/>
      <c r="AB113" s="3562"/>
      <c r="AC113" s="532"/>
      <c r="AD113" s="533"/>
      <c r="AE113" s="533"/>
      <c r="AF113" s="5051"/>
      <c r="AG113" s="522"/>
    </row>
    <row r="114" spans="1:33" ht="30" customHeight="1">
      <c r="A114" s="4360"/>
      <c r="B114" s="5056"/>
      <c r="C114" s="5058"/>
      <c r="D114" s="5063"/>
      <c r="E114" s="5063"/>
      <c r="F114" s="5063"/>
      <c r="G114" s="5063"/>
      <c r="H114" s="5063"/>
      <c r="I114" s="5063"/>
      <c r="J114" s="5063"/>
      <c r="K114" s="5063"/>
      <c r="L114" s="5063"/>
      <c r="M114" s="5071"/>
      <c r="N114" s="5071"/>
      <c r="O114" s="5071"/>
      <c r="P114" s="5063"/>
      <c r="Q114" s="5063"/>
      <c r="R114" s="5074"/>
      <c r="S114" s="3523"/>
      <c r="T114" s="323"/>
      <c r="U114" s="574"/>
      <c r="V114" s="2682"/>
      <c r="W114" s="2631"/>
      <c r="X114" s="3548"/>
      <c r="Y114" s="3603"/>
      <c r="Z114" s="3603"/>
      <c r="AA114" s="3603"/>
      <c r="AB114" s="3604"/>
      <c r="AC114" s="575"/>
      <c r="AD114" s="321"/>
      <c r="AE114" s="321"/>
      <c r="AF114" s="5051"/>
      <c r="AG114" s="522"/>
    </row>
    <row r="115" spans="1:33" ht="30" customHeight="1">
      <c r="A115" s="4360"/>
      <c r="B115" s="5056"/>
      <c r="C115" s="5059" t="s">
        <v>235</v>
      </c>
      <c r="D115" s="5064" t="s">
        <v>236</v>
      </c>
      <c r="E115" s="5064" t="s">
        <v>237</v>
      </c>
      <c r="F115" s="5064" t="s">
        <v>370</v>
      </c>
      <c r="G115" s="5076" t="s">
        <v>239</v>
      </c>
      <c r="H115" s="5064" t="s">
        <v>240</v>
      </c>
      <c r="I115" s="5064" t="s">
        <v>257</v>
      </c>
      <c r="J115" s="5064" t="s">
        <v>5167</v>
      </c>
      <c r="K115" s="5064" t="s">
        <v>1099</v>
      </c>
      <c r="L115" s="5064" t="s">
        <v>5116</v>
      </c>
      <c r="M115" s="5079">
        <v>100</v>
      </c>
      <c r="N115" s="5079">
        <v>100</v>
      </c>
      <c r="O115" s="5079">
        <v>100</v>
      </c>
      <c r="P115" s="5064" t="s">
        <v>5212</v>
      </c>
      <c r="Q115" s="5064" t="s">
        <v>5262</v>
      </c>
      <c r="R115" s="5073" t="s">
        <v>5093</v>
      </c>
      <c r="S115" s="3573"/>
      <c r="T115" s="3605"/>
      <c r="U115" s="3606"/>
      <c r="V115" s="3575"/>
      <c r="W115" s="3576"/>
      <c r="X115" s="3577"/>
      <c r="Y115" s="3607"/>
      <c r="Z115" s="3607"/>
      <c r="AA115" s="3607"/>
      <c r="AB115" s="3608"/>
      <c r="AC115" s="3580"/>
      <c r="AD115" s="3582"/>
      <c r="AE115" s="3582"/>
      <c r="AF115" s="5084"/>
      <c r="AG115" s="522"/>
    </row>
    <row r="116" spans="1:33" ht="30" customHeight="1">
      <c r="A116" s="4360"/>
      <c r="B116" s="5056"/>
      <c r="C116" s="5058"/>
      <c r="D116" s="5063"/>
      <c r="E116" s="5063"/>
      <c r="F116" s="5063"/>
      <c r="G116" s="5063"/>
      <c r="H116" s="5063"/>
      <c r="I116" s="5063"/>
      <c r="J116" s="5063"/>
      <c r="K116" s="5063"/>
      <c r="L116" s="5063"/>
      <c r="M116" s="5071"/>
      <c r="N116" s="5071"/>
      <c r="O116" s="5071"/>
      <c r="P116" s="5063"/>
      <c r="Q116" s="5063"/>
      <c r="R116" s="5074"/>
      <c r="S116" s="3516"/>
      <c r="T116" s="579"/>
      <c r="U116" s="545"/>
      <c r="V116" s="2681"/>
      <c r="W116" s="2630"/>
      <c r="X116" s="3544"/>
      <c r="Y116" s="3561"/>
      <c r="Z116" s="3561"/>
      <c r="AA116" s="3561"/>
      <c r="AB116" s="3562"/>
      <c r="AC116" s="532"/>
      <c r="AD116" s="533"/>
      <c r="AE116" s="533"/>
      <c r="AF116" s="5051"/>
      <c r="AG116" s="522"/>
    </row>
    <row r="117" spans="1:33" ht="30" customHeight="1">
      <c r="A117" s="4360"/>
      <c r="B117" s="5056"/>
      <c r="C117" s="5058"/>
      <c r="D117" s="5063"/>
      <c r="E117" s="5063"/>
      <c r="F117" s="5063"/>
      <c r="G117" s="5063"/>
      <c r="H117" s="5063"/>
      <c r="I117" s="5063"/>
      <c r="J117" s="5063"/>
      <c r="K117" s="5063"/>
      <c r="L117" s="5063"/>
      <c r="M117" s="5071"/>
      <c r="N117" s="5071"/>
      <c r="O117" s="5071"/>
      <c r="P117" s="5063"/>
      <c r="Q117" s="5063"/>
      <c r="R117" s="5074"/>
      <c r="S117" s="3516"/>
      <c r="T117" s="579"/>
      <c r="U117" s="545"/>
      <c r="V117" s="2681"/>
      <c r="W117" s="2630"/>
      <c r="X117" s="3544"/>
      <c r="Y117" s="3561"/>
      <c r="Z117" s="3561"/>
      <c r="AA117" s="3561"/>
      <c r="AB117" s="3562"/>
      <c r="AC117" s="532"/>
      <c r="AD117" s="533"/>
      <c r="AE117" s="533"/>
      <c r="AF117" s="5051"/>
      <c r="AG117" s="522"/>
    </row>
    <row r="118" spans="1:33" ht="30" customHeight="1">
      <c r="A118" s="4360"/>
      <c r="B118" s="5056"/>
      <c r="C118" s="5058"/>
      <c r="D118" s="5063"/>
      <c r="E118" s="5063"/>
      <c r="F118" s="5063"/>
      <c r="G118" s="5063"/>
      <c r="H118" s="5063"/>
      <c r="I118" s="5063"/>
      <c r="J118" s="5063"/>
      <c r="K118" s="5063"/>
      <c r="L118" s="5063"/>
      <c r="M118" s="5071"/>
      <c r="N118" s="5071"/>
      <c r="O118" s="5071"/>
      <c r="P118" s="5063"/>
      <c r="Q118" s="5063"/>
      <c r="R118" s="5074"/>
      <c r="S118" s="3522"/>
      <c r="T118" s="671"/>
      <c r="U118" s="572"/>
      <c r="V118" s="2681"/>
      <c r="W118" s="2630"/>
      <c r="X118" s="3544"/>
      <c r="Y118" s="3561"/>
      <c r="Z118" s="3561"/>
      <c r="AA118" s="3561"/>
      <c r="AB118" s="3562"/>
      <c r="AC118" s="532"/>
      <c r="AD118" s="533"/>
      <c r="AE118" s="533"/>
      <c r="AF118" s="5051"/>
      <c r="AG118" s="522"/>
    </row>
    <row r="119" spans="1:33" ht="30" customHeight="1">
      <c r="A119" s="4360"/>
      <c r="B119" s="5056"/>
      <c r="C119" s="5060"/>
      <c r="D119" s="5065"/>
      <c r="E119" s="5065"/>
      <c r="F119" s="5065"/>
      <c r="G119" s="5065"/>
      <c r="H119" s="5065"/>
      <c r="I119" s="5065"/>
      <c r="J119" s="5065"/>
      <c r="K119" s="5065"/>
      <c r="L119" s="5065"/>
      <c r="M119" s="5072"/>
      <c r="N119" s="5072"/>
      <c r="O119" s="5072"/>
      <c r="P119" s="5065"/>
      <c r="Q119" s="5065"/>
      <c r="R119" s="5075"/>
      <c r="S119" s="3569"/>
      <c r="T119" s="2666"/>
      <c r="U119" s="3601"/>
      <c r="V119" s="2686"/>
      <c r="W119" s="1781"/>
      <c r="X119" s="3571"/>
      <c r="Y119" s="1783"/>
      <c r="Z119" s="1783"/>
      <c r="AA119" s="1783"/>
      <c r="AB119" s="3602"/>
      <c r="AC119" s="1782"/>
      <c r="AD119" s="3572"/>
      <c r="AE119" s="3572"/>
      <c r="AF119" s="5085"/>
      <c r="AG119" s="522"/>
    </row>
    <row r="120" spans="1:33" ht="30.75" customHeight="1">
      <c r="A120" s="4360"/>
      <c r="B120" s="5056"/>
      <c r="C120" s="5061" t="s">
        <v>235</v>
      </c>
      <c r="D120" s="5062" t="s">
        <v>236</v>
      </c>
      <c r="E120" s="5062" t="s">
        <v>237</v>
      </c>
      <c r="F120" s="5062" t="s">
        <v>370</v>
      </c>
      <c r="G120" s="5069" t="s">
        <v>239</v>
      </c>
      <c r="H120" s="5062" t="s">
        <v>240</v>
      </c>
      <c r="I120" s="5062" t="s">
        <v>278</v>
      </c>
      <c r="J120" s="5069" t="s">
        <v>5168</v>
      </c>
      <c r="K120" s="5062" t="s">
        <v>1100</v>
      </c>
      <c r="L120" s="5062" t="s">
        <v>5117</v>
      </c>
      <c r="M120" s="5092">
        <v>0</v>
      </c>
      <c r="N120" s="5092">
        <v>1</v>
      </c>
      <c r="O120" s="5092">
        <v>1</v>
      </c>
      <c r="P120" s="5062" t="s">
        <v>5213</v>
      </c>
      <c r="Q120" s="5062" t="s">
        <v>5261</v>
      </c>
      <c r="R120" s="5078" t="s">
        <v>5093</v>
      </c>
      <c r="S120" s="3525"/>
      <c r="T120" s="3528"/>
      <c r="U120" s="2026"/>
      <c r="V120" s="3530"/>
      <c r="W120" s="2633"/>
      <c r="X120" s="3547"/>
      <c r="Y120" s="3565"/>
      <c r="Z120" s="3565"/>
      <c r="AA120" s="3565"/>
      <c r="AB120" s="3566"/>
      <c r="AC120" s="1967"/>
      <c r="AD120" s="2027"/>
      <c r="AE120" s="2027"/>
      <c r="AF120" s="5086"/>
      <c r="AG120" s="522"/>
    </row>
    <row r="121" spans="1:33" ht="30.75" customHeight="1">
      <c r="A121" s="4360"/>
      <c r="B121" s="5056"/>
      <c r="C121" s="5058"/>
      <c r="D121" s="5063"/>
      <c r="E121" s="5063"/>
      <c r="F121" s="5063"/>
      <c r="G121" s="5063"/>
      <c r="H121" s="5063"/>
      <c r="I121" s="5063"/>
      <c r="J121" s="5063"/>
      <c r="K121" s="5063"/>
      <c r="L121" s="5063"/>
      <c r="M121" s="5071"/>
      <c r="N121" s="5071"/>
      <c r="O121" s="5071"/>
      <c r="P121" s="5063"/>
      <c r="Q121" s="5063"/>
      <c r="R121" s="5074"/>
      <c r="S121" s="3516"/>
      <c r="T121" s="579"/>
      <c r="U121" s="545"/>
      <c r="V121" s="2681"/>
      <c r="W121" s="2630"/>
      <c r="X121" s="3544"/>
      <c r="Y121" s="3561"/>
      <c r="Z121" s="3561"/>
      <c r="AA121" s="3561"/>
      <c r="AB121" s="3562"/>
      <c r="AC121" s="532"/>
      <c r="AD121" s="532"/>
      <c r="AE121" s="526"/>
      <c r="AF121" s="5051"/>
      <c r="AG121" s="522"/>
    </row>
    <row r="122" spans="1:33" ht="30.75" customHeight="1">
      <c r="A122" s="4360"/>
      <c r="B122" s="5056"/>
      <c r="C122" s="5058"/>
      <c r="D122" s="5063"/>
      <c r="E122" s="5063"/>
      <c r="F122" s="5063"/>
      <c r="G122" s="5063"/>
      <c r="H122" s="5063"/>
      <c r="I122" s="5063"/>
      <c r="J122" s="5063"/>
      <c r="K122" s="5063"/>
      <c r="L122" s="5063"/>
      <c r="M122" s="5071"/>
      <c r="N122" s="5071"/>
      <c r="O122" s="5071"/>
      <c r="P122" s="5063"/>
      <c r="Q122" s="5063"/>
      <c r="R122" s="5074"/>
      <c r="S122" s="3516"/>
      <c r="T122" s="579"/>
      <c r="U122" s="545"/>
      <c r="V122" s="2681"/>
      <c r="W122" s="2630"/>
      <c r="X122" s="3544"/>
      <c r="Y122" s="3561"/>
      <c r="Z122" s="3561"/>
      <c r="AA122" s="3561"/>
      <c r="AB122" s="3562"/>
      <c r="AC122" s="532"/>
      <c r="AD122" s="532"/>
      <c r="AE122" s="533"/>
      <c r="AF122" s="5051"/>
      <c r="AG122" s="522"/>
    </row>
    <row r="123" spans="1:33" ht="30.75" customHeight="1">
      <c r="A123" s="4360"/>
      <c r="B123" s="5056"/>
      <c r="C123" s="5058"/>
      <c r="D123" s="5063"/>
      <c r="E123" s="5063"/>
      <c r="F123" s="5063"/>
      <c r="G123" s="5063"/>
      <c r="H123" s="5063"/>
      <c r="I123" s="5063"/>
      <c r="J123" s="5063"/>
      <c r="K123" s="5063"/>
      <c r="L123" s="5063"/>
      <c r="M123" s="5071"/>
      <c r="N123" s="5071"/>
      <c r="O123" s="5071"/>
      <c r="P123" s="5063"/>
      <c r="Q123" s="5063"/>
      <c r="R123" s="5074"/>
      <c r="S123" s="3516"/>
      <c r="T123" s="579"/>
      <c r="U123" s="545"/>
      <c r="V123" s="2681"/>
      <c r="W123" s="2630"/>
      <c r="X123" s="3544"/>
      <c r="Y123" s="3561"/>
      <c r="Z123" s="3561"/>
      <c r="AA123" s="3561"/>
      <c r="AB123" s="3562"/>
      <c r="AC123" s="532"/>
      <c r="AD123" s="532"/>
      <c r="AE123" s="533"/>
      <c r="AF123" s="5051"/>
      <c r="AG123" s="522"/>
    </row>
    <row r="124" spans="1:33" ht="30.75" customHeight="1">
      <c r="A124" s="4360"/>
      <c r="B124" s="5056"/>
      <c r="C124" s="5058"/>
      <c r="D124" s="5063"/>
      <c r="E124" s="5063"/>
      <c r="F124" s="5063"/>
      <c r="G124" s="5063"/>
      <c r="H124" s="5063"/>
      <c r="I124" s="5063"/>
      <c r="J124" s="5063"/>
      <c r="K124" s="5063"/>
      <c r="L124" s="5063"/>
      <c r="M124" s="5071"/>
      <c r="N124" s="5071"/>
      <c r="O124" s="5071"/>
      <c r="P124" s="5063"/>
      <c r="Q124" s="5063"/>
      <c r="R124" s="5074"/>
      <c r="S124" s="3523"/>
      <c r="T124" s="323"/>
      <c r="U124" s="574"/>
      <c r="V124" s="2682"/>
      <c r="W124" s="2631"/>
      <c r="X124" s="3548"/>
      <c r="Y124" s="3603"/>
      <c r="Z124" s="3603"/>
      <c r="AA124" s="3603"/>
      <c r="AB124" s="3604"/>
      <c r="AC124" s="575"/>
      <c r="AD124" s="575"/>
      <c r="AE124" s="321"/>
      <c r="AF124" s="5051"/>
      <c r="AG124" s="522"/>
    </row>
    <row r="125" spans="1:33" ht="30.75" customHeight="1">
      <c r="A125" s="4360"/>
      <c r="B125" s="5056"/>
      <c r="C125" s="5059" t="s">
        <v>235</v>
      </c>
      <c r="D125" s="5064" t="s">
        <v>236</v>
      </c>
      <c r="E125" s="5064" t="s">
        <v>237</v>
      </c>
      <c r="F125" s="5064" t="s">
        <v>402</v>
      </c>
      <c r="G125" s="5076" t="s">
        <v>239</v>
      </c>
      <c r="H125" s="5064" t="s">
        <v>240</v>
      </c>
      <c r="I125" s="5064" t="s">
        <v>257</v>
      </c>
      <c r="J125" s="5076" t="s">
        <v>5169</v>
      </c>
      <c r="K125" s="5064" t="s">
        <v>1101</v>
      </c>
      <c r="L125" s="5064" t="s">
        <v>5118</v>
      </c>
      <c r="M125" s="5079">
        <v>10</v>
      </c>
      <c r="N125" s="5079">
        <v>10</v>
      </c>
      <c r="O125" s="5079">
        <v>10</v>
      </c>
      <c r="P125" s="5064" t="s">
        <v>5214</v>
      </c>
      <c r="Q125" s="5064" t="s">
        <v>5260</v>
      </c>
      <c r="R125" s="5073" t="s">
        <v>5093</v>
      </c>
      <c r="S125" s="3573"/>
      <c r="T125" s="3605"/>
      <c r="U125" s="3606"/>
      <c r="V125" s="3575"/>
      <c r="W125" s="3576"/>
      <c r="X125" s="3577"/>
      <c r="Y125" s="3607"/>
      <c r="Z125" s="3607"/>
      <c r="AA125" s="3607"/>
      <c r="AB125" s="3608"/>
      <c r="AC125" s="3580"/>
      <c r="AD125" s="3582"/>
      <c r="AE125" s="3582"/>
      <c r="AF125" s="5084"/>
      <c r="AG125" s="522"/>
    </row>
    <row r="126" spans="1:33" ht="30.75" customHeight="1">
      <c r="A126" s="4360"/>
      <c r="B126" s="5056"/>
      <c r="C126" s="5058"/>
      <c r="D126" s="5063"/>
      <c r="E126" s="5063"/>
      <c r="F126" s="5063"/>
      <c r="G126" s="5063"/>
      <c r="H126" s="5063"/>
      <c r="I126" s="5063"/>
      <c r="J126" s="5063"/>
      <c r="K126" s="5063"/>
      <c r="L126" s="5063"/>
      <c r="M126" s="5071"/>
      <c r="N126" s="5071"/>
      <c r="O126" s="5071"/>
      <c r="P126" s="5063"/>
      <c r="Q126" s="5063"/>
      <c r="R126" s="5074"/>
      <c r="S126" s="3516"/>
      <c r="T126" s="579"/>
      <c r="U126" s="545"/>
      <c r="V126" s="2681"/>
      <c r="W126" s="2630"/>
      <c r="X126" s="3544"/>
      <c r="Y126" s="3561"/>
      <c r="Z126" s="3561"/>
      <c r="AA126" s="3561"/>
      <c r="AB126" s="3562"/>
      <c r="AC126" s="532"/>
      <c r="AD126" s="533"/>
      <c r="AE126" s="533"/>
      <c r="AF126" s="5051"/>
      <c r="AG126" s="522"/>
    </row>
    <row r="127" spans="1:33" ht="30.75" customHeight="1">
      <c r="A127" s="4360"/>
      <c r="B127" s="5056"/>
      <c r="C127" s="5058"/>
      <c r="D127" s="5063"/>
      <c r="E127" s="5063"/>
      <c r="F127" s="5063"/>
      <c r="G127" s="5063"/>
      <c r="H127" s="5063"/>
      <c r="I127" s="5063"/>
      <c r="J127" s="5063"/>
      <c r="K127" s="5063"/>
      <c r="L127" s="5063"/>
      <c r="M127" s="5071"/>
      <c r="N127" s="5071"/>
      <c r="O127" s="5071"/>
      <c r="P127" s="5063"/>
      <c r="Q127" s="5063"/>
      <c r="R127" s="5074"/>
      <c r="S127" s="3516"/>
      <c r="T127" s="579"/>
      <c r="U127" s="545"/>
      <c r="V127" s="2681"/>
      <c r="W127" s="2630"/>
      <c r="X127" s="3544"/>
      <c r="Y127" s="3561"/>
      <c r="Z127" s="3561"/>
      <c r="AA127" s="3561"/>
      <c r="AB127" s="3562"/>
      <c r="AC127" s="532"/>
      <c r="AD127" s="533"/>
      <c r="AE127" s="533"/>
      <c r="AF127" s="5051"/>
      <c r="AG127" s="522"/>
    </row>
    <row r="128" spans="1:33" ht="30.75" customHeight="1">
      <c r="A128" s="4360"/>
      <c r="B128" s="5056"/>
      <c r="C128" s="5058"/>
      <c r="D128" s="5063"/>
      <c r="E128" s="5063"/>
      <c r="F128" s="5063"/>
      <c r="G128" s="5063"/>
      <c r="H128" s="5063"/>
      <c r="I128" s="5063"/>
      <c r="J128" s="5063"/>
      <c r="K128" s="5063"/>
      <c r="L128" s="5063"/>
      <c r="M128" s="5071"/>
      <c r="N128" s="5071"/>
      <c r="O128" s="5071"/>
      <c r="P128" s="5063"/>
      <c r="Q128" s="5063"/>
      <c r="R128" s="5074"/>
      <c r="S128" s="3516"/>
      <c r="T128" s="579"/>
      <c r="U128" s="545"/>
      <c r="V128" s="2681"/>
      <c r="W128" s="2630"/>
      <c r="X128" s="3544"/>
      <c r="Y128" s="3561"/>
      <c r="Z128" s="3561"/>
      <c r="AA128" s="3561"/>
      <c r="AB128" s="3562"/>
      <c r="AC128" s="532"/>
      <c r="AD128" s="533"/>
      <c r="AE128" s="533"/>
      <c r="AF128" s="5051"/>
      <c r="AG128" s="522"/>
    </row>
    <row r="129" spans="1:33" ht="30.75" customHeight="1">
      <c r="A129" s="4360"/>
      <c r="B129" s="5056"/>
      <c r="C129" s="5060"/>
      <c r="D129" s="5065"/>
      <c r="E129" s="5065"/>
      <c r="F129" s="5065"/>
      <c r="G129" s="5065"/>
      <c r="H129" s="5065"/>
      <c r="I129" s="5065"/>
      <c r="J129" s="5065"/>
      <c r="K129" s="5065"/>
      <c r="L129" s="5065"/>
      <c r="M129" s="5072"/>
      <c r="N129" s="5072"/>
      <c r="O129" s="5072"/>
      <c r="P129" s="5065"/>
      <c r="Q129" s="5065"/>
      <c r="R129" s="5075"/>
      <c r="S129" s="3569"/>
      <c r="T129" s="1782"/>
      <c r="U129" s="3601"/>
      <c r="V129" s="2686"/>
      <c r="W129" s="1781"/>
      <c r="X129" s="3571"/>
      <c r="Y129" s="1783"/>
      <c r="Z129" s="1783"/>
      <c r="AA129" s="1783"/>
      <c r="AB129" s="3602"/>
      <c r="AC129" s="1782"/>
      <c r="AD129" s="3572"/>
      <c r="AE129" s="3572"/>
      <c r="AF129" s="5085"/>
      <c r="AG129" s="522"/>
    </row>
    <row r="130" spans="1:33" ht="29.25" customHeight="1">
      <c r="A130" s="4360"/>
      <c r="B130" s="5056"/>
      <c r="C130" s="5061" t="s">
        <v>235</v>
      </c>
      <c r="D130" s="5062" t="s">
        <v>236</v>
      </c>
      <c r="E130" s="5062" t="s">
        <v>237</v>
      </c>
      <c r="F130" s="5062" t="s">
        <v>255</v>
      </c>
      <c r="G130" s="5069" t="s">
        <v>239</v>
      </c>
      <c r="H130" s="5062" t="s">
        <v>293</v>
      </c>
      <c r="I130" s="5062" t="s">
        <v>257</v>
      </c>
      <c r="J130" s="5062" t="s">
        <v>5170</v>
      </c>
      <c r="K130" s="5062" t="s">
        <v>1102</v>
      </c>
      <c r="L130" s="5062" t="s">
        <v>5286</v>
      </c>
      <c r="M130" s="5092">
        <v>30</v>
      </c>
      <c r="N130" s="5092">
        <v>30</v>
      </c>
      <c r="O130" s="5092">
        <v>30</v>
      </c>
      <c r="P130" s="5062" t="s">
        <v>5215</v>
      </c>
      <c r="Q130" s="5062" t="s">
        <v>5259</v>
      </c>
      <c r="R130" s="5078" t="s">
        <v>5093</v>
      </c>
      <c r="S130" s="3525"/>
      <c r="T130" s="3529"/>
      <c r="U130" s="2028"/>
      <c r="V130" s="3530"/>
      <c r="W130" s="2633"/>
      <c r="X130" s="3547"/>
      <c r="Y130" s="3565"/>
      <c r="Z130" s="3565"/>
      <c r="AA130" s="3565"/>
      <c r="AB130" s="3566"/>
      <c r="AC130" s="1967"/>
      <c r="AD130" s="1971"/>
      <c r="AE130" s="1971"/>
      <c r="AF130" s="5086"/>
      <c r="AG130" s="522"/>
    </row>
    <row r="131" spans="1:33" ht="29.25" customHeight="1">
      <c r="A131" s="4360"/>
      <c r="B131" s="5056"/>
      <c r="C131" s="5058"/>
      <c r="D131" s="5063"/>
      <c r="E131" s="5063"/>
      <c r="F131" s="5063"/>
      <c r="G131" s="5063"/>
      <c r="H131" s="5063"/>
      <c r="I131" s="5063"/>
      <c r="J131" s="5063"/>
      <c r="K131" s="5063"/>
      <c r="L131" s="5063"/>
      <c r="M131" s="5071"/>
      <c r="N131" s="5071"/>
      <c r="O131" s="5071"/>
      <c r="P131" s="5063"/>
      <c r="Q131" s="5063"/>
      <c r="R131" s="5074"/>
      <c r="S131" s="3516"/>
      <c r="T131" s="579"/>
      <c r="U131" s="545"/>
      <c r="V131" s="2681"/>
      <c r="W131" s="2630"/>
      <c r="X131" s="3544"/>
      <c r="Y131" s="3561"/>
      <c r="Z131" s="3561"/>
      <c r="AA131" s="3561"/>
      <c r="AB131" s="3562"/>
      <c r="AC131" s="532"/>
      <c r="AD131" s="533"/>
      <c r="AE131" s="533"/>
      <c r="AF131" s="5051"/>
      <c r="AG131" s="522"/>
    </row>
    <row r="132" spans="1:33" ht="29.25" customHeight="1">
      <c r="A132" s="4360"/>
      <c r="B132" s="5056"/>
      <c r="C132" s="5058"/>
      <c r="D132" s="5063"/>
      <c r="E132" s="5063"/>
      <c r="F132" s="5063"/>
      <c r="G132" s="5063"/>
      <c r="H132" s="5063"/>
      <c r="I132" s="5063"/>
      <c r="J132" s="5063"/>
      <c r="K132" s="5063"/>
      <c r="L132" s="5063"/>
      <c r="M132" s="5071"/>
      <c r="N132" s="5071"/>
      <c r="O132" s="5071"/>
      <c r="P132" s="5063"/>
      <c r="Q132" s="5063"/>
      <c r="R132" s="5074"/>
      <c r="S132" s="3516"/>
      <c r="T132" s="579"/>
      <c r="U132" s="545"/>
      <c r="V132" s="2681"/>
      <c r="W132" s="2630"/>
      <c r="X132" s="3544"/>
      <c r="Y132" s="3561"/>
      <c r="Z132" s="3561"/>
      <c r="AA132" s="3561"/>
      <c r="AB132" s="3562"/>
      <c r="AC132" s="532"/>
      <c r="AD132" s="533"/>
      <c r="AE132" s="533"/>
      <c r="AF132" s="5051"/>
      <c r="AG132" s="522"/>
    </row>
    <row r="133" spans="1:33" ht="29.25" customHeight="1">
      <c r="A133" s="4360"/>
      <c r="B133" s="5056"/>
      <c r="C133" s="5058"/>
      <c r="D133" s="5063"/>
      <c r="E133" s="5063"/>
      <c r="F133" s="5063"/>
      <c r="G133" s="5063"/>
      <c r="H133" s="5063"/>
      <c r="I133" s="5063"/>
      <c r="J133" s="5063"/>
      <c r="K133" s="5063"/>
      <c r="L133" s="5063"/>
      <c r="M133" s="5071"/>
      <c r="N133" s="5071"/>
      <c r="O133" s="5071"/>
      <c r="P133" s="5063"/>
      <c r="Q133" s="5063"/>
      <c r="R133" s="5074"/>
      <c r="S133" s="3516"/>
      <c r="T133" s="579"/>
      <c r="U133" s="545"/>
      <c r="V133" s="2681"/>
      <c r="W133" s="2630"/>
      <c r="X133" s="3544"/>
      <c r="Y133" s="3561"/>
      <c r="Z133" s="3561"/>
      <c r="AA133" s="3561"/>
      <c r="AB133" s="3562"/>
      <c r="AC133" s="532"/>
      <c r="AD133" s="533"/>
      <c r="AE133" s="533"/>
      <c r="AF133" s="5051"/>
      <c r="AG133" s="522"/>
    </row>
    <row r="134" spans="1:33" ht="29.25" customHeight="1">
      <c r="A134" s="4360"/>
      <c r="B134" s="5056"/>
      <c r="C134" s="5058"/>
      <c r="D134" s="5063"/>
      <c r="E134" s="5063"/>
      <c r="F134" s="5063"/>
      <c r="G134" s="5063"/>
      <c r="H134" s="5063"/>
      <c r="I134" s="5063"/>
      <c r="J134" s="5063"/>
      <c r="K134" s="5063"/>
      <c r="L134" s="5063"/>
      <c r="M134" s="5071"/>
      <c r="N134" s="5071"/>
      <c r="O134" s="5071"/>
      <c r="P134" s="5063"/>
      <c r="Q134" s="5063"/>
      <c r="R134" s="5074"/>
      <c r="S134" s="3523"/>
      <c r="T134" s="323"/>
      <c r="U134" s="574"/>
      <c r="V134" s="2682"/>
      <c r="W134" s="2631"/>
      <c r="X134" s="3548"/>
      <c r="Y134" s="3603"/>
      <c r="Z134" s="3603"/>
      <c r="AA134" s="3603"/>
      <c r="AB134" s="3604"/>
      <c r="AC134" s="575"/>
      <c r="AD134" s="321"/>
      <c r="AE134" s="321"/>
      <c r="AF134" s="5051"/>
      <c r="AG134" s="522"/>
    </row>
    <row r="135" spans="1:33" ht="30.75" customHeight="1">
      <c r="A135" s="4360"/>
      <c r="B135" s="5056"/>
      <c r="C135" s="5059" t="s">
        <v>235</v>
      </c>
      <c r="D135" s="5064" t="s">
        <v>236</v>
      </c>
      <c r="E135" s="5064" t="s">
        <v>237</v>
      </c>
      <c r="F135" s="5064" t="s">
        <v>370</v>
      </c>
      <c r="G135" s="5076" t="s">
        <v>239</v>
      </c>
      <c r="H135" s="5064" t="s">
        <v>240</v>
      </c>
      <c r="I135" s="5064" t="s">
        <v>278</v>
      </c>
      <c r="J135" s="5064" t="s">
        <v>5171</v>
      </c>
      <c r="K135" s="5064" t="s">
        <v>5139</v>
      </c>
      <c r="L135" s="5064" t="s">
        <v>5287</v>
      </c>
      <c r="M135" s="5079">
        <v>0</v>
      </c>
      <c r="N135" s="5079">
        <v>0</v>
      </c>
      <c r="O135" s="5079">
        <v>1</v>
      </c>
      <c r="P135" s="5064" t="s">
        <v>5216</v>
      </c>
      <c r="Q135" s="5064" t="s">
        <v>5258</v>
      </c>
      <c r="R135" s="5073" t="s">
        <v>5094</v>
      </c>
      <c r="S135" s="3611"/>
      <c r="T135" s="3612"/>
      <c r="U135" s="3613"/>
      <c r="V135" s="3614"/>
      <c r="W135" s="3576"/>
      <c r="X135" s="3577"/>
      <c r="Y135" s="3607"/>
      <c r="Z135" s="3607"/>
      <c r="AA135" s="3607"/>
      <c r="AB135" s="3608"/>
      <c r="AC135" s="3580"/>
      <c r="AD135" s="3582"/>
      <c r="AE135" s="3582"/>
      <c r="AF135" s="5084"/>
      <c r="AG135" s="522"/>
    </row>
    <row r="136" spans="1:33" ht="30.75" customHeight="1">
      <c r="A136" s="4360"/>
      <c r="B136" s="5056"/>
      <c r="C136" s="5058"/>
      <c r="D136" s="5063"/>
      <c r="E136" s="5063"/>
      <c r="F136" s="5063"/>
      <c r="G136" s="5063"/>
      <c r="H136" s="5063"/>
      <c r="I136" s="5063"/>
      <c r="J136" s="5063"/>
      <c r="K136" s="5063"/>
      <c r="L136" s="5063"/>
      <c r="M136" s="5071"/>
      <c r="N136" s="5071"/>
      <c r="O136" s="5071"/>
      <c r="P136" s="5063"/>
      <c r="Q136" s="5063"/>
      <c r="R136" s="5074"/>
      <c r="S136" s="3516"/>
      <c r="T136" s="579"/>
      <c r="U136" s="545"/>
      <c r="V136" s="2681"/>
      <c r="W136" s="2630"/>
      <c r="X136" s="3544"/>
      <c r="Y136" s="3561"/>
      <c r="Z136" s="3561"/>
      <c r="AA136" s="3561"/>
      <c r="AB136" s="3562"/>
      <c r="AC136" s="532"/>
      <c r="AD136" s="533"/>
      <c r="AE136" s="533"/>
      <c r="AF136" s="5051"/>
      <c r="AG136" s="522"/>
    </row>
    <row r="137" spans="1:33" ht="30.75" customHeight="1">
      <c r="A137" s="4360"/>
      <c r="B137" s="5056"/>
      <c r="C137" s="5058"/>
      <c r="D137" s="5063"/>
      <c r="E137" s="5063"/>
      <c r="F137" s="5063"/>
      <c r="G137" s="5063"/>
      <c r="H137" s="5063"/>
      <c r="I137" s="5063"/>
      <c r="J137" s="5063"/>
      <c r="K137" s="5063"/>
      <c r="L137" s="5063"/>
      <c r="M137" s="5071"/>
      <c r="N137" s="5071"/>
      <c r="O137" s="5071"/>
      <c r="P137" s="5063"/>
      <c r="Q137" s="5063"/>
      <c r="R137" s="5074"/>
      <c r="S137" s="3516"/>
      <c r="T137" s="579"/>
      <c r="U137" s="545"/>
      <c r="V137" s="2681"/>
      <c r="W137" s="2630"/>
      <c r="X137" s="3544"/>
      <c r="Y137" s="3561"/>
      <c r="Z137" s="3561"/>
      <c r="AA137" s="3561"/>
      <c r="AB137" s="3562"/>
      <c r="AC137" s="532"/>
      <c r="AD137" s="533"/>
      <c r="AE137" s="533"/>
      <c r="AF137" s="5051"/>
      <c r="AG137" s="522"/>
    </row>
    <row r="138" spans="1:33" ht="30.75" customHeight="1">
      <c r="A138" s="4360"/>
      <c r="B138" s="5056"/>
      <c r="C138" s="5058"/>
      <c r="D138" s="5063"/>
      <c r="E138" s="5063"/>
      <c r="F138" s="5063"/>
      <c r="G138" s="5063"/>
      <c r="H138" s="5063"/>
      <c r="I138" s="5063"/>
      <c r="J138" s="5063"/>
      <c r="K138" s="5063"/>
      <c r="L138" s="5063"/>
      <c r="M138" s="5071"/>
      <c r="N138" s="5071"/>
      <c r="O138" s="5071"/>
      <c r="P138" s="5063"/>
      <c r="Q138" s="5063"/>
      <c r="R138" s="5074"/>
      <c r="S138" s="3516"/>
      <c r="T138" s="579"/>
      <c r="U138" s="545"/>
      <c r="V138" s="2681"/>
      <c r="W138" s="2630"/>
      <c r="X138" s="3544"/>
      <c r="Y138" s="3561"/>
      <c r="Z138" s="3561"/>
      <c r="AA138" s="3561"/>
      <c r="AB138" s="3562"/>
      <c r="AC138" s="532"/>
      <c r="AD138" s="533"/>
      <c r="AE138" s="533"/>
      <c r="AF138" s="5051"/>
      <c r="AG138" s="522"/>
    </row>
    <row r="139" spans="1:33" ht="30.75" customHeight="1">
      <c r="A139" s="4360"/>
      <c r="B139" s="5056"/>
      <c r="C139" s="5060"/>
      <c r="D139" s="5065"/>
      <c r="E139" s="5065"/>
      <c r="F139" s="5065"/>
      <c r="G139" s="5065"/>
      <c r="H139" s="5065"/>
      <c r="I139" s="5065"/>
      <c r="J139" s="5065"/>
      <c r="K139" s="5065"/>
      <c r="L139" s="5065"/>
      <c r="M139" s="5072"/>
      <c r="N139" s="5072"/>
      <c r="O139" s="5072"/>
      <c r="P139" s="5065"/>
      <c r="Q139" s="5065"/>
      <c r="R139" s="5075"/>
      <c r="S139" s="3569"/>
      <c r="T139" s="2666"/>
      <c r="U139" s="3601"/>
      <c r="V139" s="2686"/>
      <c r="W139" s="1781"/>
      <c r="X139" s="3571"/>
      <c r="Y139" s="1783"/>
      <c r="Z139" s="1783"/>
      <c r="AA139" s="1783"/>
      <c r="AB139" s="3602"/>
      <c r="AC139" s="1782"/>
      <c r="AD139" s="3572"/>
      <c r="AE139" s="3572"/>
      <c r="AF139" s="5085"/>
      <c r="AG139" s="522"/>
    </row>
    <row r="140" spans="1:33" ht="30" customHeight="1">
      <c r="A140" s="4360"/>
      <c r="B140" s="5056"/>
      <c r="C140" s="5061" t="s">
        <v>235</v>
      </c>
      <c r="D140" s="5062" t="s">
        <v>236</v>
      </c>
      <c r="E140" s="5062" t="s">
        <v>237</v>
      </c>
      <c r="F140" s="5062" t="s">
        <v>370</v>
      </c>
      <c r="G140" s="5069" t="s">
        <v>239</v>
      </c>
      <c r="H140" s="5062" t="s">
        <v>240</v>
      </c>
      <c r="I140" s="5062" t="s">
        <v>278</v>
      </c>
      <c r="J140" s="5062" t="s">
        <v>5172</v>
      </c>
      <c r="K140" s="5062" t="s">
        <v>5140</v>
      </c>
      <c r="L140" s="5062" t="s">
        <v>5119</v>
      </c>
      <c r="M140" s="5092">
        <v>0</v>
      </c>
      <c r="N140" s="5092">
        <v>0</v>
      </c>
      <c r="O140" s="5092">
        <v>1</v>
      </c>
      <c r="P140" s="5062" t="s">
        <v>5217</v>
      </c>
      <c r="Q140" s="5062" t="s">
        <v>5257</v>
      </c>
      <c r="R140" s="5078" t="s">
        <v>5094</v>
      </c>
      <c r="S140" s="3526"/>
      <c r="T140" s="1968"/>
      <c r="U140" s="2029"/>
      <c r="V140" s="2685"/>
      <c r="W140" s="2633"/>
      <c r="X140" s="3547"/>
      <c r="Y140" s="3565"/>
      <c r="Z140" s="3565"/>
      <c r="AA140" s="3565"/>
      <c r="AB140" s="3566"/>
      <c r="AC140" s="1967"/>
      <c r="AD140" s="1971"/>
      <c r="AE140" s="1971"/>
      <c r="AF140" s="5086"/>
      <c r="AG140" s="522"/>
    </row>
    <row r="141" spans="1:33" ht="30" customHeight="1">
      <c r="A141" s="4360"/>
      <c r="B141" s="5056"/>
      <c r="C141" s="5058"/>
      <c r="D141" s="5063"/>
      <c r="E141" s="5063"/>
      <c r="F141" s="5063"/>
      <c r="G141" s="5063"/>
      <c r="H141" s="5063"/>
      <c r="I141" s="5063"/>
      <c r="J141" s="5063"/>
      <c r="K141" s="5063"/>
      <c r="L141" s="5063"/>
      <c r="M141" s="5071"/>
      <c r="N141" s="5071"/>
      <c r="O141" s="5071"/>
      <c r="P141" s="5063"/>
      <c r="Q141" s="5063"/>
      <c r="R141" s="5074"/>
      <c r="S141" s="3516"/>
      <c r="T141" s="579"/>
      <c r="U141" s="545"/>
      <c r="V141" s="2681"/>
      <c r="W141" s="2630"/>
      <c r="X141" s="3544"/>
      <c r="Y141" s="3561"/>
      <c r="Z141" s="3561"/>
      <c r="AA141" s="3561"/>
      <c r="AB141" s="3562"/>
      <c r="AC141" s="532"/>
      <c r="AD141" s="533"/>
      <c r="AE141" s="533"/>
      <c r="AF141" s="5051"/>
      <c r="AG141" s="522"/>
    </row>
    <row r="142" spans="1:33" ht="30" customHeight="1">
      <c r="A142" s="4360"/>
      <c r="B142" s="5056"/>
      <c r="C142" s="5058"/>
      <c r="D142" s="5063"/>
      <c r="E142" s="5063"/>
      <c r="F142" s="5063"/>
      <c r="G142" s="5063"/>
      <c r="H142" s="5063"/>
      <c r="I142" s="5063"/>
      <c r="J142" s="5063"/>
      <c r="K142" s="5063"/>
      <c r="L142" s="5063"/>
      <c r="M142" s="5071"/>
      <c r="N142" s="5071"/>
      <c r="O142" s="5071"/>
      <c r="P142" s="5063"/>
      <c r="Q142" s="5063"/>
      <c r="R142" s="5074"/>
      <c r="S142" s="3516"/>
      <c r="T142" s="579"/>
      <c r="U142" s="545"/>
      <c r="V142" s="2681"/>
      <c r="W142" s="2630"/>
      <c r="X142" s="3544"/>
      <c r="Y142" s="3561"/>
      <c r="Z142" s="3561"/>
      <c r="AA142" s="3561"/>
      <c r="AB142" s="3562"/>
      <c r="AC142" s="532"/>
      <c r="AD142" s="533"/>
      <c r="AE142" s="533"/>
      <c r="AF142" s="5051"/>
      <c r="AG142" s="522"/>
    </row>
    <row r="143" spans="1:33" ht="30" customHeight="1">
      <c r="A143" s="4360"/>
      <c r="B143" s="5056"/>
      <c r="C143" s="5058"/>
      <c r="D143" s="5063"/>
      <c r="E143" s="5063"/>
      <c r="F143" s="5063"/>
      <c r="G143" s="5063"/>
      <c r="H143" s="5063"/>
      <c r="I143" s="5063"/>
      <c r="J143" s="5063"/>
      <c r="K143" s="5063"/>
      <c r="L143" s="5063"/>
      <c r="M143" s="5071"/>
      <c r="N143" s="5071"/>
      <c r="O143" s="5071"/>
      <c r="P143" s="5063"/>
      <c r="Q143" s="5063"/>
      <c r="R143" s="5074"/>
      <c r="S143" s="3516"/>
      <c r="T143" s="579"/>
      <c r="U143" s="545"/>
      <c r="V143" s="2681"/>
      <c r="W143" s="2630"/>
      <c r="X143" s="3544"/>
      <c r="Y143" s="3561"/>
      <c r="Z143" s="3561"/>
      <c r="AA143" s="3561"/>
      <c r="AB143" s="3562"/>
      <c r="AC143" s="532"/>
      <c r="AD143" s="533"/>
      <c r="AE143" s="533"/>
      <c r="AF143" s="5051"/>
      <c r="AG143" s="522"/>
    </row>
    <row r="144" spans="1:33" ht="30" customHeight="1">
      <c r="A144" s="4360"/>
      <c r="B144" s="5056"/>
      <c r="C144" s="5058"/>
      <c r="D144" s="5063"/>
      <c r="E144" s="5063"/>
      <c r="F144" s="5063"/>
      <c r="G144" s="5063"/>
      <c r="H144" s="5063"/>
      <c r="I144" s="5063"/>
      <c r="J144" s="5063"/>
      <c r="K144" s="5063"/>
      <c r="L144" s="5063"/>
      <c r="M144" s="5071"/>
      <c r="N144" s="5071"/>
      <c r="O144" s="5071"/>
      <c r="P144" s="5063"/>
      <c r="Q144" s="5063"/>
      <c r="R144" s="5074"/>
      <c r="S144" s="3523"/>
      <c r="T144" s="323"/>
      <c r="U144" s="574"/>
      <c r="V144" s="2682"/>
      <c r="W144" s="2631"/>
      <c r="X144" s="3548"/>
      <c r="Y144" s="3603"/>
      <c r="Z144" s="3603"/>
      <c r="AA144" s="3603"/>
      <c r="AB144" s="3604"/>
      <c r="AC144" s="575"/>
      <c r="AD144" s="321"/>
      <c r="AE144" s="321"/>
      <c r="AF144" s="5051"/>
      <c r="AG144" s="522"/>
    </row>
    <row r="145" spans="1:33" ht="30.75" customHeight="1">
      <c r="A145" s="4360"/>
      <c r="B145" s="5056"/>
      <c r="C145" s="5059" t="s">
        <v>235</v>
      </c>
      <c r="D145" s="5064" t="s">
        <v>236</v>
      </c>
      <c r="E145" s="5064" t="s">
        <v>237</v>
      </c>
      <c r="F145" s="5064" t="s">
        <v>255</v>
      </c>
      <c r="G145" s="5076" t="s">
        <v>239</v>
      </c>
      <c r="H145" s="5064" t="s">
        <v>256</v>
      </c>
      <c r="I145" s="5064" t="s">
        <v>278</v>
      </c>
      <c r="J145" s="5064" t="s">
        <v>5173</v>
      </c>
      <c r="K145" s="5064" t="s">
        <v>5141</v>
      </c>
      <c r="L145" s="5064" t="s">
        <v>5120</v>
      </c>
      <c r="M145" s="5079">
        <v>0</v>
      </c>
      <c r="N145" s="5079">
        <v>0</v>
      </c>
      <c r="O145" s="5079">
        <v>5</v>
      </c>
      <c r="P145" s="5064" t="s">
        <v>5218</v>
      </c>
      <c r="Q145" s="5064" t="s">
        <v>5256</v>
      </c>
      <c r="R145" s="5073" t="s">
        <v>5094</v>
      </c>
      <c r="S145" s="3611"/>
      <c r="T145" s="3612"/>
      <c r="U145" s="3613"/>
      <c r="V145" s="3614"/>
      <c r="W145" s="3576"/>
      <c r="X145" s="3577"/>
      <c r="Y145" s="3607"/>
      <c r="Z145" s="3607"/>
      <c r="AA145" s="3607"/>
      <c r="AB145" s="3608"/>
      <c r="AC145" s="3580"/>
      <c r="AD145" s="3582"/>
      <c r="AE145" s="3582"/>
      <c r="AF145" s="5084"/>
      <c r="AG145" s="522"/>
    </row>
    <row r="146" spans="1:33" ht="30.75" customHeight="1">
      <c r="A146" s="4360"/>
      <c r="B146" s="5056"/>
      <c r="C146" s="5058"/>
      <c r="D146" s="5063"/>
      <c r="E146" s="5063"/>
      <c r="F146" s="5063"/>
      <c r="G146" s="5063"/>
      <c r="H146" s="5063"/>
      <c r="I146" s="5063"/>
      <c r="J146" s="5063"/>
      <c r="K146" s="5063"/>
      <c r="L146" s="5063"/>
      <c r="M146" s="5071"/>
      <c r="N146" s="5071"/>
      <c r="O146" s="5071"/>
      <c r="P146" s="5063"/>
      <c r="Q146" s="5063"/>
      <c r="R146" s="5074"/>
      <c r="S146" s="3516"/>
      <c r="T146" s="579"/>
      <c r="U146" s="545"/>
      <c r="V146" s="2681"/>
      <c r="W146" s="2630"/>
      <c r="X146" s="3544"/>
      <c r="Y146" s="3561"/>
      <c r="Z146" s="3561"/>
      <c r="AA146" s="3561"/>
      <c r="AB146" s="3562"/>
      <c r="AC146" s="532"/>
      <c r="AD146" s="533"/>
      <c r="AE146" s="533"/>
      <c r="AF146" s="5051"/>
      <c r="AG146" s="522"/>
    </row>
    <row r="147" spans="1:33" ht="30.75" customHeight="1">
      <c r="A147" s="4360"/>
      <c r="B147" s="5056"/>
      <c r="C147" s="5058"/>
      <c r="D147" s="5063"/>
      <c r="E147" s="5063"/>
      <c r="F147" s="5063"/>
      <c r="G147" s="5063"/>
      <c r="H147" s="5063"/>
      <c r="I147" s="5063"/>
      <c r="J147" s="5063"/>
      <c r="K147" s="5063"/>
      <c r="L147" s="5063"/>
      <c r="M147" s="5071"/>
      <c r="N147" s="5071"/>
      <c r="O147" s="5071"/>
      <c r="P147" s="5063"/>
      <c r="Q147" s="5063"/>
      <c r="R147" s="5074"/>
      <c r="S147" s="3516"/>
      <c r="T147" s="579"/>
      <c r="U147" s="545"/>
      <c r="V147" s="2681"/>
      <c r="W147" s="2630"/>
      <c r="X147" s="3544"/>
      <c r="Y147" s="3561"/>
      <c r="Z147" s="3561"/>
      <c r="AA147" s="3561"/>
      <c r="AB147" s="3562"/>
      <c r="AC147" s="532"/>
      <c r="AD147" s="533"/>
      <c r="AE147" s="533"/>
      <c r="AF147" s="5051"/>
      <c r="AG147" s="522"/>
    </row>
    <row r="148" spans="1:33" ht="30.75" customHeight="1">
      <c r="A148" s="4360"/>
      <c r="B148" s="5056"/>
      <c r="C148" s="5058"/>
      <c r="D148" s="5063"/>
      <c r="E148" s="5063"/>
      <c r="F148" s="5063"/>
      <c r="G148" s="5063"/>
      <c r="H148" s="5063"/>
      <c r="I148" s="5063"/>
      <c r="J148" s="5063"/>
      <c r="K148" s="5063"/>
      <c r="L148" s="5063"/>
      <c r="M148" s="5071"/>
      <c r="N148" s="5071"/>
      <c r="O148" s="5071"/>
      <c r="P148" s="5063"/>
      <c r="Q148" s="5063"/>
      <c r="R148" s="5074"/>
      <c r="S148" s="3516"/>
      <c r="T148" s="579"/>
      <c r="U148" s="545"/>
      <c r="V148" s="2681"/>
      <c r="W148" s="2630"/>
      <c r="X148" s="3544"/>
      <c r="Y148" s="3561"/>
      <c r="Z148" s="3561"/>
      <c r="AA148" s="3561"/>
      <c r="AB148" s="3562"/>
      <c r="AC148" s="532"/>
      <c r="AD148" s="533"/>
      <c r="AE148" s="533"/>
      <c r="AF148" s="5051"/>
      <c r="AG148" s="522"/>
    </row>
    <row r="149" spans="1:33" ht="30.75" customHeight="1">
      <c r="A149" s="4360"/>
      <c r="B149" s="5056"/>
      <c r="C149" s="5060"/>
      <c r="D149" s="5065"/>
      <c r="E149" s="5065"/>
      <c r="F149" s="5065"/>
      <c r="G149" s="5065"/>
      <c r="H149" s="5065"/>
      <c r="I149" s="5065"/>
      <c r="J149" s="5065"/>
      <c r="K149" s="5065"/>
      <c r="L149" s="5065"/>
      <c r="M149" s="5072"/>
      <c r="N149" s="5072"/>
      <c r="O149" s="5072"/>
      <c r="P149" s="5065"/>
      <c r="Q149" s="5065"/>
      <c r="R149" s="5075"/>
      <c r="S149" s="3569"/>
      <c r="T149" s="2666"/>
      <c r="U149" s="3601"/>
      <c r="V149" s="2686"/>
      <c r="W149" s="1781"/>
      <c r="X149" s="3571"/>
      <c r="Y149" s="1783"/>
      <c r="Z149" s="1783"/>
      <c r="AA149" s="1783"/>
      <c r="AB149" s="3602"/>
      <c r="AC149" s="1782"/>
      <c r="AD149" s="3572"/>
      <c r="AE149" s="3572"/>
      <c r="AF149" s="5085"/>
      <c r="AG149" s="522"/>
    </row>
    <row r="150" spans="1:33" ht="30" customHeight="1">
      <c r="A150" s="4360"/>
      <c r="B150" s="5056"/>
      <c r="C150" s="5059" t="s">
        <v>235</v>
      </c>
      <c r="D150" s="5064" t="s">
        <v>236</v>
      </c>
      <c r="E150" s="5064" t="s">
        <v>237</v>
      </c>
      <c r="F150" s="5064" t="s">
        <v>255</v>
      </c>
      <c r="G150" s="5076" t="s">
        <v>239</v>
      </c>
      <c r="H150" s="5064" t="s">
        <v>240</v>
      </c>
      <c r="I150" s="5064" t="s">
        <v>257</v>
      </c>
      <c r="J150" s="5064" t="s">
        <v>5174</v>
      </c>
      <c r="K150" s="5064" t="s">
        <v>338</v>
      </c>
      <c r="L150" s="5064" t="s">
        <v>5121</v>
      </c>
      <c r="M150" s="5079">
        <v>0</v>
      </c>
      <c r="N150" s="5079">
        <v>1</v>
      </c>
      <c r="O150" s="5079">
        <v>1</v>
      </c>
      <c r="P150" s="5064" t="s">
        <v>5219</v>
      </c>
      <c r="Q150" s="5064" t="s">
        <v>5255</v>
      </c>
      <c r="R150" s="5073" t="s">
        <v>5093</v>
      </c>
      <c r="S150" s="3573"/>
      <c r="T150" s="3605"/>
      <c r="U150" s="3606"/>
      <c r="V150" s="3575"/>
      <c r="W150" s="3576"/>
      <c r="X150" s="3577"/>
      <c r="Y150" s="3607"/>
      <c r="Z150" s="3607"/>
      <c r="AA150" s="3607"/>
      <c r="AB150" s="3608"/>
      <c r="AC150" s="3580"/>
      <c r="AD150" s="3582"/>
      <c r="AE150" s="3582"/>
      <c r="AF150" s="5084"/>
      <c r="AG150" s="522"/>
    </row>
    <row r="151" spans="1:33" ht="30" customHeight="1">
      <c r="A151" s="4360"/>
      <c r="B151" s="5056"/>
      <c r="C151" s="5058"/>
      <c r="D151" s="5063"/>
      <c r="E151" s="5063"/>
      <c r="F151" s="5063"/>
      <c r="G151" s="5063"/>
      <c r="H151" s="5063"/>
      <c r="I151" s="5063"/>
      <c r="J151" s="5063"/>
      <c r="K151" s="5063"/>
      <c r="L151" s="5063"/>
      <c r="M151" s="5071"/>
      <c r="N151" s="5071"/>
      <c r="O151" s="5071"/>
      <c r="P151" s="5063"/>
      <c r="Q151" s="5063"/>
      <c r="R151" s="5074"/>
      <c r="S151" s="3516"/>
      <c r="T151" s="579"/>
      <c r="U151" s="545"/>
      <c r="V151" s="2681"/>
      <c r="W151" s="2630"/>
      <c r="X151" s="3544"/>
      <c r="Y151" s="3561"/>
      <c r="Z151" s="3561"/>
      <c r="AA151" s="3561"/>
      <c r="AB151" s="3562"/>
      <c r="AC151" s="532"/>
      <c r="AD151" s="533"/>
      <c r="AE151" s="533"/>
      <c r="AF151" s="5051"/>
      <c r="AG151" s="522"/>
    </row>
    <row r="152" spans="1:33" ht="30" customHeight="1">
      <c r="A152" s="4360"/>
      <c r="B152" s="5056"/>
      <c r="C152" s="5058"/>
      <c r="D152" s="5063"/>
      <c r="E152" s="5063"/>
      <c r="F152" s="5063"/>
      <c r="G152" s="5063"/>
      <c r="H152" s="5063"/>
      <c r="I152" s="5063"/>
      <c r="J152" s="5063"/>
      <c r="K152" s="5063"/>
      <c r="L152" s="5063"/>
      <c r="M152" s="5071"/>
      <c r="N152" s="5071"/>
      <c r="O152" s="5071"/>
      <c r="P152" s="5063"/>
      <c r="Q152" s="5063"/>
      <c r="R152" s="5074"/>
      <c r="S152" s="3516"/>
      <c r="T152" s="579"/>
      <c r="U152" s="545"/>
      <c r="V152" s="2681"/>
      <c r="W152" s="2630"/>
      <c r="X152" s="3544"/>
      <c r="Y152" s="3561"/>
      <c r="Z152" s="3561"/>
      <c r="AA152" s="3561"/>
      <c r="AB152" s="3562"/>
      <c r="AC152" s="532"/>
      <c r="AD152" s="533"/>
      <c r="AE152" s="533"/>
      <c r="AF152" s="5051"/>
      <c r="AG152" s="522"/>
    </row>
    <row r="153" spans="1:33" ht="30" customHeight="1">
      <c r="A153" s="4360"/>
      <c r="B153" s="5056"/>
      <c r="C153" s="5058"/>
      <c r="D153" s="5063"/>
      <c r="E153" s="5063"/>
      <c r="F153" s="5063"/>
      <c r="G153" s="5063"/>
      <c r="H153" s="5063"/>
      <c r="I153" s="5063"/>
      <c r="J153" s="5063"/>
      <c r="K153" s="5063"/>
      <c r="L153" s="5063"/>
      <c r="M153" s="5071"/>
      <c r="N153" s="5071"/>
      <c r="O153" s="5071"/>
      <c r="P153" s="5063"/>
      <c r="Q153" s="5063"/>
      <c r="R153" s="5074"/>
      <c r="S153" s="3516"/>
      <c r="T153" s="579"/>
      <c r="U153" s="545"/>
      <c r="V153" s="2681"/>
      <c r="W153" s="2630"/>
      <c r="X153" s="3544"/>
      <c r="Y153" s="3561"/>
      <c r="Z153" s="3561"/>
      <c r="AA153" s="3561"/>
      <c r="AB153" s="3562"/>
      <c r="AC153" s="532"/>
      <c r="AD153" s="533"/>
      <c r="AE153" s="533"/>
      <c r="AF153" s="5051"/>
      <c r="AG153" s="522"/>
    </row>
    <row r="154" spans="1:33" ht="30" customHeight="1">
      <c r="A154" s="4360"/>
      <c r="B154" s="5056"/>
      <c r="C154" s="5060"/>
      <c r="D154" s="5065"/>
      <c r="E154" s="5065"/>
      <c r="F154" s="5065"/>
      <c r="G154" s="5065"/>
      <c r="H154" s="5065"/>
      <c r="I154" s="5065"/>
      <c r="J154" s="5065"/>
      <c r="K154" s="5065"/>
      <c r="L154" s="5065"/>
      <c r="M154" s="5072"/>
      <c r="N154" s="5072"/>
      <c r="O154" s="5072"/>
      <c r="P154" s="5065"/>
      <c r="Q154" s="5065"/>
      <c r="R154" s="5075"/>
      <c r="S154" s="3569"/>
      <c r="T154" s="2666"/>
      <c r="U154" s="3601"/>
      <c r="V154" s="2686"/>
      <c r="W154" s="1781"/>
      <c r="X154" s="3571"/>
      <c r="Y154" s="1783"/>
      <c r="Z154" s="1783"/>
      <c r="AA154" s="1783"/>
      <c r="AB154" s="3602"/>
      <c r="AC154" s="1782"/>
      <c r="AD154" s="3572"/>
      <c r="AE154" s="3572"/>
      <c r="AF154" s="5085"/>
      <c r="AG154" s="522"/>
    </row>
    <row r="155" spans="1:33" ht="31.5" customHeight="1">
      <c r="A155" s="4360"/>
      <c r="B155" s="5056"/>
      <c r="C155" s="5061" t="s">
        <v>235</v>
      </c>
      <c r="D155" s="5062" t="s">
        <v>236</v>
      </c>
      <c r="E155" s="5062" t="s">
        <v>237</v>
      </c>
      <c r="F155" s="5062" t="s">
        <v>326</v>
      </c>
      <c r="G155" s="5069" t="s">
        <v>239</v>
      </c>
      <c r="H155" s="5062" t="s">
        <v>240</v>
      </c>
      <c r="I155" s="5062" t="s">
        <v>257</v>
      </c>
      <c r="J155" s="5062" t="s">
        <v>5175</v>
      </c>
      <c r="K155" s="5062" t="s">
        <v>371</v>
      </c>
      <c r="L155" s="5062" t="s">
        <v>1183</v>
      </c>
      <c r="M155" s="5092">
        <v>0</v>
      </c>
      <c r="N155" s="5092">
        <v>0</v>
      </c>
      <c r="O155" s="5092">
        <v>1</v>
      </c>
      <c r="P155" s="5062" t="s">
        <v>5206</v>
      </c>
      <c r="Q155" s="5062" t="s">
        <v>4252</v>
      </c>
      <c r="R155" s="5078" t="s">
        <v>5093</v>
      </c>
      <c r="S155" s="3525"/>
      <c r="T155" s="3528"/>
      <c r="U155" s="2026"/>
      <c r="V155" s="3530"/>
      <c r="W155" s="2633"/>
      <c r="X155" s="3547"/>
      <c r="Y155" s="3565"/>
      <c r="Z155" s="3565"/>
      <c r="AA155" s="3565"/>
      <c r="AB155" s="3566"/>
      <c r="AC155" s="1967"/>
      <c r="AD155" s="1971"/>
      <c r="AE155" s="1971"/>
      <c r="AF155" s="5086"/>
      <c r="AG155" s="522"/>
    </row>
    <row r="156" spans="1:33" ht="31.5" customHeight="1">
      <c r="A156" s="4360"/>
      <c r="B156" s="5056"/>
      <c r="C156" s="5058"/>
      <c r="D156" s="5063"/>
      <c r="E156" s="5063"/>
      <c r="F156" s="5063"/>
      <c r="G156" s="5063"/>
      <c r="H156" s="5063"/>
      <c r="I156" s="5063"/>
      <c r="J156" s="5063"/>
      <c r="K156" s="5063"/>
      <c r="L156" s="5063"/>
      <c r="M156" s="5071"/>
      <c r="N156" s="5071"/>
      <c r="O156" s="5071"/>
      <c r="P156" s="5063"/>
      <c r="Q156" s="5063"/>
      <c r="R156" s="5074"/>
      <c r="S156" s="3516"/>
      <c r="T156" s="579"/>
      <c r="U156" s="545"/>
      <c r="V156" s="2681"/>
      <c r="W156" s="2630"/>
      <c r="X156" s="3544"/>
      <c r="Y156" s="3561"/>
      <c r="Z156" s="3561"/>
      <c r="AA156" s="3561"/>
      <c r="AB156" s="3562"/>
      <c r="AC156" s="532"/>
      <c r="AD156" s="533"/>
      <c r="AE156" s="533"/>
      <c r="AF156" s="5051"/>
      <c r="AG156" s="522"/>
    </row>
    <row r="157" spans="1:33" ht="31.5" customHeight="1">
      <c r="A157" s="4360"/>
      <c r="B157" s="5056"/>
      <c r="C157" s="5058"/>
      <c r="D157" s="5063"/>
      <c r="E157" s="5063"/>
      <c r="F157" s="5063"/>
      <c r="G157" s="5063"/>
      <c r="H157" s="5063"/>
      <c r="I157" s="5063"/>
      <c r="J157" s="5063"/>
      <c r="K157" s="5063"/>
      <c r="L157" s="5063"/>
      <c r="M157" s="5071"/>
      <c r="N157" s="5071"/>
      <c r="O157" s="5071"/>
      <c r="P157" s="5063"/>
      <c r="Q157" s="5063"/>
      <c r="R157" s="5074"/>
      <c r="S157" s="3516"/>
      <c r="T157" s="579"/>
      <c r="U157" s="545"/>
      <c r="V157" s="2681"/>
      <c r="W157" s="2630"/>
      <c r="X157" s="3544"/>
      <c r="Y157" s="3561"/>
      <c r="Z157" s="3561"/>
      <c r="AA157" s="3561"/>
      <c r="AB157" s="3562"/>
      <c r="AC157" s="532"/>
      <c r="AD157" s="533"/>
      <c r="AE157" s="533"/>
      <c r="AF157" s="5051"/>
      <c r="AG157" s="522"/>
    </row>
    <row r="158" spans="1:33" ht="31.5" customHeight="1">
      <c r="A158" s="4360"/>
      <c r="B158" s="5056"/>
      <c r="C158" s="5058"/>
      <c r="D158" s="5063"/>
      <c r="E158" s="5063"/>
      <c r="F158" s="5063"/>
      <c r="G158" s="5063"/>
      <c r="H158" s="5063"/>
      <c r="I158" s="5063"/>
      <c r="J158" s="5063"/>
      <c r="K158" s="5063"/>
      <c r="L158" s="5063"/>
      <c r="M158" s="5071"/>
      <c r="N158" s="5071"/>
      <c r="O158" s="5071"/>
      <c r="P158" s="5063"/>
      <c r="Q158" s="5063"/>
      <c r="R158" s="5074"/>
      <c r="S158" s="3516"/>
      <c r="T158" s="579"/>
      <c r="U158" s="545"/>
      <c r="V158" s="2681"/>
      <c r="W158" s="2630"/>
      <c r="X158" s="3544"/>
      <c r="Y158" s="3561"/>
      <c r="Z158" s="3561"/>
      <c r="AA158" s="3561"/>
      <c r="AB158" s="3562"/>
      <c r="AC158" s="532"/>
      <c r="AD158" s="533"/>
      <c r="AE158" s="533"/>
      <c r="AF158" s="5051"/>
      <c r="AG158" s="522"/>
    </row>
    <row r="159" spans="1:33" ht="31.5" customHeight="1" thickBot="1">
      <c r="A159" s="4360"/>
      <c r="B159" s="5056"/>
      <c r="C159" s="5066"/>
      <c r="D159" s="5067"/>
      <c r="E159" s="5067"/>
      <c r="F159" s="5067"/>
      <c r="G159" s="5067"/>
      <c r="H159" s="5067"/>
      <c r="I159" s="5067"/>
      <c r="J159" s="5067"/>
      <c r="K159" s="5067"/>
      <c r="L159" s="5067"/>
      <c r="M159" s="5081"/>
      <c r="N159" s="5081"/>
      <c r="O159" s="5081"/>
      <c r="P159" s="5067"/>
      <c r="Q159" s="5067"/>
      <c r="R159" s="5083"/>
      <c r="S159" s="3517"/>
      <c r="T159" s="571"/>
      <c r="U159" s="546"/>
      <c r="V159" s="3532"/>
      <c r="W159" s="2642"/>
      <c r="X159" s="3546"/>
      <c r="Y159" s="3563"/>
      <c r="Z159" s="3563"/>
      <c r="AA159" s="3563"/>
      <c r="AB159" s="3564"/>
      <c r="AC159" s="578"/>
      <c r="AD159" s="341"/>
      <c r="AE159" s="341"/>
      <c r="AF159" s="5087"/>
      <c r="AG159" s="522"/>
    </row>
    <row r="160" spans="1:33" ht="22.5" customHeight="1" thickBot="1">
      <c r="A160" s="4360"/>
      <c r="B160" s="4775"/>
      <c r="C160" s="5080"/>
      <c r="D160" s="4567"/>
      <c r="E160" s="4567"/>
      <c r="F160" s="4567"/>
      <c r="G160" s="4567"/>
      <c r="H160" s="4567"/>
      <c r="I160" s="4567"/>
      <c r="J160" s="4567"/>
      <c r="K160" s="4567"/>
      <c r="L160" s="4567"/>
      <c r="M160" s="4567"/>
      <c r="N160" s="4567"/>
      <c r="O160" s="4567"/>
      <c r="P160" s="4567"/>
      <c r="Q160" s="4567"/>
      <c r="R160" s="5099"/>
      <c r="S160" s="5108" t="s">
        <v>5290</v>
      </c>
      <c r="T160" s="5109"/>
      <c r="U160" s="5109"/>
      <c r="V160" s="5109"/>
      <c r="W160" s="5109"/>
      <c r="X160" s="5109"/>
      <c r="Y160" s="5109"/>
      <c r="Z160" s="5109"/>
      <c r="AA160" s="3626" t="s">
        <v>340</v>
      </c>
      <c r="AB160" s="3624">
        <f>SUM(AB90:AB159)</f>
        <v>0</v>
      </c>
      <c r="AC160" s="5110"/>
      <c r="AD160" s="5111"/>
      <c r="AE160" s="5111"/>
      <c r="AF160" s="4717"/>
      <c r="AG160" s="544"/>
    </row>
    <row r="161" spans="1:33" ht="33.950000000000003" customHeight="1">
      <c r="A161" s="4360"/>
      <c r="B161" s="5055" t="s">
        <v>1103</v>
      </c>
      <c r="C161" s="5057" t="s">
        <v>235</v>
      </c>
      <c r="D161" s="5068" t="s">
        <v>236</v>
      </c>
      <c r="E161" s="5068" t="s">
        <v>237</v>
      </c>
      <c r="F161" s="5068" t="s">
        <v>370</v>
      </c>
      <c r="G161" s="5098" t="s">
        <v>239</v>
      </c>
      <c r="H161" s="5068" t="s">
        <v>240</v>
      </c>
      <c r="I161" s="5068" t="s">
        <v>257</v>
      </c>
      <c r="J161" s="5098" t="s">
        <v>5176</v>
      </c>
      <c r="K161" s="5068" t="s">
        <v>1104</v>
      </c>
      <c r="L161" s="5068" t="s">
        <v>5122</v>
      </c>
      <c r="M161" s="5104">
        <v>4</v>
      </c>
      <c r="N161" s="5104">
        <v>2</v>
      </c>
      <c r="O161" s="5104">
        <v>2</v>
      </c>
      <c r="P161" s="5105" t="s">
        <v>5220</v>
      </c>
      <c r="Q161" s="5106" t="s">
        <v>5254</v>
      </c>
      <c r="R161" s="5090" t="s">
        <v>5095</v>
      </c>
      <c r="S161" s="3513" t="s">
        <v>39</v>
      </c>
      <c r="T161" s="525">
        <v>530704</v>
      </c>
      <c r="U161" s="525"/>
      <c r="V161" s="3533" t="s">
        <v>19</v>
      </c>
      <c r="W161" s="2629"/>
      <c r="X161" s="3545"/>
      <c r="Y161" s="2643"/>
      <c r="Z161" s="2643"/>
      <c r="AA161" s="2643"/>
      <c r="AB161" s="2644">
        <f>SUM($AA$162:$AA$167)</f>
        <v>13878.793600000001</v>
      </c>
      <c r="AC161" s="577"/>
      <c r="AD161" s="320"/>
      <c r="AE161" s="320"/>
      <c r="AF161" s="5102"/>
      <c r="AG161" s="522"/>
    </row>
    <row r="162" spans="1:33" ht="18" customHeight="1">
      <c r="A162" s="4360"/>
      <c r="B162" s="5056"/>
      <c r="C162" s="5058"/>
      <c r="D162" s="5063"/>
      <c r="E162" s="5063"/>
      <c r="F162" s="5063"/>
      <c r="G162" s="5063"/>
      <c r="H162" s="5063"/>
      <c r="I162" s="5063"/>
      <c r="J162" s="5063"/>
      <c r="K162" s="5063"/>
      <c r="L162" s="5063"/>
      <c r="M162" s="5071"/>
      <c r="N162" s="5071"/>
      <c r="O162" s="5071"/>
      <c r="P162" s="5063"/>
      <c r="Q162" s="5107"/>
      <c r="R162" s="5074"/>
      <c r="S162" s="3516"/>
      <c r="T162" s="523"/>
      <c r="U162" s="540">
        <v>8713000</v>
      </c>
      <c r="V162" s="3502" t="s">
        <v>1105</v>
      </c>
      <c r="W162" s="3406">
        <v>1</v>
      </c>
      <c r="X162" s="3492" t="s">
        <v>250</v>
      </c>
      <c r="Y162" s="2656">
        <v>4820</v>
      </c>
      <c r="Z162" s="2656">
        <f t="shared" ref="Z162:Z167" si="5">+W162*Y162</f>
        <v>4820</v>
      </c>
      <c r="AA162" s="2656">
        <f t="shared" ref="AA162:AA167" si="6">+Z162*1.12</f>
        <v>5398.4000000000005</v>
      </c>
      <c r="AB162" s="3558"/>
      <c r="AC162" s="539"/>
      <c r="AD162" s="533" t="s">
        <v>251</v>
      </c>
      <c r="AE162" s="533" t="s">
        <v>251</v>
      </c>
      <c r="AF162" s="5051"/>
      <c r="AG162" s="522"/>
    </row>
    <row r="163" spans="1:33" ht="18" customHeight="1">
      <c r="A163" s="4360"/>
      <c r="B163" s="5056"/>
      <c r="C163" s="5058"/>
      <c r="D163" s="5063"/>
      <c r="E163" s="5063"/>
      <c r="F163" s="5063"/>
      <c r="G163" s="5063"/>
      <c r="H163" s="5063"/>
      <c r="I163" s="5063"/>
      <c r="J163" s="5063"/>
      <c r="K163" s="5063"/>
      <c r="L163" s="5063"/>
      <c r="M163" s="5071"/>
      <c r="N163" s="5071"/>
      <c r="O163" s="5071"/>
      <c r="P163" s="5063"/>
      <c r="Q163" s="5107"/>
      <c r="R163" s="5074"/>
      <c r="S163" s="3522"/>
      <c r="T163" s="529"/>
      <c r="U163" s="540">
        <v>8713000</v>
      </c>
      <c r="V163" s="3502" t="s">
        <v>1106</v>
      </c>
      <c r="W163" s="3406">
        <v>1</v>
      </c>
      <c r="X163" s="3492" t="s">
        <v>250</v>
      </c>
      <c r="Y163" s="2656">
        <v>4820</v>
      </c>
      <c r="Z163" s="2656">
        <f t="shared" si="5"/>
        <v>4820</v>
      </c>
      <c r="AA163" s="2656">
        <f t="shared" si="6"/>
        <v>5398.4000000000005</v>
      </c>
      <c r="AB163" s="3558"/>
      <c r="AC163" s="539"/>
      <c r="AD163" s="533" t="s">
        <v>251</v>
      </c>
      <c r="AE163" s="533"/>
      <c r="AF163" s="5051"/>
      <c r="AG163" s="522"/>
    </row>
    <row r="164" spans="1:33" ht="18" customHeight="1">
      <c r="A164" s="4360"/>
      <c r="B164" s="5056"/>
      <c r="C164" s="5058"/>
      <c r="D164" s="5063"/>
      <c r="E164" s="5063"/>
      <c r="F164" s="5063"/>
      <c r="G164" s="5063"/>
      <c r="H164" s="5063"/>
      <c r="I164" s="5063"/>
      <c r="J164" s="5063"/>
      <c r="K164" s="5063"/>
      <c r="L164" s="5063"/>
      <c r="M164" s="5071"/>
      <c r="N164" s="5071"/>
      <c r="O164" s="5071"/>
      <c r="P164" s="5063"/>
      <c r="Q164" s="5107"/>
      <c r="R164" s="5074"/>
      <c r="S164" s="3522"/>
      <c r="T164" s="529"/>
      <c r="U164" s="540">
        <v>859901911</v>
      </c>
      <c r="V164" s="3502" t="s">
        <v>1107</v>
      </c>
      <c r="W164" s="3406">
        <v>1</v>
      </c>
      <c r="X164" s="3492" t="s">
        <v>250</v>
      </c>
      <c r="Y164" s="2656">
        <v>1900</v>
      </c>
      <c r="Z164" s="2656">
        <f t="shared" si="5"/>
        <v>1900</v>
      </c>
      <c r="AA164" s="2656">
        <f t="shared" si="6"/>
        <v>2128</v>
      </c>
      <c r="AB164" s="3558"/>
      <c r="AC164" s="539"/>
      <c r="AD164" s="533" t="s">
        <v>251</v>
      </c>
      <c r="AE164" s="533"/>
      <c r="AF164" s="5051"/>
      <c r="AG164" s="522"/>
    </row>
    <row r="165" spans="1:33" ht="18" customHeight="1">
      <c r="A165" s="4360"/>
      <c r="B165" s="5056"/>
      <c r="C165" s="5058"/>
      <c r="D165" s="5063"/>
      <c r="E165" s="5063"/>
      <c r="F165" s="5063"/>
      <c r="G165" s="5063"/>
      <c r="H165" s="5063"/>
      <c r="I165" s="5063"/>
      <c r="J165" s="5063"/>
      <c r="K165" s="5063"/>
      <c r="L165" s="5063"/>
      <c r="M165" s="5071"/>
      <c r="N165" s="5071"/>
      <c r="O165" s="5071"/>
      <c r="P165" s="5063"/>
      <c r="Q165" s="5107"/>
      <c r="R165" s="5074"/>
      <c r="S165" s="3514"/>
      <c r="T165" s="538"/>
      <c r="U165" s="540">
        <v>871300011</v>
      </c>
      <c r="V165" s="2681" t="s">
        <v>1108</v>
      </c>
      <c r="W165" s="2630">
        <v>3</v>
      </c>
      <c r="X165" s="3544" t="s">
        <v>269</v>
      </c>
      <c r="Y165" s="3561">
        <v>150</v>
      </c>
      <c r="Z165" s="3561">
        <f t="shared" si="5"/>
        <v>450</v>
      </c>
      <c r="AA165" s="3561">
        <f t="shared" si="6"/>
        <v>504.00000000000006</v>
      </c>
      <c r="AB165" s="3562"/>
      <c r="AC165" s="583"/>
      <c r="AD165" s="536" t="s">
        <v>251</v>
      </c>
      <c r="AE165" s="533"/>
      <c r="AF165" s="5051"/>
      <c r="AG165" s="531" t="s">
        <v>1109</v>
      </c>
    </row>
    <row r="166" spans="1:33" ht="33.950000000000003" customHeight="1">
      <c r="A166" s="4360"/>
      <c r="B166" s="5056"/>
      <c r="C166" s="5058"/>
      <c r="D166" s="5063"/>
      <c r="E166" s="5063"/>
      <c r="F166" s="5063"/>
      <c r="G166" s="5063"/>
      <c r="H166" s="5063"/>
      <c r="I166" s="5063"/>
      <c r="J166" s="5063"/>
      <c r="K166" s="5063"/>
      <c r="L166" s="5063"/>
      <c r="M166" s="5071"/>
      <c r="N166" s="5071"/>
      <c r="O166" s="5071"/>
      <c r="P166" s="5063"/>
      <c r="Q166" s="5107"/>
      <c r="R166" s="5074"/>
      <c r="S166" s="3514"/>
      <c r="T166" s="538"/>
      <c r="U166" s="540">
        <v>871200014</v>
      </c>
      <c r="V166" s="2681" t="s">
        <v>1110</v>
      </c>
      <c r="W166" s="2630">
        <v>1</v>
      </c>
      <c r="X166" s="3544" t="s">
        <v>250</v>
      </c>
      <c r="Y166" s="3561">
        <v>178.57</v>
      </c>
      <c r="Z166" s="3561">
        <f t="shared" si="5"/>
        <v>178.57</v>
      </c>
      <c r="AA166" s="3561">
        <f t="shared" si="6"/>
        <v>199.9984</v>
      </c>
      <c r="AB166" s="2646"/>
      <c r="AC166" s="583"/>
      <c r="AD166" s="536" t="s">
        <v>251</v>
      </c>
      <c r="AE166" s="533"/>
      <c r="AF166" s="5051"/>
      <c r="AG166" s="531" t="s">
        <v>1086</v>
      </c>
    </row>
    <row r="167" spans="1:33" ht="18" customHeight="1">
      <c r="A167" s="4360"/>
      <c r="B167" s="5056"/>
      <c r="C167" s="5058"/>
      <c r="D167" s="5063"/>
      <c r="E167" s="5063"/>
      <c r="F167" s="5063"/>
      <c r="G167" s="5063"/>
      <c r="H167" s="5063"/>
      <c r="I167" s="5063"/>
      <c r="J167" s="5063"/>
      <c r="K167" s="5063"/>
      <c r="L167" s="5063"/>
      <c r="M167" s="5071"/>
      <c r="N167" s="5071"/>
      <c r="O167" s="5071"/>
      <c r="P167" s="5063"/>
      <c r="Q167" s="5107"/>
      <c r="R167" s="5074"/>
      <c r="S167" s="3514"/>
      <c r="T167" s="538"/>
      <c r="U167" s="540">
        <v>47313001</v>
      </c>
      <c r="V167" s="3537" t="s">
        <v>1111</v>
      </c>
      <c r="W167" s="2630">
        <v>1</v>
      </c>
      <c r="X167" s="3544" t="s">
        <v>269</v>
      </c>
      <c r="Y167" s="3561">
        <v>223.21</v>
      </c>
      <c r="Z167" s="3561">
        <f t="shared" si="5"/>
        <v>223.21</v>
      </c>
      <c r="AA167" s="3561">
        <f t="shared" si="6"/>
        <v>249.99520000000004</v>
      </c>
      <c r="AB167" s="3419"/>
      <c r="AC167" s="539"/>
      <c r="AD167" s="541"/>
      <c r="AE167" s="541" t="s">
        <v>251</v>
      </c>
      <c r="AF167" s="5051"/>
      <c r="AG167" s="522"/>
    </row>
    <row r="168" spans="1:33" ht="33.950000000000003" customHeight="1">
      <c r="A168" s="4360"/>
      <c r="B168" s="5056"/>
      <c r="C168" s="5058"/>
      <c r="D168" s="5063"/>
      <c r="E168" s="5063"/>
      <c r="F168" s="5063"/>
      <c r="G168" s="5063"/>
      <c r="H168" s="5063"/>
      <c r="I168" s="5063"/>
      <c r="J168" s="5063"/>
      <c r="K168" s="5063"/>
      <c r="L168" s="5063"/>
      <c r="M168" s="5071"/>
      <c r="N168" s="5071"/>
      <c r="O168" s="5071"/>
      <c r="P168" s="5063"/>
      <c r="Q168" s="5107"/>
      <c r="R168" s="5074"/>
      <c r="S168" s="3514" t="s">
        <v>39</v>
      </c>
      <c r="T168" s="538">
        <v>840104</v>
      </c>
      <c r="U168" s="540"/>
      <c r="V168" s="3503" t="s">
        <v>24</v>
      </c>
      <c r="W168" s="2637"/>
      <c r="X168" s="3475"/>
      <c r="Y168" s="2656"/>
      <c r="Z168" s="2656"/>
      <c r="AA168" s="2656"/>
      <c r="AB168" s="3558">
        <f>SUM($AA$169:$AA$170)</f>
        <v>2251.1999999999998</v>
      </c>
      <c r="AC168" s="547"/>
      <c r="AD168" s="509"/>
      <c r="AE168" s="541"/>
      <c r="AF168" s="5051"/>
      <c r="AG168" s="522"/>
    </row>
    <row r="169" spans="1:33" ht="18" customHeight="1">
      <c r="A169" s="4360"/>
      <c r="B169" s="5056"/>
      <c r="C169" s="5058"/>
      <c r="D169" s="5063"/>
      <c r="E169" s="5063"/>
      <c r="F169" s="5063"/>
      <c r="G169" s="5063"/>
      <c r="H169" s="5063"/>
      <c r="I169" s="5063"/>
      <c r="J169" s="5063"/>
      <c r="K169" s="5063"/>
      <c r="L169" s="5063"/>
      <c r="M169" s="5071"/>
      <c r="N169" s="5071"/>
      <c r="O169" s="5071"/>
      <c r="P169" s="5063"/>
      <c r="Q169" s="5107"/>
      <c r="R169" s="5074"/>
      <c r="S169" s="3522"/>
      <c r="T169" s="538"/>
      <c r="U169" s="540">
        <v>439130111</v>
      </c>
      <c r="V169" s="3502" t="s">
        <v>5086</v>
      </c>
      <c r="W169" s="3406">
        <v>2</v>
      </c>
      <c r="X169" s="3492" t="s">
        <v>269</v>
      </c>
      <c r="Y169" s="2656">
        <v>505</v>
      </c>
      <c r="Z169" s="2656">
        <f t="shared" ref="Z169:Z170" si="7">+W169*Y169</f>
        <v>1010</v>
      </c>
      <c r="AA169" s="2656">
        <f t="shared" ref="AA169:AA170" si="8">+Z169*1.12</f>
        <v>1131.2</v>
      </c>
      <c r="AB169" s="2656"/>
      <c r="AC169" s="541"/>
      <c r="AD169" s="541" t="s">
        <v>251</v>
      </c>
      <c r="AE169" s="541"/>
      <c r="AF169" s="5051"/>
      <c r="AG169" s="522"/>
    </row>
    <row r="170" spans="1:33" ht="18" customHeight="1">
      <c r="A170" s="4360"/>
      <c r="B170" s="5056"/>
      <c r="C170" s="5058"/>
      <c r="D170" s="5063"/>
      <c r="E170" s="5063"/>
      <c r="F170" s="5063"/>
      <c r="G170" s="5063"/>
      <c r="H170" s="5063"/>
      <c r="I170" s="5063"/>
      <c r="J170" s="5063"/>
      <c r="K170" s="5063"/>
      <c r="L170" s="5063"/>
      <c r="M170" s="5071"/>
      <c r="N170" s="5071"/>
      <c r="O170" s="5071"/>
      <c r="P170" s="5063"/>
      <c r="Q170" s="5107"/>
      <c r="R170" s="5074"/>
      <c r="S170" s="3516"/>
      <c r="T170" s="540"/>
      <c r="U170" s="540">
        <v>439130111</v>
      </c>
      <c r="V170" s="3502" t="s">
        <v>5085</v>
      </c>
      <c r="W170" s="3406">
        <v>1</v>
      </c>
      <c r="X170" s="3492" t="s">
        <v>269</v>
      </c>
      <c r="Y170" s="2656">
        <v>1000</v>
      </c>
      <c r="Z170" s="2656">
        <f t="shared" si="7"/>
        <v>1000</v>
      </c>
      <c r="AA170" s="2656">
        <f t="shared" si="8"/>
        <v>1120</v>
      </c>
      <c r="AB170" s="3558"/>
      <c r="AC170" s="539"/>
      <c r="AD170" s="541" t="s">
        <v>251</v>
      </c>
      <c r="AE170" s="541"/>
      <c r="AF170" s="5051"/>
      <c r="AG170" s="522"/>
    </row>
    <row r="171" spans="1:33" ht="18" customHeight="1">
      <c r="A171" s="4360"/>
      <c r="B171" s="5056"/>
      <c r="C171" s="5058"/>
      <c r="D171" s="5063"/>
      <c r="E171" s="5063"/>
      <c r="F171" s="5063"/>
      <c r="G171" s="5063"/>
      <c r="H171" s="5063"/>
      <c r="I171" s="5063"/>
      <c r="J171" s="5063"/>
      <c r="K171" s="5063"/>
      <c r="L171" s="5063"/>
      <c r="M171" s="5071"/>
      <c r="N171" s="5071"/>
      <c r="O171" s="5071"/>
      <c r="P171" s="5063"/>
      <c r="Q171" s="5107"/>
      <c r="R171" s="5074"/>
      <c r="S171" s="3514" t="s">
        <v>11</v>
      </c>
      <c r="T171" s="538">
        <v>840104</v>
      </c>
      <c r="U171" s="538"/>
      <c r="V171" s="3503" t="s">
        <v>24</v>
      </c>
      <c r="W171" s="2637"/>
      <c r="X171" s="3475"/>
      <c r="Y171" s="2656"/>
      <c r="Z171" s="2656"/>
      <c r="AA171" s="2656"/>
      <c r="AB171" s="3558">
        <f>SUM($AA$172:$AA$172)</f>
        <v>53704.13440000001</v>
      </c>
      <c r="AC171" s="539"/>
      <c r="AD171" s="541"/>
      <c r="AE171" s="533"/>
      <c r="AF171" s="5051"/>
      <c r="AG171" s="522"/>
    </row>
    <row r="172" spans="1:33" ht="18" customHeight="1">
      <c r="A172" s="4360"/>
      <c r="B172" s="5056"/>
      <c r="C172" s="5058"/>
      <c r="D172" s="5063"/>
      <c r="E172" s="5063"/>
      <c r="F172" s="5063"/>
      <c r="G172" s="5063"/>
      <c r="H172" s="5063"/>
      <c r="I172" s="5063"/>
      <c r="J172" s="5063"/>
      <c r="K172" s="5063"/>
      <c r="L172" s="5063"/>
      <c r="M172" s="5071"/>
      <c r="N172" s="5071"/>
      <c r="O172" s="5071"/>
      <c r="P172" s="5063"/>
      <c r="Q172" s="5107"/>
      <c r="R172" s="5074"/>
      <c r="S172" s="3523"/>
      <c r="T172" s="3615"/>
      <c r="U172" s="3615">
        <v>439130112</v>
      </c>
      <c r="V172" s="3510" t="s">
        <v>1112</v>
      </c>
      <c r="W172" s="3616">
        <v>2</v>
      </c>
      <c r="X172" s="3617" t="s">
        <v>269</v>
      </c>
      <c r="Y172" s="3618">
        <v>23975.06</v>
      </c>
      <c r="Z172" s="3618">
        <f t="shared" ref="Z172" si="9">+W172*Y172</f>
        <v>47950.12</v>
      </c>
      <c r="AA172" s="3618">
        <f t="shared" ref="AA172" si="10">+Z172*1.12</f>
        <v>53704.13440000001</v>
      </c>
      <c r="AB172" s="3619"/>
      <c r="AC172" s="325"/>
      <c r="AD172" s="326"/>
      <c r="AE172" s="326" t="s">
        <v>251</v>
      </c>
      <c r="AF172" s="5051"/>
      <c r="AG172" s="522"/>
    </row>
    <row r="173" spans="1:33" ht="39" customHeight="1">
      <c r="A173" s="4360"/>
      <c r="B173" s="5056"/>
      <c r="C173" s="5059" t="s">
        <v>235</v>
      </c>
      <c r="D173" s="5064" t="s">
        <v>236</v>
      </c>
      <c r="E173" s="5064" t="s">
        <v>237</v>
      </c>
      <c r="F173" s="5064" t="s">
        <v>370</v>
      </c>
      <c r="G173" s="5076" t="s">
        <v>239</v>
      </c>
      <c r="H173" s="5064" t="s">
        <v>240</v>
      </c>
      <c r="I173" s="5064" t="s">
        <v>257</v>
      </c>
      <c r="J173" s="5064" t="s">
        <v>5177</v>
      </c>
      <c r="K173" s="5064" t="s">
        <v>1113</v>
      </c>
      <c r="L173" s="5064" t="s">
        <v>5123</v>
      </c>
      <c r="M173" s="5079">
        <v>1</v>
      </c>
      <c r="N173" s="5079">
        <v>1</v>
      </c>
      <c r="O173" s="5079">
        <v>1</v>
      </c>
      <c r="P173" s="5064" t="s">
        <v>5221</v>
      </c>
      <c r="Q173" s="5064" t="s">
        <v>5253</v>
      </c>
      <c r="R173" s="5073" t="s">
        <v>5096</v>
      </c>
      <c r="S173" s="3620" t="s">
        <v>11</v>
      </c>
      <c r="T173" s="3574">
        <v>531407</v>
      </c>
      <c r="U173" s="3574"/>
      <c r="V173" s="3575" t="s">
        <v>20</v>
      </c>
      <c r="W173" s="3576"/>
      <c r="X173" s="3577"/>
      <c r="Y173" s="3578"/>
      <c r="Z173" s="3578"/>
      <c r="AA173" s="3578"/>
      <c r="AB173" s="3579">
        <f>SUM($AA$174:$AA$174)</f>
        <v>88.524800000000013</v>
      </c>
      <c r="AC173" s="3580"/>
      <c r="AD173" s="3581"/>
      <c r="AE173" s="3581"/>
      <c r="AF173" s="5084"/>
      <c r="AG173" s="522"/>
    </row>
    <row r="174" spans="1:33" ht="39" customHeight="1">
      <c r="A174" s="4360"/>
      <c r="B174" s="5056"/>
      <c r="C174" s="5058"/>
      <c r="D174" s="5063"/>
      <c r="E174" s="5063"/>
      <c r="F174" s="5063"/>
      <c r="G174" s="5063"/>
      <c r="H174" s="5063"/>
      <c r="I174" s="5063"/>
      <c r="J174" s="5063"/>
      <c r="K174" s="5063"/>
      <c r="L174" s="5063"/>
      <c r="M174" s="5071"/>
      <c r="N174" s="5071"/>
      <c r="O174" s="5071"/>
      <c r="P174" s="5063"/>
      <c r="Q174" s="5063"/>
      <c r="R174" s="5074"/>
      <c r="S174" s="3516"/>
      <c r="T174" s="523"/>
      <c r="U174" s="523">
        <v>452900031</v>
      </c>
      <c r="V174" s="3502" t="s">
        <v>5288</v>
      </c>
      <c r="W174" s="2630">
        <v>1</v>
      </c>
      <c r="X174" s="3492" t="s">
        <v>269</v>
      </c>
      <c r="Y174" s="2645">
        <v>79.040000000000006</v>
      </c>
      <c r="Z174" s="2645">
        <f t="shared" ref="Z174" si="11">+W174*Y174</f>
        <v>79.040000000000006</v>
      </c>
      <c r="AA174" s="2645">
        <f t="shared" ref="AA174" si="12">+Z174*1.12</f>
        <v>88.524800000000013</v>
      </c>
      <c r="AB174" s="2646"/>
      <c r="AC174" s="532"/>
      <c r="AD174" s="532" t="s">
        <v>251</v>
      </c>
      <c r="AE174" s="526"/>
      <c r="AF174" s="5051"/>
      <c r="AG174" s="522"/>
    </row>
    <row r="175" spans="1:33" ht="39" customHeight="1">
      <c r="A175" s="4360"/>
      <c r="B175" s="5056"/>
      <c r="C175" s="5058"/>
      <c r="D175" s="5063"/>
      <c r="E175" s="5063"/>
      <c r="F175" s="5063"/>
      <c r="G175" s="5063"/>
      <c r="H175" s="5063"/>
      <c r="I175" s="5063"/>
      <c r="J175" s="5063"/>
      <c r="K175" s="5063"/>
      <c r="L175" s="5063"/>
      <c r="M175" s="5071"/>
      <c r="N175" s="5071"/>
      <c r="O175" s="5071"/>
      <c r="P175" s="5063"/>
      <c r="Q175" s="5063"/>
      <c r="R175" s="5074"/>
      <c r="S175" s="3514" t="s">
        <v>11</v>
      </c>
      <c r="T175" s="529">
        <v>530243</v>
      </c>
      <c r="U175" s="529"/>
      <c r="V175" s="3503" t="s">
        <v>94</v>
      </c>
      <c r="W175" s="2630"/>
      <c r="X175" s="3544"/>
      <c r="Y175" s="2645"/>
      <c r="Z175" s="2645"/>
      <c r="AA175" s="2645"/>
      <c r="AB175" s="2646">
        <f>SUM($AA$176:$AA$176)</f>
        <v>59844.680000000008</v>
      </c>
      <c r="AC175" s="532"/>
      <c r="AD175" s="532"/>
      <c r="AE175" s="533"/>
      <c r="AF175" s="5051"/>
      <c r="AG175" s="522"/>
    </row>
    <row r="176" spans="1:33" ht="39" customHeight="1">
      <c r="A176" s="4360"/>
      <c r="B176" s="5056"/>
      <c r="C176" s="5058"/>
      <c r="D176" s="5063"/>
      <c r="E176" s="5063"/>
      <c r="F176" s="5063"/>
      <c r="G176" s="5063"/>
      <c r="H176" s="5063"/>
      <c r="I176" s="5063"/>
      <c r="J176" s="5063"/>
      <c r="K176" s="5063"/>
      <c r="L176" s="5063"/>
      <c r="M176" s="5071"/>
      <c r="N176" s="5071"/>
      <c r="O176" s="5071"/>
      <c r="P176" s="5063"/>
      <c r="Q176" s="5063"/>
      <c r="R176" s="5074"/>
      <c r="S176" s="3522"/>
      <c r="T176" s="529"/>
      <c r="U176" s="523">
        <v>87130011</v>
      </c>
      <c r="V176" s="2681" t="s">
        <v>1114</v>
      </c>
      <c r="W176" s="2630">
        <v>1</v>
      </c>
      <c r="X176" s="3544" t="s">
        <v>250</v>
      </c>
      <c r="Y176" s="2645">
        <v>53432.75</v>
      </c>
      <c r="Z176" s="2645">
        <f t="shared" ref="Z176" si="13">+W176*Y176</f>
        <v>53432.75</v>
      </c>
      <c r="AA176" s="2645">
        <f t="shared" ref="AA176" si="14">+Z176*1.12</f>
        <v>59844.680000000008</v>
      </c>
      <c r="AB176" s="2646"/>
      <c r="AC176" s="532"/>
      <c r="AD176" s="532"/>
      <c r="AE176" s="533" t="s">
        <v>251</v>
      </c>
      <c r="AF176" s="5051"/>
      <c r="AG176" s="522"/>
    </row>
    <row r="177" spans="1:33" ht="39" customHeight="1">
      <c r="A177" s="4360"/>
      <c r="B177" s="5056"/>
      <c r="C177" s="5060"/>
      <c r="D177" s="5065"/>
      <c r="E177" s="5065"/>
      <c r="F177" s="5065"/>
      <c r="G177" s="5065"/>
      <c r="H177" s="5065"/>
      <c r="I177" s="5065"/>
      <c r="J177" s="5065"/>
      <c r="K177" s="5065"/>
      <c r="L177" s="5065"/>
      <c r="M177" s="5072"/>
      <c r="N177" s="5072"/>
      <c r="O177" s="5072"/>
      <c r="P177" s="5065"/>
      <c r="Q177" s="5065"/>
      <c r="R177" s="5075"/>
      <c r="S177" s="3569"/>
      <c r="T177" s="3570"/>
      <c r="U177" s="3570"/>
      <c r="V177" s="2686"/>
      <c r="W177" s="1781"/>
      <c r="X177" s="3571"/>
      <c r="Y177" s="2667"/>
      <c r="Z177" s="2667"/>
      <c r="AA177" s="2667"/>
      <c r="AB177" s="2668"/>
      <c r="AC177" s="1782"/>
      <c r="AD177" s="1782"/>
      <c r="AE177" s="3572"/>
      <c r="AF177" s="5085"/>
      <c r="AG177" s="522"/>
    </row>
    <row r="178" spans="1:33" ht="44.25" customHeight="1">
      <c r="A178" s="4360"/>
      <c r="B178" s="5056"/>
      <c r="C178" s="5061" t="s">
        <v>235</v>
      </c>
      <c r="D178" s="5062" t="s">
        <v>236</v>
      </c>
      <c r="E178" s="5062" t="s">
        <v>237</v>
      </c>
      <c r="F178" s="5062" t="s">
        <v>370</v>
      </c>
      <c r="G178" s="5069" t="s">
        <v>239</v>
      </c>
      <c r="H178" s="5062" t="s">
        <v>240</v>
      </c>
      <c r="I178" s="5062" t="s">
        <v>257</v>
      </c>
      <c r="J178" s="5062" t="s">
        <v>5178</v>
      </c>
      <c r="K178" s="5062" t="s">
        <v>1115</v>
      </c>
      <c r="L178" s="5062" t="s">
        <v>5124</v>
      </c>
      <c r="M178" s="5092">
        <v>2</v>
      </c>
      <c r="N178" s="5092">
        <v>1</v>
      </c>
      <c r="O178" s="5092">
        <v>1</v>
      </c>
      <c r="P178" s="5062" t="s">
        <v>5222</v>
      </c>
      <c r="Q178" s="5062" t="s">
        <v>5252</v>
      </c>
      <c r="R178" s="5078" t="s">
        <v>5096</v>
      </c>
      <c r="S178" s="3515" t="s">
        <v>11</v>
      </c>
      <c r="T178" s="2018">
        <v>530811</v>
      </c>
      <c r="U178" s="2018"/>
      <c r="V178" s="3530" t="s">
        <v>83</v>
      </c>
      <c r="W178" s="2633"/>
      <c r="X178" s="3547"/>
      <c r="Y178" s="2651"/>
      <c r="Z178" s="2651"/>
      <c r="AA178" s="2651"/>
      <c r="AB178" s="2652">
        <f>SUM($AA$179:$AA$179)</f>
        <v>1120</v>
      </c>
      <c r="AC178" s="1967"/>
      <c r="AD178" s="1971"/>
      <c r="AE178" s="1971"/>
      <c r="AF178" s="5086"/>
      <c r="AG178" s="522"/>
    </row>
    <row r="179" spans="1:33" ht="25.5" customHeight="1">
      <c r="A179" s="4360"/>
      <c r="B179" s="5056"/>
      <c r="C179" s="5058"/>
      <c r="D179" s="5063"/>
      <c r="E179" s="5063"/>
      <c r="F179" s="5063"/>
      <c r="G179" s="5063"/>
      <c r="H179" s="5063"/>
      <c r="I179" s="5063"/>
      <c r="J179" s="5063"/>
      <c r="K179" s="5063"/>
      <c r="L179" s="5063"/>
      <c r="M179" s="5071"/>
      <c r="N179" s="5071"/>
      <c r="O179" s="5071"/>
      <c r="P179" s="5063"/>
      <c r="Q179" s="5063"/>
      <c r="R179" s="5074"/>
      <c r="S179" s="3522"/>
      <c r="T179" s="529"/>
      <c r="U179" s="523">
        <v>4523000414</v>
      </c>
      <c r="V179" s="2681" t="s">
        <v>5289</v>
      </c>
      <c r="W179" s="2630">
        <v>20</v>
      </c>
      <c r="X179" s="3492" t="s">
        <v>269</v>
      </c>
      <c r="Y179" s="2645">
        <v>50</v>
      </c>
      <c r="Z179" s="2645">
        <f t="shared" ref="Z179" si="15">+W179*Y179</f>
        <v>1000</v>
      </c>
      <c r="AA179" s="2645">
        <f t="shared" ref="AA179" si="16">+Z179*1.12</f>
        <v>1120</v>
      </c>
      <c r="AB179" s="2646"/>
      <c r="AC179" s="539"/>
      <c r="AD179" s="541" t="s">
        <v>251</v>
      </c>
      <c r="AE179" s="541"/>
      <c r="AF179" s="5051"/>
      <c r="AG179" s="522"/>
    </row>
    <row r="180" spans="1:33" ht="30.75" customHeight="1">
      <c r="A180" s="4360"/>
      <c r="B180" s="5056"/>
      <c r="C180" s="5058"/>
      <c r="D180" s="5063"/>
      <c r="E180" s="5063"/>
      <c r="F180" s="5063"/>
      <c r="G180" s="5063"/>
      <c r="H180" s="5063"/>
      <c r="I180" s="5063"/>
      <c r="J180" s="5063"/>
      <c r="K180" s="5063"/>
      <c r="L180" s="5063"/>
      <c r="M180" s="5071"/>
      <c r="N180" s="5071"/>
      <c r="O180" s="5071"/>
      <c r="P180" s="5063"/>
      <c r="Q180" s="5063"/>
      <c r="R180" s="5074"/>
      <c r="S180" s="3514" t="s">
        <v>11</v>
      </c>
      <c r="T180" s="529">
        <v>530402</v>
      </c>
      <c r="U180" s="529"/>
      <c r="V180" s="3531" t="s">
        <v>16</v>
      </c>
      <c r="W180" s="2630"/>
      <c r="X180" s="3544"/>
      <c r="Y180" s="2645"/>
      <c r="Z180" s="2645"/>
      <c r="AA180" s="2645"/>
      <c r="AB180" s="2646">
        <f>SUM($AA$181:$AA$181)</f>
        <v>2240</v>
      </c>
      <c r="AC180" s="532"/>
      <c r="AD180" s="533"/>
      <c r="AE180" s="533"/>
      <c r="AF180" s="5051"/>
      <c r="AG180" s="522"/>
    </row>
    <row r="181" spans="1:33" ht="25.5" customHeight="1">
      <c r="A181" s="4360"/>
      <c r="B181" s="5056"/>
      <c r="C181" s="5058"/>
      <c r="D181" s="5063"/>
      <c r="E181" s="5063"/>
      <c r="F181" s="5063"/>
      <c r="G181" s="5063"/>
      <c r="H181" s="5063"/>
      <c r="I181" s="5063"/>
      <c r="J181" s="5063"/>
      <c r="K181" s="5063"/>
      <c r="L181" s="5063"/>
      <c r="M181" s="5071"/>
      <c r="N181" s="5071"/>
      <c r="O181" s="5071"/>
      <c r="P181" s="5063"/>
      <c r="Q181" s="5063"/>
      <c r="R181" s="5074"/>
      <c r="S181" s="3516"/>
      <c r="T181" s="523"/>
      <c r="U181" s="523">
        <v>873900012</v>
      </c>
      <c r="V181" s="2681" t="s">
        <v>1116</v>
      </c>
      <c r="W181" s="2630">
        <v>1</v>
      </c>
      <c r="X181" s="3492" t="s">
        <v>250</v>
      </c>
      <c r="Y181" s="2645">
        <v>2000</v>
      </c>
      <c r="Z181" s="2645">
        <f t="shared" ref="Z181" si="17">+W181*Y181</f>
        <v>2000</v>
      </c>
      <c r="AA181" s="2645">
        <f t="shared" ref="AA181" si="18">+Z181*1.12</f>
        <v>2240</v>
      </c>
      <c r="AB181" s="2646"/>
      <c r="AC181" s="532"/>
      <c r="AD181" s="533" t="s">
        <v>251</v>
      </c>
      <c r="AE181" s="533"/>
      <c r="AF181" s="5051"/>
      <c r="AG181" s="522"/>
    </row>
    <row r="182" spans="1:33" ht="25.5" customHeight="1">
      <c r="A182" s="4360"/>
      <c r="B182" s="5056"/>
      <c r="C182" s="5058"/>
      <c r="D182" s="5063"/>
      <c r="E182" s="5063"/>
      <c r="F182" s="5063"/>
      <c r="G182" s="5063"/>
      <c r="H182" s="5063"/>
      <c r="I182" s="5063"/>
      <c r="J182" s="5063"/>
      <c r="K182" s="5063"/>
      <c r="L182" s="5063"/>
      <c r="M182" s="5071"/>
      <c r="N182" s="5071"/>
      <c r="O182" s="5071"/>
      <c r="P182" s="5063"/>
      <c r="Q182" s="5063"/>
      <c r="R182" s="5074"/>
      <c r="S182" s="3527"/>
      <c r="T182" s="548"/>
      <c r="U182" s="548"/>
      <c r="V182" s="3538"/>
      <c r="W182" s="2631"/>
      <c r="X182" s="3548"/>
      <c r="Y182" s="2647"/>
      <c r="Z182" s="2647"/>
      <c r="AA182" s="2647"/>
      <c r="AB182" s="3557"/>
      <c r="AC182" s="575"/>
      <c r="AD182" s="321"/>
      <c r="AE182" s="321"/>
      <c r="AF182" s="5051"/>
      <c r="AG182" s="522"/>
    </row>
    <row r="183" spans="1:33" ht="30" customHeight="1">
      <c r="A183" s="4360"/>
      <c r="B183" s="5056"/>
      <c r="C183" s="5059" t="s">
        <v>235</v>
      </c>
      <c r="D183" s="5064" t="s">
        <v>236</v>
      </c>
      <c r="E183" s="5064" t="s">
        <v>237</v>
      </c>
      <c r="F183" s="5064" t="s">
        <v>370</v>
      </c>
      <c r="G183" s="5076" t="s">
        <v>239</v>
      </c>
      <c r="H183" s="5064" t="s">
        <v>240</v>
      </c>
      <c r="I183" s="5064" t="s">
        <v>257</v>
      </c>
      <c r="J183" s="5064" t="s">
        <v>5179</v>
      </c>
      <c r="K183" s="5064" t="s">
        <v>1117</v>
      </c>
      <c r="L183" s="5064" t="s">
        <v>5125</v>
      </c>
      <c r="M183" s="5079">
        <v>1</v>
      </c>
      <c r="N183" s="5079">
        <v>1</v>
      </c>
      <c r="O183" s="5079">
        <v>1</v>
      </c>
      <c r="P183" s="5064" t="s">
        <v>5223</v>
      </c>
      <c r="Q183" s="5064" t="s">
        <v>5251</v>
      </c>
      <c r="R183" s="5073" t="s">
        <v>5095</v>
      </c>
      <c r="S183" s="3620" t="s">
        <v>11</v>
      </c>
      <c r="T183" s="3574">
        <v>531407</v>
      </c>
      <c r="U183" s="3574"/>
      <c r="V183" s="3575" t="s">
        <v>20</v>
      </c>
      <c r="W183" s="3576"/>
      <c r="X183" s="3577"/>
      <c r="Y183" s="3578"/>
      <c r="Z183" s="3578"/>
      <c r="AA183" s="3578"/>
      <c r="AB183" s="3579">
        <f>SUM($AA$184:$AA$185)</f>
        <v>70</v>
      </c>
      <c r="AC183" s="3580"/>
      <c r="AD183" s="3582"/>
      <c r="AE183" s="3582"/>
      <c r="AF183" s="5084"/>
      <c r="AG183" s="522"/>
    </row>
    <row r="184" spans="1:33" ht="30" customHeight="1">
      <c r="A184" s="4360"/>
      <c r="B184" s="5056"/>
      <c r="C184" s="5058"/>
      <c r="D184" s="5063"/>
      <c r="E184" s="5063"/>
      <c r="F184" s="5063"/>
      <c r="G184" s="5063"/>
      <c r="H184" s="5063"/>
      <c r="I184" s="5063"/>
      <c r="J184" s="5063"/>
      <c r="K184" s="5063"/>
      <c r="L184" s="5063"/>
      <c r="M184" s="5071"/>
      <c r="N184" s="5071"/>
      <c r="O184" s="5071"/>
      <c r="P184" s="5063"/>
      <c r="Q184" s="5063"/>
      <c r="R184" s="5074"/>
      <c r="S184" s="3516"/>
      <c r="T184" s="523"/>
      <c r="U184" s="523">
        <v>472200415</v>
      </c>
      <c r="V184" s="2681" t="s">
        <v>288</v>
      </c>
      <c r="W184" s="2630">
        <v>1</v>
      </c>
      <c r="X184" s="3544" t="s">
        <v>269</v>
      </c>
      <c r="Y184" s="2645">
        <v>62.5</v>
      </c>
      <c r="Z184" s="2645">
        <f t="shared" ref="Z184" si="19">+W184*Y184</f>
        <v>62.5</v>
      </c>
      <c r="AA184" s="2645">
        <f t="shared" ref="AA184" si="20">+Z184*1.12</f>
        <v>70</v>
      </c>
      <c r="AB184" s="2646"/>
      <c r="AC184" s="532"/>
      <c r="AD184" s="533" t="s">
        <v>251</v>
      </c>
      <c r="AE184" s="533"/>
      <c r="AF184" s="5051"/>
      <c r="AG184" s="522"/>
    </row>
    <row r="185" spans="1:33" ht="30" customHeight="1">
      <c r="A185" s="4360"/>
      <c r="B185" s="5056"/>
      <c r="C185" s="5058"/>
      <c r="D185" s="5063"/>
      <c r="E185" s="5063"/>
      <c r="F185" s="5063"/>
      <c r="G185" s="5063"/>
      <c r="H185" s="5063"/>
      <c r="I185" s="5063"/>
      <c r="J185" s="5063"/>
      <c r="K185" s="5063"/>
      <c r="L185" s="5063"/>
      <c r="M185" s="5071"/>
      <c r="N185" s="5071"/>
      <c r="O185" s="5071"/>
      <c r="P185" s="5063"/>
      <c r="Q185" s="5063"/>
      <c r="R185" s="5074"/>
      <c r="S185" s="3522"/>
      <c r="T185" s="529"/>
      <c r="U185" s="529"/>
      <c r="V185" s="3531"/>
      <c r="W185" s="2630"/>
      <c r="X185" s="3544"/>
      <c r="Y185" s="2645"/>
      <c r="Z185" s="2645"/>
      <c r="AA185" s="2645"/>
      <c r="AB185" s="2646"/>
      <c r="AC185" s="532"/>
      <c r="AD185" s="533"/>
      <c r="AE185" s="533"/>
      <c r="AF185" s="5051"/>
      <c r="AG185" s="522"/>
    </row>
    <row r="186" spans="1:33" ht="30" customHeight="1">
      <c r="A186" s="4360"/>
      <c r="B186" s="5056"/>
      <c r="C186" s="5058"/>
      <c r="D186" s="5063"/>
      <c r="E186" s="5063"/>
      <c r="F186" s="5063"/>
      <c r="G186" s="5063"/>
      <c r="H186" s="5063"/>
      <c r="I186" s="5063"/>
      <c r="J186" s="5063"/>
      <c r="K186" s="5063"/>
      <c r="L186" s="5063"/>
      <c r="M186" s="5071"/>
      <c r="N186" s="5071"/>
      <c r="O186" s="5071"/>
      <c r="P186" s="5063"/>
      <c r="Q186" s="5063"/>
      <c r="R186" s="5074"/>
      <c r="S186" s="3516"/>
      <c r="T186" s="523"/>
      <c r="U186" s="523"/>
      <c r="V186" s="2681"/>
      <c r="W186" s="2630"/>
      <c r="X186" s="3544"/>
      <c r="Y186" s="2645"/>
      <c r="Z186" s="2645"/>
      <c r="AA186" s="2645"/>
      <c r="AB186" s="2646"/>
      <c r="AC186" s="532"/>
      <c r="AD186" s="533"/>
      <c r="AE186" s="533"/>
      <c r="AF186" s="5051"/>
      <c r="AG186" s="522"/>
    </row>
    <row r="187" spans="1:33" ht="30" customHeight="1">
      <c r="A187" s="4360"/>
      <c r="B187" s="5056"/>
      <c r="C187" s="5060"/>
      <c r="D187" s="5065"/>
      <c r="E187" s="5065"/>
      <c r="F187" s="5065"/>
      <c r="G187" s="5065"/>
      <c r="H187" s="5065"/>
      <c r="I187" s="5065"/>
      <c r="J187" s="5065"/>
      <c r="K187" s="5065"/>
      <c r="L187" s="5065"/>
      <c r="M187" s="5072"/>
      <c r="N187" s="5072"/>
      <c r="O187" s="5072"/>
      <c r="P187" s="5065"/>
      <c r="Q187" s="5065"/>
      <c r="R187" s="5075"/>
      <c r="S187" s="3569"/>
      <c r="T187" s="3570"/>
      <c r="U187" s="3570"/>
      <c r="V187" s="2686"/>
      <c r="W187" s="1781"/>
      <c r="X187" s="3571"/>
      <c r="Y187" s="2667"/>
      <c r="Z187" s="2667"/>
      <c r="AA187" s="2667"/>
      <c r="AB187" s="2668"/>
      <c r="AC187" s="1782"/>
      <c r="AD187" s="3572"/>
      <c r="AE187" s="3572"/>
      <c r="AF187" s="5085"/>
      <c r="AG187" s="522"/>
    </row>
    <row r="188" spans="1:33" ht="30" customHeight="1">
      <c r="A188" s="4360"/>
      <c r="B188" s="5056"/>
      <c r="C188" s="5061" t="s">
        <v>235</v>
      </c>
      <c r="D188" s="5062" t="s">
        <v>236</v>
      </c>
      <c r="E188" s="5062" t="s">
        <v>237</v>
      </c>
      <c r="F188" s="5062" t="s">
        <v>370</v>
      </c>
      <c r="G188" s="5069" t="s">
        <v>239</v>
      </c>
      <c r="H188" s="5062" t="s">
        <v>240</v>
      </c>
      <c r="I188" s="5062" t="s">
        <v>257</v>
      </c>
      <c r="J188" s="5062" t="s">
        <v>5180</v>
      </c>
      <c r="K188" s="5062" t="s">
        <v>1118</v>
      </c>
      <c r="L188" s="5062" t="s">
        <v>5126</v>
      </c>
      <c r="M188" s="5092">
        <v>0</v>
      </c>
      <c r="N188" s="5092">
        <v>1</v>
      </c>
      <c r="O188" s="5092">
        <v>1</v>
      </c>
      <c r="P188" s="5062" t="s">
        <v>5224</v>
      </c>
      <c r="Q188" s="5062" t="s">
        <v>5250</v>
      </c>
      <c r="R188" s="5078" t="s">
        <v>5095</v>
      </c>
      <c r="S188" s="3525"/>
      <c r="T188" s="2018"/>
      <c r="U188" s="2018"/>
      <c r="V188" s="3530"/>
      <c r="W188" s="2633"/>
      <c r="X188" s="3547"/>
      <c r="Y188" s="2651"/>
      <c r="Z188" s="2651"/>
      <c r="AA188" s="2651"/>
      <c r="AB188" s="2652"/>
      <c r="AC188" s="1967"/>
      <c r="AD188" s="1971"/>
      <c r="AE188" s="1971"/>
      <c r="AF188" s="5086"/>
      <c r="AG188" s="522"/>
    </row>
    <row r="189" spans="1:33" ht="30" customHeight="1">
      <c r="A189" s="4360"/>
      <c r="B189" s="5056"/>
      <c r="C189" s="5058"/>
      <c r="D189" s="5063"/>
      <c r="E189" s="5063"/>
      <c r="F189" s="5063"/>
      <c r="G189" s="5063"/>
      <c r="H189" s="5063"/>
      <c r="I189" s="5063"/>
      <c r="J189" s="5063"/>
      <c r="K189" s="5063"/>
      <c r="L189" s="5063"/>
      <c r="M189" s="5071"/>
      <c r="N189" s="5071"/>
      <c r="O189" s="5071"/>
      <c r="P189" s="5063"/>
      <c r="Q189" s="5063"/>
      <c r="R189" s="5074"/>
      <c r="S189" s="3516"/>
      <c r="T189" s="523"/>
      <c r="U189" s="523"/>
      <c r="V189" s="2681"/>
      <c r="W189" s="2630"/>
      <c r="X189" s="3544"/>
      <c r="Y189" s="2645"/>
      <c r="Z189" s="2645"/>
      <c r="AA189" s="2645"/>
      <c r="AB189" s="2646"/>
      <c r="AC189" s="532"/>
      <c r="AD189" s="533"/>
      <c r="AE189" s="533"/>
      <c r="AF189" s="5051"/>
      <c r="AG189" s="522"/>
    </row>
    <row r="190" spans="1:33" ht="30" customHeight="1">
      <c r="A190" s="4360"/>
      <c r="B190" s="5056"/>
      <c r="C190" s="5058"/>
      <c r="D190" s="5063"/>
      <c r="E190" s="5063"/>
      <c r="F190" s="5063"/>
      <c r="G190" s="5063"/>
      <c r="H190" s="5063"/>
      <c r="I190" s="5063"/>
      <c r="J190" s="5063"/>
      <c r="K190" s="5063"/>
      <c r="L190" s="5063"/>
      <c r="M190" s="5071"/>
      <c r="N190" s="5071"/>
      <c r="O190" s="5071"/>
      <c r="P190" s="5063"/>
      <c r="Q190" s="5063"/>
      <c r="R190" s="5074"/>
      <c r="S190" s="3516"/>
      <c r="T190" s="523"/>
      <c r="U190" s="523"/>
      <c r="V190" s="2681"/>
      <c r="W190" s="2630"/>
      <c r="X190" s="3544"/>
      <c r="Y190" s="2645"/>
      <c r="Z190" s="2645"/>
      <c r="AA190" s="2645"/>
      <c r="AB190" s="2646"/>
      <c r="AC190" s="532"/>
      <c r="AD190" s="533"/>
      <c r="AE190" s="533"/>
      <c r="AF190" s="5051"/>
      <c r="AG190" s="522"/>
    </row>
    <row r="191" spans="1:33" ht="30" customHeight="1">
      <c r="A191" s="4360"/>
      <c r="B191" s="5056"/>
      <c r="C191" s="5058"/>
      <c r="D191" s="5063"/>
      <c r="E191" s="5063"/>
      <c r="F191" s="5063"/>
      <c r="G191" s="5063"/>
      <c r="H191" s="5063"/>
      <c r="I191" s="5063"/>
      <c r="J191" s="5063"/>
      <c r="K191" s="5063"/>
      <c r="L191" s="5063"/>
      <c r="M191" s="5071"/>
      <c r="N191" s="5071"/>
      <c r="O191" s="5071"/>
      <c r="P191" s="5063"/>
      <c r="Q191" s="5063"/>
      <c r="R191" s="5074"/>
      <c r="S191" s="3516"/>
      <c r="T191" s="523"/>
      <c r="U191" s="523"/>
      <c r="V191" s="2681"/>
      <c r="W191" s="2630"/>
      <c r="X191" s="3544"/>
      <c r="Y191" s="2645"/>
      <c r="Z191" s="2645"/>
      <c r="AA191" s="2645"/>
      <c r="AB191" s="2646"/>
      <c r="AC191" s="532"/>
      <c r="AD191" s="533"/>
      <c r="AE191" s="533"/>
      <c r="AF191" s="5051"/>
      <c r="AG191" s="522"/>
    </row>
    <row r="192" spans="1:33" ht="30" customHeight="1">
      <c r="A192" s="4360"/>
      <c r="B192" s="5056"/>
      <c r="C192" s="5058"/>
      <c r="D192" s="5063"/>
      <c r="E192" s="5063"/>
      <c r="F192" s="5063"/>
      <c r="G192" s="5063"/>
      <c r="H192" s="5063"/>
      <c r="I192" s="5063"/>
      <c r="J192" s="5063"/>
      <c r="K192" s="5063"/>
      <c r="L192" s="5063"/>
      <c r="M192" s="5071"/>
      <c r="N192" s="5071"/>
      <c r="O192" s="5071"/>
      <c r="P192" s="5063"/>
      <c r="Q192" s="5063"/>
      <c r="R192" s="5074"/>
      <c r="S192" s="3523"/>
      <c r="T192" s="530"/>
      <c r="U192" s="530"/>
      <c r="V192" s="2682"/>
      <c r="W192" s="2631"/>
      <c r="X192" s="3548"/>
      <c r="Y192" s="2647"/>
      <c r="Z192" s="2647"/>
      <c r="AA192" s="2647"/>
      <c r="AB192" s="2647"/>
      <c r="AC192" s="575"/>
      <c r="AD192" s="321"/>
      <c r="AE192" s="321"/>
      <c r="AF192" s="5051"/>
      <c r="AG192" s="522"/>
    </row>
    <row r="193" spans="1:33" ht="30" customHeight="1">
      <c r="A193" s="4360"/>
      <c r="B193" s="5056"/>
      <c r="C193" s="5059" t="s">
        <v>235</v>
      </c>
      <c r="D193" s="5064" t="s">
        <v>236</v>
      </c>
      <c r="E193" s="5064" t="s">
        <v>237</v>
      </c>
      <c r="F193" s="5064" t="s">
        <v>370</v>
      </c>
      <c r="G193" s="5076" t="s">
        <v>239</v>
      </c>
      <c r="H193" s="5064" t="s">
        <v>240</v>
      </c>
      <c r="I193" s="5064" t="s">
        <v>257</v>
      </c>
      <c r="J193" s="5064" t="s">
        <v>5181</v>
      </c>
      <c r="K193" s="5064" t="s">
        <v>1119</v>
      </c>
      <c r="L193" s="5064" t="s">
        <v>5127</v>
      </c>
      <c r="M193" s="5079">
        <v>0</v>
      </c>
      <c r="N193" s="5079">
        <v>1</v>
      </c>
      <c r="O193" s="5079">
        <v>1</v>
      </c>
      <c r="P193" s="5064" t="s">
        <v>5225</v>
      </c>
      <c r="Q193" s="5064" t="s">
        <v>5249</v>
      </c>
      <c r="R193" s="5073" t="s">
        <v>5095</v>
      </c>
      <c r="S193" s="3573"/>
      <c r="T193" s="3574"/>
      <c r="U193" s="3574"/>
      <c r="V193" s="3575"/>
      <c r="W193" s="3576"/>
      <c r="X193" s="3577"/>
      <c r="Y193" s="3578"/>
      <c r="Z193" s="3578"/>
      <c r="AA193" s="3578"/>
      <c r="AB193" s="3579"/>
      <c r="AC193" s="3580"/>
      <c r="AD193" s="3582"/>
      <c r="AE193" s="3582"/>
      <c r="AF193" s="5084"/>
      <c r="AG193" s="522"/>
    </row>
    <row r="194" spans="1:33" ht="30" customHeight="1">
      <c r="A194" s="4360"/>
      <c r="B194" s="5056"/>
      <c r="C194" s="5058"/>
      <c r="D194" s="5063"/>
      <c r="E194" s="5063"/>
      <c r="F194" s="5063"/>
      <c r="G194" s="5063"/>
      <c r="H194" s="5063"/>
      <c r="I194" s="5063"/>
      <c r="J194" s="5063"/>
      <c r="K194" s="5063"/>
      <c r="L194" s="5063"/>
      <c r="M194" s="5071"/>
      <c r="N194" s="5071"/>
      <c r="O194" s="5071"/>
      <c r="P194" s="5063"/>
      <c r="Q194" s="5063"/>
      <c r="R194" s="5074"/>
      <c r="S194" s="3516"/>
      <c r="T194" s="523"/>
      <c r="U194" s="523"/>
      <c r="V194" s="2681"/>
      <c r="W194" s="2630"/>
      <c r="X194" s="3544"/>
      <c r="Y194" s="2645"/>
      <c r="Z194" s="2645"/>
      <c r="AA194" s="2645"/>
      <c r="AB194" s="2646"/>
      <c r="AC194" s="532"/>
      <c r="AD194" s="533"/>
      <c r="AE194" s="533"/>
      <c r="AF194" s="5051"/>
      <c r="AG194" s="522"/>
    </row>
    <row r="195" spans="1:33" ht="30" customHeight="1">
      <c r="A195" s="4360"/>
      <c r="B195" s="5056"/>
      <c r="C195" s="5058"/>
      <c r="D195" s="5063"/>
      <c r="E195" s="5063"/>
      <c r="F195" s="5063"/>
      <c r="G195" s="5063"/>
      <c r="H195" s="5063"/>
      <c r="I195" s="5063"/>
      <c r="J195" s="5063"/>
      <c r="K195" s="5063"/>
      <c r="L195" s="5063"/>
      <c r="M195" s="5071"/>
      <c r="N195" s="5071"/>
      <c r="O195" s="5071"/>
      <c r="P195" s="5063"/>
      <c r="Q195" s="5063"/>
      <c r="R195" s="5074"/>
      <c r="S195" s="3516"/>
      <c r="T195" s="523"/>
      <c r="U195" s="523"/>
      <c r="V195" s="2681"/>
      <c r="W195" s="2630"/>
      <c r="X195" s="3544"/>
      <c r="Y195" s="2645"/>
      <c r="Z195" s="2645"/>
      <c r="AA195" s="2645"/>
      <c r="AB195" s="2646"/>
      <c r="AC195" s="532"/>
      <c r="AD195" s="533"/>
      <c r="AE195" s="533"/>
      <c r="AF195" s="5051"/>
      <c r="AG195" s="522"/>
    </row>
    <row r="196" spans="1:33" ht="30" customHeight="1">
      <c r="A196" s="4360"/>
      <c r="B196" s="5056"/>
      <c r="C196" s="5058"/>
      <c r="D196" s="5063"/>
      <c r="E196" s="5063"/>
      <c r="F196" s="5063"/>
      <c r="G196" s="5063"/>
      <c r="H196" s="5063"/>
      <c r="I196" s="5063"/>
      <c r="J196" s="5063"/>
      <c r="K196" s="5063"/>
      <c r="L196" s="5063"/>
      <c r="M196" s="5071"/>
      <c r="N196" s="5071"/>
      <c r="O196" s="5071"/>
      <c r="P196" s="5063"/>
      <c r="Q196" s="5063"/>
      <c r="R196" s="5074"/>
      <c r="S196" s="3522"/>
      <c r="T196" s="529"/>
      <c r="U196" s="529"/>
      <c r="V196" s="2681"/>
      <c r="W196" s="2630"/>
      <c r="X196" s="3544"/>
      <c r="Y196" s="2645"/>
      <c r="Z196" s="2645"/>
      <c r="AA196" s="2645"/>
      <c r="AB196" s="2646"/>
      <c r="AC196" s="532"/>
      <c r="AD196" s="533"/>
      <c r="AE196" s="533"/>
      <c r="AF196" s="5051"/>
      <c r="AG196" s="522"/>
    </row>
    <row r="197" spans="1:33" ht="30" customHeight="1">
      <c r="A197" s="4360"/>
      <c r="B197" s="5056"/>
      <c r="C197" s="5060"/>
      <c r="D197" s="5065"/>
      <c r="E197" s="5065"/>
      <c r="F197" s="5065"/>
      <c r="G197" s="5065"/>
      <c r="H197" s="5065"/>
      <c r="I197" s="5065"/>
      <c r="J197" s="5065"/>
      <c r="K197" s="5065"/>
      <c r="L197" s="5065"/>
      <c r="M197" s="5072"/>
      <c r="N197" s="5072"/>
      <c r="O197" s="5072"/>
      <c r="P197" s="5065"/>
      <c r="Q197" s="5065"/>
      <c r="R197" s="5075"/>
      <c r="S197" s="3569"/>
      <c r="T197" s="3570"/>
      <c r="U197" s="3570"/>
      <c r="V197" s="2686"/>
      <c r="W197" s="1781"/>
      <c r="X197" s="3571"/>
      <c r="Y197" s="2667"/>
      <c r="Z197" s="2667"/>
      <c r="AA197" s="2667"/>
      <c r="AB197" s="2668"/>
      <c r="AC197" s="1782"/>
      <c r="AD197" s="3572"/>
      <c r="AE197" s="3572"/>
      <c r="AF197" s="5085"/>
      <c r="AG197" s="522"/>
    </row>
    <row r="198" spans="1:33" ht="33" customHeight="1">
      <c r="A198" s="4360"/>
      <c r="B198" s="5056"/>
      <c r="C198" s="5061" t="s">
        <v>235</v>
      </c>
      <c r="D198" s="5062" t="s">
        <v>236</v>
      </c>
      <c r="E198" s="5062" t="s">
        <v>237</v>
      </c>
      <c r="F198" s="5062" t="s">
        <v>326</v>
      </c>
      <c r="G198" s="5069" t="s">
        <v>239</v>
      </c>
      <c r="H198" s="5062" t="s">
        <v>240</v>
      </c>
      <c r="I198" s="5062" t="s">
        <v>257</v>
      </c>
      <c r="J198" s="5062" t="s">
        <v>5182</v>
      </c>
      <c r="K198" s="5062" t="s">
        <v>338</v>
      </c>
      <c r="L198" s="5062" t="s">
        <v>1120</v>
      </c>
      <c r="M198" s="5092">
        <v>0</v>
      </c>
      <c r="N198" s="5092">
        <v>1</v>
      </c>
      <c r="O198" s="5092">
        <v>1</v>
      </c>
      <c r="P198" s="5062" t="s">
        <v>5226</v>
      </c>
      <c r="Q198" s="5062" t="s">
        <v>5018</v>
      </c>
      <c r="R198" s="5078" t="s">
        <v>5096</v>
      </c>
      <c r="S198" s="3525"/>
      <c r="T198" s="2018"/>
      <c r="U198" s="2018"/>
      <c r="V198" s="3530"/>
      <c r="W198" s="2633"/>
      <c r="X198" s="3547"/>
      <c r="Y198" s="2651"/>
      <c r="Z198" s="2651"/>
      <c r="AA198" s="2651"/>
      <c r="AB198" s="2652"/>
      <c r="AC198" s="1967"/>
      <c r="AD198" s="2027"/>
      <c r="AE198" s="2027"/>
      <c r="AF198" s="5086"/>
      <c r="AG198" s="522"/>
    </row>
    <row r="199" spans="1:33" ht="33" customHeight="1">
      <c r="A199" s="4360"/>
      <c r="B199" s="5056"/>
      <c r="C199" s="5058"/>
      <c r="D199" s="5063"/>
      <c r="E199" s="5063"/>
      <c r="F199" s="5063"/>
      <c r="G199" s="5063"/>
      <c r="H199" s="5063"/>
      <c r="I199" s="5063"/>
      <c r="J199" s="5063"/>
      <c r="K199" s="5063"/>
      <c r="L199" s="5063"/>
      <c r="M199" s="5071"/>
      <c r="N199" s="5071"/>
      <c r="O199" s="5071"/>
      <c r="P199" s="5063"/>
      <c r="Q199" s="5063"/>
      <c r="R199" s="5074"/>
      <c r="S199" s="3516"/>
      <c r="T199" s="523"/>
      <c r="U199" s="523"/>
      <c r="V199" s="2681"/>
      <c r="W199" s="2630"/>
      <c r="X199" s="3544"/>
      <c r="Y199" s="2645"/>
      <c r="Z199" s="2645"/>
      <c r="AA199" s="2645"/>
      <c r="AB199" s="2646"/>
      <c r="AC199" s="532"/>
      <c r="AD199" s="532"/>
      <c r="AE199" s="526"/>
      <c r="AF199" s="5051"/>
      <c r="AG199" s="522"/>
    </row>
    <row r="200" spans="1:33" ht="33" customHeight="1">
      <c r="A200" s="4360"/>
      <c r="B200" s="5056"/>
      <c r="C200" s="5058"/>
      <c r="D200" s="5063"/>
      <c r="E200" s="5063"/>
      <c r="F200" s="5063"/>
      <c r="G200" s="5063"/>
      <c r="H200" s="5063"/>
      <c r="I200" s="5063"/>
      <c r="J200" s="5063"/>
      <c r="K200" s="5063"/>
      <c r="L200" s="5063"/>
      <c r="M200" s="5071"/>
      <c r="N200" s="5071"/>
      <c r="O200" s="5071"/>
      <c r="P200" s="5063"/>
      <c r="Q200" s="5063"/>
      <c r="R200" s="5074"/>
      <c r="S200" s="3516"/>
      <c r="T200" s="523"/>
      <c r="U200" s="523"/>
      <c r="V200" s="2681"/>
      <c r="W200" s="2630"/>
      <c r="X200" s="3544"/>
      <c r="Y200" s="2645"/>
      <c r="Z200" s="2645"/>
      <c r="AA200" s="2645"/>
      <c r="AB200" s="2646"/>
      <c r="AC200" s="532"/>
      <c r="AD200" s="532"/>
      <c r="AE200" s="533"/>
      <c r="AF200" s="5051"/>
      <c r="AG200" s="522"/>
    </row>
    <row r="201" spans="1:33" ht="33" customHeight="1">
      <c r="A201" s="4360"/>
      <c r="B201" s="5056"/>
      <c r="C201" s="5058"/>
      <c r="D201" s="5063"/>
      <c r="E201" s="5063"/>
      <c r="F201" s="5063"/>
      <c r="G201" s="5063"/>
      <c r="H201" s="5063"/>
      <c r="I201" s="5063"/>
      <c r="J201" s="5063"/>
      <c r="K201" s="5063"/>
      <c r="L201" s="5063"/>
      <c r="M201" s="5071"/>
      <c r="N201" s="5071"/>
      <c r="O201" s="5071"/>
      <c r="P201" s="5063"/>
      <c r="Q201" s="5063"/>
      <c r="R201" s="5074"/>
      <c r="S201" s="3516"/>
      <c r="T201" s="523"/>
      <c r="U201" s="523"/>
      <c r="V201" s="2681"/>
      <c r="W201" s="2630"/>
      <c r="X201" s="3544"/>
      <c r="Y201" s="2645"/>
      <c r="Z201" s="2645"/>
      <c r="AA201" s="2645"/>
      <c r="AB201" s="2646"/>
      <c r="AC201" s="532"/>
      <c r="AD201" s="532"/>
      <c r="AE201" s="533"/>
      <c r="AF201" s="5051"/>
      <c r="AG201" s="522"/>
    </row>
    <row r="202" spans="1:33" ht="33" customHeight="1">
      <c r="A202" s="4360"/>
      <c r="B202" s="5056"/>
      <c r="C202" s="5058"/>
      <c r="D202" s="5063"/>
      <c r="E202" s="5063"/>
      <c r="F202" s="5063"/>
      <c r="G202" s="5063"/>
      <c r="H202" s="5063"/>
      <c r="I202" s="5063"/>
      <c r="J202" s="5063"/>
      <c r="K202" s="5063"/>
      <c r="L202" s="5063"/>
      <c r="M202" s="5071"/>
      <c r="N202" s="5071"/>
      <c r="O202" s="5071"/>
      <c r="P202" s="5063"/>
      <c r="Q202" s="5063"/>
      <c r="R202" s="5074"/>
      <c r="S202" s="3523"/>
      <c r="T202" s="530"/>
      <c r="U202" s="530"/>
      <c r="V202" s="2682"/>
      <c r="W202" s="2631"/>
      <c r="X202" s="3548"/>
      <c r="Y202" s="2647"/>
      <c r="Z202" s="2647"/>
      <c r="AA202" s="2647"/>
      <c r="AB202" s="3557"/>
      <c r="AC202" s="575"/>
      <c r="AD202" s="575"/>
      <c r="AE202" s="321"/>
      <c r="AF202" s="5051"/>
      <c r="AG202" s="522"/>
    </row>
    <row r="203" spans="1:33" ht="30.75" customHeight="1">
      <c r="A203" s="4360"/>
      <c r="B203" s="5056"/>
      <c r="C203" s="5059" t="s">
        <v>235</v>
      </c>
      <c r="D203" s="5064" t="s">
        <v>236</v>
      </c>
      <c r="E203" s="5064" t="s">
        <v>237</v>
      </c>
      <c r="F203" s="5064" t="s">
        <v>326</v>
      </c>
      <c r="G203" s="5076" t="s">
        <v>239</v>
      </c>
      <c r="H203" s="5064" t="s">
        <v>293</v>
      </c>
      <c r="I203" s="5064" t="s">
        <v>257</v>
      </c>
      <c r="J203" s="5064" t="s">
        <v>5183</v>
      </c>
      <c r="K203" s="5064" t="s">
        <v>707</v>
      </c>
      <c r="L203" s="5064" t="s">
        <v>5128</v>
      </c>
      <c r="M203" s="5079">
        <v>0</v>
      </c>
      <c r="N203" s="5079">
        <v>1</v>
      </c>
      <c r="O203" s="5079">
        <v>1</v>
      </c>
      <c r="P203" s="5064" t="s">
        <v>4845</v>
      </c>
      <c r="Q203" s="5064" t="s">
        <v>4252</v>
      </c>
      <c r="R203" s="5073" t="s">
        <v>5096</v>
      </c>
      <c r="S203" s="3573"/>
      <c r="T203" s="3574"/>
      <c r="U203" s="3574"/>
      <c r="V203" s="3575"/>
      <c r="W203" s="3576"/>
      <c r="X203" s="3577"/>
      <c r="Y203" s="3578"/>
      <c r="Z203" s="3578"/>
      <c r="AA203" s="3578"/>
      <c r="AB203" s="3579"/>
      <c r="AC203" s="3580"/>
      <c r="AD203" s="3582"/>
      <c r="AE203" s="3582"/>
      <c r="AF203" s="5084"/>
      <c r="AG203" s="522"/>
    </row>
    <row r="204" spans="1:33" ht="30.75" customHeight="1">
      <c r="A204" s="4360"/>
      <c r="B204" s="5056"/>
      <c r="C204" s="5058"/>
      <c r="D204" s="5063"/>
      <c r="E204" s="5063"/>
      <c r="F204" s="5063"/>
      <c r="G204" s="5063"/>
      <c r="H204" s="5063"/>
      <c r="I204" s="5063"/>
      <c r="J204" s="5063"/>
      <c r="K204" s="5063"/>
      <c r="L204" s="5063"/>
      <c r="M204" s="5071"/>
      <c r="N204" s="5071"/>
      <c r="O204" s="5071"/>
      <c r="P204" s="5063"/>
      <c r="Q204" s="5063"/>
      <c r="R204" s="5074"/>
      <c r="S204" s="3516"/>
      <c r="T204" s="523"/>
      <c r="U204" s="523"/>
      <c r="V204" s="2681"/>
      <c r="W204" s="2630"/>
      <c r="X204" s="3544"/>
      <c r="Y204" s="2645"/>
      <c r="Z204" s="2645"/>
      <c r="AA204" s="2645"/>
      <c r="AB204" s="2646"/>
      <c r="AC204" s="532"/>
      <c r="AD204" s="533"/>
      <c r="AE204" s="533"/>
      <c r="AF204" s="5051"/>
      <c r="AG204" s="522"/>
    </row>
    <row r="205" spans="1:33" ht="30.75" customHeight="1">
      <c r="A205" s="4360"/>
      <c r="B205" s="5056"/>
      <c r="C205" s="5058"/>
      <c r="D205" s="5063"/>
      <c r="E205" s="5063"/>
      <c r="F205" s="5063"/>
      <c r="G205" s="5063"/>
      <c r="H205" s="5063"/>
      <c r="I205" s="5063"/>
      <c r="J205" s="5063"/>
      <c r="K205" s="5063"/>
      <c r="L205" s="5063"/>
      <c r="M205" s="5071"/>
      <c r="N205" s="5071"/>
      <c r="O205" s="5071"/>
      <c r="P205" s="5063"/>
      <c r="Q205" s="5063"/>
      <c r="R205" s="5074"/>
      <c r="S205" s="3516"/>
      <c r="T205" s="523"/>
      <c r="U205" s="523"/>
      <c r="V205" s="2681"/>
      <c r="W205" s="2630"/>
      <c r="X205" s="3544"/>
      <c r="Y205" s="2645"/>
      <c r="Z205" s="2645"/>
      <c r="AA205" s="2645"/>
      <c r="AB205" s="2646"/>
      <c r="AC205" s="532"/>
      <c r="AD205" s="533"/>
      <c r="AE205" s="533"/>
      <c r="AF205" s="5051"/>
      <c r="AG205" s="522"/>
    </row>
    <row r="206" spans="1:33" ht="30.75" customHeight="1">
      <c r="A206" s="4360"/>
      <c r="B206" s="5056"/>
      <c r="C206" s="5058"/>
      <c r="D206" s="5063"/>
      <c r="E206" s="5063"/>
      <c r="F206" s="5063"/>
      <c r="G206" s="5063"/>
      <c r="H206" s="5063"/>
      <c r="I206" s="5063"/>
      <c r="J206" s="5063"/>
      <c r="K206" s="5063"/>
      <c r="L206" s="5063"/>
      <c r="M206" s="5071"/>
      <c r="N206" s="5071"/>
      <c r="O206" s="5071"/>
      <c r="P206" s="5063"/>
      <c r="Q206" s="5063"/>
      <c r="R206" s="5074"/>
      <c r="S206" s="3516"/>
      <c r="T206" s="523"/>
      <c r="U206" s="523"/>
      <c r="V206" s="2681"/>
      <c r="W206" s="2630"/>
      <c r="X206" s="3544"/>
      <c r="Y206" s="2645"/>
      <c r="Z206" s="2645"/>
      <c r="AA206" s="2645"/>
      <c r="AB206" s="2646"/>
      <c r="AC206" s="532"/>
      <c r="AD206" s="533"/>
      <c r="AE206" s="533"/>
      <c r="AF206" s="5051"/>
      <c r="AG206" s="522"/>
    </row>
    <row r="207" spans="1:33" ht="30.75" customHeight="1" thickBot="1">
      <c r="A207" s="4360"/>
      <c r="B207" s="5056"/>
      <c r="C207" s="5066"/>
      <c r="D207" s="5067"/>
      <c r="E207" s="5067"/>
      <c r="F207" s="5067"/>
      <c r="G207" s="5067"/>
      <c r="H207" s="5067"/>
      <c r="I207" s="5067"/>
      <c r="J207" s="5067"/>
      <c r="K207" s="5067"/>
      <c r="L207" s="5067"/>
      <c r="M207" s="5081"/>
      <c r="N207" s="5081"/>
      <c r="O207" s="5081"/>
      <c r="P207" s="5067"/>
      <c r="Q207" s="5067"/>
      <c r="R207" s="5083"/>
      <c r="S207" s="3517"/>
      <c r="T207" s="524"/>
      <c r="U207" s="524"/>
      <c r="V207" s="3532"/>
      <c r="W207" s="2642"/>
      <c r="X207" s="3546"/>
      <c r="Y207" s="2659"/>
      <c r="Z207" s="2659"/>
      <c r="AA207" s="2659"/>
      <c r="AB207" s="2660"/>
      <c r="AC207" s="578"/>
      <c r="AD207" s="341"/>
      <c r="AE207" s="341"/>
      <c r="AF207" s="5087"/>
      <c r="AG207" s="522"/>
    </row>
    <row r="208" spans="1:33" ht="22.5" customHeight="1" thickBot="1">
      <c r="A208" s="4360"/>
      <c r="B208" s="4775"/>
      <c r="C208" s="5080"/>
      <c r="D208" s="4567"/>
      <c r="E208" s="4567"/>
      <c r="F208" s="4567"/>
      <c r="G208" s="4567"/>
      <c r="H208" s="4567"/>
      <c r="I208" s="4567"/>
      <c r="J208" s="4567"/>
      <c r="K208" s="4567"/>
      <c r="L208" s="4567"/>
      <c r="M208" s="4567"/>
      <c r="N208" s="4567"/>
      <c r="O208" s="4567"/>
      <c r="P208" s="4567"/>
      <c r="Q208" s="4567"/>
      <c r="R208" s="5099"/>
      <c r="S208" s="5100" t="s">
        <v>1121</v>
      </c>
      <c r="T208" s="4538"/>
      <c r="U208" s="4538"/>
      <c r="V208" s="4538"/>
      <c r="W208" s="4538"/>
      <c r="X208" s="4538"/>
      <c r="Y208" s="4538"/>
      <c r="Z208" s="4538"/>
      <c r="AA208" s="3626" t="s">
        <v>340</v>
      </c>
      <c r="AB208" s="3625">
        <f>SUM(AB161:AB207)</f>
        <v>133197.33280000003</v>
      </c>
      <c r="AC208" s="5101"/>
      <c r="AD208" s="4540"/>
      <c r="AE208" s="4540"/>
      <c r="AF208" s="4541"/>
      <c r="AG208" s="544"/>
    </row>
    <row r="209" spans="1:33" ht="36" customHeight="1">
      <c r="A209" s="4360"/>
      <c r="B209" s="5055" t="s">
        <v>1122</v>
      </c>
      <c r="C209" s="5057" t="s">
        <v>235</v>
      </c>
      <c r="D209" s="5068" t="s">
        <v>236</v>
      </c>
      <c r="E209" s="5068" t="s">
        <v>237</v>
      </c>
      <c r="F209" s="5068" t="s">
        <v>370</v>
      </c>
      <c r="G209" s="5098" t="s">
        <v>239</v>
      </c>
      <c r="H209" s="5068" t="s">
        <v>240</v>
      </c>
      <c r="I209" s="5068" t="s">
        <v>257</v>
      </c>
      <c r="J209" s="5068" t="s">
        <v>5184</v>
      </c>
      <c r="K209" s="5068" t="s">
        <v>5142</v>
      </c>
      <c r="L209" s="5068" t="s">
        <v>5129</v>
      </c>
      <c r="M209" s="5089">
        <v>1</v>
      </c>
      <c r="N209" s="5089">
        <v>0</v>
      </c>
      <c r="O209" s="5089">
        <v>0</v>
      </c>
      <c r="P209" s="5068" t="s">
        <v>5227</v>
      </c>
      <c r="Q209" s="5068" t="s">
        <v>5248</v>
      </c>
      <c r="R209" s="5090" t="s">
        <v>5097</v>
      </c>
      <c r="S209" s="3513"/>
      <c r="T209" s="525"/>
      <c r="U209" s="525"/>
      <c r="V209" s="3533"/>
      <c r="W209" s="2629"/>
      <c r="X209" s="577"/>
      <c r="Y209" s="2643"/>
      <c r="Z209" s="2643"/>
      <c r="AA209" s="2643"/>
      <c r="AB209" s="2644"/>
      <c r="AC209" s="577"/>
      <c r="AD209" s="320"/>
      <c r="AE209" s="320"/>
      <c r="AF209" s="5102"/>
      <c r="AG209" s="522"/>
    </row>
    <row r="210" spans="1:33" ht="36" customHeight="1">
      <c r="A210" s="4360"/>
      <c r="B210" s="5056"/>
      <c r="C210" s="5058"/>
      <c r="D210" s="5063"/>
      <c r="E210" s="5063"/>
      <c r="F210" s="5063"/>
      <c r="G210" s="5063"/>
      <c r="H210" s="5063"/>
      <c r="I210" s="5063"/>
      <c r="J210" s="5063"/>
      <c r="K210" s="5063"/>
      <c r="L210" s="5063"/>
      <c r="M210" s="5071"/>
      <c r="N210" s="5071"/>
      <c r="O210" s="5071"/>
      <c r="P210" s="5063"/>
      <c r="Q210" s="5063"/>
      <c r="R210" s="5074"/>
      <c r="S210" s="3516"/>
      <c r="T210" s="523"/>
      <c r="U210" s="523"/>
      <c r="V210" s="2681"/>
      <c r="W210" s="2630"/>
      <c r="X210" s="532"/>
      <c r="Y210" s="2645"/>
      <c r="Z210" s="2645"/>
      <c r="AA210" s="2645"/>
      <c r="AB210" s="2646"/>
      <c r="AC210" s="532"/>
      <c r="AD210" s="533"/>
      <c r="AE210" s="533"/>
      <c r="AF210" s="5051"/>
      <c r="AG210" s="522"/>
    </row>
    <row r="211" spans="1:33" ht="36" customHeight="1">
      <c r="A211" s="4360"/>
      <c r="B211" s="5056"/>
      <c r="C211" s="5058"/>
      <c r="D211" s="5063"/>
      <c r="E211" s="5063"/>
      <c r="F211" s="5063"/>
      <c r="G211" s="5063"/>
      <c r="H211" s="5063"/>
      <c r="I211" s="5063"/>
      <c r="J211" s="5063"/>
      <c r="K211" s="5063"/>
      <c r="L211" s="5063"/>
      <c r="M211" s="5071"/>
      <c r="N211" s="5071"/>
      <c r="O211" s="5071"/>
      <c r="P211" s="5063"/>
      <c r="Q211" s="5063"/>
      <c r="R211" s="5074"/>
      <c r="S211" s="3516"/>
      <c r="T211" s="523"/>
      <c r="U211" s="523"/>
      <c r="V211" s="2681"/>
      <c r="W211" s="2630"/>
      <c r="X211" s="532"/>
      <c r="Y211" s="2645"/>
      <c r="Z211" s="2645"/>
      <c r="AA211" s="2645"/>
      <c r="AB211" s="2646"/>
      <c r="AC211" s="532"/>
      <c r="AD211" s="533"/>
      <c r="AE211" s="533"/>
      <c r="AF211" s="5051"/>
      <c r="AG211" s="522"/>
    </row>
    <row r="212" spans="1:33" ht="36" customHeight="1">
      <c r="A212" s="4360"/>
      <c r="B212" s="5056"/>
      <c r="C212" s="5058"/>
      <c r="D212" s="5063"/>
      <c r="E212" s="5063"/>
      <c r="F212" s="5063"/>
      <c r="G212" s="5063"/>
      <c r="H212" s="5063"/>
      <c r="I212" s="5063"/>
      <c r="J212" s="5063"/>
      <c r="K212" s="5063"/>
      <c r="L212" s="5063"/>
      <c r="M212" s="5071"/>
      <c r="N212" s="5071"/>
      <c r="O212" s="5071"/>
      <c r="P212" s="5063"/>
      <c r="Q212" s="5063"/>
      <c r="R212" s="5074"/>
      <c r="S212" s="3516"/>
      <c r="T212" s="529"/>
      <c r="U212" s="523"/>
      <c r="V212" s="3531"/>
      <c r="W212" s="2630"/>
      <c r="X212" s="532"/>
      <c r="Y212" s="2645"/>
      <c r="Z212" s="2645"/>
      <c r="AA212" s="2645"/>
      <c r="AB212" s="2646"/>
      <c r="AC212" s="532"/>
      <c r="AD212" s="533"/>
      <c r="AE212" s="533"/>
      <c r="AF212" s="5051"/>
      <c r="AG212" s="522"/>
    </row>
    <row r="213" spans="1:33" ht="36" customHeight="1">
      <c r="A213" s="4360"/>
      <c r="B213" s="5056"/>
      <c r="C213" s="5058"/>
      <c r="D213" s="5063"/>
      <c r="E213" s="5063"/>
      <c r="F213" s="5063"/>
      <c r="G213" s="5063"/>
      <c r="H213" s="5063"/>
      <c r="I213" s="5063"/>
      <c r="J213" s="5063"/>
      <c r="K213" s="5063"/>
      <c r="L213" s="5063"/>
      <c r="M213" s="5071"/>
      <c r="N213" s="5071"/>
      <c r="O213" s="5071"/>
      <c r="P213" s="5063"/>
      <c r="Q213" s="5063"/>
      <c r="R213" s="5074"/>
      <c r="S213" s="3523"/>
      <c r="T213" s="530"/>
      <c r="U213" s="530"/>
      <c r="V213" s="2682"/>
      <c r="W213" s="2631"/>
      <c r="X213" s="575"/>
      <c r="Y213" s="2647"/>
      <c r="Z213" s="2647"/>
      <c r="AA213" s="2647"/>
      <c r="AB213" s="3557"/>
      <c r="AC213" s="575"/>
      <c r="AD213" s="321"/>
      <c r="AE213" s="321"/>
      <c r="AF213" s="5051"/>
      <c r="AG213" s="522"/>
    </row>
    <row r="214" spans="1:33" ht="33.950000000000003" customHeight="1">
      <c r="A214" s="4360"/>
      <c r="B214" s="5056"/>
      <c r="C214" s="5059" t="s">
        <v>235</v>
      </c>
      <c r="D214" s="5064" t="s">
        <v>236</v>
      </c>
      <c r="E214" s="5064" t="s">
        <v>237</v>
      </c>
      <c r="F214" s="5064" t="s">
        <v>370</v>
      </c>
      <c r="G214" s="5076" t="s">
        <v>239</v>
      </c>
      <c r="H214" s="5064" t="s">
        <v>240</v>
      </c>
      <c r="I214" s="5064" t="s">
        <v>257</v>
      </c>
      <c r="J214" s="5064" t="s">
        <v>5185</v>
      </c>
      <c r="K214" s="5064" t="s">
        <v>1123</v>
      </c>
      <c r="L214" s="5064" t="s">
        <v>5130</v>
      </c>
      <c r="M214" s="5070">
        <v>1</v>
      </c>
      <c r="N214" s="5070">
        <v>0</v>
      </c>
      <c r="O214" s="5070">
        <v>0</v>
      </c>
      <c r="P214" s="5064" t="s">
        <v>5228</v>
      </c>
      <c r="Q214" s="5064" t="s">
        <v>5247</v>
      </c>
      <c r="R214" s="5073" t="s">
        <v>5097</v>
      </c>
      <c r="S214" s="3620" t="s">
        <v>39</v>
      </c>
      <c r="T214" s="3574">
        <v>530704</v>
      </c>
      <c r="U214" s="3621"/>
      <c r="V214" s="3575" t="s">
        <v>19</v>
      </c>
      <c r="W214" s="3576"/>
      <c r="X214" s="3580"/>
      <c r="Y214" s="3578"/>
      <c r="Z214" s="3578"/>
      <c r="AA214" s="3578"/>
      <c r="AB214" s="3579">
        <f>SUM($AA$215:$AA$215)</f>
        <v>10640.000000000002</v>
      </c>
      <c r="AC214" s="3580"/>
      <c r="AD214" s="3581"/>
      <c r="AE214" s="3581"/>
      <c r="AF214" s="5084"/>
      <c r="AG214" s="522"/>
    </row>
    <row r="215" spans="1:33" ht="33.950000000000003" customHeight="1">
      <c r="A215" s="4360"/>
      <c r="B215" s="5056"/>
      <c r="C215" s="5058"/>
      <c r="D215" s="5063"/>
      <c r="E215" s="5063"/>
      <c r="F215" s="5063"/>
      <c r="G215" s="5063"/>
      <c r="H215" s="5063"/>
      <c r="I215" s="5063"/>
      <c r="J215" s="5063"/>
      <c r="K215" s="5063"/>
      <c r="L215" s="5063"/>
      <c r="M215" s="5071"/>
      <c r="N215" s="5071"/>
      <c r="O215" s="5071"/>
      <c r="P215" s="5063"/>
      <c r="Q215" s="5063"/>
      <c r="R215" s="5074"/>
      <c r="S215" s="3516"/>
      <c r="T215" s="523"/>
      <c r="U215" s="523">
        <v>871300011</v>
      </c>
      <c r="V215" s="3502" t="s">
        <v>1124</v>
      </c>
      <c r="W215" s="2630">
        <v>1</v>
      </c>
      <c r="X215" s="3544" t="s">
        <v>250</v>
      </c>
      <c r="Y215" s="2645">
        <v>9500</v>
      </c>
      <c r="Z215" s="2645">
        <f t="shared" ref="Z215" si="21">+W215*Y215</f>
        <v>9500</v>
      </c>
      <c r="AA215" s="2645">
        <f t="shared" ref="AA215" si="22">+Z215*1.12</f>
        <v>10640.000000000002</v>
      </c>
      <c r="AB215" s="2645"/>
      <c r="AC215" s="532"/>
      <c r="AD215" s="532" t="s">
        <v>251</v>
      </c>
      <c r="AE215" s="526" t="s">
        <v>251</v>
      </c>
      <c r="AF215" s="5051"/>
      <c r="AG215" s="522"/>
    </row>
    <row r="216" spans="1:33" ht="18" customHeight="1">
      <c r="A216" s="4360"/>
      <c r="B216" s="5056"/>
      <c r="C216" s="5058"/>
      <c r="D216" s="5063"/>
      <c r="E216" s="5063"/>
      <c r="F216" s="5063"/>
      <c r="G216" s="5063"/>
      <c r="H216" s="5063"/>
      <c r="I216" s="5063"/>
      <c r="J216" s="5063"/>
      <c r="K216" s="5063"/>
      <c r="L216" s="5063"/>
      <c r="M216" s="5071"/>
      <c r="N216" s="5071"/>
      <c r="O216" s="5071"/>
      <c r="P216" s="5063"/>
      <c r="Q216" s="5063"/>
      <c r="R216" s="5074"/>
      <c r="S216" s="3471" t="s">
        <v>17</v>
      </c>
      <c r="T216" s="529">
        <v>530702</v>
      </c>
      <c r="U216" s="523"/>
      <c r="V216" s="3503" t="s">
        <v>67</v>
      </c>
      <c r="W216" s="2630"/>
      <c r="X216" s="532"/>
      <c r="Y216" s="2645"/>
      <c r="Z216" s="2645"/>
      <c r="AA216" s="2645"/>
      <c r="AB216" s="2646">
        <f>SUM($AA$217:$AA$220)</f>
        <v>33640.320000000007</v>
      </c>
      <c r="AC216" s="532"/>
      <c r="AD216" s="532"/>
      <c r="AE216" s="533"/>
      <c r="AF216" s="5051"/>
      <c r="AG216" s="522"/>
    </row>
    <row r="217" spans="1:33" ht="33.950000000000003" customHeight="1">
      <c r="A217" s="4360"/>
      <c r="B217" s="5056"/>
      <c r="C217" s="5058"/>
      <c r="D217" s="5063"/>
      <c r="E217" s="5063"/>
      <c r="F217" s="5063"/>
      <c r="G217" s="5063"/>
      <c r="H217" s="5063"/>
      <c r="I217" s="5063"/>
      <c r="J217" s="5063"/>
      <c r="K217" s="5063"/>
      <c r="L217" s="5063"/>
      <c r="M217" s="5071"/>
      <c r="N217" s="5071"/>
      <c r="O217" s="5071"/>
      <c r="P217" s="5063"/>
      <c r="Q217" s="5063"/>
      <c r="R217" s="5074"/>
      <c r="S217" s="3516"/>
      <c r="T217" s="523"/>
      <c r="U217" s="523">
        <v>5129000116</v>
      </c>
      <c r="V217" s="2681" t="s">
        <v>1125</v>
      </c>
      <c r="W217" s="2630">
        <v>1</v>
      </c>
      <c r="X217" s="532" t="s">
        <v>269</v>
      </c>
      <c r="Y217" s="2645">
        <v>5838</v>
      </c>
      <c r="Z217" s="2645">
        <f t="shared" ref="Z217:Z220" si="23">+W217*Y217</f>
        <v>5838</v>
      </c>
      <c r="AA217" s="2645">
        <f t="shared" ref="AA217:AA220" si="24">+Z217*1.12</f>
        <v>6538.56</v>
      </c>
      <c r="AB217" s="2646"/>
      <c r="AC217" s="532"/>
      <c r="AD217" s="532" t="s">
        <v>251</v>
      </c>
      <c r="AE217" s="533"/>
      <c r="AF217" s="5051"/>
      <c r="AG217" s="522"/>
    </row>
    <row r="218" spans="1:33" ht="33.950000000000003" customHeight="1">
      <c r="A218" s="4360"/>
      <c r="B218" s="5056"/>
      <c r="C218" s="5058"/>
      <c r="D218" s="5063"/>
      <c r="E218" s="5063"/>
      <c r="F218" s="5063"/>
      <c r="G218" s="5063"/>
      <c r="H218" s="5063"/>
      <c r="I218" s="5063"/>
      <c r="J218" s="5063"/>
      <c r="K218" s="5063"/>
      <c r="L218" s="5063"/>
      <c r="M218" s="5071"/>
      <c r="N218" s="5071"/>
      <c r="O218" s="5071"/>
      <c r="P218" s="5063"/>
      <c r="Q218" s="5063"/>
      <c r="R218" s="5074"/>
      <c r="S218" s="3516"/>
      <c r="T218" s="523"/>
      <c r="U218" s="523">
        <v>5129000116</v>
      </c>
      <c r="V218" s="2681" t="s">
        <v>1126</v>
      </c>
      <c r="W218" s="2630">
        <v>1</v>
      </c>
      <c r="X218" s="532" t="s">
        <v>269</v>
      </c>
      <c r="Y218" s="2645">
        <v>6398</v>
      </c>
      <c r="Z218" s="2645">
        <f t="shared" si="23"/>
        <v>6398</v>
      </c>
      <c r="AA218" s="2645">
        <f t="shared" si="24"/>
        <v>7165.7600000000011</v>
      </c>
      <c r="AB218" s="2646"/>
      <c r="AC218" s="532"/>
      <c r="AD218" s="532" t="s">
        <v>251</v>
      </c>
      <c r="AE218" s="533"/>
      <c r="AF218" s="5051"/>
      <c r="AG218" s="522"/>
    </row>
    <row r="219" spans="1:33" ht="18" customHeight="1">
      <c r="A219" s="4360"/>
      <c r="B219" s="5056"/>
      <c r="C219" s="5058"/>
      <c r="D219" s="5063"/>
      <c r="E219" s="5063"/>
      <c r="F219" s="5063"/>
      <c r="G219" s="5063"/>
      <c r="H219" s="5063"/>
      <c r="I219" s="5063"/>
      <c r="J219" s="5063"/>
      <c r="K219" s="5063"/>
      <c r="L219" s="5063"/>
      <c r="M219" s="5071"/>
      <c r="N219" s="5071"/>
      <c r="O219" s="5071"/>
      <c r="P219" s="5063"/>
      <c r="Q219" s="5063"/>
      <c r="R219" s="5074"/>
      <c r="S219" s="3522"/>
      <c r="T219" s="529"/>
      <c r="U219" s="523">
        <v>5129000116</v>
      </c>
      <c r="V219" s="2681" t="s">
        <v>1127</v>
      </c>
      <c r="W219" s="2630">
        <v>1</v>
      </c>
      <c r="X219" s="532" t="s">
        <v>269</v>
      </c>
      <c r="Y219" s="2645">
        <v>5800</v>
      </c>
      <c r="Z219" s="2645">
        <f t="shared" si="23"/>
        <v>5800</v>
      </c>
      <c r="AA219" s="2645">
        <f t="shared" si="24"/>
        <v>6496.0000000000009</v>
      </c>
      <c r="AB219" s="2646"/>
      <c r="AC219" s="532"/>
      <c r="AD219" s="532" t="s">
        <v>251</v>
      </c>
      <c r="AE219" s="533"/>
      <c r="AF219" s="5051"/>
      <c r="AG219" s="522"/>
    </row>
    <row r="220" spans="1:33" ht="18" customHeight="1">
      <c r="A220" s="4360"/>
      <c r="B220" s="5056"/>
      <c r="C220" s="5060"/>
      <c r="D220" s="5065"/>
      <c r="E220" s="5065"/>
      <c r="F220" s="5065"/>
      <c r="G220" s="5065"/>
      <c r="H220" s="5065"/>
      <c r="I220" s="5065"/>
      <c r="J220" s="5065"/>
      <c r="K220" s="5065"/>
      <c r="L220" s="5065"/>
      <c r="M220" s="5072"/>
      <c r="N220" s="5072"/>
      <c r="O220" s="5072"/>
      <c r="P220" s="5065"/>
      <c r="Q220" s="5065"/>
      <c r="R220" s="5075"/>
      <c r="S220" s="3569"/>
      <c r="T220" s="3570"/>
      <c r="U220" s="3570">
        <v>5129000116</v>
      </c>
      <c r="V220" s="2686" t="s">
        <v>1128</v>
      </c>
      <c r="W220" s="1781">
        <v>1</v>
      </c>
      <c r="X220" s="1782" t="s">
        <v>269</v>
      </c>
      <c r="Y220" s="2667">
        <v>12000</v>
      </c>
      <c r="Z220" s="2667">
        <f t="shared" si="23"/>
        <v>12000</v>
      </c>
      <c r="AA220" s="2667">
        <f t="shared" si="24"/>
        <v>13440.000000000002</v>
      </c>
      <c r="AB220" s="2668"/>
      <c r="AC220" s="1782"/>
      <c r="AD220" s="1782" t="s">
        <v>251</v>
      </c>
      <c r="AE220" s="3572"/>
      <c r="AF220" s="5085"/>
      <c r="AG220" s="522"/>
    </row>
    <row r="221" spans="1:33" ht="29.25" customHeight="1">
      <c r="A221" s="4360"/>
      <c r="B221" s="5056"/>
      <c r="C221" s="5061" t="s">
        <v>235</v>
      </c>
      <c r="D221" s="5062" t="s">
        <v>236</v>
      </c>
      <c r="E221" s="5062" t="s">
        <v>237</v>
      </c>
      <c r="F221" s="5062" t="s">
        <v>370</v>
      </c>
      <c r="G221" s="5069" t="s">
        <v>239</v>
      </c>
      <c r="H221" s="5062" t="s">
        <v>240</v>
      </c>
      <c r="I221" s="5062" t="s">
        <v>257</v>
      </c>
      <c r="J221" s="5062" t="s">
        <v>5186</v>
      </c>
      <c r="K221" s="5062" t="s">
        <v>5143</v>
      </c>
      <c r="L221" s="5062" t="s">
        <v>5131</v>
      </c>
      <c r="M221" s="5077">
        <v>0</v>
      </c>
      <c r="N221" s="5077">
        <v>1</v>
      </c>
      <c r="O221" s="5077">
        <v>1</v>
      </c>
      <c r="P221" s="5062" t="s">
        <v>5229</v>
      </c>
      <c r="Q221" s="5062" t="s">
        <v>5246</v>
      </c>
      <c r="R221" s="5078" t="s">
        <v>5097</v>
      </c>
      <c r="S221" s="3525"/>
      <c r="T221" s="2018"/>
      <c r="U221" s="3622"/>
      <c r="V221" s="2685"/>
      <c r="W221" s="2633"/>
      <c r="X221" s="1967"/>
      <c r="Y221" s="3623"/>
      <c r="Z221" s="3623"/>
      <c r="AA221" s="3623"/>
      <c r="AB221" s="2652"/>
      <c r="AC221" s="1967"/>
      <c r="AD221" s="1971"/>
      <c r="AE221" s="1971"/>
      <c r="AF221" s="5086"/>
      <c r="AG221" s="522"/>
    </row>
    <row r="222" spans="1:33" ht="29.25" customHeight="1">
      <c r="A222" s="4360"/>
      <c r="B222" s="5056"/>
      <c r="C222" s="5058"/>
      <c r="D222" s="5063"/>
      <c r="E222" s="5063"/>
      <c r="F222" s="5063"/>
      <c r="G222" s="5063"/>
      <c r="H222" s="5063"/>
      <c r="I222" s="5063"/>
      <c r="J222" s="5063"/>
      <c r="K222" s="5063"/>
      <c r="L222" s="5063"/>
      <c r="M222" s="5071"/>
      <c r="N222" s="5071"/>
      <c r="O222" s="5071"/>
      <c r="P222" s="5063"/>
      <c r="Q222" s="5063"/>
      <c r="R222" s="5074"/>
      <c r="S222" s="3516"/>
      <c r="T222" s="523"/>
      <c r="U222" s="523"/>
      <c r="V222" s="2681"/>
      <c r="W222" s="2630"/>
      <c r="X222" s="532"/>
      <c r="Y222" s="3567"/>
      <c r="Z222" s="3567"/>
      <c r="AA222" s="3567"/>
      <c r="AB222" s="2646"/>
      <c r="AC222" s="532"/>
      <c r="AD222" s="533"/>
      <c r="AE222" s="533"/>
      <c r="AF222" s="5051"/>
      <c r="AG222" s="522"/>
    </row>
    <row r="223" spans="1:33" s="3356" customFormat="1" ht="29.25" customHeight="1">
      <c r="A223" s="4360"/>
      <c r="B223" s="5056"/>
      <c r="C223" s="5058"/>
      <c r="D223" s="5063"/>
      <c r="E223" s="5063"/>
      <c r="F223" s="5063"/>
      <c r="G223" s="5063"/>
      <c r="H223" s="5063"/>
      <c r="I223" s="5063"/>
      <c r="J223" s="5063"/>
      <c r="K223" s="5063"/>
      <c r="L223" s="5063"/>
      <c r="M223" s="5071"/>
      <c r="N223" s="5071"/>
      <c r="O223" s="5071"/>
      <c r="P223" s="5063"/>
      <c r="Q223" s="5063"/>
      <c r="R223" s="5074"/>
      <c r="S223" s="3516"/>
      <c r="T223" s="523"/>
      <c r="U223" s="523"/>
      <c r="V223" s="2681"/>
      <c r="W223" s="2630"/>
      <c r="X223" s="532"/>
      <c r="Y223" s="3567"/>
      <c r="Z223" s="3567"/>
      <c r="AA223" s="3567"/>
      <c r="AB223" s="2646"/>
      <c r="AC223" s="532"/>
      <c r="AD223" s="533"/>
      <c r="AE223" s="533"/>
      <c r="AF223" s="5051"/>
      <c r="AG223" s="522"/>
    </row>
    <row r="224" spans="1:33" ht="29.25" customHeight="1">
      <c r="A224" s="4360"/>
      <c r="B224" s="5056"/>
      <c r="C224" s="5058"/>
      <c r="D224" s="5063"/>
      <c r="E224" s="5063"/>
      <c r="F224" s="5063"/>
      <c r="G224" s="5063"/>
      <c r="H224" s="5063"/>
      <c r="I224" s="5063"/>
      <c r="J224" s="5063"/>
      <c r="K224" s="5063"/>
      <c r="L224" s="5063"/>
      <c r="M224" s="5071"/>
      <c r="N224" s="5071"/>
      <c r="O224" s="5071"/>
      <c r="P224" s="5063"/>
      <c r="Q224" s="5063"/>
      <c r="R224" s="5074"/>
      <c r="S224" s="3516"/>
      <c r="T224" s="523"/>
      <c r="U224" s="523"/>
      <c r="V224" s="2681"/>
      <c r="W224" s="2630"/>
      <c r="X224" s="532"/>
      <c r="Y224" s="2645"/>
      <c r="Z224" s="2645"/>
      <c r="AA224" s="2645"/>
      <c r="AB224" s="2646"/>
      <c r="AC224" s="532"/>
      <c r="AD224" s="533"/>
      <c r="AE224" s="533"/>
      <c r="AF224" s="5051"/>
      <c r="AG224" s="522"/>
    </row>
    <row r="225" spans="1:33" ht="29.25" customHeight="1">
      <c r="A225" s="4360"/>
      <c r="B225" s="5056"/>
      <c r="C225" s="5058"/>
      <c r="D225" s="5063"/>
      <c r="E225" s="5063"/>
      <c r="F225" s="5063"/>
      <c r="G225" s="5063"/>
      <c r="H225" s="5063"/>
      <c r="I225" s="5063"/>
      <c r="J225" s="5063"/>
      <c r="K225" s="5063"/>
      <c r="L225" s="5063"/>
      <c r="M225" s="5071"/>
      <c r="N225" s="5071"/>
      <c r="O225" s="5071"/>
      <c r="P225" s="5063"/>
      <c r="Q225" s="5063"/>
      <c r="R225" s="5074"/>
      <c r="S225" s="3523"/>
      <c r="T225" s="530"/>
      <c r="U225" s="530"/>
      <c r="V225" s="2682"/>
      <c r="W225" s="2631"/>
      <c r="X225" s="575"/>
      <c r="Y225" s="2647"/>
      <c r="Z225" s="2647"/>
      <c r="AA225" s="2647"/>
      <c r="AB225" s="3557"/>
      <c r="AC225" s="575"/>
      <c r="AD225" s="321"/>
      <c r="AE225" s="321"/>
      <c r="AF225" s="5051"/>
      <c r="AG225" s="522"/>
    </row>
    <row r="226" spans="1:33" ht="30" customHeight="1">
      <c r="A226" s="4360"/>
      <c r="B226" s="5056"/>
      <c r="C226" s="5059" t="s">
        <v>235</v>
      </c>
      <c r="D226" s="5064" t="s">
        <v>236</v>
      </c>
      <c r="E226" s="5064" t="s">
        <v>237</v>
      </c>
      <c r="F226" s="5064" t="s">
        <v>370</v>
      </c>
      <c r="G226" s="5076" t="s">
        <v>239</v>
      </c>
      <c r="H226" s="5064" t="s">
        <v>240</v>
      </c>
      <c r="I226" s="5064" t="s">
        <v>278</v>
      </c>
      <c r="J226" s="5064" t="s">
        <v>5187</v>
      </c>
      <c r="K226" s="5064" t="s">
        <v>5144</v>
      </c>
      <c r="L226" s="5064" t="s">
        <v>5132</v>
      </c>
      <c r="M226" s="5070">
        <v>1</v>
      </c>
      <c r="N226" s="5070">
        <v>1</v>
      </c>
      <c r="O226" s="5070">
        <v>1</v>
      </c>
      <c r="P226" s="5064" t="s">
        <v>5230</v>
      </c>
      <c r="Q226" s="5064" t="s">
        <v>5245</v>
      </c>
      <c r="R226" s="5073" t="s">
        <v>5097</v>
      </c>
      <c r="S226" s="3573"/>
      <c r="T226" s="3574"/>
      <c r="U226" s="3574"/>
      <c r="V226" s="3575"/>
      <c r="W226" s="3576"/>
      <c r="X226" s="3580"/>
      <c r="Y226" s="3578"/>
      <c r="Z226" s="3578"/>
      <c r="AA226" s="3578"/>
      <c r="AB226" s="3579"/>
      <c r="AC226" s="3580"/>
      <c r="AD226" s="3582"/>
      <c r="AE226" s="3582"/>
      <c r="AF226" s="5084"/>
      <c r="AG226" s="522"/>
    </row>
    <row r="227" spans="1:33" ht="30" customHeight="1">
      <c r="A227" s="4360"/>
      <c r="B227" s="5056"/>
      <c r="C227" s="5058"/>
      <c r="D227" s="5063"/>
      <c r="E227" s="5063"/>
      <c r="F227" s="5063"/>
      <c r="G227" s="5063"/>
      <c r="H227" s="5063"/>
      <c r="I227" s="5063"/>
      <c r="J227" s="5063"/>
      <c r="K227" s="5063"/>
      <c r="L227" s="5063"/>
      <c r="M227" s="5071"/>
      <c r="N227" s="5071"/>
      <c r="O227" s="5071"/>
      <c r="P227" s="5063"/>
      <c r="Q227" s="5063"/>
      <c r="R227" s="5074"/>
      <c r="S227" s="3516"/>
      <c r="T227" s="523"/>
      <c r="U227" s="523"/>
      <c r="V227" s="2681"/>
      <c r="W227" s="2630"/>
      <c r="X227" s="532"/>
      <c r="Y227" s="2645"/>
      <c r="Z227" s="2645"/>
      <c r="AA227" s="2645"/>
      <c r="AB227" s="2646"/>
      <c r="AC227" s="532"/>
      <c r="AD227" s="533"/>
      <c r="AE227" s="533"/>
      <c r="AF227" s="5051"/>
      <c r="AG227" s="522"/>
    </row>
    <row r="228" spans="1:33" ht="30" customHeight="1">
      <c r="A228" s="4360"/>
      <c r="B228" s="5056"/>
      <c r="C228" s="5058"/>
      <c r="D228" s="5063"/>
      <c r="E228" s="5063"/>
      <c r="F228" s="5063"/>
      <c r="G228" s="5063"/>
      <c r="H228" s="5063"/>
      <c r="I228" s="5063"/>
      <c r="J228" s="5063"/>
      <c r="K228" s="5063"/>
      <c r="L228" s="5063"/>
      <c r="M228" s="5071"/>
      <c r="N228" s="5071"/>
      <c r="O228" s="5071"/>
      <c r="P228" s="5063"/>
      <c r="Q228" s="5063"/>
      <c r="R228" s="5074"/>
      <c r="S228" s="3516"/>
      <c r="T228" s="523"/>
      <c r="U228" s="523"/>
      <c r="V228" s="2681"/>
      <c r="W228" s="2630"/>
      <c r="X228" s="532"/>
      <c r="Y228" s="2645"/>
      <c r="Z228" s="2645"/>
      <c r="AA228" s="2645"/>
      <c r="AB228" s="2646"/>
      <c r="AC228" s="532"/>
      <c r="AD228" s="533"/>
      <c r="AE228" s="533"/>
      <c r="AF228" s="5051"/>
      <c r="AG228" s="522"/>
    </row>
    <row r="229" spans="1:33" ht="30" customHeight="1">
      <c r="A229" s="4360"/>
      <c r="B229" s="5056"/>
      <c r="C229" s="5058"/>
      <c r="D229" s="5063"/>
      <c r="E229" s="5063"/>
      <c r="F229" s="5063"/>
      <c r="G229" s="5063"/>
      <c r="H229" s="5063"/>
      <c r="I229" s="5063"/>
      <c r="J229" s="5063"/>
      <c r="K229" s="5063"/>
      <c r="L229" s="5063"/>
      <c r="M229" s="5071"/>
      <c r="N229" s="5071"/>
      <c r="O229" s="5071"/>
      <c r="P229" s="5063"/>
      <c r="Q229" s="5063"/>
      <c r="R229" s="5074"/>
      <c r="S229" s="3516"/>
      <c r="T229" s="523"/>
      <c r="U229" s="523"/>
      <c r="V229" s="2681"/>
      <c r="W229" s="2630"/>
      <c r="X229" s="532"/>
      <c r="Y229" s="2645"/>
      <c r="Z229" s="2645"/>
      <c r="AA229" s="2645"/>
      <c r="AB229" s="2646"/>
      <c r="AC229" s="532"/>
      <c r="AD229" s="533"/>
      <c r="AE229" s="533"/>
      <c r="AF229" s="5051"/>
      <c r="AG229" s="522"/>
    </row>
    <row r="230" spans="1:33" ht="30" customHeight="1">
      <c r="A230" s="4360"/>
      <c r="B230" s="5056"/>
      <c r="C230" s="5060"/>
      <c r="D230" s="5065"/>
      <c r="E230" s="5065"/>
      <c r="F230" s="5065"/>
      <c r="G230" s="5065"/>
      <c r="H230" s="5065"/>
      <c r="I230" s="5065"/>
      <c r="J230" s="5065"/>
      <c r="K230" s="5065"/>
      <c r="L230" s="5065"/>
      <c r="M230" s="5072"/>
      <c r="N230" s="5072"/>
      <c r="O230" s="5072"/>
      <c r="P230" s="5065"/>
      <c r="Q230" s="5065"/>
      <c r="R230" s="5075"/>
      <c r="S230" s="3569"/>
      <c r="T230" s="3570"/>
      <c r="U230" s="3570"/>
      <c r="V230" s="2686"/>
      <c r="W230" s="1781"/>
      <c r="X230" s="1782"/>
      <c r="Y230" s="2667"/>
      <c r="Z230" s="2667"/>
      <c r="AA230" s="2667"/>
      <c r="AB230" s="2668"/>
      <c r="AC230" s="1782"/>
      <c r="AD230" s="3572"/>
      <c r="AE230" s="3572"/>
      <c r="AF230" s="5085"/>
      <c r="AG230" s="522"/>
    </row>
    <row r="231" spans="1:33" ht="50.25" hidden="1" customHeight="1">
      <c r="A231" s="4360"/>
      <c r="B231" s="5056"/>
      <c r="C231" s="5061" t="s">
        <v>235</v>
      </c>
      <c r="D231" s="5062" t="s">
        <v>236</v>
      </c>
      <c r="E231" s="5062" t="s">
        <v>237</v>
      </c>
      <c r="F231" s="5062" t="s">
        <v>370</v>
      </c>
      <c r="G231" s="5069" t="s">
        <v>239</v>
      </c>
      <c r="H231" s="5062" t="s">
        <v>240</v>
      </c>
      <c r="I231" s="5062" t="s">
        <v>257</v>
      </c>
      <c r="J231" s="5062"/>
      <c r="K231" s="5062"/>
      <c r="L231" s="5062"/>
      <c r="M231" s="5077"/>
      <c r="N231" s="5077"/>
      <c r="O231" s="5077"/>
      <c r="P231" s="5062"/>
      <c r="Q231" s="5062"/>
      <c r="R231" s="5078"/>
      <c r="S231" s="3519"/>
      <c r="T231" s="2019"/>
      <c r="U231" s="2019"/>
      <c r="V231" s="3534"/>
      <c r="W231" s="3540"/>
      <c r="X231" s="2021"/>
      <c r="Y231" s="3551"/>
      <c r="Z231" s="3551"/>
      <c r="AA231" s="3551"/>
      <c r="AB231" s="3552"/>
      <c r="AC231" s="2021"/>
      <c r="AD231" s="2022"/>
      <c r="AE231" s="2022"/>
      <c r="AF231" s="5103"/>
      <c r="AG231" s="522"/>
    </row>
    <row r="232" spans="1:33" ht="50.25" hidden="1" customHeight="1">
      <c r="A232" s="4360"/>
      <c r="B232" s="5056"/>
      <c r="C232" s="5058"/>
      <c r="D232" s="5063"/>
      <c r="E232" s="5063"/>
      <c r="F232" s="5063"/>
      <c r="G232" s="5063"/>
      <c r="H232" s="5063"/>
      <c r="I232" s="5063"/>
      <c r="J232" s="5063"/>
      <c r="K232" s="5063"/>
      <c r="L232" s="5063"/>
      <c r="M232" s="5071"/>
      <c r="N232" s="5071"/>
      <c r="O232" s="5071"/>
      <c r="P232" s="5063"/>
      <c r="Q232" s="5063"/>
      <c r="R232" s="5074"/>
      <c r="S232" s="3520"/>
      <c r="T232" s="527"/>
      <c r="U232" s="527"/>
      <c r="V232" s="3535"/>
      <c r="W232" s="3541"/>
      <c r="X232" s="582"/>
      <c r="Y232" s="3553"/>
      <c r="Z232" s="3553">
        <f t="shared" ref="Z232:Z235" si="25">+W232*Y232</f>
        <v>0</v>
      </c>
      <c r="AA232" s="3553">
        <f t="shared" ref="AA232:AA235" si="26">+Z232*1.12</f>
        <v>0</v>
      </c>
      <c r="AB232" s="3554"/>
      <c r="AC232" s="582"/>
      <c r="AD232" s="528"/>
      <c r="AE232" s="528"/>
      <c r="AF232" s="4759"/>
      <c r="AG232" s="522"/>
    </row>
    <row r="233" spans="1:33" ht="50.25" hidden="1" customHeight="1">
      <c r="A233" s="4360"/>
      <c r="B233" s="5056"/>
      <c r="C233" s="5058"/>
      <c r="D233" s="5063"/>
      <c r="E233" s="5063"/>
      <c r="F233" s="5063"/>
      <c r="G233" s="5063"/>
      <c r="H233" s="5063"/>
      <c r="I233" s="5063"/>
      <c r="J233" s="5063"/>
      <c r="K233" s="5063"/>
      <c r="L233" s="5063"/>
      <c r="M233" s="5071"/>
      <c r="N233" s="5071"/>
      <c r="O233" s="5071"/>
      <c r="P233" s="5063"/>
      <c r="Q233" s="5063"/>
      <c r="R233" s="5074"/>
      <c r="S233" s="3520"/>
      <c r="T233" s="527"/>
      <c r="U233" s="527"/>
      <c r="V233" s="3535"/>
      <c r="W233" s="3541"/>
      <c r="X233" s="582"/>
      <c r="Y233" s="3553"/>
      <c r="Z233" s="3553">
        <f t="shared" si="25"/>
        <v>0</v>
      </c>
      <c r="AA233" s="3553">
        <f t="shared" si="26"/>
        <v>0</v>
      </c>
      <c r="AB233" s="3554"/>
      <c r="AC233" s="582"/>
      <c r="AD233" s="528"/>
      <c r="AE233" s="528"/>
      <c r="AF233" s="4759"/>
      <c r="AG233" s="522"/>
    </row>
    <row r="234" spans="1:33" ht="50.25" hidden="1" customHeight="1">
      <c r="A234" s="4360"/>
      <c r="B234" s="5056"/>
      <c r="C234" s="5058"/>
      <c r="D234" s="5063"/>
      <c r="E234" s="5063"/>
      <c r="F234" s="5063"/>
      <c r="G234" s="5063"/>
      <c r="H234" s="5063"/>
      <c r="I234" s="5063"/>
      <c r="J234" s="5063"/>
      <c r="K234" s="5063"/>
      <c r="L234" s="5063"/>
      <c r="M234" s="5071"/>
      <c r="N234" s="5071"/>
      <c r="O234" s="5071"/>
      <c r="P234" s="5063"/>
      <c r="Q234" s="5063"/>
      <c r="R234" s="5074"/>
      <c r="S234" s="3520"/>
      <c r="T234" s="527"/>
      <c r="U234" s="527"/>
      <c r="V234" s="3535"/>
      <c r="W234" s="3541"/>
      <c r="X234" s="582"/>
      <c r="Y234" s="3553"/>
      <c r="Z234" s="3553">
        <f t="shared" si="25"/>
        <v>0</v>
      </c>
      <c r="AA234" s="3553">
        <f t="shared" si="26"/>
        <v>0</v>
      </c>
      <c r="AB234" s="3554"/>
      <c r="AC234" s="582"/>
      <c r="AD234" s="528"/>
      <c r="AE234" s="528"/>
      <c r="AF234" s="4759"/>
      <c r="AG234" s="522"/>
    </row>
    <row r="235" spans="1:33" ht="50.25" hidden="1" customHeight="1">
      <c r="A235" s="4360"/>
      <c r="B235" s="5056"/>
      <c r="C235" s="5058"/>
      <c r="D235" s="5063"/>
      <c r="E235" s="5063"/>
      <c r="F235" s="5063"/>
      <c r="G235" s="5063"/>
      <c r="H235" s="5063"/>
      <c r="I235" s="5063"/>
      <c r="J235" s="5063"/>
      <c r="K235" s="5063"/>
      <c r="L235" s="5063"/>
      <c r="M235" s="5071"/>
      <c r="N235" s="5071"/>
      <c r="O235" s="5071"/>
      <c r="P235" s="5063"/>
      <c r="Q235" s="5063"/>
      <c r="R235" s="5074"/>
      <c r="S235" s="3521"/>
      <c r="T235" s="2023"/>
      <c r="U235" s="2023"/>
      <c r="V235" s="3536"/>
      <c r="W235" s="3542"/>
      <c r="X235" s="2024"/>
      <c r="Y235" s="3555"/>
      <c r="Z235" s="3555">
        <f t="shared" si="25"/>
        <v>0</v>
      </c>
      <c r="AA235" s="3555">
        <f t="shared" si="26"/>
        <v>0</v>
      </c>
      <c r="AB235" s="3556"/>
      <c r="AC235" s="2024"/>
      <c r="AD235" s="2025"/>
      <c r="AE235" s="2025"/>
      <c r="AF235" s="4759"/>
      <c r="AG235" s="522"/>
    </row>
    <row r="236" spans="1:33" ht="31.5" customHeight="1">
      <c r="A236" s="4360"/>
      <c r="B236" s="5056"/>
      <c r="C236" s="5059" t="s">
        <v>235</v>
      </c>
      <c r="D236" s="5064" t="s">
        <v>236</v>
      </c>
      <c r="E236" s="5064" t="s">
        <v>237</v>
      </c>
      <c r="F236" s="5064" t="s">
        <v>370</v>
      </c>
      <c r="G236" s="5076" t="s">
        <v>239</v>
      </c>
      <c r="H236" s="5064" t="s">
        <v>240</v>
      </c>
      <c r="I236" s="5064" t="s">
        <v>257</v>
      </c>
      <c r="J236" s="5064" t="s">
        <v>5188</v>
      </c>
      <c r="K236" s="5064" t="s">
        <v>5145</v>
      </c>
      <c r="L236" s="5064" t="s">
        <v>5133</v>
      </c>
      <c r="M236" s="5070">
        <v>0</v>
      </c>
      <c r="N236" s="5070">
        <v>1</v>
      </c>
      <c r="O236" s="5070">
        <v>1</v>
      </c>
      <c r="P236" s="5064" t="s">
        <v>5231</v>
      </c>
      <c r="Q236" s="5064" t="s">
        <v>5244</v>
      </c>
      <c r="R236" s="5073" t="s">
        <v>5097</v>
      </c>
      <c r="S236" s="3573"/>
      <c r="T236" s="3574"/>
      <c r="U236" s="3574"/>
      <c r="V236" s="3575"/>
      <c r="W236" s="3576"/>
      <c r="X236" s="3580"/>
      <c r="Y236" s="3578"/>
      <c r="Z236" s="3578"/>
      <c r="AA236" s="3578"/>
      <c r="AB236" s="3579"/>
      <c r="AC236" s="3580"/>
      <c r="AD236" s="3582"/>
      <c r="AE236" s="3582"/>
      <c r="AF236" s="5084"/>
      <c r="AG236" s="522"/>
    </row>
    <row r="237" spans="1:33" ht="31.5" customHeight="1">
      <c r="A237" s="4360"/>
      <c r="B237" s="5056"/>
      <c r="C237" s="5058"/>
      <c r="D237" s="5063"/>
      <c r="E237" s="5063"/>
      <c r="F237" s="5063"/>
      <c r="G237" s="5063"/>
      <c r="H237" s="5063"/>
      <c r="I237" s="5063"/>
      <c r="J237" s="5063"/>
      <c r="K237" s="5063"/>
      <c r="L237" s="5063"/>
      <c r="M237" s="5071"/>
      <c r="N237" s="5071"/>
      <c r="O237" s="5071"/>
      <c r="P237" s="5063"/>
      <c r="Q237" s="5063"/>
      <c r="R237" s="5074"/>
      <c r="S237" s="3516"/>
      <c r="T237" s="523"/>
      <c r="U237" s="523"/>
      <c r="V237" s="2681"/>
      <c r="W237" s="2630"/>
      <c r="X237" s="532"/>
      <c r="Y237" s="2645"/>
      <c r="Z237" s="2645"/>
      <c r="AA237" s="2645"/>
      <c r="AB237" s="2646"/>
      <c r="AC237" s="532"/>
      <c r="AD237" s="533"/>
      <c r="AE237" s="533"/>
      <c r="AF237" s="5051"/>
      <c r="AG237" s="522"/>
    </row>
    <row r="238" spans="1:33" ht="31.5" customHeight="1">
      <c r="A238" s="4360"/>
      <c r="B238" s="5056"/>
      <c r="C238" s="5058"/>
      <c r="D238" s="5063"/>
      <c r="E238" s="5063"/>
      <c r="F238" s="5063"/>
      <c r="G238" s="5063"/>
      <c r="H238" s="5063"/>
      <c r="I238" s="5063"/>
      <c r="J238" s="5063"/>
      <c r="K238" s="5063"/>
      <c r="L238" s="5063"/>
      <c r="M238" s="5071"/>
      <c r="N238" s="5071"/>
      <c r="O238" s="5071"/>
      <c r="P238" s="5063"/>
      <c r="Q238" s="5063"/>
      <c r="R238" s="5074"/>
      <c r="S238" s="3516"/>
      <c r="T238" s="523"/>
      <c r="U238" s="523"/>
      <c r="V238" s="2681"/>
      <c r="W238" s="2630"/>
      <c r="X238" s="532"/>
      <c r="Y238" s="2645"/>
      <c r="Z238" s="2645"/>
      <c r="AA238" s="2645"/>
      <c r="AB238" s="2646"/>
      <c r="AC238" s="532"/>
      <c r="AD238" s="533"/>
      <c r="AE238" s="533"/>
      <c r="AF238" s="5051"/>
      <c r="AG238" s="522"/>
    </row>
    <row r="239" spans="1:33" ht="31.5" customHeight="1">
      <c r="A239" s="4360"/>
      <c r="B239" s="5056"/>
      <c r="C239" s="5058"/>
      <c r="D239" s="5063"/>
      <c r="E239" s="5063"/>
      <c r="F239" s="5063"/>
      <c r="G239" s="5063"/>
      <c r="H239" s="5063"/>
      <c r="I239" s="5063"/>
      <c r="J239" s="5063"/>
      <c r="K239" s="5063"/>
      <c r="L239" s="5063"/>
      <c r="M239" s="5071"/>
      <c r="N239" s="5071"/>
      <c r="O239" s="5071"/>
      <c r="P239" s="5063"/>
      <c r="Q239" s="5063"/>
      <c r="R239" s="5074"/>
      <c r="S239" s="3522"/>
      <c r="T239" s="529"/>
      <c r="U239" s="529"/>
      <c r="V239" s="2681"/>
      <c r="W239" s="2630"/>
      <c r="X239" s="532"/>
      <c r="Y239" s="2645"/>
      <c r="Z239" s="2645"/>
      <c r="AA239" s="2645"/>
      <c r="AB239" s="2646"/>
      <c r="AC239" s="532"/>
      <c r="AD239" s="533"/>
      <c r="AE239" s="533"/>
      <c r="AF239" s="5051"/>
      <c r="AG239" s="522"/>
    </row>
    <row r="240" spans="1:33" ht="31.5" customHeight="1">
      <c r="A240" s="4360"/>
      <c r="B240" s="5056"/>
      <c r="C240" s="5060"/>
      <c r="D240" s="5065"/>
      <c r="E240" s="5065"/>
      <c r="F240" s="5065"/>
      <c r="G240" s="5065"/>
      <c r="H240" s="5065"/>
      <c r="I240" s="5065"/>
      <c r="J240" s="5065"/>
      <c r="K240" s="5065"/>
      <c r="L240" s="5065"/>
      <c r="M240" s="5072"/>
      <c r="N240" s="5072"/>
      <c r="O240" s="5072"/>
      <c r="P240" s="5065"/>
      <c r="Q240" s="5065"/>
      <c r="R240" s="5075"/>
      <c r="S240" s="3569"/>
      <c r="T240" s="3570"/>
      <c r="U240" s="3570"/>
      <c r="V240" s="2686"/>
      <c r="W240" s="1781"/>
      <c r="X240" s="1782"/>
      <c r="Y240" s="2667"/>
      <c r="Z240" s="2667"/>
      <c r="AA240" s="2667"/>
      <c r="AB240" s="2668"/>
      <c r="AC240" s="1782"/>
      <c r="AD240" s="3572"/>
      <c r="AE240" s="3572"/>
      <c r="AF240" s="5085"/>
      <c r="AG240" s="522"/>
    </row>
    <row r="241" spans="1:33" ht="30" customHeight="1">
      <c r="A241" s="4360"/>
      <c r="B241" s="5056"/>
      <c r="C241" s="5061" t="s">
        <v>235</v>
      </c>
      <c r="D241" s="5062" t="s">
        <v>236</v>
      </c>
      <c r="E241" s="5062" t="s">
        <v>237</v>
      </c>
      <c r="F241" s="5062" t="s">
        <v>370</v>
      </c>
      <c r="G241" s="5069" t="s">
        <v>239</v>
      </c>
      <c r="H241" s="5062" t="s">
        <v>240</v>
      </c>
      <c r="I241" s="5062" t="s">
        <v>257</v>
      </c>
      <c r="J241" s="5062" t="s">
        <v>5189</v>
      </c>
      <c r="K241" s="5062" t="s">
        <v>5146</v>
      </c>
      <c r="L241" s="5062" t="s">
        <v>5134</v>
      </c>
      <c r="M241" s="5077">
        <v>0</v>
      </c>
      <c r="N241" s="5077">
        <v>1</v>
      </c>
      <c r="O241" s="5077">
        <v>1</v>
      </c>
      <c r="P241" s="5062" t="s">
        <v>5232</v>
      </c>
      <c r="Q241" s="5062" t="s">
        <v>5243</v>
      </c>
      <c r="R241" s="5078" t="s">
        <v>5097</v>
      </c>
      <c r="S241" s="3525"/>
      <c r="T241" s="2018"/>
      <c r="U241" s="2018"/>
      <c r="V241" s="3530"/>
      <c r="W241" s="2633"/>
      <c r="X241" s="1967"/>
      <c r="Y241" s="2651"/>
      <c r="Z241" s="2651"/>
      <c r="AA241" s="2651"/>
      <c r="AB241" s="2652"/>
      <c r="AC241" s="1967"/>
      <c r="AD241" s="2027"/>
      <c r="AE241" s="2027"/>
      <c r="AF241" s="5086"/>
      <c r="AG241" s="522"/>
    </row>
    <row r="242" spans="1:33" ht="30" customHeight="1">
      <c r="A242" s="4360"/>
      <c r="B242" s="5056"/>
      <c r="C242" s="5058"/>
      <c r="D242" s="5063"/>
      <c r="E242" s="5063"/>
      <c r="F242" s="5063"/>
      <c r="G242" s="5063"/>
      <c r="H242" s="5063"/>
      <c r="I242" s="5063"/>
      <c r="J242" s="5063"/>
      <c r="K242" s="5063"/>
      <c r="L242" s="5063"/>
      <c r="M242" s="5071"/>
      <c r="N242" s="5071"/>
      <c r="O242" s="5071"/>
      <c r="P242" s="5063"/>
      <c r="Q242" s="5063"/>
      <c r="R242" s="5074"/>
      <c r="S242" s="3516"/>
      <c r="T242" s="523"/>
      <c r="U242" s="523"/>
      <c r="V242" s="2681"/>
      <c r="W242" s="2630"/>
      <c r="X242" s="532"/>
      <c r="Y242" s="2645"/>
      <c r="Z242" s="2645"/>
      <c r="AA242" s="2645"/>
      <c r="AB242" s="2646"/>
      <c r="AC242" s="532"/>
      <c r="AD242" s="532"/>
      <c r="AE242" s="526"/>
      <c r="AF242" s="5051"/>
      <c r="AG242" s="522"/>
    </row>
    <row r="243" spans="1:33" ht="30" customHeight="1">
      <c r="A243" s="4360"/>
      <c r="B243" s="5056"/>
      <c r="C243" s="5058"/>
      <c r="D243" s="5063"/>
      <c r="E243" s="5063"/>
      <c r="F243" s="5063"/>
      <c r="G243" s="5063"/>
      <c r="H243" s="5063"/>
      <c r="I243" s="5063"/>
      <c r="J243" s="5063"/>
      <c r="K243" s="5063"/>
      <c r="L243" s="5063"/>
      <c r="M243" s="5071"/>
      <c r="N243" s="5071"/>
      <c r="O243" s="5071"/>
      <c r="P243" s="5063"/>
      <c r="Q243" s="5063"/>
      <c r="R243" s="5074"/>
      <c r="S243" s="3516"/>
      <c r="T243" s="523"/>
      <c r="U243" s="523"/>
      <c r="V243" s="2681"/>
      <c r="W243" s="2630"/>
      <c r="X243" s="532"/>
      <c r="Y243" s="2645"/>
      <c r="Z243" s="2645"/>
      <c r="AA243" s="2645"/>
      <c r="AB243" s="2646"/>
      <c r="AC243" s="532"/>
      <c r="AD243" s="532"/>
      <c r="AE243" s="533"/>
      <c r="AF243" s="5051"/>
      <c r="AG243" s="522"/>
    </row>
    <row r="244" spans="1:33" ht="30" customHeight="1">
      <c r="A244" s="4360"/>
      <c r="B244" s="5056"/>
      <c r="C244" s="5058"/>
      <c r="D244" s="5063"/>
      <c r="E244" s="5063"/>
      <c r="F244" s="5063"/>
      <c r="G244" s="5063"/>
      <c r="H244" s="5063"/>
      <c r="I244" s="5063"/>
      <c r="J244" s="5063"/>
      <c r="K244" s="5063"/>
      <c r="L244" s="5063"/>
      <c r="M244" s="5071"/>
      <c r="N244" s="5071"/>
      <c r="O244" s="5071"/>
      <c r="P244" s="5063"/>
      <c r="Q244" s="5063"/>
      <c r="R244" s="5074"/>
      <c r="S244" s="3516"/>
      <c r="T244" s="523"/>
      <c r="U244" s="523"/>
      <c r="V244" s="2681"/>
      <c r="W244" s="2630"/>
      <c r="X244" s="532"/>
      <c r="Y244" s="2645"/>
      <c r="Z244" s="2645"/>
      <c r="AA244" s="2645"/>
      <c r="AB244" s="2646"/>
      <c r="AC244" s="532"/>
      <c r="AD244" s="532"/>
      <c r="AE244" s="533"/>
      <c r="AF244" s="5051"/>
      <c r="AG244" s="522"/>
    </row>
    <row r="245" spans="1:33" ht="30" customHeight="1">
      <c r="A245" s="4360"/>
      <c r="B245" s="5056"/>
      <c r="C245" s="5058"/>
      <c r="D245" s="5063"/>
      <c r="E245" s="5063"/>
      <c r="F245" s="5063"/>
      <c r="G245" s="5063"/>
      <c r="H245" s="5063"/>
      <c r="I245" s="5063"/>
      <c r="J245" s="5063"/>
      <c r="K245" s="5063"/>
      <c r="L245" s="5063"/>
      <c r="M245" s="5071"/>
      <c r="N245" s="5071"/>
      <c r="O245" s="5071"/>
      <c r="P245" s="5063"/>
      <c r="Q245" s="5063"/>
      <c r="R245" s="5074"/>
      <c r="S245" s="3523"/>
      <c r="T245" s="530"/>
      <c r="U245" s="530"/>
      <c r="V245" s="2682"/>
      <c r="W245" s="2631"/>
      <c r="X245" s="575"/>
      <c r="Y245" s="2647"/>
      <c r="Z245" s="2647"/>
      <c r="AA245" s="2647"/>
      <c r="AB245" s="3557"/>
      <c r="AC245" s="575"/>
      <c r="AD245" s="575"/>
      <c r="AE245" s="321"/>
      <c r="AF245" s="5051"/>
      <c r="AG245" s="522"/>
    </row>
    <row r="246" spans="1:33" ht="30.75" customHeight="1">
      <c r="A246" s="4360"/>
      <c r="B246" s="5056"/>
      <c r="C246" s="5059" t="s">
        <v>235</v>
      </c>
      <c r="D246" s="5064" t="s">
        <v>236</v>
      </c>
      <c r="E246" s="5064" t="s">
        <v>237</v>
      </c>
      <c r="F246" s="5064" t="s">
        <v>370</v>
      </c>
      <c r="G246" s="5076" t="s">
        <v>239</v>
      </c>
      <c r="H246" s="5064" t="s">
        <v>240</v>
      </c>
      <c r="I246" s="5064" t="s">
        <v>257</v>
      </c>
      <c r="J246" s="5064" t="s">
        <v>5190</v>
      </c>
      <c r="K246" s="5064" t="s">
        <v>1129</v>
      </c>
      <c r="L246" s="5064" t="s">
        <v>5135</v>
      </c>
      <c r="M246" s="5070">
        <v>1</v>
      </c>
      <c r="N246" s="5070">
        <v>0</v>
      </c>
      <c r="O246" s="5070">
        <v>0</v>
      </c>
      <c r="P246" s="5064" t="s">
        <v>5233</v>
      </c>
      <c r="Q246" s="5064" t="s">
        <v>5242</v>
      </c>
      <c r="R246" s="5073" t="s">
        <v>5097</v>
      </c>
      <c r="S246" s="3620"/>
      <c r="T246" s="3574"/>
      <c r="U246" s="3574"/>
      <c r="V246" s="3575"/>
      <c r="W246" s="3576"/>
      <c r="X246" s="3580"/>
      <c r="Y246" s="3578"/>
      <c r="Z246" s="3578"/>
      <c r="AA246" s="3578"/>
      <c r="AB246" s="3579"/>
      <c r="AC246" s="3580"/>
      <c r="AD246" s="3582"/>
      <c r="AE246" s="3582"/>
      <c r="AF246" s="5084"/>
      <c r="AG246" s="522"/>
    </row>
    <row r="247" spans="1:33" ht="30.75" customHeight="1">
      <c r="A247" s="4360"/>
      <c r="B247" s="5056"/>
      <c r="C247" s="5058"/>
      <c r="D247" s="5063"/>
      <c r="E247" s="5063"/>
      <c r="F247" s="5063"/>
      <c r="G247" s="5063"/>
      <c r="H247" s="5063"/>
      <c r="I247" s="5063"/>
      <c r="J247" s="5063"/>
      <c r="K247" s="5063"/>
      <c r="L247" s="5063"/>
      <c r="M247" s="5071"/>
      <c r="N247" s="5071"/>
      <c r="O247" s="5071"/>
      <c r="P247" s="5063"/>
      <c r="Q247" s="5063"/>
      <c r="R247" s="5074"/>
      <c r="S247" s="3516"/>
      <c r="T247" s="523"/>
      <c r="U247" s="523"/>
      <c r="V247" s="2681"/>
      <c r="W247" s="2630"/>
      <c r="X247" s="532"/>
      <c r="Y247" s="2645"/>
      <c r="Z247" s="2645"/>
      <c r="AA247" s="2645"/>
      <c r="AB247" s="2646"/>
      <c r="AC247" s="532"/>
      <c r="AD247" s="533"/>
      <c r="AE247" s="533"/>
      <c r="AF247" s="5051"/>
      <c r="AG247" s="522"/>
    </row>
    <row r="248" spans="1:33" ht="30.75" customHeight="1">
      <c r="A248" s="4360"/>
      <c r="B248" s="5056"/>
      <c r="C248" s="5058"/>
      <c r="D248" s="5063"/>
      <c r="E248" s="5063"/>
      <c r="F248" s="5063"/>
      <c r="G248" s="5063"/>
      <c r="H248" s="5063"/>
      <c r="I248" s="5063"/>
      <c r="J248" s="5063"/>
      <c r="K248" s="5063"/>
      <c r="L248" s="5063"/>
      <c r="M248" s="5071"/>
      <c r="N248" s="5071"/>
      <c r="O248" s="5071"/>
      <c r="P248" s="5063"/>
      <c r="Q248" s="5063"/>
      <c r="R248" s="5074"/>
      <c r="S248" s="3516"/>
      <c r="T248" s="523"/>
      <c r="U248" s="523"/>
      <c r="V248" s="2681"/>
      <c r="W248" s="2630"/>
      <c r="X248" s="532"/>
      <c r="Y248" s="2645"/>
      <c r="Z248" s="2645"/>
      <c r="AA248" s="2645"/>
      <c r="AB248" s="2646"/>
      <c r="AC248" s="532"/>
      <c r="AD248" s="533"/>
      <c r="AE248" s="533"/>
      <c r="AF248" s="5051"/>
      <c r="AG248" s="522"/>
    </row>
    <row r="249" spans="1:33" ht="30.75" customHeight="1">
      <c r="A249" s="4360"/>
      <c r="B249" s="5056"/>
      <c r="C249" s="5058"/>
      <c r="D249" s="5063"/>
      <c r="E249" s="5063"/>
      <c r="F249" s="5063"/>
      <c r="G249" s="5063"/>
      <c r="H249" s="5063"/>
      <c r="I249" s="5063"/>
      <c r="J249" s="5063"/>
      <c r="K249" s="5063"/>
      <c r="L249" s="5063"/>
      <c r="M249" s="5071"/>
      <c r="N249" s="5071"/>
      <c r="O249" s="5071"/>
      <c r="P249" s="5063"/>
      <c r="Q249" s="5063"/>
      <c r="R249" s="5074"/>
      <c r="S249" s="3516"/>
      <c r="T249" s="523"/>
      <c r="U249" s="523"/>
      <c r="V249" s="2681"/>
      <c r="W249" s="2630"/>
      <c r="X249" s="532"/>
      <c r="Y249" s="2645"/>
      <c r="Z249" s="2645"/>
      <c r="AA249" s="2645"/>
      <c r="AB249" s="2646"/>
      <c r="AC249" s="532"/>
      <c r="AD249" s="533"/>
      <c r="AE249" s="533"/>
      <c r="AF249" s="5051"/>
      <c r="AG249" s="522"/>
    </row>
    <row r="250" spans="1:33" ht="30.75" customHeight="1">
      <c r="A250" s="4360"/>
      <c r="B250" s="5056"/>
      <c r="C250" s="5060"/>
      <c r="D250" s="5065"/>
      <c r="E250" s="5065"/>
      <c r="F250" s="5065"/>
      <c r="G250" s="5065"/>
      <c r="H250" s="5065"/>
      <c r="I250" s="5065"/>
      <c r="J250" s="5065"/>
      <c r="K250" s="5065"/>
      <c r="L250" s="5065"/>
      <c r="M250" s="5072"/>
      <c r="N250" s="5072"/>
      <c r="O250" s="5072"/>
      <c r="P250" s="5065"/>
      <c r="Q250" s="5065"/>
      <c r="R250" s="5075"/>
      <c r="S250" s="3569"/>
      <c r="T250" s="3570"/>
      <c r="U250" s="3570"/>
      <c r="V250" s="2686"/>
      <c r="W250" s="1781"/>
      <c r="X250" s="1782"/>
      <c r="Y250" s="2667"/>
      <c r="Z250" s="2667"/>
      <c r="AA250" s="2667"/>
      <c r="AB250" s="2668"/>
      <c r="AC250" s="1782"/>
      <c r="AD250" s="3572"/>
      <c r="AE250" s="3572"/>
      <c r="AF250" s="5085"/>
      <c r="AG250" s="522"/>
    </row>
    <row r="251" spans="1:33" ht="30.75" customHeight="1">
      <c r="A251" s="4360"/>
      <c r="B251" s="5056"/>
      <c r="C251" s="5061" t="s">
        <v>235</v>
      </c>
      <c r="D251" s="5062" t="s">
        <v>236</v>
      </c>
      <c r="E251" s="5062" t="s">
        <v>237</v>
      </c>
      <c r="F251" s="5062" t="s">
        <v>370</v>
      </c>
      <c r="G251" s="5069" t="s">
        <v>239</v>
      </c>
      <c r="H251" s="5062" t="s">
        <v>240</v>
      </c>
      <c r="I251" s="5062" t="s">
        <v>257</v>
      </c>
      <c r="J251" s="5062" t="s">
        <v>5191</v>
      </c>
      <c r="K251" s="5062" t="s">
        <v>5147</v>
      </c>
      <c r="L251" s="5062" t="s">
        <v>5136</v>
      </c>
      <c r="M251" s="5077">
        <v>1</v>
      </c>
      <c r="N251" s="5077">
        <v>1</v>
      </c>
      <c r="O251" s="5077">
        <v>1</v>
      </c>
      <c r="P251" s="5062" t="s">
        <v>5234</v>
      </c>
      <c r="Q251" s="5062" t="s">
        <v>5241</v>
      </c>
      <c r="R251" s="5078" t="s">
        <v>5097</v>
      </c>
      <c r="S251" s="3525"/>
      <c r="T251" s="2018"/>
      <c r="U251" s="2018"/>
      <c r="V251" s="3530"/>
      <c r="W251" s="2633"/>
      <c r="X251" s="1967"/>
      <c r="Y251" s="2651"/>
      <c r="Z251" s="2651"/>
      <c r="AA251" s="2651"/>
      <c r="AB251" s="2652"/>
      <c r="AC251" s="1967"/>
      <c r="AD251" s="1971"/>
      <c r="AE251" s="1971"/>
      <c r="AF251" s="5086"/>
      <c r="AG251" s="522"/>
    </row>
    <row r="252" spans="1:33" ht="30.75" customHeight="1">
      <c r="A252" s="4360"/>
      <c r="B252" s="5056"/>
      <c r="C252" s="5058"/>
      <c r="D252" s="5063"/>
      <c r="E252" s="5063"/>
      <c r="F252" s="5063"/>
      <c r="G252" s="5063"/>
      <c r="H252" s="5063"/>
      <c r="I252" s="5063"/>
      <c r="J252" s="5063"/>
      <c r="K252" s="5063"/>
      <c r="L252" s="5063"/>
      <c r="M252" s="5071"/>
      <c r="N252" s="5071"/>
      <c r="O252" s="5071"/>
      <c r="P252" s="5063"/>
      <c r="Q252" s="5063"/>
      <c r="R252" s="5074"/>
      <c r="S252" s="3516"/>
      <c r="T252" s="523"/>
      <c r="U252" s="523"/>
      <c r="V252" s="2681"/>
      <c r="W252" s="2630"/>
      <c r="X252" s="532"/>
      <c r="Y252" s="2645"/>
      <c r="Z252" s="2645"/>
      <c r="AA252" s="2645"/>
      <c r="AB252" s="2646"/>
      <c r="AC252" s="532"/>
      <c r="AD252" s="533"/>
      <c r="AE252" s="533"/>
      <c r="AF252" s="5051"/>
      <c r="AG252" s="522"/>
    </row>
    <row r="253" spans="1:33" ht="30.75" customHeight="1">
      <c r="A253" s="4360"/>
      <c r="B253" s="5056"/>
      <c r="C253" s="5058"/>
      <c r="D253" s="5063"/>
      <c r="E253" s="5063"/>
      <c r="F253" s="5063"/>
      <c r="G253" s="5063"/>
      <c r="H253" s="5063"/>
      <c r="I253" s="5063"/>
      <c r="J253" s="5063"/>
      <c r="K253" s="5063"/>
      <c r="L253" s="5063"/>
      <c r="M253" s="5071"/>
      <c r="N253" s="5071"/>
      <c r="O253" s="5071"/>
      <c r="P253" s="5063"/>
      <c r="Q253" s="5063"/>
      <c r="R253" s="5074"/>
      <c r="S253" s="3516"/>
      <c r="T253" s="523"/>
      <c r="U253" s="523"/>
      <c r="V253" s="2681"/>
      <c r="W253" s="2630"/>
      <c r="X253" s="532"/>
      <c r="Y253" s="2645"/>
      <c r="Z253" s="2645"/>
      <c r="AA253" s="2645"/>
      <c r="AB253" s="2646"/>
      <c r="AC253" s="532"/>
      <c r="AD253" s="533"/>
      <c r="AE253" s="533"/>
      <c r="AF253" s="5051"/>
      <c r="AG253" s="522"/>
    </row>
    <row r="254" spans="1:33" ht="30.75" customHeight="1">
      <c r="A254" s="4360"/>
      <c r="B254" s="5056"/>
      <c r="C254" s="5058"/>
      <c r="D254" s="5063"/>
      <c r="E254" s="5063"/>
      <c r="F254" s="5063"/>
      <c r="G254" s="5063"/>
      <c r="H254" s="5063"/>
      <c r="I254" s="5063"/>
      <c r="J254" s="5063"/>
      <c r="K254" s="5063"/>
      <c r="L254" s="5063"/>
      <c r="M254" s="5071"/>
      <c r="N254" s="5071"/>
      <c r="O254" s="5071"/>
      <c r="P254" s="5063"/>
      <c r="Q254" s="5063"/>
      <c r="R254" s="5074"/>
      <c r="S254" s="3516"/>
      <c r="T254" s="523"/>
      <c r="U254" s="523"/>
      <c r="V254" s="2681"/>
      <c r="W254" s="2630"/>
      <c r="X254" s="532"/>
      <c r="Y254" s="2645"/>
      <c r="Z254" s="2645"/>
      <c r="AA254" s="2645"/>
      <c r="AB254" s="2646"/>
      <c r="AC254" s="532"/>
      <c r="AD254" s="533"/>
      <c r="AE254" s="533"/>
      <c r="AF254" s="5051"/>
      <c r="AG254" s="522"/>
    </row>
    <row r="255" spans="1:33" ht="30.75" customHeight="1">
      <c r="A255" s="4360"/>
      <c r="B255" s="5056"/>
      <c r="C255" s="5058"/>
      <c r="D255" s="5063"/>
      <c r="E255" s="5063"/>
      <c r="F255" s="5063"/>
      <c r="G255" s="5063"/>
      <c r="H255" s="5063"/>
      <c r="I255" s="5063"/>
      <c r="J255" s="5063"/>
      <c r="K255" s="5063"/>
      <c r="L255" s="5063"/>
      <c r="M255" s="5071"/>
      <c r="N255" s="5071"/>
      <c r="O255" s="5071"/>
      <c r="P255" s="5063"/>
      <c r="Q255" s="5063"/>
      <c r="R255" s="5074"/>
      <c r="S255" s="3523"/>
      <c r="T255" s="530"/>
      <c r="U255" s="530"/>
      <c r="V255" s="2682"/>
      <c r="W255" s="2631"/>
      <c r="X255" s="575"/>
      <c r="Y255" s="2647"/>
      <c r="Z255" s="2647"/>
      <c r="AA255" s="2647"/>
      <c r="AB255" s="3557"/>
      <c r="AC255" s="575"/>
      <c r="AD255" s="321"/>
      <c r="AE255" s="321"/>
      <c r="AF255" s="5051"/>
      <c r="AG255" s="522"/>
    </row>
    <row r="256" spans="1:33" ht="30" customHeight="1">
      <c r="A256" s="4360"/>
      <c r="B256" s="5056"/>
      <c r="C256" s="5059" t="s">
        <v>235</v>
      </c>
      <c r="D256" s="5064" t="s">
        <v>236</v>
      </c>
      <c r="E256" s="5064" t="s">
        <v>237</v>
      </c>
      <c r="F256" s="5064" t="s">
        <v>370</v>
      </c>
      <c r="G256" s="5076" t="s">
        <v>239</v>
      </c>
      <c r="H256" s="5064" t="s">
        <v>240</v>
      </c>
      <c r="I256" s="5064" t="s">
        <v>257</v>
      </c>
      <c r="J256" s="5064" t="s">
        <v>5192</v>
      </c>
      <c r="K256" s="5064" t="s">
        <v>5148</v>
      </c>
      <c r="L256" s="5064" t="s">
        <v>5137</v>
      </c>
      <c r="M256" s="5070">
        <v>1</v>
      </c>
      <c r="N256" s="5070">
        <v>0</v>
      </c>
      <c r="O256" s="5070">
        <v>1</v>
      </c>
      <c r="P256" s="5064" t="s">
        <v>5235</v>
      </c>
      <c r="Q256" s="5064" t="s">
        <v>5240</v>
      </c>
      <c r="R256" s="5073" t="s">
        <v>5097</v>
      </c>
      <c r="S256" s="3573"/>
      <c r="T256" s="3574"/>
      <c r="U256" s="3574"/>
      <c r="V256" s="3575"/>
      <c r="W256" s="3576"/>
      <c r="X256" s="3580"/>
      <c r="Y256" s="3578"/>
      <c r="Z256" s="3578"/>
      <c r="AA256" s="3578"/>
      <c r="AB256" s="3579"/>
      <c r="AC256" s="3580"/>
      <c r="AD256" s="3582"/>
      <c r="AE256" s="3582"/>
      <c r="AF256" s="5084"/>
      <c r="AG256" s="522"/>
    </row>
    <row r="257" spans="1:33" ht="30" customHeight="1">
      <c r="A257" s="4360"/>
      <c r="B257" s="5056"/>
      <c r="C257" s="5058"/>
      <c r="D257" s="5063"/>
      <c r="E257" s="5063"/>
      <c r="F257" s="5063"/>
      <c r="G257" s="5063"/>
      <c r="H257" s="5063"/>
      <c r="I257" s="5063"/>
      <c r="J257" s="5063"/>
      <c r="K257" s="5063"/>
      <c r="L257" s="5063"/>
      <c r="M257" s="5071"/>
      <c r="N257" s="5071"/>
      <c r="O257" s="5071"/>
      <c r="P257" s="5063"/>
      <c r="Q257" s="5063"/>
      <c r="R257" s="5074"/>
      <c r="S257" s="3516"/>
      <c r="T257" s="523"/>
      <c r="U257" s="523"/>
      <c r="V257" s="2681"/>
      <c r="W257" s="2630"/>
      <c r="X257" s="532"/>
      <c r="Y257" s="2645"/>
      <c r="Z257" s="2645"/>
      <c r="AA257" s="2645"/>
      <c r="AB257" s="2646"/>
      <c r="AC257" s="532"/>
      <c r="AD257" s="533"/>
      <c r="AE257" s="533"/>
      <c r="AF257" s="5051"/>
      <c r="AG257" s="522"/>
    </row>
    <row r="258" spans="1:33" ht="30" customHeight="1">
      <c r="A258" s="4360"/>
      <c r="B258" s="5056"/>
      <c r="C258" s="5058"/>
      <c r="D258" s="5063"/>
      <c r="E258" s="5063"/>
      <c r="F258" s="5063"/>
      <c r="G258" s="5063"/>
      <c r="H258" s="5063"/>
      <c r="I258" s="5063"/>
      <c r="J258" s="5063"/>
      <c r="K258" s="5063"/>
      <c r="L258" s="5063"/>
      <c r="M258" s="5071"/>
      <c r="N258" s="5071"/>
      <c r="O258" s="5071"/>
      <c r="P258" s="5063"/>
      <c r="Q258" s="5063"/>
      <c r="R258" s="5074"/>
      <c r="S258" s="3516"/>
      <c r="T258" s="523"/>
      <c r="U258" s="523"/>
      <c r="V258" s="2681"/>
      <c r="W258" s="2630"/>
      <c r="X258" s="532"/>
      <c r="Y258" s="2645"/>
      <c r="Z258" s="2645"/>
      <c r="AA258" s="2645"/>
      <c r="AB258" s="2646"/>
      <c r="AC258" s="532"/>
      <c r="AD258" s="533"/>
      <c r="AE258" s="533"/>
      <c r="AF258" s="5051"/>
      <c r="AG258" s="522"/>
    </row>
    <row r="259" spans="1:33" ht="30" customHeight="1">
      <c r="A259" s="4360"/>
      <c r="B259" s="5056"/>
      <c r="C259" s="5058"/>
      <c r="D259" s="5063"/>
      <c r="E259" s="5063"/>
      <c r="F259" s="5063"/>
      <c r="G259" s="5063"/>
      <c r="H259" s="5063"/>
      <c r="I259" s="5063"/>
      <c r="J259" s="5063"/>
      <c r="K259" s="5063"/>
      <c r="L259" s="5063"/>
      <c r="M259" s="5071"/>
      <c r="N259" s="5071"/>
      <c r="O259" s="5071"/>
      <c r="P259" s="5063"/>
      <c r="Q259" s="5063"/>
      <c r="R259" s="5074"/>
      <c r="S259" s="3516"/>
      <c r="T259" s="523"/>
      <c r="U259" s="523"/>
      <c r="V259" s="2681"/>
      <c r="W259" s="2630"/>
      <c r="X259" s="532"/>
      <c r="Y259" s="2645"/>
      <c r="Z259" s="2645"/>
      <c r="AA259" s="2645"/>
      <c r="AB259" s="2646"/>
      <c r="AC259" s="532"/>
      <c r="AD259" s="533"/>
      <c r="AE259" s="533"/>
      <c r="AF259" s="5051"/>
      <c r="AG259" s="522"/>
    </row>
    <row r="260" spans="1:33" ht="30" customHeight="1">
      <c r="A260" s="4360"/>
      <c r="B260" s="5056"/>
      <c r="C260" s="5060"/>
      <c r="D260" s="5065"/>
      <c r="E260" s="5065"/>
      <c r="F260" s="5065"/>
      <c r="G260" s="5065"/>
      <c r="H260" s="5065"/>
      <c r="I260" s="5065"/>
      <c r="J260" s="5065"/>
      <c r="K260" s="5065"/>
      <c r="L260" s="5065"/>
      <c r="M260" s="5072"/>
      <c r="N260" s="5072"/>
      <c r="O260" s="5072"/>
      <c r="P260" s="5065"/>
      <c r="Q260" s="5065"/>
      <c r="R260" s="5075"/>
      <c r="S260" s="3569"/>
      <c r="T260" s="3570"/>
      <c r="U260" s="3570"/>
      <c r="V260" s="2686"/>
      <c r="W260" s="1781"/>
      <c r="X260" s="1782"/>
      <c r="Y260" s="2667"/>
      <c r="Z260" s="2667"/>
      <c r="AA260" s="2667"/>
      <c r="AB260" s="2668"/>
      <c r="AC260" s="1782"/>
      <c r="AD260" s="3572"/>
      <c r="AE260" s="3572"/>
      <c r="AF260" s="5085"/>
      <c r="AG260" s="522"/>
    </row>
    <row r="261" spans="1:33" ht="30" customHeight="1">
      <c r="A261" s="4360"/>
      <c r="B261" s="5056"/>
      <c r="C261" s="5061" t="s">
        <v>235</v>
      </c>
      <c r="D261" s="5062" t="s">
        <v>236</v>
      </c>
      <c r="E261" s="5062" t="s">
        <v>237</v>
      </c>
      <c r="F261" s="5062" t="s">
        <v>370</v>
      </c>
      <c r="G261" s="5069" t="s">
        <v>239</v>
      </c>
      <c r="H261" s="5062" t="s">
        <v>240</v>
      </c>
      <c r="I261" s="5062" t="s">
        <v>257</v>
      </c>
      <c r="J261" s="5062" t="s">
        <v>5193</v>
      </c>
      <c r="K261" s="5062" t="s">
        <v>1130</v>
      </c>
      <c r="L261" s="5062" t="s">
        <v>5138</v>
      </c>
      <c r="M261" s="5077">
        <v>1</v>
      </c>
      <c r="N261" s="5077">
        <v>0</v>
      </c>
      <c r="O261" s="5077">
        <v>1</v>
      </c>
      <c r="P261" s="5062" t="s">
        <v>5236</v>
      </c>
      <c r="Q261" s="5062" t="s">
        <v>5239</v>
      </c>
      <c r="R261" s="5078" t="s">
        <v>5097</v>
      </c>
      <c r="S261" s="3525"/>
      <c r="T261" s="2018"/>
      <c r="U261" s="2018"/>
      <c r="V261" s="3530"/>
      <c r="W261" s="2633"/>
      <c r="X261" s="1967"/>
      <c r="Y261" s="2651"/>
      <c r="Z261" s="2651"/>
      <c r="AA261" s="2651"/>
      <c r="AB261" s="2652"/>
      <c r="AC261" s="1967"/>
      <c r="AD261" s="1971"/>
      <c r="AE261" s="1971"/>
      <c r="AF261" s="5086"/>
      <c r="AG261" s="522"/>
    </row>
    <row r="262" spans="1:33" ht="30" customHeight="1">
      <c r="A262" s="4360"/>
      <c r="B262" s="5056"/>
      <c r="C262" s="5058"/>
      <c r="D262" s="5063"/>
      <c r="E262" s="5063"/>
      <c r="F262" s="5063"/>
      <c r="G262" s="5063"/>
      <c r="H262" s="5063"/>
      <c r="I262" s="5063"/>
      <c r="J262" s="5063"/>
      <c r="K262" s="5063"/>
      <c r="L262" s="5063"/>
      <c r="M262" s="5071"/>
      <c r="N262" s="5071"/>
      <c r="O262" s="5071"/>
      <c r="P262" s="5063"/>
      <c r="Q262" s="5063"/>
      <c r="R262" s="5074"/>
      <c r="S262" s="3516"/>
      <c r="T262" s="523"/>
      <c r="U262" s="523"/>
      <c r="V262" s="2681"/>
      <c r="W262" s="2630"/>
      <c r="X262" s="532"/>
      <c r="Y262" s="2645"/>
      <c r="Z262" s="2645"/>
      <c r="AA262" s="2645"/>
      <c r="AB262" s="2646"/>
      <c r="AC262" s="532"/>
      <c r="AD262" s="533"/>
      <c r="AE262" s="533"/>
      <c r="AF262" s="5051"/>
      <c r="AG262" s="522"/>
    </row>
    <row r="263" spans="1:33" ht="30" customHeight="1">
      <c r="A263" s="4360"/>
      <c r="B263" s="5056"/>
      <c r="C263" s="5058"/>
      <c r="D263" s="5063"/>
      <c r="E263" s="5063"/>
      <c r="F263" s="5063"/>
      <c r="G263" s="5063"/>
      <c r="H263" s="5063"/>
      <c r="I263" s="5063"/>
      <c r="J263" s="5063"/>
      <c r="K263" s="5063"/>
      <c r="L263" s="5063"/>
      <c r="M263" s="5071"/>
      <c r="N263" s="5071"/>
      <c r="O263" s="5071"/>
      <c r="P263" s="5063"/>
      <c r="Q263" s="5063"/>
      <c r="R263" s="5074"/>
      <c r="S263" s="3516"/>
      <c r="T263" s="523"/>
      <c r="U263" s="523"/>
      <c r="V263" s="2681"/>
      <c r="W263" s="2630"/>
      <c r="X263" s="532"/>
      <c r="Y263" s="2645"/>
      <c r="Z263" s="2645"/>
      <c r="AA263" s="2645"/>
      <c r="AB263" s="2646"/>
      <c r="AC263" s="532"/>
      <c r="AD263" s="533"/>
      <c r="AE263" s="533"/>
      <c r="AF263" s="5051"/>
      <c r="AG263" s="522"/>
    </row>
    <row r="264" spans="1:33" ht="30" customHeight="1">
      <c r="A264" s="4360"/>
      <c r="B264" s="5056"/>
      <c r="C264" s="5058"/>
      <c r="D264" s="5063"/>
      <c r="E264" s="5063"/>
      <c r="F264" s="5063"/>
      <c r="G264" s="5063"/>
      <c r="H264" s="5063"/>
      <c r="I264" s="5063"/>
      <c r="J264" s="5063"/>
      <c r="K264" s="5063"/>
      <c r="L264" s="5063"/>
      <c r="M264" s="5071"/>
      <c r="N264" s="5071"/>
      <c r="O264" s="5071"/>
      <c r="P264" s="5063"/>
      <c r="Q264" s="5063"/>
      <c r="R264" s="5074"/>
      <c r="S264" s="3516"/>
      <c r="T264" s="523"/>
      <c r="U264" s="523"/>
      <c r="V264" s="2681"/>
      <c r="W264" s="2630"/>
      <c r="X264" s="532"/>
      <c r="Y264" s="2645"/>
      <c r="Z264" s="2645"/>
      <c r="AA264" s="2645"/>
      <c r="AB264" s="2646"/>
      <c r="AC264" s="532"/>
      <c r="AD264" s="533"/>
      <c r="AE264" s="533"/>
      <c r="AF264" s="5051"/>
      <c r="AG264" s="522"/>
    </row>
    <row r="265" spans="1:33" ht="30" customHeight="1">
      <c r="A265" s="4360"/>
      <c r="B265" s="5056"/>
      <c r="C265" s="5058"/>
      <c r="D265" s="5063"/>
      <c r="E265" s="5063"/>
      <c r="F265" s="5063"/>
      <c r="G265" s="5063"/>
      <c r="H265" s="5063"/>
      <c r="I265" s="5063"/>
      <c r="J265" s="5063"/>
      <c r="K265" s="5063"/>
      <c r="L265" s="5063"/>
      <c r="M265" s="5071"/>
      <c r="N265" s="5071"/>
      <c r="O265" s="5071"/>
      <c r="P265" s="5063"/>
      <c r="Q265" s="5063"/>
      <c r="R265" s="5074"/>
      <c r="S265" s="3523"/>
      <c r="T265" s="530"/>
      <c r="U265" s="530"/>
      <c r="V265" s="2682"/>
      <c r="W265" s="2631"/>
      <c r="X265" s="575"/>
      <c r="Y265" s="2647"/>
      <c r="Z265" s="2647"/>
      <c r="AA265" s="2647"/>
      <c r="AB265" s="3557"/>
      <c r="AC265" s="575"/>
      <c r="AD265" s="321"/>
      <c r="AE265" s="321"/>
      <c r="AF265" s="5051"/>
      <c r="AG265" s="522"/>
    </row>
    <row r="266" spans="1:33" ht="30.75" customHeight="1">
      <c r="A266" s="4360"/>
      <c r="B266" s="5056"/>
      <c r="C266" s="5059" t="s">
        <v>235</v>
      </c>
      <c r="D266" s="5064" t="s">
        <v>236</v>
      </c>
      <c r="E266" s="5064" t="s">
        <v>237</v>
      </c>
      <c r="F266" s="5064" t="s">
        <v>370</v>
      </c>
      <c r="G266" s="5076" t="s">
        <v>239</v>
      </c>
      <c r="H266" s="5064" t="s">
        <v>240</v>
      </c>
      <c r="I266" s="5064" t="s">
        <v>257</v>
      </c>
      <c r="J266" s="5064" t="s">
        <v>5194</v>
      </c>
      <c r="K266" s="5064" t="s">
        <v>338</v>
      </c>
      <c r="L266" s="5064" t="s">
        <v>5109</v>
      </c>
      <c r="M266" s="5079">
        <v>0</v>
      </c>
      <c r="N266" s="5070">
        <v>1</v>
      </c>
      <c r="O266" s="5070">
        <v>1</v>
      </c>
      <c r="P266" s="5064" t="s">
        <v>5205</v>
      </c>
      <c r="Q266" s="5064" t="s">
        <v>5238</v>
      </c>
      <c r="R266" s="5073" t="s">
        <v>5097</v>
      </c>
      <c r="S266" s="3573"/>
      <c r="T266" s="3574"/>
      <c r="U266" s="3574"/>
      <c r="V266" s="3575"/>
      <c r="W266" s="3576"/>
      <c r="X266" s="3580"/>
      <c r="Y266" s="3578"/>
      <c r="Z266" s="3578"/>
      <c r="AA266" s="3578"/>
      <c r="AB266" s="3579"/>
      <c r="AC266" s="3580"/>
      <c r="AD266" s="3582"/>
      <c r="AE266" s="3582"/>
      <c r="AF266" s="5084"/>
      <c r="AG266" s="522"/>
    </row>
    <row r="267" spans="1:33" ht="30.75" customHeight="1">
      <c r="A267" s="4360"/>
      <c r="B267" s="5056"/>
      <c r="C267" s="5058"/>
      <c r="D267" s="5063"/>
      <c r="E267" s="5063"/>
      <c r="F267" s="5063"/>
      <c r="G267" s="5063"/>
      <c r="H267" s="5063"/>
      <c r="I267" s="5063"/>
      <c r="J267" s="5063"/>
      <c r="K267" s="5063"/>
      <c r="L267" s="5063"/>
      <c r="M267" s="5071"/>
      <c r="N267" s="5071"/>
      <c r="O267" s="5071"/>
      <c r="P267" s="5063"/>
      <c r="Q267" s="5063"/>
      <c r="R267" s="5074"/>
      <c r="S267" s="3516"/>
      <c r="T267" s="523"/>
      <c r="U267" s="523"/>
      <c r="V267" s="2681"/>
      <c r="W267" s="2630"/>
      <c r="X267" s="532"/>
      <c r="Y267" s="2645"/>
      <c r="Z267" s="2645"/>
      <c r="AA267" s="2645"/>
      <c r="AB267" s="2646"/>
      <c r="AC267" s="532"/>
      <c r="AD267" s="533"/>
      <c r="AE267" s="533"/>
      <c r="AF267" s="5051"/>
      <c r="AG267" s="522"/>
    </row>
    <row r="268" spans="1:33" ht="30.75" customHeight="1">
      <c r="A268" s="4360"/>
      <c r="B268" s="5056"/>
      <c r="C268" s="5058"/>
      <c r="D268" s="5063"/>
      <c r="E268" s="5063"/>
      <c r="F268" s="5063"/>
      <c r="G268" s="5063"/>
      <c r="H268" s="5063"/>
      <c r="I268" s="5063"/>
      <c r="J268" s="5063"/>
      <c r="K268" s="5063"/>
      <c r="L268" s="5063"/>
      <c r="M268" s="5071"/>
      <c r="N268" s="5071"/>
      <c r="O268" s="5071"/>
      <c r="P268" s="5063"/>
      <c r="Q268" s="5063"/>
      <c r="R268" s="5074"/>
      <c r="S268" s="3516"/>
      <c r="T268" s="523"/>
      <c r="U268" s="523"/>
      <c r="V268" s="2681"/>
      <c r="W268" s="2630"/>
      <c r="X268" s="532"/>
      <c r="Y268" s="2645"/>
      <c r="Z268" s="2645"/>
      <c r="AA268" s="2645"/>
      <c r="AB268" s="2646"/>
      <c r="AC268" s="532"/>
      <c r="AD268" s="533"/>
      <c r="AE268" s="533"/>
      <c r="AF268" s="5051"/>
      <c r="AG268" s="522"/>
    </row>
    <row r="269" spans="1:33" ht="30.75" customHeight="1">
      <c r="A269" s="4360"/>
      <c r="B269" s="5056"/>
      <c r="C269" s="5058"/>
      <c r="D269" s="5063"/>
      <c r="E269" s="5063"/>
      <c r="F269" s="5063"/>
      <c r="G269" s="5063"/>
      <c r="H269" s="5063"/>
      <c r="I269" s="5063"/>
      <c r="J269" s="5063"/>
      <c r="K269" s="5063"/>
      <c r="L269" s="5063"/>
      <c r="M269" s="5071"/>
      <c r="N269" s="5071"/>
      <c r="O269" s="5071"/>
      <c r="P269" s="5063"/>
      <c r="Q269" s="5063"/>
      <c r="R269" s="5074"/>
      <c r="S269" s="3516"/>
      <c r="T269" s="523"/>
      <c r="U269" s="523"/>
      <c r="V269" s="2681"/>
      <c r="W269" s="2630"/>
      <c r="X269" s="532"/>
      <c r="Y269" s="2645"/>
      <c r="Z269" s="2645"/>
      <c r="AA269" s="2645"/>
      <c r="AB269" s="2646"/>
      <c r="AC269" s="532"/>
      <c r="AD269" s="533"/>
      <c r="AE269" s="533"/>
      <c r="AF269" s="5051"/>
      <c r="AG269" s="522"/>
    </row>
    <row r="270" spans="1:33" ht="30.75" customHeight="1">
      <c r="A270" s="4360"/>
      <c r="B270" s="5056"/>
      <c r="C270" s="5060"/>
      <c r="D270" s="5065"/>
      <c r="E270" s="5065"/>
      <c r="F270" s="5065"/>
      <c r="G270" s="5065"/>
      <c r="H270" s="5065"/>
      <c r="I270" s="5065"/>
      <c r="J270" s="5065"/>
      <c r="K270" s="5065"/>
      <c r="L270" s="5065"/>
      <c r="M270" s="5072"/>
      <c r="N270" s="5072"/>
      <c r="O270" s="5072"/>
      <c r="P270" s="5065"/>
      <c r="Q270" s="5065"/>
      <c r="R270" s="5075"/>
      <c r="S270" s="3569"/>
      <c r="T270" s="3570"/>
      <c r="U270" s="3570"/>
      <c r="V270" s="2686"/>
      <c r="W270" s="1781"/>
      <c r="X270" s="1782"/>
      <c r="Y270" s="2667"/>
      <c r="Z270" s="2667"/>
      <c r="AA270" s="2667"/>
      <c r="AB270" s="2668"/>
      <c r="AC270" s="1782"/>
      <c r="AD270" s="3572"/>
      <c r="AE270" s="3572"/>
      <c r="AF270" s="5085"/>
      <c r="AG270" s="522"/>
    </row>
    <row r="271" spans="1:33" ht="30" customHeight="1">
      <c r="A271" s="4360"/>
      <c r="B271" s="5056"/>
      <c r="C271" s="5061" t="s">
        <v>235</v>
      </c>
      <c r="D271" s="5062" t="s">
        <v>236</v>
      </c>
      <c r="E271" s="5062" t="s">
        <v>237</v>
      </c>
      <c r="F271" s="5062" t="s">
        <v>370</v>
      </c>
      <c r="G271" s="5069" t="s">
        <v>239</v>
      </c>
      <c r="H271" s="5062" t="s">
        <v>240</v>
      </c>
      <c r="I271" s="5062" t="s">
        <v>257</v>
      </c>
      <c r="J271" s="5062" t="s">
        <v>5195</v>
      </c>
      <c r="K271" s="5062" t="s">
        <v>1091</v>
      </c>
      <c r="L271" s="5062" t="s">
        <v>5110</v>
      </c>
      <c r="M271" s="5077">
        <v>1</v>
      </c>
      <c r="N271" s="5077">
        <v>1</v>
      </c>
      <c r="O271" s="5077">
        <v>1</v>
      </c>
      <c r="P271" s="5082" t="s">
        <v>5206</v>
      </c>
      <c r="Q271" s="5062" t="s">
        <v>5237</v>
      </c>
      <c r="R271" s="5078" t="s">
        <v>5097</v>
      </c>
      <c r="S271" s="3525"/>
      <c r="T271" s="2018"/>
      <c r="U271" s="2018"/>
      <c r="V271" s="3530"/>
      <c r="W271" s="2633"/>
      <c r="X271" s="1967"/>
      <c r="Y271" s="2651"/>
      <c r="Z271" s="2651"/>
      <c r="AA271" s="2651"/>
      <c r="AB271" s="2652"/>
      <c r="AC271" s="1967"/>
      <c r="AD271" s="1971"/>
      <c r="AE271" s="1971"/>
      <c r="AF271" s="5086"/>
      <c r="AG271" s="522"/>
    </row>
    <row r="272" spans="1:33" ht="30" customHeight="1">
      <c r="A272" s="4360"/>
      <c r="B272" s="5056"/>
      <c r="C272" s="5058"/>
      <c r="D272" s="5063"/>
      <c r="E272" s="5063"/>
      <c r="F272" s="5063"/>
      <c r="G272" s="5063"/>
      <c r="H272" s="5063"/>
      <c r="I272" s="5063"/>
      <c r="J272" s="5063"/>
      <c r="K272" s="5063"/>
      <c r="L272" s="5063"/>
      <c r="M272" s="5071"/>
      <c r="N272" s="5071"/>
      <c r="O272" s="5071"/>
      <c r="P272" s="5063"/>
      <c r="Q272" s="5063"/>
      <c r="R272" s="5074"/>
      <c r="S272" s="3516"/>
      <c r="T272" s="523"/>
      <c r="U272" s="523"/>
      <c r="V272" s="2681"/>
      <c r="W272" s="2630"/>
      <c r="X272" s="532"/>
      <c r="Y272" s="2645"/>
      <c r="Z272" s="2645"/>
      <c r="AA272" s="2645"/>
      <c r="AB272" s="2646"/>
      <c r="AC272" s="532"/>
      <c r="AD272" s="533"/>
      <c r="AE272" s="533"/>
      <c r="AF272" s="5051"/>
      <c r="AG272" s="522"/>
    </row>
    <row r="273" spans="1:33" ht="30" customHeight="1">
      <c r="A273" s="4360"/>
      <c r="B273" s="5056"/>
      <c r="C273" s="5058"/>
      <c r="D273" s="5063"/>
      <c r="E273" s="5063"/>
      <c r="F273" s="5063"/>
      <c r="G273" s="5063"/>
      <c r="H273" s="5063"/>
      <c r="I273" s="5063"/>
      <c r="J273" s="5063"/>
      <c r="K273" s="5063"/>
      <c r="L273" s="5063"/>
      <c r="M273" s="5071"/>
      <c r="N273" s="5071"/>
      <c r="O273" s="5071"/>
      <c r="P273" s="5063"/>
      <c r="Q273" s="5063"/>
      <c r="R273" s="5074"/>
      <c r="S273" s="3516"/>
      <c r="T273" s="523"/>
      <c r="U273" s="523"/>
      <c r="V273" s="2681"/>
      <c r="W273" s="2630"/>
      <c r="X273" s="532"/>
      <c r="Y273" s="2645"/>
      <c r="Z273" s="2645"/>
      <c r="AA273" s="2645"/>
      <c r="AB273" s="2646"/>
      <c r="AC273" s="532"/>
      <c r="AD273" s="533"/>
      <c r="AE273" s="533"/>
      <c r="AF273" s="5051"/>
      <c r="AG273" s="522"/>
    </row>
    <row r="274" spans="1:33" ht="30" customHeight="1">
      <c r="A274" s="4360"/>
      <c r="B274" s="5056"/>
      <c r="C274" s="5058"/>
      <c r="D274" s="5063"/>
      <c r="E274" s="5063"/>
      <c r="F274" s="5063"/>
      <c r="G274" s="5063"/>
      <c r="H274" s="5063"/>
      <c r="I274" s="5063"/>
      <c r="J274" s="5063"/>
      <c r="K274" s="5063"/>
      <c r="L274" s="5063"/>
      <c r="M274" s="5071"/>
      <c r="N274" s="5071"/>
      <c r="O274" s="5071"/>
      <c r="P274" s="5063"/>
      <c r="Q274" s="5063"/>
      <c r="R274" s="5074"/>
      <c r="S274" s="3516"/>
      <c r="T274" s="523"/>
      <c r="U274" s="523"/>
      <c r="V274" s="2681"/>
      <c r="W274" s="2630"/>
      <c r="X274" s="532"/>
      <c r="Y274" s="2645"/>
      <c r="Z274" s="2645"/>
      <c r="AA274" s="2645"/>
      <c r="AB274" s="2646"/>
      <c r="AC274" s="532"/>
      <c r="AD274" s="533"/>
      <c r="AE274" s="533"/>
      <c r="AF274" s="5051"/>
      <c r="AG274" s="522"/>
    </row>
    <row r="275" spans="1:33" ht="30" customHeight="1" thickBot="1">
      <c r="A275" s="4360"/>
      <c r="B275" s="5056"/>
      <c r="C275" s="5066"/>
      <c r="D275" s="5067"/>
      <c r="E275" s="5067"/>
      <c r="F275" s="5067"/>
      <c r="G275" s="5067"/>
      <c r="H275" s="5067"/>
      <c r="I275" s="5067"/>
      <c r="J275" s="5067"/>
      <c r="K275" s="5067"/>
      <c r="L275" s="5067"/>
      <c r="M275" s="5081"/>
      <c r="N275" s="5081"/>
      <c r="O275" s="5081"/>
      <c r="P275" s="5067"/>
      <c r="Q275" s="5067"/>
      <c r="R275" s="5083"/>
      <c r="S275" s="3523"/>
      <c r="T275" s="530"/>
      <c r="U275" s="530"/>
      <c r="V275" s="322"/>
      <c r="W275" s="2631"/>
      <c r="X275" s="575"/>
      <c r="Y275" s="2647"/>
      <c r="Z275" s="2647"/>
      <c r="AA275" s="2659"/>
      <c r="AB275" s="2660"/>
      <c r="AC275" s="578"/>
      <c r="AD275" s="341"/>
      <c r="AE275" s="341"/>
      <c r="AF275" s="5087"/>
      <c r="AG275" s="522"/>
    </row>
    <row r="276" spans="1:33" ht="22.5" customHeight="1" thickBot="1">
      <c r="A276" s="4360"/>
      <c r="B276" s="4775"/>
      <c r="C276" s="5080"/>
      <c r="D276" s="4567"/>
      <c r="E276" s="4567"/>
      <c r="F276" s="4567"/>
      <c r="G276" s="4567"/>
      <c r="H276" s="4567"/>
      <c r="I276" s="4567"/>
      <c r="J276" s="4567"/>
      <c r="K276" s="4567"/>
      <c r="L276" s="4567"/>
      <c r="M276" s="4567"/>
      <c r="N276" s="4567"/>
      <c r="O276" s="4567"/>
      <c r="P276" s="4567"/>
      <c r="Q276" s="4567"/>
      <c r="R276" s="4540"/>
      <c r="S276" s="4561" t="s">
        <v>1131</v>
      </c>
      <c r="T276" s="4562"/>
      <c r="U276" s="4562"/>
      <c r="V276" s="4562"/>
      <c r="W276" s="4562"/>
      <c r="X276" s="4562"/>
      <c r="Y276" s="4562"/>
      <c r="Z276" s="4562"/>
      <c r="AA276" s="2232" t="s">
        <v>340</v>
      </c>
      <c r="AB276" s="2233">
        <f>SUM(AB209:AB275)</f>
        <v>44280.320000000007</v>
      </c>
      <c r="AC276" s="5088"/>
      <c r="AD276" s="4443"/>
      <c r="AE276" s="4443"/>
      <c r="AF276" s="4444"/>
      <c r="AG276" s="544"/>
    </row>
    <row r="277" spans="1:33" ht="22.5" customHeight="1" thickBot="1">
      <c r="A277" s="4362"/>
      <c r="B277" s="2189"/>
      <c r="C277" s="2190"/>
      <c r="D277" s="2190"/>
      <c r="E277" s="2190"/>
      <c r="F277" s="2190"/>
      <c r="G277" s="2190"/>
      <c r="H277" s="2190"/>
      <c r="I277" s="2190"/>
      <c r="J277" s="2190"/>
      <c r="K277" s="2190"/>
      <c r="L277" s="2190"/>
      <c r="M277" s="2190"/>
      <c r="N277" s="2190"/>
      <c r="O277" s="2190"/>
      <c r="P277" s="2190"/>
      <c r="Q277" s="2190"/>
      <c r="R277" s="2190"/>
      <c r="S277" s="5054" t="s">
        <v>1132</v>
      </c>
      <c r="T277" s="5054"/>
      <c r="U277" s="5054"/>
      <c r="V277" s="5054"/>
      <c r="W277" s="5054"/>
      <c r="X277" s="5054"/>
      <c r="Y277" s="5054"/>
      <c r="Z277" s="5054"/>
      <c r="AA277" s="2175" t="s">
        <v>340</v>
      </c>
      <c r="AB277" s="1989">
        <f>SUM(AB89,AB160,AB208,AB276)</f>
        <v>970274.97280000011</v>
      </c>
      <c r="AC277" s="4505"/>
      <c r="AD277" s="4506"/>
      <c r="AE277" s="4506"/>
      <c r="AF277" s="4507"/>
      <c r="AG277" s="549"/>
    </row>
    <row r="278" spans="1:33" ht="17.25" thickTop="1">
      <c r="A278" s="221"/>
      <c r="B278" s="12"/>
      <c r="C278" s="550" t="s">
        <v>442</v>
      </c>
      <c r="D278" s="551" t="s">
        <v>1133</v>
      </c>
      <c r="E278" s="221"/>
      <c r="F278" s="221"/>
      <c r="G278" s="221"/>
      <c r="H278" s="221"/>
      <c r="I278" s="221"/>
      <c r="J278" s="221"/>
      <c r="K278" s="221"/>
      <c r="L278" s="221"/>
      <c r="M278" s="221"/>
      <c r="N278" s="221"/>
      <c r="O278" s="221"/>
      <c r="P278" s="221"/>
      <c r="Q278" s="221"/>
      <c r="R278" s="221"/>
      <c r="S278" s="4388" t="s">
        <v>1134</v>
      </c>
      <c r="T278" s="4150"/>
      <c r="U278" s="4150"/>
      <c r="V278" s="4150"/>
      <c r="W278" s="4150"/>
      <c r="X278" s="4150"/>
      <c r="Y278" s="4150"/>
      <c r="Z278" s="4150"/>
      <c r="AA278" s="4150"/>
      <c r="AB278" s="4150"/>
      <c r="AC278" s="4150"/>
      <c r="AD278" s="4150"/>
      <c r="AE278" s="4150"/>
      <c r="AF278" s="4150"/>
      <c r="AG278" s="552"/>
    </row>
    <row r="279" spans="1:33" ht="16.5" customHeight="1">
      <c r="A279" s="221"/>
      <c r="B279" s="12"/>
      <c r="C279" s="550" t="s">
        <v>444</v>
      </c>
      <c r="D279" s="553">
        <v>44817</v>
      </c>
      <c r="E279" s="221"/>
      <c r="F279" s="221"/>
      <c r="G279" s="221"/>
      <c r="H279" s="221"/>
      <c r="I279" s="221"/>
      <c r="J279" s="221"/>
      <c r="K279" s="221"/>
      <c r="L279" s="221"/>
      <c r="M279" s="221"/>
      <c r="N279" s="221"/>
      <c r="O279" s="225"/>
      <c r="P279" s="225"/>
      <c r="Q279" s="225"/>
      <c r="R279" s="225"/>
      <c r="S279" s="221"/>
      <c r="T279" s="221"/>
      <c r="U279" s="221"/>
      <c r="V279" s="1884"/>
      <c r="W279" s="1884"/>
      <c r="X279" s="1884"/>
      <c r="Y279" s="1884"/>
      <c r="Z279" s="1884"/>
      <c r="AA279" s="1884"/>
      <c r="AC279" s="4389"/>
      <c r="AD279" s="4150"/>
      <c r="AE279" s="221"/>
      <c r="AF279" s="223"/>
      <c r="AG279" s="554"/>
    </row>
    <row r="280" spans="1:33" ht="18">
      <c r="A280" s="221"/>
      <c r="B280" s="221"/>
      <c r="C280" s="221"/>
      <c r="D280" s="221"/>
      <c r="E280" s="221"/>
      <c r="F280" s="221"/>
      <c r="G280" s="221"/>
      <c r="H280" s="221"/>
      <c r="I280" s="221"/>
      <c r="J280" s="221"/>
      <c r="K280" s="221"/>
      <c r="L280" s="221"/>
      <c r="M280" s="221"/>
      <c r="N280" s="221"/>
      <c r="O280" s="235"/>
      <c r="P280" s="235"/>
      <c r="Q280" s="235"/>
      <c r="R280" s="235"/>
      <c r="S280" s="135"/>
      <c r="U280" s="4222" t="s">
        <v>343</v>
      </c>
      <c r="V280" s="4223"/>
      <c r="W280" s="4223"/>
      <c r="X280" s="4223"/>
      <c r="Y280" s="4223"/>
      <c r="Z280" s="4223"/>
      <c r="AB280" s="469"/>
      <c r="AC280" s="225"/>
      <c r="AD280" s="221"/>
      <c r="AE280" s="223"/>
      <c r="AF280" s="554"/>
    </row>
    <row r="281" spans="1:33" ht="16.5" customHeight="1" thickBot="1">
      <c r="A281" s="221"/>
      <c r="B281" s="221"/>
      <c r="C281" s="221"/>
      <c r="D281" s="221"/>
      <c r="E281" s="221"/>
      <c r="F281" s="221"/>
      <c r="G281" s="221"/>
      <c r="H281" s="221"/>
      <c r="I281" s="221"/>
      <c r="J281" s="221"/>
      <c r="K281" s="221"/>
      <c r="L281" s="221"/>
      <c r="M281" s="221"/>
      <c r="N281" s="221"/>
      <c r="O281" s="235"/>
      <c r="P281" s="235"/>
      <c r="Q281" s="235"/>
      <c r="R281" s="235"/>
      <c r="S281" s="261"/>
      <c r="U281" s="131"/>
      <c r="V281" s="131"/>
      <c r="W281" s="429"/>
      <c r="X281" s="190"/>
      <c r="Y281" s="131"/>
      <c r="Z281" s="131"/>
      <c r="AB281" s="227"/>
      <c r="AC281" s="227"/>
      <c r="AD281" s="221"/>
      <c r="AE281" s="223"/>
      <c r="AF281" s="554"/>
    </row>
    <row r="282" spans="1:33" ht="16.5" customHeight="1" thickTop="1">
      <c r="A282" s="221"/>
      <c r="B282" s="221"/>
      <c r="C282" s="221"/>
      <c r="D282" s="221"/>
      <c r="E282" s="221"/>
      <c r="F282" s="221"/>
      <c r="G282" s="221"/>
      <c r="H282" s="221"/>
      <c r="I282" s="221"/>
      <c r="J282" s="221"/>
      <c r="K282" s="221"/>
      <c r="L282" s="221"/>
      <c r="M282" s="221"/>
      <c r="N282" s="221"/>
      <c r="O282" s="555"/>
      <c r="P282" s="556"/>
      <c r="Q282" s="557"/>
      <c r="R282" s="558"/>
      <c r="S282" s="559"/>
      <c r="U282" s="2238" t="s">
        <v>4</v>
      </c>
      <c r="V282" s="2239" t="s">
        <v>344</v>
      </c>
      <c r="W282" s="2265" t="s">
        <v>6</v>
      </c>
      <c r="X282" s="2241" t="s">
        <v>345</v>
      </c>
      <c r="Y282" s="2241" t="s">
        <v>8</v>
      </c>
      <c r="Z282" s="2242" t="s">
        <v>346</v>
      </c>
      <c r="AB282" s="228"/>
      <c r="AC282" s="229"/>
      <c r="AD282" s="221"/>
      <c r="AE282" s="223"/>
      <c r="AF282" s="554"/>
    </row>
    <row r="283" spans="1:33" ht="16.5" customHeight="1">
      <c r="A283" s="221"/>
      <c r="B283" s="221"/>
      <c r="C283" s="221"/>
      <c r="D283" s="221"/>
      <c r="E283" s="221"/>
      <c r="F283" s="221"/>
      <c r="G283" s="221"/>
      <c r="H283" s="221"/>
      <c r="I283" s="221"/>
      <c r="J283" s="221"/>
      <c r="K283" s="221"/>
      <c r="L283" s="221"/>
      <c r="M283" s="221"/>
      <c r="N283" s="221"/>
      <c r="O283" s="555"/>
      <c r="P283" s="561"/>
      <c r="Q283" s="562"/>
      <c r="R283" s="558"/>
      <c r="S283" s="262"/>
      <c r="U283" s="2274" t="s">
        <v>17</v>
      </c>
      <c r="V283" s="2272" t="s">
        <v>43</v>
      </c>
      <c r="W283" s="560">
        <v>530105</v>
      </c>
      <c r="X283" s="511" t="s">
        <v>13</v>
      </c>
      <c r="Y283" s="1568" t="s">
        <v>18</v>
      </c>
      <c r="Z283" s="514">
        <f>SUM($AA$77:$AA$78)</f>
        <v>264442.25920000003</v>
      </c>
      <c r="AB283" s="228"/>
      <c r="AC283" s="229"/>
      <c r="AD283" s="221"/>
      <c r="AE283" s="223"/>
      <c r="AF283" s="554"/>
    </row>
    <row r="284" spans="1:33" ht="16.5" customHeight="1">
      <c r="A284" s="221"/>
      <c r="B284" s="221"/>
      <c r="C284" s="221"/>
      <c r="D284" s="221"/>
      <c r="E284" s="221"/>
      <c r="F284" s="221"/>
      <c r="G284" s="221"/>
      <c r="H284" s="221"/>
      <c r="I284" s="221"/>
      <c r="J284" s="221"/>
      <c r="K284" s="221"/>
      <c r="L284" s="221"/>
      <c r="M284" s="221"/>
      <c r="N284" s="221"/>
      <c r="O284" s="555"/>
      <c r="P284" s="561"/>
      <c r="Q284" s="562"/>
      <c r="R284" s="267"/>
      <c r="S284" s="262"/>
      <c r="U284" s="2275" t="s">
        <v>11</v>
      </c>
      <c r="V284" s="2272" t="s">
        <v>94</v>
      </c>
      <c r="W284" s="563">
        <v>530243</v>
      </c>
      <c r="X284" s="511" t="s">
        <v>13</v>
      </c>
      <c r="Y284" s="1568" t="s">
        <v>14</v>
      </c>
      <c r="Z284" s="264">
        <f>SUM($AA$176:$AA$176)</f>
        <v>59844.680000000008</v>
      </c>
      <c r="AB284" s="228"/>
      <c r="AC284" s="229"/>
      <c r="AD284" s="221"/>
      <c r="AE284" s="223"/>
      <c r="AF284" s="554"/>
    </row>
    <row r="285" spans="1:33" ht="33">
      <c r="A285" s="221"/>
      <c r="B285" s="221"/>
      <c r="C285" s="221"/>
      <c r="D285" s="221"/>
      <c r="E285" s="221"/>
      <c r="F285" s="221"/>
      <c r="G285" s="221"/>
      <c r="H285" s="221"/>
      <c r="I285" s="221"/>
      <c r="J285" s="221"/>
      <c r="K285" s="221"/>
      <c r="L285" s="221"/>
      <c r="M285" s="221"/>
      <c r="N285" s="221"/>
      <c r="O285" s="555"/>
      <c r="P285" s="556"/>
      <c r="Q285" s="562"/>
      <c r="R285" s="564"/>
      <c r="S285" s="565"/>
      <c r="U285" s="2275" t="s">
        <v>11</v>
      </c>
      <c r="V285" s="1875" t="s">
        <v>16</v>
      </c>
      <c r="W285" s="563">
        <v>530402</v>
      </c>
      <c r="X285" s="511" t="s">
        <v>13</v>
      </c>
      <c r="Y285" s="1568" t="s">
        <v>14</v>
      </c>
      <c r="Z285" s="264">
        <f>SUM($AA$181:$AA$181)</f>
        <v>2240</v>
      </c>
      <c r="AB285" s="228"/>
      <c r="AC285" s="229"/>
      <c r="AD285" s="221"/>
      <c r="AE285" s="223"/>
      <c r="AF285" s="554"/>
    </row>
    <row r="286" spans="1:33" ht="33">
      <c r="A286" s="221"/>
      <c r="B286" s="221"/>
      <c r="C286" s="221"/>
      <c r="D286" s="221"/>
      <c r="E286" s="221"/>
      <c r="F286" s="221"/>
      <c r="G286" s="221"/>
      <c r="H286" s="221"/>
      <c r="I286" s="221"/>
      <c r="J286" s="221"/>
      <c r="K286" s="221"/>
      <c r="L286" s="221"/>
      <c r="M286" s="221"/>
      <c r="N286" s="221"/>
      <c r="O286" s="555"/>
      <c r="P286" s="561"/>
      <c r="Q286" s="562"/>
      <c r="R286" s="267"/>
      <c r="S286" s="262"/>
      <c r="U286" s="2274" t="s">
        <v>17</v>
      </c>
      <c r="V286" s="2272" t="s">
        <v>67</v>
      </c>
      <c r="W286" s="563">
        <v>530702</v>
      </c>
      <c r="X286" s="511" t="s">
        <v>13</v>
      </c>
      <c r="Y286" s="1568" t="s">
        <v>30</v>
      </c>
      <c r="Z286" s="2383">
        <f>SUM($AA$217:$AA$220)</f>
        <v>33640.320000000007</v>
      </c>
      <c r="AB286" s="228"/>
      <c r="AC286" s="229"/>
      <c r="AD286" s="221"/>
      <c r="AE286" s="223"/>
      <c r="AF286" s="554"/>
    </row>
    <row r="287" spans="1:33" ht="33">
      <c r="A287" s="221"/>
      <c r="B287" s="221"/>
      <c r="C287" s="221"/>
      <c r="D287" s="221"/>
      <c r="E287" s="221"/>
      <c r="F287" s="221"/>
      <c r="G287" s="221"/>
      <c r="H287" s="221"/>
      <c r="I287" s="221"/>
      <c r="J287" s="221"/>
      <c r="K287" s="221"/>
      <c r="L287" s="221"/>
      <c r="M287" s="221"/>
      <c r="N287" s="221"/>
      <c r="O287" s="555"/>
      <c r="P287" s="561"/>
      <c r="Q287" s="562"/>
      <c r="R287" s="246"/>
      <c r="S287" s="565"/>
      <c r="U287" s="2275" t="s">
        <v>39</v>
      </c>
      <c r="V287" s="1875" t="s">
        <v>19</v>
      </c>
      <c r="W287" s="563">
        <v>530704</v>
      </c>
      <c r="X287" s="511" t="s">
        <v>13</v>
      </c>
      <c r="Y287" s="1568" t="s">
        <v>18</v>
      </c>
      <c r="Z287" s="264">
        <f>SUM($AA$162:$AA$167)</f>
        <v>13878.793600000001</v>
      </c>
      <c r="AB287" s="228"/>
      <c r="AC287" s="229"/>
      <c r="AD287" s="221"/>
      <c r="AE287" s="223"/>
      <c r="AF287" s="554"/>
    </row>
    <row r="288" spans="1:33" ht="33">
      <c r="A288" s="221"/>
      <c r="B288" s="221"/>
      <c r="C288" s="221"/>
      <c r="D288" s="221"/>
      <c r="E288" s="221"/>
      <c r="F288" s="221"/>
      <c r="G288" s="221"/>
      <c r="H288" s="221"/>
      <c r="I288" s="221"/>
      <c r="J288" s="221"/>
      <c r="K288" s="221"/>
      <c r="L288" s="221"/>
      <c r="M288" s="221"/>
      <c r="N288" s="221"/>
      <c r="O288" s="555"/>
      <c r="P288" s="561"/>
      <c r="Q288" s="562"/>
      <c r="R288" s="267"/>
      <c r="S288" s="262"/>
      <c r="U288" s="2275" t="s">
        <v>39</v>
      </c>
      <c r="V288" s="1875" t="s">
        <v>19</v>
      </c>
      <c r="W288" s="563">
        <v>530704</v>
      </c>
      <c r="X288" s="511" t="s">
        <v>13</v>
      </c>
      <c r="Y288" s="1568" t="s">
        <v>18</v>
      </c>
      <c r="Z288" s="2383">
        <f>SUM($AA$215:$AA$215)</f>
        <v>10640.000000000002</v>
      </c>
      <c r="AB288" s="228"/>
      <c r="AC288" s="229"/>
      <c r="AD288" s="221"/>
      <c r="AE288" s="223"/>
      <c r="AF288" s="554"/>
    </row>
    <row r="289" spans="1:32" ht="49.5">
      <c r="A289" s="221"/>
      <c r="B289" s="221"/>
      <c r="C289" s="221"/>
      <c r="D289" s="221"/>
      <c r="E289" s="221"/>
      <c r="F289" s="221"/>
      <c r="G289" s="221"/>
      <c r="H289" s="221"/>
      <c r="I289" s="221"/>
      <c r="J289" s="221"/>
      <c r="K289" s="221"/>
      <c r="L289" s="221"/>
      <c r="M289" s="221"/>
      <c r="N289" s="221"/>
      <c r="O289" s="555"/>
      <c r="P289" s="561"/>
      <c r="Q289" s="562"/>
      <c r="R289" s="267"/>
      <c r="S289" s="262"/>
      <c r="U289" s="2275" t="s">
        <v>11</v>
      </c>
      <c r="V289" s="1875" t="s">
        <v>83</v>
      </c>
      <c r="W289" s="563">
        <v>530811</v>
      </c>
      <c r="X289" s="511" t="s">
        <v>13</v>
      </c>
      <c r="Y289" s="1568" t="s">
        <v>14</v>
      </c>
      <c r="Z289" s="264">
        <f>SUM($AA$179:$AA$179)</f>
        <v>1120</v>
      </c>
      <c r="AB289" s="228"/>
      <c r="AC289" s="229"/>
      <c r="AD289" s="221"/>
      <c r="AE289" s="223"/>
      <c r="AF289" s="554"/>
    </row>
    <row r="290" spans="1:32" ht="16.5" customHeight="1">
      <c r="A290" s="221"/>
      <c r="B290" s="221"/>
      <c r="C290" s="221"/>
      <c r="D290" s="221"/>
      <c r="E290" s="221"/>
      <c r="F290" s="221"/>
      <c r="G290" s="221"/>
      <c r="H290" s="221"/>
      <c r="I290" s="221"/>
      <c r="J290" s="221"/>
      <c r="K290" s="221"/>
      <c r="L290" s="221"/>
      <c r="M290" s="221"/>
      <c r="N290" s="221"/>
      <c r="O290" s="555"/>
      <c r="P290" s="561"/>
      <c r="Q290" s="562"/>
      <c r="R290" s="267"/>
      <c r="S290" s="262"/>
      <c r="U290" s="2275" t="s">
        <v>11</v>
      </c>
      <c r="V290" s="1875" t="s">
        <v>20</v>
      </c>
      <c r="W290" s="563">
        <v>531407</v>
      </c>
      <c r="X290" s="511" t="s">
        <v>13</v>
      </c>
      <c r="Y290" s="1568" t="s">
        <v>14</v>
      </c>
      <c r="Z290" s="264">
        <f>SUM($AA$174:$AA$174)</f>
        <v>88.524800000000013</v>
      </c>
      <c r="AB290" s="228"/>
      <c r="AC290" s="229"/>
      <c r="AD290" s="221"/>
      <c r="AE290" s="223"/>
      <c r="AF290" s="554"/>
    </row>
    <row r="291" spans="1:32" ht="16.5" customHeight="1">
      <c r="A291" s="221"/>
      <c r="B291" s="221"/>
      <c r="C291" s="221"/>
      <c r="D291" s="221"/>
      <c r="E291" s="221"/>
      <c r="F291" s="221"/>
      <c r="G291" s="221"/>
      <c r="H291" s="221"/>
      <c r="I291" s="221"/>
      <c r="J291" s="221"/>
      <c r="K291" s="221"/>
      <c r="L291" s="221"/>
      <c r="M291" s="221"/>
      <c r="N291" s="221"/>
      <c r="O291" s="555"/>
      <c r="P291" s="561"/>
      <c r="Q291" s="557"/>
      <c r="R291" s="558"/>
      <c r="S291" s="559"/>
      <c r="U291" s="2275" t="s">
        <v>11</v>
      </c>
      <c r="V291" s="1875" t="s">
        <v>20</v>
      </c>
      <c r="W291" s="563">
        <v>531407</v>
      </c>
      <c r="X291" s="511" t="s">
        <v>13</v>
      </c>
      <c r="Y291" s="1568" t="s">
        <v>14</v>
      </c>
      <c r="Z291" s="264">
        <f>SUM($AA$184:$AA$185)</f>
        <v>70</v>
      </c>
      <c r="AB291" s="228"/>
      <c r="AC291" s="229"/>
      <c r="AD291" s="221"/>
      <c r="AE291" s="223"/>
      <c r="AF291" s="554"/>
    </row>
    <row r="292" spans="1:32" ht="16.5" customHeight="1">
      <c r="A292" s="221"/>
      <c r="B292" s="221"/>
      <c r="C292" s="221"/>
      <c r="D292" s="221"/>
      <c r="E292" s="221"/>
      <c r="F292" s="221"/>
      <c r="G292" s="221"/>
      <c r="H292" s="221"/>
      <c r="I292" s="221"/>
      <c r="J292" s="221"/>
      <c r="K292" s="221"/>
      <c r="L292" s="221"/>
      <c r="M292" s="221"/>
      <c r="N292" s="221"/>
      <c r="O292" s="555"/>
      <c r="P292" s="561"/>
      <c r="Q292" s="557"/>
      <c r="R292" s="558"/>
      <c r="S292" s="559"/>
      <c r="U292" s="2275" t="s">
        <v>39</v>
      </c>
      <c r="V292" s="2272" t="s">
        <v>24</v>
      </c>
      <c r="W292" s="560">
        <v>840104</v>
      </c>
      <c r="X292" s="511" t="s">
        <v>13</v>
      </c>
      <c r="Y292" s="1570" t="s">
        <v>14</v>
      </c>
      <c r="Z292" s="514">
        <f>SUM($AA$169:$AA$170)</f>
        <v>2251.1999999999998</v>
      </c>
      <c r="AB292" s="228"/>
      <c r="AC292" s="229"/>
      <c r="AD292" s="221"/>
      <c r="AE292" s="223"/>
      <c r="AF292" s="554"/>
    </row>
    <row r="293" spans="1:32" ht="16.5" customHeight="1">
      <c r="A293" s="221"/>
      <c r="B293" s="221"/>
      <c r="C293" s="221"/>
      <c r="D293" s="221"/>
      <c r="E293" s="221"/>
      <c r="F293" s="221"/>
      <c r="G293" s="221"/>
      <c r="H293" s="221"/>
      <c r="I293" s="221"/>
      <c r="J293" s="221"/>
      <c r="K293" s="221"/>
      <c r="L293" s="221"/>
      <c r="M293" s="221"/>
      <c r="N293" s="221"/>
      <c r="O293" s="555"/>
      <c r="P293" s="556"/>
      <c r="Q293" s="562"/>
      <c r="R293" s="267"/>
      <c r="S293" s="559"/>
      <c r="U293" s="2275" t="s">
        <v>11</v>
      </c>
      <c r="V293" s="2272" t="s">
        <v>24</v>
      </c>
      <c r="W293" s="560">
        <v>840104</v>
      </c>
      <c r="X293" s="511" t="s">
        <v>13</v>
      </c>
      <c r="Y293" s="1570" t="s">
        <v>14</v>
      </c>
      <c r="Z293" s="514">
        <f>SUM($AA$172:$AA$172)</f>
        <v>53704.13440000001</v>
      </c>
      <c r="AB293" s="228"/>
      <c r="AC293" s="229"/>
      <c r="AD293" s="221"/>
      <c r="AE293" s="223"/>
      <c r="AF293" s="554"/>
    </row>
    <row r="294" spans="1:32" ht="16.5" customHeight="1">
      <c r="A294" s="221"/>
      <c r="B294" s="221"/>
      <c r="C294" s="221"/>
      <c r="D294" s="221"/>
      <c r="E294" s="221"/>
      <c r="F294" s="221"/>
      <c r="G294" s="221"/>
      <c r="H294" s="221"/>
      <c r="I294" s="221"/>
      <c r="J294" s="221"/>
      <c r="K294" s="221"/>
      <c r="L294" s="221"/>
      <c r="M294" s="221"/>
      <c r="N294" s="221"/>
      <c r="O294" s="555"/>
      <c r="P294" s="556"/>
      <c r="Q294" s="557"/>
      <c r="R294" s="558"/>
      <c r="S294" s="559"/>
      <c r="U294" s="2274" t="s">
        <v>17</v>
      </c>
      <c r="V294" s="1875" t="s">
        <v>20</v>
      </c>
      <c r="W294" s="563">
        <v>840107</v>
      </c>
      <c r="X294" s="511" t="s">
        <v>13</v>
      </c>
      <c r="Y294" s="1570" t="s">
        <v>14</v>
      </c>
      <c r="Z294" s="514">
        <f>SUM($AA$65:$AA$73)</f>
        <v>113435.99679999999</v>
      </c>
      <c r="AB294" s="228"/>
      <c r="AC294" s="229"/>
      <c r="AD294" s="221"/>
      <c r="AE294" s="223"/>
      <c r="AF294" s="554"/>
    </row>
    <row r="295" spans="1:32" ht="16.5" customHeight="1">
      <c r="A295" s="221"/>
      <c r="B295" s="221"/>
      <c r="C295" s="221"/>
      <c r="D295" s="221"/>
      <c r="E295" s="221"/>
      <c r="F295" s="221"/>
      <c r="G295" s="221"/>
      <c r="H295" s="221"/>
      <c r="I295" s="221"/>
      <c r="J295" s="221"/>
      <c r="K295" s="221"/>
      <c r="L295" s="221"/>
      <c r="M295" s="221"/>
      <c r="N295" s="221"/>
      <c r="O295" s="555"/>
      <c r="P295" s="566"/>
      <c r="Q295" s="567"/>
      <c r="R295" s="235"/>
      <c r="S295" s="568"/>
      <c r="U295" s="2274" t="s">
        <v>17</v>
      </c>
      <c r="V295" s="2272" t="s">
        <v>20</v>
      </c>
      <c r="W295" s="560">
        <v>840107</v>
      </c>
      <c r="X295" s="511" t="s">
        <v>13</v>
      </c>
      <c r="Y295" s="1570" t="s">
        <v>14</v>
      </c>
      <c r="Z295" s="514">
        <f>SUM($AA$75:$AA$75)</f>
        <v>414919.06400000007</v>
      </c>
      <c r="AB295" s="298"/>
      <c r="AC295" s="298"/>
      <c r="AD295" s="221"/>
      <c r="AE295" s="223"/>
      <c r="AF295" s="554"/>
    </row>
    <row r="296" spans="1:32" ht="17.25" thickBot="1">
      <c r="A296" s="221"/>
      <c r="B296" s="221"/>
      <c r="C296" s="221"/>
      <c r="D296" s="221"/>
      <c r="E296" s="221"/>
      <c r="F296" s="221"/>
      <c r="G296" s="221"/>
      <c r="H296" s="221"/>
      <c r="I296" s="221"/>
      <c r="J296" s="221"/>
      <c r="K296" s="221"/>
      <c r="L296" s="221"/>
      <c r="M296" s="221"/>
      <c r="N296" s="221"/>
      <c r="O296" s="555"/>
      <c r="P296" s="566"/>
      <c r="Q296" s="569"/>
      <c r="R296" s="235"/>
      <c r="S296" s="568"/>
      <c r="U296" s="2273"/>
      <c r="V296" s="2269" t="s">
        <v>183</v>
      </c>
      <c r="W296" s="2258"/>
      <c r="X296" s="2258"/>
      <c r="Y296" s="2246" t="s">
        <v>340</v>
      </c>
      <c r="Z296" s="140">
        <f>SUM(Z283:Z295)</f>
        <v>970274.97280000011</v>
      </c>
      <c r="AA296" s="131"/>
      <c r="AB296" s="298"/>
      <c r="AC296" s="307"/>
      <c r="AD296" s="221"/>
      <c r="AE296" s="223"/>
      <c r="AF296" s="554"/>
    </row>
    <row r="297" spans="1:32" ht="16.5" customHeight="1" thickTop="1">
      <c r="A297" s="221"/>
      <c r="B297" s="221"/>
      <c r="C297" s="221"/>
      <c r="D297" s="221"/>
      <c r="E297" s="221"/>
      <c r="F297" s="221"/>
      <c r="G297" s="221"/>
      <c r="H297" s="221"/>
      <c r="I297" s="221"/>
      <c r="J297" s="221"/>
      <c r="K297" s="221"/>
      <c r="L297" s="221"/>
      <c r="M297" s="221"/>
      <c r="N297" s="221"/>
      <c r="O297" s="555"/>
      <c r="P297" s="566"/>
      <c r="Q297" s="569"/>
      <c r="R297" s="235"/>
      <c r="S297" s="568"/>
      <c r="U297" s="131"/>
      <c r="V297" s="131"/>
      <c r="W297" s="142" t="s">
        <v>347</v>
      </c>
      <c r="X297" s="429"/>
      <c r="Y297" s="190"/>
      <c r="Z297" s="131"/>
      <c r="AA297" s="131"/>
      <c r="AB297" s="298"/>
      <c r="AC297" s="307"/>
      <c r="AD297" s="221"/>
      <c r="AE297" s="223"/>
      <c r="AF297" s="554"/>
    </row>
    <row r="298" spans="1:32" ht="16.5" customHeight="1" thickBot="1">
      <c r="A298" s="221"/>
      <c r="B298" s="221"/>
      <c r="C298" s="221"/>
      <c r="D298" s="221"/>
      <c r="E298" s="221"/>
      <c r="F298" s="221"/>
      <c r="G298" s="221"/>
      <c r="H298" s="221"/>
      <c r="I298" s="221"/>
      <c r="J298" s="221"/>
      <c r="K298" s="221"/>
      <c r="L298" s="221"/>
      <c r="M298" s="221"/>
      <c r="N298" s="221"/>
      <c r="O298" s="235"/>
      <c r="P298" s="235"/>
      <c r="Q298" s="235"/>
      <c r="R298" s="235"/>
      <c r="S298" s="568"/>
      <c r="U298" s="131"/>
      <c r="V298" s="131"/>
      <c r="W298" s="131"/>
      <c r="X298" s="429"/>
      <c r="Y298" s="190"/>
      <c r="Z298" s="131"/>
      <c r="AA298" s="131"/>
      <c r="AB298" s="309"/>
      <c r="AC298" s="298"/>
      <c r="AD298" s="221"/>
      <c r="AE298" s="223"/>
      <c r="AF298" s="554"/>
    </row>
    <row r="299" spans="1:32" ht="16.5" customHeight="1" thickTop="1">
      <c r="A299" s="221"/>
      <c r="B299" s="221"/>
      <c r="C299" s="221"/>
      <c r="D299" s="221"/>
      <c r="E299" s="221"/>
      <c r="F299" s="221"/>
      <c r="G299" s="221"/>
      <c r="H299" s="221"/>
      <c r="I299" s="221"/>
      <c r="J299" s="221"/>
      <c r="K299" s="221"/>
      <c r="L299" s="221"/>
      <c r="M299" s="221"/>
      <c r="N299" s="221"/>
      <c r="O299" s="225"/>
      <c r="P299" s="235"/>
      <c r="Q299" s="235"/>
      <c r="R299" s="235"/>
      <c r="U299" s="4303" t="s">
        <v>348</v>
      </c>
      <c r="V299" s="4304"/>
      <c r="W299" s="4305"/>
      <c r="X299" s="429"/>
      <c r="Y299" s="433" t="s">
        <v>349</v>
      </c>
      <c r="Z299" s="145" t="str">
        <f>IF(Z296=AB277,"OK","NO")</f>
        <v>OK</v>
      </c>
      <c r="AA299" s="131"/>
      <c r="AB299" s="309"/>
      <c r="AC299" s="298"/>
      <c r="AD299" s="221"/>
      <c r="AE299" s="223"/>
      <c r="AF299" s="554"/>
    </row>
    <row r="300" spans="1:32" ht="16.5">
      <c r="A300" s="221"/>
      <c r="B300" s="221"/>
      <c r="C300" s="221"/>
      <c r="D300" s="221"/>
      <c r="E300" s="221"/>
      <c r="F300" s="221"/>
      <c r="G300" s="221"/>
      <c r="H300" s="221"/>
      <c r="I300" s="221"/>
      <c r="J300" s="221"/>
      <c r="K300" s="221"/>
      <c r="L300" s="221"/>
      <c r="M300" s="221"/>
      <c r="N300" s="221"/>
      <c r="O300" s="235"/>
      <c r="P300" s="235"/>
      <c r="Q300" s="235"/>
      <c r="R300" s="235"/>
      <c r="U300" s="4213" t="s">
        <v>3666</v>
      </c>
      <c r="V300" s="4208"/>
      <c r="W300" s="516">
        <f>SUM(Z283,Z287,Z288)</f>
        <v>288961.0528</v>
      </c>
      <c r="X300" s="429"/>
      <c r="Y300" s="190"/>
      <c r="Z300" s="145" t="str">
        <f>IF(W304=AB277,"OK","NO")</f>
        <v>OK</v>
      </c>
      <c r="AA300" s="131"/>
      <c r="AB300" s="309"/>
      <c r="AC300" s="298"/>
      <c r="AD300" s="221"/>
      <c r="AE300" s="223"/>
      <c r="AF300" s="554"/>
    </row>
    <row r="301" spans="1:32" ht="16.5">
      <c r="A301" s="221"/>
      <c r="B301" s="221"/>
      <c r="C301" s="221"/>
      <c r="D301" s="221"/>
      <c r="E301" s="221"/>
      <c r="F301" s="221"/>
      <c r="G301" s="221"/>
      <c r="H301" s="221"/>
      <c r="I301" s="221"/>
      <c r="J301" s="221"/>
      <c r="K301" s="221"/>
      <c r="L301" s="221"/>
      <c r="M301" s="221"/>
      <c r="N301" s="221"/>
      <c r="O301" s="235"/>
      <c r="P301" s="235"/>
      <c r="Q301" s="235"/>
      <c r="R301" s="235"/>
      <c r="U301" s="4200" t="s">
        <v>3667</v>
      </c>
      <c r="V301" s="4201"/>
      <c r="W301" s="515">
        <f>SUM(Z286)</f>
        <v>33640.320000000007</v>
      </c>
      <c r="X301" s="429"/>
      <c r="Y301" s="190"/>
      <c r="Z301" s="145" t="str">
        <f>IF(W314=AB277,"OK","NO")</f>
        <v>OK</v>
      </c>
      <c r="AA301" s="131"/>
      <c r="AB301" s="309"/>
      <c r="AC301" s="298"/>
      <c r="AD301" s="221"/>
      <c r="AE301" s="223"/>
      <c r="AF301" s="554"/>
    </row>
    <row r="302" spans="1:32" ht="16.5">
      <c r="A302" s="221"/>
      <c r="B302" s="221"/>
      <c r="C302" s="221"/>
      <c r="D302" s="221"/>
      <c r="E302" s="221"/>
      <c r="F302" s="221"/>
      <c r="G302" s="221"/>
      <c r="H302" s="221"/>
      <c r="I302" s="221"/>
      <c r="J302" s="221"/>
      <c r="K302" s="221"/>
      <c r="L302" s="221"/>
      <c r="M302" s="221"/>
      <c r="N302" s="221"/>
      <c r="O302" s="235"/>
      <c r="P302" s="235"/>
      <c r="Q302" s="235"/>
      <c r="R302" s="235"/>
      <c r="U302" s="4200" t="s">
        <v>3669</v>
      </c>
      <c r="V302" s="4201"/>
      <c r="W302" s="515">
        <f>SUM(Z285,Z284,Z289,Z290:Z295)</f>
        <v>647673.60000000009</v>
      </c>
      <c r="X302" s="429"/>
      <c r="Y302" s="434"/>
      <c r="Z302" s="145" t="str">
        <f>IF(Resumen!C361=AB277,"OK","NO")</f>
        <v>OK</v>
      </c>
      <c r="AA302" s="131"/>
      <c r="AB302" s="309"/>
      <c r="AC302" s="298"/>
      <c r="AD302" s="221"/>
      <c r="AE302" s="223"/>
      <c r="AF302" s="554"/>
    </row>
    <row r="303" spans="1:32" ht="16.5">
      <c r="A303" s="221"/>
      <c r="B303" s="221"/>
      <c r="C303" s="221"/>
      <c r="D303" s="221"/>
      <c r="E303" s="221"/>
      <c r="F303" s="221"/>
      <c r="G303" s="221"/>
      <c r="H303" s="221"/>
      <c r="I303" s="221"/>
      <c r="J303" s="221"/>
      <c r="K303" s="221"/>
      <c r="L303" s="221"/>
      <c r="M303" s="221"/>
      <c r="N303" s="221"/>
      <c r="O303" s="235"/>
      <c r="P303" s="235"/>
      <c r="Q303" s="235"/>
      <c r="R303" s="235"/>
      <c r="U303" s="4200" t="s">
        <v>3668</v>
      </c>
      <c r="V303" s="4201"/>
      <c r="W303" s="517">
        <v>0</v>
      </c>
      <c r="X303" s="429"/>
      <c r="Y303" s="434"/>
      <c r="Z303" s="131"/>
      <c r="AA303" s="131"/>
      <c r="AB303" s="309"/>
      <c r="AC303" s="298"/>
      <c r="AD303" s="221"/>
      <c r="AE303" s="223"/>
      <c r="AF303" s="554"/>
    </row>
    <row r="304" spans="1:32" ht="16.5" customHeight="1">
      <c r="A304" s="221"/>
      <c r="B304" s="221"/>
      <c r="C304" s="221"/>
      <c r="D304" s="221"/>
      <c r="E304" s="221"/>
      <c r="F304" s="221"/>
      <c r="G304" s="221"/>
      <c r="H304" s="221"/>
      <c r="I304" s="221"/>
      <c r="J304" s="221"/>
      <c r="K304" s="221"/>
      <c r="L304" s="221"/>
      <c r="M304" s="221"/>
      <c r="N304" s="221"/>
      <c r="O304" s="235"/>
      <c r="P304" s="235"/>
      <c r="Q304" s="235"/>
      <c r="R304" s="235"/>
      <c r="U304" s="4553" t="s">
        <v>183</v>
      </c>
      <c r="V304" s="4554"/>
      <c r="W304" s="1571">
        <f>SUM(W300:W303)</f>
        <v>970274.97280000011</v>
      </c>
      <c r="X304" s="429"/>
      <c r="Y304" s="434"/>
      <c r="Z304" s="131"/>
      <c r="AA304" s="131"/>
      <c r="AB304" s="309"/>
      <c r="AC304" s="298"/>
      <c r="AD304" s="221"/>
      <c r="AE304" s="223"/>
      <c r="AF304" s="554"/>
    </row>
    <row r="305" spans="1:32" ht="16.5" customHeight="1">
      <c r="A305" s="221"/>
      <c r="B305" s="221"/>
      <c r="C305" s="221"/>
      <c r="D305" s="221"/>
      <c r="E305" s="221"/>
      <c r="F305" s="221"/>
      <c r="G305" s="221"/>
      <c r="H305" s="221"/>
      <c r="I305" s="221"/>
      <c r="J305" s="221"/>
      <c r="K305" s="221"/>
      <c r="L305" s="221"/>
      <c r="M305" s="221"/>
      <c r="N305" s="221"/>
      <c r="O305" s="135"/>
      <c r="P305" s="135"/>
      <c r="Q305" s="135"/>
      <c r="R305" s="135"/>
      <c r="U305" s="4555" t="s">
        <v>350</v>
      </c>
      <c r="V305" s="4556"/>
      <c r="W305" s="4557"/>
      <c r="X305" s="429"/>
      <c r="Y305" s="435"/>
      <c r="Z305" s="131"/>
      <c r="AA305" s="131"/>
      <c r="AB305" s="309"/>
      <c r="AC305" s="298"/>
      <c r="AD305" s="221"/>
      <c r="AE305" s="223"/>
      <c r="AF305" s="554"/>
    </row>
    <row r="306" spans="1:32" ht="16.5" customHeight="1">
      <c r="A306" s="221"/>
      <c r="B306" s="221"/>
      <c r="C306" s="221"/>
      <c r="D306" s="221"/>
      <c r="E306" s="221"/>
      <c r="F306" s="221"/>
      <c r="G306" s="221"/>
      <c r="H306" s="221"/>
      <c r="I306" s="221"/>
      <c r="J306" s="221"/>
      <c r="K306" s="221"/>
      <c r="L306" s="221"/>
      <c r="M306" s="221"/>
      <c r="N306" s="221"/>
      <c r="O306" s="135"/>
      <c r="P306" s="135"/>
      <c r="Q306" s="135"/>
      <c r="R306" s="135"/>
      <c r="U306" s="4207" t="s">
        <v>3670</v>
      </c>
      <c r="V306" s="4208"/>
      <c r="W306" s="516">
        <v>0</v>
      </c>
      <c r="X306" s="429"/>
      <c r="Y306" s="435"/>
      <c r="Z306" s="131"/>
      <c r="AA306" s="131"/>
      <c r="AB306" s="309"/>
      <c r="AC306" s="298"/>
      <c r="AD306" s="221"/>
      <c r="AE306" s="223"/>
      <c r="AF306" s="554"/>
    </row>
    <row r="307" spans="1:32" ht="16.5" customHeight="1">
      <c r="A307" s="221"/>
      <c r="B307" s="221"/>
      <c r="C307" s="221"/>
      <c r="D307" s="221"/>
      <c r="E307" s="221"/>
      <c r="F307" s="221"/>
      <c r="G307" s="221"/>
      <c r="H307" s="221"/>
      <c r="I307" s="221"/>
      <c r="J307" s="221"/>
      <c r="K307" s="221"/>
      <c r="L307" s="221"/>
      <c r="M307" s="221"/>
      <c r="N307" s="221"/>
      <c r="O307" s="135"/>
      <c r="P307" s="135"/>
      <c r="Q307" s="135"/>
      <c r="R307" s="135"/>
      <c r="U307" s="4209" t="s">
        <v>3671</v>
      </c>
      <c r="V307" s="4201"/>
      <c r="W307" s="515">
        <f>SUM(Z283:Z291)</f>
        <v>385964.57760000002</v>
      </c>
      <c r="X307" s="429"/>
      <c r="Y307" s="435"/>
      <c r="Z307" s="131"/>
      <c r="AA307" s="131"/>
      <c r="AB307" s="309"/>
      <c r="AC307" s="298"/>
      <c r="AD307" s="221"/>
      <c r="AE307" s="223"/>
      <c r="AF307" s="554"/>
    </row>
    <row r="308" spans="1:32" ht="16.5" customHeight="1">
      <c r="A308" s="221"/>
      <c r="B308" s="221"/>
      <c r="C308" s="221"/>
      <c r="D308" s="221"/>
      <c r="E308" s="221"/>
      <c r="F308" s="221"/>
      <c r="G308" s="221"/>
      <c r="H308" s="221"/>
      <c r="I308" s="221"/>
      <c r="J308" s="221"/>
      <c r="K308" s="221"/>
      <c r="L308" s="221"/>
      <c r="M308" s="221"/>
      <c r="N308" s="221"/>
      <c r="O308" s="221"/>
      <c r="P308" s="135"/>
      <c r="Q308" s="135"/>
      <c r="R308" s="135"/>
      <c r="U308" s="4209" t="s">
        <v>3672</v>
      </c>
      <c r="V308" s="4201"/>
      <c r="W308" s="515">
        <v>0</v>
      </c>
      <c r="X308" s="429"/>
      <c r="Y308" s="473"/>
      <c r="Z308" s="131"/>
      <c r="AA308" s="269"/>
      <c r="AB308" s="311"/>
      <c r="AC308" s="313"/>
      <c r="AD308" s="221"/>
      <c r="AE308" s="223"/>
      <c r="AF308" s="554"/>
    </row>
    <row r="309" spans="1:32" ht="16.5" customHeight="1">
      <c r="A309" s="221"/>
      <c r="B309" s="221"/>
      <c r="C309" s="221"/>
      <c r="D309" s="221"/>
      <c r="E309" s="221"/>
      <c r="F309" s="221"/>
      <c r="G309" s="221"/>
      <c r="H309" s="221"/>
      <c r="I309" s="221"/>
      <c r="J309" s="221"/>
      <c r="K309" s="221"/>
      <c r="L309" s="221"/>
      <c r="M309" s="221"/>
      <c r="N309" s="221"/>
      <c r="O309" s="221"/>
      <c r="P309" s="135"/>
      <c r="Q309" s="135"/>
      <c r="R309" s="135"/>
      <c r="U309" s="4209" t="s">
        <v>3673</v>
      </c>
      <c r="V309" s="4201"/>
      <c r="W309" s="515">
        <v>0</v>
      </c>
      <c r="X309" s="429"/>
      <c r="Y309" s="434"/>
      <c r="Z309" s="269"/>
      <c r="AA309" s="1884"/>
      <c r="AB309" s="1884"/>
      <c r="AC309" s="313"/>
      <c r="AD309" s="221"/>
      <c r="AE309" s="223"/>
      <c r="AF309" s="554"/>
    </row>
    <row r="310" spans="1:32" ht="16.5" customHeight="1">
      <c r="A310" s="221"/>
      <c r="B310" s="221"/>
      <c r="C310" s="221"/>
      <c r="D310" s="221"/>
      <c r="E310" s="221"/>
      <c r="F310" s="221"/>
      <c r="G310" s="221"/>
      <c r="H310" s="221"/>
      <c r="I310" s="221"/>
      <c r="J310" s="221"/>
      <c r="K310" s="221"/>
      <c r="L310" s="221"/>
      <c r="M310" s="221"/>
      <c r="N310" s="221"/>
      <c r="O310" s="221"/>
      <c r="P310" s="135"/>
      <c r="Q310" s="135"/>
      <c r="R310" s="135"/>
      <c r="U310" s="4209" t="s">
        <v>3674</v>
      </c>
      <c r="V310" s="4201"/>
      <c r="W310" s="515">
        <v>0</v>
      </c>
      <c r="X310" s="429"/>
      <c r="Y310" s="474"/>
      <c r="Z310" s="1887"/>
      <c r="AA310" s="272"/>
      <c r="AB310" s="271"/>
      <c r="AC310" s="313"/>
      <c r="AD310" s="221"/>
      <c r="AE310" s="223"/>
      <c r="AF310" s="554"/>
    </row>
    <row r="311" spans="1:32" ht="16.5" customHeight="1">
      <c r="A311" s="221"/>
      <c r="B311" s="221"/>
      <c r="C311" s="221"/>
      <c r="D311" s="221"/>
      <c r="E311" s="221"/>
      <c r="F311" s="221"/>
      <c r="G311" s="221"/>
      <c r="H311" s="221"/>
      <c r="I311" s="221"/>
      <c r="J311" s="221"/>
      <c r="K311" s="221"/>
      <c r="L311" s="221"/>
      <c r="M311" s="221"/>
      <c r="N311" s="221"/>
      <c r="O311" s="221"/>
      <c r="P311" s="135"/>
      <c r="Q311" s="135"/>
      <c r="R311" s="135"/>
      <c r="U311" s="4209" t="s">
        <v>3675</v>
      </c>
      <c r="V311" s="4201"/>
      <c r="W311" s="515">
        <v>0</v>
      </c>
      <c r="X311" s="429"/>
      <c r="Y311" s="474"/>
      <c r="Z311" s="271"/>
      <c r="AA311" s="274"/>
      <c r="AB311" s="346"/>
      <c r="AC311" s="313"/>
      <c r="AD311" s="225"/>
      <c r="AE311" s="223"/>
      <c r="AF311" s="554"/>
    </row>
    <row r="312" spans="1:32" ht="16.5" customHeight="1">
      <c r="A312" s="221"/>
      <c r="B312" s="221"/>
      <c r="C312" s="221"/>
      <c r="D312" s="221"/>
      <c r="E312" s="221"/>
      <c r="F312" s="221"/>
      <c r="G312" s="221"/>
      <c r="H312" s="221"/>
      <c r="I312" s="221"/>
      <c r="J312" s="221"/>
      <c r="K312" s="221"/>
      <c r="L312" s="221"/>
      <c r="M312" s="221"/>
      <c r="N312" s="221"/>
      <c r="O312" s="221"/>
      <c r="P312" s="135"/>
      <c r="Q312" s="135"/>
      <c r="R312" s="135"/>
      <c r="U312" s="4209" t="s">
        <v>3676</v>
      </c>
      <c r="V312" s="4201"/>
      <c r="W312" s="515">
        <f>SUM(Z292:Z295)</f>
        <v>584310.39520000014</v>
      </c>
      <c r="X312" s="429"/>
      <c r="Y312" s="474"/>
      <c r="Z312" s="345"/>
      <c r="AA312" s="317"/>
      <c r="AB312" s="311"/>
      <c r="AC312" s="313"/>
      <c r="AD312" s="225"/>
      <c r="AE312" s="223"/>
      <c r="AF312" s="554"/>
    </row>
    <row r="313" spans="1:32" ht="16.5" customHeight="1">
      <c r="A313" s="221"/>
      <c r="B313" s="221"/>
      <c r="C313" s="221"/>
      <c r="D313" s="221"/>
      <c r="E313" s="221"/>
      <c r="F313" s="221"/>
      <c r="G313" s="221"/>
      <c r="H313" s="221"/>
      <c r="I313" s="221"/>
      <c r="J313" s="221"/>
      <c r="K313" s="221"/>
      <c r="L313" s="221"/>
      <c r="M313" s="221"/>
      <c r="N313" s="221"/>
      <c r="O313" s="221"/>
      <c r="P313" s="135"/>
      <c r="Q313" s="135"/>
      <c r="R313" s="135"/>
      <c r="U313" s="4209" t="s">
        <v>3677</v>
      </c>
      <c r="V313" s="4201"/>
      <c r="W313" s="517">
        <v>0</v>
      </c>
      <c r="X313" s="429"/>
      <c r="Y313" s="475"/>
      <c r="Z313" s="317"/>
      <c r="AA313" s="269"/>
      <c r="AB313" s="311"/>
      <c r="AC313" s="313"/>
      <c r="AD313" s="225"/>
      <c r="AE313" s="223"/>
      <c r="AF313" s="554"/>
    </row>
    <row r="314" spans="1:32" ht="15.75" customHeight="1" thickBot="1">
      <c r="U314" s="4295" t="s">
        <v>183</v>
      </c>
      <c r="V314" s="4296"/>
      <c r="W314" s="1572">
        <f>SUM(W306:W313)</f>
        <v>970274.97280000011</v>
      </c>
      <c r="X314" s="429"/>
      <c r="Y314" s="473"/>
      <c r="Z314" s="269"/>
    </row>
    <row r="315" spans="1:32" ht="15.75" customHeight="1" thickTop="1"/>
  </sheetData>
  <mergeCells count="898">
    <mergeCell ref="AF9:AF13"/>
    <mergeCell ref="J9:J13"/>
    <mergeCell ref="K9:K13"/>
    <mergeCell ref="L9:L13"/>
    <mergeCell ref="M9:M13"/>
    <mergeCell ref="N9:N13"/>
    <mergeCell ref="O9:O13"/>
    <mergeCell ref="P9:P13"/>
    <mergeCell ref="A1:AF1"/>
    <mergeCell ref="A2:AF2"/>
    <mergeCell ref="A3:AF3"/>
    <mergeCell ref="A4:AF4"/>
    <mergeCell ref="E9:E13"/>
    <mergeCell ref="F9:F13"/>
    <mergeCell ref="G9:G13"/>
    <mergeCell ref="H9:H13"/>
    <mergeCell ref="I9:I13"/>
    <mergeCell ref="Q9:Q13"/>
    <mergeCell ref="R9:R13"/>
    <mergeCell ref="A9:A277"/>
    <mergeCell ref="B9:B89"/>
    <mergeCell ref="C9:C13"/>
    <mergeCell ref="D9:D13"/>
    <mergeCell ref="C198:C202"/>
    <mergeCell ref="N44:N48"/>
    <mergeCell ref="O44:O48"/>
    <mergeCell ref="P44:P48"/>
    <mergeCell ref="Q44:Q48"/>
    <mergeCell ref="R44:R48"/>
    <mergeCell ref="E44:E48"/>
    <mergeCell ref="F44:F48"/>
    <mergeCell ref="G44:G48"/>
    <mergeCell ref="H44:H48"/>
    <mergeCell ref="I44:I48"/>
    <mergeCell ref="J44:J48"/>
    <mergeCell ref="K44:K48"/>
    <mergeCell ref="L54:L58"/>
    <mergeCell ref="M54:M58"/>
    <mergeCell ref="N54:N58"/>
    <mergeCell ref="O54:O58"/>
    <mergeCell ref="P54:P58"/>
    <mergeCell ref="Q54:Q58"/>
    <mergeCell ref="R54:R58"/>
    <mergeCell ref="AF54:AF58"/>
    <mergeCell ref="E54:E58"/>
    <mergeCell ref="F54:F58"/>
    <mergeCell ref="G54:G58"/>
    <mergeCell ref="H54:H58"/>
    <mergeCell ref="I54:I58"/>
    <mergeCell ref="J54:J58"/>
    <mergeCell ref="K54:K58"/>
    <mergeCell ref="C89:R89"/>
    <mergeCell ref="S89:Z89"/>
    <mergeCell ref="AC89:AF89"/>
    <mergeCell ref="J84:J88"/>
    <mergeCell ref="K84:K88"/>
    <mergeCell ref="L84:L88"/>
    <mergeCell ref="M84:M88"/>
    <mergeCell ref="N84:N88"/>
    <mergeCell ref="O84:O88"/>
    <mergeCell ref="P84:P88"/>
    <mergeCell ref="C84:C88"/>
    <mergeCell ref="D84:D88"/>
    <mergeCell ref="E84:E88"/>
    <mergeCell ref="F84:F88"/>
    <mergeCell ref="G84:G88"/>
    <mergeCell ref="H84:H88"/>
    <mergeCell ref="I84:I88"/>
    <mergeCell ref="AF95:AF99"/>
    <mergeCell ref="E95:E99"/>
    <mergeCell ref="F95:F99"/>
    <mergeCell ref="G95:G99"/>
    <mergeCell ref="H95:H99"/>
    <mergeCell ref="I95:I99"/>
    <mergeCell ref="J95:J99"/>
    <mergeCell ref="K95:K99"/>
    <mergeCell ref="L90:L94"/>
    <mergeCell ref="M90:M94"/>
    <mergeCell ref="N90:N94"/>
    <mergeCell ref="O90:O94"/>
    <mergeCell ref="P90:P94"/>
    <mergeCell ref="Q90:Q94"/>
    <mergeCell ref="R90:R94"/>
    <mergeCell ref="AF90:AF94"/>
    <mergeCell ref="E90:E94"/>
    <mergeCell ref="F90:F94"/>
    <mergeCell ref="G90:G94"/>
    <mergeCell ref="H90:H94"/>
    <mergeCell ref="I90:I94"/>
    <mergeCell ref="J90:J94"/>
    <mergeCell ref="K90:K94"/>
    <mergeCell ref="H135:H139"/>
    <mergeCell ref="I135:I139"/>
    <mergeCell ref="J135:J139"/>
    <mergeCell ref="N95:N99"/>
    <mergeCell ref="O95:O99"/>
    <mergeCell ref="P95:P99"/>
    <mergeCell ref="Q95:Q99"/>
    <mergeCell ref="R95:R99"/>
    <mergeCell ref="L95:L99"/>
    <mergeCell ref="M95:M99"/>
    <mergeCell ref="L130:L134"/>
    <mergeCell ref="M130:M134"/>
    <mergeCell ref="M120:M124"/>
    <mergeCell ref="L115:L119"/>
    <mergeCell ref="M115:M119"/>
    <mergeCell ref="L100:L104"/>
    <mergeCell ref="M100:M104"/>
    <mergeCell ref="L105:L109"/>
    <mergeCell ref="M105:M109"/>
    <mergeCell ref="L110:L114"/>
    <mergeCell ref="M110:M114"/>
    <mergeCell ref="O130:O134"/>
    <mergeCell ref="P130:P134"/>
    <mergeCell ref="I120:I124"/>
    <mergeCell ref="AF155:AF159"/>
    <mergeCell ref="AC160:AF160"/>
    <mergeCell ref="AF150:AF154"/>
    <mergeCell ref="L145:L149"/>
    <mergeCell ref="M145:M149"/>
    <mergeCell ref="N145:N149"/>
    <mergeCell ref="O145:O149"/>
    <mergeCell ref="P145:P149"/>
    <mergeCell ref="Q145:Q149"/>
    <mergeCell ref="R145:R149"/>
    <mergeCell ref="AF145:AF149"/>
    <mergeCell ref="R150:R154"/>
    <mergeCell ref="P150:P154"/>
    <mergeCell ref="Q150:Q154"/>
    <mergeCell ref="J120:J124"/>
    <mergeCell ref="K120:K124"/>
    <mergeCell ref="S160:Z160"/>
    <mergeCell ref="L155:L159"/>
    <mergeCell ref="M155:M159"/>
    <mergeCell ref="N155:N159"/>
    <mergeCell ref="O155:O159"/>
    <mergeCell ref="P155:P159"/>
    <mergeCell ref="Q155:Q159"/>
    <mergeCell ref="R120:R124"/>
    <mergeCell ref="J150:J154"/>
    <mergeCell ref="K150:K154"/>
    <mergeCell ref="J145:J149"/>
    <mergeCell ref="K145:K149"/>
    <mergeCell ref="M135:M139"/>
    <mergeCell ref="R130:R134"/>
    <mergeCell ref="Q140:Q144"/>
    <mergeCell ref="R140:R144"/>
    <mergeCell ref="Q135:Q139"/>
    <mergeCell ref="R135:R139"/>
    <mergeCell ref="N135:N139"/>
    <mergeCell ref="O135:O139"/>
    <mergeCell ref="P135:P139"/>
    <mergeCell ref="N130:N134"/>
    <mergeCell ref="Q130:Q134"/>
    <mergeCell ref="K135:K139"/>
    <mergeCell ref="AF120:AF124"/>
    <mergeCell ref="AF135:AF139"/>
    <mergeCell ref="AF140:AF144"/>
    <mergeCell ref="O120:O124"/>
    <mergeCell ref="P120:P124"/>
    <mergeCell ref="E120:E124"/>
    <mergeCell ref="F120:F124"/>
    <mergeCell ref="G120:G124"/>
    <mergeCell ref="H120:H124"/>
    <mergeCell ref="AF130:AF134"/>
    <mergeCell ref="L125:L129"/>
    <mergeCell ref="M125:M129"/>
    <mergeCell ref="N125:N129"/>
    <mergeCell ref="O125:O129"/>
    <mergeCell ref="P125:P129"/>
    <mergeCell ref="Q125:Q129"/>
    <mergeCell ref="R125:R129"/>
    <mergeCell ref="AF125:AF129"/>
    <mergeCell ref="E125:E129"/>
    <mergeCell ref="F125:F129"/>
    <mergeCell ref="G125:G129"/>
    <mergeCell ref="H125:H129"/>
    <mergeCell ref="I125:I129"/>
    <mergeCell ref="Q120:Q124"/>
    <mergeCell ref="C120:C124"/>
    <mergeCell ref="C125:C129"/>
    <mergeCell ref="E140:E144"/>
    <mergeCell ref="F140:F144"/>
    <mergeCell ref="G140:G144"/>
    <mergeCell ref="H140:H144"/>
    <mergeCell ref="I140:I144"/>
    <mergeCell ref="C140:C144"/>
    <mergeCell ref="L120:L124"/>
    <mergeCell ref="D120:D124"/>
    <mergeCell ref="D125:D129"/>
    <mergeCell ref="L135:L139"/>
    <mergeCell ref="H130:H134"/>
    <mergeCell ref="J125:J129"/>
    <mergeCell ref="K125:K129"/>
    <mergeCell ref="I130:I134"/>
    <mergeCell ref="J130:J134"/>
    <mergeCell ref="K130:K134"/>
    <mergeCell ref="C130:C134"/>
    <mergeCell ref="C135:C139"/>
    <mergeCell ref="D135:D139"/>
    <mergeCell ref="E135:E139"/>
    <mergeCell ref="F135:F139"/>
    <mergeCell ref="G135:G139"/>
    <mergeCell ref="L161:L172"/>
    <mergeCell ref="M161:M172"/>
    <mergeCell ref="N161:N172"/>
    <mergeCell ref="O161:O172"/>
    <mergeCell ref="P161:P172"/>
    <mergeCell ref="Q161:Q172"/>
    <mergeCell ref="R161:R172"/>
    <mergeCell ref="J140:J144"/>
    <mergeCell ref="K140:K144"/>
    <mergeCell ref="L140:L144"/>
    <mergeCell ref="M140:M144"/>
    <mergeCell ref="N140:N144"/>
    <mergeCell ref="O140:O144"/>
    <mergeCell ref="P140:P144"/>
    <mergeCell ref="J155:J159"/>
    <mergeCell ref="K155:K159"/>
    <mergeCell ref="C160:R160"/>
    <mergeCell ref="R155:R159"/>
    <mergeCell ref="L150:L154"/>
    <mergeCell ref="M150:M154"/>
    <mergeCell ref="N150:N154"/>
    <mergeCell ref="O150:O154"/>
    <mergeCell ref="AF241:AF245"/>
    <mergeCell ref="AF193:AF197"/>
    <mergeCell ref="AF198:AF202"/>
    <mergeCell ref="AF203:AF207"/>
    <mergeCell ref="S208:Z208"/>
    <mergeCell ref="AC208:AF208"/>
    <mergeCell ref="AF209:AF213"/>
    <mergeCell ref="AF214:AF220"/>
    <mergeCell ref="N14:N18"/>
    <mergeCell ref="O14:O18"/>
    <mergeCell ref="P14:P18"/>
    <mergeCell ref="Q14:Q18"/>
    <mergeCell ref="R14:R18"/>
    <mergeCell ref="N178:N182"/>
    <mergeCell ref="AF161:AF172"/>
    <mergeCell ref="AF173:AF177"/>
    <mergeCell ref="AF178:AF182"/>
    <mergeCell ref="AF183:AF187"/>
    <mergeCell ref="AF188:AF192"/>
    <mergeCell ref="AF221:AF225"/>
    <mergeCell ref="AF226:AF230"/>
    <mergeCell ref="AF231:AF235"/>
    <mergeCell ref="AF236:AF240"/>
    <mergeCell ref="N120:N124"/>
    <mergeCell ref="Q19:Q23"/>
    <mergeCell ref="R19:R23"/>
    <mergeCell ref="L19:L23"/>
    <mergeCell ref="M19:M23"/>
    <mergeCell ref="N19:N23"/>
    <mergeCell ref="O19:O23"/>
    <mergeCell ref="P19:P23"/>
    <mergeCell ref="E14:E18"/>
    <mergeCell ref="F14:F18"/>
    <mergeCell ref="G14:G18"/>
    <mergeCell ref="H14:H18"/>
    <mergeCell ref="I14:I18"/>
    <mergeCell ref="J14:J18"/>
    <mergeCell ref="K14:K18"/>
    <mergeCell ref="J19:J23"/>
    <mergeCell ref="K19:K23"/>
    <mergeCell ref="P178:P182"/>
    <mergeCell ref="Q178:Q182"/>
    <mergeCell ref="R178:R182"/>
    <mergeCell ref="L173:L177"/>
    <mergeCell ref="M173:M177"/>
    <mergeCell ref="N173:N177"/>
    <mergeCell ref="O173:O177"/>
    <mergeCell ref="P173:P177"/>
    <mergeCell ref="Q173:Q177"/>
    <mergeCell ref="R173:R177"/>
    <mergeCell ref="L178:L182"/>
    <mergeCell ref="M178:M182"/>
    <mergeCell ref="L188:L192"/>
    <mergeCell ref="M188:M192"/>
    <mergeCell ref="N188:N192"/>
    <mergeCell ref="O188:O192"/>
    <mergeCell ref="P188:P192"/>
    <mergeCell ref="Q188:Q192"/>
    <mergeCell ref="R188:R192"/>
    <mergeCell ref="D178:D182"/>
    <mergeCell ref="D183:D187"/>
    <mergeCell ref="E183:E187"/>
    <mergeCell ref="F183:F187"/>
    <mergeCell ref="G183:G187"/>
    <mergeCell ref="H183:H187"/>
    <mergeCell ref="I183:I187"/>
    <mergeCell ref="Q183:Q187"/>
    <mergeCell ref="R183:R187"/>
    <mergeCell ref="J183:J187"/>
    <mergeCell ref="K183:K187"/>
    <mergeCell ref="L183:L187"/>
    <mergeCell ref="M183:M187"/>
    <mergeCell ref="N183:N187"/>
    <mergeCell ref="O183:O187"/>
    <mergeCell ref="P183:P187"/>
    <mergeCell ref="O178:O182"/>
    <mergeCell ref="F193:F197"/>
    <mergeCell ref="G193:G197"/>
    <mergeCell ref="Q198:Q202"/>
    <mergeCell ref="R198:R202"/>
    <mergeCell ref="L193:L197"/>
    <mergeCell ref="M193:M197"/>
    <mergeCell ref="N193:N197"/>
    <mergeCell ref="O193:O197"/>
    <mergeCell ref="P193:P197"/>
    <mergeCell ref="Q193:Q197"/>
    <mergeCell ref="R193:R197"/>
    <mergeCell ref="M203:M207"/>
    <mergeCell ref="N203:N207"/>
    <mergeCell ref="O203:O207"/>
    <mergeCell ref="P203:P207"/>
    <mergeCell ref="Q203:Q207"/>
    <mergeCell ref="R203:R207"/>
    <mergeCell ref="C208:R208"/>
    <mergeCell ref="I188:I192"/>
    <mergeCell ref="J188:J192"/>
    <mergeCell ref="L198:L202"/>
    <mergeCell ref="M198:M202"/>
    <mergeCell ref="N198:N202"/>
    <mergeCell ref="O198:O202"/>
    <mergeCell ref="P198:P202"/>
    <mergeCell ref="E198:E202"/>
    <mergeCell ref="F198:F202"/>
    <mergeCell ref="G198:G202"/>
    <mergeCell ref="H198:H202"/>
    <mergeCell ref="I198:I202"/>
    <mergeCell ref="J198:J202"/>
    <mergeCell ref="K198:K202"/>
    <mergeCell ref="D188:D192"/>
    <mergeCell ref="D193:D197"/>
    <mergeCell ref="E193:E197"/>
    <mergeCell ref="E203:E207"/>
    <mergeCell ref="F203:F207"/>
    <mergeCell ref="G203:G207"/>
    <mergeCell ref="H203:H207"/>
    <mergeCell ref="I203:I207"/>
    <mergeCell ref="J203:J207"/>
    <mergeCell ref="K203:K207"/>
    <mergeCell ref="E209:E213"/>
    <mergeCell ref="F209:F213"/>
    <mergeCell ref="G209:G213"/>
    <mergeCell ref="H209:H213"/>
    <mergeCell ref="I209:I213"/>
    <mergeCell ref="J209:J213"/>
    <mergeCell ref="K209:K213"/>
    <mergeCell ref="C145:C149"/>
    <mergeCell ref="D140:D144"/>
    <mergeCell ref="D145:D149"/>
    <mergeCell ref="E178:E182"/>
    <mergeCell ref="F178:F182"/>
    <mergeCell ref="G178:G182"/>
    <mergeCell ref="E188:E192"/>
    <mergeCell ref="F188:F192"/>
    <mergeCell ref="G188:G192"/>
    <mergeCell ref="C150:C154"/>
    <mergeCell ref="C155:C159"/>
    <mergeCell ref="D150:D154"/>
    <mergeCell ref="D155:D159"/>
    <mergeCell ref="E161:E172"/>
    <mergeCell ref="F161:F172"/>
    <mergeCell ref="G161:G172"/>
    <mergeCell ref="D161:D172"/>
    <mergeCell ref="D173:D177"/>
    <mergeCell ref="E173:E177"/>
    <mergeCell ref="F173:F177"/>
    <mergeCell ref="G173:G177"/>
    <mergeCell ref="E155:E159"/>
    <mergeCell ref="F155:F159"/>
    <mergeCell ref="G155:G159"/>
    <mergeCell ref="B161:B208"/>
    <mergeCell ref="C161:C172"/>
    <mergeCell ref="C173:C177"/>
    <mergeCell ref="C178:C182"/>
    <mergeCell ref="C183:C187"/>
    <mergeCell ref="C188:C192"/>
    <mergeCell ref="C193:C197"/>
    <mergeCell ref="J173:J177"/>
    <mergeCell ref="K173:K177"/>
    <mergeCell ref="H178:H182"/>
    <mergeCell ref="I178:I182"/>
    <mergeCell ref="J178:J182"/>
    <mergeCell ref="K178:K182"/>
    <mergeCell ref="H188:H192"/>
    <mergeCell ref="K188:K192"/>
    <mergeCell ref="J193:J197"/>
    <mergeCell ref="K193:K197"/>
    <mergeCell ref="H193:H197"/>
    <mergeCell ref="I193:I197"/>
    <mergeCell ref="H161:H172"/>
    <mergeCell ref="I161:I172"/>
    <mergeCell ref="H173:H177"/>
    <mergeCell ref="I173:I177"/>
    <mergeCell ref="J161:J172"/>
    <mergeCell ref="E241:E245"/>
    <mergeCell ref="F241:F245"/>
    <mergeCell ref="G241:G245"/>
    <mergeCell ref="H241:H245"/>
    <mergeCell ref="I241:I245"/>
    <mergeCell ref="Q241:Q245"/>
    <mergeCell ref="R241:R245"/>
    <mergeCell ref="J241:J245"/>
    <mergeCell ref="K241:K245"/>
    <mergeCell ref="L241:L245"/>
    <mergeCell ref="M241:M245"/>
    <mergeCell ref="N241:N245"/>
    <mergeCell ref="O241:O245"/>
    <mergeCell ref="P241:P245"/>
    <mergeCell ref="AF39:AF43"/>
    <mergeCell ref="AF44:AF48"/>
    <mergeCell ref="AF49:AF53"/>
    <mergeCell ref="L14:L18"/>
    <mergeCell ref="M14:M18"/>
    <mergeCell ref="AF14:AF18"/>
    <mergeCell ref="AF19:AF23"/>
    <mergeCell ref="AF24:AF28"/>
    <mergeCell ref="AF29:AF33"/>
    <mergeCell ref="AF34:AF38"/>
    <mergeCell ref="N24:N28"/>
    <mergeCell ref="O24:O28"/>
    <mergeCell ref="P24:P28"/>
    <mergeCell ref="Q24:Q28"/>
    <mergeCell ref="R24:R28"/>
    <mergeCell ref="L29:L33"/>
    <mergeCell ref="M29:M33"/>
    <mergeCell ref="N29:N33"/>
    <mergeCell ref="O29:O33"/>
    <mergeCell ref="P29:P33"/>
    <mergeCell ref="Q29:Q33"/>
    <mergeCell ref="R29:R33"/>
    <mergeCell ref="N49:N53"/>
    <mergeCell ref="O49:O53"/>
    <mergeCell ref="C14:C18"/>
    <mergeCell ref="C19:C23"/>
    <mergeCell ref="E19:E23"/>
    <mergeCell ref="F19:F23"/>
    <mergeCell ref="G19:G23"/>
    <mergeCell ref="H19:H23"/>
    <mergeCell ref="I19:I23"/>
    <mergeCell ref="L24:L28"/>
    <mergeCell ref="M24:M28"/>
    <mergeCell ref="E24:E28"/>
    <mergeCell ref="F24:F28"/>
    <mergeCell ref="G24:G28"/>
    <mergeCell ref="H24:H28"/>
    <mergeCell ref="I24:I28"/>
    <mergeCell ref="J24:J28"/>
    <mergeCell ref="K24:K28"/>
    <mergeCell ref="D19:D23"/>
    <mergeCell ref="C24:C28"/>
    <mergeCell ref="D24:D28"/>
    <mergeCell ref="D14:D18"/>
    <mergeCell ref="E29:E33"/>
    <mergeCell ref="F29:F33"/>
    <mergeCell ref="G29:G33"/>
    <mergeCell ref="H29:H33"/>
    <mergeCell ref="I29:I33"/>
    <mergeCell ref="J29:J33"/>
    <mergeCell ref="K29:K33"/>
    <mergeCell ref="L49:L53"/>
    <mergeCell ref="M49:M53"/>
    <mergeCell ref="L39:L43"/>
    <mergeCell ref="M39:M43"/>
    <mergeCell ref="L34:L38"/>
    <mergeCell ref="M34:M38"/>
    <mergeCell ref="L44:L48"/>
    <mergeCell ref="M44:M48"/>
    <mergeCell ref="P49:P53"/>
    <mergeCell ref="Q49:Q53"/>
    <mergeCell ref="R49:R53"/>
    <mergeCell ref="E49:E53"/>
    <mergeCell ref="F49:F53"/>
    <mergeCell ref="G49:G53"/>
    <mergeCell ref="H49:H53"/>
    <mergeCell ref="I49:I53"/>
    <mergeCell ref="J49:J53"/>
    <mergeCell ref="K49:K53"/>
    <mergeCell ref="N39:N43"/>
    <mergeCell ref="O39:O43"/>
    <mergeCell ref="P39:P43"/>
    <mergeCell ref="Q39:Q43"/>
    <mergeCell ref="R39:R43"/>
    <mergeCell ref="E39:E43"/>
    <mergeCell ref="F39:F43"/>
    <mergeCell ref="G39:G43"/>
    <mergeCell ref="H39:H43"/>
    <mergeCell ref="I39:I43"/>
    <mergeCell ref="J39:J43"/>
    <mergeCell ref="K39:K43"/>
    <mergeCell ref="C29:C33"/>
    <mergeCell ref="D29:D33"/>
    <mergeCell ref="C34:C38"/>
    <mergeCell ref="D34:D38"/>
    <mergeCell ref="C39:C43"/>
    <mergeCell ref="D39:D43"/>
    <mergeCell ref="C44:C48"/>
    <mergeCell ref="D44:D48"/>
    <mergeCell ref="C49:C53"/>
    <mergeCell ref="D49:D53"/>
    <mergeCell ref="C54:C58"/>
    <mergeCell ref="D54:D58"/>
    <mergeCell ref="C59:C63"/>
    <mergeCell ref="D59:D63"/>
    <mergeCell ref="E59:E63"/>
    <mergeCell ref="F59:F63"/>
    <mergeCell ref="G59:G63"/>
    <mergeCell ref="H59:H63"/>
    <mergeCell ref="I59:I63"/>
    <mergeCell ref="Q59:Q63"/>
    <mergeCell ref="R59:R63"/>
    <mergeCell ref="AF59:AF63"/>
    <mergeCell ref="AF64:AF78"/>
    <mergeCell ref="AF79:AF83"/>
    <mergeCell ref="AF84:AF88"/>
    <mergeCell ref="J59:J63"/>
    <mergeCell ref="K59:K63"/>
    <mergeCell ref="L59:L63"/>
    <mergeCell ref="M59:M63"/>
    <mergeCell ref="N59:N63"/>
    <mergeCell ref="O59:O63"/>
    <mergeCell ref="P59:P63"/>
    <mergeCell ref="Q84:Q88"/>
    <mergeCell ref="R84:R88"/>
    <mergeCell ref="C64:C78"/>
    <mergeCell ref="D64:D78"/>
    <mergeCell ref="E64:E78"/>
    <mergeCell ref="F64:F78"/>
    <mergeCell ref="G64:G78"/>
    <mergeCell ref="H64:H78"/>
    <mergeCell ref="I64:I78"/>
    <mergeCell ref="Q64:Q78"/>
    <mergeCell ref="R64:R78"/>
    <mergeCell ref="J64:J78"/>
    <mergeCell ref="K64:K78"/>
    <mergeCell ref="L64:L78"/>
    <mergeCell ref="M64:M78"/>
    <mergeCell ref="N64:N78"/>
    <mergeCell ref="O64:O78"/>
    <mergeCell ref="P64:P78"/>
    <mergeCell ref="C79:C83"/>
    <mergeCell ref="D79:D83"/>
    <mergeCell ref="E79:E83"/>
    <mergeCell ref="F79:F83"/>
    <mergeCell ref="G79:G83"/>
    <mergeCell ref="H79:H83"/>
    <mergeCell ref="I79:I83"/>
    <mergeCell ref="Q79:Q83"/>
    <mergeCell ref="R79:R83"/>
    <mergeCell ref="J79:J83"/>
    <mergeCell ref="K79:K83"/>
    <mergeCell ref="L79:L83"/>
    <mergeCell ref="M79:M83"/>
    <mergeCell ref="N79:N83"/>
    <mergeCell ref="O79:O83"/>
    <mergeCell ref="P79:P83"/>
    <mergeCell ref="N115:N119"/>
    <mergeCell ref="O115:O119"/>
    <mergeCell ref="P115:P119"/>
    <mergeCell ref="Q115:Q119"/>
    <mergeCell ref="R115:R119"/>
    <mergeCell ref="AF115:AF119"/>
    <mergeCell ref="E115:E119"/>
    <mergeCell ref="F115:F119"/>
    <mergeCell ref="G115:G119"/>
    <mergeCell ref="H115:H119"/>
    <mergeCell ref="I115:I119"/>
    <mergeCell ref="J115:J119"/>
    <mergeCell ref="K115:K119"/>
    <mergeCell ref="N100:N104"/>
    <mergeCell ref="O100:O104"/>
    <mergeCell ref="P100:P104"/>
    <mergeCell ref="Q100:Q104"/>
    <mergeCell ref="R100:R104"/>
    <mergeCell ref="AF100:AF104"/>
    <mergeCell ref="E100:E104"/>
    <mergeCell ref="F100:F104"/>
    <mergeCell ref="G100:G104"/>
    <mergeCell ref="H100:H104"/>
    <mergeCell ref="I100:I104"/>
    <mergeCell ref="J100:J104"/>
    <mergeCell ref="K100:K104"/>
    <mergeCell ref="N105:N109"/>
    <mergeCell ref="O105:O109"/>
    <mergeCell ref="P105:P109"/>
    <mergeCell ref="Q105:Q109"/>
    <mergeCell ref="R105:R109"/>
    <mergeCell ref="AF105:AF109"/>
    <mergeCell ref="E105:E109"/>
    <mergeCell ref="F105:F109"/>
    <mergeCell ref="G105:G109"/>
    <mergeCell ref="H105:H109"/>
    <mergeCell ref="I105:I109"/>
    <mergeCell ref="J105:J109"/>
    <mergeCell ref="K105:K109"/>
    <mergeCell ref="N110:N114"/>
    <mergeCell ref="O110:O114"/>
    <mergeCell ref="P110:P114"/>
    <mergeCell ref="Q110:Q114"/>
    <mergeCell ref="R110:R114"/>
    <mergeCell ref="AF110:AF114"/>
    <mergeCell ref="E110:E114"/>
    <mergeCell ref="F110:F114"/>
    <mergeCell ref="G110:G114"/>
    <mergeCell ref="H110:H114"/>
    <mergeCell ref="I110:I114"/>
    <mergeCell ref="J110:J114"/>
    <mergeCell ref="K110:K114"/>
    <mergeCell ref="P34:P38"/>
    <mergeCell ref="Q34:Q38"/>
    <mergeCell ref="R34:R38"/>
    <mergeCell ref="E34:E38"/>
    <mergeCell ref="F34:F38"/>
    <mergeCell ref="G34:G38"/>
    <mergeCell ref="H34:H38"/>
    <mergeCell ref="I34:I38"/>
    <mergeCell ref="J34:J38"/>
    <mergeCell ref="K34:K38"/>
    <mergeCell ref="N34:N38"/>
    <mergeCell ref="O34:O38"/>
    <mergeCell ref="D90:D94"/>
    <mergeCell ref="D95:D99"/>
    <mergeCell ref="D100:D104"/>
    <mergeCell ref="D105:D109"/>
    <mergeCell ref="D110:D114"/>
    <mergeCell ref="D115:D119"/>
    <mergeCell ref="E130:E134"/>
    <mergeCell ref="F130:F134"/>
    <mergeCell ref="G130:G134"/>
    <mergeCell ref="D130:D134"/>
    <mergeCell ref="G231:G235"/>
    <mergeCell ref="H231:H235"/>
    <mergeCell ref="I231:I235"/>
    <mergeCell ref="J231:J235"/>
    <mergeCell ref="K231:K235"/>
    <mergeCell ref="E236:E240"/>
    <mergeCell ref="F236:F240"/>
    <mergeCell ref="G236:G240"/>
    <mergeCell ref="H236:H240"/>
    <mergeCell ref="I236:I240"/>
    <mergeCell ref="J236:J240"/>
    <mergeCell ref="K236:K240"/>
    <mergeCell ref="E231:E235"/>
    <mergeCell ref="H155:H159"/>
    <mergeCell ref="I155:I159"/>
    <mergeCell ref="E150:E154"/>
    <mergeCell ref="F150:F154"/>
    <mergeCell ref="G150:G154"/>
    <mergeCell ref="H150:H154"/>
    <mergeCell ref="E145:E149"/>
    <mergeCell ref="F145:F149"/>
    <mergeCell ref="G145:G149"/>
    <mergeCell ref="H145:H149"/>
    <mergeCell ref="I150:I154"/>
    <mergeCell ref="I145:I149"/>
    <mergeCell ref="S276:Z276"/>
    <mergeCell ref="AC276:AF276"/>
    <mergeCell ref="AC277:AF277"/>
    <mergeCell ref="L246:L250"/>
    <mergeCell ref="M246:M250"/>
    <mergeCell ref="N246:N250"/>
    <mergeCell ref="O246:O250"/>
    <mergeCell ref="P246:P250"/>
    <mergeCell ref="K161:K172"/>
    <mergeCell ref="L231:L235"/>
    <mergeCell ref="M231:M235"/>
    <mergeCell ref="N231:N235"/>
    <mergeCell ref="O231:O235"/>
    <mergeCell ref="P231:P235"/>
    <mergeCell ref="Q231:Q235"/>
    <mergeCell ref="R231:R235"/>
    <mergeCell ref="L209:L213"/>
    <mergeCell ref="M209:M213"/>
    <mergeCell ref="N209:N213"/>
    <mergeCell ref="O209:O213"/>
    <mergeCell ref="P209:P213"/>
    <mergeCell ref="Q209:Q213"/>
    <mergeCell ref="R209:R213"/>
    <mergeCell ref="L203:L207"/>
    <mergeCell ref="U299:W299"/>
    <mergeCell ref="U300:V300"/>
    <mergeCell ref="U301:V301"/>
    <mergeCell ref="U302:V302"/>
    <mergeCell ref="U310:V310"/>
    <mergeCell ref="U311:V311"/>
    <mergeCell ref="U312:V312"/>
    <mergeCell ref="L236:L240"/>
    <mergeCell ref="M236:M240"/>
    <mergeCell ref="N236:N240"/>
    <mergeCell ref="O236:O240"/>
    <mergeCell ref="P236:P240"/>
    <mergeCell ref="Q236:Q240"/>
    <mergeCell ref="R236:R240"/>
    <mergeCell ref="S278:AF278"/>
    <mergeCell ref="U280:Z280"/>
    <mergeCell ref="AC279:AD279"/>
    <mergeCell ref="AF246:AF250"/>
    <mergeCell ref="AF251:AF255"/>
    <mergeCell ref="AF256:AF260"/>
    <mergeCell ref="AF261:AF265"/>
    <mergeCell ref="AF266:AF270"/>
    <mergeCell ref="AF271:AF275"/>
    <mergeCell ref="Q246:Q250"/>
    <mergeCell ref="U313:V313"/>
    <mergeCell ref="U314:V314"/>
    <mergeCell ref="U303:V303"/>
    <mergeCell ref="U304:V304"/>
    <mergeCell ref="U305:W305"/>
    <mergeCell ref="U306:V306"/>
    <mergeCell ref="U307:V307"/>
    <mergeCell ref="U308:V308"/>
    <mergeCell ref="U309:V309"/>
    <mergeCell ref="R246:R250"/>
    <mergeCell ref="E246:E250"/>
    <mergeCell ref="F246:F250"/>
    <mergeCell ref="G246:G250"/>
    <mergeCell ref="H246:H250"/>
    <mergeCell ref="I246:I250"/>
    <mergeCell ref="J246:J250"/>
    <mergeCell ref="K246:K250"/>
    <mergeCell ref="L251:L255"/>
    <mergeCell ref="M251:M255"/>
    <mergeCell ref="N251:N255"/>
    <mergeCell ref="O251:O255"/>
    <mergeCell ref="P251:P255"/>
    <mergeCell ref="Q251:Q255"/>
    <mergeCell ref="R251:R255"/>
    <mergeCell ref="E251:E255"/>
    <mergeCell ref="F251:F255"/>
    <mergeCell ref="G251:G255"/>
    <mergeCell ref="H251:H255"/>
    <mergeCell ref="I251:I255"/>
    <mergeCell ref="J251:J255"/>
    <mergeCell ref="K251:K255"/>
    <mergeCell ref="L256:L260"/>
    <mergeCell ref="M256:M260"/>
    <mergeCell ref="N256:N260"/>
    <mergeCell ref="O256:O260"/>
    <mergeCell ref="P256:P260"/>
    <mergeCell ref="Q256:Q260"/>
    <mergeCell ref="R256:R260"/>
    <mergeCell ref="E256:E260"/>
    <mergeCell ref="F256:F260"/>
    <mergeCell ref="G256:G260"/>
    <mergeCell ref="H256:H260"/>
    <mergeCell ref="I256:I260"/>
    <mergeCell ref="J256:J260"/>
    <mergeCell ref="K256:K260"/>
    <mergeCell ref="L261:L265"/>
    <mergeCell ref="M261:M265"/>
    <mergeCell ref="N261:N265"/>
    <mergeCell ref="O261:O265"/>
    <mergeCell ref="P261:P265"/>
    <mergeCell ref="Q261:Q265"/>
    <mergeCell ref="R261:R265"/>
    <mergeCell ref="E261:E265"/>
    <mergeCell ref="F261:F265"/>
    <mergeCell ref="G261:G265"/>
    <mergeCell ref="H261:H265"/>
    <mergeCell ref="I261:I265"/>
    <mergeCell ref="J261:J265"/>
    <mergeCell ref="K261:K265"/>
    <mergeCell ref="L266:L270"/>
    <mergeCell ref="M266:M270"/>
    <mergeCell ref="N266:N270"/>
    <mergeCell ref="O266:O270"/>
    <mergeCell ref="P266:P270"/>
    <mergeCell ref="Q266:Q270"/>
    <mergeCell ref="R266:R270"/>
    <mergeCell ref="C276:R276"/>
    <mergeCell ref="E266:E270"/>
    <mergeCell ref="F266:F270"/>
    <mergeCell ref="G266:G270"/>
    <mergeCell ref="H266:H270"/>
    <mergeCell ref="I266:I270"/>
    <mergeCell ref="J266:J270"/>
    <mergeCell ref="K266:K270"/>
    <mergeCell ref="L271:L275"/>
    <mergeCell ref="M271:M275"/>
    <mergeCell ref="N271:N275"/>
    <mergeCell ref="O271:O275"/>
    <mergeCell ref="P271:P275"/>
    <mergeCell ref="Q271:Q275"/>
    <mergeCell ref="R271:R275"/>
    <mergeCell ref="E271:E275"/>
    <mergeCell ref="F271:F275"/>
    <mergeCell ref="L214:L220"/>
    <mergeCell ref="M214:M220"/>
    <mergeCell ref="N214:N220"/>
    <mergeCell ref="O214:O220"/>
    <mergeCell ref="P214:P220"/>
    <mergeCell ref="Q214:Q220"/>
    <mergeCell ref="R214:R220"/>
    <mergeCell ref="E214:E220"/>
    <mergeCell ref="F214:F220"/>
    <mergeCell ref="G214:G220"/>
    <mergeCell ref="H214:H220"/>
    <mergeCell ref="I214:I220"/>
    <mergeCell ref="J214:J220"/>
    <mergeCell ref="K214:K220"/>
    <mergeCell ref="L221:L225"/>
    <mergeCell ref="M221:M225"/>
    <mergeCell ref="N221:N225"/>
    <mergeCell ref="O221:O225"/>
    <mergeCell ref="P221:P225"/>
    <mergeCell ref="Q221:Q225"/>
    <mergeCell ref="R221:R225"/>
    <mergeCell ref="E221:E225"/>
    <mergeCell ref="F221:F225"/>
    <mergeCell ref="G221:G225"/>
    <mergeCell ref="H221:H225"/>
    <mergeCell ref="I221:I225"/>
    <mergeCell ref="J221:J225"/>
    <mergeCell ref="K221:K225"/>
    <mergeCell ref="L226:L230"/>
    <mergeCell ref="M226:M230"/>
    <mergeCell ref="N226:N230"/>
    <mergeCell ref="O226:O230"/>
    <mergeCell ref="P226:P230"/>
    <mergeCell ref="Q226:Q230"/>
    <mergeCell ref="R226:R230"/>
    <mergeCell ref="E226:E230"/>
    <mergeCell ref="F226:F230"/>
    <mergeCell ref="G226:G230"/>
    <mergeCell ref="H226:H230"/>
    <mergeCell ref="I226:I230"/>
    <mergeCell ref="J226:J230"/>
    <mergeCell ref="K226:K230"/>
    <mergeCell ref="G271:G275"/>
    <mergeCell ref="H271:H275"/>
    <mergeCell ref="I271:I275"/>
    <mergeCell ref="J271:J275"/>
    <mergeCell ref="K271:K275"/>
    <mergeCell ref="B90:B160"/>
    <mergeCell ref="C90:C94"/>
    <mergeCell ref="C95:C99"/>
    <mergeCell ref="C100:C104"/>
    <mergeCell ref="C105:C109"/>
    <mergeCell ref="C110:C114"/>
    <mergeCell ref="C115:C119"/>
    <mergeCell ref="C251:C255"/>
    <mergeCell ref="D251:D255"/>
    <mergeCell ref="C256:C260"/>
    <mergeCell ref="D256:D260"/>
    <mergeCell ref="C261:C265"/>
    <mergeCell ref="D261:D265"/>
    <mergeCell ref="C266:C270"/>
    <mergeCell ref="D266:D270"/>
    <mergeCell ref="C271:C275"/>
    <mergeCell ref="D271:D275"/>
    <mergeCell ref="F231:F235"/>
    <mergeCell ref="D198:D202"/>
    <mergeCell ref="C203:C207"/>
    <mergeCell ref="D203:D207"/>
    <mergeCell ref="D209:D213"/>
    <mergeCell ref="D214:D220"/>
    <mergeCell ref="D221:D225"/>
    <mergeCell ref="D226:D230"/>
    <mergeCell ref="C241:C245"/>
    <mergeCell ref="C246:C250"/>
    <mergeCell ref="D231:D235"/>
    <mergeCell ref="D236:D240"/>
    <mergeCell ref="B209:B276"/>
    <mergeCell ref="C209:C213"/>
    <mergeCell ref="C214:C220"/>
    <mergeCell ref="C221:C225"/>
    <mergeCell ref="C226:C230"/>
    <mergeCell ref="C231:C235"/>
    <mergeCell ref="C236:C240"/>
    <mergeCell ref="D241:D245"/>
    <mergeCell ref="D246:D250"/>
    <mergeCell ref="S277:Z277"/>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conditionalFormatting sqref="S12">
    <cfRule type="notContainsBlanks" dxfId="0" priority="1">
      <formula>LEN(TRIM(S12))&gt;0</formula>
    </cfRule>
  </conditionalFormatting>
  <dataValidations count="3">
    <dataValidation type="list" allowBlank="1" showErrorMessage="1" sqref="F9 F14 F19 F24 F29 F34 F39 F44 F49 F54 F59 F64 F79 F84 F90 F95 F100 F105 F110 F115 F120 F125 F130 F135 F140 F145 F150 F155 F161 F173 F178 F183 F188 F193 F198 F203 F209 F214 F221 F226 F231 F236 F241 F246 F251 F256 F261 F266 F271">
      <formula1>INDIRECT($E9)</formula1>
    </dataValidation>
    <dataValidation type="list" allowBlank="1" showErrorMessage="1" sqref="E9 E14 E19 E24 E29 E34 E39 E44 E49 E54 E59 E64 E79 E84 E90 E95 E100 E105 E110 E115 E120 E125 E130 E135 E140 E145 E150 E155 E161 E173 E178 E183 E188 E193 E198 E203 E209 E214 E221 E226 E231 E236 E241 E246 E251 E256 E261 E266 E271">
      <formula1>INDIRECT($G9)</formula1>
    </dataValidation>
    <dataValidation type="decimal" allowBlank="1" showInputMessage="1" showErrorMessage="1" prompt="DPLAN - Sólo debe ingresar valores, NO porcentajes." sqref="N14:O14 M19:O19 M24:O24 M29:N29 M39:O39 M44:O44 M49:O49 M54:O54 M59:O59 M64:O64 M79:O79 M84:O84 M95:O95 M100:O100 M105:O105 M110:O110 M115:O115 M120:O120 M125:O125 M130:O130 M135:O135 M140:O140 M145:O145 M150:O150 M155:O155 M173:O173 M178:O178 M183:O183 M188:O188 M198:O198 M203:O203 N214:O214 M221:O221 M226:O226 M231:N231 M241:O241 M246:O246 M251:O251 M256:O256 M261:O261 M266:O266 M271:O271">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&amp;"Cambria,Cursiva"&amp;12&amp;K0070C0Administración Central&amp;C&amp;"Century Schoolbook,Normal"&amp;12&amp;K002060&amp;P</oddHead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452"/>
  <sheetViews>
    <sheetView showGridLines="0" topLeftCell="T150" zoomScaleNormal="100" workbookViewId="0">
      <selection activeCell="AF452" sqref="AF452"/>
    </sheetView>
  </sheetViews>
  <sheetFormatPr baseColWidth="10" defaultColWidth="12.5703125" defaultRowHeight="15.75" customHeight="1"/>
  <cols>
    <col min="1" max="2" width="5" customWidth="1"/>
    <col min="3" max="11" width="22.42578125" customWidth="1"/>
    <col min="12" max="12" width="25.5703125" customWidth="1"/>
    <col min="13" max="15" width="8.7109375" customWidth="1"/>
    <col min="16" max="18" width="22.42578125" customWidth="1"/>
    <col min="19" max="19" width="31" customWidth="1"/>
    <col min="20" max="20" width="15.5703125" customWidth="1"/>
    <col min="21" max="21" width="34.85546875" customWidth="1"/>
    <col min="22" max="22" width="51" customWidth="1"/>
    <col min="23" max="23" width="16.7109375" customWidth="1"/>
    <col min="24" max="24" width="12" customWidth="1"/>
    <col min="25" max="25" width="15.28515625" customWidth="1"/>
    <col min="26" max="26" width="16.85546875" customWidth="1"/>
    <col min="27" max="27" width="15.28515625" customWidth="1"/>
    <col min="28" max="28" width="17.42578125" customWidth="1"/>
    <col min="29" max="31" width="7.7109375" customWidth="1"/>
    <col min="32" max="32" width="19.7109375" customWidth="1"/>
  </cols>
  <sheetData>
    <row r="1" spans="1:32" ht="42"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150"/>
      <c r="V2" s="4253"/>
      <c r="W2" s="4253"/>
      <c r="X2" s="4253"/>
      <c r="Y2" s="4253"/>
      <c r="Z2" s="4253"/>
      <c r="AA2" s="4253"/>
      <c r="AB2" s="4253"/>
      <c r="AC2" s="4253"/>
      <c r="AD2" s="4253"/>
      <c r="AE2" s="4253"/>
      <c r="AF2" s="4253"/>
    </row>
    <row r="3" spans="1:32" ht="30.75">
      <c r="A3" s="4254" t="s">
        <v>1135</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68"/>
      <c r="B5" s="68"/>
      <c r="C5" s="68"/>
      <c r="D5" s="68"/>
      <c r="E5" s="68"/>
      <c r="F5" s="68"/>
      <c r="G5" s="68"/>
      <c r="H5" s="68"/>
      <c r="I5" s="68"/>
      <c r="J5" s="68"/>
      <c r="K5" s="68"/>
      <c r="L5" s="68"/>
      <c r="M5" s="68"/>
      <c r="N5" s="68"/>
      <c r="O5" s="68"/>
      <c r="P5" s="68"/>
      <c r="Q5" s="68"/>
      <c r="R5" s="68"/>
      <c r="S5" s="570"/>
      <c r="T5" s="570"/>
      <c r="U5" s="570"/>
      <c r="V5" s="570"/>
      <c r="W5" s="570"/>
      <c r="X5" s="570"/>
      <c r="Y5" s="570"/>
      <c r="Z5" s="570"/>
      <c r="AA5" s="570"/>
      <c r="AB5" s="570"/>
      <c r="AC5" s="570"/>
      <c r="AD5" s="570"/>
      <c r="AE5" s="570"/>
      <c r="AF5" s="570"/>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31.5" customHeight="1">
      <c r="A9" s="4563" t="s">
        <v>1135</v>
      </c>
      <c r="B9" s="5143" t="s">
        <v>1135</v>
      </c>
      <c r="C9" s="5147" t="s">
        <v>235</v>
      </c>
      <c r="D9" s="5148" t="s">
        <v>236</v>
      </c>
      <c r="E9" s="5148" t="s">
        <v>244</v>
      </c>
      <c r="F9" s="5148" t="s">
        <v>337</v>
      </c>
      <c r="G9" s="5164" t="s">
        <v>239</v>
      </c>
      <c r="H9" s="5148" t="s">
        <v>256</v>
      </c>
      <c r="I9" s="5148" t="s">
        <v>257</v>
      </c>
      <c r="J9" s="5148" t="s">
        <v>5528</v>
      </c>
      <c r="K9" s="5148" t="s">
        <v>5527</v>
      </c>
      <c r="L9" s="5148" t="s">
        <v>1136</v>
      </c>
      <c r="M9" s="5175">
        <v>0.01</v>
      </c>
      <c r="N9" s="5176">
        <v>0.02</v>
      </c>
      <c r="O9" s="5175">
        <v>0.02</v>
      </c>
      <c r="P9" s="5148" t="s">
        <v>5482</v>
      </c>
      <c r="Q9" s="5148" t="s">
        <v>5366</v>
      </c>
      <c r="R9" s="5165" t="s">
        <v>5336</v>
      </c>
      <c r="S9" s="3737"/>
      <c r="T9" s="3717"/>
      <c r="U9" s="3717"/>
      <c r="V9" s="3533"/>
      <c r="W9" s="2629"/>
      <c r="X9" s="577"/>
      <c r="Y9" s="3559"/>
      <c r="Z9" s="3559"/>
      <c r="AA9" s="3559"/>
      <c r="AB9" s="3560"/>
      <c r="AC9" s="577"/>
      <c r="AD9" s="320"/>
      <c r="AE9" s="320"/>
      <c r="AF9" s="5159"/>
    </row>
    <row r="10" spans="1:32" ht="31.5" customHeight="1">
      <c r="A10" s="4564"/>
      <c r="B10" s="4570"/>
      <c r="C10" s="5145"/>
      <c r="D10" s="5130"/>
      <c r="E10" s="5130"/>
      <c r="F10" s="5130"/>
      <c r="G10" s="5130"/>
      <c r="H10" s="5130"/>
      <c r="I10" s="5130"/>
      <c r="J10" s="5130"/>
      <c r="K10" s="5130"/>
      <c r="L10" s="5130"/>
      <c r="M10" s="5138"/>
      <c r="N10" s="5138"/>
      <c r="O10" s="5138"/>
      <c r="P10" s="5130"/>
      <c r="Q10" s="5130"/>
      <c r="R10" s="5128"/>
      <c r="S10" s="3738"/>
      <c r="T10" s="3719"/>
      <c r="U10" s="3718"/>
      <c r="V10" s="2681"/>
      <c r="W10" s="2630"/>
      <c r="X10" s="532"/>
      <c r="Y10" s="3561"/>
      <c r="Z10" s="3561"/>
      <c r="AA10" s="3561"/>
      <c r="AB10" s="3562"/>
      <c r="AC10" s="532"/>
      <c r="AD10" s="533"/>
      <c r="AE10" s="533"/>
      <c r="AF10" s="5051"/>
    </row>
    <row r="11" spans="1:32" ht="31.5" customHeight="1">
      <c r="A11" s="4564"/>
      <c r="B11" s="4570"/>
      <c r="C11" s="5145"/>
      <c r="D11" s="5130"/>
      <c r="E11" s="5130"/>
      <c r="F11" s="5130"/>
      <c r="G11" s="5130"/>
      <c r="H11" s="5130"/>
      <c r="I11" s="5130"/>
      <c r="J11" s="5130"/>
      <c r="K11" s="5130"/>
      <c r="L11" s="5130"/>
      <c r="M11" s="5138"/>
      <c r="N11" s="5138"/>
      <c r="O11" s="5138"/>
      <c r="P11" s="5130"/>
      <c r="Q11" s="5130"/>
      <c r="R11" s="5128"/>
      <c r="S11" s="3738"/>
      <c r="T11" s="3719"/>
      <c r="U11" s="3718"/>
      <c r="V11" s="2681"/>
      <c r="W11" s="2630"/>
      <c r="X11" s="532"/>
      <c r="Y11" s="3561"/>
      <c r="Z11" s="3561"/>
      <c r="AA11" s="3561"/>
      <c r="AB11" s="3562"/>
      <c r="AC11" s="532"/>
      <c r="AD11" s="533"/>
      <c r="AE11" s="533"/>
      <c r="AF11" s="5051"/>
    </row>
    <row r="12" spans="1:32" ht="31.5" customHeight="1">
      <c r="A12" s="4564"/>
      <c r="B12" s="4570"/>
      <c r="C12" s="5145"/>
      <c r="D12" s="5130"/>
      <c r="E12" s="5130"/>
      <c r="F12" s="5130"/>
      <c r="G12" s="5130"/>
      <c r="H12" s="5130"/>
      <c r="I12" s="5130"/>
      <c r="J12" s="5130"/>
      <c r="K12" s="5130"/>
      <c r="L12" s="5130"/>
      <c r="M12" s="5138"/>
      <c r="N12" s="5138"/>
      <c r="O12" s="5138"/>
      <c r="P12" s="5130"/>
      <c r="Q12" s="5130"/>
      <c r="R12" s="5128"/>
      <c r="S12" s="3738"/>
      <c r="T12" s="3719"/>
      <c r="U12" s="3719"/>
      <c r="V12" s="2681"/>
      <c r="W12" s="2630"/>
      <c r="X12" s="532"/>
      <c r="Y12" s="3561"/>
      <c r="Z12" s="3561"/>
      <c r="AA12" s="3561"/>
      <c r="AB12" s="3562"/>
      <c r="AC12" s="532"/>
      <c r="AD12" s="533"/>
      <c r="AE12" s="533"/>
      <c r="AF12" s="5051"/>
    </row>
    <row r="13" spans="1:32" ht="31.5" customHeight="1">
      <c r="A13" s="4564"/>
      <c r="B13" s="4570"/>
      <c r="C13" s="5145"/>
      <c r="D13" s="5130"/>
      <c r="E13" s="5130"/>
      <c r="F13" s="5130"/>
      <c r="G13" s="5130"/>
      <c r="H13" s="5130"/>
      <c r="I13" s="5130"/>
      <c r="J13" s="5130"/>
      <c r="K13" s="5130"/>
      <c r="L13" s="5130"/>
      <c r="M13" s="5138"/>
      <c r="N13" s="5138"/>
      <c r="O13" s="5138"/>
      <c r="P13" s="5130"/>
      <c r="Q13" s="5130"/>
      <c r="R13" s="5153"/>
      <c r="S13" s="3739"/>
      <c r="T13" s="3733"/>
      <c r="U13" s="3720"/>
      <c r="V13" s="2682"/>
      <c r="W13" s="2631"/>
      <c r="X13" s="575"/>
      <c r="Y13" s="3603"/>
      <c r="Z13" s="3603"/>
      <c r="AA13" s="3603"/>
      <c r="AB13" s="3604"/>
      <c r="AC13" s="575"/>
      <c r="AD13" s="321"/>
      <c r="AE13" s="321"/>
      <c r="AF13" s="5051"/>
    </row>
    <row r="14" spans="1:32" ht="30" customHeight="1">
      <c r="A14" s="4564"/>
      <c r="B14" s="4570"/>
      <c r="C14" s="5144" t="s">
        <v>235</v>
      </c>
      <c r="D14" s="5129" t="s">
        <v>236</v>
      </c>
      <c r="E14" s="5129" t="s">
        <v>237</v>
      </c>
      <c r="F14" s="5129" t="s">
        <v>1137</v>
      </c>
      <c r="G14" s="5131" t="s">
        <v>239</v>
      </c>
      <c r="H14" s="5129" t="s">
        <v>240</v>
      </c>
      <c r="I14" s="5129" t="s">
        <v>257</v>
      </c>
      <c r="J14" s="5129" t="s">
        <v>5529</v>
      </c>
      <c r="K14" s="5129" t="s">
        <v>1138</v>
      </c>
      <c r="L14" s="5166" t="s">
        <v>5483</v>
      </c>
      <c r="M14" s="5142">
        <v>2</v>
      </c>
      <c r="N14" s="5142">
        <v>2</v>
      </c>
      <c r="O14" s="5142">
        <v>2</v>
      </c>
      <c r="P14" s="5129" t="s">
        <v>5481</v>
      </c>
      <c r="Q14" s="5129" t="s">
        <v>5367</v>
      </c>
      <c r="R14" s="5132" t="s">
        <v>5337</v>
      </c>
      <c r="S14" s="3740"/>
      <c r="T14" s="3721"/>
      <c r="U14" s="3721"/>
      <c r="V14" s="3575"/>
      <c r="W14" s="3576"/>
      <c r="X14" s="3580"/>
      <c r="Y14" s="3607"/>
      <c r="Z14" s="3607"/>
      <c r="AA14" s="3607"/>
      <c r="AB14" s="3608"/>
      <c r="AC14" s="3580"/>
      <c r="AD14" s="3582"/>
      <c r="AE14" s="3582"/>
      <c r="AF14" s="5154"/>
    </row>
    <row r="15" spans="1:32" ht="30" customHeight="1">
      <c r="A15" s="4564"/>
      <c r="B15" s="4570"/>
      <c r="C15" s="5145"/>
      <c r="D15" s="5130"/>
      <c r="E15" s="5130"/>
      <c r="F15" s="5130"/>
      <c r="G15" s="5130"/>
      <c r="H15" s="5130"/>
      <c r="I15" s="5130"/>
      <c r="J15" s="5130"/>
      <c r="K15" s="5130"/>
      <c r="L15" s="5130"/>
      <c r="M15" s="5138"/>
      <c r="N15" s="5138"/>
      <c r="O15" s="5138"/>
      <c r="P15" s="5130"/>
      <c r="Q15" s="5130"/>
      <c r="R15" s="5128"/>
      <c r="S15" s="3738"/>
      <c r="T15" s="3719"/>
      <c r="U15" s="3718"/>
      <c r="V15" s="2681"/>
      <c r="W15" s="2630"/>
      <c r="X15" s="532"/>
      <c r="Y15" s="3561"/>
      <c r="Z15" s="3561"/>
      <c r="AA15" s="3561"/>
      <c r="AB15" s="3562"/>
      <c r="AC15" s="532"/>
      <c r="AD15" s="533"/>
      <c r="AE15" s="533"/>
      <c r="AF15" s="5051"/>
    </row>
    <row r="16" spans="1:32" ht="30" customHeight="1">
      <c r="A16" s="4564"/>
      <c r="B16" s="4570"/>
      <c r="C16" s="5145"/>
      <c r="D16" s="5130"/>
      <c r="E16" s="5130"/>
      <c r="F16" s="5130"/>
      <c r="G16" s="5130"/>
      <c r="H16" s="5130"/>
      <c r="I16" s="5130"/>
      <c r="J16" s="5130"/>
      <c r="K16" s="5130"/>
      <c r="L16" s="5130"/>
      <c r="M16" s="5138"/>
      <c r="N16" s="5138"/>
      <c r="O16" s="5138"/>
      <c r="P16" s="5130"/>
      <c r="Q16" s="5130"/>
      <c r="R16" s="5128"/>
      <c r="S16" s="3738"/>
      <c r="T16" s="3719"/>
      <c r="U16" s="3718"/>
      <c r="V16" s="2681"/>
      <c r="W16" s="2630"/>
      <c r="X16" s="532"/>
      <c r="Y16" s="3561"/>
      <c r="Z16" s="3561"/>
      <c r="AA16" s="3561"/>
      <c r="AB16" s="3562"/>
      <c r="AC16" s="532"/>
      <c r="AD16" s="533"/>
      <c r="AE16" s="533"/>
      <c r="AF16" s="5051"/>
    </row>
    <row r="17" spans="1:32" ht="30" customHeight="1">
      <c r="A17" s="4564"/>
      <c r="B17" s="4570"/>
      <c r="C17" s="5145"/>
      <c r="D17" s="5130"/>
      <c r="E17" s="5130"/>
      <c r="F17" s="5130"/>
      <c r="G17" s="5130"/>
      <c r="H17" s="5130"/>
      <c r="I17" s="5130"/>
      <c r="J17" s="5130"/>
      <c r="K17" s="5130"/>
      <c r="L17" s="5130"/>
      <c r="M17" s="5138"/>
      <c r="N17" s="5138"/>
      <c r="O17" s="5138"/>
      <c r="P17" s="5130"/>
      <c r="Q17" s="5130"/>
      <c r="R17" s="5128"/>
      <c r="S17" s="3738"/>
      <c r="T17" s="3719"/>
      <c r="U17" s="3719"/>
      <c r="V17" s="2681"/>
      <c r="W17" s="2630"/>
      <c r="X17" s="532"/>
      <c r="Y17" s="3561"/>
      <c r="Z17" s="3561"/>
      <c r="AA17" s="3561"/>
      <c r="AB17" s="3562"/>
      <c r="AC17" s="532"/>
      <c r="AD17" s="533"/>
      <c r="AE17" s="533"/>
      <c r="AF17" s="5051"/>
    </row>
    <row r="18" spans="1:32" ht="30" customHeight="1">
      <c r="A18" s="4564"/>
      <c r="B18" s="4570"/>
      <c r="C18" s="5145"/>
      <c r="D18" s="5130"/>
      <c r="E18" s="5130"/>
      <c r="F18" s="5130"/>
      <c r="G18" s="5130"/>
      <c r="H18" s="5130"/>
      <c r="I18" s="5130"/>
      <c r="J18" s="5130"/>
      <c r="K18" s="5130"/>
      <c r="L18" s="5130"/>
      <c r="M18" s="5138"/>
      <c r="N18" s="5138"/>
      <c r="O18" s="5138"/>
      <c r="P18" s="5130"/>
      <c r="Q18" s="5130"/>
      <c r="R18" s="5128"/>
      <c r="S18" s="3741"/>
      <c r="T18" s="3729"/>
      <c r="U18" s="1779"/>
      <c r="V18" s="2686"/>
      <c r="W18" s="1781"/>
      <c r="X18" s="1782"/>
      <c r="Y18" s="1783"/>
      <c r="Z18" s="1783"/>
      <c r="AA18" s="1783"/>
      <c r="AB18" s="3602"/>
      <c r="AC18" s="1782"/>
      <c r="AD18" s="3572"/>
      <c r="AE18" s="3572"/>
      <c r="AF18" s="5085"/>
    </row>
    <row r="19" spans="1:32" ht="35.25" customHeight="1">
      <c r="A19" s="4564"/>
      <c r="B19" s="4570"/>
      <c r="C19" s="5144" t="s">
        <v>235</v>
      </c>
      <c r="D19" s="5129" t="s">
        <v>236</v>
      </c>
      <c r="E19" s="5129" t="s">
        <v>237</v>
      </c>
      <c r="F19" s="5129" t="s">
        <v>1137</v>
      </c>
      <c r="G19" s="5131" t="s">
        <v>239</v>
      </c>
      <c r="H19" s="5129" t="s">
        <v>240</v>
      </c>
      <c r="I19" s="5129" t="s">
        <v>257</v>
      </c>
      <c r="J19" s="5129" t="s">
        <v>5530</v>
      </c>
      <c r="K19" s="5129" t="s">
        <v>1139</v>
      </c>
      <c r="L19" s="5129" t="s">
        <v>5484</v>
      </c>
      <c r="M19" s="5142">
        <v>1</v>
      </c>
      <c r="N19" s="5142">
        <v>1</v>
      </c>
      <c r="O19" s="5142">
        <v>0</v>
      </c>
      <c r="P19" s="5129" t="s">
        <v>5480</v>
      </c>
      <c r="Q19" s="5129" t="s">
        <v>5368</v>
      </c>
      <c r="R19" s="5125" t="s">
        <v>5338</v>
      </c>
      <c r="S19" s="3742" t="s">
        <v>17</v>
      </c>
      <c r="T19" s="3725">
        <v>840107</v>
      </c>
      <c r="U19" s="3722"/>
      <c r="V19" s="3703" t="s">
        <v>20</v>
      </c>
      <c r="W19" s="3681"/>
      <c r="X19" s="1968"/>
      <c r="Y19" s="3689"/>
      <c r="Z19" s="3689"/>
      <c r="AA19" s="3689"/>
      <c r="AB19" s="3566">
        <f>SUM($AA$20:$AA$22)</f>
        <v>8736</v>
      </c>
      <c r="AC19" s="1968"/>
      <c r="AD19" s="1968"/>
      <c r="AE19" s="1968"/>
      <c r="AF19" s="5155"/>
    </row>
    <row r="20" spans="1:32" ht="35.25" customHeight="1">
      <c r="A20" s="4564"/>
      <c r="B20" s="4570"/>
      <c r="C20" s="5145"/>
      <c r="D20" s="5130"/>
      <c r="E20" s="5130"/>
      <c r="F20" s="5130"/>
      <c r="G20" s="5130"/>
      <c r="H20" s="5130"/>
      <c r="I20" s="5130"/>
      <c r="J20" s="5130"/>
      <c r="K20" s="5130"/>
      <c r="L20" s="5130"/>
      <c r="M20" s="5138"/>
      <c r="N20" s="5138"/>
      <c r="O20" s="5138"/>
      <c r="P20" s="5130"/>
      <c r="Q20" s="5130"/>
      <c r="R20" s="5128"/>
      <c r="S20" s="3738"/>
      <c r="T20" s="3719"/>
      <c r="U20" s="3718">
        <v>452300051</v>
      </c>
      <c r="V20" s="2681" t="s">
        <v>1140</v>
      </c>
      <c r="W20" s="2638">
        <v>6</v>
      </c>
      <c r="X20" s="579" t="s">
        <v>269</v>
      </c>
      <c r="Y20" s="3561">
        <v>1300</v>
      </c>
      <c r="Z20" s="3561">
        <f t="shared" ref="Z20" si="0">+W20*Y20</f>
        <v>7800</v>
      </c>
      <c r="AA20" s="3561">
        <f t="shared" ref="AA20" si="1">+Z20*1.12</f>
        <v>8736</v>
      </c>
      <c r="AB20" s="3690"/>
      <c r="AC20" s="579" t="s">
        <v>251</v>
      </c>
      <c r="AD20" s="579"/>
      <c r="AE20" s="579"/>
      <c r="AF20" s="5051"/>
    </row>
    <row r="21" spans="1:32" ht="35.25" customHeight="1">
      <c r="A21" s="4564"/>
      <c r="B21" s="4570"/>
      <c r="C21" s="5145"/>
      <c r="D21" s="5130"/>
      <c r="E21" s="5130"/>
      <c r="F21" s="5130"/>
      <c r="G21" s="5130"/>
      <c r="H21" s="5130"/>
      <c r="I21" s="5130"/>
      <c r="J21" s="5130"/>
      <c r="K21" s="5130"/>
      <c r="L21" s="5130"/>
      <c r="M21" s="5138"/>
      <c r="N21" s="5138"/>
      <c r="O21" s="5138"/>
      <c r="P21" s="5130"/>
      <c r="Q21" s="5130"/>
      <c r="R21" s="5128"/>
      <c r="S21" s="3738"/>
      <c r="T21" s="3719"/>
      <c r="U21" s="3718"/>
      <c r="V21" s="2684"/>
      <c r="W21" s="2638"/>
      <c r="X21" s="579"/>
      <c r="Y21" s="3561"/>
      <c r="Z21" s="3561"/>
      <c r="AA21" s="3561"/>
      <c r="AB21" s="3690"/>
      <c r="AC21" s="579"/>
      <c r="AD21" s="579"/>
      <c r="AE21" s="579"/>
      <c r="AF21" s="5051"/>
    </row>
    <row r="22" spans="1:32" ht="35.25" customHeight="1">
      <c r="A22" s="4564"/>
      <c r="B22" s="4570"/>
      <c r="C22" s="5145"/>
      <c r="D22" s="5130"/>
      <c r="E22" s="5130"/>
      <c r="F22" s="5130"/>
      <c r="G22" s="5130"/>
      <c r="H22" s="5130"/>
      <c r="I22" s="5130"/>
      <c r="J22" s="5130"/>
      <c r="K22" s="5130"/>
      <c r="L22" s="5130"/>
      <c r="M22" s="5138"/>
      <c r="N22" s="5138"/>
      <c r="O22" s="5138"/>
      <c r="P22" s="5130"/>
      <c r="Q22" s="5130"/>
      <c r="R22" s="5128"/>
      <c r="S22" s="3738"/>
      <c r="T22" s="3719"/>
      <c r="U22" s="3718"/>
      <c r="V22" s="2684"/>
      <c r="W22" s="2638"/>
      <c r="X22" s="579"/>
      <c r="Y22" s="3561"/>
      <c r="Z22" s="3561"/>
      <c r="AA22" s="3561"/>
      <c r="AB22" s="3690"/>
      <c r="AC22" s="579"/>
      <c r="AD22" s="579"/>
      <c r="AE22" s="579"/>
      <c r="AF22" s="5051"/>
    </row>
    <row r="23" spans="1:32" ht="35.25" customHeight="1">
      <c r="A23" s="4564"/>
      <c r="B23" s="4570"/>
      <c r="C23" s="5145"/>
      <c r="D23" s="5130"/>
      <c r="E23" s="5130"/>
      <c r="F23" s="5130"/>
      <c r="G23" s="5130"/>
      <c r="H23" s="5130"/>
      <c r="I23" s="5130"/>
      <c r="J23" s="5130"/>
      <c r="K23" s="5130"/>
      <c r="L23" s="5130"/>
      <c r="M23" s="5138"/>
      <c r="N23" s="5138"/>
      <c r="O23" s="5138"/>
      <c r="P23" s="5130"/>
      <c r="Q23" s="5130"/>
      <c r="R23" s="5153"/>
      <c r="S23" s="3739"/>
      <c r="T23" s="3733"/>
      <c r="U23" s="3720"/>
      <c r="V23" s="3704"/>
      <c r="W23" s="3682"/>
      <c r="X23" s="323"/>
      <c r="Y23" s="3603"/>
      <c r="Z23" s="3603"/>
      <c r="AA23" s="3603"/>
      <c r="AB23" s="3691"/>
      <c r="AC23" s="323"/>
      <c r="AD23" s="323"/>
      <c r="AE23" s="323"/>
      <c r="AF23" s="5051"/>
    </row>
    <row r="24" spans="1:32" ht="33" customHeight="1">
      <c r="A24" s="4564"/>
      <c r="B24" s="4570"/>
      <c r="C24" s="5144" t="s">
        <v>235</v>
      </c>
      <c r="D24" s="5129" t="s">
        <v>236</v>
      </c>
      <c r="E24" s="5129" t="s">
        <v>237</v>
      </c>
      <c r="F24" s="5129" t="s">
        <v>1137</v>
      </c>
      <c r="G24" s="5131" t="s">
        <v>239</v>
      </c>
      <c r="H24" s="5129" t="s">
        <v>240</v>
      </c>
      <c r="I24" s="5129" t="s">
        <v>257</v>
      </c>
      <c r="J24" s="5129" t="s">
        <v>5531</v>
      </c>
      <c r="K24" s="5129" t="s">
        <v>1141</v>
      </c>
      <c r="L24" s="5129" t="s">
        <v>5485</v>
      </c>
      <c r="M24" s="5142">
        <v>0</v>
      </c>
      <c r="N24" s="5142">
        <v>1</v>
      </c>
      <c r="O24" s="5142">
        <v>0</v>
      </c>
      <c r="P24" s="5166" t="s">
        <v>5479</v>
      </c>
      <c r="Q24" s="5129" t="s">
        <v>5369</v>
      </c>
      <c r="R24" s="5132" t="s">
        <v>5339</v>
      </c>
      <c r="S24" s="3740"/>
      <c r="T24" s="3721"/>
      <c r="U24" s="3721"/>
      <c r="V24" s="3575"/>
      <c r="W24" s="3576"/>
      <c r="X24" s="3580"/>
      <c r="Y24" s="3607"/>
      <c r="Z24" s="3607"/>
      <c r="AA24" s="3607"/>
      <c r="AB24" s="3608"/>
      <c r="AC24" s="3580"/>
      <c r="AD24" s="3582"/>
      <c r="AE24" s="3582"/>
      <c r="AF24" s="5154"/>
    </row>
    <row r="25" spans="1:32" ht="33" customHeight="1">
      <c r="A25" s="4564"/>
      <c r="B25" s="4570"/>
      <c r="C25" s="5145"/>
      <c r="D25" s="5130"/>
      <c r="E25" s="5130"/>
      <c r="F25" s="5130"/>
      <c r="G25" s="5130"/>
      <c r="H25" s="5130"/>
      <c r="I25" s="5130"/>
      <c r="J25" s="5130"/>
      <c r="K25" s="5130"/>
      <c r="L25" s="5130"/>
      <c r="M25" s="5138"/>
      <c r="N25" s="5138"/>
      <c r="O25" s="5138"/>
      <c r="P25" s="5130"/>
      <c r="Q25" s="5130"/>
      <c r="R25" s="5128"/>
      <c r="S25" s="3738"/>
      <c r="T25" s="3719"/>
      <c r="U25" s="3718"/>
      <c r="V25" s="2681"/>
      <c r="W25" s="2630"/>
      <c r="X25" s="532"/>
      <c r="Y25" s="3561"/>
      <c r="Z25" s="3561"/>
      <c r="AA25" s="3561"/>
      <c r="AB25" s="3562"/>
      <c r="AC25" s="532"/>
      <c r="AD25" s="533"/>
      <c r="AE25" s="533"/>
      <c r="AF25" s="5051"/>
    </row>
    <row r="26" spans="1:32" ht="33" customHeight="1">
      <c r="A26" s="4564"/>
      <c r="B26" s="4570"/>
      <c r="C26" s="5145"/>
      <c r="D26" s="5130"/>
      <c r="E26" s="5130"/>
      <c r="F26" s="5130"/>
      <c r="G26" s="5130"/>
      <c r="H26" s="5130"/>
      <c r="I26" s="5130"/>
      <c r="J26" s="5130"/>
      <c r="K26" s="5130"/>
      <c r="L26" s="5130"/>
      <c r="M26" s="5138"/>
      <c r="N26" s="5138"/>
      <c r="O26" s="5138"/>
      <c r="P26" s="5130"/>
      <c r="Q26" s="5130"/>
      <c r="R26" s="5128"/>
      <c r="S26" s="3738"/>
      <c r="T26" s="3719"/>
      <c r="U26" s="3718"/>
      <c r="V26" s="2681"/>
      <c r="W26" s="2630"/>
      <c r="X26" s="532"/>
      <c r="Y26" s="3561"/>
      <c r="Z26" s="3561"/>
      <c r="AA26" s="3561"/>
      <c r="AB26" s="3562"/>
      <c r="AC26" s="532"/>
      <c r="AD26" s="533"/>
      <c r="AE26" s="533"/>
      <c r="AF26" s="5051"/>
    </row>
    <row r="27" spans="1:32" ht="33" customHeight="1">
      <c r="A27" s="4564"/>
      <c r="B27" s="4570"/>
      <c r="C27" s="5145"/>
      <c r="D27" s="5130"/>
      <c r="E27" s="5130"/>
      <c r="F27" s="5130"/>
      <c r="G27" s="5130"/>
      <c r="H27" s="5130"/>
      <c r="I27" s="5130"/>
      <c r="J27" s="5130"/>
      <c r="K27" s="5130"/>
      <c r="L27" s="5130"/>
      <c r="M27" s="5138"/>
      <c r="N27" s="5138"/>
      <c r="O27" s="5138"/>
      <c r="P27" s="5130"/>
      <c r="Q27" s="5130"/>
      <c r="R27" s="5128"/>
      <c r="S27" s="3738"/>
      <c r="T27" s="3719"/>
      <c r="U27" s="3718"/>
      <c r="V27" s="2681"/>
      <c r="W27" s="2630"/>
      <c r="X27" s="532"/>
      <c r="Y27" s="3561"/>
      <c r="Z27" s="3561"/>
      <c r="AA27" s="3561"/>
      <c r="AB27" s="3562"/>
      <c r="AC27" s="532"/>
      <c r="AD27" s="533"/>
      <c r="AE27" s="533"/>
      <c r="AF27" s="5051"/>
    </row>
    <row r="28" spans="1:32" ht="33" customHeight="1">
      <c r="A28" s="4564"/>
      <c r="B28" s="4570"/>
      <c r="C28" s="5145"/>
      <c r="D28" s="5130"/>
      <c r="E28" s="5130"/>
      <c r="F28" s="5130"/>
      <c r="G28" s="5130"/>
      <c r="H28" s="5130"/>
      <c r="I28" s="5130"/>
      <c r="J28" s="5130"/>
      <c r="K28" s="5130"/>
      <c r="L28" s="5130"/>
      <c r="M28" s="5138"/>
      <c r="N28" s="5138"/>
      <c r="O28" s="5138"/>
      <c r="P28" s="5130"/>
      <c r="Q28" s="5130"/>
      <c r="R28" s="5128"/>
      <c r="S28" s="3741"/>
      <c r="T28" s="3729"/>
      <c r="U28" s="1779"/>
      <c r="V28" s="2686"/>
      <c r="W28" s="1781"/>
      <c r="X28" s="1782"/>
      <c r="Y28" s="1783"/>
      <c r="Z28" s="1783"/>
      <c r="AA28" s="1783"/>
      <c r="AB28" s="3602"/>
      <c r="AC28" s="1782"/>
      <c r="AD28" s="3572"/>
      <c r="AE28" s="3572"/>
      <c r="AF28" s="5085"/>
    </row>
    <row r="29" spans="1:32" ht="45" customHeight="1">
      <c r="A29" s="4564"/>
      <c r="B29" s="4570"/>
      <c r="C29" s="5144" t="s">
        <v>235</v>
      </c>
      <c r="D29" s="5129" t="s">
        <v>236</v>
      </c>
      <c r="E29" s="5129" t="s">
        <v>237</v>
      </c>
      <c r="F29" s="5129" t="s">
        <v>1137</v>
      </c>
      <c r="G29" s="5131" t="s">
        <v>239</v>
      </c>
      <c r="H29" s="5129" t="s">
        <v>240</v>
      </c>
      <c r="I29" s="5129" t="s">
        <v>257</v>
      </c>
      <c r="J29" s="5131" t="s">
        <v>5532</v>
      </c>
      <c r="K29" s="5129" t="s">
        <v>1142</v>
      </c>
      <c r="L29" s="5129" t="s">
        <v>5486</v>
      </c>
      <c r="M29" s="5142">
        <v>1</v>
      </c>
      <c r="N29" s="5142">
        <v>0</v>
      </c>
      <c r="O29" s="5142">
        <v>0</v>
      </c>
      <c r="P29" s="5129" t="s">
        <v>5478</v>
      </c>
      <c r="Q29" s="5129" t="s">
        <v>5370</v>
      </c>
      <c r="R29" s="5125" t="s">
        <v>5337</v>
      </c>
      <c r="S29" s="3743" t="s">
        <v>11</v>
      </c>
      <c r="T29" s="3721">
        <v>530802</v>
      </c>
      <c r="U29" s="3721"/>
      <c r="V29" s="3575" t="s">
        <v>133</v>
      </c>
      <c r="W29" s="3576"/>
      <c r="X29" s="3580"/>
      <c r="Y29" s="3607"/>
      <c r="Z29" s="3607"/>
      <c r="AA29" s="3607"/>
      <c r="AB29" s="3608">
        <f>SUM($AA$30:$AA$30)</f>
        <v>25466.000000000004</v>
      </c>
      <c r="AC29" s="3580"/>
      <c r="AD29" s="3582"/>
      <c r="AE29" s="3582"/>
      <c r="AF29" s="5154"/>
    </row>
    <row r="30" spans="1:32" ht="45" customHeight="1">
      <c r="A30" s="4564"/>
      <c r="B30" s="4570"/>
      <c r="C30" s="5145"/>
      <c r="D30" s="5130"/>
      <c r="E30" s="5130"/>
      <c r="F30" s="5130"/>
      <c r="G30" s="5130"/>
      <c r="H30" s="5130"/>
      <c r="I30" s="5130"/>
      <c r="J30" s="5130"/>
      <c r="K30" s="5130"/>
      <c r="L30" s="5130"/>
      <c r="M30" s="5138"/>
      <c r="N30" s="5138"/>
      <c r="O30" s="5138"/>
      <c r="P30" s="5130"/>
      <c r="Q30" s="5130"/>
      <c r="R30" s="5128"/>
      <c r="S30" s="3744"/>
      <c r="T30" s="3719"/>
      <c r="U30" s="3718" t="s">
        <v>1143</v>
      </c>
      <c r="V30" s="2684" t="s">
        <v>1144</v>
      </c>
      <c r="W30" s="2630">
        <v>1</v>
      </c>
      <c r="X30" s="532" t="s">
        <v>269</v>
      </c>
      <c r="Y30" s="3561">
        <v>22737.5</v>
      </c>
      <c r="Z30" s="3561">
        <f t="shared" ref="Z30" si="2">+W30*Y30</f>
        <v>22737.5</v>
      </c>
      <c r="AA30" s="3561">
        <f t="shared" ref="AA30" si="3">+Z30*1.12</f>
        <v>25466.000000000004</v>
      </c>
      <c r="AB30" s="3562"/>
      <c r="AC30" s="532" t="s">
        <v>251</v>
      </c>
      <c r="AD30" s="533"/>
      <c r="AE30" s="533"/>
      <c r="AF30" s="5051"/>
    </row>
    <row r="31" spans="1:32" ht="45" customHeight="1">
      <c r="A31" s="4564"/>
      <c r="B31" s="4570"/>
      <c r="C31" s="5145"/>
      <c r="D31" s="5130"/>
      <c r="E31" s="5130"/>
      <c r="F31" s="5130"/>
      <c r="G31" s="5130"/>
      <c r="H31" s="5130"/>
      <c r="I31" s="5130"/>
      <c r="J31" s="5130"/>
      <c r="K31" s="5130"/>
      <c r="L31" s="5130"/>
      <c r="M31" s="5138"/>
      <c r="N31" s="5138"/>
      <c r="O31" s="5138"/>
      <c r="P31" s="5130"/>
      <c r="Q31" s="5130"/>
      <c r="R31" s="5128"/>
      <c r="S31" s="3744" t="s">
        <v>11</v>
      </c>
      <c r="T31" s="3719">
        <v>570201</v>
      </c>
      <c r="U31" s="3719"/>
      <c r="V31" s="3531" t="s">
        <v>48</v>
      </c>
      <c r="W31" s="2630"/>
      <c r="X31" s="532"/>
      <c r="Y31" s="3561"/>
      <c r="Z31" s="3561"/>
      <c r="AA31" s="3561"/>
      <c r="AB31" s="3562">
        <f>SUM($AA$32:$AA$32)-43.09+43.77</f>
        <v>2429.96</v>
      </c>
      <c r="AC31" s="532"/>
      <c r="AD31" s="533"/>
      <c r="AE31" s="533"/>
      <c r="AF31" s="5051"/>
    </row>
    <row r="32" spans="1:32" ht="45" customHeight="1">
      <c r="A32" s="4564"/>
      <c r="B32" s="4570"/>
      <c r="C32" s="5145"/>
      <c r="D32" s="5130"/>
      <c r="E32" s="5130"/>
      <c r="F32" s="5130"/>
      <c r="G32" s="5130"/>
      <c r="H32" s="5130"/>
      <c r="I32" s="5130"/>
      <c r="J32" s="5130"/>
      <c r="K32" s="5130"/>
      <c r="L32" s="5130"/>
      <c r="M32" s="5138"/>
      <c r="N32" s="5138"/>
      <c r="O32" s="5138"/>
      <c r="P32" s="5130"/>
      <c r="Q32" s="5130"/>
      <c r="R32" s="5128"/>
      <c r="S32" s="3744"/>
      <c r="T32" s="3719"/>
      <c r="U32" s="3757">
        <v>71335</v>
      </c>
      <c r="V32" s="2681" t="s">
        <v>1145</v>
      </c>
      <c r="W32" s="2630">
        <v>1</v>
      </c>
      <c r="X32" s="532" t="s">
        <v>269</v>
      </c>
      <c r="Y32" s="3561">
        <v>2169</v>
      </c>
      <c r="Z32" s="3561">
        <f t="shared" ref="Z32" si="4">+W32*Y32</f>
        <v>2169</v>
      </c>
      <c r="AA32" s="3561">
        <f t="shared" ref="AA32" si="5">+Z32*1.12</f>
        <v>2429.2800000000002</v>
      </c>
      <c r="AB32" s="3562"/>
      <c r="AC32" s="532"/>
      <c r="AD32" s="533" t="s">
        <v>251</v>
      </c>
      <c r="AE32" s="533"/>
      <c r="AF32" s="5051"/>
    </row>
    <row r="33" spans="1:32" ht="45" customHeight="1">
      <c r="A33" s="4564"/>
      <c r="B33" s="4570"/>
      <c r="C33" s="5145"/>
      <c r="D33" s="5130"/>
      <c r="E33" s="5130"/>
      <c r="F33" s="5130"/>
      <c r="G33" s="5130"/>
      <c r="H33" s="5130"/>
      <c r="I33" s="5130"/>
      <c r="J33" s="5130"/>
      <c r="K33" s="5130"/>
      <c r="L33" s="5130"/>
      <c r="M33" s="5138"/>
      <c r="N33" s="5138"/>
      <c r="O33" s="5138"/>
      <c r="P33" s="5130"/>
      <c r="Q33" s="5130"/>
      <c r="R33" s="5153"/>
      <c r="S33" s="3745"/>
      <c r="T33" s="3729"/>
      <c r="U33" s="1779"/>
      <c r="V33" s="2686"/>
      <c r="W33" s="1781"/>
      <c r="X33" s="1782"/>
      <c r="Y33" s="1783"/>
      <c r="Z33" s="1783"/>
      <c r="AA33" s="1783"/>
      <c r="AB33" s="3602"/>
      <c r="AC33" s="1782"/>
      <c r="AD33" s="3572"/>
      <c r="AE33" s="3572"/>
      <c r="AF33" s="5085"/>
    </row>
    <row r="34" spans="1:32" ht="30.75" customHeight="1">
      <c r="A34" s="4564"/>
      <c r="B34" s="4570"/>
      <c r="C34" s="5059" t="s">
        <v>235</v>
      </c>
      <c r="D34" s="5064" t="s">
        <v>236</v>
      </c>
      <c r="E34" s="5064" t="s">
        <v>237</v>
      </c>
      <c r="F34" s="5064" t="s">
        <v>326</v>
      </c>
      <c r="G34" s="5076" t="s">
        <v>239</v>
      </c>
      <c r="H34" s="5064" t="s">
        <v>240</v>
      </c>
      <c r="I34" s="5064" t="s">
        <v>257</v>
      </c>
      <c r="J34" s="5064" t="s">
        <v>5533</v>
      </c>
      <c r="K34" s="5064" t="s">
        <v>1146</v>
      </c>
      <c r="L34" s="5064" t="s">
        <v>5487</v>
      </c>
      <c r="M34" s="5173">
        <v>0</v>
      </c>
      <c r="N34" s="5173">
        <v>0</v>
      </c>
      <c r="O34" s="5173">
        <v>1</v>
      </c>
      <c r="P34" s="5064" t="s">
        <v>5477</v>
      </c>
      <c r="Q34" s="5064" t="s">
        <v>5371</v>
      </c>
      <c r="R34" s="5123" t="s">
        <v>5340</v>
      </c>
      <c r="S34" s="3740" t="s">
        <v>11</v>
      </c>
      <c r="T34" s="3721">
        <v>840103</v>
      </c>
      <c r="U34" s="3723"/>
      <c r="V34" s="3575" t="s">
        <v>22</v>
      </c>
      <c r="W34" s="3683"/>
      <c r="X34" s="3582"/>
      <c r="Y34" s="3692"/>
      <c r="Z34" s="3692"/>
      <c r="AA34" s="3692"/>
      <c r="AB34" s="3608">
        <f>SUM($AA$35:$AA$38)</f>
        <v>3407.2975999999999</v>
      </c>
      <c r="AC34" s="3674"/>
      <c r="AD34" s="3674"/>
      <c r="AE34" s="3674"/>
      <c r="AF34" s="5169"/>
    </row>
    <row r="35" spans="1:32" ht="30.75" customHeight="1">
      <c r="A35" s="4564"/>
      <c r="B35" s="4570"/>
      <c r="C35" s="5061"/>
      <c r="D35" s="5062"/>
      <c r="E35" s="5062"/>
      <c r="F35" s="5062"/>
      <c r="G35" s="5069"/>
      <c r="H35" s="5062"/>
      <c r="I35" s="5062"/>
      <c r="J35" s="5062"/>
      <c r="K35" s="5062"/>
      <c r="L35" s="5062"/>
      <c r="M35" s="4998"/>
      <c r="N35" s="4998"/>
      <c r="O35" s="4998"/>
      <c r="P35" s="5062"/>
      <c r="Q35" s="5062"/>
      <c r="R35" s="5124"/>
      <c r="S35" s="3746"/>
      <c r="T35" s="3719"/>
      <c r="U35" s="3718">
        <v>381210017</v>
      </c>
      <c r="V35" s="2684" t="s">
        <v>5293</v>
      </c>
      <c r="W35" s="3684">
        <v>1</v>
      </c>
      <c r="X35" s="533" t="s">
        <v>269</v>
      </c>
      <c r="Y35" s="3561">
        <v>714.29</v>
      </c>
      <c r="Z35" s="3561">
        <f t="shared" ref="Z35:Z38" si="6">+W35*Y35</f>
        <v>714.29</v>
      </c>
      <c r="AA35" s="3561">
        <f t="shared" ref="AA35:AA38" si="7">+Z35*1.12</f>
        <v>800.00480000000005</v>
      </c>
      <c r="AB35" s="3690"/>
      <c r="AC35" s="3549" t="s">
        <v>251</v>
      </c>
      <c r="AD35" s="3549"/>
      <c r="AE35" s="3549"/>
      <c r="AF35" s="5051"/>
    </row>
    <row r="36" spans="1:32" ht="30.75" customHeight="1">
      <c r="A36" s="4564"/>
      <c r="B36" s="4570"/>
      <c r="C36" s="5061"/>
      <c r="D36" s="5062"/>
      <c r="E36" s="5062"/>
      <c r="F36" s="5062"/>
      <c r="G36" s="5069"/>
      <c r="H36" s="5062"/>
      <c r="I36" s="5062"/>
      <c r="J36" s="5062"/>
      <c r="K36" s="5062"/>
      <c r="L36" s="5062"/>
      <c r="M36" s="4998"/>
      <c r="N36" s="4998"/>
      <c r="O36" s="4998"/>
      <c r="P36" s="5062"/>
      <c r="Q36" s="5062"/>
      <c r="R36" s="5124"/>
      <c r="S36" s="3746"/>
      <c r="T36" s="2601"/>
      <c r="U36" s="3718">
        <v>3812200621</v>
      </c>
      <c r="V36" s="2684" t="s">
        <v>1147</v>
      </c>
      <c r="W36" s="3644">
        <v>3</v>
      </c>
      <c r="X36" s="533" t="s">
        <v>269</v>
      </c>
      <c r="Y36" s="3561">
        <v>200.89</v>
      </c>
      <c r="Z36" s="3561">
        <f t="shared" si="6"/>
        <v>602.66999999999996</v>
      </c>
      <c r="AA36" s="3561">
        <f t="shared" si="7"/>
        <v>674.99040000000002</v>
      </c>
      <c r="AB36" s="3690"/>
      <c r="AC36" s="3549" t="s">
        <v>251</v>
      </c>
      <c r="AD36" s="3549"/>
      <c r="AE36" s="3549"/>
      <c r="AF36" s="5051"/>
    </row>
    <row r="37" spans="1:32" ht="30.75" customHeight="1">
      <c r="A37" s="4564"/>
      <c r="B37" s="4570"/>
      <c r="C37" s="5061"/>
      <c r="D37" s="5062"/>
      <c r="E37" s="5062"/>
      <c r="F37" s="5062"/>
      <c r="G37" s="5069"/>
      <c r="H37" s="5062"/>
      <c r="I37" s="5062"/>
      <c r="J37" s="5062"/>
      <c r="K37" s="5062"/>
      <c r="L37" s="5062"/>
      <c r="M37" s="4998"/>
      <c r="N37" s="4998"/>
      <c r="O37" s="4998"/>
      <c r="P37" s="5062"/>
      <c r="Q37" s="5062"/>
      <c r="R37" s="5124"/>
      <c r="S37" s="3738"/>
      <c r="T37" s="3719"/>
      <c r="U37" s="3757">
        <v>3811100021</v>
      </c>
      <c r="V37" s="2684" t="s">
        <v>1148</v>
      </c>
      <c r="W37" s="3684">
        <v>1</v>
      </c>
      <c r="X37" s="533" t="s">
        <v>269</v>
      </c>
      <c r="Y37" s="3561">
        <v>300</v>
      </c>
      <c r="Z37" s="3561">
        <f t="shared" si="6"/>
        <v>300</v>
      </c>
      <c r="AA37" s="3561">
        <f t="shared" si="7"/>
        <v>336.00000000000006</v>
      </c>
      <c r="AB37" s="3690"/>
      <c r="AC37" s="3679" t="s">
        <v>251</v>
      </c>
      <c r="AD37" s="3549"/>
      <c r="AE37" s="3549"/>
      <c r="AF37" s="5051"/>
    </row>
    <row r="38" spans="1:32" ht="30.75" customHeight="1">
      <c r="A38" s="4564"/>
      <c r="B38" s="4570"/>
      <c r="C38" s="5133"/>
      <c r="D38" s="5127"/>
      <c r="E38" s="5127"/>
      <c r="F38" s="5127"/>
      <c r="G38" s="5134"/>
      <c r="H38" s="5127"/>
      <c r="I38" s="5127"/>
      <c r="J38" s="5127"/>
      <c r="K38" s="5127"/>
      <c r="L38" s="5127"/>
      <c r="M38" s="5174"/>
      <c r="N38" s="5174"/>
      <c r="O38" s="5174"/>
      <c r="P38" s="5127"/>
      <c r="Q38" s="5127"/>
      <c r="R38" s="5125"/>
      <c r="S38" s="3741"/>
      <c r="T38" s="3729"/>
      <c r="U38" s="1779">
        <v>3811100001</v>
      </c>
      <c r="V38" s="3705" t="s">
        <v>948</v>
      </c>
      <c r="W38" s="3686">
        <v>3</v>
      </c>
      <c r="X38" s="3572" t="s">
        <v>269</v>
      </c>
      <c r="Y38" s="1783">
        <v>475.09</v>
      </c>
      <c r="Z38" s="1783">
        <f t="shared" si="6"/>
        <v>1425.27</v>
      </c>
      <c r="AA38" s="1783">
        <f t="shared" si="7"/>
        <v>1596.3024</v>
      </c>
      <c r="AB38" s="3602"/>
      <c r="AC38" s="3680" t="s">
        <v>251</v>
      </c>
      <c r="AD38" s="3675"/>
      <c r="AE38" s="3675"/>
      <c r="AF38" s="5085"/>
    </row>
    <row r="39" spans="1:32" ht="30.75" customHeight="1">
      <c r="A39" s="4564"/>
      <c r="B39" s="4570"/>
      <c r="C39" s="5144" t="s">
        <v>235</v>
      </c>
      <c r="D39" s="5129" t="s">
        <v>236</v>
      </c>
      <c r="E39" s="5129" t="s">
        <v>237</v>
      </c>
      <c r="F39" s="5129" t="s">
        <v>1137</v>
      </c>
      <c r="G39" s="5131" t="s">
        <v>239</v>
      </c>
      <c r="H39" s="5129" t="s">
        <v>240</v>
      </c>
      <c r="I39" s="5129" t="s">
        <v>257</v>
      </c>
      <c r="J39" s="5131" t="s">
        <v>5534</v>
      </c>
      <c r="K39" s="5129" t="s">
        <v>1149</v>
      </c>
      <c r="L39" s="5129" t="s">
        <v>5488</v>
      </c>
      <c r="M39" s="5142">
        <v>1</v>
      </c>
      <c r="N39" s="5142">
        <v>0</v>
      </c>
      <c r="O39" s="5142">
        <v>0</v>
      </c>
      <c r="P39" s="5129" t="s">
        <v>5477</v>
      </c>
      <c r="Q39" s="5135" t="s">
        <v>5372</v>
      </c>
      <c r="R39" s="5125" t="s">
        <v>5338</v>
      </c>
      <c r="S39" s="3747"/>
      <c r="T39" s="2613"/>
      <c r="U39" s="2611"/>
      <c r="V39" s="3706"/>
      <c r="W39" s="3685"/>
      <c r="X39" s="1971"/>
      <c r="Y39" s="3689"/>
      <c r="Z39" s="3689"/>
      <c r="AA39" s="3689"/>
      <c r="AB39" s="3566"/>
      <c r="AC39" s="1967"/>
      <c r="AD39" s="1971"/>
      <c r="AE39" s="1971"/>
      <c r="AF39" s="5167"/>
    </row>
    <row r="40" spans="1:32" ht="30.75" customHeight="1">
      <c r="A40" s="4564"/>
      <c r="B40" s="4570"/>
      <c r="C40" s="5145"/>
      <c r="D40" s="5130"/>
      <c r="E40" s="5130"/>
      <c r="F40" s="5130"/>
      <c r="G40" s="5130"/>
      <c r="H40" s="5130"/>
      <c r="I40" s="5130"/>
      <c r="J40" s="5130"/>
      <c r="K40" s="5130"/>
      <c r="L40" s="5130"/>
      <c r="M40" s="5138"/>
      <c r="N40" s="5138"/>
      <c r="O40" s="5138"/>
      <c r="P40" s="5130"/>
      <c r="Q40" s="5130"/>
      <c r="R40" s="5128"/>
      <c r="S40" s="3746"/>
      <c r="T40" s="2601"/>
      <c r="U40" s="2597"/>
      <c r="V40" s="2684"/>
      <c r="W40" s="3684"/>
      <c r="X40" s="533"/>
      <c r="Y40" s="2645"/>
      <c r="Z40" s="3561"/>
      <c r="AA40" s="3561"/>
      <c r="AB40" s="3690"/>
      <c r="AC40" s="532"/>
      <c r="AD40" s="533"/>
      <c r="AE40" s="533"/>
      <c r="AF40" s="5051"/>
    </row>
    <row r="41" spans="1:32" ht="30.75" customHeight="1">
      <c r="A41" s="4564"/>
      <c r="B41" s="4570"/>
      <c r="C41" s="5145"/>
      <c r="D41" s="5130"/>
      <c r="E41" s="5130"/>
      <c r="F41" s="5130"/>
      <c r="G41" s="5130"/>
      <c r="H41" s="5130"/>
      <c r="I41" s="5130"/>
      <c r="J41" s="5130"/>
      <c r="K41" s="5130"/>
      <c r="L41" s="5130"/>
      <c r="M41" s="5138"/>
      <c r="N41" s="5138"/>
      <c r="O41" s="5138"/>
      <c r="P41" s="5130"/>
      <c r="Q41" s="5130"/>
      <c r="R41" s="5128"/>
      <c r="S41" s="3746"/>
      <c r="T41" s="2601"/>
      <c r="U41" s="2597"/>
      <c r="V41" s="2684"/>
      <c r="W41" s="3684"/>
      <c r="X41" s="533"/>
      <c r="Y41" s="2645"/>
      <c r="Z41" s="3561"/>
      <c r="AA41" s="3561"/>
      <c r="AB41" s="3690"/>
      <c r="AC41" s="532"/>
      <c r="AD41" s="533"/>
      <c r="AE41" s="533"/>
      <c r="AF41" s="5051"/>
    </row>
    <row r="42" spans="1:32" ht="30.75" customHeight="1">
      <c r="A42" s="4564"/>
      <c r="B42" s="4570"/>
      <c r="C42" s="5145"/>
      <c r="D42" s="5130"/>
      <c r="E42" s="5130"/>
      <c r="F42" s="5130"/>
      <c r="G42" s="5130"/>
      <c r="H42" s="5130"/>
      <c r="I42" s="5130"/>
      <c r="J42" s="5130"/>
      <c r="K42" s="5130"/>
      <c r="L42" s="5130"/>
      <c r="M42" s="5138"/>
      <c r="N42" s="5138"/>
      <c r="O42" s="5138"/>
      <c r="P42" s="5130"/>
      <c r="Q42" s="5130"/>
      <c r="R42" s="5128"/>
      <c r="S42" s="3746"/>
      <c r="T42" s="2601"/>
      <c r="U42" s="2597"/>
      <c r="V42" s="2684"/>
      <c r="W42" s="3684"/>
      <c r="X42" s="533"/>
      <c r="Y42" s="2645"/>
      <c r="Z42" s="3561"/>
      <c r="AA42" s="3561"/>
      <c r="AB42" s="3690"/>
      <c r="AC42" s="532"/>
      <c r="AD42" s="533"/>
      <c r="AE42" s="533"/>
      <c r="AF42" s="5051"/>
    </row>
    <row r="43" spans="1:32" ht="30.75" customHeight="1">
      <c r="A43" s="4564"/>
      <c r="B43" s="4570"/>
      <c r="C43" s="5145"/>
      <c r="D43" s="5130"/>
      <c r="E43" s="5130"/>
      <c r="F43" s="5130"/>
      <c r="G43" s="5130"/>
      <c r="H43" s="5130"/>
      <c r="I43" s="5130"/>
      <c r="J43" s="5130"/>
      <c r="K43" s="5130"/>
      <c r="L43" s="5130"/>
      <c r="M43" s="5138"/>
      <c r="N43" s="5138"/>
      <c r="O43" s="5138"/>
      <c r="P43" s="5130"/>
      <c r="Q43" s="5130"/>
      <c r="R43" s="5153"/>
      <c r="S43" s="3748"/>
      <c r="T43" s="2677"/>
      <c r="U43" s="2665"/>
      <c r="V43" s="3705"/>
      <c r="W43" s="3686"/>
      <c r="X43" s="3572"/>
      <c r="Y43" s="2667"/>
      <c r="Z43" s="1783"/>
      <c r="AA43" s="1783"/>
      <c r="AB43" s="3693"/>
      <c r="AC43" s="1782"/>
      <c r="AD43" s="3572"/>
      <c r="AE43" s="3572"/>
      <c r="AF43" s="5051"/>
    </row>
    <row r="44" spans="1:32" ht="18" customHeight="1">
      <c r="A44" s="4564"/>
      <c r="B44" s="4570"/>
      <c r="C44" s="5144" t="s">
        <v>235</v>
      </c>
      <c r="D44" s="5129" t="s">
        <v>236</v>
      </c>
      <c r="E44" s="5129" t="s">
        <v>237</v>
      </c>
      <c r="F44" s="5129" t="s">
        <v>1137</v>
      </c>
      <c r="G44" s="5131" t="s">
        <v>239</v>
      </c>
      <c r="H44" s="5129" t="s">
        <v>240</v>
      </c>
      <c r="I44" s="5129" t="s">
        <v>257</v>
      </c>
      <c r="J44" s="5135" t="s">
        <v>5535</v>
      </c>
      <c r="K44" s="5135" t="s">
        <v>1150</v>
      </c>
      <c r="L44" s="5135" t="s">
        <v>5489</v>
      </c>
      <c r="M44" s="5142">
        <v>4</v>
      </c>
      <c r="N44" s="5142">
        <v>6</v>
      </c>
      <c r="O44" s="5142">
        <v>4</v>
      </c>
      <c r="P44" s="5129" t="s">
        <v>5476</v>
      </c>
      <c r="Q44" s="5135" t="s">
        <v>5373</v>
      </c>
      <c r="R44" s="5132" t="s">
        <v>5341</v>
      </c>
      <c r="S44" s="3743" t="s">
        <v>11</v>
      </c>
      <c r="T44" s="3730">
        <v>510105</v>
      </c>
      <c r="U44" s="3724"/>
      <c r="V44" s="3707" t="s">
        <v>96</v>
      </c>
      <c r="W44" s="3683"/>
      <c r="X44" s="3582"/>
      <c r="Y44" s="3578">
        <v>3497244.8</v>
      </c>
      <c r="Z44" s="3578"/>
      <c r="AA44" s="3578">
        <f t="shared" ref="AA44:AA66" si="8">Y44</f>
        <v>3497244.8</v>
      </c>
      <c r="AB44" s="3579">
        <f>$AA$44</f>
        <v>3497244.8</v>
      </c>
      <c r="AC44" s="3582" t="s">
        <v>251</v>
      </c>
      <c r="AD44" s="3582" t="s">
        <v>251</v>
      </c>
      <c r="AE44" s="3582" t="s">
        <v>251</v>
      </c>
      <c r="AF44" s="5168"/>
    </row>
    <row r="45" spans="1:32" ht="18" customHeight="1">
      <c r="A45" s="4564"/>
      <c r="B45" s="4570"/>
      <c r="C45" s="5145"/>
      <c r="D45" s="5130"/>
      <c r="E45" s="5130"/>
      <c r="F45" s="5130"/>
      <c r="G45" s="5130"/>
      <c r="H45" s="5130"/>
      <c r="I45" s="5130"/>
      <c r="J45" s="5130"/>
      <c r="K45" s="5130"/>
      <c r="L45" s="5130"/>
      <c r="M45" s="5138"/>
      <c r="N45" s="5138"/>
      <c r="O45" s="5138"/>
      <c r="P45" s="5130"/>
      <c r="Q45" s="5130"/>
      <c r="R45" s="5128"/>
      <c r="S45" s="3744" t="s">
        <v>11</v>
      </c>
      <c r="T45" s="3758">
        <v>510106</v>
      </c>
      <c r="U45" s="2597"/>
      <c r="V45" s="3708" t="s">
        <v>99</v>
      </c>
      <c r="W45" s="3684"/>
      <c r="X45" s="533"/>
      <c r="Y45" s="2656">
        <v>1006663.08</v>
      </c>
      <c r="Z45" s="2645"/>
      <c r="AA45" s="2645">
        <f t="shared" si="8"/>
        <v>1006663.08</v>
      </c>
      <c r="AB45" s="2646">
        <f>$AA$45</f>
        <v>1006663.08</v>
      </c>
      <c r="AC45" s="533" t="s">
        <v>251</v>
      </c>
      <c r="AD45" s="533" t="s">
        <v>251</v>
      </c>
      <c r="AE45" s="533" t="s">
        <v>251</v>
      </c>
      <c r="AF45" s="5051"/>
    </row>
    <row r="46" spans="1:32" ht="18" customHeight="1">
      <c r="A46" s="4564"/>
      <c r="B46" s="4570"/>
      <c r="C46" s="5145"/>
      <c r="D46" s="5130"/>
      <c r="E46" s="5130"/>
      <c r="F46" s="5130"/>
      <c r="G46" s="5130"/>
      <c r="H46" s="5130"/>
      <c r="I46" s="5130"/>
      <c r="J46" s="5130"/>
      <c r="K46" s="5130"/>
      <c r="L46" s="5130"/>
      <c r="M46" s="5138"/>
      <c r="N46" s="5138"/>
      <c r="O46" s="5138"/>
      <c r="P46" s="5130"/>
      <c r="Q46" s="5130"/>
      <c r="R46" s="5128"/>
      <c r="S46" s="3744" t="s">
        <v>11</v>
      </c>
      <c r="T46" s="3758">
        <v>510108</v>
      </c>
      <c r="U46" s="2597"/>
      <c r="V46" s="3709" t="s">
        <v>101</v>
      </c>
      <c r="W46" s="3684"/>
      <c r="X46" s="533"/>
      <c r="Y46" s="2656">
        <v>828020.16</v>
      </c>
      <c r="Z46" s="2645"/>
      <c r="AA46" s="2645">
        <f t="shared" si="8"/>
        <v>828020.16</v>
      </c>
      <c r="AB46" s="2646">
        <f>$AA$46</f>
        <v>828020.16</v>
      </c>
      <c r="AC46" s="533" t="s">
        <v>251</v>
      </c>
      <c r="AD46" s="533" t="s">
        <v>251</v>
      </c>
      <c r="AE46" s="533" t="s">
        <v>251</v>
      </c>
      <c r="AF46" s="5051"/>
    </row>
    <row r="47" spans="1:32" ht="18" customHeight="1">
      <c r="A47" s="4564"/>
      <c r="B47" s="4570"/>
      <c r="C47" s="5145"/>
      <c r="D47" s="5130"/>
      <c r="E47" s="5130"/>
      <c r="F47" s="5130"/>
      <c r="G47" s="5130"/>
      <c r="H47" s="5130"/>
      <c r="I47" s="5130"/>
      <c r="J47" s="5130"/>
      <c r="K47" s="5130"/>
      <c r="L47" s="5130"/>
      <c r="M47" s="5138"/>
      <c r="N47" s="5138"/>
      <c r="O47" s="5138"/>
      <c r="P47" s="5130"/>
      <c r="Q47" s="5130"/>
      <c r="R47" s="5128"/>
      <c r="S47" s="3744" t="s">
        <v>11</v>
      </c>
      <c r="T47" s="2601">
        <v>510203</v>
      </c>
      <c r="U47" s="2597"/>
      <c r="V47" s="3708" t="s">
        <v>1151</v>
      </c>
      <c r="W47" s="3684"/>
      <c r="X47" s="533"/>
      <c r="Y47" s="2645">
        <v>491904.66999999993</v>
      </c>
      <c r="Z47" s="2645"/>
      <c r="AA47" s="2645">
        <f t="shared" si="8"/>
        <v>491904.66999999993</v>
      </c>
      <c r="AB47" s="2646">
        <f>$AA$47</f>
        <v>491904.66999999993</v>
      </c>
      <c r="AC47" s="533" t="s">
        <v>251</v>
      </c>
      <c r="AD47" s="533" t="s">
        <v>251</v>
      </c>
      <c r="AE47" s="533" t="s">
        <v>251</v>
      </c>
      <c r="AF47" s="5051"/>
    </row>
    <row r="48" spans="1:32" ht="18" customHeight="1">
      <c r="A48" s="4564"/>
      <c r="B48" s="4570"/>
      <c r="C48" s="5145"/>
      <c r="D48" s="5130"/>
      <c r="E48" s="5130"/>
      <c r="F48" s="5130"/>
      <c r="G48" s="5130"/>
      <c r="H48" s="5130"/>
      <c r="I48" s="5130"/>
      <c r="J48" s="5130"/>
      <c r="K48" s="5130"/>
      <c r="L48" s="5130"/>
      <c r="M48" s="5138"/>
      <c r="N48" s="5138"/>
      <c r="O48" s="5138"/>
      <c r="P48" s="5130"/>
      <c r="Q48" s="5130"/>
      <c r="R48" s="5128"/>
      <c r="S48" s="3744" t="s">
        <v>11</v>
      </c>
      <c r="T48" s="2601">
        <v>510204</v>
      </c>
      <c r="U48" s="2597"/>
      <c r="V48" s="3708" t="s">
        <v>1152</v>
      </c>
      <c r="W48" s="3684"/>
      <c r="X48" s="533"/>
      <c r="Y48" s="2645">
        <v>165218.75</v>
      </c>
      <c r="Z48" s="2645"/>
      <c r="AA48" s="2645">
        <f t="shared" si="8"/>
        <v>165218.75</v>
      </c>
      <c r="AB48" s="2646">
        <f>$AA$48</f>
        <v>165218.75</v>
      </c>
      <c r="AC48" s="533" t="s">
        <v>251</v>
      </c>
      <c r="AD48" s="533" t="s">
        <v>251</v>
      </c>
      <c r="AE48" s="533" t="s">
        <v>251</v>
      </c>
      <c r="AF48" s="5051"/>
    </row>
    <row r="49" spans="1:32" ht="18" customHeight="1">
      <c r="A49" s="4564"/>
      <c r="B49" s="4570"/>
      <c r="C49" s="5145"/>
      <c r="D49" s="5130"/>
      <c r="E49" s="5130"/>
      <c r="F49" s="5130"/>
      <c r="G49" s="5130"/>
      <c r="H49" s="5130"/>
      <c r="I49" s="5130"/>
      <c r="J49" s="5130"/>
      <c r="K49" s="5130"/>
      <c r="L49" s="5130"/>
      <c r="M49" s="5138"/>
      <c r="N49" s="5138"/>
      <c r="O49" s="5138"/>
      <c r="P49" s="5130"/>
      <c r="Q49" s="5130"/>
      <c r="R49" s="5128"/>
      <c r="S49" s="3744" t="s">
        <v>11</v>
      </c>
      <c r="T49" s="3758">
        <v>510304</v>
      </c>
      <c r="U49" s="2597"/>
      <c r="V49" s="3708" t="s">
        <v>107</v>
      </c>
      <c r="W49" s="3684"/>
      <c r="X49" s="533"/>
      <c r="Y49" s="2656">
        <v>15000</v>
      </c>
      <c r="Z49" s="2645"/>
      <c r="AA49" s="2645">
        <f t="shared" si="8"/>
        <v>15000</v>
      </c>
      <c r="AB49" s="2646">
        <f>$AA$49</f>
        <v>15000</v>
      </c>
      <c r="AC49" s="533" t="s">
        <v>251</v>
      </c>
      <c r="AD49" s="533" t="s">
        <v>251</v>
      </c>
      <c r="AE49" s="533" t="s">
        <v>251</v>
      </c>
      <c r="AF49" s="5051"/>
    </row>
    <row r="50" spans="1:32" ht="18" customHeight="1">
      <c r="A50" s="4564"/>
      <c r="B50" s="4570"/>
      <c r="C50" s="5145"/>
      <c r="D50" s="5130"/>
      <c r="E50" s="5130"/>
      <c r="F50" s="5130"/>
      <c r="G50" s="5130"/>
      <c r="H50" s="5130"/>
      <c r="I50" s="5130"/>
      <c r="J50" s="5130"/>
      <c r="K50" s="5130"/>
      <c r="L50" s="5130"/>
      <c r="M50" s="5138"/>
      <c r="N50" s="5138"/>
      <c r="O50" s="5138"/>
      <c r="P50" s="5130"/>
      <c r="Q50" s="5130"/>
      <c r="R50" s="5128"/>
      <c r="S50" s="3744" t="s">
        <v>11</v>
      </c>
      <c r="T50" s="3758">
        <v>510306</v>
      </c>
      <c r="U50" s="2597"/>
      <c r="V50" s="3708" t="s">
        <v>109</v>
      </c>
      <c r="W50" s="3684"/>
      <c r="X50" s="533"/>
      <c r="Y50" s="2645">
        <v>95000</v>
      </c>
      <c r="Z50" s="2645"/>
      <c r="AA50" s="2645">
        <f t="shared" si="8"/>
        <v>95000</v>
      </c>
      <c r="AB50" s="2646">
        <f>$AA$50</f>
        <v>95000</v>
      </c>
      <c r="AC50" s="533" t="s">
        <v>251</v>
      </c>
      <c r="AD50" s="533" t="s">
        <v>251</v>
      </c>
      <c r="AE50" s="533" t="s">
        <v>251</v>
      </c>
      <c r="AF50" s="5051"/>
    </row>
    <row r="51" spans="1:32" ht="18" customHeight="1">
      <c r="A51" s="4564"/>
      <c r="B51" s="4570"/>
      <c r="C51" s="5145"/>
      <c r="D51" s="5130"/>
      <c r="E51" s="5130"/>
      <c r="F51" s="5130"/>
      <c r="G51" s="5130"/>
      <c r="H51" s="5130"/>
      <c r="I51" s="5130"/>
      <c r="J51" s="5130"/>
      <c r="K51" s="5130"/>
      <c r="L51" s="5130"/>
      <c r="M51" s="5138"/>
      <c r="N51" s="5138"/>
      <c r="O51" s="5138"/>
      <c r="P51" s="5130"/>
      <c r="Q51" s="5130"/>
      <c r="R51" s="5128"/>
      <c r="S51" s="3744" t="s">
        <v>11</v>
      </c>
      <c r="T51" s="3758">
        <v>510401</v>
      </c>
      <c r="U51" s="2597"/>
      <c r="V51" s="3708" t="s">
        <v>111</v>
      </c>
      <c r="W51" s="3684"/>
      <c r="X51" s="533"/>
      <c r="Y51" s="2645">
        <v>5000</v>
      </c>
      <c r="Z51" s="2645"/>
      <c r="AA51" s="2645">
        <f t="shared" si="8"/>
        <v>5000</v>
      </c>
      <c r="AB51" s="2646">
        <f>$AA$51</f>
        <v>5000</v>
      </c>
      <c r="AC51" s="533" t="s">
        <v>251</v>
      </c>
      <c r="AD51" s="533" t="s">
        <v>251</v>
      </c>
      <c r="AE51" s="533" t="s">
        <v>251</v>
      </c>
      <c r="AF51" s="5051"/>
    </row>
    <row r="52" spans="1:32" ht="18" customHeight="1">
      <c r="A52" s="4564"/>
      <c r="B52" s="4570"/>
      <c r="C52" s="5145"/>
      <c r="D52" s="5130"/>
      <c r="E52" s="5130"/>
      <c r="F52" s="5130"/>
      <c r="G52" s="5130"/>
      <c r="H52" s="5130"/>
      <c r="I52" s="5130"/>
      <c r="J52" s="5130"/>
      <c r="K52" s="5130"/>
      <c r="L52" s="5130"/>
      <c r="M52" s="5138"/>
      <c r="N52" s="5138"/>
      <c r="O52" s="5138"/>
      <c r="P52" s="5130"/>
      <c r="Q52" s="5130"/>
      <c r="R52" s="5128"/>
      <c r="S52" s="3744" t="s">
        <v>11</v>
      </c>
      <c r="T52" s="3758">
        <v>510408</v>
      </c>
      <c r="U52" s="2597"/>
      <c r="V52" s="3708" t="s">
        <v>113</v>
      </c>
      <c r="W52" s="3684"/>
      <c r="X52" s="533"/>
      <c r="Y52" s="2645">
        <v>24000</v>
      </c>
      <c r="Z52" s="2645"/>
      <c r="AA52" s="2645">
        <f t="shared" si="8"/>
        <v>24000</v>
      </c>
      <c r="AB52" s="2646">
        <f>$AA$52</f>
        <v>24000</v>
      </c>
      <c r="AC52" s="533" t="s">
        <v>251</v>
      </c>
      <c r="AD52" s="533" t="s">
        <v>251</v>
      </c>
      <c r="AE52" s="533" t="s">
        <v>251</v>
      </c>
      <c r="AF52" s="5051"/>
    </row>
    <row r="53" spans="1:32" ht="18" customHeight="1">
      <c r="A53" s="4564"/>
      <c r="B53" s="4570"/>
      <c r="C53" s="5145"/>
      <c r="D53" s="5130"/>
      <c r="E53" s="5130"/>
      <c r="F53" s="5130"/>
      <c r="G53" s="5130"/>
      <c r="H53" s="5130"/>
      <c r="I53" s="5130"/>
      <c r="J53" s="5130"/>
      <c r="K53" s="5130"/>
      <c r="L53" s="5130"/>
      <c r="M53" s="5138"/>
      <c r="N53" s="5138"/>
      <c r="O53" s="5138"/>
      <c r="P53" s="5130"/>
      <c r="Q53" s="5130"/>
      <c r="R53" s="5128"/>
      <c r="S53" s="3744" t="s">
        <v>11</v>
      </c>
      <c r="T53" s="3758">
        <v>510509</v>
      </c>
      <c r="U53" s="2597"/>
      <c r="V53" s="3708" t="s">
        <v>115</v>
      </c>
      <c r="W53" s="3684"/>
      <c r="X53" s="533"/>
      <c r="Y53" s="2645">
        <v>20000</v>
      </c>
      <c r="Z53" s="2645"/>
      <c r="AA53" s="2645">
        <f t="shared" si="8"/>
        <v>20000</v>
      </c>
      <c r="AB53" s="2646">
        <f>$AA$53</f>
        <v>20000</v>
      </c>
      <c r="AC53" s="533" t="s">
        <v>251</v>
      </c>
      <c r="AD53" s="533" t="s">
        <v>251</v>
      </c>
      <c r="AE53" s="533" t="s">
        <v>251</v>
      </c>
      <c r="AF53" s="5051"/>
    </row>
    <row r="54" spans="1:32" ht="18" customHeight="1">
      <c r="A54" s="4564"/>
      <c r="B54" s="4570"/>
      <c r="C54" s="5145"/>
      <c r="D54" s="5130"/>
      <c r="E54" s="5130"/>
      <c r="F54" s="5130"/>
      <c r="G54" s="5130"/>
      <c r="H54" s="5130"/>
      <c r="I54" s="5130"/>
      <c r="J54" s="5130"/>
      <c r="K54" s="5130"/>
      <c r="L54" s="5130"/>
      <c r="M54" s="5138"/>
      <c r="N54" s="5138"/>
      <c r="O54" s="5138"/>
      <c r="P54" s="5130"/>
      <c r="Q54" s="5130"/>
      <c r="R54" s="5128"/>
      <c r="S54" s="3744" t="s">
        <v>11</v>
      </c>
      <c r="T54" s="3758">
        <v>510510</v>
      </c>
      <c r="U54" s="2597"/>
      <c r="V54" s="3708" t="s">
        <v>117</v>
      </c>
      <c r="W54" s="3684"/>
      <c r="X54" s="533"/>
      <c r="Y54" s="2645">
        <v>569128</v>
      </c>
      <c r="Z54" s="2645"/>
      <c r="AA54" s="2645">
        <f t="shared" si="8"/>
        <v>569128</v>
      </c>
      <c r="AB54" s="2646">
        <f>$AA$54</f>
        <v>569128</v>
      </c>
      <c r="AC54" s="533" t="s">
        <v>251</v>
      </c>
      <c r="AD54" s="533" t="s">
        <v>251</v>
      </c>
      <c r="AE54" s="533" t="s">
        <v>251</v>
      </c>
      <c r="AF54" s="5051"/>
    </row>
    <row r="55" spans="1:32" ht="18" customHeight="1">
      <c r="A55" s="4564"/>
      <c r="B55" s="4570"/>
      <c r="C55" s="5145"/>
      <c r="D55" s="5130"/>
      <c r="E55" s="5130"/>
      <c r="F55" s="5130"/>
      <c r="G55" s="5130"/>
      <c r="H55" s="5130"/>
      <c r="I55" s="5130"/>
      <c r="J55" s="5130"/>
      <c r="K55" s="5130"/>
      <c r="L55" s="5130"/>
      <c r="M55" s="5138"/>
      <c r="N55" s="5138"/>
      <c r="O55" s="5138"/>
      <c r="P55" s="5130"/>
      <c r="Q55" s="5130"/>
      <c r="R55" s="5128"/>
      <c r="S55" s="3744" t="s">
        <v>11</v>
      </c>
      <c r="T55" s="3758">
        <v>510512</v>
      </c>
      <c r="U55" s="2597"/>
      <c r="V55" s="3708" t="s">
        <v>119</v>
      </c>
      <c r="W55" s="3684"/>
      <c r="X55" s="533"/>
      <c r="Y55" s="2645">
        <v>10000</v>
      </c>
      <c r="Z55" s="2645"/>
      <c r="AA55" s="2645">
        <f t="shared" si="8"/>
        <v>10000</v>
      </c>
      <c r="AB55" s="2646">
        <f>$AA$55</f>
        <v>10000</v>
      </c>
      <c r="AC55" s="533" t="s">
        <v>251</v>
      </c>
      <c r="AD55" s="533" t="s">
        <v>251</v>
      </c>
      <c r="AE55" s="533" t="s">
        <v>251</v>
      </c>
      <c r="AF55" s="5051"/>
    </row>
    <row r="56" spans="1:32" ht="18" customHeight="1">
      <c r="A56" s="4564"/>
      <c r="B56" s="4570"/>
      <c r="C56" s="5145"/>
      <c r="D56" s="5130"/>
      <c r="E56" s="5130"/>
      <c r="F56" s="5130"/>
      <c r="G56" s="5130"/>
      <c r="H56" s="5130"/>
      <c r="I56" s="5130"/>
      <c r="J56" s="5130"/>
      <c r="K56" s="5130"/>
      <c r="L56" s="5130"/>
      <c r="M56" s="5138"/>
      <c r="N56" s="5138"/>
      <c r="O56" s="5138"/>
      <c r="P56" s="5130"/>
      <c r="Q56" s="5130"/>
      <c r="R56" s="5128"/>
      <c r="S56" s="3744" t="s">
        <v>11</v>
      </c>
      <c r="T56" s="3758">
        <v>510513</v>
      </c>
      <c r="U56" s="2597"/>
      <c r="V56" s="3708" t="s">
        <v>121</v>
      </c>
      <c r="W56" s="3684"/>
      <c r="X56" s="533"/>
      <c r="Y56" s="2645">
        <v>4800</v>
      </c>
      <c r="Z56" s="2645"/>
      <c r="AA56" s="2645">
        <f t="shared" si="8"/>
        <v>4800</v>
      </c>
      <c r="AB56" s="2646">
        <f>$AA$56</f>
        <v>4800</v>
      </c>
      <c r="AC56" s="533" t="s">
        <v>251</v>
      </c>
      <c r="AD56" s="533" t="s">
        <v>251</v>
      </c>
      <c r="AE56" s="533" t="s">
        <v>251</v>
      </c>
      <c r="AF56" s="5051"/>
    </row>
    <row r="57" spans="1:32" ht="18" customHeight="1">
      <c r="A57" s="4564"/>
      <c r="B57" s="4570"/>
      <c r="C57" s="5145"/>
      <c r="D57" s="5130"/>
      <c r="E57" s="5130"/>
      <c r="F57" s="5130"/>
      <c r="G57" s="5130"/>
      <c r="H57" s="5130"/>
      <c r="I57" s="5130"/>
      <c r="J57" s="5130"/>
      <c r="K57" s="5130"/>
      <c r="L57" s="5130"/>
      <c r="M57" s="5138"/>
      <c r="N57" s="5138"/>
      <c r="O57" s="5138"/>
      <c r="P57" s="5130"/>
      <c r="Q57" s="5130"/>
      <c r="R57" s="5128"/>
      <c r="S57" s="3744" t="s">
        <v>11</v>
      </c>
      <c r="T57" s="3758">
        <v>510601</v>
      </c>
      <c r="U57" s="2597"/>
      <c r="V57" s="3708" t="s">
        <v>123</v>
      </c>
      <c r="W57" s="3684"/>
      <c r="X57" s="533"/>
      <c r="Y57" s="2645">
        <v>590108.61</v>
      </c>
      <c r="Z57" s="2645"/>
      <c r="AA57" s="2645">
        <f t="shared" si="8"/>
        <v>590108.61</v>
      </c>
      <c r="AB57" s="2646">
        <f>$AA$57</f>
        <v>590108.61</v>
      </c>
      <c r="AC57" s="533" t="s">
        <v>251</v>
      </c>
      <c r="AD57" s="533" t="s">
        <v>251</v>
      </c>
      <c r="AE57" s="533" t="s">
        <v>251</v>
      </c>
      <c r="AF57" s="5051"/>
    </row>
    <row r="58" spans="1:32" ht="18" customHeight="1">
      <c r="A58" s="4564"/>
      <c r="B58" s="4570"/>
      <c r="C58" s="5145"/>
      <c r="D58" s="5130"/>
      <c r="E58" s="5130"/>
      <c r="F58" s="5130"/>
      <c r="G58" s="5130"/>
      <c r="H58" s="5130"/>
      <c r="I58" s="5130"/>
      <c r="J58" s="5130"/>
      <c r="K58" s="5130"/>
      <c r="L58" s="5130"/>
      <c r="M58" s="5138"/>
      <c r="N58" s="5138"/>
      <c r="O58" s="5138"/>
      <c r="P58" s="5130"/>
      <c r="Q58" s="5130"/>
      <c r="R58" s="5128"/>
      <c r="S58" s="3744" t="s">
        <v>11</v>
      </c>
      <c r="T58" s="2601">
        <v>510602</v>
      </c>
      <c r="U58" s="2597"/>
      <c r="V58" s="3708" t="s">
        <v>125</v>
      </c>
      <c r="W58" s="3684"/>
      <c r="X58" s="533"/>
      <c r="Y58" s="2645">
        <v>491708.1599999998</v>
      </c>
      <c r="Z58" s="2645"/>
      <c r="AA58" s="2645">
        <f t="shared" si="8"/>
        <v>491708.1599999998</v>
      </c>
      <c r="AB58" s="2646">
        <f>$AA$58</f>
        <v>491708.1599999998</v>
      </c>
      <c r="AC58" s="533" t="s">
        <v>251</v>
      </c>
      <c r="AD58" s="533" t="s">
        <v>251</v>
      </c>
      <c r="AE58" s="533" t="s">
        <v>251</v>
      </c>
      <c r="AF58" s="5051"/>
    </row>
    <row r="59" spans="1:32" ht="18" customHeight="1">
      <c r="A59" s="4564"/>
      <c r="B59" s="4570"/>
      <c r="C59" s="5145"/>
      <c r="D59" s="5130"/>
      <c r="E59" s="5130"/>
      <c r="F59" s="5130"/>
      <c r="G59" s="5130"/>
      <c r="H59" s="5130"/>
      <c r="I59" s="5130"/>
      <c r="J59" s="5130"/>
      <c r="K59" s="5130"/>
      <c r="L59" s="5130"/>
      <c r="M59" s="5138"/>
      <c r="N59" s="5138"/>
      <c r="O59" s="5138"/>
      <c r="P59" s="5130"/>
      <c r="Q59" s="5130"/>
      <c r="R59" s="5128"/>
      <c r="S59" s="3744" t="s">
        <v>11</v>
      </c>
      <c r="T59" s="3758">
        <v>510707</v>
      </c>
      <c r="U59" s="2597"/>
      <c r="V59" s="3709" t="s">
        <v>127</v>
      </c>
      <c r="W59" s="3684"/>
      <c r="X59" s="533"/>
      <c r="Y59" s="2645">
        <v>2000</v>
      </c>
      <c r="Z59" s="2645"/>
      <c r="AA59" s="2645">
        <f t="shared" si="8"/>
        <v>2000</v>
      </c>
      <c r="AB59" s="2646">
        <f>$AA$59</f>
        <v>2000</v>
      </c>
      <c r="AC59" s="533" t="s">
        <v>251</v>
      </c>
      <c r="AD59" s="533" t="s">
        <v>251</v>
      </c>
      <c r="AE59" s="533" t="s">
        <v>251</v>
      </c>
      <c r="AF59" s="5051"/>
    </row>
    <row r="60" spans="1:32" ht="18" customHeight="1">
      <c r="A60" s="4564"/>
      <c r="B60" s="4570"/>
      <c r="C60" s="5145"/>
      <c r="D60" s="5130"/>
      <c r="E60" s="5130"/>
      <c r="F60" s="5130"/>
      <c r="G60" s="5130"/>
      <c r="H60" s="5130"/>
      <c r="I60" s="5130"/>
      <c r="J60" s="5130"/>
      <c r="K60" s="5130"/>
      <c r="L60" s="5130"/>
      <c r="M60" s="5138"/>
      <c r="N60" s="5138"/>
      <c r="O60" s="5138"/>
      <c r="P60" s="5130"/>
      <c r="Q60" s="5130"/>
      <c r="R60" s="5128"/>
      <c r="S60" s="3736" t="s">
        <v>39</v>
      </c>
      <c r="T60" s="3758">
        <v>510108</v>
      </c>
      <c r="U60" s="2597"/>
      <c r="V60" s="3709" t="s">
        <v>101</v>
      </c>
      <c r="W60" s="3684"/>
      <c r="X60" s="533"/>
      <c r="Y60" s="2645">
        <v>9354765.1400000006</v>
      </c>
      <c r="Z60" s="2645"/>
      <c r="AA60" s="2645">
        <f t="shared" si="8"/>
        <v>9354765.1400000006</v>
      </c>
      <c r="AB60" s="2646">
        <f>$AA$60</f>
        <v>9354765.1400000006</v>
      </c>
      <c r="AC60" s="533" t="s">
        <v>251</v>
      </c>
      <c r="AD60" s="533" t="s">
        <v>251</v>
      </c>
      <c r="AE60" s="533" t="s">
        <v>251</v>
      </c>
      <c r="AF60" s="5051"/>
    </row>
    <row r="61" spans="1:32" ht="18" customHeight="1">
      <c r="A61" s="4564"/>
      <c r="B61" s="4570"/>
      <c r="C61" s="5145"/>
      <c r="D61" s="5130"/>
      <c r="E61" s="5130"/>
      <c r="F61" s="5130"/>
      <c r="G61" s="5130"/>
      <c r="H61" s="5130"/>
      <c r="I61" s="5130"/>
      <c r="J61" s="5130"/>
      <c r="K61" s="5130"/>
      <c r="L61" s="5130"/>
      <c r="M61" s="5138"/>
      <c r="N61" s="5138"/>
      <c r="O61" s="5138"/>
      <c r="P61" s="5130"/>
      <c r="Q61" s="5130"/>
      <c r="R61" s="5128"/>
      <c r="S61" s="3736" t="s">
        <v>39</v>
      </c>
      <c r="T61" s="2601">
        <v>510203</v>
      </c>
      <c r="U61" s="2597"/>
      <c r="V61" s="3708" t="s">
        <v>1151</v>
      </c>
      <c r="W61" s="3684"/>
      <c r="X61" s="533"/>
      <c r="Y61" s="2645">
        <f>SUM(146651+965722.17)</f>
        <v>1112373.17</v>
      </c>
      <c r="Z61" s="2645"/>
      <c r="AA61" s="2645">
        <f t="shared" si="8"/>
        <v>1112373.17</v>
      </c>
      <c r="AB61" s="2646">
        <f>$AA$61</f>
        <v>1112373.17</v>
      </c>
      <c r="AC61" s="533" t="s">
        <v>251</v>
      </c>
      <c r="AD61" s="533" t="s">
        <v>251</v>
      </c>
      <c r="AE61" s="533" t="s">
        <v>251</v>
      </c>
      <c r="AF61" s="5051"/>
    </row>
    <row r="62" spans="1:32" ht="18" customHeight="1">
      <c r="A62" s="4564"/>
      <c r="B62" s="4570"/>
      <c r="C62" s="5145"/>
      <c r="D62" s="5130"/>
      <c r="E62" s="5130"/>
      <c r="F62" s="5130"/>
      <c r="G62" s="5130"/>
      <c r="H62" s="5130"/>
      <c r="I62" s="5130"/>
      <c r="J62" s="5130"/>
      <c r="K62" s="5130"/>
      <c r="L62" s="5130"/>
      <c r="M62" s="5138"/>
      <c r="N62" s="5138"/>
      <c r="O62" s="5138"/>
      <c r="P62" s="5130"/>
      <c r="Q62" s="5130"/>
      <c r="R62" s="5128"/>
      <c r="S62" s="3736" t="s">
        <v>39</v>
      </c>
      <c r="T62" s="2601">
        <v>510204</v>
      </c>
      <c r="U62" s="2597"/>
      <c r="V62" s="3708" t="s">
        <v>1152</v>
      </c>
      <c r="W62" s="3684"/>
      <c r="X62" s="533"/>
      <c r="Y62" s="2645">
        <f>SUM(44625+199750)</f>
        <v>244375</v>
      </c>
      <c r="Z62" s="2645"/>
      <c r="AA62" s="2645">
        <f t="shared" si="8"/>
        <v>244375</v>
      </c>
      <c r="AB62" s="2646">
        <f>$AA$62</f>
        <v>244375</v>
      </c>
      <c r="AC62" s="533" t="s">
        <v>251</v>
      </c>
      <c r="AD62" s="533" t="s">
        <v>251</v>
      </c>
      <c r="AE62" s="533" t="s">
        <v>251</v>
      </c>
      <c r="AF62" s="5051"/>
    </row>
    <row r="63" spans="1:32" ht="18" customHeight="1">
      <c r="A63" s="4564"/>
      <c r="B63" s="4570"/>
      <c r="C63" s="5145"/>
      <c r="D63" s="5130"/>
      <c r="E63" s="5130"/>
      <c r="F63" s="5130"/>
      <c r="G63" s="5130"/>
      <c r="H63" s="5130"/>
      <c r="I63" s="5130"/>
      <c r="J63" s="5130"/>
      <c r="K63" s="5130"/>
      <c r="L63" s="5130"/>
      <c r="M63" s="5138"/>
      <c r="N63" s="5138"/>
      <c r="O63" s="5138"/>
      <c r="P63" s="5130"/>
      <c r="Q63" s="5130"/>
      <c r="R63" s="5128"/>
      <c r="S63" s="3736" t="s">
        <v>39</v>
      </c>
      <c r="T63" s="3758">
        <v>510518</v>
      </c>
      <c r="U63" s="2597"/>
      <c r="V63" s="3709" t="s">
        <v>129</v>
      </c>
      <c r="W63" s="3684"/>
      <c r="X63" s="533"/>
      <c r="Y63" s="2645">
        <f>SUM(1764832.54+2857496.52)</f>
        <v>4622329.0600000005</v>
      </c>
      <c r="Z63" s="2645"/>
      <c r="AA63" s="2645">
        <f t="shared" si="8"/>
        <v>4622329.0600000005</v>
      </c>
      <c r="AB63" s="2646">
        <f>$AA$63</f>
        <v>4622329.0600000005</v>
      </c>
      <c r="AC63" s="533" t="s">
        <v>251</v>
      </c>
      <c r="AD63" s="533" t="s">
        <v>251</v>
      </c>
      <c r="AE63" s="533" t="s">
        <v>251</v>
      </c>
      <c r="AF63" s="5051"/>
    </row>
    <row r="64" spans="1:32" ht="18" customHeight="1">
      <c r="A64" s="4564"/>
      <c r="B64" s="4570"/>
      <c r="C64" s="5145"/>
      <c r="D64" s="5130"/>
      <c r="E64" s="5130"/>
      <c r="F64" s="5130"/>
      <c r="G64" s="5130"/>
      <c r="H64" s="5130"/>
      <c r="I64" s="5130"/>
      <c r="J64" s="5130"/>
      <c r="K64" s="5130"/>
      <c r="L64" s="5130"/>
      <c r="M64" s="5138"/>
      <c r="N64" s="5138"/>
      <c r="O64" s="5138"/>
      <c r="P64" s="5130"/>
      <c r="Q64" s="5130"/>
      <c r="R64" s="5128"/>
      <c r="S64" s="3736" t="s">
        <v>39</v>
      </c>
      <c r="T64" s="3758">
        <v>510601</v>
      </c>
      <c r="U64" s="2597"/>
      <c r="V64" s="3710" t="s">
        <v>123</v>
      </c>
      <c r="W64" s="3684"/>
      <c r="X64" s="533"/>
      <c r="Y64" s="2645">
        <f>SUM(161022+1060363.42)</f>
        <v>1221385.42</v>
      </c>
      <c r="Z64" s="2645"/>
      <c r="AA64" s="2645">
        <f t="shared" si="8"/>
        <v>1221385.42</v>
      </c>
      <c r="AB64" s="2646">
        <f>$AA$64</f>
        <v>1221385.42</v>
      </c>
      <c r="AC64" s="533" t="s">
        <v>251</v>
      </c>
      <c r="AD64" s="533" t="s">
        <v>251</v>
      </c>
      <c r="AE64" s="533" t="s">
        <v>251</v>
      </c>
      <c r="AF64" s="5051"/>
    </row>
    <row r="65" spans="1:32" ht="18" customHeight="1">
      <c r="A65" s="4564"/>
      <c r="B65" s="4570"/>
      <c r="C65" s="5145"/>
      <c r="D65" s="5130"/>
      <c r="E65" s="5130"/>
      <c r="F65" s="5130"/>
      <c r="G65" s="5130"/>
      <c r="H65" s="5130"/>
      <c r="I65" s="5130"/>
      <c r="J65" s="5130"/>
      <c r="K65" s="5130"/>
      <c r="L65" s="5130"/>
      <c r="M65" s="5138"/>
      <c r="N65" s="5138"/>
      <c r="O65" s="5138"/>
      <c r="P65" s="5130"/>
      <c r="Q65" s="5130"/>
      <c r="R65" s="5128"/>
      <c r="S65" s="3736" t="s">
        <v>39</v>
      </c>
      <c r="T65" s="2601">
        <v>510602</v>
      </c>
      <c r="U65" s="2597"/>
      <c r="V65" s="3708" t="s">
        <v>125</v>
      </c>
      <c r="W65" s="3684"/>
      <c r="X65" s="533"/>
      <c r="Y65" s="2645">
        <f>SUM(146592+965335.8)</f>
        <v>1111927.8</v>
      </c>
      <c r="Z65" s="2645"/>
      <c r="AA65" s="2645">
        <f t="shared" si="8"/>
        <v>1111927.8</v>
      </c>
      <c r="AB65" s="2646">
        <f>$AA$65</f>
        <v>1111927.8</v>
      </c>
      <c r="AC65" s="533" t="s">
        <v>251</v>
      </c>
      <c r="AD65" s="533" t="s">
        <v>251</v>
      </c>
      <c r="AE65" s="533" t="s">
        <v>251</v>
      </c>
      <c r="AF65" s="5051"/>
    </row>
    <row r="66" spans="1:32" ht="18" customHeight="1">
      <c r="A66" s="4564"/>
      <c r="B66" s="4570"/>
      <c r="C66" s="5145"/>
      <c r="D66" s="5130"/>
      <c r="E66" s="5130"/>
      <c r="F66" s="5130"/>
      <c r="G66" s="5130"/>
      <c r="H66" s="5130"/>
      <c r="I66" s="5130"/>
      <c r="J66" s="5130"/>
      <c r="K66" s="5130"/>
      <c r="L66" s="5130"/>
      <c r="M66" s="5138"/>
      <c r="N66" s="5138"/>
      <c r="O66" s="5138"/>
      <c r="P66" s="5130"/>
      <c r="Q66" s="5130"/>
      <c r="R66" s="5128"/>
      <c r="S66" s="3736" t="s">
        <v>39</v>
      </c>
      <c r="T66" s="3758">
        <v>510707</v>
      </c>
      <c r="U66" s="2597"/>
      <c r="V66" s="3709" t="s">
        <v>127</v>
      </c>
      <c r="W66" s="3684"/>
      <c r="X66" s="533"/>
      <c r="Y66" s="2645">
        <v>3000</v>
      </c>
      <c r="Z66" s="2645"/>
      <c r="AA66" s="2645">
        <f t="shared" si="8"/>
        <v>3000</v>
      </c>
      <c r="AB66" s="2646">
        <f>$AA$66</f>
        <v>3000</v>
      </c>
      <c r="AC66" s="533" t="s">
        <v>251</v>
      </c>
      <c r="AD66" s="533" t="s">
        <v>251</v>
      </c>
      <c r="AE66" s="533" t="s">
        <v>251</v>
      </c>
      <c r="AF66" s="5051"/>
    </row>
    <row r="67" spans="1:32" ht="18" customHeight="1">
      <c r="A67" s="4564"/>
      <c r="B67" s="4570"/>
      <c r="C67" s="5145"/>
      <c r="D67" s="5130"/>
      <c r="E67" s="5130"/>
      <c r="F67" s="5130"/>
      <c r="G67" s="5130"/>
      <c r="H67" s="5130"/>
      <c r="I67" s="5130"/>
      <c r="J67" s="5130"/>
      <c r="K67" s="5130"/>
      <c r="L67" s="5130"/>
      <c r="M67" s="5138"/>
      <c r="N67" s="5138"/>
      <c r="O67" s="5138"/>
      <c r="P67" s="5130"/>
      <c r="Q67" s="5130"/>
      <c r="R67" s="5128"/>
      <c r="S67" s="3736" t="s">
        <v>39</v>
      </c>
      <c r="T67" s="3758">
        <v>530606</v>
      </c>
      <c r="U67" s="2597"/>
      <c r="V67" s="3708" t="s">
        <v>140</v>
      </c>
      <c r="W67" s="3684"/>
      <c r="X67" s="533"/>
      <c r="Y67" s="2645"/>
      <c r="Z67" s="2645"/>
      <c r="AA67" s="2645"/>
      <c r="AB67" s="2646">
        <f>$AA$68</f>
        <v>100000.32000000001</v>
      </c>
      <c r="AC67" s="533" t="s">
        <v>251</v>
      </c>
      <c r="AD67" s="533" t="s">
        <v>251</v>
      </c>
      <c r="AE67" s="533" t="s">
        <v>251</v>
      </c>
      <c r="AF67" s="5051"/>
    </row>
    <row r="68" spans="1:32" ht="18" customHeight="1">
      <c r="A68" s="4564"/>
      <c r="B68" s="4570"/>
      <c r="C68" s="5145"/>
      <c r="D68" s="5130"/>
      <c r="E68" s="5130"/>
      <c r="F68" s="5130"/>
      <c r="G68" s="5130"/>
      <c r="H68" s="5130"/>
      <c r="I68" s="5130"/>
      <c r="J68" s="5130"/>
      <c r="K68" s="5130"/>
      <c r="L68" s="5130"/>
      <c r="M68" s="5138"/>
      <c r="N68" s="5138"/>
      <c r="O68" s="5138"/>
      <c r="P68" s="5130"/>
      <c r="Q68" s="5130"/>
      <c r="R68" s="5128"/>
      <c r="S68" s="3736"/>
      <c r="T68" s="2601"/>
      <c r="U68" s="2597"/>
      <c r="V68" s="3711" t="s">
        <v>1153</v>
      </c>
      <c r="W68" s="3644">
        <v>1</v>
      </c>
      <c r="X68" s="3549" t="s">
        <v>250</v>
      </c>
      <c r="Y68" s="2645">
        <v>89286</v>
      </c>
      <c r="Z68" s="2645">
        <f>+W68*Y68</f>
        <v>89286</v>
      </c>
      <c r="AA68" s="2645">
        <f>+Z68*1.12</f>
        <v>100000.32000000001</v>
      </c>
      <c r="AB68" s="2646"/>
      <c r="AC68" s="533"/>
      <c r="AD68" s="533"/>
      <c r="AE68" s="533"/>
      <c r="AF68" s="5051"/>
    </row>
    <row r="69" spans="1:32" ht="18" customHeight="1">
      <c r="A69" s="4564"/>
      <c r="B69" s="4570"/>
      <c r="C69" s="5145"/>
      <c r="D69" s="5130"/>
      <c r="E69" s="5130"/>
      <c r="F69" s="5130"/>
      <c r="G69" s="5130"/>
      <c r="H69" s="5130"/>
      <c r="I69" s="5130"/>
      <c r="J69" s="5130"/>
      <c r="K69" s="5130"/>
      <c r="L69" s="5130"/>
      <c r="M69" s="5138"/>
      <c r="N69" s="5138"/>
      <c r="O69" s="5138"/>
      <c r="P69" s="5130"/>
      <c r="Q69" s="5130"/>
      <c r="R69" s="5128"/>
      <c r="S69" s="3736" t="s">
        <v>17</v>
      </c>
      <c r="T69" s="3758">
        <v>530606</v>
      </c>
      <c r="U69" s="2601"/>
      <c r="V69" s="3708" t="s">
        <v>140</v>
      </c>
      <c r="W69" s="3698"/>
      <c r="X69" s="3697"/>
      <c r="Y69" s="2646"/>
      <c r="Z69" s="2646"/>
      <c r="AA69" s="2646"/>
      <c r="AB69" s="2646">
        <f>SUM($AA$70)</f>
        <v>50064.000000000007</v>
      </c>
      <c r="AC69" s="533" t="s">
        <v>251</v>
      </c>
      <c r="AD69" s="533" t="s">
        <v>251</v>
      </c>
      <c r="AE69" s="533" t="s">
        <v>251</v>
      </c>
      <c r="AF69" s="5051"/>
    </row>
    <row r="70" spans="1:32" ht="18" customHeight="1">
      <c r="A70" s="4564"/>
      <c r="B70" s="4570"/>
      <c r="C70" s="5145"/>
      <c r="D70" s="5130"/>
      <c r="E70" s="5130"/>
      <c r="F70" s="5130"/>
      <c r="G70" s="5130"/>
      <c r="H70" s="5130"/>
      <c r="I70" s="5130"/>
      <c r="J70" s="5130"/>
      <c r="K70" s="5130"/>
      <c r="L70" s="5130"/>
      <c r="M70" s="5138"/>
      <c r="N70" s="5138"/>
      <c r="O70" s="5138"/>
      <c r="P70" s="5130"/>
      <c r="Q70" s="5130"/>
      <c r="R70" s="5128"/>
      <c r="S70" s="3736"/>
      <c r="T70" s="2601"/>
      <c r="U70" s="2601"/>
      <c r="V70" s="3711" t="s">
        <v>1154</v>
      </c>
      <c r="W70" s="3644">
        <v>1</v>
      </c>
      <c r="X70" s="3549" t="s">
        <v>250</v>
      </c>
      <c r="Y70" s="2645">
        <v>44700</v>
      </c>
      <c r="Z70" s="2645">
        <f>+W70*Y70</f>
        <v>44700</v>
      </c>
      <c r="AA70" s="2645">
        <f>+Z70*1.12</f>
        <v>50064.000000000007</v>
      </c>
      <c r="AB70" s="2645"/>
      <c r="AC70" s="533"/>
      <c r="AD70" s="533"/>
      <c r="AE70" s="533"/>
      <c r="AF70" s="5051"/>
    </row>
    <row r="71" spans="1:32" ht="18" customHeight="1">
      <c r="A71" s="4564"/>
      <c r="B71" s="4570"/>
      <c r="C71" s="5145"/>
      <c r="D71" s="5130"/>
      <c r="E71" s="5130"/>
      <c r="F71" s="5130"/>
      <c r="G71" s="5130"/>
      <c r="H71" s="5130"/>
      <c r="I71" s="5130"/>
      <c r="J71" s="5130"/>
      <c r="K71" s="5130"/>
      <c r="L71" s="5130"/>
      <c r="M71" s="5138"/>
      <c r="N71" s="5138"/>
      <c r="O71" s="5138"/>
      <c r="P71" s="5130"/>
      <c r="Q71" s="5130"/>
      <c r="R71" s="5128"/>
      <c r="S71" s="3736" t="s">
        <v>29</v>
      </c>
      <c r="T71" s="3758">
        <v>530606</v>
      </c>
      <c r="U71" s="2601"/>
      <c r="V71" s="3708" t="s">
        <v>140</v>
      </c>
      <c r="W71" s="3698"/>
      <c r="X71" s="3697"/>
      <c r="Y71" s="2646"/>
      <c r="Z71" s="2646"/>
      <c r="AA71" s="2646"/>
      <c r="AB71" s="2646">
        <f>SUM($AA$72)</f>
        <v>50064.000000000007</v>
      </c>
      <c r="AC71" s="533" t="s">
        <v>251</v>
      </c>
      <c r="AD71" s="533" t="s">
        <v>251</v>
      </c>
      <c r="AE71" s="533" t="s">
        <v>251</v>
      </c>
      <c r="AF71" s="5051"/>
    </row>
    <row r="72" spans="1:32" ht="18" customHeight="1">
      <c r="A72" s="4564"/>
      <c r="B72" s="4570"/>
      <c r="C72" s="5145"/>
      <c r="D72" s="5130"/>
      <c r="E72" s="5130"/>
      <c r="F72" s="5130"/>
      <c r="G72" s="5130"/>
      <c r="H72" s="5130"/>
      <c r="I72" s="5130"/>
      <c r="J72" s="5130"/>
      <c r="K72" s="5130"/>
      <c r="L72" s="5130"/>
      <c r="M72" s="5138"/>
      <c r="N72" s="5138"/>
      <c r="O72" s="5138"/>
      <c r="P72" s="5130"/>
      <c r="Q72" s="5130"/>
      <c r="R72" s="5128"/>
      <c r="S72" s="3748"/>
      <c r="T72" s="2677"/>
      <c r="U72" s="2677"/>
      <c r="V72" s="3712" t="s">
        <v>1155</v>
      </c>
      <c r="W72" s="3702">
        <v>1</v>
      </c>
      <c r="X72" s="3675" t="s">
        <v>250</v>
      </c>
      <c r="Y72" s="2667">
        <v>44700</v>
      </c>
      <c r="Z72" s="2667">
        <f>+W72*Y72</f>
        <v>44700</v>
      </c>
      <c r="AA72" s="2667">
        <f>+Z72*1.12</f>
        <v>50064.000000000007</v>
      </c>
      <c r="AB72" s="2667"/>
      <c r="AC72" s="3672"/>
      <c r="AD72" s="3673"/>
      <c r="AE72" s="3672"/>
      <c r="AF72" s="5085"/>
    </row>
    <row r="73" spans="1:32" ht="43.5" customHeight="1">
      <c r="A73" s="4564"/>
      <c r="B73" s="4570"/>
      <c r="C73" s="5144" t="s">
        <v>235</v>
      </c>
      <c r="D73" s="5129" t="s">
        <v>236</v>
      </c>
      <c r="E73" s="5129" t="s">
        <v>237</v>
      </c>
      <c r="F73" s="5129" t="s">
        <v>1137</v>
      </c>
      <c r="G73" s="5131" t="s">
        <v>239</v>
      </c>
      <c r="H73" s="5129" t="s">
        <v>240</v>
      </c>
      <c r="I73" s="5129" t="s">
        <v>257</v>
      </c>
      <c r="J73" s="5129" t="s">
        <v>5536</v>
      </c>
      <c r="K73" s="5129" t="s">
        <v>1156</v>
      </c>
      <c r="L73" s="5129" t="s">
        <v>5490</v>
      </c>
      <c r="M73" s="5142">
        <v>2</v>
      </c>
      <c r="N73" s="5142">
        <v>0</v>
      </c>
      <c r="O73" s="5142">
        <v>2</v>
      </c>
      <c r="P73" s="5166" t="s">
        <v>5475</v>
      </c>
      <c r="Q73" s="5129" t="s">
        <v>5374</v>
      </c>
      <c r="R73" s="5125" t="s">
        <v>5336</v>
      </c>
      <c r="S73" s="3742"/>
      <c r="T73" s="3725"/>
      <c r="U73" s="3725"/>
      <c r="V73" s="3530"/>
      <c r="W73" s="2633"/>
      <c r="X73" s="1967"/>
      <c r="Y73" s="2651"/>
      <c r="Z73" s="2651"/>
      <c r="AA73" s="2651"/>
      <c r="AB73" s="2652"/>
      <c r="AC73" s="1967"/>
      <c r="AD73" s="1971"/>
      <c r="AE73" s="1971"/>
      <c r="AF73" s="5155"/>
    </row>
    <row r="74" spans="1:32" ht="43.5" customHeight="1">
      <c r="A74" s="4564"/>
      <c r="B74" s="4570"/>
      <c r="C74" s="5145"/>
      <c r="D74" s="5130"/>
      <c r="E74" s="5130"/>
      <c r="F74" s="5130"/>
      <c r="G74" s="5130"/>
      <c r="H74" s="5130"/>
      <c r="I74" s="5130"/>
      <c r="J74" s="5130"/>
      <c r="K74" s="5130"/>
      <c r="L74" s="5130"/>
      <c r="M74" s="5138"/>
      <c r="N74" s="5138"/>
      <c r="O74" s="5138"/>
      <c r="P74" s="5130"/>
      <c r="Q74" s="5130"/>
      <c r="R74" s="5128"/>
      <c r="S74" s="3738"/>
      <c r="T74" s="3719"/>
      <c r="U74" s="3718"/>
      <c r="V74" s="2681"/>
      <c r="W74" s="2630"/>
      <c r="X74" s="532"/>
      <c r="Y74" s="2645"/>
      <c r="Z74" s="2645"/>
      <c r="AA74" s="2645"/>
      <c r="AB74" s="2646"/>
      <c r="AC74" s="532"/>
      <c r="AD74" s="533"/>
      <c r="AE74" s="533"/>
      <c r="AF74" s="5051"/>
    </row>
    <row r="75" spans="1:32" ht="43.5" customHeight="1">
      <c r="A75" s="4564"/>
      <c r="B75" s="4570"/>
      <c r="C75" s="5145"/>
      <c r="D75" s="5130"/>
      <c r="E75" s="5130"/>
      <c r="F75" s="5130"/>
      <c r="G75" s="5130"/>
      <c r="H75" s="5130"/>
      <c r="I75" s="5130"/>
      <c r="J75" s="5130"/>
      <c r="K75" s="5130"/>
      <c r="L75" s="5130"/>
      <c r="M75" s="5138"/>
      <c r="N75" s="5138"/>
      <c r="O75" s="5138"/>
      <c r="P75" s="5130"/>
      <c r="Q75" s="5130"/>
      <c r="R75" s="5128"/>
      <c r="S75" s="3738"/>
      <c r="T75" s="3719"/>
      <c r="U75" s="3718"/>
      <c r="V75" s="2681"/>
      <c r="W75" s="2630"/>
      <c r="X75" s="532"/>
      <c r="Y75" s="2645"/>
      <c r="Z75" s="2645"/>
      <c r="AA75" s="2645"/>
      <c r="AB75" s="2646"/>
      <c r="AC75" s="532"/>
      <c r="AD75" s="533"/>
      <c r="AE75" s="533"/>
      <c r="AF75" s="5051"/>
    </row>
    <row r="76" spans="1:32" ht="43.5" customHeight="1">
      <c r="A76" s="4564"/>
      <c r="B76" s="4570"/>
      <c r="C76" s="5145"/>
      <c r="D76" s="5130"/>
      <c r="E76" s="5130"/>
      <c r="F76" s="5130"/>
      <c r="G76" s="5130"/>
      <c r="H76" s="5130"/>
      <c r="I76" s="5130"/>
      <c r="J76" s="5130"/>
      <c r="K76" s="5130"/>
      <c r="L76" s="5130"/>
      <c r="M76" s="5138"/>
      <c r="N76" s="5138"/>
      <c r="O76" s="5138"/>
      <c r="P76" s="5130"/>
      <c r="Q76" s="5130"/>
      <c r="R76" s="5128"/>
      <c r="S76" s="3738"/>
      <c r="T76" s="3719"/>
      <c r="U76" s="3718"/>
      <c r="V76" s="2681"/>
      <c r="W76" s="2630"/>
      <c r="X76" s="532"/>
      <c r="Y76" s="2645"/>
      <c r="Z76" s="2645"/>
      <c r="AA76" s="2645"/>
      <c r="AB76" s="2646"/>
      <c r="AC76" s="532"/>
      <c r="AD76" s="533"/>
      <c r="AE76" s="533"/>
      <c r="AF76" s="5051"/>
    </row>
    <row r="77" spans="1:32" ht="43.5" customHeight="1">
      <c r="A77" s="4564"/>
      <c r="B77" s="4570"/>
      <c r="C77" s="5145"/>
      <c r="D77" s="5130"/>
      <c r="E77" s="5130"/>
      <c r="F77" s="5130"/>
      <c r="G77" s="5130"/>
      <c r="H77" s="5130"/>
      <c r="I77" s="5130"/>
      <c r="J77" s="5130"/>
      <c r="K77" s="5130"/>
      <c r="L77" s="5130"/>
      <c r="M77" s="5138"/>
      <c r="N77" s="5138"/>
      <c r="O77" s="5138"/>
      <c r="P77" s="5130"/>
      <c r="Q77" s="5130"/>
      <c r="R77" s="5153"/>
      <c r="S77" s="3739"/>
      <c r="T77" s="3733"/>
      <c r="U77" s="3720"/>
      <c r="V77" s="2682"/>
      <c r="W77" s="2631"/>
      <c r="X77" s="575"/>
      <c r="Y77" s="3603"/>
      <c r="Z77" s="3603"/>
      <c r="AA77" s="3603"/>
      <c r="AB77" s="3604"/>
      <c r="AC77" s="575"/>
      <c r="AD77" s="321"/>
      <c r="AE77" s="321"/>
      <c r="AF77" s="5051"/>
    </row>
    <row r="78" spans="1:32" ht="30" customHeight="1">
      <c r="A78" s="4564"/>
      <c r="B78" s="4570"/>
      <c r="C78" s="5144" t="s">
        <v>235</v>
      </c>
      <c r="D78" s="5129" t="s">
        <v>236</v>
      </c>
      <c r="E78" s="5129" t="s">
        <v>237</v>
      </c>
      <c r="F78" s="5129" t="s">
        <v>1137</v>
      </c>
      <c r="G78" s="5131" t="s">
        <v>239</v>
      </c>
      <c r="H78" s="5129" t="s">
        <v>240</v>
      </c>
      <c r="I78" s="5129" t="s">
        <v>257</v>
      </c>
      <c r="J78" s="5129" t="s">
        <v>5537</v>
      </c>
      <c r="K78" s="5129" t="s">
        <v>1157</v>
      </c>
      <c r="L78" s="5129" t="s">
        <v>5491</v>
      </c>
      <c r="M78" s="5142">
        <v>1</v>
      </c>
      <c r="N78" s="5142">
        <v>1</v>
      </c>
      <c r="O78" s="5142">
        <v>0</v>
      </c>
      <c r="P78" s="5166" t="s">
        <v>5474</v>
      </c>
      <c r="Q78" s="5129" t="s">
        <v>5375</v>
      </c>
      <c r="R78" s="5132" t="s">
        <v>5336</v>
      </c>
      <c r="S78" s="3740"/>
      <c r="T78" s="3721"/>
      <c r="U78" s="3721"/>
      <c r="V78" s="3575"/>
      <c r="W78" s="3576"/>
      <c r="X78" s="3580"/>
      <c r="Y78" s="3607"/>
      <c r="Z78" s="3607"/>
      <c r="AA78" s="3607"/>
      <c r="AB78" s="3608"/>
      <c r="AC78" s="3580"/>
      <c r="AD78" s="3582"/>
      <c r="AE78" s="3582"/>
      <c r="AF78" s="5154"/>
    </row>
    <row r="79" spans="1:32" ht="30" customHeight="1">
      <c r="A79" s="4564"/>
      <c r="B79" s="4570"/>
      <c r="C79" s="5145"/>
      <c r="D79" s="5130"/>
      <c r="E79" s="5130"/>
      <c r="F79" s="5130"/>
      <c r="G79" s="5130"/>
      <c r="H79" s="5130"/>
      <c r="I79" s="5130"/>
      <c r="J79" s="5130"/>
      <c r="K79" s="5130"/>
      <c r="L79" s="5130"/>
      <c r="M79" s="5138"/>
      <c r="N79" s="5138"/>
      <c r="O79" s="5138"/>
      <c r="P79" s="5130"/>
      <c r="Q79" s="5130"/>
      <c r="R79" s="5128"/>
      <c r="S79" s="3738"/>
      <c r="T79" s="3719"/>
      <c r="U79" s="3718"/>
      <c r="V79" s="2681"/>
      <c r="W79" s="2630"/>
      <c r="X79" s="532"/>
      <c r="Y79" s="3561"/>
      <c r="Z79" s="3561"/>
      <c r="AA79" s="3561"/>
      <c r="AB79" s="3562"/>
      <c r="AC79" s="532"/>
      <c r="AD79" s="533"/>
      <c r="AE79" s="533"/>
      <c r="AF79" s="5051"/>
    </row>
    <row r="80" spans="1:32" ht="30" customHeight="1">
      <c r="A80" s="4564"/>
      <c r="B80" s="4570"/>
      <c r="C80" s="5145"/>
      <c r="D80" s="5130"/>
      <c r="E80" s="5130"/>
      <c r="F80" s="5130"/>
      <c r="G80" s="5130"/>
      <c r="H80" s="5130"/>
      <c r="I80" s="5130"/>
      <c r="J80" s="5130"/>
      <c r="K80" s="5130"/>
      <c r="L80" s="5130"/>
      <c r="M80" s="5138"/>
      <c r="N80" s="5138"/>
      <c r="O80" s="5138"/>
      <c r="P80" s="5130"/>
      <c r="Q80" s="5130"/>
      <c r="R80" s="5128"/>
      <c r="S80" s="3738"/>
      <c r="T80" s="3719"/>
      <c r="U80" s="3718"/>
      <c r="V80" s="2681"/>
      <c r="W80" s="2630"/>
      <c r="X80" s="532"/>
      <c r="Y80" s="3561"/>
      <c r="Z80" s="3561"/>
      <c r="AA80" s="3561"/>
      <c r="AB80" s="3562"/>
      <c r="AC80" s="532"/>
      <c r="AD80" s="533"/>
      <c r="AE80" s="533"/>
      <c r="AF80" s="5051"/>
    </row>
    <row r="81" spans="1:32" ht="30" customHeight="1">
      <c r="A81" s="4564"/>
      <c r="B81" s="4570"/>
      <c r="C81" s="5145"/>
      <c r="D81" s="5130"/>
      <c r="E81" s="5130"/>
      <c r="F81" s="5130"/>
      <c r="G81" s="5130"/>
      <c r="H81" s="5130"/>
      <c r="I81" s="5130"/>
      <c r="J81" s="5130"/>
      <c r="K81" s="5130"/>
      <c r="L81" s="5130"/>
      <c r="M81" s="5138"/>
      <c r="N81" s="5138"/>
      <c r="O81" s="5138"/>
      <c r="P81" s="5130"/>
      <c r="Q81" s="5130"/>
      <c r="R81" s="5128"/>
      <c r="S81" s="3738"/>
      <c r="T81" s="3719"/>
      <c r="U81" s="3719"/>
      <c r="V81" s="2681"/>
      <c r="W81" s="2630"/>
      <c r="X81" s="532"/>
      <c r="Y81" s="3561"/>
      <c r="Z81" s="3561"/>
      <c r="AA81" s="3561"/>
      <c r="AB81" s="3562"/>
      <c r="AC81" s="532"/>
      <c r="AD81" s="533"/>
      <c r="AE81" s="533"/>
      <c r="AF81" s="5051"/>
    </row>
    <row r="82" spans="1:32" ht="30" customHeight="1">
      <c r="A82" s="4564"/>
      <c r="B82" s="4570"/>
      <c r="C82" s="5145"/>
      <c r="D82" s="5130"/>
      <c r="E82" s="5130"/>
      <c r="F82" s="5130"/>
      <c r="G82" s="5130"/>
      <c r="H82" s="5130"/>
      <c r="I82" s="5130"/>
      <c r="J82" s="5130"/>
      <c r="K82" s="5130"/>
      <c r="L82" s="5130"/>
      <c r="M82" s="5138"/>
      <c r="N82" s="5138"/>
      <c r="O82" s="5138"/>
      <c r="P82" s="5130"/>
      <c r="Q82" s="5130"/>
      <c r="R82" s="5128"/>
      <c r="S82" s="3741"/>
      <c r="T82" s="3729"/>
      <c r="U82" s="1779"/>
      <c r="V82" s="2686"/>
      <c r="W82" s="1781"/>
      <c r="X82" s="1782"/>
      <c r="Y82" s="1783"/>
      <c r="Z82" s="1783"/>
      <c r="AA82" s="1783"/>
      <c r="AB82" s="3602"/>
      <c r="AC82" s="1782"/>
      <c r="AD82" s="3572"/>
      <c r="AE82" s="3572"/>
      <c r="AF82" s="5085"/>
    </row>
    <row r="83" spans="1:32" ht="38.25" customHeight="1">
      <c r="A83" s="4564"/>
      <c r="B83" s="4570"/>
      <c r="C83" s="5144" t="s">
        <v>235</v>
      </c>
      <c r="D83" s="5129" t="s">
        <v>236</v>
      </c>
      <c r="E83" s="5129" t="s">
        <v>237</v>
      </c>
      <c r="F83" s="5129" t="s">
        <v>1137</v>
      </c>
      <c r="G83" s="5131" t="s">
        <v>239</v>
      </c>
      <c r="H83" s="5129" t="s">
        <v>240</v>
      </c>
      <c r="I83" s="5129" t="s">
        <v>257</v>
      </c>
      <c r="J83" s="5129" t="s">
        <v>5538</v>
      </c>
      <c r="K83" s="5129" t="s">
        <v>1158</v>
      </c>
      <c r="L83" s="5129" t="s">
        <v>5492</v>
      </c>
      <c r="M83" s="5142">
        <v>2</v>
      </c>
      <c r="N83" s="5142">
        <v>2</v>
      </c>
      <c r="O83" s="5142">
        <v>2</v>
      </c>
      <c r="P83" s="5129" t="s">
        <v>5473</v>
      </c>
      <c r="Q83" s="5129" t="s">
        <v>5376</v>
      </c>
      <c r="R83" s="5125" t="s">
        <v>5342</v>
      </c>
      <c r="S83" s="3742"/>
      <c r="T83" s="3725"/>
      <c r="U83" s="3725"/>
      <c r="V83" s="3530"/>
      <c r="W83" s="2633"/>
      <c r="X83" s="1967"/>
      <c r="Y83" s="3565"/>
      <c r="Z83" s="3565"/>
      <c r="AA83" s="3565"/>
      <c r="AB83" s="3566"/>
      <c r="AC83" s="1967"/>
      <c r="AD83" s="1967"/>
      <c r="AE83" s="1967"/>
      <c r="AF83" s="5155"/>
    </row>
    <row r="84" spans="1:32" ht="38.25" customHeight="1">
      <c r="A84" s="4564"/>
      <c r="B84" s="4570"/>
      <c r="C84" s="5145"/>
      <c r="D84" s="5130"/>
      <c r="E84" s="5130"/>
      <c r="F84" s="5130"/>
      <c r="G84" s="5130"/>
      <c r="H84" s="5130"/>
      <c r="I84" s="5130"/>
      <c r="J84" s="5130"/>
      <c r="K84" s="5130"/>
      <c r="L84" s="5130"/>
      <c r="M84" s="5138"/>
      <c r="N84" s="5138"/>
      <c r="O84" s="5138"/>
      <c r="P84" s="5130"/>
      <c r="Q84" s="5130"/>
      <c r="R84" s="5128"/>
      <c r="S84" s="3738"/>
      <c r="T84" s="3719"/>
      <c r="U84" s="3718"/>
      <c r="V84" s="2681"/>
      <c r="W84" s="2630"/>
      <c r="X84" s="532"/>
      <c r="Y84" s="3561"/>
      <c r="Z84" s="3561"/>
      <c r="AA84" s="3561"/>
      <c r="AB84" s="3562"/>
      <c r="AC84" s="532"/>
      <c r="AD84" s="532"/>
      <c r="AE84" s="532"/>
      <c r="AF84" s="5051"/>
    </row>
    <row r="85" spans="1:32" ht="38.25" customHeight="1">
      <c r="A85" s="4564"/>
      <c r="B85" s="4570"/>
      <c r="C85" s="5145"/>
      <c r="D85" s="5130"/>
      <c r="E85" s="5130"/>
      <c r="F85" s="5130"/>
      <c r="G85" s="5130"/>
      <c r="H85" s="5130"/>
      <c r="I85" s="5130"/>
      <c r="J85" s="5130"/>
      <c r="K85" s="5130"/>
      <c r="L85" s="5130"/>
      <c r="M85" s="5138"/>
      <c r="N85" s="5138"/>
      <c r="O85" s="5138"/>
      <c r="P85" s="5130"/>
      <c r="Q85" s="5130"/>
      <c r="R85" s="5128"/>
      <c r="S85" s="3738"/>
      <c r="T85" s="3719"/>
      <c r="U85" s="3718"/>
      <c r="V85" s="2681"/>
      <c r="W85" s="2630"/>
      <c r="X85" s="532"/>
      <c r="Y85" s="3561"/>
      <c r="Z85" s="3561"/>
      <c r="AA85" s="3561"/>
      <c r="AB85" s="3562"/>
      <c r="AC85" s="532"/>
      <c r="AD85" s="532"/>
      <c r="AE85" s="533"/>
      <c r="AF85" s="5051"/>
    </row>
    <row r="86" spans="1:32" ht="38.25" customHeight="1">
      <c r="A86" s="4564"/>
      <c r="B86" s="4570"/>
      <c r="C86" s="5145"/>
      <c r="D86" s="5130"/>
      <c r="E86" s="5130"/>
      <c r="F86" s="5130"/>
      <c r="G86" s="5130"/>
      <c r="H86" s="5130"/>
      <c r="I86" s="5130"/>
      <c r="J86" s="5130"/>
      <c r="K86" s="5130"/>
      <c r="L86" s="5130"/>
      <c r="M86" s="5138"/>
      <c r="N86" s="5138"/>
      <c r="O86" s="5138"/>
      <c r="P86" s="5130"/>
      <c r="Q86" s="5130"/>
      <c r="R86" s="5128"/>
      <c r="S86" s="3738"/>
      <c r="T86" s="3719"/>
      <c r="U86" s="3718"/>
      <c r="V86" s="2681"/>
      <c r="W86" s="2630"/>
      <c r="X86" s="532"/>
      <c r="Y86" s="3561"/>
      <c r="Z86" s="3561"/>
      <c r="AA86" s="3561"/>
      <c r="AB86" s="3562"/>
      <c r="AC86" s="532"/>
      <c r="AD86" s="532"/>
      <c r="AE86" s="533"/>
      <c r="AF86" s="5051"/>
    </row>
    <row r="87" spans="1:32" ht="38.25" customHeight="1">
      <c r="A87" s="4564"/>
      <c r="B87" s="4570"/>
      <c r="C87" s="5145"/>
      <c r="D87" s="5130"/>
      <c r="E87" s="5130"/>
      <c r="F87" s="5130"/>
      <c r="G87" s="5130"/>
      <c r="H87" s="5130"/>
      <c r="I87" s="5130"/>
      <c r="J87" s="5130"/>
      <c r="K87" s="5130"/>
      <c r="L87" s="5130"/>
      <c r="M87" s="5138"/>
      <c r="N87" s="5138"/>
      <c r="O87" s="5138"/>
      <c r="P87" s="5130"/>
      <c r="Q87" s="5130"/>
      <c r="R87" s="5153"/>
      <c r="S87" s="3745"/>
      <c r="T87" s="3729"/>
      <c r="U87" s="1779"/>
      <c r="V87" s="2686"/>
      <c r="W87" s="2631"/>
      <c r="X87" s="575"/>
      <c r="Y87" s="3603"/>
      <c r="Z87" s="3603"/>
      <c r="AA87" s="3603"/>
      <c r="AB87" s="3604"/>
      <c r="AC87" s="575"/>
      <c r="AD87" s="575"/>
      <c r="AE87" s="321"/>
      <c r="AF87" s="5051"/>
    </row>
    <row r="88" spans="1:32" ht="30.75" customHeight="1">
      <c r="A88" s="4564"/>
      <c r="B88" s="4570"/>
      <c r="C88" s="5144" t="s">
        <v>235</v>
      </c>
      <c r="D88" s="5129" t="s">
        <v>236</v>
      </c>
      <c r="E88" s="5129" t="s">
        <v>237</v>
      </c>
      <c r="F88" s="5129" t="s">
        <v>1137</v>
      </c>
      <c r="G88" s="5131" t="s">
        <v>239</v>
      </c>
      <c r="H88" s="5129" t="s">
        <v>240</v>
      </c>
      <c r="I88" s="5129" t="s">
        <v>257</v>
      </c>
      <c r="J88" s="5131" t="s">
        <v>5539</v>
      </c>
      <c r="K88" s="5129" t="s">
        <v>1159</v>
      </c>
      <c r="L88" s="5129" t="s">
        <v>5493</v>
      </c>
      <c r="M88" s="5142">
        <v>1</v>
      </c>
      <c r="N88" s="5142">
        <v>1</v>
      </c>
      <c r="O88" s="5142">
        <v>0</v>
      </c>
      <c r="P88" s="5166" t="s">
        <v>5472</v>
      </c>
      <c r="Q88" s="5129" t="s">
        <v>5377</v>
      </c>
      <c r="R88" s="5132" t="s">
        <v>5343</v>
      </c>
      <c r="S88" s="3742" t="s">
        <v>11</v>
      </c>
      <c r="T88" s="3725">
        <v>840107</v>
      </c>
      <c r="U88" s="3722"/>
      <c r="V88" s="3530" t="s">
        <v>20</v>
      </c>
      <c r="W88" s="3576"/>
      <c r="X88" s="3580"/>
      <c r="Y88" s="3607"/>
      <c r="Z88" s="3607"/>
      <c r="AA88" s="3607"/>
      <c r="AB88" s="3608">
        <f>SUM($AA$89:$AA$89)</f>
        <v>423188.3</v>
      </c>
      <c r="AC88" s="3580"/>
      <c r="AD88" s="3582"/>
      <c r="AE88" s="3582"/>
      <c r="AF88" s="5154"/>
    </row>
    <row r="89" spans="1:32" ht="30.75" customHeight="1">
      <c r="A89" s="4564"/>
      <c r="B89" s="4570"/>
      <c r="C89" s="5145"/>
      <c r="D89" s="5130"/>
      <c r="E89" s="5130"/>
      <c r="F89" s="5130"/>
      <c r="G89" s="5130"/>
      <c r="H89" s="5130"/>
      <c r="I89" s="5130"/>
      <c r="J89" s="5130"/>
      <c r="K89" s="5130"/>
      <c r="L89" s="5130"/>
      <c r="M89" s="5138"/>
      <c r="N89" s="5138"/>
      <c r="O89" s="5138"/>
      <c r="P89" s="5130"/>
      <c r="Q89" s="5130"/>
      <c r="R89" s="5128"/>
      <c r="S89" s="3738"/>
      <c r="T89" s="3719"/>
      <c r="U89" s="3718"/>
      <c r="V89" s="2681" t="s">
        <v>5294</v>
      </c>
      <c r="W89" s="2630">
        <v>1</v>
      </c>
      <c r="X89" s="532" t="s">
        <v>269</v>
      </c>
      <c r="Y89" s="3561">
        <v>423188.3</v>
      </c>
      <c r="Z89" s="3561"/>
      <c r="AA89" s="3561">
        <f>Y89</f>
        <v>423188.3</v>
      </c>
      <c r="AB89" s="3562"/>
      <c r="AC89" s="532" t="s">
        <v>251</v>
      </c>
      <c r="AD89" s="533" t="s">
        <v>251</v>
      </c>
      <c r="AE89" s="533" t="s">
        <v>251</v>
      </c>
      <c r="AF89" s="5051"/>
    </row>
    <row r="90" spans="1:32" ht="30.75" customHeight="1">
      <c r="A90" s="4564"/>
      <c r="B90" s="4570"/>
      <c r="C90" s="5145"/>
      <c r="D90" s="5130"/>
      <c r="E90" s="5130"/>
      <c r="F90" s="5130"/>
      <c r="G90" s="5130"/>
      <c r="H90" s="5130"/>
      <c r="I90" s="5130"/>
      <c r="J90" s="5130"/>
      <c r="K90" s="5130"/>
      <c r="L90" s="5130"/>
      <c r="M90" s="5138"/>
      <c r="N90" s="5138"/>
      <c r="O90" s="5138"/>
      <c r="P90" s="5130"/>
      <c r="Q90" s="5130"/>
      <c r="R90" s="5128"/>
      <c r="S90" s="3738" t="s">
        <v>11</v>
      </c>
      <c r="T90" s="3719">
        <v>580209</v>
      </c>
      <c r="U90" s="3718"/>
      <c r="V90" s="3531" t="s">
        <v>143</v>
      </c>
      <c r="W90" s="2630">
        <v>1</v>
      </c>
      <c r="X90" s="532" t="s">
        <v>269</v>
      </c>
      <c r="Y90" s="3561">
        <v>1280000</v>
      </c>
      <c r="Z90" s="3561"/>
      <c r="AA90" s="3561">
        <f>Y90</f>
        <v>1280000</v>
      </c>
      <c r="AB90" s="3562">
        <f>$AA$90</f>
        <v>1280000</v>
      </c>
      <c r="AC90" s="532" t="s">
        <v>251</v>
      </c>
      <c r="AD90" s="533" t="s">
        <v>251</v>
      </c>
      <c r="AE90" s="533" t="s">
        <v>251</v>
      </c>
      <c r="AF90" s="5051"/>
    </row>
    <row r="91" spans="1:32" ht="30.75" customHeight="1">
      <c r="A91" s="4564"/>
      <c r="B91" s="4570"/>
      <c r="C91" s="5145"/>
      <c r="D91" s="5130"/>
      <c r="E91" s="5130"/>
      <c r="F91" s="5130"/>
      <c r="G91" s="5130"/>
      <c r="H91" s="5130"/>
      <c r="I91" s="5130"/>
      <c r="J91" s="5130"/>
      <c r="K91" s="5130"/>
      <c r="L91" s="5130"/>
      <c r="M91" s="5138"/>
      <c r="N91" s="5138"/>
      <c r="O91" s="5138"/>
      <c r="P91" s="5130"/>
      <c r="Q91" s="5130"/>
      <c r="R91" s="5128"/>
      <c r="S91" s="3738"/>
      <c r="T91" s="3719"/>
      <c r="U91" s="3718"/>
      <c r="V91" s="2681"/>
      <c r="W91" s="2630"/>
      <c r="X91" s="532"/>
      <c r="Y91" s="3561"/>
      <c r="Z91" s="3561"/>
      <c r="AA91" s="3561"/>
      <c r="AB91" s="3562"/>
      <c r="AC91" s="532"/>
      <c r="AD91" s="533"/>
      <c r="AE91" s="533"/>
      <c r="AF91" s="5051"/>
    </row>
    <row r="92" spans="1:32" ht="30.75" customHeight="1">
      <c r="A92" s="4564"/>
      <c r="B92" s="4570"/>
      <c r="C92" s="5145"/>
      <c r="D92" s="5130"/>
      <c r="E92" s="5130"/>
      <c r="F92" s="5130"/>
      <c r="G92" s="5130"/>
      <c r="H92" s="5130"/>
      <c r="I92" s="5130"/>
      <c r="J92" s="5130"/>
      <c r="K92" s="5130"/>
      <c r="L92" s="5130"/>
      <c r="M92" s="5138"/>
      <c r="N92" s="5138"/>
      <c r="O92" s="5138"/>
      <c r="P92" s="5130"/>
      <c r="Q92" s="5130"/>
      <c r="R92" s="5128"/>
      <c r="S92" s="3741"/>
      <c r="T92" s="3729"/>
      <c r="U92" s="1779"/>
      <c r="V92" s="2686"/>
      <c r="W92" s="1781"/>
      <c r="X92" s="1782"/>
      <c r="Y92" s="1783"/>
      <c r="Z92" s="1783"/>
      <c r="AA92" s="1783"/>
      <c r="AB92" s="3602"/>
      <c r="AC92" s="1782"/>
      <c r="AD92" s="3572"/>
      <c r="AE92" s="3572"/>
      <c r="AF92" s="5085"/>
    </row>
    <row r="93" spans="1:32" ht="35.25" customHeight="1">
      <c r="A93" s="4564"/>
      <c r="B93" s="4570"/>
      <c r="C93" s="5144" t="s">
        <v>235</v>
      </c>
      <c r="D93" s="5129" t="s">
        <v>236</v>
      </c>
      <c r="E93" s="5129" t="s">
        <v>237</v>
      </c>
      <c r="F93" s="5129" t="s">
        <v>1137</v>
      </c>
      <c r="G93" s="5131" t="s">
        <v>239</v>
      </c>
      <c r="H93" s="5129" t="s">
        <v>240</v>
      </c>
      <c r="I93" s="5129" t="s">
        <v>257</v>
      </c>
      <c r="J93" s="5131" t="s">
        <v>5540</v>
      </c>
      <c r="K93" s="5129" t="s">
        <v>1160</v>
      </c>
      <c r="L93" s="5129" t="s">
        <v>5494</v>
      </c>
      <c r="M93" s="5142">
        <v>3</v>
      </c>
      <c r="N93" s="5142">
        <v>3</v>
      </c>
      <c r="O93" s="5142">
        <v>3</v>
      </c>
      <c r="P93" s="5166" t="s">
        <v>5471</v>
      </c>
      <c r="Q93" s="5166" t="s">
        <v>5378</v>
      </c>
      <c r="R93" s="5125" t="s">
        <v>5340</v>
      </c>
      <c r="S93" s="3742"/>
      <c r="T93" s="3725"/>
      <c r="U93" s="3725"/>
      <c r="V93" s="3530"/>
      <c r="W93" s="2633"/>
      <c r="X93" s="1967"/>
      <c r="Y93" s="3565"/>
      <c r="Z93" s="3565"/>
      <c r="AA93" s="3565"/>
      <c r="AB93" s="3566"/>
      <c r="AC93" s="1967"/>
      <c r="AD93" s="1971"/>
      <c r="AE93" s="1971"/>
      <c r="AF93" s="5155"/>
    </row>
    <row r="94" spans="1:32" ht="35.25" customHeight="1">
      <c r="A94" s="4564"/>
      <c r="B94" s="4570"/>
      <c r="C94" s="5145"/>
      <c r="D94" s="5130"/>
      <c r="E94" s="5130"/>
      <c r="F94" s="5130"/>
      <c r="G94" s="5130"/>
      <c r="H94" s="5130"/>
      <c r="I94" s="5130"/>
      <c r="J94" s="5130"/>
      <c r="K94" s="5130"/>
      <c r="L94" s="5130"/>
      <c r="M94" s="5138"/>
      <c r="N94" s="5138"/>
      <c r="O94" s="5138"/>
      <c r="P94" s="5130"/>
      <c r="Q94" s="5130"/>
      <c r="R94" s="5128"/>
      <c r="S94" s="3738"/>
      <c r="T94" s="3719"/>
      <c r="U94" s="3718"/>
      <c r="V94" s="2681"/>
      <c r="W94" s="2630"/>
      <c r="X94" s="532"/>
      <c r="Y94" s="3561"/>
      <c r="Z94" s="3561"/>
      <c r="AA94" s="3561"/>
      <c r="AB94" s="3562"/>
      <c r="AC94" s="532"/>
      <c r="AD94" s="533"/>
      <c r="AE94" s="533"/>
      <c r="AF94" s="5051"/>
    </row>
    <row r="95" spans="1:32" ht="35.25" customHeight="1">
      <c r="A95" s="4564"/>
      <c r="B95" s="4570"/>
      <c r="C95" s="5145"/>
      <c r="D95" s="5130"/>
      <c r="E95" s="5130"/>
      <c r="F95" s="5130"/>
      <c r="G95" s="5130"/>
      <c r="H95" s="5130"/>
      <c r="I95" s="5130"/>
      <c r="J95" s="5130"/>
      <c r="K95" s="5130"/>
      <c r="L95" s="5130"/>
      <c r="M95" s="5138"/>
      <c r="N95" s="5138"/>
      <c r="O95" s="5138"/>
      <c r="P95" s="5130"/>
      <c r="Q95" s="5130"/>
      <c r="R95" s="5128"/>
      <c r="S95" s="3738"/>
      <c r="T95" s="3719"/>
      <c r="U95" s="3718"/>
      <c r="V95" s="2681"/>
      <c r="W95" s="2630"/>
      <c r="X95" s="532"/>
      <c r="Y95" s="3561"/>
      <c r="Z95" s="3561"/>
      <c r="AA95" s="3561"/>
      <c r="AB95" s="3562"/>
      <c r="AC95" s="532"/>
      <c r="AD95" s="533"/>
      <c r="AE95" s="533"/>
      <c r="AF95" s="5051"/>
    </row>
    <row r="96" spans="1:32" ht="35.25" customHeight="1">
      <c r="A96" s="4564"/>
      <c r="B96" s="4570"/>
      <c r="C96" s="5145"/>
      <c r="D96" s="5130"/>
      <c r="E96" s="5130"/>
      <c r="F96" s="5130"/>
      <c r="G96" s="5130"/>
      <c r="H96" s="5130"/>
      <c r="I96" s="5130"/>
      <c r="J96" s="5130"/>
      <c r="K96" s="5130"/>
      <c r="L96" s="5130"/>
      <c r="M96" s="5138"/>
      <c r="N96" s="5138"/>
      <c r="O96" s="5138"/>
      <c r="P96" s="5130"/>
      <c r="Q96" s="5130"/>
      <c r="R96" s="5128"/>
      <c r="S96" s="3738"/>
      <c r="T96" s="3719"/>
      <c r="U96" s="3718"/>
      <c r="V96" s="2681"/>
      <c r="W96" s="2630"/>
      <c r="X96" s="532"/>
      <c r="Y96" s="3561"/>
      <c r="Z96" s="3561"/>
      <c r="AA96" s="3561"/>
      <c r="AB96" s="3562"/>
      <c r="AC96" s="532"/>
      <c r="AD96" s="533"/>
      <c r="AE96" s="533"/>
      <c r="AF96" s="5051"/>
    </row>
    <row r="97" spans="1:32" ht="35.25" customHeight="1">
      <c r="A97" s="4564"/>
      <c r="B97" s="4570"/>
      <c r="C97" s="5145"/>
      <c r="D97" s="5130"/>
      <c r="E97" s="5130"/>
      <c r="F97" s="5130"/>
      <c r="G97" s="5130"/>
      <c r="H97" s="5130"/>
      <c r="I97" s="5130"/>
      <c r="J97" s="5130"/>
      <c r="K97" s="5130"/>
      <c r="L97" s="5130"/>
      <c r="M97" s="5138"/>
      <c r="N97" s="5138"/>
      <c r="O97" s="5138"/>
      <c r="P97" s="5130"/>
      <c r="Q97" s="5130"/>
      <c r="R97" s="5153"/>
      <c r="S97" s="3739"/>
      <c r="T97" s="3733"/>
      <c r="U97" s="3720"/>
      <c r="V97" s="2682"/>
      <c r="W97" s="2631"/>
      <c r="X97" s="575"/>
      <c r="Y97" s="3603"/>
      <c r="Z97" s="3603"/>
      <c r="AA97" s="3603"/>
      <c r="AB97" s="3604"/>
      <c r="AC97" s="575"/>
      <c r="AD97" s="321"/>
      <c r="AE97" s="321"/>
      <c r="AF97" s="5051"/>
    </row>
    <row r="98" spans="1:32" ht="35.25" customHeight="1">
      <c r="A98" s="4564"/>
      <c r="B98" s="4570"/>
      <c r="C98" s="5144" t="s">
        <v>235</v>
      </c>
      <c r="D98" s="5129" t="s">
        <v>236</v>
      </c>
      <c r="E98" s="5129" t="s">
        <v>237</v>
      </c>
      <c r="F98" s="5129" t="s">
        <v>1137</v>
      </c>
      <c r="G98" s="5131" t="s">
        <v>239</v>
      </c>
      <c r="H98" s="5129" t="s">
        <v>240</v>
      </c>
      <c r="I98" s="5129" t="s">
        <v>257</v>
      </c>
      <c r="J98" s="5131" t="s">
        <v>5541</v>
      </c>
      <c r="K98" s="5129" t="s">
        <v>1161</v>
      </c>
      <c r="L98" s="5129" t="s">
        <v>5495</v>
      </c>
      <c r="M98" s="5142">
        <v>1</v>
      </c>
      <c r="N98" s="5142">
        <v>0</v>
      </c>
      <c r="O98" s="5142">
        <v>1</v>
      </c>
      <c r="P98" s="5166" t="s">
        <v>5470</v>
      </c>
      <c r="Q98" s="5166" t="s">
        <v>5379</v>
      </c>
      <c r="R98" s="5132" t="s">
        <v>5344</v>
      </c>
      <c r="S98" s="3740"/>
      <c r="T98" s="3721"/>
      <c r="U98" s="3721"/>
      <c r="V98" s="3575"/>
      <c r="W98" s="3576"/>
      <c r="X98" s="3580"/>
      <c r="Y98" s="3607"/>
      <c r="Z98" s="3607"/>
      <c r="AA98" s="3607"/>
      <c r="AB98" s="3608"/>
      <c r="AC98" s="3580"/>
      <c r="AD98" s="3582"/>
      <c r="AE98" s="3582"/>
      <c r="AF98" s="5154"/>
    </row>
    <row r="99" spans="1:32" ht="35.25" customHeight="1">
      <c r="A99" s="4564"/>
      <c r="B99" s="4570"/>
      <c r="C99" s="5145"/>
      <c r="D99" s="5130"/>
      <c r="E99" s="5130"/>
      <c r="F99" s="5130"/>
      <c r="G99" s="5130"/>
      <c r="H99" s="5130"/>
      <c r="I99" s="5130"/>
      <c r="J99" s="5130"/>
      <c r="K99" s="5130"/>
      <c r="L99" s="5130"/>
      <c r="M99" s="5138"/>
      <c r="N99" s="5138"/>
      <c r="O99" s="5138"/>
      <c r="P99" s="5130"/>
      <c r="Q99" s="5130"/>
      <c r="R99" s="5128"/>
      <c r="S99" s="3738"/>
      <c r="T99" s="3719"/>
      <c r="U99" s="3718"/>
      <c r="V99" s="2681"/>
      <c r="W99" s="2630"/>
      <c r="X99" s="532"/>
      <c r="Y99" s="3561"/>
      <c r="Z99" s="3561"/>
      <c r="AA99" s="3561"/>
      <c r="AB99" s="3562"/>
      <c r="AC99" s="532"/>
      <c r="AD99" s="533"/>
      <c r="AE99" s="533"/>
      <c r="AF99" s="5051"/>
    </row>
    <row r="100" spans="1:32" ht="35.25" customHeight="1">
      <c r="A100" s="4564"/>
      <c r="B100" s="4570"/>
      <c r="C100" s="5145"/>
      <c r="D100" s="5130"/>
      <c r="E100" s="5130"/>
      <c r="F100" s="5130"/>
      <c r="G100" s="5130"/>
      <c r="H100" s="5130"/>
      <c r="I100" s="5130"/>
      <c r="J100" s="5130"/>
      <c r="K100" s="5130"/>
      <c r="L100" s="5130"/>
      <c r="M100" s="5138"/>
      <c r="N100" s="5138"/>
      <c r="O100" s="5138"/>
      <c r="P100" s="5130"/>
      <c r="Q100" s="5130"/>
      <c r="R100" s="5128"/>
      <c r="S100" s="3738"/>
      <c r="T100" s="3719"/>
      <c r="U100" s="3718"/>
      <c r="V100" s="2681"/>
      <c r="W100" s="2630"/>
      <c r="X100" s="532"/>
      <c r="Y100" s="3561"/>
      <c r="Z100" s="3561"/>
      <c r="AA100" s="3561"/>
      <c r="AB100" s="3562"/>
      <c r="AC100" s="532"/>
      <c r="AD100" s="533"/>
      <c r="AE100" s="533"/>
      <c r="AF100" s="5051"/>
    </row>
    <row r="101" spans="1:32" ht="35.25" customHeight="1">
      <c r="A101" s="4564"/>
      <c r="B101" s="4570"/>
      <c r="C101" s="5145"/>
      <c r="D101" s="5130"/>
      <c r="E101" s="5130"/>
      <c r="F101" s="5130"/>
      <c r="G101" s="5130"/>
      <c r="H101" s="5130"/>
      <c r="I101" s="5130"/>
      <c r="J101" s="5130"/>
      <c r="K101" s="5130"/>
      <c r="L101" s="5130"/>
      <c r="M101" s="5138"/>
      <c r="N101" s="5138"/>
      <c r="O101" s="5138"/>
      <c r="P101" s="5130"/>
      <c r="Q101" s="5130"/>
      <c r="R101" s="5128"/>
      <c r="S101" s="3738"/>
      <c r="T101" s="3719"/>
      <c r="U101" s="3718"/>
      <c r="V101" s="2681"/>
      <c r="W101" s="2630"/>
      <c r="X101" s="532"/>
      <c r="Y101" s="3561"/>
      <c r="Z101" s="3561"/>
      <c r="AA101" s="3561"/>
      <c r="AB101" s="3562"/>
      <c r="AC101" s="532"/>
      <c r="AD101" s="533"/>
      <c r="AE101" s="533"/>
      <c r="AF101" s="5051"/>
    </row>
    <row r="102" spans="1:32" ht="35.25" customHeight="1">
      <c r="A102" s="4564"/>
      <c r="B102" s="4570"/>
      <c r="C102" s="5145"/>
      <c r="D102" s="5130"/>
      <c r="E102" s="5130"/>
      <c r="F102" s="5130"/>
      <c r="G102" s="5130"/>
      <c r="H102" s="5130"/>
      <c r="I102" s="5130"/>
      <c r="J102" s="5130"/>
      <c r="K102" s="5130"/>
      <c r="L102" s="5130"/>
      <c r="M102" s="5138"/>
      <c r="N102" s="5138"/>
      <c r="O102" s="5138"/>
      <c r="P102" s="5130"/>
      <c r="Q102" s="5130"/>
      <c r="R102" s="5128"/>
      <c r="S102" s="3741"/>
      <c r="T102" s="3729"/>
      <c r="U102" s="1779"/>
      <c r="V102" s="2686"/>
      <c r="W102" s="1781"/>
      <c r="X102" s="1782"/>
      <c r="Y102" s="1783"/>
      <c r="Z102" s="1783"/>
      <c r="AA102" s="1783"/>
      <c r="AB102" s="3602"/>
      <c r="AC102" s="1782"/>
      <c r="AD102" s="3572"/>
      <c r="AE102" s="3572"/>
      <c r="AF102" s="5085"/>
    </row>
    <row r="103" spans="1:32" ht="31.5" customHeight="1">
      <c r="A103" s="4564"/>
      <c r="B103" s="4570"/>
      <c r="C103" s="5144" t="s">
        <v>235</v>
      </c>
      <c r="D103" s="5129" t="s">
        <v>236</v>
      </c>
      <c r="E103" s="5129" t="s">
        <v>237</v>
      </c>
      <c r="F103" s="5129" t="s">
        <v>1137</v>
      </c>
      <c r="G103" s="5131" t="s">
        <v>239</v>
      </c>
      <c r="H103" s="5129" t="s">
        <v>240</v>
      </c>
      <c r="I103" s="5129" t="s">
        <v>257</v>
      </c>
      <c r="J103" s="5131" t="s">
        <v>5542</v>
      </c>
      <c r="K103" s="5135" t="s">
        <v>1162</v>
      </c>
      <c r="L103" s="5135" t="s">
        <v>5496</v>
      </c>
      <c r="M103" s="5137">
        <v>0</v>
      </c>
      <c r="N103" s="5137">
        <v>0</v>
      </c>
      <c r="O103" s="5137">
        <v>1</v>
      </c>
      <c r="P103" s="5135" t="s">
        <v>5469</v>
      </c>
      <c r="Q103" s="5129" t="s">
        <v>5380</v>
      </c>
      <c r="R103" s="5125" t="s">
        <v>5337</v>
      </c>
      <c r="S103" s="3742"/>
      <c r="T103" s="3725"/>
      <c r="U103" s="3725"/>
      <c r="V103" s="3530"/>
      <c r="W103" s="2633"/>
      <c r="X103" s="1967"/>
      <c r="Y103" s="3565"/>
      <c r="Z103" s="3565"/>
      <c r="AA103" s="3565"/>
      <c r="AB103" s="3566"/>
      <c r="AC103" s="1967"/>
      <c r="AD103" s="1971"/>
      <c r="AE103" s="1971"/>
      <c r="AF103" s="5155"/>
    </row>
    <row r="104" spans="1:32" ht="31.5" customHeight="1">
      <c r="A104" s="4564"/>
      <c r="B104" s="4570"/>
      <c r="C104" s="5145"/>
      <c r="D104" s="5130"/>
      <c r="E104" s="5130"/>
      <c r="F104" s="5130"/>
      <c r="G104" s="5130"/>
      <c r="H104" s="5130"/>
      <c r="I104" s="5130"/>
      <c r="J104" s="5130"/>
      <c r="K104" s="5130"/>
      <c r="L104" s="5130"/>
      <c r="M104" s="5138"/>
      <c r="N104" s="5138"/>
      <c r="O104" s="5138"/>
      <c r="P104" s="5130"/>
      <c r="Q104" s="5130"/>
      <c r="R104" s="5128"/>
      <c r="S104" s="3738"/>
      <c r="T104" s="3719"/>
      <c r="U104" s="3718"/>
      <c r="V104" s="2681"/>
      <c r="W104" s="2630"/>
      <c r="X104" s="532"/>
      <c r="Y104" s="3561"/>
      <c r="Z104" s="3561"/>
      <c r="AA104" s="3561"/>
      <c r="AB104" s="3562"/>
      <c r="AC104" s="532"/>
      <c r="AD104" s="533"/>
      <c r="AE104" s="533"/>
      <c r="AF104" s="5051"/>
    </row>
    <row r="105" spans="1:32" ht="31.5" customHeight="1">
      <c r="A105" s="4564"/>
      <c r="B105" s="4570"/>
      <c r="C105" s="5145"/>
      <c r="D105" s="5130"/>
      <c r="E105" s="5130"/>
      <c r="F105" s="5130"/>
      <c r="G105" s="5130"/>
      <c r="H105" s="5130"/>
      <c r="I105" s="5130"/>
      <c r="J105" s="5130"/>
      <c r="K105" s="5130"/>
      <c r="L105" s="5130"/>
      <c r="M105" s="5138"/>
      <c r="N105" s="5138"/>
      <c r="O105" s="5138"/>
      <c r="P105" s="5130"/>
      <c r="Q105" s="5130"/>
      <c r="R105" s="5128"/>
      <c r="S105" s="3738"/>
      <c r="T105" s="3719"/>
      <c r="U105" s="3718"/>
      <c r="V105" s="2681"/>
      <c r="W105" s="2630"/>
      <c r="X105" s="532"/>
      <c r="Y105" s="3561"/>
      <c r="Z105" s="3561"/>
      <c r="AA105" s="3561"/>
      <c r="AB105" s="3562"/>
      <c r="AC105" s="532"/>
      <c r="AD105" s="533"/>
      <c r="AE105" s="533"/>
      <c r="AF105" s="5051"/>
    </row>
    <row r="106" spans="1:32" ht="31.5" customHeight="1">
      <c r="A106" s="4564"/>
      <c r="B106" s="4570"/>
      <c r="C106" s="5145"/>
      <c r="D106" s="5130"/>
      <c r="E106" s="5130"/>
      <c r="F106" s="5130"/>
      <c r="G106" s="5130"/>
      <c r="H106" s="5130"/>
      <c r="I106" s="5130"/>
      <c r="J106" s="5130"/>
      <c r="K106" s="5130"/>
      <c r="L106" s="5130"/>
      <c r="M106" s="5138"/>
      <c r="N106" s="5138"/>
      <c r="O106" s="5138"/>
      <c r="P106" s="5130"/>
      <c r="Q106" s="5130"/>
      <c r="R106" s="5128"/>
      <c r="S106" s="3738"/>
      <c r="T106" s="3719"/>
      <c r="U106" s="3718"/>
      <c r="V106" s="2681"/>
      <c r="W106" s="2630"/>
      <c r="X106" s="532"/>
      <c r="Y106" s="3561"/>
      <c r="Z106" s="3561"/>
      <c r="AA106" s="3561"/>
      <c r="AB106" s="3562"/>
      <c r="AC106" s="532"/>
      <c r="AD106" s="533"/>
      <c r="AE106" s="533"/>
      <c r="AF106" s="5051"/>
    </row>
    <row r="107" spans="1:32" ht="31.5" customHeight="1">
      <c r="A107" s="4564"/>
      <c r="B107" s="4570"/>
      <c r="C107" s="5145"/>
      <c r="D107" s="5130"/>
      <c r="E107" s="5130"/>
      <c r="F107" s="5130"/>
      <c r="G107" s="5130"/>
      <c r="H107" s="5130"/>
      <c r="I107" s="5130"/>
      <c r="J107" s="5130"/>
      <c r="K107" s="5130"/>
      <c r="L107" s="5130"/>
      <c r="M107" s="5138"/>
      <c r="N107" s="5138"/>
      <c r="O107" s="5138"/>
      <c r="P107" s="5130"/>
      <c r="Q107" s="5130"/>
      <c r="R107" s="5153"/>
      <c r="S107" s="3739"/>
      <c r="T107" s="3733"/>
      <c r="U107" s="3720"/>
      <c r="V107" s="2682"/>
      <c r="W107" s="2631"/>
      <c r="X107" s="575"/>
      <c r="Y107" s="3603"/>
      <c r="Z107" s="3603"/>
      <c r="AA107" s="3603"/>
      <c r="AB107" s="3604"/>
      <c r="AC107" s="575"/>
      <c r="AD107" s="321"/>
      <c r="AE107" s="321"/>
      <c r="AF107" s="5051"/>
    </row>
    <row r="108" spans="1:32" ht="30" customHeight="1">
      <c r="A108" s="4564"/>
      <c r="B108" s="4570"/>
      <c r="C108" s="5144" t="s">
        <v>235</v>
      </c>
      <c r="D108" s="5129" t="s">
        <v>236</v>
      </c>
      <c r="E108" s="5129" t="s">
        <v>237</v>
      </c>
      <c r="F108" s="5129" t="s">
        <v>1137</v>
      </c>
      <c r="G108" s="5131" t="s">
        <v>239</v>
      </c>
      <c r="H108" s="5129" t="s">
        <v>240</v>
      </c>
      <c r="I108" s="5129" t="s">
        <v>257</v>
      </c>
      <c r="J108" s="5131" t="s">
        <v>5543</v>
      </c>
      <c r="K108" s="5135" t="s">
        <v>1163</v>
      </c>
      <c r="L108" s="5135" t="s">
        <v>5497</v>
      </c>
      <c r="M108" s="5137">
        <v>0</v>
      </c>
      <c r="N108" s="5137">
        <v>0</v>
      </c>
      <c r="O108" s="5137">
        <v>0</v>
      </c>
      <c r="P108" s="5135" t="s">
        <v>5468</v>
      </c>
      <c r="Q108" s="5129" t="s">
        <v>5381</v>
      </c>
      <c r="R108" s="5132" t="s">
        <v>5336</v>
      </c>
      <c r="S108" s="3740"/>
      <c r="T108" s="3721"/>
      <c r="U108" s="3721"/>
      <c r="V108" s="3575"/>
      <c r="W108" s="3576"/>
      <c r="X108" s="3580"/>
      <c r="Y108" s="3607"/>
      <c r="Z108" s="3607"/>
      <c r="AA108" s="3607"/>
      <c r="AB108" s="3608"/>
      <c r="AC108" s="3580"/>
      <c r="AD108" s="3582"/>
      <c r="AE108" s="3582"/>
      <c r="AF108" s="5156"/>
    </row>
    <row r="109" spans="1:32" ht="30" customHeight="1">
      <c r="A109" s="4564"/>
      <c r="B109" s="4570"/>
      <c r="C109" s="5145"/>
      <c r="D109" s="5130"/>
      <c r="E109" s="5130"/>
      <c r="F109" s="5130"/>
      <c r="G109" s="5130"/>
      <c r="H109" s="5130"/>
      <c r="I109" s="5130"/>
      <c r="J109" s="5130"/>
      <c r="K109" s="5130"/>
      <c r="L109" s="5130"/>
      <c r="M109" s="5138"/>
      <c r="N109" s="5138"/>
      <c r="O109" s="5138"/>
      <c r="P109" s="5130"/>
      <c r="Q109" s="5130"/>
      <c r="R109" s="5128"/>
      <c r="S109" s="3738"/>
      <c r="T109" s="3719"/>
      <c r="U109" s="3718"/>
      <c r="V109" s="2681"/>
      <c r="W109" s="2630"/>
      <c r="X109" s="532"/>
      <c r="Y109" s="3561"/>
      <c r="Z109" s="3561"/>
      <c r="AA109" s="3561"/>
      <c r="AB109" s="3562"/>
      <c r="AC109" s="532"/>
      <c r="AD109" s="533"/>
      <c r="AE109" s="533"/>
      <c r="AF109" s="5051"/>
    </row>
    <row r="110" spans="1:32" ht="30" customHeight="1">
      <c r="A110" s="4564"/>
      <c r="B110" s="4570"/>
      <c r="C110" s="5145"/>
      <c r="D110" s="5130"/>
      <c r="E110" s="5130"/>
      <c r="F110" s="5130"/>
      <c r="G110" s="5130"/>
      <c r="H110" s="5130"/>
      <c r="I110" s="5130"/>
      <c r="J110" s="5130"/>
      <c r="K110" s="5130"/>
      <c r="L110" s="5130"/>
      <c r="M110" s="5138"/>
      <c r="N110" s="5138"/>
      <c r="O110" s="5138"/>
      <c r="P110" s="5130"/>
      <c r="Q110" s="5130"/>
      <c r="R110" s="5128"/>
      <c r="S110" s="3738"/>
      <c r="T110" s="3719"/>
      <c r="U110" s="3718"/>
      <c r="V110" s="2681"/>
      <c r="W110" s="2630"/>
      <c r="X110" s="532"/>
      <c r="Y110" s="3561"/>
      <c r="Z110" s="3561"/>
      <c r="AA110" s="3561"/>
      <c r="AB110" s="3562"/>
      <c r="AC110" s="532"/>
      <c r="AD110" s="533"/>
      <c r="AE110" s="533"/>
      <c r="AF110" s="5051"/>
    </row>
    <row r="111" spans="1:32" ht="30" customHeight="1">
      <c r="A111" s="4564"/>
      <c r="B111" s="4570"/>
      <c r="C111" s="5145"/>
      <c r="D111" s="5130"/>
      <c r="E111" s="5130"/>
      <c r="F111" s="5130"/>
      <c r="G111" s="5130"/>
      <c r="H111" s="5130"/>
      <c r="I111" s="5130"/>
      <c r="J111" s="5130"/>
      <c r="K111" s="5130"/>
      <c r="L111" s="5130"/>
      <c r="M111" s="5138"/>
      <c r="N111" s="5138"/>
      <c r="O111" s="5138"/>
      <c r="P111" s="5130"/>
      <c r="Q111" s="5130"/>
      <c r="R111" s="5128"/>
      <c r="S111" s="3738"/>
      <c r="T111" s="3719"/>
      <c r="U111" s="3718"/>
      <c r="V111" s="2681"/>
      <c r="W111" s="2630"/>
      <c r="X111" s="532"/>
      <c r="Y111" s="3561"/>
      <c r="Z111" s="3561"/>
      <c r="AA111" s="3561"/>
      <c r="AB111" s="3562"/>
      <c r="AC111" s="532"/>
      <c r="AD111" s="533"/>
      <c r="AE111" s="533"/>
      <c r="AF111" s="5051"/>
    </row>
    <row r="112" spans="1:32" ht="30" customHeight="1">
      <c r="A112" s="4564"/>
      <c r="B112" s="4570"/>
      <c r="C112" s="5145"/>
      <c r="D112" s="5130"/>
      <c r="E112" s="5130"/>
      <c r="F112" s="5130"/>
      <c r="G112" s="5130"/>
      <c r="H112" s="5130"/>
      <c r="I112" s="5130"/>
      <c r="J112" s="5130"/>
      <c r="K112" s="5130"/>
      <c r="L112" s="5130"/>
      <c r="M112" s="5138"/>
      <c r="N112" s="5138"/>
      <c r="O112" s="5138"/>
      <c r="P112" s="5130"/>
      <c r="Q112" s="5130"/>
      <c r="R112" s="5128"/>
      <c r="S112" s="3741"/>
      <c r="T112" s="3729"/>
      <c r="U112" s="1779"/>
      <c r="V112" s="2686"/>
      <c r="W112" s="1781"/>
      <c r="X112" s="1782"/>
      <c r="Y112" s="1783"/>
      <c r="Z112" s="1783"/>
      <c r="AA112" s="1783"/>
      <c r="AB112" s="3602"/>
      <c r="AC112" s="1782"/>
      <c r="AD112" s="3572"/>
      <c r="AE112" s="3572"/>
      <c r="AF112" s="5085"/>
    </row>
    <row r="113" spans="1:32" ht="35.25" customHeight="1">
      <c r="A113" s="4564"/>
      <c r="B113" s="4570"/>
      <c r="C113" s="5144" t="s">
        <v>235</v>
      </c>
      <c r="D113" s="5129" t="s">
        <v>236</v>
      </c>
      <c r="E113" s="5129" t="s">
        <v>237</v>
      </c>
      <c r="F113" s="5129" t="s">
        <v>1137</v>
      </c>
      <c r="G113" s="5131" t="s">
        <v>239</v>
      </c>
      <c r="H113" s="5129" t="s">
        <v>240</v>
      </c>
      <c r="I113" s="5129" t="s">
        <v>257</v>
      </c>
      <c r="J113" s="5129" t="s">
        <v>5544</v>
      </c>
      <c r="K113" s="5135" t="s">
        <v>338</v>
      </c>
      <c r="L113" s="5135" t="s">
        <v>1164</v>
      </c>
      <c r="M113" s="5137">
        <v>0</v>
      </c>
      <c r="N113" s="5137">
        <v>1</v>
      </c>
      <c r="O113" s="5137">
        <v>1</v>
      </c>
      <c r="P113" s="5135" t="s">
        <v>5467</v>
      </c>
      <c r="Q113" s="5129" t="s">
        <v>5382</v>
      </c>
      <c r="R113" s="5125" t="s">
        <v>5337</v>
      </c>
      <c r="S113" s="3749"/>
      <c r="T113" s="3725"/>
      <c r="U113" s="3725"/>
      <c r="V113" s="3530"/>
      <c r="W113" s="2633"/>
      <c r="X113" s="1967"/>
      <c r="Y113" s="3565"/>
      <c r="Z113" s="3565"/>
      <c r="AA113" s="3565"/>
      <c r="AB113" s="3566"/>
      <c r="AC113" s="1967"/>
      <c r="AD113" s="1971"/>
      <c r="AE113" s="1971"/>
      <c r="AF113" s="5155"/>
    </row>
    <row r="114" spans="1:32" ht="35.25" customHeight="1">
      <c r="A114" s="4564"/>
      <c r="B114" s="4570"/>
      <c r="C114" s="5145"/>
      <c r="D114" s="5130"/>
      <c r="E114" s="5130"/>
      <c r="F114" s="5130"/>
      <c r="G114" s="5130"/>
      <c r="H114" s="5130"/>
      <c r="I114" s="5130"/>
      <c r="J114" s="5130"/>
      <c r="K114" s="5130"/>
      <c r="L114" s="5130"/>
      <c r="M114" s="5138"/>
      <c r="N114" s="5138"/>
      <c r="O114" s="5138"/>
      <c r="P114" s="5130"/>
      <c r="Q114" s="5130"/>
      <c r="R114" s="5128"/>
      <c r="S114" s="3744"/>
      <c r="T114" s="3719"/>
      <c r="U114" s="3718"/>
      <c r="V114" s="2681"/>
      <c r="W114" s="2630"/>
      <c r="X114" s="532"/>
      <c r="Y114" s="3561"/>
      <c r="Z114" s="3561"/>
      <c r="AA114" s="3561"/>
      <c r="AB114" s="3562"/>
      <c r="AC114" s="532"/>
      <c r="AD114" s="533"/>
      <c r="AE114" s="533"/>
      <c r="AF114" s="5051"/>
    </row>
    <row r="115" spans="1:32" ht="35.25" customHeight="1">
      <c r="A115" s="4564"/>
      <c r="B115" s="4570"/>
      <c r="C115" s="5145"/>
      <c r="D115" s="5130"/>
      <c r="E115" s="5130"/>
      <c r="F115" s="5130"/>
      <c r="G115" s="5130"/>
      <c r="H115" s="5130"/>
      <c r="I115" s="5130"/>
      <c r="J115" s="5130"/>
      <c r="K115" s="5130"/>
      <c r="L115" s="5130"/>
      <c r="M115" s="5138"/>
      <c r="N115" s="5138"/>
      <c r="O115" s="5138"/>
      <c r="P115" s="5130"/>
      <c r="Q115" s="5130"/>
      <c r="R115" s="5128"/>
      <c r="S115" s="3744"/>
      <c r="T115" s="3719"/>
      <c r="U115" s="3718"/>
      <c r="V115" s="2681"/>
      <c r="W115" s="2630"/>
      <c r="X115" s="532"/>
      <c r="Y115" s="3561"/>
      <c r="Z115" s="3561"/>
      <c r="AA115" s="3561"/>
      <c r="AB115" s="3562"/>
      <c r="AC115" s="532"/>
      <c r="AD115" s="533"/>
      <c r="AE115" s="533"/>
      <c r="AF115" s="5051"/>
    </row>
    <row r="116" spans="1:32" ht="35.25" customHeight="1">
      <c r="A116" s="4564"/>
      <c r="B116" s="4570"/>
      <c r="C116" s="5145"/>
      <c r="D116" s="5130"/>
      <c r="E116" s="5130"/>
      <c r="F116" s="5130"/>
      <c r="G116" s="5130"/>
      <c r="H116" s="5130"/>
      <c r="I116" s="5130"/>
      <c r="J116" s="5130"/>
      <c r="K116" s="5130"/>
      <c r="L116" s="5130"/>
      <c r="M116" s="5138"/>
      <c r="N116" s="5138"/>
      <c r="O116" s="5138"/>
      <c r="P116" s="5130"/>
      <c r="Q116" s="5130"/>
      <c r="R116" s="5128"/>
      <c r="S116" s="3744"/>
      <c r="T116" s="3719"/>
      <c r="U116" s="3718"/>
      <c r="V116" s="2681"/>
      <c r="W116" s="2630"/>
      <c r="X116" s="532"/>
      <c r="Y116" s="3561"/>
      <c r="Z116" s="3561"/>
      <c r="AA116" s="3561"/>
      <c r="AB116" s="3562"/>
      <c r="AC116" s="532"/>
      <c r="AD116" s="533"/>
      <c r="AE116" s="533"/>
      <c r="AF116" s="5051"/>
    </row>
    <row r="117" spans="1:32" ht="35.25" customHeight="1">
      <c r="A117" s="4564"/>
      <c r="B117" s="4570"/>
      <c r="C117" s="5145"/>
      <c r="D117" s="5130"/>
      <c r="E117" s="5130"/>
      <c r="F117" s="5130"/>
      <c r="G117" s="5130"/>
      <c r="H117" s="5130"/>
      <c r="I117" s="5130"/>
      <c r="J117" s="5130"/>
      <c r="K117" s="5130"/>
      <c r="L117" s="5130"/>
      <c r="M117" s="5138"/>
      <c r="N117" s="5138"/>
      <c r="O117" s="5138"/>
      <c r="P117" s="5130"/>
      <c r="Q117" s="5130"/>
      <c r="R117" s="5153"/>
      <c r="S117" s="3750"/>
      <c r="T117" s="3733"/>
      <c r="U117" s="3720"/>
      <c r="V117" s="2682"/>
      <c r="W117" s="2631"/>
      <c r="X117" s="575"/>
      <c r="Y117" s="3603"/>
      <c r="Z117" s="3603"/>
      <c r="AA117" s="3603"/>
      <c r="AB117" s="3604"/>
      <c r="AC117" s="575"/>
      <c r="AD117" s="321"/>
      <c r="AE117" s="321"/>
      <c r="AF117" s="5051"/>
    </row>
    <row r="118" spans="1:32" ht="30.75" customHeight="1">
      <c r="A118" s="4564"/>
      <c r="B118" s="4570"/>
      <c r="C118" s="5144" t="s">
        <v>235</v>
      </c>
      <c r="D118" s="5129" t="s">
        <v>236</v>
      </c>
      <c r="E118" s="5129" t="s">
        <v>237</v>
      </c>
      <c r="F118" s="5129" t="s">
        <v>1137</v>
      </c>
      <c r="G118" s="5131" t="s">
        <v>239</v>
      </c>
      <c r="H118" s="5129" t="s">
        <v>240</v>
      </c>
      <c r="I118" s="5129" t="s">
        <v>257</v>
      </c>
      <c r="J118" s="5129" t="s">
        <v>5545</v>
      </c>
      <c r="K118" s="5129" t="s">
        <v>707</v>
      </c>
      <c r="L118" s="5129" t="s">
        <v>5498</v>
      </c>
      <c r="M118" s="5142">
        <v>8</v>
      </c>
      <c r="N118" s="5142">
        <v>8</v>
      </c>
      <c r="O118" s="5142">
        <v>8</v>
      </c>
      <c r="P118" s="5129" t="s">
        <v>4845</v>
      </c>
      <c r="Q118" s="5129" t="s">
        <v>4252</v>
      </c>
      <c r="R118" s="5132" t="s">
        <v>5345</v>
      </c>
      <c r="S118" s="3743"/>
      <c r="T118" s="3721"/>
      <c r="U118" s="3721"/>
      <c r="V118" s="3575"/>
      <c r="W118" s="3576"/>
      <c r="X118" s="3580"/>
      <c r="Y118" s="3607"/>
      <c r="Z118" s="3607"/>
      <c r="AA118" s="3607"/>
      <c r="AB118" s="3608"/>
      <c r="AC118" s="3580"/>
      <c r="AD118" s="3582"/>
      <c r="AE118" s="3582"/>
      <c r="AF118" s="5154"/>
    </row>
    <row r="119" spans="1:32" ht="30.75" customHeight="1">
      <c r="A119" s="4564"/>
      <c r="B119" s="4570"/>
      <c r="C119" s="5145"/>
      <c r="D119" s="5130"/>
      <c r="E119" s="5130"/>
      <c r="F119" s="5130"/>
      <c r="G119" s="5130"/>
      <c r="H119" s="5130"/>
      <c r="I119" s="5130"/>
      <c r="J119" s="5130"/>
      <c r="K119" s="5130"/>
      <c r="L119" s="5130"/>
      <c r="M119" s="5138"/>
      <c r="N119" s="5138"/>
      <c r="O119" s="5138"/>
      <c r="P119" s="5130"/>
      <c r="Q119" s="5130"/>
      <c r="R119" s="5128"/>
      <c r="S119" s="3744"/>
      <c r="T119" s="3719"/>
      <c r="U119" s="3718"/>
      <c r="V119" s="2681"/>
      <c r="W119" s="2630"/>
      <c r="X119" s="532"/>
      <c r="Y119" s="3561"/>
      <c r="Z119" s="3561"/>
      <c r="AA119" s="3561"/>
      <c r="AB119" s="3562"/>
      <c r="AC119" s="532"/>
      <c r="AD119" s="533"/>
      <c r="AE119" s="533"/>
      <c r="AF119" s="5051"/>
    </row>
    <row r="120" spans="1:32" ht="30.75" customHeight="1">
      <c r="A120" s="4564"/>
      <c r="B120" s="4570"/>
      <c r="C120" s="5145"/>
      <c r="D120" s="5130"/>
      <c r="E120" s="5130"/>
      <c r="F120" s="5130"/>
      <c r="G120" s="5130"/>
      <c r="H120" s="5130"/>
      <c r="I120" s="5130"/>
      <c r="J120" s="5130"/>
      <c r="K120" s="5130"/>
      <c r="L120" s="5130"/>
      <c r="M120" s="5138"/>
      <c r="N120" s="5138"/>
      <c r="O120" s="5138"/>
      <c r="P120" s="5130"/>
      <c r="Q120" s="5130"/>
      <c r="R120" s="5128"/>
      <c r="S120" s="3744"/>
      <c r="T120" s="3719"/>
      <c r="U120" s="3718"/>
      <c r="V120" s="2681"/>
      <c r="W120" s="2630"/>
      <c r="X120" s="532"/>
      <c r="Y120" s="3561"/>
      <c r="Z120" s="3561"/>
      <c r="AA120" s="3561"/>
      <c r="AB120" s="3562"/>
      <c r="AC120" s="532"/>
      <c r="AD120" s="533"/>
      <c r="AE120" s="533"/>
      <c r="AF120" s="5051"/>
    </row>
    <row r="121" spans="1:32" ht="30.75" customHeight="1">
      <c r="A121" s="4564"/>
      <c r="B121" s="4570"/>
      <c r="C121" s="5145"/>
      <c r="D121" s="5130"/>
      <c r="E121" s="5130"/>
      <c r="F121" s="5130"/>
      <c r="G121" s="5130"/>
      <c r="H121" s="5130"/>
      <c r="I121" s="5130"/>
      <c r="J121" s="5130"/>
      <c r="K121" s="5130"/>
      <c r="L121" s="5130"/>
      <c r="M121" s="5138"/>
      <c r="N121" s="5138"/>
      <c r="O121" s="5138"/>
      <c r="P121" s="5130"/>
      <c r="Q121" s="5130"/>
      <c r="R121" s="5128"/>
      <c r="S121" s="3744"/>
      <c r="T121" s="3719"/>
      <c r="U121" s="3718"/>
      <c r="V121" s="2681"/>
      <c r="W121" s="2630"/>
      <c r="X121" s="532"/>
      <c r="Y121" s="3561"/>
      <c r="Z121" s="3561"/>
      <c r="AA121" s="3561"/>
      <c r="AB121" s="3562"/>
      <c r="AC121" s="532"/>
      <c r="AD121" s="533"/>
      <c r="AE121" s="533"/>
      <c r="AF121" s="5051"/>
    </row>
    <row r="122" spans="1:32" ht="30.75" customHeight="1" thickBot="1">
      <c r="A122" s="4564"/>
      <c r="B122" s="4570"/>
      <c r="C122" s="5146"/>
      <c r="D122" s="5136"/>
      <c r="E122" s="5136"/>
      <c r="F122" s="5136"/>
      <c r="G122" s="5136"/>
      <c r="H122" s="5136"/>
      <c r="I122" s="5136"/>
      <c r="J122" s="5136"/>
      <c r="K122" s="5136"/>
      <c r="L122" s="5136"/>
      <c r="M122" s="5139"/>
      <c r="N122" s="5139"/>
      <c r="O122" s="5139"/>
      <c r="P122" s="5136"/>
      <c r="Q122" s="5136"/>
      <c r="R122" s="5141"/>
      <c r="S122" s="3751"/>
      <c r="T122" s="3734"/>
      <c r="U122" s="3726"/>
      <c r="V122" s="3532"/>
      <c r="W122" s="2642"/>
      <c r="X122" s="578"/>
      <c r="Y122" s="3563"/>
      <c r="Z122" s="3563"/>
      <c r="AA122" s="3563"/>
      <c r="AB122" s="3564"/>
      <c r="AC122" s="578"/>
      <c r="AD122" s="341"/>
      <c r="AE122" s="341"/>
      <c r="AF122" s="5087"/>
    </row>
    <row r="123" spans="1:32" ht="22.5" customHeight="1" thickBot="1">
      <c r="A123" s="4564"/>
      <c r="B123" s="4479"/>
      <c r="C123" s="3645"/>
      <c r="D123" s="3646"/>
      <c r="E123" s="3646"/>
      <c r="F123" s="3646"/>
      <c r="G123" s="3646"/>
      <c r="H123" s="3646"/>
      <c r="I123" s="3646"/>
      <c r="J123" s="3646"/>
      <c r="K123" s="3646"/>
      <c r="L123" s="3646"/>
      <c r="M123" s="3653"/>
      <c r="N123" s="3653"/>
      <c r="O123" s="3653"/>
      <c r="P123" s="3651"/>
      <c r="Q123" s="3651"/>
      <c r="R123" s="3652"/>
      <c r="S123" s="5100" t="s">
        <v>1165</v>
      </c>
      <c r="T123" s="4538"/>
      <c r="U123" s="4538"/>
      <c r="V123" s="4538"/>
      <c r="W123" s="4538"/>
      <c r="X123" s="4538"/>
      <c r="Y123" s="4538"/>
      <c r="Z123" s="4538"/>
      <c r="AA123" s="2232" t="s">
        <v>340</v>
      </c>
      <c r="AB123" s="2233">
        <f>SUM(AB9:AB122)</f>
        <v>27429307.697600007</v>
      </c>
      <c r="AC123" s="4543"/>
      <c r="AD123" s="4540"/>
      <c r="AE123" s="4540"/>
      <c r="AF123" s="4541"/>
    </row>
    <row r="124" spans="1:32" ht="61.5" customHeight="1">
      <c r="A124" s="4564"/>
      <c r="B124" s="4571" t="s">
        <v>1166</v>
      </c>
      <c r="C124" s="5147" t="s">
        <v>235</v>
      </c>
      <c r="D124" s="5148" t="s">
        <v>236</v>
      </c>
      <c r="E124" s="5148" t="s">
        <v>237</v>
      </c>
      <c r="F124" s="5148" t="s">
        <v>326</v>
      </c>
      <c r="G124" s="5164" t="s">
        <v>239</v>
      </c>
      <c r="H124" s="5148" t="s">
        <v>240</v>
      </c>
      <c r="I124" s="5148" t="s">
        <v>257</v>
      </c>
      <c r="J124" s="5161" t="s">
        <v>5546</v>
      </c>
      <c r="K124" s="5148" t="s">
        <v>1167</v>
      </c>
      <c r="L124" s="5148" t="s">
        <v>5499</v>
      </c>
      <c r="M124" s="5160">
        <v>400</v>
      </c>
      <c r="N124" s="5160">
        <v>500</v>
      </c>
      <c r="O124" s="5160">
        <v>250</v>
      </c>
      <c r="P124" s="5148" t="s">
        <v>5466</v>
      </c>
      <c r="Q124" s="5148" t="s">
        <v>5383</v>
      </c>
      <c r="R124" s="5165" t="s">
        <v>5346</v>
      </c>
      <c r="S124" s="3752"/>
      <c r="T124" s="3717"/>
      <c r="U124" s="3717"/>
      <c r="V124" s="3533"/>
      <c r="W124" s="2629"/>
      <c r="X124" s="577"/>
      <c r="Y124" s="3559"/>
      <c r="Z124" s="3559"/>
      <c r="AA124" s="3559"/>
      <c r="AB124" s="3694"/>
      <c r="AC124" s="577"/>
      <c r="AD124" s="320"/>
      <c r="AE124" s="320"/>
      <c r="AF124" s="5159"/>
    </row>
    <row r="125" spans="1:32" ht="61.5" customHeight="1">
      <c r="A125" s="4564"/>
      <c r="B125" s="4570"/>
      <c r="C125" s="5145"/>
      <c r="D125" s="5130"/>
      <c r="E125" s="5130"/>
      <c r="F125" s="5130"/>
      <c r="G125" s="5130"/>
      <c r="H125" s="5130"/>
      <c r="I125" s="5130"/>
      <c r="J125" s="5130"/>
      <c r="K125" s="5130"/>
      <c r="L125" s="5130"/>
      <c r="M125" s="5138"/>
      <c r="N125" s="5138"/>
      <c r="O125" s="5138"/>
      <c r="P125" s="5130"/>
      <c r="Q125" s="5130"/>
      <c r="R125" s="5128"/>
      <c r="S125" s="3744"/>
      <c r="T125" s="3719"/>
      <c r="U125" s="3718"/>
      <c r="V125" s="2681"/>
      <c r="W125" s="2630"/>
      <c r="X125" s="532"/>
      <c r="Y125" s="3561"/>
      <c r="Z125" s="3561"/>
      <c r="AA125" s="3561"/>
      <c r="AB125" s="3562"/>
      <c r="AC125" s="532"/>
      <c r="AD125" s="533"/>
      <c r="AE125" s="533"/>
      <c r="AF125" s="5051"/>
    </row>
    <row r="126" spans="1:32" ht="61.5" customHeight="1">
      <c r="A126" s="4564"/>
      <c r="B126" s="4570"/>
      <c r="C126" s="5145"/>
      <c r="D126" s="5130"/>
      <c r="E126" s="5130"/>
      <c r="F126" s="5130"/>
      <c r="G126" s="5130"/>
      <c r="H126" s="5130"/>
      <c r="I126" s="5130"/>
      <c r="J126" s="5130"/>
      <c r="K126" s="5130"/>
      <c r="L126" s="5130"/>
      <c r="M126" s="5138"/>
      <c r="N126" s="5138"/>
      <c r="O126" s="5138"/>
      <c r="P126" s="5130"/>
      <c r="Q126" s="5130"/>
      <c r="R126" s="5128"/>
      <c r="S126" s="3744"/>
      <c r="T126" s="3719"/>
      <c r="U126" s="3718"/>
      <c r="V126" s="2684"/>
      <c r="W126" s="2638"/>
      <c r="X126" s="579"/>
      <c r="Y126" s="3561"/>
      <c r="Z126" s="3561"/>
      <c r="AA126" s="3561"/>
      <c r="AB126" s="3562"/>
      <c r="AC126" s="532"/>
      <c r="AD126" s="533"/>
      <c r="AE126" s="533"/>
      <c r="AF126" s="5051"/>
    </row>
    <row r="127" spans="1:32" ht="61.5" customHeight="1">
      <c r="A127" s="4564"/>
      <c r="B127" s="4570"/>
      <c r="C127" s="5145"/>
      <c r="D127" s="5130"/>
      <c r="E127" s="5130"/>
      <c r="F127" s="5130"/>
      <c r="G127" s="5130"/>
      <c r="H127" s="5130"/>
      <c r="I127" s="5130"/>
      <c r="J127" s="5130"/>
      <c r="K127" s="5130"/>
      <c r="L127" s="5130"/>
      <c r="M127" s="5138"/>
      <c r="N127" s="5138"/>
      <c r="O127" s="5138"/>
      <c r="P127" s="5130"/>
      <c r="Q127" s="5130"/>
      <c r="R127" s="5128"/>
      <c r="S127" s="3744"/>
      <c r="T127" s="3719"/>
      <c r="U127" s="3718"/>
      <c r="V127" s="2684"/>
      <c r="W127" s="2638"/>
      <c r="X127" s="579"/>
      <c r="Y127" s="3561"/>
      <c r="Z127" s="3561"/>
      <c r="AA127" s="3561"/>
      <c r="AB127" s="3562"/>
      <c r="AC127" s="532"/>
      <c r="AD127" s="533"/>
      <c r="AE127" s="533"/>
      <c r="AF127" s="5051"/>
    </row>
    <row r="128" spans="1:32" ht="61.5" customHeight="1">
      <c r="A128" s="4564"/>
      <c r="B128" s="4570"/>
      <c r="C128" s="5145"/>
      <c r="D128" s="5130"/>
      <c r="E128" s="5130"/>
      <c r="F128" s="5130"/>
      <c r="G128" s="5130"/>
      <c r="H128" s="5130"/>
      <c r="I128" s="5130"/>
      <c r="J128" s="5130"/>
      <c r="K128" s="5130"/>
      <c r="L128" s="5130"/>
      <c r="M128" s="5138"/>
      <c r="N128" s="5138"/>
      <c r="O128" s="5138"/>
      <c r="P128" s="5130"/>
      <c r="Q128" s="5130"/>
      <c r="R128" s="5153"/>
      <c r="S128" s="3750"/>
      <c r="T128" s="3733"/>
      <c r="U128" s="3720"/>
      <c r="V128" s="3704"/>
      <c r="W128" s="3682"/>
      <c r="X128" s="323"/>
      <c r="Y128" s="3603"/>
      <c r="Z128" s="3603"/>
      <c r="AA128" s="3603"/>
      <c r="AB128" s="3604"/>
      <c r="AC128" s="575"/>
      <c r="AD128" s="321"/>
      <c r="AE128" s="321"/>
      <c r="AF128" s="5051"/>
    </row>
    <row r="129" spans="1:32" ht="59.25" customHeight="1">
      <c r="A129" s="4564"/>
      <c r="B129" s="4570"/>
      <c r="C129" s="5144" t="s">
        <v>235</v>
      </c>
      <c r="D129" s="5129" t="s">
        <v>236</v>
      </c>
      <c r="E129" s="5129" t="s">
        <v>237</v>
      </c>
      <c r="F129" s="5129" t="s">
        <v>326</v>
      </c>
      <c r="G129" s="5131" t="s">
        <v>239</v>
      </c>
      <c r="H129" s="5129" t="s">
        <v>240</v>
      </c>
      <c r="I129" s="5129" t="s">
        <v>257</v>
      </c>
      <c r="J129" s="5135" t="s">
        <v>5547</v>
      </c>
      <c r="K129" s="5129" t="s">
        <v>1168</v>
      </c>
      <c r="L129" s="5129" t="s">
        <v>5500</v>
      </c>
      <c r="M129" s="5142">
        <v>1</v>
      </c>
      <c r="N129" s="5142">
        <v>1</v>
      </c>
      <c r="O129" s="5142">
        <v>1</v>
      </c>
      <c r="P129" s="5129" t="s">
        <v>5465</v>
      </c>
      <c r="Q129" s="5129" t="s">
        <v>5384</v>
      </c>
      <c r="R129" s="5132" t="s">
        <v>5347</v>
      </c>
      <c r="S129" s="3743"/>
      <c r="T129" s="3721"/>
      <c r="U129" s="3723"/>
      <c r="V129" s="3713"/>
      <c r="W129" s="3687"/>
      <c r="X129" s="3612"/>
      <c r="Y129" s="3607"/>
      <c r="Z129" s="3607"/>
      <c r="AA129" s="3607"/>
      <c r="AB129" s="3608"/>
      <c r="AC129" s="3580"/>
      <c r="AD129" s="3580"/>
      <c r="AE129" s="3580"/>
      <c r="AF129" s="5172" t="s">
        <v>1169</v>
      </c>
    </row>
    <row r="130" spans="1:32" ht="59.25" customHeight="1">
      <c r="A130" s="4564"/>
      <c r="B130" s="4570"/>
      <c r="C130" s="5145"/>
      <c r="D130" s="5130"/>
      <c r="E130" s="5130"/>
      <c r="F130" s="5130"/>
      <c r="G130" s="5130"/>
      <c r="H130" s="5130"/>
      <c r="I130" s="5130"/>
      <c r="J130" s="5130"/>
      <c r="K130" s="5130"/>
      <c r="L130" s="5130"/>
      <c r="M130" s="5138"/>
      <c r="N130" s="5138"/>
      <c r="O130" s="5138"/>
      <c r="P130" s="5130"/>
      <c r="Q130" s="5130"/>
      <c r="R130" s="5128"/>
      <c r="S130" s="3744"/>
      <c r="T130" s="3719"/>
      <c r="U130" s="3718"/>
      <c r="V130" s="2684"/>
      <c r="W130" s="2638"/>
      <c r="X130" s="579"/>
      <c r="Y130" s="3561"/>
      <c r="Z130" s="3561"/>
      <c r="AA130" s="3561"/>
      <c r="AB130" s="3562"/>
      <c r="AC130" s="532"/>
      <c r="AD130" s="532"/>
      <c r="AE130" s="532"/>
      <c r="AF130" s="4598"/>
    </row>
    <row r="131" spans="1:32" ht="59.25" customHeight="1">
      <c r="A131" s="4564"/>
      <c r="B131" s="4570"/>
      <c r="C131" s="5145"/>
      <c r="D131" s="5130"/>
      <c r="E131" s="5130"/>
      <c r="F131" s="5130"/>
      <c r="G131" s="5130"/>
      <c r="H131" s="5130"/>
      <c r="I131" s="5130"/>
      <c r="J131" s="5130"/>
      <c r="K131" s="5130"/>
      <c r="L131" s="5130"/>
      <c r="M131" s="5138"/>
      <c r="N131" s="5138"/>
      <c r="O131" s="5138"/>
      <c r="P131" s="5130"/>
      <c r="Q131" s="5130"/>
      <c r="R131" s="5128"/>
      <c r="S131" s="3744"/>
      <c r="T131" s="3719"/>
      <c r="U131" s="3718"/>
      <c r="V131" s="2684"/>
      <c r="W131" s="2638"/>
      <c r="X131" s="579"/>
      <c r="Y131" s="3561"/>
      <c r="Z131" s="3561"/>
      <c r="AA131" s="3561"/>
      <c r="AB131" s="3562"/>
      <c r="AC131" s="532"/>
      <c r="AD131" s="532"/>
      <c r="AE131" s="533"/>
      <c r="AF131" s="4598"/>
    </row>
    <row r="132" spans="1:32" ht="59.25" customHeight="1">
      <c r="A132" s="4564"/>
      <c r="B132" s="4570"/>
      <c r="C132" s="5145"/>
      <c r="D132" s="5130"/>
      <c r="E132" s="5130"/>
      <c r="F132" s="5130"/>
      <c r="G132" s="5130"/>
      <c r="H132" s="5130"/>
      <c r="I132" s="5130"/>
      <c r="J132" s="5130"/>
      <c r="K132" s="5130"/>
      <c r="L132" s="5130"/>
      <c r="M132" s="5138"/>
      <c r="N132" s="5138"/>
      <c r="O132" s="5138"/>
      <c r="P132" s="5130"/>
      <c r="Q132" s="5130"/>
      <c r="R132" s="5128"/>
      <c r="S132" s="3744"/>
      <c r="T132" s="3719"/>
      <c r="U132" s="3718"/>
      <c r="V132" s="2684"/>
      <c r="W132" s="2638"/>
      <c r="X132" s="579"/>
      <c r="Y132" s="3561"/>
      <c r="Z132" s="3561"/>
      <c r="AA132" s="3561"/>
      <c r="AB132" s="3562"/>
      <c r="AC132" s="532"/>
      <c r="AD132" s="532"/>
      <c r="AE132" s="533"/>
      <c r="AF132" s="4598"/>
    </row>
    <row r="133" spans="1:32" ht="59.25" customHeight="1">
      <c r="A133" s="4564"/>
      <c r="B133" s="4570"/>
      <c r="C133" s="5145"/>
      <c r="D133" s="5130"/>
      <c r="E133" s="5130"/>
      <c r="F133" s="5130"/>
      <c r="G133" s="5130"/>
      <c r="H133" s="5130"/>
      <c r="I133" s="5130"/>
      <c r="J133" s="5130"/>
      <c r="K133" s="5130"/>
      <c r="L133" s="5130"/>
      <c r="M133" s="5138"/>
      <c r="N133" s="5138"/>
      <c r="O133" s="5138"/>
      <c r="P133" s="5130"/>
      <c r="Q133" s="5130"/>
      <c r="R133" s="5128"/>
      <c r="S133" s="3745"/>
      <c r="T133" s="3729"/>
      <c r="U133" s="1779"/>
      <c r="V133" s="2686"/>
      <c r="W133" s="3699"/>
      <c r="X133" s="2666"/>
      <c r="Y133" s="1783"/>
      <c r="Z133" s="1783"/>
      <c r="AA133" s="1783"/>
      <c r="AB133" s="3602"/>
      <c r="AC133" s="1782"/>
      <c r="AD133" s="1782"/>
      <c r="AE133" s="3572"/>
      <c r="AF133" s="4603"/>
    </row>
    <row r="134" spans="1:32" ht="36.75" customHeight="1">
      <c r="A134" s="4564"/>
      <c r="B134" s="4570"/>
      <c r="C134" s="5144" t="s">
        <v>235</v>
      </c>
      <c r="D134" s="5129" t="s">
        <v>236</v>
      </c>
      <c r="E134" s="5129" t="s">
        <v>237</v>
      </c>
      <c r="F134" s="5129" t="s">
        <v>326</v>
      </c>
      <c r="G134" s="5131" t="s">
        <v>239</v>
      </c>
      <c r="H134" s="5129" t="s">
        <v>240</v>
      </c>
      <c r="I134" s="5129" t="s">
        <v>257</v>
      </c>
      <c r="J134" s="5135" t="s">
        <v>5548</v>
      </c>
      <c r="K134" s="5129" t="s">
        <v>1170</v>
      </c>
      <c r="L134" s="5129" t="s">
        <v>1171</v>
      </c>
      <c r="M134" s="5142">
        <v>1</v>
      </c>
      <c r="N134" s="5142">
        <v>1</v>
      </c>
      <c r="O134" s="5142">
        <v>1</v>
      </c>
      <c r="P134" s="5129" t="s">
        <v>5464</v>
      </c>
      <c r="Q134" s="5129" t="s">
        <v>5385</v>
      </c>
      <c r="R134" s="5125" t="s">
        <v>5348</v>
      </c>
      <c r="S134" s="3749"/>
      <c r="T134" s="3725"/>
      <c r="U134" s="3722"/>
      <c r="V134" s="3714"/>
      <c r="W134" s="3681"/>
      <c r="X134" s="1968"/>
      <c r="Y134" s="3565"/>
      <c r="Z134" s="3565"/>
      <c r="AA134" s="3565"/>
      <c r="AB134" s="3566"/>
      <c r="AC134" s="1967"/>
      <c r="AD134" s="1971"/>
      <c r="AE134" s="1971"/>
      <c r="AF134" s="5155"/>
    </row>
    <row r="135" spans="1:32" ht="36.75" customHeight="1">
      <c r="A135" s="4564"/>
      <c r="B135" s="4570"/>
      <c r="C135" s="5145"/>
      <c r="D135" s="5130"/>
      <c r="E135" s="5130"/>
      <c r="F135" s="5130"/>
      <c r="G135" s="5130"/>
      <c r="H135" s="5130"/>
      <c r="I135" s="5130"/>
      <c r="J135" s="5130"/>
      <c r="K135" s="5130"/>
      <c r="L135" s="5130"/>
      <c r="M135" s="5138"/>
      <c r="N135" s="5138"/>
      <c r="O135" s="5138"/>
      <c r="P135" s="5130"/>
      <c r="Q135" s="5130"/>
      <c r="R135" s="5128"/>
      <c r="S135" s="3744"/>
      <c r="T135" s="3719"/>
      <c r="U135" s="3718"/>
      <c r="V135" s="2684"/>
      <c r="W135" s="2638"/>
      <c r="X135" s="579"/>
      <c r="Y135" s="3561"/>
      <c r="Z135" s="3561"/>
      <c r="AA135" s="3561"/>
      <c r="AB135" s="3562"/>
      <c r="AC135" s="532"/>
      <c r="AD135" s="533"/>
      <c r="AE135" s="533"/>
      <c r="AF135" s="5051"/>
    </row>
    <row r="136" spans="1:32" ht="36.75" customHeight="1">
      <c r="A136" s="4564"/>
      <c r="B136" s="4570"/>
      <c r="C136" s="5145"/>
      <c r="D136" s="5130"/>
      <c r="E136" s="5130"/>
      <c r="F136" s="5130"/>
      <c r="G136" s="5130"/>
      <c r="H136" s="5130"/>
      <c r="I136" s="5130"/>
      <c r="J136" s="5130"/>
      <c r="K136" s="5130"/>
      <c r="L136" s="5130"/>
      <c r="M136" s="5138"/>
      <c r="N136" s="5138"/>
      <c r="O136" s="5138"/>
      <c r="P136" s="5130"/>
      <c r="Q136" s="5130"/>
      <c r="R136" s="5128"/>
      <c r="S136" s="3744"/>
      <c r="T136" s="3719"/>
      <c r="U136" s="3718"/>
      <c r="V136" s="2684"/>
      <c r="W136" s="2638"/>
      <c r="X136" s="579"/>
      <c r="Y136" s="3561"/>
      <c r="Z136" s="3561"/>
      <c r="AA136" s="3561"/>
      <c r="AB136" s="3562"/>
      <c r="AC136" s="532"/>
      <c r="AD136" s="533"/>
      <c r="AE136" s="533"/>
      <c r="AF136" s="5051"/>
    </row>
    <row r="137" spans="1:32" ht="36.75" customHeight="1">
      <c r="A137" s="4564"/>
      <c r="B137" s="4570"/>
      <c r="C137" s="5145"/>
      <c r="D137" s="5130"/>
      <c r="E137" s="5130"/>
      <c r="F137" s="5130"/>
      <c r="G137" s="5130"/>
      <c r="H137" s="5130"/>
      <c r="I137" s="5130"/>
      <c r="J137" s="5130"/>
      <c r="K137" s="5130"/>
      <c r="L137" s="5130"/>
      <c r="M137" s="5138"/>
      <c r="N137" s="5138"/>
      <c r="O137" s="5138"/>
      <c r="P137" s="5130"/>
      <c r="Q137" s="5130"/>
      <c r="R137" s="5128"/>
      <c r="S137" s="3744"/>
      <c r="T137" s="3719"/>
      <c r="U137" s="3718"/>
      <c r="V137" s="2681"/>
      <c r="W137" s="2638"/>
      <c r="X137" s="579"/>
      <c r="Y137" s="3561"/>
      <c r="Z137" s="3561"/>
      <c r="AA137" s="3561"/>
      <c r="AB137" s="3562"/>
      <c r="AC137" s="532"/>
      <c r="AD137" s="533"/>
      <c r="AE137" s="533"/>
      <c r="AF137" s="5051"/>
    </row>
    <row r="138" spans="1:32" ht="36.75" customHeight="1">
      <c r="A138" s="4564"/>
      <c r="B138" s="4570"/>
      <c r="C138" s="5145"/>
      <c r="D138" s="5130"/>
      <c r="E138" s="5130"/>
      <c r="F138" s="5130"/>
      <c r="G138" s="5130"/>
      <c r="H138" s="5130"/>
      <c r="I138" s="5130"/>
      <c r="J138" s="5130"/>
      <c r="K138" s="5130"/>
      <c r="L138" s="5130"/>
      <c r="M138" s="5138"/>
      <c r="N138" s="5138"/>
      <c r="O138" s="5138"/>
      <c r="P138" s="5130"/>
      <c r="Q138" s="5130"/>
      <c r="R138" s="5153"/>
      <c r="S138" s="3750"/>
      <c r="T138" s="3733"/>
      <c r="U138" s="3720"/>
      <c r="V138" s="3704"/>
      <c r="W138" s="3682"/>
      <c r="X138" s="323"/>
      <c r="Y138" s="3603"/>
      <c r="Z138" s="3603"/>
      <c r="AA138" s="3603"/>
      <c r="AB138" s="3604"/>
      <c r="AC138" s="575"/>
      <c r="AD138" s="321"/>
      <c r="AE138" s="321"/>
      <c r="AF138" s="5051"/>
    </row>
    <row r="139" spans="1:32" ht="39" customHeight="1">
      <c r="A139" s="4564"/>
      <c r="B139" s="4570"/>
      <c r="C139" s="5144" t="s">
        <v>235</v>
      </c>
      <c r="D139" s="5129" t="s">
        <v>236</v>
      </c>
      <c r="E139" s="5129" t="s">
        <v>237</v>
      </c>
      <c r="F139" s="5129" t="s">
        <v>326</v>
      </c>
      <c r="G139" s="5131" t="s">
        <v>239</v>
      </c>
      <c r="H139" s="5129" t="s">
        <v>240</v>
      </c>
      <c r="I139" s="5129" t="s">
        <v>257</v>
      </c>
      <c r="J139" s="5135" t="s">
        <v>5549</v>
      </c>
      <c r="K139" s="5129" t="s">
        <v>1172</v>
      </c>
      <c r="L139" s="5129" t="s">
        <v>1173</v>
      </c>
      <c r="M139" s="5142">
        <v>4</v>
      </c>
      <c r="N139" s="5142">
        <v>4</v>
      </c>
      <c r="O139" s="5142">
        <v>3</v>
      </c>
      <c r="P139" s="5129" t="s">
        <v>5463</v>
      </c>
      <c r="Q139" s="5129" t="s">
        <v>5386</v>
      </c>
      <c r="R139" s="5132" t="s">
        <v>5349</v>
      </c>
      <c r="S139" s="3743"/>
      <c r="T139" s="3721"/>
      <c r="U139" s="3723"/>
      <c r="V139" s="3713"/>
      <c r="W139" s="3687"/>
      <c r="X139" s="3612"/>
      <c r="Y139" s="3607"/>
      <c r="Z139" s="3607"/>
      <c r="AA139" s="3607"/>
      <c r="AB139" s="3608"/>
      <c r="AC139" s="3580"/>
      <c r="AD139" s="3582"/>
      <c r="AE139" s="3582"/>
      <c r="AF139" s="5154"/>
    </row>
    <row r="140" spans="1:32" ht="39" customHeight="1">
      <c r="A140" s="4564"/>
      <c r="B140" s="4570"/>
      <c r="C140" s="5145"/>
      <c r="D140" s="5130"/>
      <c r="E140" s="5130"/>
      <c r="F140" s="5130"/>
      <c r="G140" s="5130"/>
      <c r="H140" s="5130"/>
      <c r="I140" s="5130"/>
      <c r="J140" s="5130"/>
      <c r="K140" s="5130"/>
      <c r="L140" s="5130"/>
      <c r="M140" s="5138"/>
      <c r="N140" s="5138"/>
      <c r="O140" s="5138"/>
      <c r="P140" s="5130"/>
      <c r="Q140" s="5130"/>
      <c r="R140" s="5128"/>
      <c r="S140" s="3744"/>
      <c r="T140" s="3719"/>
      <c r="U140" s="3718"/>
      <c r="V140" s="2684"/>
      <c r="W140" s="2638"/>
      <c r="X140" s="579"/>
      <c r="Y140" s="3561"/>
      <c r="Z140" s="3561"/>
      <c r="AA140" s="3561"/>
      <c r="AB140" s="3562"/>
      <c r="AC140" s="532"/>
      <c r="AD140" s="533"/>
      <c r="AE140" s="533"/>
      <c r="AF140" s="5051"/>
    </row>
    <row r="141" spans="1:32" ht="39" customHeight="1">
      <c r="A141" s="4564"/>
      <c r="B141" s="4570"/>
      <c r="C141" s="5145"/>
      <c r="D141" s="5130"/>
      <c r="E141" s="5130"/>
      <c r="F141" s="5130"/>
      <c r="G141" s="5130"/>
      <c r="H141" s="5130"/>
      <c r="I141" s="5130"/>
      <c r="J141" s="5130"/>
      <c r="K141" s="5130"/>
      <c r="L141" s="5130"/>
      <c r="M141" s="5138"/>
      <c r="N141" s="5138"/>
      <c r="O141" s="5138"/>
      <c r="P141" s="5130"/>
      <c r="Q141" s="5130"/>
      <c r="R141" s="5128"/>
      <c r="S141" s="3744"/>
      <c r="T141" s="3719"/>
      <c r="U141" s="3718"/>
      <c r="V141" s="2684"/>
      <c r="W141" s="2638"/>
      <c r="X141" s="579"/>
      <c r="Y141" s="3561"/>
      <c r="Z141" s="3561"/>
      <c r="AA141" s="3561"/>
      <c r="AB141" s="3562"/>
      <c r="AC141" s="532"/>
      <c r="AD141" s="533"/>
      <c r="AE141" s="533"/>
      <c r="AF141" s="5051"/>
    </row>
    <row r="142" spans="1:32" ht="39" customHeight="1">
      <c r="A142" s="4564"/>
      <c r="B142" s="4570"/>
      <c r="C142" s="5145"/>
      <c r="D142" s="5130"/>
      <c r="E142" s="5130"/>
      <c r="F142" s="5130"/>
      <c r="G142" s="5130"/>
      <c r="H142" s="5130"/>
      <c r="I142" s="5130"/>
      <c r="J142" s="5130"/>
      <c r="K142" s="5130"/>
      <c r="L142" s="5130"/>
      <c r="M142" s="5138"/>
      <c r="N142" s="5138"/>
      <c r="O142" s="5138"/>
      <c r="P142" s="5130"/>
      <c r="Q142" s="5130"/>
      <c r="R142" s="5128"/>
      <c r="S142" s="3744"/>
      <c r="T142" s="3719"/>
      <c r="U142" s="3718"/>
      <c r="V142" s="2684"/>
      <c r="W142" s="2638"/>
      <c r="X142" s="579"/>
      <c r="Y142" s="3561"/>
      <c r="Z142" s="3561"/>
      <c r="AA142" s="3561"/>
      <c r="AB142" s="3562"/>
      <c r="AC142" s="532"/>
      <c r="AD142" s="533"/>
      <c r="AE142" s="533"/>
      <c r="AF142" s="5051"/>
    </row>
    <row r="143" spans="1:32" ht="39" customHeight="1">
      <c r="A143" s="4564"/>
      <c r="B143" s="4570"/>
      <c r="C143" s="5145"/>
      <c r="D143" s="5130"/>
      <c r="E143" s="5130"/>
      <c r="F143" s="5130"/>
      <c r="G143" s="5130"/>
      <c r="H143" s="5130"/>
      <c r="I143" s="5130"/>
      <c r="J143" s="5130"/>
      <c r="K143" s="5130"/>
      <c r="L143" s="5130"/>
      <c r="M143" s="5138"/>
      <c r="N143" s="5138"/>
      <c r="O143" s="5138"/>
      <c r="P143" s="5130"/>
      <c r="Q143" s="5130"/>
      <c r="R143" s="5128"/>
      <c r="S143" s="3744"/>
      <c r="T143" s="3719"/>
      <c r="U143" s="3718"/>
      <c r="V143" s="2684"/>
      <c r="W143" s="2638"/>
      <c r="X143" s="579"/>
      <c r="Y143" s="3561"/>
      <c r="Z143" s="3561"/>
      <c r="AA143" s="3561"/>
      <c r="AB143" s="3562"/>
      <c r="AC143" s="532"/>
      <c r="AD143" s="533"/>
      <c r="AE143" s="533"/>
      <c r="AF143" s="5051"/>
    </row>
    <row r="144" spans="1:32" ht="39" customHeight="1">
      <c r="A144" s="4564"/>
      <c r="B144" s="4570"/>
      <c r="C144" s="5145"/>
      <c r="D144" s="5130"/>
      <c r="E144" s="5130"/>
      <c r="F144" s="5130"/>
      <c r="G144" s="5130"/>
      <c r="H144" s="5130"/>
      <c r="I144" s="5130"/>
      <c r="J144" s="5130"/>
      <c r="K144" s="5130"/>
      <c r="L144" s="5130"/>
      <c r="M144" s="5138"/>
      <c r="N144" s="5138"/>
      <c r="O144" s="5138"/>
      <c r="P144" s="5130"/>
      <c r="Q144" s="5130"/>
      <c r="R144" s="5128"/>
      <c r="S144" s="3745"/>
      <c r="T144" s="3729"/>
      <c r="U144" s="1779"/>
      <c r="V144" s="3705"/>
      <c r="W144" s="3699"/>
      <c r="X144" s="2666"/>
      <c r="Y144" s="1783"/>
      <c r="Z144" s="1783"/>
      <c r="AA144" s="1783"/>
      <c r="AB144" s="3602"/>
      <c r="AC144" s="1782"/>
      <c r="AD144" s="3572"/>
      <c r="AE144" s="3572"/>
      <c r="AF144" s="5085"/>
    </row>
    <row r="145" spans="1:32" ht="63.75" customHeight="1">
      <c r="A145" s="4564"/>
      <c r="B145" s="4570"/>
      <c r="C145" s="5144" t="s">
        <v>235</v>
      </c>
      <c r="D145" s="5129" t="s">
        <v>236</v>
      </c>
      <c r="E145" s="5129" t="s">
        <v>237</v>
      </c>
      <c r="F145" s="5129" t="s">
        <v>326</v>
      </c>
      <c r="G145" s="5131" t="s">
        <v>239</v>
      </c>
      <c r="H145" s="5129" t="s">
        <v>240</v>
      </c>
      <c r="I145" s="5129" t="s">
        <v>257</v>
      </c>
      <c r="J145" s="5135" t="s">
        <v>5550</v>
      </c>
      <c r="K145" s="5129" t="s">
        <v>1174</v>
      </c>
      <c r="L145" s="5129" t="s">
        <v>5501</v>
      </c>
      <c r="M145" s="5142">
        <v>1500</v>
      </c>
      <c r="N145" s="5142">
        <v>1200</v>
      </c>
      <c r="O145" s="5142">
        <v>500</v>
      </c>
      <c r="P145" s="5129" t="s">
        <v>5462</v>
      </c>
      <c r="Q145" s="5129" t="s">
        <v>5387</v>
      </c>
      <c r="R145" s="5125" t="s">
        <v>5350</v>
      </c>
      <c r="S145" s="3753"/>
      <c r="T145" s="3725"/>
      <c r="U145" s="3725"/>
      <c r="V145" s="3530"/>
      <c r="W145" s="2633"/>
      <c r="X145" s="1967"/>
      <c r="Y145" s="3565"/>
      <c r="Z145" s="3565"/>
      <c r="AA145" s="3565"/>
      <c r="AB145" s="3566"/>
      <c r="AC145" s="1967"/>
      <c r="AD145" s="1971"/>
      <c r="AE145" s="1971"/>
      <c r="AF145" s="5155"/>
    </row>
    <row r="146" spans="1:32" ht="63.75" customHeight="1">
      <c r="A146" s="4564"/>
      <c r="B146" s="4570"/>
      <c r="C146" s="5145"/>
      <c r="D146" s="5130"/>
      <c r="E146" s="5130"/>
      <c r="F146" s="5130"/>
      <c r="G146" s="5130"/>
      <c r="H146" s="5130"/>
      <c r="I146" s="5130"/>
      <c r="J146" s="5130"/>
      <c r="K146" s="5130"/>
      <c r="L146" s="5130"/>
      <c r="M146" s="5138"/>
      <c r="N146" s="5138"/>
      <c r="O146" s="5138"/>
      <c r="P146" s="5130"/>
      <c r="Q146" s="5130"/>
      <c r="R146" s="5128"/>
      <c r="S146" s="3744"/>
      <c r="T146" s="3719"/>
      <c r="U146" s="3718"/>
      <c r="V146" s="2681"/>
      <c r="W146" s="2638"/>
      <c r="X146" s="579"/>
      <c r="Y146" s="3561"/>
      <c r="Z146" s="3561"/>
      <c r="AA146" s="3561"/>
      <c r="AB146" s="3562"/>
      <c r="AC146" s="532"/>
      <c r="AD146" s="533"/>
      <c r="AE146" s="533"/>
      <c r="AF146" s="5051"/>
    </row>
    <row r="147" spans="1:32" ht="63.75" customHeight="1">
      <c r="A147" s="4564"/>
      <c r="B147" s="4570"/>
      <c r="C147" s="5145"/>
      <c r="D147" s="5130"/>
      <c r="E147" s="5130"/>
      <c r="F147" s="5130"/>
      <c r="G147" s="5130"/>
      <c r="H147" s="5130"/>
      <c r="I147" s="5130"/>
      <c r="J147" s="5130"/>
      <c r="K147" s="5130"/>
      <c r="L147" s="5130"/>
      <c r="M147" s="5138"/>
      <c r="N147" s="5138"/>
      <c r="O147" s="5138"/>
      <c r="P147" s="5130"/>
      <c r="Q147" s="5130"/>
      <c r="R147" s="5128"/>
      <c r="S147" s="3744"/>
      <c r="T147" s="3719"/>
      <c r="U147" s="3718"/>
      <c r="V147" s="2684"/>
      <c r="W147" s="2638"/>
      <c r="X147" s="579"/>
      <c r="Y147" s="3561"/>
      <c r="Z147" s="3561"/>
      <c r="AA147" s="3561"/>
      <c r="AB147" s="3562"/>
      <c r="AC147" s="532"/>
      <c r="AD147" s="533"/>
      <c r="AE147" s="533"/>
      <c r="AF147" s="5051"/>
    </row>
    <row r="148" spans="1:32" ht="63.75" customHeight="1">
      <c r="A148" s="4564"/>
      <c r="B148" s="4570"/>
      <c r="C148" s="5145"/>
      <c r="D148" s="5130"/>
      <c r="E148" s="5130"/>
      <c r="F148" s="5130"/>
      <c r="G148" s="5130"/>
      <c r="H148" s="5130"/>
      <c r="I148" s="5130"/>
      <c r="J148" s="5130"/>
      <c r="K148" s="5130"/>
      <c r="L148" s="5130"/>
      <c r="M148" s="5138"/>
      <c r="N148" s="5138"/>
      <c r="O148" s="5138"/>
      <c r="P148" s="5130"/>
      <c r="Q148" s="5130"/>
      <c r="R148" s="5128"/>
      <c r="S148" s="3744"/>
      <c r="T148" s="3719"/>
      <c r="U148" s="3718"/>
      <c r="V148" s="2681"/>
      <c r="W148" s="2630"/>
      <c r="X148" s="532"/>
      <c r="Y148" s="3561"/>
      <c r="Z148" s="3561"/>
      <c r="AA148" s="3561"/>
      <c r="AB148" s="3562"/>
      <c r="AC148" s="532"/>
      <c r="AD148" s="533"/>
      <c r="AE148" s="533"/>
      <c r="AF148" s="5051"/>
    </row>
    <row r="149" spans="1:32" ht="63.75" customHeight="1">
      <c r="A149" s="4564"/>
      <c r="B149" s="4570"/>
      <c r="C149" s="5145"/>
      <c r="D149" s="5130"/>
      <c r="E149" s="5130"/>
      <c r="F149" s="5130"/>
      <c r="G149" s="5130"/>
      <c r="H149" s="5130"/>
      <c r="I149" s="5130"/>
      <c r="J149" s="5130"/>
      <c r="K149" s="5130"/>
      <c r="L149" s="5130"/>
      <c r="M149" s="5138"/>
      <c r="N149" s="5138"/>
      <c r="O149" s="5138"/>
      <c r="P149" s="5130"/>
      <c r="Q149" s="5130"/>
      <c r="R149" s="5153"/>
      <c r="S149" s="3750"/>
      <c r="T149" s="3733"/>
      <c r="U149" s="3720"/>
      <c r="V149" s="2682"/>
      <c r="W149" s="2631"/>
      <c r="X149" s="575"/>
      <c r="Y149" s="3603"/>
      <c r="Z149" s="3603"/>
      <c r="AA149" s="3603"/>
      <c r="AB149" s="3604"/>
      <c r="AC149" s="575"/>
      <c r="AD149" s="321"/>
      <c r="AE149" s="321"/>
      <c r="AF149" s="5051"/>
    </row>
    <row r="150" spans="1:32" ht="36" customHeight="1">
      <c r="A150" s="4564"/>
      <c r="B150" s="4570"/>
      <c r="C150" s="5144" t="s">
        <v>235</v>
      </c>
      <c r="D150" s="5129" t="s">
        <v>236</v>
      </c>
      <c r="E150" s="5129" t="s">
        <v>237</v>
      </c>
      <c r="F150" s="5129" t="s">
        <v>326</v>
      </c>
      <c r="G150" s="5131" t="s">
        <v>239</v>
      </c>
      <c r="H150" s="5129" t="s">
        <v>240</v>
      </c>
      <c r="I150" s="5129" t="s">
        <v>257</v>
      </c>
      <c r="J150" s="5135" t="s">
        <v>5551</v>
      </c>
      <c r="K150" s="5129" t="s">
        <v>1175</v>
      </c>
      <c r="L150" s="5129" t="s">
        <v>1176</v>
      </c>
      <c r="M150" s="5142">
        <v>2</v>
      </c>
      <c r="N150" s="5142">
        <v>1</v>
      </c>
      <c r="O150" s="5142">
        <v>1</v>
      </c>
      <c r="P150" s="5129" t="s">
        <v>5461</v>
      </c>
      <c r="Q150" s="5129" t="s">
        <v>5388</v>
      </c>
      <c r="R150" s="5132" t="s">
        <v>5348</v>
      </c>
      <c r="S150" s="3754" t="s">
        <v>11</v>
      </c>
      <c r="T150" s="3721">
        <v>530807</v>
      </c>
      <c r="U150" s="3721"/>
      <c r="V150" s="3575" t="s">
        <v>44</v>
      </c>
      <c r="W150" s="3576"/>
      <c r="X150" s="3580"/>
      <c r="Y150" s="3607"/>
      <c r="Z150" s="3607"/>
      <c r="AA150" s="3607"/>
      <c r="AB150" s="3608">
        <f>SUM($AA$151:$AA$154)</f>
        <v>426.72</v>
      </c>
      <c r="AC150" s="3580"/>
      <c r="AD150" s="3582"/>
      <c r="AE150" s="3582"/>
      <c r="AF150" s="5154"/>
    </row>
    <row r="151" spans="1:32" ht="36" customHeight="1">
      <c r="A151" s="4564"/>
      <c r="B151" s="4570"/>
      <c r="C151" s="5145"/>
      <c r="D151" s="5130"/>
      <c r="E151" s="5130"/>
      <c r="F151" s="5130"/>
      <c r="G151" s="5130"/>
      <c r="H151" s="5130"/>
      <c r="I151" s="5130"/>
      <c r="J151" s="5130"/>
      <c r="K151" s="5130"/>
      <c r="L151" s="5130"/>
      <c r="M151" s="5138"/>
      <c r="N151" s="5138"/>
      <c r="O151" s="5138"/>
      <c r="P151" s="5130"/>
      <c r="Q151" s="5130"/>
      <c r="R151" s="5128"/>
      <c r="S151" s="3744"/>
      <c r="T151" s="3719"/>
      <c r="U151" s="3727">
        <v>38912013307</v>
      </c>
      <c r="V151" s="2681" t="s">
        <v>5295</v>
      </c>
      <c r="W151" s="2638">
        <v>3</v>
      </c>
      <c r="X151" s="579" t="s">
        <v>269</v>
      </c>
      <c r="Y151" s="3561">
        <v>65</v>
      </c>
      <c r="Z151" s="3561">
        <f t="shared" ref="Z151:Z154" si="9">+W151*Y151</f>
        <v>195</v>
      </c>
      <c r="AA151" s="3561">
        <f t="shared" ref="AA151:AA154" si="10">+Z151*1.12</f>
        <v>218.40000000000003</v>
      </c>
      <c r="AB151" s="3562"/>
      <c r="AC151" s="532" t="s">
        <v>251</v>
      </c>
      <c r="AD151" s="533"/>
      <c r="AE151" s="533"/>
      <c r="AF151" s="5051"/>
    </row>
    <row r="152" spans="1:32" ht="36" customHeight="1">
      <c r="A152" s="4564"/>
      <c r="B152" s="4570"/>
      <c r="C152" s="5145"/>
      <c r="D152" s="5130"/>
      <c r="E152" s="5130"/>
      <c r="F152" s="5130"/>
      <c r="G152" s="5130"/>
      <c r="H152" s="5130"/>
      <c r="I152" s="5130"/>
      <c r="J152" s="5130"/>
      <c r="K152" s="5130"/>
      <c r="L152" s="5130"/>
      <c r="M152" s="5138"/>
      <c r="N152" s="5138"/>
      <c r="O152" s="5138"/>
      <c r="P152" s="5130"/>
      <c r="Q152" s="5130"/>
      <c r="R152" s="5128"/>
      <c r="S152" s="3744"/>
      <c r="T152" s="3719"/>
      <c r="U152" s="3727">
        <v>38912013307</v>
      </c>
      <c r="V152" s="2681" t="s">
        <v>5296</v>
      </c>
      <c r="W152" s="2638">
        <v>1</v>
      </c>
      <c r="X152" s="579" t="s">
        <v>269</v>
      </c>
      <c r="Y152" s="3561">
        <v>62</v>
      </c>
      <c r="Z152" s="3561">
        <f t="shared" si="9"/>
        <v>62</v>
      </c>
      <c r="AA152" s="3561">
        <f t="shared" si="10"/>
        <v>69.440000000000012</v>
      </c>
      <c r="AB152" s="3562"/>
      <c r="AC152" s="532" t="s">
        <v>251</v>
      </c>
      <c r="AD152" s="533"/>
      <c r="AE152" s="533"/>
      <c r="AF152" s="5051"/>
    </row>
    <row r="153" spans="1:32" ht="36" customHeight="1">
      <c r="A153" s="4564"/>
      <c r="B153" s="4570"/>
      <c r="C153" s="5145"/>
      <c r="D153" s="5130"/>
      <c r="E153" s="5130"/>
      <c r="F153" s="5130"/>
      <c r="G153" s="5130"/>
      <c r="H153" s="5130"/>
      <c r="I153" s="5130"/>
      <c r="J153" s="5130"/>
      <c r="K153" s="5130"/>
      <c r="L153" s="5130"/>
      <c r="M153" s="5138"/>
      <c r="N153" s="5138"/>
      <c r="O153" s="5138"/>
      <c r="P153" s="5130"/>
      <c r="Q153" s="5130"/>
      <c r="R153" s="5128"/>
      <c r="S153" s="3744"/>
      <c r="T153" s="3719"/>
      <c r="U153" s="3727">
        <v>38912013307</v>
      </c>
      <c r="V153" s="2681" t="s">
        <v>5297</v>
      </c>
      <c r="W153" s="2638">
        <v>1</v>
      </c>
      <c r="X153" s="579" t="s">
        <v>269</v>
      </c>
      <c r="Y153" s="3561">
        <v>62</v>
      </c>
      <c r="Z153" s="3561">
        <f t="shared" si="9"/>
        <v>62</v>
      </c>
      <c r="AA153" s="3561">
        <f t="shared" si="10"/>
        <v>69.440000000000012</v>
      </c>
      <c r="AB153" s="3562"/>
      <c r="AC153" s="532" t="s">
        <v>251</v>
      </c>
      <c r="AD153" s="533"/>
      <c r="AE153" s="533"/>
      <c r="AF153" s="5051"/>
    </row>
    <row r="154" spans="1:32" ht="36" customHeight="1">
      <c r="A154" s="4564"/>
      <c r="B154" s="4570"/>
      <c r="C154" s="5145"/>
      <c r="D154" s="5130"/>
      <c r="E154" s="5130"/>
      <c r="F154" s="5130"/>
      <c r="G154" s="5130"/>
      <c r="H154" s="5130"/>
      <c r="I154" s="5130"/>
      <c r="J154" s="5130"/>
      <c r="K154" s="5130"/>
      <c r="L154" s="5130"/>
      <c r="M154" s="5138"/>
      <c r="N154" s="5138"/>
      <c r="O154" s="5138"/>
      <c r="P154" s="5130"/>
      <c r="Q154" s="5130"/>
      <c r="R154" s="5128"/>
      <c r="S154" s="3745"/>
      <c r="T154" s="3729"/>
      <c r="U154" s="3728">
        <v>38912013307</v>
      </c>
      <c r="V154" s="2686" t="s">
        <v>5298</v>
      </c>
      <c r="W154" s="3699">
        <v>1</v>
      </c>
      <c r="X154" s="2666" t="s">
        <v>269</v>
      </c>
      <c r="Y154" s="1783">
        <v>62</v>
      </c>
      <c r="Z154" s="1783">
        <f t="shared" si="9"/>
        <v>62</v>
      </c>
      <c r="AA154" s="1783">
        <f t="shared" si="10"/>
        <v>69.440000000000012</v>
      </c>
      <c r="AB154" s="3602"/>
      <c r="AC154" s="1782" t="s">
        <v>251</v>
      </c>
      <c r="AD154" s="3572"/>
      <c r="AE154" s="3572"/>
      <c r="AF154" s="5085"/>
    </row>
    <row r="155" spans="1:32" ht="59.25" customHeight="1">
      <c r="A155" s="4564"/>
      <c r="B155" s="4570"/>
      <c r="C155" s="5144" t="s">
        <v>235</v>
      </c>
      <c r="D155" s="5129" t="s">
        <v>236</v>
      </c>
      <c r="E155" s="5129" t="s">
        <v>237</v>
      </c>
      <c r="F155" s="5129" t="s">
        <v>326</v>
      </c>
      <c r="G155" s="5131" t="s">
        <v>239</v>
      </c>
      <c r="H155" s="5129" t="s">
        <v>240</v>
      </c>
      <c r="I155" s="5129" t="s">
        <v>257</v>
      </c>
      <c r="J155" s="5135" t="s">
        <v>5552</v>
      </c>
      <c r="K155" s="5129" t="s">
        <v>1177</v>
      </c>
      <c r="L155" s="5129" t="s">
        <v>5502</v>
      </c>
      <c r="M155" s="5142">
        <v>1</v>
      </c>
      <c r="N155" s="5142">
        <v>1</v>
      </c>
      <c r="O155" s="5142">
        <v>1</v>
      </c>
      <c r="P155" s="5129" t="s">
        <v>5460</v>
      </c>
      <c r="Q155" s="5129" t="s">
        <v>5389</v>
      </c>
      <c r="R155" s="5125" t="s">
        <v>5351</v>
      </c>
      <c r="S155" s="3753"/>
      <c r="T155" s="3725"/>
      <c r="U155" s="3725"/>
      <c r="V155" s="3530"/>
      <c r="W155" s="2633"/>
      <c r="X155" s="1967"/>
      <c r="Y155" s="3565"/>
      <c r="Z155" s="3565"/>
      <c r="AA155" s="3565"/>
      <c r="AB155" s="3566"/>
      <c r="AC155" s="1967"/>
      <c r="AD155" s="1967"/>
      <c r="AE155" s="1967"/>
      <c r="AF155" s="5155"/>
    </row>
    <row r="156" spans="1:32" ht="59.25" customHeight="1">
      <c r="A156" s="4564"/>
      <c r="B156" s="4570"/>
      <c r="C156" s="5145"/>
      <c r="D156" s="5130"/>
      <c r="E156" s="5130"/>
      <c r="F156" s="5130"/>
      <c r="G156" s="5130"/>
      <c r="H156" s="5130"/>
      <c r="I156" s="5130"/>
      <c r="J156" s="5130"/>
      <c r="K156" s="5130"/>
      <c r="L156" s="5130"/>
      <c r="M156" s="5138"/>
      <c r="N156" s="5138"/>
      <c r="O156" s="5138"/>
      <c r="P156" s="5130"/>
      <c r="Q156" s="5130"/>
      <c r="R156" s="5128"/>
      <c r="S156" s="3744"/>
      <c r="T156" s="3719"/>
      <c r="U156" s="3718"/>
      <c r="V156" s="2681"/>
      <c r="W156" s="2638"/>
      <c r="X156" s="579"/>
      <c r="Y156" s="3561"/>
      <c r="Z156" s="3561"/>
      <c r="AA156" s="3561"/>
      <c r="AB156" s="3562"/>
      <c r="AC156" s="532"/>
      <c r="AD156" s="532"/>
      <c r="AE156" s="532"/>
      <c r="AF156" s="5051"/>
    </row>
    <row r="157" spans="1:32" ht="59.25" customHeight="1">
      <c r="A157" s="4564"/>
      <c r="B157" s="4570"/>
      <c r="C157" s="5145"/>
      <c r="D157" s="5130"/>
      <c r="E157" s="5130"/>
      <c r="F157" s="5130"/>
      <c r="G157" s="5130"/>
      <c r="H157" s="5130"/>
      <c r="I157" s="5130"/>
      <c r="J157" s="5130"/>
      <c r="K157" s="5130"/>
      <c r="L157" s="5130"/>
      <c r="M157" s="5138"/>
      <c r="N157" s="5138"/>
      <c r="O157" s="5138"/>
      <c r="P157" s="5130"/>
      <c r="Q157" s="5130"/>
      <c r="R157" s="5128"/>
      <c r="S157" s="3744"/>
      <c r="T157" s="3719"/>
      <c r="U157" s="3718"/>
      <c r="V157" s="2681"/>
      <c r="W157" s="2638"/>
      <c r="X157" s="579"/>
      <c r="Y157" s="3561"/>
      <c r="Z157" s="3561"/>
      <c r="AA157" s="3561"/>
      <c r="AB157" s="3562"/>
      <c r="AC157" s="532"/>
      <c r="AD157" s="532"/>
      <c r="AE157" s="533"/>
      <c r="AF157" s="5051"/>
    </row>
    <row r="158" spans="1:32" ht="59.25" customHeight="1">
      <c r="A158" s="4564"/>
      <c r="B158" s="4570"/>
      <c r="C158" s="5145"/>
      <c r="D158" s="5130"/>
      <c r="E158" s="5130"/>
      <c r="F158" s="5130"/>
      <c r="G158" s="5130"/>
      <c r="H158" s="5130"/>
      <c r="I158" s="5130"/>
      <c r="J158" s="5130"/>
      <c r="K158" s="5130"/>
      <c r="L158" s="5130"/>
      <c r="M158" s="5138"/>
      <c r="N158" s="5138"/>
      <c r="O158" s="5138"/>
      <c r="P158" s="5130"/>
      <c r="Q158" s="5130"/>
      <c r="R158" s="5128"/>
      <c r="S158" s="3744"/>
      <c r="T158" s="3719"/>
      <c r="U158" s="3718"/>
      <c r="V158" s="2681"/>
      <c r="W158" s="2638"/>
      <c r="X158" s="579"/>
      <c r="Y158" s="3561"/>
      <c r="Z158" s="3561"/>
      <c r="AA158" s="3561"/>
      <c r="AB158" s="3562"/>
      <c r="AC158" s="532"/>
      <c r="AD158" s="532"/>
      <c r="AE158" s="533"/>
      <c r="AF158" s="5051"/>
    </row>
    <row r="159" spans="1:32" ht="59.25" customHeight="1">
      <c r="A159" s="4564"/>
      <c r="B159" s="4570"/>
      <c r="C159" s="5145"/>
      <c r="D159" s="5130"/>
      <c r="E159" s="5130"/>
      <c r="F159" s="5130"/>
      <c r="G159" s="5130"/>
      <c r="H159" s="5130"/>
      <c r="I159" s="5130"/>
      <c r="J159" s="5130"/>
      <c r="K159" s="5130"/>
      <c r="L159" s="5130"/>
      <c r="M159" s="5138"/>
      <c r="N159" s="5138"/>
      <c r="O159" s="5138"/>
      <c r="P159" s="5130"/>
      <c r="Q159" s="5130"/>
      <c r="R159" s="5153"/>
      <c r="S159" s="3750"/>
      <c r="T159" s="3733"/>
      <c r="U159" s="3720"/>
      <c r="V159" s="2682"/>
      <c r="W159" s="3682"/>
      <c r="X159" s="323"/>
      <c r="Y159" s="3603"/>
      <c r="Z159" s="3603"/>
      <c r="AA159" s="3603"/>
      <c r="AB159" s="3604"/>
      <c r="AC159" s="575"/>
      <c r="AD159" s="575"/>
      <c r="AE159" s="321"/>
      <c r="AF159" s="5051"/>
    </row>
    <row r="160" spans="1:32" ht="54" customHeight="1">
      <c r="A160" s="4564"/>
      <c r="B160" s="4570"/>
      <c r="C160" s="5144" t="s">
        <v>235</v>
      </c>
      <c r="D160" s="5129" t="s">
        <v>236</v>
      </c>
      <c r="E160" s="5129" t="s">
        <v>237</v>
      </c>
      <c r="F160" s="5129" t="s">
        <v>326</v>
      </c>
      <c r="G160" s="5131" t="s">
        <v>239</v>
      </c>
      <c r="H160" s="5129" t="s">
        <v>240</v>
      </c>
      <c r="I160" s="5129" t="s">
        <v>257</v>
      </c>
      <c r="J160" s="5178" t="s">
        <v>5553</v>
      </c>
      <c r="K160" s="5129" t="s">
        <v>1178</v>
      </c>
      <c r="L160" s="5129" t="s">
        <v>5503</v>
      </c>
      <c r="M160" s="5142">
        <v>1</v>
      </c>
      <c r="N160" s="5142">
        <v>1</v>
      </c>
      <c r="O160" s="5142">
        <v>1</v>
      </c>
      <c r="P160" s="5129" t="s">
        <v>5459</v>
      </c>
      <c r="Q160" s="5129" t="s">
        <v>5390</v>
      </c>
      <c r="R160" s="5132" t="s">
        <v>5352</v>
      </c>
      <c r="S160" s="3743"/>
      <c r="T160" s="3721"/>
      <c r="U160" s="3721"/>
      <c r="V160" s="3575"/>
      <c r="W160" s="3576"/>
      <c r="X160" s="3580"/>
      <c r="Y160" s="3607"/>
      <c r="Z160" s="3607"/>
      <c r="AA160" s="3607"/>
      <c r="AB160" s="3608"/>
      <c r="AC160" s="3580"/>
      <c r="AD160" s="3582"/>
      <c r="AE160" s="3582"/>
      <c r="AF160" s="5154"/>
    </row>
    <row r="161" spans="1:32" ht="54" customHeight="1">
      <c r="A161" s="4564"/>
      <c r="B161" s="4570"/>
      <c r="C161" s="5145"/>
      <c r="D161" s="5130"/>
      <c r="E161" s="5130"/>
      <c r="F161" s="5130"/>
      <c r="G161" s="5130"/>
      <c r="H161" s="5130"/>
      <c r="I161" s="5130"/>
      <c r="J161" s="5130"/>
      <c r="K161" s="5130"/>
      <c r="L161" s="5130"/>
      <c r="M161" s="5138"/>
      <c r="N161" s="5138"/>
      <c r="O161" s="5138"/>
      <c r="P161" s="5130"/>
      <c r="Q161" s="5130"/>
      <c r="R161" s="5128"/>
      <c r="S161" s="3744"/>
      <c r="T161" s="3719"/>
      <c r="U161" s="3718"/>
      <c r="V161" s="2681"/>
      <c r="W161" s="2630"/>
      <c r="X161" s="532"/>
      <c r="Y161" s="3561"/>
      <c r="Z161" s="3561"/>
      <c r="AA161" s="3561"/>
      <c r="AB161" s="3562"/>
      <c r="AC161" s="532"/>
      <c r="AD161" s="533"/>
      <c r="AE161" s="533"/>
      <c r="AF161" s="5051"/>
    </row>
    <row r="162" spans="1:32" ht="54" customHeight="1">
      <c r="A162" s="4564"/>
      <c r="B162" s="4570"/>
      <c r="C162" s="5145"/>
      <c r="D162" s="5130"/>
      <c r="E162" s="5130"/>
      <c r="F162" s="5130"/>
      <c r="G162" s="5130"/>
      <c r="H162" s="5130"/>
      <c r="I162" s="5130"/>
      <c r="J162" s="5130"/>
      <c r="K162" s="5130"/>
      <c r="L162" s="5130"/>
      <c r="M162" s="5138"/>
      <c r="N162" s="5138"/>
      <c r="O162" s="5138"/>
      <c r="P162" s="5130"/>
      <c r="Q162" s="5130"/>
      <c r="R162" s="5128"/>
      <c r="S162" s="3744"/>
      <c r="T162" s="3719"/>
      <c r="U162" s="3718"/>
      <c r="V162" s="2681"/>
      <c r="W162" s="2630"/>
      <c r="X162" s="532"/>
      <c r="Y162" s="3561"/>
      <c r="Z162" s="3561"/>
      <c r="AA162" s="3561"/>
      <c r="AB162" s="3562"/>
      <c r="AC162" s="532"/>
      <c r="AD162" s="533"/>
      <c r="AE162" s="533"/>
      <c r="AF162" s="5051"/>
    </row>
    <row r="163" spans="1:32" ht="54" customHeight="1">
      <c r="A163" s="4564"/>
      <c r="B163" s="4570"/>
      <c r="C163" s="5145"/>
      <c r="D163" s="5130"/>
      <c r="E163" s="5130"/>
      <c r="F163" s="5130"/>
      <c r="G163" s="5130"/>
      <c r="H163" s="5130"/>
      <c r="I163" s="5130"/>
      <c r="J163" s="5130"/>
      <c r="K163" s="5130"/>
      <c r="L163" s="5130"/>
      <c r="M163" s="5138"/>
      <c r="N163" s="5138"/>
      <c r="O163" s="5138"/>
      <c r="P163" s="5130"/>
      <c r="Q163" s="5130"/>
      <c r="R163" s="5128"/>
      <c r="S163" s="3744"/>
      <c r="T163" s="3719"/>
      <c r="U163" s="3718"/>
      <c r="V163" s="2681"/>
      <c r="W163" s="2630"/>
      <c r="X163" s="532"/>
      <c r="Y163" s="3561"/>
      <c r="Z163" s="3561"/>
      <c r="AA163" s="3561"/>
      <c r="AB163" s="3562"/>
      <c r="AC163" s="532"/>
      <c r="AD163" s="533"/>
      <c r="AE163" s="533"/>
      <c r="AF163" s="5051"/>
    </row>
    <row r="164" spans="1:32" ht="54" customHeight="1">
      <c r="A164" s="4564"/>
      <c r="B164" s="4570"/>
      <c r="C164" s="5145"/>
      <c r="D164" s="5130"/>
      <c r="E164" s="5130"/>
      <c r="F164" s="5130"/>
      <c r="G164" s="5130"/>
      <c r="H164" s="5130"/>
      <c r="I164" s="5130"/>
      <c r="J164" s="5130"/>
      <c r="K164" s="5130"/>
      <c r="L164" s="5130"/>
      <c r="M164" s="5138"/>
      <c r="N164" s="5138"/>
      <c r="O164" s="5138"/>
      <c r="P164" s="5130"/>
      <c r="Q164" s="5130"/>
      <c r="R164" s="5128"/>
      <c r="S164" s="3745"/>
      <c r="T164" s="3729"/>
      <c r="U164" s="1779"/>
      <c r="V164" s="2686"/>
      <c r="W164" s="1781"/>
      <c r="X164" s="1782"/>
      <c r="Y164" s="1783"/>
      <c r="Z164" s="1783"/>
      <c r="AA164" s="1783"/>
      <c r="AB164" s="3602"/>
      <c r="AC164" s="1782"/>
      <c r="AD164" s="3572"/>
      <c r="AE164" s="3572"/>
      <c r="AF164" s="5085"/>
    </row>
    <row r="165" spans="1:32" ht="43.5" customHeight="1">
      <c r="A165" s="4564"/>
      <c r="B165" s="4570"/>
      <c r="C165" s="5144" t="s">
        <v>235</v>
      </c>
      <c r="D165" s="5129" t="s">
        <v>236</v>
      </c>
      <c r="E165" s="5129" t="s">
        <v>237</v>
      </c>
      <c r="F165" s="5129" t="s">
        <v>326</v>
      </c>
      <c r="G165" s="5131" t="s">
        <v>239</v>
      </c>
      <c r="H165" s="5129" t="s">
        <v>240</v>
      </c>
      <c r="I165" s="5129" t="s">
        <v>257</v>
      </c>
      <c r="J165" s="5135" t="s">
        <v>5554</v>
      </c>
      <c r="K165" s="5129" t="s">
        <v>1179</v>
      </c>
      <c r="L165" s="5129" t="s">
        <v>1180</v>
      </c>
      <c r="M165" s="5142">
        <v>1</v>
      </c>
      <c r="N165" s="5142">
        <v>1</v>
      </c>
      <c r="O165" s="5142">
        <v>1</v>
      </c>
      <c r="P165" s="5129" t="s">
        <v>5458</v>
      </c>
      <c r="Q165" s="5129" t="s">
        <v>5391</v>
      </c>
      <c r="R165" s="5125" t="s">
        <v>5353</v>
      </c>
      <c r="S165" s="3749"/>
      <c r="T165" s="3725"/>
      <c r="U165" s="3725"/>
      <c r="V165" s="3530"/>
      <c r="W165" s="2633"/>
      <c r="X165" s="1967"/>
      <c r="Y165" s="3565"/>
      <c r="Z165" s="3565"/>
      <c r="AA165" s="3565"/>
      <c r="AB165" s="3566"/>
      <c r="AC165" s="1967"/>
      <c r="AD165" s="1971"/>
      <c r="AE165" s="1971"/>
      <c r="AF165" s="5155"/>
    </row>
    <row r="166" spans="1:32" ht="43.5" customHeight="1">
      <c r="A166" s="4564"/>
      <c r="B166" s="4570"/>
      <c r="C166" s="5145"/>
      <c r="D166" s="5130"/>
      <c r="E166" s="5130"/>
      <c r="F166" s="5130"/>
      <c r="G166" s="5130"/>
      <c r="H166" s="5130"/>
      <c r="I166" s="5130"/>
      <c r="J166" s="5130"/>
      <c r="K166" s="5130"/>
      <c r="L166" s="5130"/>
      <c r="M166" s="5138"/>
      <c r="N166" s="5138"/>
      <c r="O166" s="5138"/>
      <c r="P166" s="5130"/>
      <c r="Q166" s="5130"/>
      <c r="R166" s="5128"/>
      <c r="S166" s="3744"/>
      <c r="T166" s="3719"/>
      <c r="U166" s="3718"/>
      <c r="V166" s="2681"/>
      <c r="W166" s="2630"/>
      <c r="X166" s="532"/>
      <c r="Y166" s="3561"/>
      <c r="Z166" s="3561"/>
      <c r="AA166" s="3561"/>
      <c r="AB166" s="3562"/>
      <c r="AC166" s="532"/>
      <c r="AD166" s="533"/>
      <c r="AE166" s="533"/>
      <c r="AF166" s="5051"/>
    </row>
    <row r="167" spans="1:32" ht="43.5" customHeight="1">
      <c r="A167" s="4564"/>
      <c r="B167" s="4570"/>
      <c r="C167" s="5145"/>
      <c r="D167" s="5130"/>
      <c r="E167" s="5130"/>
      <c r="F167" s="5130"/>
      <c r="G167" s="5130"/>
      <c r="H167" s="5130"/>
      <c r="I167" s="5130"/>
      <c r="J167" s="5130"/>
      <c r="K167" s="5130"/>
      <c r="L167" s="5130"/>
      <c r="M167" s="5138"/>
      <c r="N167" s="5138"/>
      <c r="O167" s="5138"/>
      <c r="P167" s="5130"/>
      <c r="Q167" s="5130"/>
      <c r="R167" s="5128"/>
      <c r="S167" s="3744"/>
      <c r="T167" s="3719"/>
      <c r="U167" s="3718"/>
      <c r="V167" s="2681"/>
      <c r="W167" s="2630"/>
      <c r="X167" s="532"/>
      <c r="Y167" s="3561"/>
      <c r="Z167" s="3561"/>
      <c r="AA167" s="3561"/>
      <c r="AB167" s="3562"/>
      <c r="AC167" s="532"/>
      <c r="AD167" s="533"/>
      <c r="AE167" s="533"/>
      <c r="AF167" s="5051"/>
    </row>
    <row r="168" spans="1:32" ht="43.5" customHeight="1">
      <c r="A168" s="4564"/>
      <c r="B168" s="4570"/>
      <c r="C168" s="5145"/>
      <c r="D168" s="5130"/>
      <c r="E168" s="5130"/>
      <c r="F168" s="5130"/>
      <c r="G168" s="5130"/>
      <c r="H168" s="5130"/>
      <c r="I168" s="5130"/>
      <c r="J168" s="5130"/>
      <c r="K168" s="5130"/>
      <c r="L168" s="5130"/>
      <c r="M168" s="5138"/>
      <c r="N168" s="5138"/>
      <c r="O168" s="5138"/>
      <c r="P168" s="5130"/>
      <c r="Q168" s="5130"/>
      <c r="R168" s="5128"/>
      <c r="S168" s="3744"/>
      <c r="T168" s="3719"/>
      <c r="U168" s="3718"/>
      <c r="V168" s="2681"/>
      <c r="W168" s="2630"/>
      <c r="X168" s="532"/>
      <c r="Y168" s="3561"/>
      <c r="Z168" s="3561"/>
      <c r="AA168" s="3561"/>
      <c r="AB168" s="3562"/>
      <c r="AC168" s="532"/>
      <c r="AD168" s="533"/>
      <c r="AE168" s="533"/>
      <c r="AF168" s="5051"/>
    </row>
    <row r="169" spans="1:32" ht="43.5" customHeight="1">
      <c r="A169" s="4564"/>
      <c r="B169" s="4570"/>
      <c r="C169" s="5145"/>
      <c r="D169" s="5130"/>
      <c r="E169" s="5130"/>
      <c r="F169" s="5130"/>
      <c r="G169" s="5130"/>
      <c r="H169" s="5130"/>
      <c r="I169" s="5130"/>
      <c r="J169" s="5130"/>
      <c r="K169" s="5130"/>
      <c r="L169" s="5130"/>
      <c r="M169" s="5138"/>
      <c r="N169" s="5138"/>
      <c r="O169" s="5138"/>
      <c r="P169" s="5130"/>
      <c r="Q169" s="5130"/>
      <c r="R169" s="5153"/>
      <c r="S169" s="3750"/>
      <c r="T169" s="3733"/>
      <c r="U169" s="3720"/>
      <c r="V169" s="2682"/>
      <c r="W169" s="2631"/>
      <c r="X169" s="575"/>
      <c r="Y169" s="3603"/>
      <c r="Z169" s="3603"/>
      <c r="AA169" s="3603"/>
      <c r="AB169" s="3604"/>
      <c r="AC169" s="575"/>
      <c r="AD169" s="321"/>
      <c r="AE169" s="321"/>
      <c r="AF169" s="5051"/>
    </row>
    <row r="170" spans="1:32" ht="53.25" customHeight="1">
      <c r="A170" s="4564"/>
      <c r="B170" s="4570"/>
      <c r="C170" s="5144" t="s">
        <v>235</v>
      </c>
      <c r="D170" s="5129" t="s">
        <v>236</v>
      </c>
      <c r="E170" s="5129" t="s">
        <v>237</v>
      </c>
      <c r="F170" s="5129" t="s">
        <v>326</v>
      </c>
      <c r="G170" s="5131" t="s">
        <v>239</v>
      </c>
      <c r="H170" s="5129" t="s">
        <v>240</v>
      </c>
      <c r="I170" s="5129" t="s">
        <v>257</v>
      </c>
      <c r="J170" s="5135" t="s">
        <v>5538</v>
      </c>
      <c r="K170" s="5129" t="s">
        <v>1181</v>
      </c>
      <c r="L170" s="5129" t="s">
        <v>5504</v>
      </c>
      <c r="M170" s="5142">
        <v>1</v>
      </c>
      <c r="N170" s="5142">
        <v>1</v>
      </c>
      <c r="O170" s="5142">
        <v>1</v>
      </c>
      <c r="P170" s="5129" t="s">
        <v>5457</v>
      </c>
      <c r="Q170" s="5129" t="s">
        <v>5392</v>
      </c>
      <c r="R170" s="5132" t="s">
        <v>5352</v>
      </c>
      <c r="S170" s="3743"/>
      <c r="T170" s="3721"/>
      <c r="U170" s="3721"/>
      <c r="V170" s="3575"/>
      <c r="W170" s="3576"/>
      <c r="X170" s="3580"/>
      <c r="Y170" s="3607"/>
      <c r="Z170" s="3607"/>
      <c r="AA170" s="3607"/>
      <c r="AB170" s="3608"/>
      <c r="AC170" s="3580"/>
      <c r="AD170" s="3582"/>
      <c r="AE170" s="3582"/>
      <c r="AF170" s="5154"/>
    </row>
    <row r="171" spans="1:32" ht="53.25" customHeight="1">
      <c r="A171" s="4564"/>
      <c r="B171" s="4570"/>
      <c r="C171" s="5145"/>
      <c r="D171" s="5130"/>
      <c r="E171" s="5130"/>
      <c r="F171" s="5130"/>
      <c r="G171" s="5130"/>
      <c r="H171" s="5130"/>
      <c r="I171" s="5130"/>
      <c r="J171" s="5130"/>
      <c r="K171" s="5130"/>
      <c r="L171" s="5130"/>
      <c r="M171" s="5138"/>
      <c r="N171" s="5138"/>
      <c r="O171" s="5138"/>
      <c r="P171" s="5130"/>
      <c r="Q171" s="5130"/>
      <c r="R171" s="5128"/>
      <c r="S171" s="3744"/>
      <c r="T171" s="3719"/>
      <c r="U171" s="3718"/>
      <c r="V171" s="2681"/>
      <c r="W171" s="2630"/>
      <c r="X171" s="532"/>
      <c r="Y171" s="3561"/>
      <c r="Z171" s="3561"/>
      <c r="AA171" s="3561"/>
      <c r="AB171" s="3562"/>
      <c r="AC171" s="532"/>
      <c r="AD171" s="533"/>
      <c r="AE171" s="533"/>
      <c r="AF171" s="5051"/>
    </row>
    <row r="172" spans="1:32" ht="53.25" customHeight="1">
      <c r="A172" s="4564"/>
      <c r="B172" s="4570"/>
      <c r="C172" s="5145"/>
      <c r="D172" s="5130"/>
      <c r="E172" s="5130"/>
      <c r="F172" s="5130"/>
      <c r="G172" s="5130"/>
      <c r="H172" s="5130"/>
      <c r="I172" s="5130"/>
      <c r="J172" s="5130"/>
      <c r="K172" s="5130"/>
      <c r="L172" s="5130"/>
      <c r="M172" s="5138"/>
      <c r="N172" s="5138"/>
      <c r="O172" s="5138"/>
      <c r="P172" s="5130"/>
      <c r="Q172" s="5130"/>
      <c r="R172" s="5128"/>
      <c r="S172" s="3744"/>
      <c r="T172" s="3719"/>
      <c r="U172" s="3718"/>
      <c r="V172" s="2681"/>
      <c r="W172" s="2630"/>
      <c r="X172" s="532"/>
      <c r="Y172" s="3561"/>
      <c r="Z172" s="3561"/>
      <c r="AA172" s="3561"/>
      <c r="AB172" s="3562"/>
      <c r="AC172" s="532"/>
      <c r="AD172" s="533"/>
      <c r="AE172" s="533"/>
      <c r="AF172" s="5051"/>
    </row>
    <row r="173" spans="1:32" ht="53.25" customHeight="1">
      <c r="A173" s="4564"/>
      <c r="B173" s="4570"/>
      <c r="C173" s="5145"/>
      <c r="D173" s="5130"/>
      <c r="E173" s="5130"/>
      <c r="F173" s="5130"/>
      <c r="G173" s="5130"/>
      <c r="H173" s="5130"/>
      <c r="I173" s="5130"/>
      <c r="J173" s="5130"/>
      <c r="K173" s="5130"/>
      <c r="L173" s="5130"/>
      <c r="M173" s="5138"/>
      <c r="N173" s="5138"/>
      <c r="O173" s="5138"/>
      <c r="P173" s="5130"/>
      <c r="Q173" s="5130"/>
      <c r="R173" s="5128"/>
      <c r="S173" s="3744"/>
      <c r="T173" s="3719"/>
      <c r="U173" s="3718"/>
      <c r="V173" s="2681"/>
      <c r="W173" s="2630"/>
      <c r="X173" s="532"/>
      <c r="Y173" s="3561"/>
      <c r="Z173" s="3561"/>
      <c r="AA173" s="3561"/>
      <c r="AB173" s="3562"/>
      <c r="AC173" s="532"/>
      <c r="AD173" s="533"/>
      <c r="AE173" s="533"/>
      <c r="AF173" s="5051"/>
    </row>
    <row r="174" spans="1:32" ht="53.25" customHeight="1">
      <c r="A174" s="4564"/>
      <c r="B174" s="4570"/>
      <c r="C174" s="5145"/>
      <c r="D174" s="5130"/>
      <c r="E174" s="5130"/>
      <c r="F174" s="5130"/>
      <c r="G174" s="5130"/>
      <c r="H174" s="5130"/>
      <c r="I174" s="5130"/>
      <c r="J174" s="5130"/>
      <c r="K174" s="5130"/>
      <c r="L174" s="5130"/>
      <c r="M174" s="5138"/>
      <c r="N174" s="5138"/>
      <c r="O174" s="5138"/>
      <c r="P174" s="5130"/>
      <c r="Q174" s="5130"/>
      <c r="R174" s="5128"/>
      <c r="S174" s="3745"/>
      <c r="T174" s="3729"/>
      <c r="U174" s="1779"/>
      <c r="V174" s="2686"/>
      <c r="W174" s="1781"/>
      <c r="X174" s="1782"/>
      <c r="Y174" s="1783"/>
      <c r="Z174" s="1783"/>
      <c r="AA174" s="1783"/>
      <c r="AB174" s="3602"/>
      <c r="AC174" s="1782"/>
      <c r="AD174" s="3572"/>
      <c r="AE174" s="3572"/>
      <c r="AF174" s="5085"/>
    </row>
    <row r="175" spans="1:32" ht="30.75" customHeight="1">
      <c r="A175" s="4564"/>
      <c r="B175" s="4570"/>
      <c r="C175" s="5144" t="s">
        <v>235</v>
      </c>
      <c r="D175" s="5129" t="s">
        <v>236</v>
      </c>
      <c r="E175" s="5129" t="s">
        <v>237</v>
      </c>
      <c r="F175" s="5129" t="s">
        <v>326</v>
      </c>
      <c r="G175" s="5131" t="s">
        <v>239</v>
      </c>
      <c r="H175" s="5129" t="s">
        <v>240</v>
      </c>
      <c r="I175" s="5129" t="s">
        <v>257</v>
      </c>
      <c r="J175" s="5135" t="s">
        <v>5555</v>
      </c>
      <c r="K175" s="5129" t="s">
        <v>338</v>
      </c>
      <c r="L175" s="5129" t="s">
        <v>1182</v>
      </c>
      <c r="M175" s="5142">
        <v>0</v>
      </c>
      <c r="N175" s="5142">
        <v>1</v>
      </c>
      <c r="O175" s="5142">
        <v>1</v>
      </c>
      <c r="P175" s="5129" t="s">
        <v>5456</v>
      </c>
      <c r="Q175" s="5129" t="s">
        <v>5393</v>
      </c>
      <c r="R175" s="5132" t="s">
        <v>5354</v>
      </c>
      <c r="S175" s="3743"/>
      <c r="T175" s="3721"/>
      <c r="U175" s="3721"/>
      <c r="V175" s="3575"/>
      <c r="W175" s="3576"/>
      <c r="X175" s="3580"/>
      <c r="Y175" s="3607"/>
      <c r="Z175" s="3607"/>
      <c r="AA175" s="3607"/>
      <c r="AB175" s="3608"/>
      <c r="AC175" s="3580"/>
      <c r="AD175" s="3582"/>
      <c r="AE175" s="3582"/>
      <c r="AF175" s="5154"/>
    </row>
    <row r="176" spans="1:32" ht="30.75" customHeight="1">
      <c r="A176" s="4564"/>
      <c r="B176" s="4570"/>
      <c r="C176" s="5145"/>
      <c r="D176" s="5130"/>
      <c r="E176" s="5130"/>
      <c r="F176" s="5130"/>
      <c r="G176" s="5130"/>
      <c r="H176" s="5130"/>
      <c r="I176" s="5130"/>
      <c r="J176" s="5130"/>
      <c r="K176" s="5130"/>
      <c r="L176" s="5130"/>
      <c r="M176" s="5138"/>
      <c r="N176" s="5138"/>
      <c r="O176" s="5138"/>
      <c r="P176" s="5130"/>
      <c r="Q176" s="5130"/>
      <c r="R176" s="5128"/>
      <c r="S176" s="3744"/>
      <c r="T176" s="3719"/>
      <c r="U176" s="3718"/>
      <c r="V176" s="2681"/>
      <c r="W176" s="2630"/>
      <c r="X176" s="532"/>
      <c r="Y176" s="3561"/>
      <c r="Z176" s="3561"/>
      <c r="AA176" s="3561"/>
      <c r="AB176" s="3562"/>
      <c r="AC176" s="532"/>
      <c r="AD176" s="533"/>
      <c r="AE176" s="533"/>
      <c r="AF176" s="5051"/>
    </row>
    <row r="177" spans="1:32" ht="30.75" customHeight="1">
      <c r="A177" s="4564"/>
      <c r="B177" s="4570"/>
      <c r="C177" s="5145"/>
      <c r="D177" s="5130"/>
      <c r="E177" s="5130"/>
      <c r="F177" s="5130"/>
      <c r="G177" s="5130"/>
      <c r="H177" s="5130"/>
      <c r="I177" s="5130"/>
      <c r="J177" s="5130"/>
      <c r="K177" s="5130"/>
      <c r="L177" s="5130"/>
      <c r="M177" s="5138"/>
      <c r="N177" s="5138"/>
      <c r="O177" s="5138"/>
      <c r="P177" s="5130"/>
      <c r="Q177" s="5130"/>
      <c r="R177" s="5128"/>
      <c r="S177" s="3744"/>
      <c r="T177" s="3719"/>
      <c r="U177" s="3718"/>
      <c r="V177" s="2681"/>
      <c r="W177" s="2630"/>
      <c r="X177" s="532"/>
      <c r="Y177" s="3561"/>
      <c r="Z177" s="3561"/>
      <c r="AA177" s="3561"/>
      <c r="AB177" s="3562"/>
      <c r="AC177" s="532"/>
      <c r="AD177" s="533"/>
      <c r="AE177" s="533"/>
      <c r="AF177" s="5051"/>
    </row>
    <row r="178" spans="1:32" ht="30.75" customHeight="1">
      <c r="A178" s="4564"/>
      <c r="B178" s="4570"/>
      <c r="C178" s="5145"/>
      <c r="D178" s="5130"/>
      <c r="E178" s="5130"/>
      <c r="F178" s="5130"/>
      <c r="G178" s="5130"/>
      <c r="H178" s="5130"/>
      <c r="I178" s="5130"/>
      <c r="J178" s="5130"/>
      <c r="K178" s="5130"/>
      <c r="L178" s="5130"/>
      <c r="M178" s="5138"/>
      <c r="N178" s="5138"/>
      <c r="O178" s="5138"/>
      <c r="P178" s="5130"/>
      <c r="Q178" s="5130"/>
      <c r="R178" s="5128"/>
      <c r="S178" s="3744"/>
      <c r="T178" s="3719"/>
      <c r="U178" s="3718"/>
      <c r="V178" s="2681"/>
      <c r="W178" s="2630"/>
      <c r="X178" s="532"/>
      <c r="Y178" s="3561"/>
      <c r="Z178" s="3561"/>
      <c r="AA178" s="3561"/>
      <c r="AB178" s="3562"/>
      <c r="AC178" s="532"/>
      <c r="AD178" s="533"/>
      <c r="AE178" s="533"/>
      <c r="AF178" s="5051"/>
    </row>
    <row r="179" spans="1:32" ht="30.75" customHeight="1">
      <c r="A179" s="4564"/>
      <c r="B179" s="4570"/>
      <c r="C179" s="5145"/>
      <c r="D179" s="5130"/>
      <c r="E179" s="5130"/>
      <c r="F179" s="5130"/>
      <c r="G179" s="5130"/>
      <c r="H179" s="5130"/>
      <c r="I179" s="5130"/>
      <c r="J179" s="5130"/>
      <c r="K179" s="5130"/>
      <c r="L179" s="5130"/>
      <c r="M179" s="5138"/>
      <c r="N179" s="5138"/>
      <c r="O179" s="5138"/>
      <c r="P179" s="5130"/>
      <c r="Q179" s="5130"/>
      <c r="R179" s="5128"/>
      <c r="S179" s="3745"/>
      <c r="T179" s="3729"/>
      <c r="U179" s="1779"/>
      <c r="V179" s="2686"/>
      <c r="W179" s="1781"/>
      <c r="X179" s="1782"/>
      <c r="Y179" s="1783"/>
      <c r="Z179" s="1783"/>
      <c r="AA179" s="1783"/>
      <c r="AB179" s="3602"/>
      <c r="AC179" s="1782"/>
      <c r="AD179" s="3572"/>
      <c r="AE179" s="3572"/>
      <c r="AF179" s="5085"/>
    </row>
    <row r="180" spans="1:32" ht="51.75" customHeight="1">
      <c r="A180" s="4564"/>
      <c r="B180" s="4570"/>
      <c r="C180" s="5144" t="s">
        <v>235</v>
      </c>
      <c r="D180" s="5129" t="s">
        <v>236</v>
      </c>
      <c r="E180" s="5129" t="s">
        <v>237</v>
      </c>
      <c r="F180" s="5129" t="s">
        <v>326</v>
      </c>
      <c r="G180" s="5131" t="s">
        <v>239</v>
      </c>
      <c r="H180" s="5129" t="s">
        <v>240</v>
      </c>
      <c r="I180" s="5129" t="s">
        <v>257</v>
      </c>
      <c r="J180" s="5135" t="s">
        <v>4151</v>
      </c>
      <c r="K180" s="5129" t="s">
        <v>371</v>
      </c>
      <c r="L180" s="5129" t="s">
        <v>1183</v>
      </c>
      <c r="M180" s="5142">
        <v>2</v>
      </c>
      <c r="N180" s="5142">
        <v>1</v>
      </c>
      <c r="O180" s="5142">
        <v>1</v>
      </c>
      <c r="P180" s="5129" t="s">
        <v>5455</v>
      </c>
      <c r="Q180" s="5129" t="s">
        <v>4252</v>
      </c>
      <c r="R180" s="5125" t="s">
        <v>5355</v>
      </c>
      <c r="S180" s="3749"/>
      <c r="T180" s="3725"/>
      <c r="U180" s="3725"/>
      <c r="V180" s="3530"/>
      <c r="W180" s="2633"/>
      <c r="X180" s="1967"/>
      <c r="Y180" s="3565"/>
      <c r="Z180" s="3565"/>
      <c r="AA180" s="3565"/>
      <c r="AB180" s="3566"/>
      <c r="AC180" s="1967"/>
      <c r="AD180" s="1971"/>
      <c r="AE180" s="1971"/>
      <c r="AF180" s="5155"/>
    </row>
    <row r="181" spans="1:32" ht="51.75" customHeight="1">
      <c r="A181" s="4564"/>
      <c r="B181" s="4570"/>
      <c r="C181" s="5145"/>
      <c r="D181" s="5130"/>
      <c r="E181" s="5130"/>
      <c r="F181" s="5130"/>
      <c r="G181" s="5130"/>
      <c r="H181" s="5130"/>
      <c r="I181" s="5130"/>
      <c r="J181" s="5130"/>
      <c r="K181" s="5130"/>
      <c r="L181" s="5130"/>
      <c r="M181" s="5138"/>
      <c r="N181" s="5138"/>
      <c r="O181" s="5138"/>
      <c r="P181" s="5130"/>
      <c r="Q181" s="5130"/>
      <c r="R181" s="5128"/>
      <c r="S181" s="3744"/>
      <c r="T181" s="3719"/>
      <c r="U181" s="3718"/>
      <c r="V181" s="2681"/>
      <c r="W181" s="2630"/>
      <c r="X181" s="532"/>
      <c r="Y181" s="3561"/>
      <c r="Z181" s="3561"/>
      <c r="AA181" s="3561"/>
      <c r="AB181" s="3562"/>
      <c r="AC181" s="532"/>
      <c r="AD181" s="533"/>
      <c r="AE181" s="533"/>
      <c r="AF181" s="5051"/>
    </row>
    <row r="182" spans="1:32" ht="51.75" customHeight="1">
      <c r="A182" s="4564"/>
      <c r="B182" s="4570"/>
      <c r="C182" s="5145"/>
      <c r="D182" s="5130"/>
      <c r="E182" s="5130"/>
      <c r="F182" s="5130"/>
      <c r="G182" s="5130"/>
      <c r="H182" s="5130"/>
      <c r="I182" s="5130"/>
      <c r="J182" s="5130"/>
      <c r="K182" s="5130"/>
      <c r="L182" s="5130"/>
      <c r="M182" s="5138"/>
      <c r="N182" s="5138"/>
      <c r="O182" s="5138"/>
      <c r="P182" s="5130"/>
      <c r="Q182" s="5130"/>
      <c r="R182" s="5128"/>
      <c r="S182" s="3744"/>
      <c r="T182" s="3719"/>
      <c r="U182" s="3718"/>
      <c r="V182" s="2681"/>
      <c r="W182" s="2630"/>
      <c r="X182" s="532"/>
      <c r="Y182" s="3561"/>
      <c r="Z182" s="3561"/>
      <c r="AA182" s="3561"/>
      <c r="AB182" s="3562"/>
      <c r="AC182" s="532"/>
      <c r="AD182" s="533"/>
      <c r="AE182" s="533"/>
      <c r="AF182" s="5051"/>
    </row>
    <row r="183" spans="1:32" ht="51.75" customHeight="1">
      <c r="A183" s="4564"/>
      <c r="B183" s="4570"/>
      <c r="C183" s="5145"/>
      <c r="D183" s="5130"/>
      <c r="E183" s="5130"/>
      <c r="F183" s="5130"/>
      <c r="G183" s="5130"/>
      <c r="H183" s="5130"/>
      <c r="I183" s="5130"/>
      <c r="J183" s="5130"/>
      <c r="K183" s="5130"/>
      <c r="L183" s="5130"/>
      <c r="M183" s="5138"/>
      <c r="N183" s="5138"/>
      <c r="O183" s="5138"/>
      <c r="P183" s="5130"/>
      <c r="Q183" s="5130"/>
      <c r="R183" s="5128"/>
      <c r="S183" s="3744"/>
      <c r="T183" s="3719"/>
      <c r="U183" s="3718"/>
      <c r="V183" s="2681"/>
      <c r="W183" s="2630"/>
      <c r="X183" s="532"/>
      <c r="Y183" s="3561"/>
      <c r="Z183" s="3561"/>
      <c r="AA183" s="3561"/>
      <c r="AB183" s="3562"/>
      <c r="AC183" s="532"/>
      <c r="AD183" s="533"/>
      <c r="AE183" s="533"/>
      <c r="AF183" s="5051"/>
    </row>
    <row r="184" spans="1:32" ht="51.75" customHeight="1" thickBot="1">
      <c r="A184" s="4564"/>
      <c r="B184" s="4570"/>
      <c r="C184" s="5146"/>
      <c r="D184" s="5136"/>
      <c r="E184" s="5136"/>
      <c r="F184" s="5136"/>
      <c r="G184" s="5136"/>
      <c r="H184" s="5136"/>
      <c r="I184" s="5136"/>
      <c r="J184" s="5136"/>
      <c r="K184" s="5136"/>
      <c r="L184" s="5136"/>
      <c r="M184" s="5139"/>
      <c r="N184" s="5139"/>
      <c r="O184" s="5139"/>
      <c r="P184" s="5136"/>
      <c r="Q184" s="5136"/>
      <c r="R184" s="5141"/>
      <c r="S184" s="3751"/>
      <c r="T184" s="3734"/>
      <c r="U184" s="3726"/>
      <c r="V184" s="3532"/>
      <c r="W184" s="2642"/>
      <c r="X184" s="578"/>
      <c r="Y184" s="3563"/>
      <c r="Z184" s="3563"/>
      <c r="AA184" s="3563"/>
      <c r="AB184" s="3564"/>
      <c r="AC184" s="578"/>
      <c r="AD184" s="341"/>
      <c r="AE184" s="341"/>
      <c r="AF184" s="5087"/>
    </row>
    <row r="185" spans="1:32" ht="22.5" customHeight="1" thickBot="1">
      <c r="A185" s="4564"/>
      <c r="B185" s="4479"/>
      <c r="C185" s="3648"/>
      <c r="D185" s="3646"/>
      <c r="E185" s="3646"/>
      <c r="F185" s="3646"/>
      <c r="G185" s="3646"/>
      <c r="H185" s="3646"/>
      <c r="I185" s="3646"/>
      <c r="J185" s="3646"/>
      <c r="K185" s="3646"/>
      <c r="L185" s="3646"/>
      <c r="M185" s="3653"/>
      <c r="N185" s="3653"/>
      <c r="O185" s="3653"/>
      <c r="P185" s="3651"/>
      <c r="Q185" s="3651"/>
      <c r="R185" s="3652"/>
      <c r="S185" s="5108" t="s">
        <v>1184</v>
      </c>
      <c r="T185" s="5109"/>
      <c r="U185" s="5109"/>
      <c r="V185" s="5109"/>
      <c r="W185" s="5109"/>
      <c r="X185" s="5109"/>
      <c r="Y185" s="5109"/>
      <c r="Z185" s="5109"/>
      <c r="AA185" s="2232" t="s">
        <v>340</v>
      </c>
      <c r="AB185" s="2233">
        <f>SUM(AB124:AB184)</f>
        <v>426.72</v>
      </c>
      <c r="AC185" s="5162"/>
      <c r="AD185" s="5113"/>
      <c r="AE185" s="5113"/>
      <c r="AF185" s="5114"/>
    </row>
    <row r="186" spans="1:32" ht="32.25" customHeight="1">
      <c r="A186" s="4564"/>
      <c r="B186" s="4571" t="s">
        <v>1185</v>
      </c>
      <c r="C186" s="5147" t="s">
        <v>235</v>
      </c>
      <c r="D186" s="5148" t="s">
        <v>236</v>
      </c>
      <c r="E186" s="5148" t="s">
        <v>237</v>
      </c>
      <c r="F186" s="5148" t="s">
        <v>373</v>
      </c>
      <c r="G186" s="5164" t="s">
        <v>239</v>
      </c>
      <c r="H186" s="5148" t="s">
        <v>256</v>
      </c>
      <c r="I186" s="5148" t="s">
        <v>257</v>
      </c>
      <c r="J186" s="5164" t="s">
        <v>5556</v>
      </c>
      <c r="K186" s="5148" t="s">
        <v>1186</v>
      </c>
      <c r="L186" s="5148" t="s">
        <v>1187</v>
      </c>
      <c r="M186" s="5160">
        <v>1</v>
      </c>
      <c r="N186" s="5160">
        <v>0</v>
      </c>
      <c r="O186" s="5160">
        <v>0</v>
      </c>
      <c r="P186" s="5148" t="s">
        <v>5454</v>
      </c>
      <c r="Q186" s="5148" t="s">
        <v>5394</v>
      </c>
      <c r="R186" s="5165" t="s">
        <v>5356</v>
      </c>
      <c r="S186" s="3755" t="s">
        <v>11</v>
      </c>
      <c r="T186" s="3717">
        <v>530612</v>
      </c>
      <c r="U186" s="3717"/>
      <c r="V186" s="3715" t="s">
        <v>66</v>
      </c>
      <c r="W186" s="3700"/>
      <c r="X186" s="576"/>
      <c r="Y186" s="3559"/>
      <c r="Z186" s="3559"/>
      <c r="AA186" s="3559"/>
      <c r="AB186" s="3560">
        <f>SUM($AA$187:$AA$189)</f>
        <v>96884.726799999975</v>
      </c>
      <c r="AC186" s="577"/>
      <c r="AD186" s="320"/>
      <c r="AE186" s="320"/>
      <c r="AF186" s="5159"/>
    </row>
    <row r="187" spans="1:32" ht="32.25" customHeight="1">
      <c r="A187" s="4564"/>
      <c r="B187" s="4570"/>
      <c r="C187" s="5145"/>
      <c r="D187" s="5130"/>
      <c r="E187" s="5130"/>
      <c r="F187" s="5130"/>
      <c r="G187" s="5130"/>
      <c r="H187" s="5130"/>
      <c r="I187" s="5130"/>
      <c r="J187" s="5130"/>
      <c r="K187" s="5130"/>
      <c r="L187" s="5130"/>
      <c r="M187" s="5138"/>
      <c r="N187" s="5138"/>
      <c r="O187" s="5138"/>
      <c r="P187" s="5130"/>
      <c r="Q187" s="5130"/>
      <c r="R187" s="5128"/>
      <c r="S187" s="3744"/>
      <c r="T187" s="3719"/>
      <c r="U187" s="3719"/>
      <c r="V187" s="2684" t="s">
        <v>1188</v>
      </c>
      <c r="W187" s="2630">
        <v>1</v>
      </c>
      <c r="X187" s="532" t="s">
        <v>269</v>
      </c>
      <c r="Y187" s="3561">
        <v>5357.14</v>
      </c>
      <c r="Z187" s="3561">
        <f>+W187*Y187</f>
        <v>5357.14</v>
      </c>
      <c r="AA187" s="3561">
        <f>+Z187*1.12</f>
        <v>5999.9968000000008</v>
      </c>
      <c r="AB187" s="3562"/>
      <c r="AC187" s="532" t="s">
        <v>251</v>
      </c>
      <c r="AD187" s="533"/>
      <c r="AE187" s="533"/>
      <c r="AF187" s="5051"/>
    </row>
    <row r="188" spans="1:32" ht="32.25" customHeight="1">
      <c r="A188" s="4564"/>
      <c r="B188" s="4570"/>
      <c r="C188" s="5145"/>
      <c r="D188" s="5130"/>
      <c r="E188" s="5130"/>
      <c r="F188" s="5130"/>
      <c r="G188" s="5130"/>
      <c r="H188" s="5130"/>
      <c r="I188" s="5130"/>
      <c r="J188" s="5130"/>
      <c r="K188" s="5130"/>
      <c r="L188" s="5130"/>
      <c r="M188" s="5138"/>
      <c r="N188" s="5138"/>
      <c r="O188" s="5138"/>
      <c r="P188" s="5130"/>
      <c r="Q188" s="5130"/>
      <c r="R188" s="5128"/>
      <c r="S188" s="3744"/>
      <c r="T188" s="3719"/>
      <c r="U188" s="3718"/>
      <c r="V188" s="2684" t="s">
        <v>1189</v>
      </c>
      <c r="W188" s="2638">
        <v>1</v>
      </c>
      <c r="X188" s="3679" t="s">
        <v>269</v>
      </c>
      <c r="Y188" s="3561">
        <f>1370884.73-Y90</f>
        <v>90884.729999999981</v>
      </c>
      <c r="Z188" s="3561"/>
      <c r="AA188" s="3561">
        <f>Y188</f>
        <v>90884.729999999981</v>
      </c>
      <c r="AB188" s="3562"/>
      <c r="AC188" s="3544" t="s">
        <v>251</v>
      </c>
      <c r="AD188" s="533"/>
      <c r="AE188" s="533"/>
      <c r="AF188" s="5051"/>
    </row>
    <row r="189" spans="1:32" ht="32.25" customHeight="1">
      <c r="A189" s="4564"/>
      <c r="B189" s="4570"/>
      <c r="C189" s="5145"/>
      <c r="D189" s="5130"/>
      <c r="E189" s="5130"/>
      <c r="F189" s="5130"/>
      <c r="G189" s="5130"/>
      <c r="H189" s="5130"/>
      <c r="I189" s="5130"/>
      <c r="J189" s="5130"/>
      <c r="K189" s="5130"/>
      <c r="L189" s="5130"/>
      <c r="M189" s="5138"/>
      <c r="N189" s="5138"/>
      <c r="O189" s="5138"/>
      <c r="P189" s="5130"/>
      <c r="Q189" s="5130"/>
      <c r="R189" s="5128"/>
      <c r="S189" s="3744"/>
      <c r="T189" s="3719"/>
      <c r="U189" s="3719"/>
      <c r="V189" s="2681"/>
      <c r="W189" s="2630"/>
      <c r="X189" s="532"/>
      <c r="Y189" s="3561"/>
      <c r="Z189" s="3561"/>
      <c r="AA189" s="3561"/>
      <c r="AB189" s="3562"/>
      <c r="AC189" s="532"/>
      <c r="AD189" s="533"/>
      <c r="AE189" s="533"/>
      <c r="AF189" s="5051"/>
    </row>
    <row r="190" spans="1:32" ht="32.25" customHeight="1">
      <c r="A190" s="4564"/>
      <c r="B190" s="4570"/>
      <c r="C190" s="5145"/>
      <c r="D190" s="5130"/>
      <c r="E190" s="5130"/>
      <c r="F190" s="5130"/>
      <c r="G190" s="5130"/>
      <c r="H190" s="5130"/>
      <c r="I190" s="5130"/>
      <c r="J190" s="5130"/>
      <c r="K190" s="5130"/>
      <c r="L190" s="5130"/>
      <c r="M190" s="5138"/>
      <c r="N190" s="5138"/>
      <c r="O190" s="5138"/>
      <c r="P190" s="5130"/>
      <c r="Q190" s="5130"/>
      <c r="R190" s="5153"/>
      <c r="S190" s="3750"/>
      <c r="T190" s="3733"/>
      <c r="U190" s="3720"/>
      <c r="V190" s="2682"/>
      <c r="W190" s="2631"/>
      <c r="X190" s="575"/>
      <c r="Y190" s="3603"/>
      <c r="Z190" s="3603"/>
      <c r="AA190" s="3603"/>
      <c r="AB190" s="3604"/>
      <c r="AC190" s="575"/>
      <c r="AD190" s="321"/>
      <c r="AE190" s="321"/>
      <c r="AF190" s="5051"/>
    </row>
    <row r="191" spans="1:32" ht="33" customHeight="1">
      <c r="A191" s="4564"/>
      <c r="B191" s="4570"/>
      <c r="C191" s="5144" t="s">
        <v>235</v>
      </c>
      <c r="D191" s="5129" t="s">
        <v>236</v>
      </c>
      <c r="E191" s="5129" t="s">
        <v>237</v>
      </c>
      <c r="F191" s="5129" t="s">
        <v>373</v>
      </c>
      <c r="G191" s="5131" t="s">
        <v>239</v>
      </c>
      <c r="H191" s="5129" t="s">
        <v>256</v>
      </c>
      <c r="I191" s="5129" t="s">
        <v>257</v>
      </c>
      <c r="J191" s="5129" t="s">
        <v>5557</v>
      </c>
      <c r="K191" s="5129" t="s">
        <v>1190</v>
      </c>
      <c r="L191" s="5129" t="s">
        <v>5505</v>
      </c>
      <c r="M191" s="5142">
        <v>0</v>
      </c>
      <c r="N191" s="5142">
        <v>2</v>
      </c>
      <c r="O191" s="5142">
        <v>2</v>
      </c>
      <c r="P191" s="5129" t="s">
        <v>5453</v>
      </c>
      <c r="Q191" s="5129" t="s">
        <v>5395</v>
      </c>
      <c r="R191" s="5132" t="s">
        <v>5356</v>
      </c>
      <c r="S191" s="3743"/>
      <c r="T191" s="3721"/>
      <c r="U191" s="3721"/>
      <c r="V191" s="3575"/>
      <c r="W191" s="3576"/>
      <c r="X191" s="3580"/>
      <c r="Y191" s="3607"/>
      <c r="Z191" s="3607"/>
      <c r="AA191" s="3607"/>
      <c r="AB191" s="3608"/>
      <c r="AC191" s="3580"/>
      <c r="AD191" s="3580"/>
      <c r="AE191" s="3580"/>
      <c r="AF191" s="5154"/>
    </row>
    <row r="192" spans="1:32" ht="33" customHeight="1">
      <c r="A192" s="4564"/>
      <c r="B192" s="4570"/>
      <c r="C192" s="5145"/>
      <c r="D192" s="5130"/>
      <c r="E192" s="5130"/>
      <c r="F192" s="5130"/>
      <c r="G192" s="5130"/>
      <c r="H192" s="5130"/>
      <c r="I192" s="5130"/>
      <c r="J192" s="5130"/>
      <c r="K192" s="5130"/>
      <c r="L192" s="5130"/>
      <c r="M192" s="5138"/>
      <c r="N192" s="5138"/>
      <c r="O192" s="5138"/>
      <c r="P192" s="5130"/>
      <c r="Q192" s="5130"/>
      <c r="R192" s="5128"/>
      <c r="S192" s="3744"/>
      <c r="T192" s="3719"/>
      <c r="U192" s="3718"/>
      <c r="V192" s="2681"/>
      <c r="W192" s="2630"/>
      <c r="X192" s="532"/>
      <c r="Y192" s="3561"/>
      <c r="Z192" s="3561"/>
      <c r="AA192" s="3561"/>
      <c r="AB192" s="3562"/>
      <c r="AC192" s="532"/>
      <c r="AD192" s="532"/>
      <c r="AE192" s="532"/>
      <c r="AF192" s="5051"/>
    </row>
    <row r="193" spans="1:32" ht="33" customHeight="1">
      <c r="A193" s="4564"/>
      <c r="B193" s="4570"/>
      <c r="C193" s="5145"/>
      <c r="D193" s="5130"/>
      <c r="E193" s="5130"/>
      <c r="F193" s="5130"/>
      <c r="G193" s="5130"/>
      <c r="H193" s="5130"/>
      <c r="I193" s="5130"/>
      <c r="J193" s="5130"/>
      <c r="K193" s="5130"/>
      <c r="L193" s="5130"/>
      <c r="M193" s="5138"/>
      <c r="N193" s="5138"/>
      <c r="O193" s="5138"/>
      <c r="P193" s="5130"/>
      <c r="Q193" s="5130"/>
      <c r="R193" s="5128"/>
      <c r="S193" s="3744"/>
      <c r="T193" s="3719"/>
      <c r="U193" s="3718"/>
      <c r="V193" s="2681"/>
      <c r="W193" s="2630"/>
      <c r="X193" s="532"/>
      <c r="Y193" s="3561"/>
      <c r="Z193" s="3561"/>
      <c r="AA193" s="3561"/>
      <c r="AB193" s="3562"/>
      <c r="AC193" s="532"/>
      <c r="AD193" s="532"/>
      <c r="AE193" s="533"/>
      <c r="AF193" s="5051"/>
    </row>
    <row r="194" spans="1:32" ht="33" customHeight="1">
      <c r="A194" s="4564"/>
      <c r="B194" s="4570"/>
      <c r="C194" s="5145"/>
      <c r="D194" s="5130"/>
      <c r="E194" s="5130"/>
      <c r="F194" s="5130"/>
      <c r="G194" s="5130"/>
      <c r="H194" s="5130"/>
      <c r="I194" s="5130"/>
      <c r="J194" s="5130"/>
      <c r="K194" s="5130"/>
      <c r="L194" s="5130"/>
      <c r="M194" s="5138"/>
      <c r="N194" s="5138"/>
      <c r="O194" s="5138"/>
      <c r="P194" s="5130"/>
      <c r="Q194" s="5130"/>
      <c r="R194" s="5128"/>
      <c r="S194" s="3744"/>
      <c r="T194" s="3719"/>
      <c r="U194" s="3718"/>
      <c r="V194" s="2681"/>
      <c r="W194" s="2630"/>
      <c r="X194" s="532"/>
      <c r="Y194" s="3561"/>
      <c r="Z194" s="3561"/>
      <c r="AA194" s="3561"/>
      <c r="AB194" s="3562"/>
      <c r="AC194" s="532"/>
      <c r="AD194" s="532"/>
      <c r="AE194" s="533"/>
      <c r="AF194" s="5051"/>
    </row>
    <row r="195" spans="1:32" ht="33" customHeight="1">
      <c r="A195" s="4564"/>
      <c r="B195" s="4570"/>
      <c r="C195" s="5145"/>
      <c r="D195" s="5130"/>
      <c r="E195" s="5130"/>
      <c r="F195" s="5130"/>
      <c r="G195" s="5130"/>
      <c r="H195" s="5130"/>
      <c r="I195" s="5130"/>
      <c r="J195" s="5130"/>
      <c r="K195" s="5130"/>
      <c r="L195" s="5130"/>
      <c r="M195" s="5138"/>
      <c r="N195" s="5138"/>
      <c r="O195" s="5138"/>
      <c r="P195" s="5130"/>
      <c r="Q195" s="5130"/>
      <c r="R195" s="5128"/>
      <c r="S195" s="3745"/>
      <c r="T195" s="3729"/>
      <c r="U195" s="1779"/>
      <c r="V195" s="2686"/>
      <c r="W195" s="1781"/>
      <c r="X195" s="1782"/>
      <c r="Y195" s="1783"/>
      <c r="Z195" s="1783"/>
      <c r="AA195" s="1783"/>
      <c r="AB195" s="3602"/>
      <c r="AC195" s="1782"/>
      <c r="AD195" s="1782"/>
      <c r="AE195" s="3572"/>
      <c r="AF195" s="5085"/>
    </row>
    <row r="196" spans="1:32" ht="30" customHeight="1">
      <c r="A196" s="4564"/>
      <c r="B196" s="4570"/>
      <c r="C196" s="5144" t="s">
        <v>235</v>
      </c>
      <c r="D196" s="5129" t="s">
        <v>236</v>
      </c>
      <c r="E196" s="5129" t="s">
        <v>237</v>
      </c>
      <c r="F196" s="5129" t="s">
        <v>373</v>
      </c>
      <c r="G196" s="5131" t="s">
        <v>239</v>
      </c>
      <c r="H196" s="5129" t="s">
        <v>256</v>
      </c>
      <c r="I196" s="5129" t="s">
        <v>257</v>
      </c>
      <c r="J196" s="5131" t="s">
        <v>5558</v>
      </c>
      <c r="K196" s="5129" t="s">
        <v>1191</v>
      </c>
      <c r="L196" s="5129" t="s">
        <v>1192</v>
      </c>
      <c r="M196" s="5142">
        <v>1</v>
      </c>
      <c r="N196" s="5142">
        <v>0</v>
      </c>
      <c r="O196" s="5142">
        <v>0</v>
      </c>
      <c r="P196" s="5129" t="s">
        <v>5452</v>
      </c>
      <c r="Q196" s="5129" t="s">
        <v>5396</v>
      </c>
      <c r="R196" s="5125" t="s">
        <v>5357</v>
      </c>
      <c r="S196" s="3749" t="s">
        <v>11</v>
      </c>
      <c r="T196" s="3725">
        <v>580208</v>
      </c>
      <c r="U196" s="3725"/>
      <c r="V196" s="3703" t="s">
        <v>49</v>
      </c>
      <c r="W196" s="2633"/>
      <c r="X196" s="1967"/>
      <c r="Y196" s="3565"/>
      <c r="Z196" s="3565"/>
      <c r="AA196" s="3565"/>
      <c r="AB196" s="3566">
        <f>SUM($AA$197:$AA$199)</f>
        <v>4980.0000000000009</v>
      </c>
      <c r="AC196" s="1967"/>
      <c r="AD196" s="1971"/>
      <c r="AE196" s="1971"/>
      <c r="AF196" s="5155"/>
    </row>
    <row r="197" spans="1:32" ht="30" customHeight="1">
      <c r="A197" s="4564"/>
      <c r="B197" s="4570"/>
      <c r="C197" s="5145"/>
      <c r="D197" s="5130"/>
      <c r="E197" s="5130"/>
      <c r="F197" s="5130"/>
      <c r="G197" s="5130"/>
      <c r="H197" s="5130"/>
      <c r="I197" s="5130"/>
      <c r="J197" s="5130"/>
      <c r="K197" s="5130"/>
      <c r="L197" s="5130"/>
      <c r="M197" s="5138"/>
      <c r="N197" s="5138"/>
      <c r="O197" s="5138"/>
      <c r="P197" s="5130"/>
      <c r="Q197" s="5130"/>
      <c r="R197" s="5128"/>
      <c r="S197" s="3744"/>
      <c r="T197" s="3719"/>
      <c r="U197" s="3718"/>
      <c r="V197" s="2684" t="s">
        <v>1193</v>
      </c>
      <c r="W197" s="2630">
        <v>1</v>
      </c>
      <c r="X197" s="532" t="s">
        <v>269</v>
      </c>
      <c r="Y197" s="3561">
        <v>4446.43</v>
      </c>
      <c r="Z197" s="3561">
        <f t="shared" ref="Z197" si="11">+W197*Y197</f>
        <v>4446.43</v>
      </c>
      <c r="AA197" s="3561">
        <f>+Z197*1.12-0.0016</f>
        <v>4980.0000000000009</v>
      </c>
      <c r="AB197" s="3562"/>
      <c r="AC197" s="532" t="s">
        <v>251</v>
      </c>
      <c r="AD197" s="533" t="s">
        <v>251</v>
      </c>
      <c r="AE197" s="533" t="s">
        <v>251</v>
      </c>
      <c r="AF197" s="5051"/>
    </row>
    <row r="198" spans="1:32" ht="30" customHeight="1">
      <c r="A198" s="4564"/>
      <c r="B198" s="4570"/>
      <c r="C198" s="5145"/>
      <c r="D198" s="5130"/>
      <c r="E198" s="5130"/>
      <c r="F198" s="5130"/>
      <c r="G198" s="5130"/>
      <c r="H198" s="5130"/>
      <c r="I198" s="5130"/>
      <c r="J198" s="5130"/>
      <c r="K198" s="5130"/>
      <c r="L198" s="5130"/>
      <c r="M198" s="5138"/>
      <c r="N198" s="5138"/>
      <c r="O198" s="5138"/>
      <c r="P198" s="5130"/>
      <c r="Q198" s="5130"/>
      <c r="R198" s="5128"/>
      <c r="S198" s="3756"/>
      <c r="T198" s="3485"/>
      <c r="U198" s="3381"/>
      <c r="V198" s="3502"/>
      <c r="W198" s="3406"/>
      <c r="X198" s="539"/>
      <c r="Y198" s="3418"/>
      <c r="Z198" s="3418"/>
      <c r="AA198" s="3418"/>
      <c r="AB198" s="3419"/>
      <c r="AC198" s="532"/>
      <c r="AD198" s="533"/>
      <c r="AE198" s="533"/>
      <c r="AF198" s="5051"/>
    </row>
    <row r="199" spans="1:32" ht="30" customHeight="1">
      <c r="A199" s="4564"/>
      <c r="B199" s="4570"/>
      <c r="C199" s="5145"/>
      <c r="D199" s="5130"/>
      <c r="E199" s="5130"/>
      <c r="F199" s="5130"/>
      <c r="G199" s="5130"/>
      <c r="H199" s="5130"/>
      <c r="I199" s="5130"/>
      <c r="J199" s="5130"/>
      <c r="K199" s="5130"/>
      <c r="L199" s="5130"/>
      <c r="M199" s="5138"/>
      <c r="N199" s="5138"/>
      <c r="O199" s="5138"/>
      <c r="P199" s="5130"/>
      <c r="Q199" s="5130"/>
      <c r="R199" s="5128"/>
      <c r="S199" s="3744"/>
      <c r="T199" s="3719"/>
      <c r="U199" s="3718"/>
      <c r="V199" s="2681"/>
      <c r="W199" s="2630"/>
      <c r="X199" s="532"/>
      <c r="Y199" s="3561"/>
      <c r="Z199" s="3561"/>
      <c r="AA199" s="3561"/>
      <c r="AB199" s="3562"/>
      <c r="AC199" s="532"/>
      <c r="AD199" s="533"/>
      <c r="AE199" s="533"/>
      <c r="AF199" s="5051"/>
    </row>
    <row r="200" spans="1:32" ht="30" customHeight="1">
      <c r="A200" s="4564"/>
      <c r="B200" s="4570"/>
      <c r="C200" s="5145"/>
      <c r="D200" s="5130"/>
      <c r="E200" s="5130"/>
      <c r="F200" s="5130"/>
      <c r="G200" s="5130"/>
      <c r="H200" s="5130"/>
      <c r="I200" s="5130"/>
      <c r="J200" s="5130"/>
      <c r="K200" s="5130"/>
      <c r="L200" s="5130"/>
      <c r="M200" s="5138"/>
      <c r="N200" s="5138"/>
      <c r="O200" s="5138"/>
      <c r="P200" s="5130"/>
      <c r="Q200" s="5130"/>
      <c r="R200" s="5153"/>
      <c r="S200" s="3750"/>
      <c r="T200" s="3733"/>
      <c r="U200" s="3720"/>
      <c r="V200" s="2682"/>
      <c r="W200" s="2631"/>
      <c r="X200" s="575"/>
      <c r="Y200" s="3603"/>
      <c r="Z200" s="3603"/>
      <c r="AA200" s="3603"/>
      <c r="AB200" s="3604"/>
      <c r="AC200" s="575"/>
      <c r="AD200" s="321"/>
      <c r="AE200" s="321"/>
      <c r="AF200" s="5051"/>
    </row>
    <row r="201" spans="1:32" ht="30.75" customHeight="1">
      <c r="A201" s="4564"/>
      <c r="B201" s="4570"/>
      <c r="C201" s="5144" t="s">
        <v>235</v>
      </c>
      <c r="D201" s="5129" t="s">
        <v>236</v>
      </c>
      <c r="E201" s="5129" t="s">
        <v>237</v>
      </c>
      <c r="F201" s="5129" t="s">
        <v>373</v>
      </c>
      <c r="G201" s="5131" t="s">
        <v>239</v>
      </c>
      <c r="H201" s="5129" t="s">
        <v>256</v>
      </c>
      <c r="I201" s="5129" t="s">
        <v>257</v>
      </c>
      <c r="J201" s="5129" t="s">
        <v>5559</v>
      </c>
      <c r="K201" s="5129" t="s">
        <v>1194</v>
      </c>
      <c r="L201" s="5135" t="s">
        <v>5506</v>
      </c>
      <c r="M201" s="5142">
        <v>0</v>
      </c>
      <c r="N201" s="5142">
        <v>1</v>
      </c>
      <c r="O201" s="5142">
        <v>0</v>
      </c>
      <c r="P201" s="5129" t="s">
        <v>5451</v>
      </c>
      <c r="Q201" s="5129" t="s">
        <v>5397</v>
      </c>
      <c r="R201" s="5132" t="s">
        <v>5356</v>
      </c>
      <c r="S201" s="3743"/>
      <c r="T201" s="3721"/>
      <c r="U201" s="3721"/>
      <c r="V201" s="3575"/>
      <c r="W201" s="3576"/>
      <c r="X201" s="3580"/>
      <c r="Y201" s="3607"/>
      <c r="Z201" s="3607"/>
      <c r="AA201" s="3607"/>
      <c r="AB201" s="3608"/>
      <c r="AC201" s="3580"/>
      <c r="AD201" s="3582"/>
      <c r="AE201" s="3582"/>
      <c r="AF201" s="5154"/>
    </row>
    <row r="202" spans="1:32" ht="30.75" customHeight="1">
      <c r="A202" s="4564"/>
      <c r="B202" s="4570"/>
      <c r="C202" s="5145"/>
      <c r="D202" s="5130"/>
      <c r="E202" s="5130"/>
      <c r="F202" s="5130"/>
      <c r="G202" s="5130"/>
      <c r="H202" s="5130"/>
      <c r="I202" s="5130"/>
      <c r="J202" s="5130"/>
      <c r="K202" s="5130"/>
      <c r="L202" s="5130"/>
      <c r="M202" s="5138"/>
      <c r="N202" s="5138"/>
      <c r="O202" s="5138"/>
      <c r="P202" s="5130"/>
      <c r="Q202" s="5130"/>
      <c r="R202" s="5128"/>
      <c r="S202" s="3744"/>
      <c r="T202" s="3719"/>
      <c r="U202" s="3718"/>
      <c r="V202" s="2681"/>
      <c r="W202" s="2630"/>
      <c r="X202" s="532"/>
      <c r="Y202" s="3561"/>
      <c r="Z202" s="3561"/>
      <c r="AA202" s="3561"/>
      <c r="AB202" s="3562"/>
      <c r="AC202" s="532"/>
      <c r="AD202" s="533"/>
      <c r="AE202" s="533"/>
      <c r="AF202" s="5051"/>
    </row>
    <row r="203" spans="1:32" ht="30.75" customHeight="1">
      <c r="A203" s="4564"/>
      <c r="B203" s="4570"/>
      <c r="C203" s="5145"/>
      <c r="D203" s="5130"/>
      <c r="E203" s="5130"/>
      <c r="F203" s="5130"/>
      <c r="G203" s="5130"/>
      <c r="H203" s="5130"/>
      <c r="I203" s="5130"/>
      <c r="J203" s="5130"/>
      <c r="K203" s="5130"/>
      <c r="L203" s="5130"/>
      <c r="M203" s="5138"/>
      <c r="N203" s="5138"/>
      <c r="O203" s="5138"/>
      <c r="P203" s="5130"/>
      <c r="Q203" s="5130"/>
      <c r="R203" s="5128"/>
      <c r="S203" s="3744"/>
      <c r="T203" s="3719"/>
      <c r="U203" s="3718"/>
      <c r="V203" s="2681"/>
      <c r="W203" s="2630"/>
      <c r="X203" s="532"/>
      <c r="Y203" s="3561"/>
      <c r="Z203" s="3561"/>
      <c r="AA203" s="3561"/>
      <c r="AB203" s="3562"/>
      <c r="AC203" s="532"/>
      <c r="AD203" s="533"/>
      <c r="AE203" s="533"/>
      <c r="AF203" s="5051"/>
    </row>
    <row r="204" spans="1:32" ht="30.75" customHeight="1">
      <c r="A204" s="4564"/>
      <c r="B204" s="4570"/>
      <c r="C204" s="5145"/>
      <c r="D204" s="5130"/>
      <c r="E204" s="5130"/>
      <c r="F204" s="5130"/>
      <c r="G204" s="5130"/>
      <c r="H204" s="5130"/>
      <c r="I204" s="5130"/>
      <c r="J204" s="5130"/>
      <c r="K204" s="5130"/>
      <c r="L204" s="5130"/>
      <c r="M204" s="5138"/>
      <c r="N204" s="5138"/>
      <c r="O204" s="5138"/>
      <c r="P204" s="5130"/>
      <c r="Q204" s="5130"/>
      <c r="R204" s="5128"/>
      <c r="S204" s="3744"/>
      <c r="T204" s="3719"/>
      <c r="U204" s="3718"/>
      <c r="V204" s="2681"/>
      <c r="W204" s="2630"/>
      <c r="X204" s="532"/>
      <c r="Y204" s="3561"/>
      <c r="Z204" s="3561"/>
      <c r="AA204" s="3561"/>
      <c r="AB204" s="3562"/>
      <c r="AC204" s="532"/>
      <c r="AD204" s="533"/>
      <c r="AE204" s="533"/>
      <c r="AF204" s="5051"/>
    </row>
    <row r="205" spans="1:32" ht="30.75" customHeight="1">
      <c r="A205" s="4564"/>
      <c r="B205" s="4570"/>
      <c r="C205" s="5145"/>
      <c r="D205" s="5130"/>
      <c r="E205" s="5130"/>
      <c r="F205" s="5130"/>
      <c r="G205" s="5130"/>
      <c r="H205" s="5130"/>
      <c r="I205" s="5130"/>
      <c r="J205" s="5130"/>
      <c r="K205" s="5130"/>
      <c r="L205" s="5130"/>
      <c r="M205" s="5138"/>
      <c r="N205" s="5138"/>
      <c r="O205" s="5138"/>
      <c r="P205" s="5130"/>
      <c r="Q205" s="5130"/>
      <c r="R205" s="5128"/>
      <c r="S205" s="3745"/>
      <c r="T205" s="3729"/>
      <c r="U205" s="1779"/>
      <c r="V205" s="2686"/>
      <c r="W205" s="1781"/>
      <c r="X205" s="1782"/>
      <c r="Y205" s="1783"/>
      <c r="Z205" s="1783"/>
      <c r="AA205" s="1783"/>
      <c r="AB205" s="3602"/>
      <c r="AC205" s="1782"/>
      <c r="AD205" s="3572"/>
      <c r="AE205" s="3572"/>
      <c r="AF205" s="5085"/>
    </row>
    <row r="206" spans="1:32" ht="31.5" customHeight="1">
      <c r="A206" s="4564"/>
      <c r="B206" s="4570"/>
      <c r="C206" s="5144" t="s">
        <v>235</v>
      </c>
      <c r="D206" s="5129" t="s">
        <v>236</v>
      </c>
      <c r="E206" s="5129" t="s">
        <v>237</v>
      </c>
      <c r="F206" s="5129" t="s">
        <v>976</v>
      </c>
      <c r="G206" s="5131" t="s">
        <v>239</v>
      </c>
      <c r="H206" s="5129" t="s">
        <v>240</v>
      </c>
      <c r="I206" s="5129" t="s">
        <v>257</v>
      </c>
      <c r="J206" s="5131" t="s">
        <v>5560</v>
      </c>
      <c r="K206" s="5129" t="s">
        <v>1195</v>
      </c>
      <c r="L206" s="5129" t="s">
        <v>1196</v>
      </c>
      <c r="M206" s="5142">
        <v>1</v>
      </c>
      <c r="N206" s="5142">
        <v>0</v>
      </c>
      <c r="O206" s="5142">
        <v>0</v>
      </c>
      <c r="P206" s="5129" t="s">
        <v>5450</v>
      </c>
      <c r="Q206" s="5129" t="s">
        <v>5398</v>
      </c>
      <c r="R206" s="5125" t="s">
        <v>5356</v>
      </c>
      <c r="S206" s="3749"/>
      <c r="T206" s="3725"/>
      <c r="U206" s="3725"/>
      <c r="V206" s="3530"/>
      <c r="W206" s="2633"/>
      <c r="X206" s="1967"/>
      <c r="Y206" s="3565"/>
      <c r="Z206" s="3565"/>
      <c r="AA206" s="3565"/>
      <c r="AB206" s="3566"/>
      <c r="AC206" s="1967"/>
      <c r="AD206" s="1971"/>
      <c r="AE206" s="1971"/>
      <c r="AF206" s="5155"/>
    </row>
    <row r="207" spans="1:32" ht="31.5" customHeight="1">
      <c r="A207" s="4564"/>
      <c r="B207" s="4570"/>
      <c r="C207" s="5145"/>
      <c r="D207" s="5130"/>
      <c r="E207" s="5130"/>
      <c r="F207" s="5130"/>
      <c r="G207" s="5130"/>
      <c r="H207" s="5130"/>
      <c r="I207" s="5130"/>
      <c r="J207" s="5130"/>
      <c r="K207" s="5130"/>
      <c r="L207" s="5130"/>
      <c r="M207" s="5138"/>
      <c r="N207" s="5138"/>
      <c r="O207" s="5138"/>
      <c r="P207" s="5130"/>
      <c r="Q207" s="5130"/>
      <c r="R207" s="5128"/>
      <c r="S207" s="3744"/>
      <c r="T207" s="3719"/>
      <c r="U207" s="3718"/>
      <c r="V207" s="2681"/>
      <c r="W207" s="2630"/>
      <c r="X207" s="532"/>
      <c r="Y207" s="3561"/>
      <c r="Z207" s="3561"/>
      <c r="AA207" s="3561"/>
      <c r="AB207" s="3562"/>
      <c r="AC207" s="532"/>
      <c r="AD207" s="533"/>
      <c r="AE207" s="533"/>
      <c r="AF207" s="5051"/>
    </row>
    <row r="208" spans="1:32" ht="31.5" customHeight="1">
      <c r="A208" s="4564"/>
      <c r="B208" s="4570"/>
      <c r="C208" s="5145"/>
      <c r="D208" s="5130"/>
      <c r="E208" s="5130"/>
      <c r="F208" s="5130"/>
      <c r="G208" s="5130"/>
      <c r="H208" s="5130"/>
      <c r="I208" s="5130"/>
      <c r="J208" s="5130"/>
      <c r="K208" s="5130"/>
      <c r="L208" s="5130"/>
      <c r="M208" s="5138"/>
      <c r="N208" s="5138"/>
      <c r="O208" s="5138"/>
      <c r="P208" s="5130"/>
      <c r="Q208" s="5130"/>
      <c r="R208" s="5128"/>
      <c r="S208" s="3744"/>
      <c r="T208" s="3719"/>
      <c r="U208" s="3718"/>
      <c r="V208" s="2681"/>
      <c r="W208" s="2630"/>
      <c r="X208" s="532"/>
      <c r="Y208" s="3561"/>
      <c r="Z208" s="3561"/>
      <c r="AA208" s="3561"/>
      <c r="AB208" s="3562"/>
      <c r="AC208" s="532"/>
      <c r="AD208" s="533"/>
      <c r="AE208" s="533"/>
      <c r="AF208" s="5051"/>
    </row>
    <row r="209" spans="1:32" ht="31.5" customHeight="1">
      <c r="A209" s="4564"/>
      <c r="B209" s="4570"/>
      <c r="C209" s="5145"/>
      <c r="D209" s="5130"/>
      <c r="E209" s="5130"/>
      <c r="F209" s="5130"/>
      <c r="G209" s="5130"/>
      <c r="H209" s="5130"/>
      <c r="I209" s="5130"/>
      <c r="J209" s="5130"/>
      <c r="K209" s="5130"/>
      <c r="L209" s="5130"/>
      <c r="M209" s="5138"/>
      <c r="N209" s="5138"/>
      <c r="O209" s="5138"/>
      <c r="P209" s="5130"/>
      <c r="Q209" s="5130"/>
      <c r="R209" s="5128"/>
      <c r="S209" s="3744"/>
      <c r="T209" s="3719"/>
      <c r="U209" s="3718"/>
      <c r="V209" s="2681"/>
      <c r="W209" s="2630"/>
      <c r="X209" s="532"/>
      <c r="Y209" s="3561"/>
      <c r="Z209" s="3561"/>
      <c r="AA209" s="3561"/>
      <c r="AB209" s="3562"/>
      <c r="AC209" s="532"/>
      <c r="AD209" s="533"/>
      <c r="AE209" s="533"/>
      <c r="AF209" s="5051"/>
    </row>
    <row r="210" spans="1:32" ht="31.5" customHeight="1">
      <c r="A210" s="4564"/>
      <c r="B210" s="4570"/>
      <c r="C210" s="5145"/>
      <c r="D210" s="5130"/>
      <c r="E210" s="5130"/>
      <c r="F210" s="5130"/>
      <c r="G210" s="5130"/>
      <c r="H210" s="5130"/>
      <c r="I210" s="5130"/>
      <c r="J210" s="5130"/>
      <c r="K210" s="5130"/>
      <c r="L210" s="5130"/>
      <c r="M210" s="5138"/>
      <c r="N210" s="5138"/>
      <c r="O210" s="5138"/>
      <c r="P210" s="5130"/>
      <c r="Q210" s="5130"/>
      <c r="R210" s="5153"/>
      <c r="S210" s="3750"/>
      <c r="T210" s="3733"/>
      <c r="U210" s="3720"/>
      <c r="V210" s="2682"/>
      <c r="W210" s="2631"/>
      <c r="X210" s="575"/>
      <c r="Y210" s="3603"/>
      <c r="Z210" s="3603"/>
      <c r="AA210" s="3603"/>
      <c r="AB210" s="3604"/>
      <c r="AC210" s="575"/>
      <c r="AD210" s="321"/>
      <c r="AE210" s="321"/>
      <c r="AF210" s="5051"/>
    </row>
    <row r="211" spans="1:32" ht="57" customHeight="1">
      <c r="A211" s="4564"/>
      <c r="B211" s="4570"/>
      <c r="C211" s="5144" t="s">
        <v>235</v>
      </c>
      <c r="D211" s="5129" t="s">
        <v>236</v>
      </c>
      <c r="E211" s="5129" t="s">
        <v>237</v>
      </c>
      <c r="F211" s="5129" t="s">
        <v>976</v>
      </c>
      <c r="G211" s="5131" t="s">
        <v>239</v>
      </c>
      <c r="H211" s="5129" t="s">
        <v>240</v>
      </c>
      <c r="I211" s="5129" t="s">
        <v>257</v>
      </c>
      <c r="J211" s="5129" t="s">
        <v>5561</v>
      </c>
      <c r="K211" s="5129" t="s">
        <v>1197</v>
      </c>
      <c r="L211" s="5129" t="s">
        <v>1198</v>
      </c>
      <c r="M211" s="5142">
        <v>3</v>
      </c>
      <c r="N211" s="5142">
        <v>0</v>
      </c>
      <c r="O211" s="5142">
        <v>3</v>
      </c>
      <c r="P211" s="5129" t="s">
        <v>5449</v>
      </c>
      <c r="Q211" s="5129" t="s">
        <v>5399</v>
      </c>
      <c r="R211" s="5132" t="s">
        <v>1203</v>
      </c>
      <c r="S211" s="3743"/>
      <c r="T211" s="3721"/>
      <c r="U211" s="3721"/>
      <c r="V211" s="3575"/>
      <c r="W211" s="3576"/>
      <c r="X211" s="3580"/>
      <c r="Y211" s="3607"/>
      <c r="Z211" s="3607"/>
      <c r="AA211" s="3607"/>
      <c r="AB211" s="3608"/>
      <c r="AC211" s="3580"/>
      <c r="AD211" s="3582"/>
      <c r="AE211" s="3582"/>
      <c r="AF211" s="5154"/>
    </row>
    <row r="212" spans="1:32" ht="57" customHeight="1">
      <c r="A212" s="4564"/>
      <c r="B212" s="4570"/>
      <c r="C212" s="5145"/>
      <c r="D212" s="5130"/>
      <c r="E212" s="5130"/>
      <c r="F212" s="5130"/>
      <c r="G212" s="5130"/>
      <c r="H212" s="5130"/>
      <c r="I212" s="5130"/>
      <c r="J212" s="5130"/>
      <c r="K212" s="5130"/>
      <c r="L212" s="5130"/>
      <c r="M212" s="5138"/>
      <c r="N212" s="5138"/>
      <c r="O212" s="5138"/>
      <c r="P212" s="5130"/>
      <c r="Q212" s="5130"/>
      <c r="R212" s="5128"/>
      <c r="S212" s="3744"/>
      <c r="T212" s="3719"/>
      <c r="U212" s="3718"/>
      <c r="V212" s="2681"/>
      <c r="W212" s="2630"/>
      <c r="X212" s="532"/>
      <c r="Y212" s="3561"/>
      <c r="Z212" s="3561"/>
      <c r="AA212" s="3561"/>
      <c r="AB212" s="3562"/>
      <c r="AC212" s="532"/>
      <c r="AD212" s="533"/>
      <c r="AE212" s="533"/>
      <c r="AF212" s="5051"/>
    </row>
    <row r="213" spans="1:32" ht="57" customHeight="1">
      <c r="A213" s="4564"/>
      <c r="B213" s="4570"/>
      <c r="C213" s="5145"/>
      <c r="D213" s="5130"/>
      <c r="E213" s="5130"/>
      <c r="F213" s="5130"/>
      <c r="G213" s="5130"/>
      <c r="H213" s="5130"/>
      <c r="I213" s="5130"/>
      <c r="J213" s="5130"/>
      <c r="K213" s="5130"/>
      <c r="L213" s="5130"/>
      <c r="M213" s="5138"/>
      <c r="N213" s="5138"/>
      <c r="O213" s="5138"/>
      <c r="P213" s="5130"/>
      <c r="Q213" s="5130"/>
      <c r="R213" s="5128"/>
      <c r="S213" s="3744"/>
      <c r="T213" s="3719"/>
      <c r="U213" s="3718"/>
      <c r="V213" s="2681"/>
      <c r="W213" s="2630"/>
      <c r="X213" s="532"/>
      <c r="Y213" s="3561"/>
      <c r="Z213" s="3561"/>
      <c r="AA213" s="3561"/>
      <c r="AB213" s="3562"/>
      <c r="AC213" s="532"/>
      <c r="AD213" s="533"/>
      <c r="AE213" s="533"/>
      <c r="AF213" s="5051"/>
    </row>
    <row r="214" spans="1:32" ht="57" customHeight="1">
      <c r="A214" s="4564"/>
      <c r="B214" s="4570"/>
      <c r="C214" s="5145"/>
      <c r="D214" s="5130"/>
      <c r="E214" s="5130"/>
      <c r="F214" s="5130"/>
      <c r="G214" s="5130"/>
      <c r="H214" s="5130"/>
      <c r="I214" s="5130"/>
      <c r="J214" s="5130"/>
      <c r="K214" s="5130"/>
      <c r="L214" s="5130"/>
      <c r="M214" s="5138"/>
      <c r="N214" s="5138"/>
      <c r="O214" s="5138"/>
      <c r="P214" s="5130"/>
      <c r="Q214" s="5130"/>
      <c r="R214" s="5128"/>
      <c r="S214" s="3744"/>
      <c r="T214" s="3719"/>
      <c r="U214" s="3719"/>
      <c r="V214" s="2681"/>
      <c r="W214" s="2630"/>
      <c r="X214" s="532"/>
      <c r="Y214" s="3561"/>
      <c r="Z214" s="3561"/>
      <c r="AA214" s="3561"/>
      <c r="AB214" s="3562"/>
      <c r="AC214" s="532"/>
      <c r="AD214" s="533"/>
      <c r="AE214" s="533"/>
      <c r="AF214" s="5051"/>
    </row>
    <row r="215" spans="1:32" ht="57" customHeight="1">
      <c r="A215" s="4564"/>
      <c r="B215" s="4570"/>
      <c r="C215" s="5145"/>
      <c r="D215" s="5130"/>
      <c r="E215" s="5130"/>
      <c r="F215" s="5130"/>
      <c r="G215" s="5130"/>
      <c r="H215" s="5130"/>
      <c r="I215" s="5130"/>
      <c r="J215" s="5130"/>
      <c r="K215" s="5130"/>
      <c r="L215" s="5130"/>
      <c r="M215" s="5138"/>
      <c r="N215" s="5138"/>
      <c r="O215" s="5138"/>
      <c r="P215" s="5130"/>
      <c r="Q215" s="5130"/>
      <c r="R215" s="5128"/>
      <c r="S215" s="3745"/>
      <c r="T215" s="3729"/>
      <c r="U215" s="1779"/>
      <c r="V215" s="2686"/>
      <c r="W215" s="1781"/>
      <c r="X215" s="1782"/>
      <c r="Y215" s="1783"/>
      <c r="Z215" s="1783"/>
      <c r="AA215" s="1783"/>
      <c r="AB215" s="3602"/>
      <c r="AC215" s="1782"/>
      <c r="AD215" s="3572"/>
      <c r="AE215" s="3572"/>
      <c r="AF215" s="5085"/>
    </row>
    <row r="216" spans="1:32" ht="30.75" customHeight="1">
      <c r="A216" s="4564"/>
      <c r="B216" s="4570"/>
      <c r="C216" s="5144" t="s">
        <v>235</v>
      </c>
      <c r="D216" s="5129" t="s">
        <v>236</v>
      </c>
      <c r="E216" s="5129" t="s">
        <v>237</v>
      </c>
      <c r="F216" s="5129" t="s">
        <v>255</v>
      </c>
      <c r="G216" s="5131" t="s">
        <v>239</v>
      </c>
      <c r="H216" s="5129" t="s">
        <v>240</v>
      </c>
      <c r="I216" s="5129" t="s">
        <v>257</v>
      </c>
      <c r="J216" s="5129" t="s">
        <v>5562</v>
      </c>
      <c r="K216" s="5129" t="s">
        <v>1199</v>
      </c>
      <c r="L216" s="5129" t="s">
        <v>1200</v>
      </c>
      <c r="M216" s="5142">
        <v>15</v>
      </c>
      <c r="N216" s="5142">
        <v>15</v>
      </c>
      <c r="O216" s="5142">
        <v>10</v>
      </c>
      <c r="P216" s="5129" t="s">
        <v>5448</v>
      </c>
      <c r="Q216" s="5129" t="s">
        <v>5400</v>
      </c>
      <c r="R216" s="5125" t="s">
        <v>5356</v>
      </c>
      <c r="S216" s="3749"/>
      <c r="T216" s="3725"/>
      <c r="U216" s="3725"/>
      <c r="V216" s="3530"/>
      <c r="W216" s="2633"/>
      <c r="X216" s="1967"/>
      <c r="Y216" s="3565"/>
      <c r="Z216" s="3565"/>
      <c r="AA216" s="3565"/>
      <c r="AB216" s="3566"/>
      <c r="AC216" s="1967"/>
      <c r="AD216" s="1967"/>
      <c r="AE216" s="1967"/>
      <c r="AF216" s="5155"/>
    </row>
    <row r="217" spans="1:32" ht="30.75" customHeight="1">
      <c r="A217" s="4564"/>
      <c r="B217" s="4570"/>
      <c r="C217" s="5145"/>
      <c r="D217" s="5130"/>
      <c r="E217" s="5130"/>
      <c r="F217" s="5130"/>
      <c r="G217" s="5130"/>
      <c r="H217" s="5130"/>
      <c r="I217" s="5130"/>
      <c r="J217" s="5130"/>
      <c r="K217" s="5130"/>
      <c r="L217" s="5130"/>
      <c r="M217" s="5138"/>
      <c r="N217" s="5138"/>
      <c r="O217" s="5138"/>
      <c r="P217" s="5130"/>
      <c r="Q217" s="5130"/>
      <c r="R217" s="5128"/>
      <c r="S217" s="3744"/>
      <c r="T217" s="3719"/>
      <c r="U217" s="3718"/>
      <c r="V217" s="2681"/>
      <c r="W217" s="2630"/>
      <c r="X217" s="532"/>
      <c r="Y217" s="3561"/>
      <c r="Z217" s="3561"/>
      <c r="AA217" s="3561"/>
      <c r="AB217" s="3562"/>
      <c r="AC217" s="532"/>
      <c r="AD217" s="532"/>
      <c r="AE217" s="532"/>
      <c r="AF217" s="5051"/>
    </row>
    <row r="218" spans="1:32" ht="30.75" customHeight="1">
      <c r="A218" s="4564"/>
      <c r="B218" s="4570"/>
      <c r="C218" s="5145"/>
      <c r="D218" s="5130"/>
      <c r="E218" s="5130"/>
      <c r="F218" s="5130"/>
      <c r="G218" s="5130"/>
      <c r="H218" s="5130"/>
      <c r="I218" s="5130"/>
      <c r="J218" s="5130"/>
      <c r="K218" s="5130"/>
      <c r="L218" s="5130"/>
      <c r="M218" s="5138"/>
      <c r="N218" s="5138"/>
      <c r="O218" s="5138"/>
      <c r="P218" s="5130"/>
      <c r="Q218" s="5130"/>
      <c r="R218" s="5128"/>
      <c r="S218" s="3744"/>
      <c r="T218" s="3719"/>
      <c r="U218" s="3718"/>
      <c r="V218" s="2681"/>
      <c r="W218" s="2630"/>
      <c r="X218" s="532"/>
      <c r="Y218" s="3561"/>
      <c r="Z218" s="3561"/>
      <c r="AA218" s="3561"/>
      <c r="AB218" s="3562"/>
      <c r="AC218" s="532"/>
      <c r="AD218" s="532"/>
      <c r="AE218" s="533"/>
      <c r="AF218" s="5051"/>
    </row>
    <row r="219" spans="1:32" ht="30.75" customHeight="1">
      <c r="A219" s="4564"/>
      <c r="B219" s="4570"/>
      <c r="C219" s="5145"/>
      <c r="D219" s="5130"/>
      <c r="E219" s="5130"/>
      <c r="F219" s="5130"/>
      <c r="G219" s="5130"/>
      <c r="H219" s="5130"/>
      <c r="I219" s="5130"/>
      <c r="J219" s="5130"/>
      <c r="K219" s="5130"/>
      <c r="L219" s="5130"/>
      <c r="M219" s="5138"/>
      <c r="N219" s="5138"/>
      <c r="O219" s="5138"/>
      <c r="P219" s="5130"/>
      <c r="Q219" s="5130"/>
      <c r="R219" s="5128"/>
      <c r="S219" s="3744"/>
      <c r="T219" s="3719"/>
      <c r="U219" s="3718"/>
      <c r="V219" s="2681"/>
      <c r="W219" s="2630"/>
      <c r="X219" s="532"/>
      <c r="Y219" s="3561"/>
      <c r="Z219" s="3561"/>
      <c r="AA219" s="3561"/>
      <c r="AB219" s="3562"/>
      <c r="AC219" s="532"/>
      <c r="AD219" s="532"/>
      <c r="AE219" s="533"/>
      <c r="AF219" s="5051"/>
    </row>
    <row r="220" spans="1:32" ht="30.75" customHeight="1">
      <c r="A220" s="4564"/>
      <c r="B220" s="4570"/>
      <c r="C220" s="5145"/>
      <c r="D220" s="5130"/>
      <c r="E220" s="5130"/>
      <c r="F220" s="5130"/>
      <c r="G220" s="5130"/>
      <c r="H220" s="5130"/>
      <c r="I220" s="5130"/>
      <c r="J220" s="5130"/>
      <c r="K220" s="5130"/>
      <c r="L220" s="5130"/>
      <c r="M220" s="5138"/>
      <c r="N220" s="5138"/>
      <c r="O220" s="5138"/>
      <c r="P220" s="5130"/>
      <c r="Q220" s="5130"/>
      <c r="R220" s="5153"/>
      <c r="S220" s="3750"/>
      <c r="T220" s="3733"/>
      <c r="U220" s="3720"/>
      <c r="V220" s="2682"/>
      <c r="W220" s="2631"/>
      <c r="X220" s="575"/>
      <c r="Y220" s="3603"/>
      <c r="Z220" s="3603"/>
      <c r="AA220" s="3603"/>
      <c r="AB220" s="3604"/>
      <c r="AC220" s="575"/>
      <c r="AD220" s="575"/>
      <c r="AE220" s="321"/>
      <c r="AF220" s="5051"/>
    </row>
    <row r="221" spans="1:32" ht="30" customHeight="1">
      <c r="A221" s="4564"/>
      <c r="B221" s="4570"/>
      <c r="C221" s="5144" t="s">
        <v>235</v>
      </c>
      <c r="D221" s="5129" t="s">
        <v>236</v>
      </c>
      <c r="E221" s="5129" t="s">
        <v>237</v>
      </c>
      <c r="F221" s="5129" t="s">
        <v>370</v>
      </c>
      <c r="G221" s="5131" t="s">
        <v>239</v>
      </c>
      <c r="H221" s="5129" t="s">
        <v>240</v>
      </c>
      <c r="I221" s="5129" t="s">
        <v>257</v>
      </c>
      <c r="J221" s="5129" t="s">
        <v>5563</v>
      </c>
      <c r="K221" s="5129" t="s">
        <v>1201</v>
      </c>
      <c r="L221" s="5129" t="s">
        <v>1202</v>
      </c>
      <c r="M221" s="5142">
        <v>50</v>
      </c>
      <c r="N221" s="5142">
        <v>50</v>
      </c>
      <c r="O221" s="5142">
        <v>50</v>
      </c>
      <c r="P221" s="5129" t="s">
        <v>5447</v>
      </c>
      <c r="Q221" s="5129" t="s">
        <v>5401</v>
      </c>
      <c r="R221" s="5132" t="s">
        <v>1203</v>
      </c>
      <c r="S221" s="3743"/>
      <c r="T221" s="3721"/>
      <c r="U221" s="3721"/>
      <c r="V221" s="3575"/>
      <c r="W221" s="3576"/>
      <c r="X221" s="3580"/>
      <c r="Y221" s="3607"/>
      <c r="Z221" s="3607"/>
      <c r="AA221" s="3607"/>
      <c r="AB221" s="3608"/>
      <c r="AC221" s="3580"/>
      <c r="AD221" s="3582"/>
      <c r="AE221" s="3582"/>
      <c r="AF221" s="5154"/>
    </row>
    <row r="222" spans="1:32" ht="30" customHeight="1">
      <c r="A222" s="4564"/>
      <c r="B222" s="4570"/>
      <c r="C222" s="5145"/>
      <c r="D222" s="5130"/>
      <c r="E222" s="5130"/>
      <c r="F222" s="5130"/>
      <c r="G222" s="5130"/>
      <c r="H222" s="5130"/>
      <c r="I222" s="5130"/>
      <c r="J222" s="5130"/>
      <c r="K222" s="5130"/>
      <c r="L222" s="5130"/>
      <c r="M222" s="5138"/>
      <c r="N222" s="5138"/>
      <c r="O222" s="5138"/>
      <c r="P222" s="5130"/>
      <c r="Q222" s="5130"/>
      <c r="R222" s="5128"/>
      <c r="S222" s="3744"/>
      <c r="T222" s="3719"/>
      <c r="U222" s="3718"/>
      <c r="V222" s="2681"/>
      <c r="W222" s="2630"/>
      <c r="X222" s="532"/>
      <c r="Y222" s="3561"/>
      <c r="Z222" s="3561"/>
      <c r="AA222" s="3561"/>
      <c r="AB222" s="3562"/>
      <c r="AC222" s="532"/>
      <c r="AD222" s="533"/>
      <c r="AE222" s="533"/>
      <c r="AF222" s="5051"/>
    </row>
    <row r="223" spans="1:32" ht="30" customHeight="1">
      <c r="A223" s="4564"/>
      <c r="B223" s="4570"/>
      <c r="C223" s="5145"/>
      <c r="D223" s="5130"/>
      <c r="E223" s="5130"/>
      <c r="F223" s="5130"/>
      <c r="G223" s="5130"/>
      <c r="H223" s="5130"/>
      <c r="I223" s="5130"/>
      <c r="J223" s="5130"/>
      <c r="K223" s="5130"/>
      <c r="L223" s="5130"/>
      <c r="M223" s="5138"/>
      <c r="N223" s="5138"/>
      <c r="O223" s="5138"/>
      <c r="P223" s="5130"/>
      <c r="Q223" s="5130"/>
      <c r="R223" s="5128"/>
      <c r="S223" s="3744"/>
      <c r="T223" s="3719"/>
      <c r="U223" s="3718"/>
      <c r="V223" s="2681"/>
      <c r="W223" s="2630"/>
      <c r="X223" s="532"/>
      <c r="Y223" s="3561"/>
      <c r="Z223" s="3561"/>
      <c r="AA223" s="3561"/>
      <c r="AB223" s="3562"/>
      <c r="AC223" s="532"/>
      <c r="AD223" s="533"/>
      <c r="AE223" s="533"/>
      <c r="AF223" s="5051"/>
    </row>
    <row r="224" spans="1:32" ht="30" customHeight="1">
      <c r="A224" s="4564"/>
      <c r="B224" s="4570"/>
      <c r="C224" s="5145"/>
      <c r="D224" s="5130"/>
      <c r="E224" s="5130"/>
      <c r="F224" s="5130"/>
      <c r="G224" s="5130"/>
      <c r="H224" s="5130"/>
      <c r="I224" s="5130"/>
      <c r="J224" s="5130"/>
      <c r="K224" s="5130"/>
      <c r="L224" s="5130"/>
      <c r="M224" s="5138"/>
      <c r="N224" s="5138"/>
      <c r="O224" s="5138"/>
      <c r="P224" s="5130"/>
      <c r="Q224" s="5130"/>
      <c r="R224" s="5128"/>
      <c r="S224" s="3744"/>
      <c r="T224" s="3719"/>
      <c r="U224" s="3718"/>
      <c r="V224" s="2681"/>
      <c r="W224" s="2630"/>
      <c r="X224" s="532"/>
      <c r="Y224" s="3561"/>
      <c r="Z224" s="3561"/>
      <c r="AA224" s="3561"/>
      <c r="AB224" s="3562"/>
      <c r="AC224" s="532"/>
      <c r="AD224" s="533"/>
      <c r="AE224" s="533"/>
      <c r="AF224" s="5051"/>
    </row>
    <row r="225" spans="1:32" ht="30" customHeight="1">
      <c r="A225" s="4564"/>
      <c r="B225" s="4570"/>
      <c r="C225" s="5145"/>
      <c r="D225" s="5130"/>
      <c r="E225" s="5130"/>
      <c r="F225" s="5130"/>
      <c r="G225" s="5130"/>
      <c r="H225" s="5130"/>
      <c r="I225" s="5130"/>
      <c r="J225" s="5130"/>
      <c r="K225" s="5130"/>
      <c r="L225" s="5130"/>
      <c r="M225" s="5138"/>
      <c r="N225" s="5138"/>
      <c r="O225" s="5138"/>
      <c r="P225" s="5130"/>
      <c r="Q225" s="5130"/>
      <c r="R225" s="5128"/>
      <c r="S225" s="3745"/>
      <c r="T225" s="3729"/>
      <c r="U225" s="1779"/>
      <c r="V225" s="2686"/>
      <c r="W225" s="1781"/>
      <c r="X225" s="1782"/>
      <c r="Y225" s="1783"/>
      <c r="Z225" s="1783"/>
      <c r="AA225" s="1783"/>
      <c r="AB225" s="3602"/>
      <c r="AC225" s="1782"/>
      <c r="AD225" s="3572"/>
      <c r="AE225" s="3572"/>
      <c r="AF225" s="5085"/>
    </row>
    <row r="226" spans="1:32" ht="35.25" customHeight="1">
      <c r="A226" s="4564"/>
      <c r="B226" s="4570"/>
      <c r="C226" s="5144" t="s">
        <v>235</v>
      </c>
      <c r="D226" s="5129" t="s">
        <v>236</v>
      </c>
      <c r="E226" s="5129" t="s">
        <v>237</v>
      </c>
      <c r="F226" s="5129" t="s">
        <v>1137</v>
      </c>
      <c r="G226" s="5131" t="s">
        <v>239</v>
      </c>
      <c r="H226" s="5129" t="s">
        <v>240</v>
      </c>
      <c r="I226" s="5129" t="s">
        <v>257</v>
      </c>
      <c r="J226" s="5129" t="s">
        <v>5564</v>
      </c>
      <c r="K226" s="5129" t="s">
        <v>1204</v>
      </c>
      <c r="L226" s="5129" t="s">
        <v>1205</v>
      </c>
      <c r="M226" s="5142">
        <v>4</v>
      </c>
      <c r="N226" s="5142">
        <v>4</v>
      </c>
      <c r="O226" s="5142">
        <v>3</v>
      </c>
      <c r="P226" s="5129" t="s">
        <v>5446</v>
      </c>
      <c r="Q226" s="5129" t="s">
        <v>5402</v>
      </c>
      <c r="R226" s="5125" t="s">
        <v>1203</v>
      </c>
      <c r="S226" s="3749"/>
      <c r="T226" s="3725"/>
      <c r="U226" s="3725"/>
      <c r="V226" s="3530"/>
      <c r="W226" s="2633"/>
      <c r="X226" s="1967"/>
      <c r="Y226" s="3565"/>
      <c r="Z226" s="3565"/>
      <c r="AA226" s="3565"/>
      <c r="AB226" s="3566"/>
      <c r="AC226" s="1967"/>
      <c r="AD226" s="1971"/>
      <c r="AE226" s="1971"/>
      <c r="AF226" s="5155"/>
    </row>
    <row r="227" spans="1:32" ht="35.25" customHeight="1">
      <c r="A227" s="4564"/>
      <c r="B227" s="4570"/>
      <c r="C227" s="5145"/>
      <c r="D227" s="5130"/>
      <c r="E227" s="5130"/>
      <c r="F227" s="5130"/>
      <c r="G227" s="5130"/>
      <c r="H227" s="5130"/>
      <c r="I227" s="5130"/>
      <c r="J227" s="5130"/>
      <c r="K227" s="5130"/>
      <c r="L227" s="5130"/>
      <c r="M227" s="5138"/>
      <c r="N227" s="5138"/>
      <c r="O227" s="5138"/>
      <c r="P227" s="5130"/>
      <c r="Q227" s="5130"/>
      <c r="R227" s="5128"/>
      <c r="S227" s="3744"/>
      <c r="T227" s="3719"/>
      <c r="U227" s="3718"/>
      <c r="V227" s="2681"/>
      <c r="W227" s="2630"/>
      <c r="X227" s="532"/>
      <c r="Y227" s="3561"/>
      <c r="Z227" s="3561"/>
      <c r="AA227" s="3561"/>
      <c r="AB227" s="3562"/>
      <c r="AC227" s="532"/>
      <c r="AD227" s="533"/>
      <c r="AE227" s="533"/>
      <c r="AF227" s="5051"/>
    </row>
    <row r="228" spans="1:32" ht="35.25" customHeight="1">
      <c r="A228" s="4564"/>
      <c r="B228" s="4570"/>
      <c r="C228" s="5145"/>
      <c r="D228" s="5130"/>
      <c r="E228" s="5130"/>
      <c r="F228" s="5130"/>
      <c r="G228" s="5130"/>
      <c r="H228" s="5130"/>
      <c r="I228" s="5130"/>
      <c r="J228" s="5130"/>
      <c r="K228" s="5130"/>
      <c r="L228" s="5130"/>
      <c r="M228" s="5138"/>
      <c r="N228" s="5138"/>
      <c r="O228" s="5138"/>
      <c r="P228" s="5130"/>
      <c r="Q228" s="5130"/>
      <c r="R228" s="5128"/>
      <c r="S228" s="3744"/>
      <c r="T228" s="3719"/>
      <c r="U228" s="3718"/>
      <c r="V228" s="2681"/>
      <c r="W228" s="2630"/>
      <c r="X228" s="532"/>
      <c r="Y228" s="3561"/>
      <c r="Z228" s="3561"/>
      <c r="AA228" s="3561"/>
      <c r="AB228" s="3562"/>
      <c r="AC228" s="532"/>
      <c r="AD228" s="533"/>
      <c r="AE228" s="533"/>
      <c r="AF228" s="5051"/>
    </row>
    <row r="229" spans="1:32" ht="35.25" customHeight="1">
      <c r="A229" s="4564"/>
      <c r="B229" s="4570"/>
      <c r="C229" s="5145"/>
      <c r="D229" s="5130"/>
      <c r="E229" s="5130"/>
      <c r="F229" s="5130"/>
      <c r="G229" s="5130"/>
      <c r="H229" s="5130"/>
      <c r="I229" s="5130"/>
      <c r="J229" s="5130"/>
      <c r="K229" s="5130"/>
      <c r="L229" s="5130"/>
      <c r="M229" s="5138"/>
      <c r="N229" s="5138"/>
      <c r="O229" s="5138"/>
      <c r="P229" s="5130"/>
      <c r="Q229" s="5130"/>
      <c r="R229" s="5128"/>
      <c r="S229" s="3744"/>
      <c r="T229" s="3719"/>
      <c r="U229" s="3718"/>
      <c r="V229" s="2681"/>
      <c r="W229" s="2630"/>
      <c r="X229" s="532"/>
      <c r="Y229" s="3561"/>
      <c r="Z229" s="3561"/>
      <c r="AA229" s="3561"/>
      <c r="AB229" s="3562"/>
      <c r="AC229" s="532"/>
      <c r="AD229" s="533"/>
      <c r="AE229" s="533"/>
      <c r="AF229" s="5051"/>
    </row>
    <row r="230" spans="1:32" ht="35.25" customHeight="1">
      <c r="A230" s="4564"/>
      <c r="B230" s="4570"/>
      <c r="C230" s="5145"/>
      <c r="D230" s="5130"/>
      <c r="E230" s="5130"/>
      <c r="F230" s="5130"/>
      <c r="G230" s="5130"/>
      <c r="H230" s="5130"/>
      <c r="I230" s="5130"/>
      <c r="J230" s="5130"/>
      <c r="K230" s="5130"/>
      <c r="L230" s="5130"/>
      <c r="M230" s="5138"/>
      <c r="N230" s="5138"/>
      <c r="O230" s="5138"/>
      <c r="P230" s="5130"/>
      <c r="Q230" s="5130"/>
      <c r="R230" s="5153"/>
      <c r="S230" s="3750"/>
      <c r="T230" s="3733"/>
      <c r="U230" s="3720"/>
      <c r="V230" s="2682"/>
      <c r="W230" s="2631"/>
      <c r="X230" s="575"/>
      <c r="Y230" s="3603"/>
      <c r="Z230" s="3603"/>
      <c r="AA230" s="3603"/>
      <c r="AB230" s="3604"/>
      <c r="AC230" s="575"/>
      <c r="AD230" s="321"/>
      <c r="AE230" s="321"/>
      <c r="AF230" s="5051"/>
    </row>
    <row r="231" spans="1:32" ht="30.75" customHeight="1">
      <c r="A231" s="4564"/>
      <c r="B231" s="4570"/>
      <c r="C231" s="5144" t="s">
        <v>235</v>
      </c>
      <c r="D231" s="5129" t="s">
        <v>236</v>
      </c>
      <c r="E231" s="5129" t="s">
        <v>237</v>
      </c>
      <c r="F231" s="5129" t="s">
        <v>1137</v>
      </c>
      <c r="G231" s="5131" t="s">
        <v>239</v>
      </c>
      <c r="H231" s="5129" t="s">
        <v>240</v>
      </c>
      <c r="I231" s="5129" t="s">
        <v>257</v>
      </c>
      <c r="J231" s="5129" t="s">
        <v>5565</v>
      </c>
      <c r="K231" s="5129" t="s">
        <v>338</v>
      </c>
      <c r="L231" s="5129" t="s">
        <v>1206</v>
      </c>
      <c r="M231" s="5142">
        <v>0</v>
      </c>
      <c r="N231" s="5142">
        <v>1</v>
      </c>
      <c r="O231" s="5142">
        <v>1</v>
      </c>
      <c r="P231" s="5129" t="s">
        <v>5445</v>
      </c>
      <c r="Q231" s="5129" t="s">
        <v>5382</v>
      </c>
      <c r="R231" s="5132" t="s">
        <v>1203</v>
      </c>
      <c r="S231" s="3743"/>
      <c r="T231" s="3721"/>
      <c r="U231" s="3721"/>
      <c r="V231" s="3575"/>
      <c r="W231" s="3576"/>
      <c r="X231" s="3580"/>
      <c r="Y231" s="3607"/>
      <c r="Z231" s="3607"/>
      <c r="AA231" s="3607"/>
      <c r="AB231" s="3608"/>
      <c r="AC231" s="3580"/>
      <c r="AD231" s="3582"/>
      <c r="AE231" s="3582"/>
      <c r="AF231" s="5154"/>
    </row>
    <row r="232" spans="1:32" ht="30.75" customHeight="1">
      <c r="A232" s="4564"/>
      <c r="B232" s="4570"/>
      <c r="C232" s="5145"/>
      <c r="D232" s="5130"/>
      <c r="E232" s="5130"/>
      <c r="F232" s="5130"/>
      <c r="G232" s="5130"/>
      <c r="H232" s="5130"/>
      <c r="I232" s="5130"/>
      <c r="J232" s="5130"/>
      <c r="K232" s="5130"/>
      <c r="L232" s="5130"/>
      <c r="M232" s="5138"/>
      <c r="N232" s="5138"/>
      <c r="O232" s="5138"/>
      <c r="P232" s="5130"/>
      <c r="Q232" s="5130"/>
      <c r="R232" s="5128"/>
      <c r="S232" s="3744"/>
      <c r="T232" s="3719"/>
      <c r="U232" s="3718"/>
      <c r="V232" s="2681"/>
      <c r="W232" s="2630"/>
      <c r="X232" s="532"/>
      <c r="Y232" s="3561"/>
      <c r="Z232" s="3561"/>
      <c r="AA232" s="3561"/>
      <c r="AB232" s="3562"/>
      <c r="AC232" s="532"/>
      <c r="AD232" s="533"/>
      <c r="AE232" s="533"/>
      <c r="AF232" s="5051"/>
    </row>
    <row r="233" spans="1:32" ht="30.75" customHeight="1">
      <c r="A233" s="4564"/>
      <c r="B233" s="4570"/>
      <c r="C233" s="5145"/>
      <c r="D233" s="5130"/>
      <c r="E233" s="5130"/>
      <c r="F233" s="5130"/>
      <c r="G233" s="5130"/>
      <c r="H233" s="5130"/>
      <c r="I233" s="5130"/>
      <c r="J233" s="5130"/>
      <c r="K233" s="5130"/>
      <c r="L233" s="5130"/>
      <c r="M233" s="5138"/>
      <c r="N233" s="5138"/>
      <c r="O233" s="5138"/>
      <c r="P233" s="5130"/>
      <c r="Q233" s="5130"/>
      <c r="R233" s="5128"/>
      <c r="S233" s="3744"/>
      <c r="T233" s="3719"/>
      <c r="U233" s="3718"/>
      <c r="V233" s="2681"/>
      <c r="W233" s="2630"/>
      <c r="X233" s="532"/>
      <c r="Y233" s="3561"/>
      <c r="Z233" s="3561"/>
      <c r="AA233" s="3561"/>
      <c r="AB233" s="3562"/>
      <c r="AC233" s="532"/>
      <c r="AD233" s="533"/>
      <c r="AE233" s="533"/>
      <c r="AF233" s="5051"/>
    </row>
    <row r="234" spans="1:32" ht="30.75" customHeight="1">
      <c r="A234" s="4564"/>
      <c r="B234" s="4570"/>
      <c r="C234" s="5145"/>
      <c r="D234" s="5130"/>
      <c r="E234" s="5130"/>
      <c r="F234" s="5130"/>
      <c r="G234" s="5130"/>
      <c r="H234" s="5130"/>
      <c r="I234" s="5130"/>
      <c r="J234" s="5130"/>
      <c r="K234" s="5130"/>
      <c r="L234" s="5130"/>
      <c r="M234" s="5138"/>
      <c r="N234" s="5138"/>
      <c r="O234" s="5138"/>
      <c r="P234" s="5130"/>
      <c r="Q234" s="5130"/>
      <c r="R234" s="5128"/>
      <c r="S234" s="3744"/>
      <c r="T234" s="3719"/>
      <c r="U234" s="3718"/>
      <c r="V234" s="2681"/>
      <c r="W234" s="2630"/>
      <c r="X234" s="532"/>
      <c r="Y234" s="3561"/>
      <c r="Z234" s="3561"/>
      <c r="AA234" s="3561"/>
      <c r="AB234" s="3562"/>
      <c r="AC234" s="532"/>
      <c r="AD234" s="533"/>
      <c r="AE234" s="533"/>
      <c r="AF234" s="5051"/>
    </row>
    <row r="235" spans="1:32" ht="30.75" customHeight="1">
      <c r="A235" s="4564"/>
      <c r="B235" s="4570"/>
      <c r="C235" s="5145"/>
      <c r="D235" s="5130"/>
      <c r="E235" s="5130"/>
      <c r="F235" s="5130"/>
      <c r="G235" s="5130"/>
      <c r="H235" s="5130"/>
      <c r="I235" s="5130"/>
      <c r="J235" s="5130"/>
      <c r="K235" s="5130"/>
      <c r="L235" s="5130"/>
      <c r="M235" s="5138"/>
      <c r="N235" s="5138"/>
      <c r="O235" s="5138"/>
      <c r="P235" s="5130"/>
      <c r="Q235" s="5130"/>
      <c r="R235" s="5128"/>
      <c r="S235" s="3745"/>
      <c r="T235" s="3729"/>
      <c r="U235" s="1779"/>
      <c r="V235" s="2686"/>
      <c r="W235" s="1781"/>
      <c r="X235" s="1782"/>
      <c r="Y235" s="1783"/>
      <c r="Z235" s="1783"/>
      <c r="AA235" s="1783"/>
      <c r="AB235" s="3602"/>
      <c r="AC235" s="1782"/>
      <c r="AD235" s="3572"/>
      <c r="AE235" s="3572"/>
      <c r="AF235" s="5085"/>
    </row>
    <row r="236" spans="1:32" ht="30.75" customHeight="1">
      <c r="A236" s="4564"/>
      <c r="B236" s="4570"/>
      <c r="C236" s="5144" t="s">
        <v>235</v>
      </c>
      <c r="D236" s="5129" t="s">
        <v>236</v>
      </c>
      <c r="E236" s="5129" t="s">
        <v>237</v>
      </c>
      <c r="F236" s="5129" t="s">
        <v>1137</v>
      </c>
      <c r="G236" s="5131" t="s">
        <v>239</v>
      </c>
      <c r="H236" s="5129" t="s">
        <v>240</v>
      </c>
      <c r="I236" s="5129" t="s">
        <v>257</v>
      </c>
      <c r="J236" s="5129" t="s">
        <v>5566</v>
      </c>
      <c r="K236" s="5129" t="s">
        <v>4951</v>
      </c>
      <c r="L236" s="5129" t="s">
        <v>1183</v>
      </c>
      <c r="M236" s="5142">
        <v>0</v>
      </c>
      <c r="N236" s="5142">
        <v>0</v>
      </c>
      <c r="O236" s="5142">
        <v>6</v>
      </c>
      <c r="P236" s="5129" t="s">
        <v>5444</v>
      </c>
      <c r="Q236" s="5129" t="s">
        <v>4252</v>
      </c>
      <c r="R236" s="5125" t="s">
        <v>1203</v>
      </c>
      <c r="S236" s="3749"/>
      <c r="T236" s="3725"/>
      <c r="U236" s="3725"/>
      <c r="V236" s="3530"/>
      <c r="W236" s="2633"/>
      <c r="X236" s="1967"/>
      <c r="Y236" s="3565"/>
      <c r="Z236" s="3565"/>
      <c r="AA236" s="3565"/>
      <c r="AB236" s="3566"/>
      <c r="AC236" s="1967"/>
      <c r="AD236" s="1971"/>
      <c r="AE236" s="1971"/>
      <c r="AF236" s="5155"/>
    </row>
    <row r="237" spans="1:32" ht="30.75" customHeight="1">
      <c r="A237" s="4564"/>
      <c r="B237" s="4570"/>
      <c r="C237" s="5145"/>
      <c r="D237" s="5130"/>
      <c r="E237" s="5130"/>
      <c r="F237" s="5130"/>
      <c r="G237" s="5130"/>
      <c r="H237" s="5130"/>
      <c r="I237" s="5130"/>
      <c r="J237" s="5130"/>
      <c r="K237" s="5130"/>
      <c r="L237" s="5130"/>
      <c r="M237" s="5138"/>
      <c r="N237" s="5138"/>
      <c r="O237" s="5138"/>
      <c r="P237" s="5130"/>
      <c r="Q237" s="5130"/>
      <c r="R237" s="5128"/>
      <c r="S237" s="3744"/>
      <c r="T237" s="3719"/>
      <c r="U237" s="3718"/>
      <c r="V237" s="2681"/>
      <c r="W237" s="2630"/>
      <c r="X237" s="532"/>
      <c r="Y237" s="3561"/>
      <c r="Z237" s="3561"/>
      <c r="AA237" s="3561"/>
      <c r="AB237" s="3562"/>
      <c r="AC237" s="532"/>
      <c r="AD237" s="533"/>
      <c r="AE237" s="533"/>
      <c r="AF237" s="5051"/>
    </row>
    <row r="238" spans="1:32" ht="30.75" customHeight="1">
      <c r="A238" s="4564"/>
      <c r="B238" s="4570"/>
      <c r="C238" s="5145"/>
      <c r="D238" s="5130"/>
      <c r="E238" s="5130"/>
      <c r="F238" s="5130"/>
      <c r="G238" s="5130"/>
      <c r="H238" s="5130"/>
      <c r="I238" s="5130"/>
      <c r="J238" s="5130"/>
      <c r="K238" s="5130"/>
      <c r="L238" s="5130"/>
      <c r="M238" s="5138"/>
      <c r="N238" s="5138"/>
      <c r="O238" s="5138"/>
      <c r="P238" s="5130"/>
      <c r="Q238" s="5130"/>
      <c r="R238" s="5128"/>
      <c r="S238" s="3744"/>
      <c r="T238" s="3719"/>
      <c r="U238" s="3718"/>
      <c r="V238" s="2681"/>
      <c r="W238" s="2630"/>
      <c r="X238" s="532"/>
      <c r="Y238" s="3561"/>
      <c r="Z238" s="3561"/>
      <c r="AA238" s="3561"/>
      <c r="AB238" s="3562"/>
      <c r="AC238" s="532"/>
      <c r="AD238" s="533"/>
      <c r="AE238" s="533"/>
      <c r="AF238" s="5051"/>
    </row>
    <row r="239" spans="1:32" ht="30.75" customHeight="1">
      <c r="A239" s="4564"/>
      <c r="B239" s="4570"/>
      <c r="C239" s="5145"/>
      <c r="D239" s="5130"/>
      <c r="E239" s="5130"/>
      <c r="F239" s="5130"/>
      <c r="G239" s="5130"/>
      <c r="H239" s="5130"/>
      <c r="I239" s="5130"/>
      <c r="J239" s="5130"/>
      <c r="K239" s="5130"/>
      <c r="L239" s="5130"/>
      <c r="M239" s="5138"/>
      <c r="N239" s="5138"/>
      <c r="O239" s="5138"/>
      <c r="P239" s="5130"/>
      <c r="Q239" s="5130"/>
      <c r="R239" s="5128"/>
      <c r="S239" s="3744"/>
      <c r="T239" s="3719"/>
      <c r="U239" s="3718"/>
      <c r="V239" s="2681"/>
      <c r="W239" s="2630"/>
      <c r="X239" s="532"/>
      <c r="Y239" s="3561"/>
      <c r="Z239" s="3561"/>
      <c r="AA239" s="3561"/>
      <c r="AB239" s="3562"/>
      <c r="AC239" s="532"/>
      <c r="AD239" s="533"/>
      <c r="AE239" s="533"/>
      <c r="AF239" s="5051"/>
    </row>
    <row r="240" spans="1:32" ht="30.75" customHeight="1" thickBot="1">
      <c r="A240" s="4564"/>
      <c r="B240" s="4570"/>
      <c r="C240" s="5146"/>
      <c r="D240" s="5136"/>
      <c r="E240" s="5136"/>
      <c r="F240" s="5136"/>
      <c r="G240" s="5136"/>
      <c r="H240" s="5136"/>
      <c r="I240" s="5136"/>
      <c r="J240" s="5136"/>
      <c r="K240" s="5136"/>
      <c r="L240" s="5136"/>
      <c r="M240" s="5139"/>
      <c r="N240" s="5139"/>
      <c r="O240" s="5139"/>
      <c r="P240" s="5136"/>
      <c r="Q240" s="5136"/>
      <c r="R240" s="5141"/>
      <c r="S240" s="3751"/>
      <c r="T240" s="3734"/>
      <c r="U240" s="3726"/>
      <c r="V240" s="3532"/>
      <c r="W240" s="2642"/>
      <c r="X240" s="578"/>
      <c r="Y240" s="3563"/>
      <c r="Z240" s="3563"/>
      <c r="AA240" s="3563"/>
      <c r="AB240" s="3564"/>
      <c r="AC240" s="578"/>
      <c r="AD240" s="341"/>
      <c r="AE240" s="341"/>
      <c r="AF240" s="5087"/>
    </row>
    <row r="241" spans="1:32" ht="22.5" customHeight="1" thickBot="1">
      <c r="A241" s="4564"/>
      <c r="B241" s="4479"/>
      <c r="C241" s="2157"/>
      <c r="D241" s="580"/>
      <c r="E241" s="580"/>
      <c r="F241" s="580"/>
      <c r="G241" s="580"/>
      <c r="H241" s="580"/>
      <c r="I241" s="580"/>
      <c r="J241" s="580"/>
      <c r="K241" s="580"/>
      <c r="L241" s="580"/>
      <c r="M241" s="3654"/>
      <c r="N241" s="3655"/>
      <c r="O241" s="3654"/>
      <c r="P241" s="3650"/>
      <c r="Q241" s="3650"/>
      <c r="R241" s="3650"/>
      <c r="S241" s="5108" t="s">
        <v>1207</v>
      </c>
      <c r="T241" s="5109"/>
      <c r="U241" s="5109"/>
      <c r="V241" s="5109"/>
      <c r="W241" s="5109"/>
      <c r="X241" s="5109"/>
      <c r="Y241" s="5109"/>
      <c r="Z241" s="5109"/>
      <c r="AA241" s="2232" t="s">
        <v>340</v>
      </c>
      <c r="AB241" s="2233">
        <f>SUM(AB186:AB240)</f>
        <v>101864.72679999997</v>
      </c>
      <c r="AC241" s="5162"/>
      <c r="AD241" s="5113"/>
      <c r="AE241" s="5113"/>
      <c r="AF241" s="5114"/>
    </row>
    <row r="242" spans="1:32" ht="37.5" customHeight="1">
      <c r="A242" s="4564"/>
      <c r="B242" s="4571" t="s">
        <v>1208</v>
      </c>
      <c r="C242" s="5147" t="s">
        <v>235</v>
      </c>
      <c r="D242" s="5148" t="s">
        <v>236</v>
      </c>
      <c r="E242" s="5148" t="s">
        <v>237</v>
      </c>
      <c r="F242" s="5148" t="s">
        <v>355</v>
      </c>
      <c r="G242" s="5164" t="s">
        <v>239</v>
      </c>
      <c r="H242" s="5148" t="s">
        <v>240</v>
      </c>
      <c r="I242" s="5148" t="s">
        <v>257</v>
      </c>
      <c r="J242" s="5148" t="s">
        <v>5567</v>
      </c>
      <c r="K242" s="5148" t="s">
        <v>1209</v>
      </c>
      <c r="L242" s="5161" t="s">
        <v>1210</v>
      </c>
      <c r="M242" s="5163">
        <v>1</v>
      </c>
      <c r="N242" s="5177">
        <v>1</v>
      </c>
      <c r="O242" s="5163">
        <v>0</v>
      </c>
      <c r="P242" s="5161" t="s">
        <v>5443</v>
      </c>
      <c r="Q242" s="5161" t="s">
        <v>5403</v>
      </c>
      <c r="R242" s="5165" t="s">
        <v>5358</v>
      </c>
      <c r="S242" s="3755"/>
      <c r="T242" s="3717"/>
      <c r="U242" s="3717"/>
      <c r="V242" s="3533"/>
      <c r="W242" s="2629"/>
      <c r="X242" s="577"/>
      <c r="Y242" s="3559"/>
      <c r="Z242" s="3559"/>
      <c r="AA242" s="3559"/>
      <c r="AB242" s="3560"/>
      <c r="AC242" s="577"/>
      <c r="AD242" s="320"/>
      <c r="AE242" s="320"/>
      <c r="AF242" s="5159"/>
    </row>
    <row r="243" spans="1:32" ht="37.5" customHeight="1">
      <c r="A243" s="4564"/>
      <c r="B243" s="4570"/>
      <c r="C243" s="5145"/>
      <c r="D243" s="5130"/>
      <c r="E243" s="5130"/>
      <c r="F243" s="5130"/>
      <c r="G243" s="5130"/>
      <c r="H243" s="5130"/>
      <c r="I243" s="5130"/>
      <c r="J243" s="5130"/>
      <c r="K243" s="5130"/>
      <c r="L243" s="5130"/>
      <c r="M243" s="5138"/>
      <c r="N243" s="5138"/>
      <c r="O243" s="5138"/>
      <c r="P243" s="5130"/>
      <c r="Q243" s="5130"/>
      <c r="R243" s="5128"/>
      <c r="S243" s="3744"/>
      <c r="T243" s="3719"/>
      <c r="U243" s="3718"/>
      <c r="V243" s="2681"/>
      <c r="W243" s="2630"/>
      <c r="X243" s="532"/>
      <c r="Y243" s="3561"/>
      <c r="Z243" s="3561"/>
      <c r="AA243" s="3561"/>
      <c r="AB243" s="3562"/>
      <c r="AC243" s="532"/>
      <c r="AD243" s="533"/>
      <c r="AE243" s="533"/>
      <c r="AF243" s="5051"/>
    </row>
    <row r="244" spans="1:32" ht="37.5" customHeight="1">
      <c r="A244" s="4564"/>
      <c r="B244" s="4570"/>
      <c r="C244" s="5145"/>
      <c r="D244" s="5130"/>
      <c r="E244" s="5130"/>
      <c r="F244" s="5130"/>
      <c r="G244" s="5130"/>
      <c r="H244" s="5130"/>
      <c r="I244" s="5130"/>
      <c r="J244" s="5130"/>
      <c r="K244" s="5130"/>
      <c r="L244" s="5130"/>
      <c r="M244" s="5138"/>
      <c r="N244" s="5138"/>
      <c r="O244" s="5138"/>
      <c r="P244" s="5130"/>
      <c r="Q244" s="5130"/>
      <c r="R244" s="5128"/>
      <c r="S244" s="3744"/>
      <c r="T244" s="3719"/>
      <c r="U244" s="3718"/>
      <c r="V244" s="2681"/>
      <c r="W244" s="2630"/>
      <c r="X244" s="532"/>
      <c r="Y244" s="3561"/>
      <c r="Z244" s="3561"/>
      <c r="AA244" s="3561"/>
      <c r="AB244" s="3562"/>
      <c r="AC244" s="532"/>
      <c r="AD244" s="533"/>
      <c r="AE244" s="533"/>
      <c r="AF244" s="5051"/>
    </row>
    <row r="245" spans="1:32" ht="37.5" customHeight="1">
      <c r="A245" s="4564"/>
      <c r="B245" s="4570"/>
      <c r="C245" s="5145"/>
      <c r="D245" s="5130"/>
      <c r="E245" s="5130"/>
      <c r="F245" s="5130"/>
      <c r="G245" s="5130"/>
      <c r="H245" s="5130"/>
      <c r="I245" s="5130"/>
      <c r="J245" s="5130"/>
      <c r="K245" s="5130"/>
      <c r="L245" s="5130"/>
      <c r="M245" s="5138"/>
      <c r="N245" s="5138"/>
      <c r="O245" s="5138"/>
      <c r="P245" s="5130"/>
      <c r="Q245" s="5130"/>
      <c r="R245" s="5128"/>
      <c r="S245" s="3744"/>
      <c r="T245" s="3719"/>
      <c r="U245" s="3719"/>
      <c r="V245" s="2681"/>
      <c r="W245" s="2630"/>
      <c r="X245" s="532"/>
      <c r="Y245" s="3561"/>
      <c r="Z245" s="3561"/>
      <c r="AA245" s="3561"/>
      <c r="AB245" s="3562"/>
      <c r="AC245" s="532"/>
      <c r="AD245" s="533"/>
      <c r="AE245" s="533"/>
      <c r="AF245" s="5051"/>
    </row>
    <row r="246" spans="1:32" ht="37.5" customHeight="1">
      <c r="A246" s="4564"/>
      <c r="B246" s="4570"/>
      <c r="C246" s="5145"/>
      <c r="D246" s="5130"/>
      <c r="E246" s="5130"/>
      <c r="F246" s="5130"/>
      <c r="G246" s="5130"/>
      <c r="H246" s="5130"/>
      <c r="I246" s="5130"/>
      <c r="J246" s="5130"/>
      <c r="K246" s="5130"/>
      <c r="L246" s="5130"/>
      <c r="M246" s="5138"/>
      <c r="N246" s="5138"/>
      <c r="O246" s="5138"/>
      <c r="P246" s="5130"/>
      <c r="Q246" s="5130"/>
      <c r="R246" s="5153"/>
      <c r="S246" s="3750"/>
      <c r="T246" s="3733"/>
      <c r="U246" s="3720"/>
      <c r="V246" s="2682"/>
      <c r="W246" s="2631"/>
      <c r="X246" s="575"/>
      <c r="Y246" s="3603"/>
      <c r="Z246" s="3603"/>
      <c r="AA246" s="3603"/>
      <c r="AB246" s="3604"/>
      <c r="AC246" s="575"/>
      <c r="AD246" s="321"/>
      <c r="AE246" s="321"/>
      <c r="AF246" s="5051"/>
    </row>
    <row r="247" spans="1:32" ht="29.25" customHeight="1">
      <c r="A247" s="4564"/>
      <c r="B247" s="4570"/>
      <c r="C247" s="5144" t="s">
        <v>235</v>
      </c>
      <c r="D247" s="5129" t="s">
        <v>236</v>
      </c>
      <c r="E247" s="5129" t="s">
        <v>237</v>
      </c>
      <c r="F247" s="5129" t="s">
        <v>355</v>
      </c>
      <c r="G247" s="5131" t="s">
        <v>239</v>
      </c>
      <c r="H247" s="5129" t="s">
        <v>240</v>
      </c>
      <c r="I247" s="5129" t="s">
        <v>257</v>
      </c>
      <c r="J247" s="5129" t="s">
        <v>5568</v>
      </c>
      <c r="K247" s="5129" t="s">
        <v>1211</v>
      </c>
      <c r="L247" s="5129" t="s">
        <v>5507</v>
      </c>
      <c r="M247" s="5142">
        <v>4</v>
      </c>
      <c r="N247" s="5142">
        <v>4</v>
      </c>
      <c r="O247" s="5142">
        <v>2</v>
      </c>
      <c r="P247" s="5129" t="s">
        <v>5442</v>
      </c>
      <c r="Q247" s="5129" t="s">
        <v>5404</v>
      </c>
      <c r="R247" s="5132" t="s">
        <v>5358</v>
      </c>
      <c r="S247" s="3743" t="s">
        <v>11</v>
      </c>
      <c r="T247" s="3721">
        <v>531407</v>
      </c>
      <c r="U247" s="3721"/>
      <c r="V247" s="3575" t="s">
        <v>20</v>
      </c>
      <c r="W247" s="3576"/>
      <c r="X247" s="3580"/>
      <c r="Y247" s="3607"/>
      <c r="Z247" s="3607"/>
      <c r="AA247" s="3607"/>
      <c r="AB247" s="3608">
        <f>SUM($AA$248:$AA$250)</f>
        <v>35</v>
      </c>
      <c r="AC247" s="3580"/>
      <c r="AD247" s="3580"/>
      <c r="AE247" s="3580"/>
      <c r="AF247" s="5154"/>
    </row>
    <row r="248" spans="1:32" ht="29.25" customHeight="1">
      <c r="A248" s="4564"/>
      <c r="B248" s="4570"/>
      <c r="C248" s="5145"/>
      <c r="D248" s="5130"/>
      <c r="E248" s="5130"/>
      <c r="F248" s="5130"/>
      <c r="G248" s="5130"/>
      <c r="H248" s="5130"/>
      <c r="I248" s="5130"/>
      <c r="J248" s="5130"/>
      <c r="K248" s="5130"/>
      <c r="L248" s="5130"/>
      <c r="M248" s="5138"/>
      <c r="N248" s="5138"/>
      <c r="O248" s="5138"/>
      <c r="P248" s="5130"/>
      <c r="Q248" s="5130"/>
      <c r="R248" s="5128"/>
      <c r="S248" s="3744"/>
      <c r="T248" s="3719"/>
      <c r="U248" s="3718">
        <v>452900012</v>
      </c>
      <c r="V248" s="2681" t="s">
        <v>1212</v>
      </c>
      <c r="W248" s="2630">
        <v>1</v>
      </c>
      <c r="X248" s="3544" t="s">
        <v>269</v>
      </c>
      <c r="Y248" s="3561">
        <v>8.93</v>
      </c>
      <c r="Z248" s="3561">
        <f t="shared" ref="Z248:Z249" si="12">+W248*Y248</f>
        <v>8.93</v>
      </c>
      <c r="AA248" s="3561">
        <f t="shared" ref="AA248:AA249" si="13">+Z248*1.12</f>
        <v>10.0016</v>
      </c>
      <c r="AB248" s="3562"/>
      <c r="AC248" s="532" t="s">
        <v>251</v>
      </c>
      <c r="AD248" s="532"/>
      <c r="AE248" s="532"/>
      <c r="AF248" s="5051"/>
    </row>
    <row r="249" spans="1:32" ht="29.25" customHeight="1">
      <c r="A249" s="4564"/>
      <c r="B249" s="4570"/>
      <c r="C249" s="5145"/>
      <c r="D249" s="5130"/>
      <c r="E249" s="5130"/>
      <c r="F249" s="5130"/>
      <c r="G249" s="5130"/>
      <c r="H249" s="5130"/>
      <c r="I249" s="5130"/>
      <c r="J249" s="5130"/>
      <c r="K249" s="5130"/>
      <c r="L249" s="5130"/>
      <c r="M249" s="5138"/>
      <c r="N249" s="5138"/>
      <c r="O249" s="5138"/>
      <c r="P249" s="5130"/>
      <c r="Q249" s="5130"/>
      <c r="R249" s="5128"/>
      <c r="S249" s="3744"/>
      <c r="T249" s="3719"/>
      <c r="U249" s="3718">
        <v>452900011</v>
      </c>
      <c r="V249" s="2681" t="s">
        <v>1213</v>
      </c>
      <c r="W249" s="2630">
        <v>1</v>
      </c>
      <c r="X249" s="3544" t="s">
        <v>269</v>
      </c>
      <c r="Y249" s="3561">
        <v>22.32</v>
      </c>
      <c r="Z249" s="3561">
        <f t="shared" si="12"/>
        <v>22.32</v>
      </c>
      <c r="AA249" s="3561">
        <f t="shared" si="13"/>
        <v>24.998400000000004</v>
      </c>
      <c r="AB249" s="3562"/>
      <c r="AC249" s="532" t="s">
        <v>251</v>
      </c>
      <c r="AD249" s="532"/>
      <c r="AE249" s="533"/>
      <c r="AF249" s="5051"/>
    </row>
    <row r="250" spans="1:32" ht="29.25" customHeight="1">
      <c r="A250" s="4564"/>
      <c r="B250" s="4570"/>
      <c r="C250" s="5145"/>
      <c r="D250" s="5130"/>
      <c r="E250" s="5130"/>
      <c r="F250" s="5130"/>
      <c r="G250" s="5130"/>
      <c r="H250" s="5130"/>
      <c r="I250" s="5130"/>
      <c r="J250" s="5130"/>
      <c r="K250" s="5130"/>
      <c r="L250" s="5130"/>
      <c r="M250" s="5138"/>
      <c r="N250" s="5138"/>
      <c r="O250" s="5138"/>
      <c r="P250" s="5130"/>
      <c r="Q250" s="5130"/>
      <c r="R250" s="5128"/>
      <c r="S250" s="3744"/>
      <c r="T250" s="3719"/>
      <c r="U250" s="3718"/>
      <c r="V250" s="2681"/>
      <c r="W250" s="2630"/>
      <c r="X250" s="532"/>
      <c r="Y250" s="3561"/>
      <c r="Z250" s="3561"/>
      <c r="AA250" s="3561"/>
      <c r="AB250" s="3562"/>
      <c r="AC250" s="532"/>
      <c r="AD250" s="532"/>
      <c r="AE250" s="533"/>
      <c r="AF250" s="5051"/>
    </row>
    <row r="251" spans="1:32" ht="29.25" customHeight="1">
      <c r="A251" s="4564"/>
      <c r="B251" s="4570"/>
      <c r="C251" s="5145"/>
      <c r="D251" s="5130"/>
      <c r="E251" s="5130"/>
      <c r="F251" s="5130"/>
      <c r="G251" s="5130"/>
      <c r="H251" s="5130"/>
      <c r="I251" s="5130"/>
      <c r="J251" s="5130"/>
      <c r="K251" s="5130"/>
      <c r="L251" s="5130"/>
      <c r="M251" s="5138"/>
      <c r="N251" s="5138"/>
      <c r="O251" s="5138"/>
      <c r="P251" s="5130"/>
      <c r="Q251" s="5130"/>
      <c r="R251" s="5128"/>
      <c r="S251" s="3745"/>
      <c r="T251" s="3729"/>
      <c r="U251" s="1779"/>
      <c r="V251" s="2686"/>
      <c r="W251" s="1781"/>
      <c r="X251" s="1782"/>
      <c r="Y251" s="1783"/>
      <c r="Z251" s="1783"/>
      <c r="AA251" s="1783"/>
      <c r="AB251" s="3602"/>
      <c r="AC251" s="1782"/>
      <c r="AD251" s="1782"/>
      <c r="AE251" s="3572"/>
      <c r="AF251" s="5085"/>
    </row>
    <row r="252" spans="1:32" ht="55.5" customHeight="1">
      <c r="A252" s="4564"/>
      <c r="B252" s="4570"/>
      <c r="C252" s="5144" t="s">
        <v>235</v>
      </c>
      <c r="D252" s="5129" t="s">
        <v>236</v>
      </c>
      <c r="E252" s="5129" t="s">
        <v>237</v>
      </c>
      <c r="F252" s="5129" t="s">
        <v>326</v>
      </c>
      <c r="G252" s="5131" t="s">
        <v>239</v>
      </c>
      <c r="H252" s="5129" t="s">
        <v>240</v>
      </c>
      <c r="I252" s="5129" t="s">
        <v>257</v>
      </c>
      <c r="J252" s="5129" t="s">
        <v>5569</v>
      </c>
      <c r="K252" s="5129" t="s">
        <v>1214</v>
      </c>
      <c r="L252" s="5129" t="s">
        <v>5508</v>
      </c>
      <c r="M252" s="5142">
        <v>0</v>
      </c>
      <c r="N252" s="5142">
        <v>0</v>
      </c>
      <c r="O252" s="5142">
        <v>1</v>
      </c>
      <c r="P252" s="5129" t="s">
        <v>5441</v>
      </c>
      <c r="Q252" s="5129" t="s">
        <v>5405</v>
      </c>
      <c r="R252" s="5125" t="s">
        <v>5358</v>
      </c>
      <c r="S252" s="3749"/>
      <c r="T252" s="3725"/>
      <c r="U252" s="3725"/>
      <c r="V252" s="3530"/>
      <c r="W252" s="2633"/>
      <c r="X252" s="1967"/>
      <c r="Y252" s="3565"/>
      <c r="Z252" s="3565"/>
      <c r="AA252" s="3565"/>
      <c r="AB252" s="3566"/>
      <c r="AC252" s="1967"/>
      <c r="AD252" s="1971"/>
      <c r="AE252" s="1971"/>
      <c r="AF252" s="5155"/>
    </row>
    <row r="253" spans="1:32" ht="55.5" customHeight="1">
      <c r="A253" s="4564"/>
      <c r="B253" s="4570"/>
      <c r="C253" s="5145"/>
      <c r="D253" s="5130"/>
      <c r="E253" s="5130"/>
      <c r="F253" s="5130"/>
      <c r="G253" s="5130"/>
      <c r="H253" s="5130"/>
      <c r="I253" s="5130"/>
      <c r="J253" s="5130"/>
      <c r="K253" s="5130"/>
      <c r="L253" s="5130"/>
      <c r="M253" s="5138"/>
      <c r="N253" s="5138"/>
      <c r="O253" s="5138"/>
      <c r="P253" s="5130"/>
      <c r="Q253" s="5130"/>
      <c r="R253" s="5128"/>
      <c r="S253" s="3744"/>
      <c r="T253" s="3719"/>
      <c r="U253" s="3718"/>
      <c r="V253" s="2681"/>
      <c r="W253" s="2630"/>
      <c r="X253" s="532"/>
      <c r="Y253" s="3561"/>
      <c r="Z253" s="3561"/>
      <c r="AA253" s="3561"/>
      <c r="AB253" s="3562"/>
      <c r="AC253" s="532"/>
      <c r="AD253" s="533"/>
      <c r="AE253" s="533"/>
      <c r="AF253" s="5051"/>
    </row>
    <row r="254" spans="1:32" ht="55.5" customHeight="1">
      <c r="A254" s="4564"/>
      <c r="B254" s="4570"/>
      <c r="C254" s="5145"/>
      <c r="D254" s="5130"/>
      <c r="E254" s="5130"/>
      <c r="F254" s="5130"/>
      <c r="G254" s="5130"/>
      <c r="H254" s="5130"/>
      <c r="I254" s="5130"/>
      <c r="J254" s="5130"/>
      <c r="K254" s="5130"/>
      <c r="L254" s="5130"/>
      <c r="M254" s="5138"/>
      <c r="N254" s="5138"/>
      <c r="O254" s="5138"/>
      <c r="P254" s="5130"/>
      <c r="Q254" s="5130"/>
      <c r="R254" s="5128"/>
      <c r="S254" s="3744"/>
      <c r="T254" s="3719"/>
      <c r="U254" s="3718"/>
      <c r="V254" s="2681"/>
      <c r="W254" s="2630"/>
      <c r="X254" s="532"/>
      <c r="Y254" s="3561"/>
      <c r="Z254" s="3561"/>
      <c r="AA254" s="3561"/>
      <c r="AB254" s="3562"/>
      <c r="AC254" s="532"/>
      <c r="AD254" s="533"/>
      <c r="AE254" s="533"/>
      <c r="AF254" s="5051"/>
    </row>
    <row r="255" spans="1:32" ht="55.5" customHeight="1">
      <c r="A255" s="4564"/>
      <c r="B255" s="4570"/>
      <c r="C255" s="5145"/>
      <c r="D255" s="5130"/>
      <c r="E255" s="5130"/>
      <c r="F255" s="5130"/>
      <c r="G255" s="5130"/>
      <c r="H255" s="5130"/>
      <c r="I255" s="5130"/>
      <c r="J255" s="5130"/>
      <c r="K255" s="5130"/>
      <c r="L255" s="5130"/>
      <c r="M255" s="5138"/>
      <c r="N255" s="5138"/>
      <c r="O255" s="5138"/>
      <c r="P255" s="5130"/>
      <c r="Q255" s="5130"/>
      <c r="R255" s="5128"/>
      <c r="S255" s="3744"/>
      <c r="T255" s="3719"/>
      <c r="U255" s="3718"/>
      <c r="V255" s="2681"/>
      <c r="W255" s="2630"/>
      <c r="X255" s="532"/>
      <c r="Y255" s="3561"/>
      <c r="Z255" s="3561"/>
      <c r="AA255" s="3561"/>
      <c r="AB255" s="3562"/>
      <c r="AC255" s="532"/>
      <c r="AD255" s="533"/>
      <c r="AE255" s="533"/>
      <c r="AF255" s="5051"/>
    </row>
    <row r="256" spans="1:32" ht="55.5" customHeight="1">
      <c r="A256" s="4564"/>
      <c r="B256" s="4570"/>
      <c r="C256" s="5145"/>
      <c r="D256" s="5130"/>
      <c r="E256" s="5130"/>
      <c r="F256" s="5130"/>
      <c r="G256" s="5130"/>
      <c r="H256" s="5130"/>
      <c r="I256" s="5130"/>
      <c r="J256" s="5130"/>
      <c r="K256" s="5130"/>
      <c r="L256" s="5130"/>
      <c r="M256" s="5138"/>
      <c r="N256" s="5138"/>
      <c r="O256" s="5138"/>
      <c r="P256" s="5130"/>
      <c r="Q256" s="5130"/>
      <c r="R256" s="5153"/>
      <c r="S256" s="3750"/>
      <c r="T256" s="3733"/>
      <c r="U256" s="3720"/>
      <c r="V256" s="2682"/>
      <c r="W256" s="2631"/>
      <c r="X256" s="575"/>
      <c r="Y256" s="3603"/>
      <c r="Z256" s="3603"/>
      <c r="AA256" s="3603"/>
      <c r="AB256" s="3604"/>
      <c r="AC256" s="575"/>
      <c r="AD256" s="321"/>
      <c r="AE256" s="321"/>
      <c r="AF256" s="5051"/>
    </row>
    <row r="257" spans="1:32" ht="30" customHeight="1">
      <c r="A257" s="4564"/>
      <c r="B257" s="4570"/>
      <c r="C257" s="5144" t="s">
        <v>235</v>
      </c>
      <c r="D257" s="5129" t="s">
        <v>236</v>
      </c>
      <c r="E257" s="5129" t="s">
        <v>237</v>
      </c>
      <c r="F257" s="5129" t="s">
        <v>255</v>
      </c>
      <c r="G257" s="5131" t="s">
        <v>239</v>
      </c>
      <c r="H257" s="5129" t="s">
        <v>240</v>
      </c>
      <c r="I257" s="5129" t="s">
        <v>257</v>
      </c>
      <c r="J257" s="5129" t="s">
        <v>5570</v>
      </c>
      <c r="K257" s="5129" t="s">
        <v>1215</v>
      </c>
      <c r="L257" s="5129" t="s">
        <v>5509</v>
      </c>
      <c r="M257" s="5142">
        <v>0</v>
      </c>
      <c r="N257" s="5142">
        <v>0</v>
      </c>
      <c r="O257" s="5142">
        <v>1</v>
      </c>
      <c r="P257" s="5129" t="s">
        <v>5440</v>
      </c>
      <c r="Q257" s="5129" t="s">
        <v>5406</v>
      </c>
      <c r="R257" s="5132" t="s">
        <v>5358</v>
      </c>
      <c r="S257" s="3743"/>
      <c r="T257" s="3721"/>
      <c r="U257" s="3721"/>
      <c r="V257" s="3575"/>
      <c r="W257" s="3576"/>
      <c r="X257" s="3580"/>
      <c r="Y257" s="3607"/>
      <c r="Z257" s="3607"/>
      <c r="AA257" s="3607"/>
      <c r="AB257" s="3608"/>
      <c r="AC257" s="3580"/>
      <c r="AD257" s="3582"/>
      <c r="AE257" s="3582"/>
      <c r="AF257" s="5154"/>
    </row>
    <row r="258" spans="1:32" ht="30" customHeight="1">
      <c r="A258" s="4564"/>
      <c r="B258" s="4570"/>
      <c r="C258" s="5145"/>
      <c r="D258" s="5130"/>
      <c r="E258" s="5130"/>
      <c r="F258" s="5130"/>
      <c r="G258" s="5130"/>
      <c r="H258" s="5130"/>
      <c r="I258" s="5130"/>
      <c r="J258" s="5130"/>
      <c r="K258" s="5130"/>
      <c r="L258" s="5130"/>
      <c r="M258" s="5138"/>
      <c r="N258" s="5138"/>
      <c r="O258" s="5138"/>
      <c r="P258" s="5130"/>
      <c r="Q258" s="5130"/>
      <c r="R258" s="5128"/>
      <c r="S258" s="3744"/>
      <c r="T258" s="3719"/>
      <c r="U258" s="3718"/>
      <c r="V258" s="2681"/>
      <c r="W258" s="2630"/>
      <c r="X258" s="532"/>
      <c r="Y258" s="3561"/>
      <c r="Z258" s="3561"/>
      <c r="AA258" s="3561"/>
      <c r="AB258" s="3562"/>
      <c r="AC258" s="532"/>
      <c r="AD258" s="533"/>
      <c r="AE258" s="533"/>
      <c r="AF258" s="5051"/>
    </row>
    <row r="259" spans="1:32" ht="30" customHeight="1">
      <c r="A259" s="4564"/>
      <c r="B259" s="4570"/>
      <c r="C259" s="5145"/>
      <c r="D259" s="5130"/>
      <c r="E259" s="5130"/>
      <c r="F259" s="5130"/>
      <c r="G259" s="5130"/>
      <c r="H259" s="5130"/>
      <c r="I259" s="5130"/>
      <c r="J259" s="5130"/>
      <c r="K259" s="5130"/>
      <c r="L259" s="5130"/>
      <c r="M259" s="5138"/>
      <c r="N259" s="5138"/>
      <c r="O259" s="5138"/>
      <c r="P259" s="5130"/>
      <c r="Q259" s="5130"/>
      <c r="R259" s="5128"/>
      <c r="S259" s="3744"/>
      <c r="T259" s="3719"/>
      <c r="U259" s="3718"/>
      <c r="V259" s="2681"/>
      <c r="W259" s="2630"/>
      <c r="X259" s="532"/>
      <c r="Y259" s="3561"/>
      <c r="Z259" s="3561"/>
      <c r="AA259" s="3561"/>
      <c r="AB259" s="3562"/>
      <c r="AC259" s="532"/>
      <c r="AD259" s="533"/>
      <c r="AE259" s="533"/>
      <c r="AF259" s="5051"/>
    </row>
    <row r="260" spans="1:32" ht="30" customHeight="1">
      <c r="A260" s="4564"/>
      <c r="B260" s="4570"/>
      <c r="C260" s="5145"/>
      <c r="D260" s="5130"/>
      <c r="E260" s="5130"/>
      <c r="F260" s="5130"/>
      <c r="G260" s="5130"/>
      <c r="H260" s="5130"/>
      <c r="I260" s="5130"/>
      <c r="J260" s="5130"/>
      <c r="K260" s="5130"/>
      <c r="L260" s="5130"/>
      <c r="M260" s="5138"/>
      <c r="N260" s="5138"/>
      <c r="O260" s="5138"/>
      <c r="P260" s="5130"/>
      <c r="Q260" s="5130"/>
      <c r="R260" s="5128"/>
      <c r="S260" s="3744"/>
      <c r="T260" s="3719"/>
      <c r="U260" s="3718"/>
      <c r="V260" s="2681"/>
      <c r="W260" s="2630"/>
      <c r="X260" s="532"/>
      <c r="Y260" s="3561"/>
      <c r="Z260" s="3561"/>
      <c r="AA260" s="3561"/>
      <c r="AB260" s="3562"/>
      <c r="AC260" s="532"/>
      <c r="AD260" s="533"/>
      <c r="AE260" s="533"/>
      <c r="AF260" s="5051"/>
    </row>
    <row r="261" spans="1:32" ht="30" customHeight="1">
      <c r="A261" s="4564"/>
      <c r="B261" s="4570"/>
      <c r="C261" s="5145"/>
      <c r="D261" s="5130"/>
      <c r="E261" s="5130"/>
      <c r="F261" s="5130"/>
      <c r="G261" s="5130"/>
      <c r="H261" s="5130"/>
      <c r="I261" s="5130"/>
      <c r="J261" s="5130"/>
      <c r="K261" s="5130"/>
      <c r="L261" s="5130"/>
      <c r="M261" s="5138"/>
      <c r="N261" s="5138"/>
      <c r="O261" s="5138"/>
      <c r="P261" s="5130"/>
      <c r="Q261" s="5130"/>
      <c r="R261" s="5128"/>
      <c r="S261" s="3745"/>
      <c r="T261" s="3729"/>
      <c r="U261" s="1779"/>
      <c r="V261" s="2686"/>
      <c r="W261" s="1781"/>
      <c r="X261" s="1782"/>
      <c r="Y261" s="1783"/>
      <c r="Z261" s="1783"/>
      <c r="AA261" s="1783"/>
      <c r="AB261" s="3602"/>
      <c r="AC261" s="1782"/>
      <c r="AD261" s="3572"/>
      <c r="AE261" s="3572"/>
      <c r="AF261" s="5085"/>
    </row>
    <row r="262" spans="1:32" ht="50.25" customHeight="1">
      <c r="A262" s="4564"/>
      <c r="B262" s="4570"/>
      <c r="C262" s="5144" t="s">
        <v>235</v>
      </c>
      <c r="D262" s="5129" t="s">
        <v>236</v>
      </c>
      <c r="E262" s="5129" t="s">
        <v>237</v>
      </c>
      <c r="F262" s="5129" t="s">
        <v>1137</v>
      </c>
      <c r="G262" s="5131" t="s">
        <v>239</v>
      </c>
      <c r="H262" s="5129" t="s">
        <v>240</v>
      </c>
      <c r="I262" s="5129" t="s">
        <v>257</v>
      </c>
      <c r="J262" s="5129" t="s">
        <v>5571</v>
      </c>
      <c r="K262" s="5129" t="s">
        <v>1216</v>
      </c>
      <c r="L262" s="5129" t="s">
        <v>5510</v>
      </c>
      <c r="M262" s="5142">
        <v>1</v>
      </c>
      <c r="N262" s="5142">
        <v>1</v>
      </c>
      <c r="O262" s="5142">
        <v>1</v>
      </c>
      <c r="P262" s="5129" t="s">
        <v>5439</v>
      </c>
      <c r="Q262" s="5129" t="s">
        <v>5407</v>
      </c>
      <c r="R262" s="5125" t="s">
        <v>5358</v>
      </c>
      <c r="S262" s="3749"/>
      <c r="T262" s="3725"/>
      <c r="U262" s="3725"/>
      <c r="V262" s="3530"/>
      <c r="W262" s="2633"/>
      <c r="X262" s="1967"/>
      <c r="Y262" s="3565"/>
      <c r="Z262" s="3565"/>
      <c r="AA262" s="3565"/>
      <c r="AB262" s="3566"/>
      <c r="AC262" s="1967"/>
      <c r="AD262" s="1971"/>
      <c r="AE262" s="1971"/>
      <c r="AF262" s="5155"/>
    </row>
    <row r="263" spans="1:32" ht="50.25" customHeight="1">
      <c r="A263" s="4564"/>
      <c r="B263" s="4570"/>
      <c r="C263" s="5145"/>
      <c r="D263" s="5130"/>
      <c r="E263" s="5130"/>
      <c r="F263" s="5130"/>
      <c r="G263" s="5130"/>
      <c r="H263" s="5130"/>
      <c r="I263" s="5130"/>
      <c r="J263" s="5130"/>
      <c r="K263" s="5130"/>
      <c r="L263" s="5130"/>
      <c r="M263" s="5138"/>
      <c r="N263" s="5138"/>
      <c r="O263" s="5138"/>
      <c r="P263" s="5130"/>
      <c r="Q263" s="5130"/>
      <c r="R263" s="5128"/>
      <c r="S263" s="3744"/>
      <c r="T263" s="3719"/>
      <c r="U263" s="3718"/>
      <c r="V263" s="2681"/>
      <c r="W263" s="2630"/>
      <c r="X263" s="532"/>
      <c r="Y263" s="3561"/>
      <c r="Z263" s="3561"/>
      <c r="AA263" s="3561"/>
      <c r="AB263" s="3562"/>
      <c r="AC263" s="532"/>
      <c r="AD263" s="533"/>
      <c r="AE263" s="533"/>
      <c r="AF263" s="5051"/>
    </row>
    <row r="264" spans="1:32" ht="50.25" customHeight="1">
      <c r="A264" s="4564"/>
      <c r="B264" s="4570"/>
      <c r="C264" s="5145"/>
      <c r="D264" s="5130"/>
      <c r="E264" s="5130"/>
      <c r="F264" s="5130"/>
      <c r="G264" s="5130"/>
      <c r="H264" s="5130"/>
      <c r="I264" s="5130"/>
      <c r="J264" s="5130"/>
      <c r="K264" s="5130"/>
      <c r="L264" s="5130"/>
      <c r="M264" s="5138"/>
      <c r="N264" s="5138"/>
      <c r="O264" s="5138"/>
      <c r="P264" s="5130"/>
      <c r="Q264" s="5130"/>
      <c r="R264" s="5128"/>
      <c r="S264" s="3744"/>
      <c r="T264" s="3719"/>
      <c r="U264" s="3718"/>
      <c r="V264" s="2681"/>
      <c r="W264" s="2630"/>
      <c r="X264" s="532"/>
      <c r="Y264" s="3561"/>
      <c r="Z264" s="3561"/>
      <c r="AA264" s="3561"/>
      <c r="AB264" s="3562"/>
      <c r="AC264" s="532"/>
      <c r="AD264" s="533"/>
      <c r="AE264" s="533"/>
      <c r="AF264" s="5051"/>
    </row>
    <row r="265" spans="1:32" ht="50.25" customHeight="1">
      <c r="A265" s="4564"/>
      <c r="B265" s="4570"/>
      <c r="C265" s="5145"/>
      <c r="D265" s="5130"/>
      <c r="E265" s="5130"/>
      <c r="F265" s="5130"/>
      <c r="G265" s="5130"/>
      <c r="H265" s="5130"/>
      <c r="I265" s="5130"/>
      <c r="J265" s="5130"/>
      <c r="K265" s="5130"/>
      <c r="L265" s="5130"/>
      <c r="M265" s="5138"/>
      <c r="N265" s="5138"/>
      <c r="O265" s="5138"/>
      <c r="P265" s="5130"/>
      <c r="Q265" s="5130"/>
      <c r="R265" s="5128"/>
      <c r="S265" s="3744"/>
      <c r="T265" s="3719"/>
      <c r="U265" s="3718"/>
      <c r="V265" s="2681"/>
      <c r="W265" s="2630"/>
      <c r="X265" s="532"/>
      <c r="Y265" s="3561"/>
      <c r="Z265" s="3561"/>
      <c r="AA265" s="3561"/>
      <c r="AB265" s="3562"/>
      <c r="AC265" s="532"/>
      <c r="AD265" s="533"/>
      <c r="AE265" s="533"/>
      <c r="AF265" s="5051"/>
    </row>
    <row r="266" spans="1:32" ht="50.25" customHeight="1">
      <c r="A266" s="4564"/>
      <c r="B266" s="4570"/>
      <c r="C266" s="5145"/>
      <c r="D266" s="5130"/>
      <c r="E266" s="5130"/>
      <c r="F266" s="5130"/>
      <c r="G266" s="5130"/>
      <c r="H266" s="5130"/>
      <c r="I266" s="5130"/>
      <c r="J266" s="5130"/>
      <c r="K266" s="5130"/>
      <c r="L266" s="5130"/>
      <c r="M266" s="5138"/>
      <c r="N266" s="5138"/>
      <c r="O266" s="5138"/>
      <c r="P266" s="5130"/>
      <c r="Q266" s="5130"/>
      <c r="R266" s="5153"/>
      <c r="S266" s="3750"/>
      <c r="T266" s="3733"/>
      <c r="U266" s="3720"/>
      <c r="V266" s="2682"/>
      <c r="W266" s="2631"/>
      <c r="X266" s="575"/>
      <c r="Y266" s="3603"/>
      <c r="Z266" s="3603"/>
      <c r="AA266" s="3603"/>
      <c r="AB266" s="3604"/>
      <c r="AC266" s="575"/>
      <c r="AD266" s="321"/>
      <c r="AE266" s="321"/>
      <c r="AF266" s="5051"/>
    </row>
    <row r="267" spans="1:32" ht="33" customHeight="1">
      <c r="A267" s="4564"/>
      <c r="B267" s="4570"/>
      <c r="C267" s="5144" t="s">
        <v>235</v>
      </c>
      <c r="D267" s="5129" t="s">
        <v>236</v>
      </c>
      <c r="E267" s="5129" t="s">
        <v>237</v>
      </c>
      <c r="F267" s="5170" t="s">
        <v>1137</v>
      </c>
      <c r="G267" s="5131" t="s">
        <v>239</v>
      </c>
      <c r="H267" s="5129" t="s">
        <v>240</v>
      </c>
      <c r="I267" s="5129" t="s">
        <v>257</v>
      </c>
      <c r="J267" s="5129" t="s">
        <v>5572</v>
      </c>
      <c r="K267" s="5129" t="s">
        <v>1217</v>
      </c>
      <c r="L267" s="5129" t="s">
        <v>5511</v>
      </c>
      <c r="M267" s="5142">
        <v>4</v>
      </c>
      <c r="N267" s="5142">
        <v>4</v>
      </c>
      <c r="O267" s="5142">
        <v>3</v>
      </c>
      <c r="P267" s="5129" t="s">
        <v>5438</v>
      </c>
      <c r="Q267" s="5129" t="s">
        <v>5408</v>
      </c>
      <c r="R267" s="5132" t="s">
        <v>5359</v>
      </c>
      <c r="S267" s="3743"/>
      <c r="T267" s="3721"/>
      <c r="U267" s="3721"/>
      <c r="V267" s="3575"/>
      <c r="W267" s="3576"/>
      <c r="X267" s="3580"/>
      <c r="Y267" s="3607"/>
      <c r="Z267" s="3607"/>
      <c r="AA267" s="3607"/>
      <c r="AB267" s="3608"/>
      <c r="AC267" s="3580"/>
      <c r="AD267" s="3582"/>
      <c r="AE267" s="3582"/>
      <c r="AF267" s="5154"/>
    </row>
    <row r="268" spans="1:32" ht="33" customHeight="1">
      <c r="A268" s="4564"/>
      <c r="B268" s="4570"/>
      <c r="C268" s="5145"/>
      <c r="D268" s="5130"/>
      <c r="E268" s="5130"/>
      <c r="F268" s="5171"/>
      <c r="G268" s="5130"/>
      <c r="H268" s="5130"/>
      <c r="I268" s="5130"/>
      <c r="J268" s="5130"/>
      <c r="K268" s="5130"/>
      <c r="L268" s="5130"/>
      <c r="M268" s="5138"/>
      <c r="N268" s="5138"/>
      <c r="O268" s="5138"/>
      <c r="P268" s="5130"/>
      <c r="Q268" s="5130"/>
      <c r="R268" s="5128"/>
      <c r="S268" s="3744"/>
      <c r="T268" s="3719"/>
      <c r="U268" s="3718"/>
      <c r="V268" s="2681"/>
      <c r="W268" s="2630"/>
      <c r="X268" s="532"/>
      <c r="Y268" s="3561"/>
      <c r="Z268" s="3561"/>
      <c r="AA268" s="3561"/>
      <c r="AB268" s="3562"/>
      <c r="AC268" s="532"/>
      <c r="AD268" s="533"/>
      <c r="AE268" s="533"/>
      <c r="AF268" s="5051"/>
    </row>
    <row r="269" spans="1:32" ht="33" customHeight="1">
      <c r="A269" s="4564"/>
      <c r="B269" s="4570"/>
      <c r="C269" s="5145"/>
      <c r="D269" s="5130"/>
      <c r="E269" s="5130"/>
      <c r="F269" s="5171"/>
      <c r="G269" s="5130"/>
      <c r="H269" s="5130"/>
      <c r="I269" s="5130"/>
      <c r="J269" s="5130"/>
      <c r="K269" s="5130"/>
      <c r="L269" s="5130"/>
      <c r="M269" s="5138"/>
      <c r="N269" s="5138"/>
      <c r="O269" s="5138"/>
      <c r="P269" s="5130"/>
      <c r="Q269" s="5130"/>
      <c r="R269" s="5128"/>
      <c r="S269" s="3744"/>
      <c r="T269" s="3719"/>
      <c r="U269" s="3718"/>
      <c r="V269" s="2681"/>
      <c r="W269" s="2630"/>
      <c r="X269" s="532"/>
      <c r="Y269" s="3561"/>
      <c r="Z269" s="3561"/>
      <c r="AA269" s="3561"/>
      <c r="AB269" s="3562"/>
      <c r="AC269" s="532"/>
      <c r="AD269" s="533"/>
      <c r="AE269" s="533"/>
      <c r="AF269" s="5051"/>
    </row>
    <row r="270" spans="1:32" ht="33" customHeight="1">
      <c r="A270" s="4564"/>
      <c r="B270" s="4570"/>
      <c r="C270" s="5145"/>
      <c r="D270" s="5130"/>
      <c r="E270" s="5130"/>
      <c r="F270" s="5171"/>
      <c r="G270" s="5130"/>
      <c r="H270" s="5130"/>
      <c r="I270" s="5130"/>
      <c r="J270" s="5130"/>
      <c r="K270" s="5130"/>
      <c r="L270" s="5130"/>
      <c r="M270" s="5138"/>
      <c r="N270" s="5138"/>
      <c r="O270" s="5138"/>
      <c r="P270" s="5130"/>
      <c r="Q270" s="5130"/>
      <c r="R270" s="5128"/>
      <c r="S270" s="3744"/>
      <c r="T270" s="3719"/>
      <c r="U270" s="3719"/>
      <c r="V270" s="2681"/>
      <c r="W270" s="2630"/>
      <c r="X270" s="532"/>
      <c r="Y270" s="3561"/>
      <c r="Z270" s="3561"/>
      <c r="AA270" s="3561"/>
      <c r="AB270" s="3562"/>
      <c r="AC270" s="532"/>
      <c r="AD270" s="533"/>
      <c r="AE270" s="533"/>
      <c r="AF270" s="5051"/>
    </row>
    <row r="271" spans="1:32" ht="33" customHeight="1">
      <c r="A271" s="4564"/>
      <c r="B271" s="4570"/>
      <c r="C271" s="5145"/>
      <c r="D271" s="5130"/>
      <c r="E271" s="5130"/>
      <c r="F271" s="5171"/>
      <c r="G271" s="5130"/>
      <c r="H271" s="5130"/>
      <c r="I271" s="5130"/>
      <c r="J271" s="5130"/>
      <c r="K271" s="5130"/>
      <c r="L271" s="5130"/>
      <c r="M271" s="5138"/>
      <c r="N271" s="5138"/>
      <c r="O271" s="5138"/>
      <c r="P271" s="5130"/>
      <c r="Q271" s="5130"/>
      <c r="R271" s="5128"/>
      <c r="S271" s="3745"/>
      <c r="T271" s="3729"/>
      <c r="U271" s="1779"/>
      <c r="V271" s="2686"/>
      <c r="W271" s="1781"/>
      <c r="X271" s="1782"/>
      <c r="Y271" s="1783"/>
      <c r="Z271" s="1783"/>
      <c r="AA271" s="1783"/>
      <c r="AB271" s="3602"/>
      <c r="AC271" s="1782"/>
      <c r="AD271" s="3572"/>
      <c r="AE271" s="3572"/>
      <c r="AF271" s="5085"/>
    </row>
    <row r="272" spans="1:32" ht="48.75" customHeight="1">
      <c r="A272" s="4564"/>
      <c r="B272" s="4570"/>
      <c r="C272" s="5144" t="s">
        <v>235</v>
      </c>
      <c r="D272" s="5129" t="s">
        <v>236</v>
      </c>
      <c r="E272" s="5129" t="s">
        <v>237</v>
      </c>
      <c r="F272" s="5129" t="s">
        <v>1137</v>
      </c>
      <c r="G272" s="5131" t="s">
        <v>239</v>
      </c>
      <c r="H272" s="5129" t="s">
        <v>240</v>
      </c>
      <c r="I272" s="5129" t="s">
        <v>257</v>
      </c>
      <c r="J272" s="5129" t="s">
        <v>5573</v>
      </c>
      <c r="K272" s="5129" t="s">
        <v>1218</v>
      </c>
      <c r="L272" s="5129" t="s">
        <v>5512</v>
      </c>
      <c r="M272" s="5142">
        <v>4</v>
      </c>
      <c r="N272" s="5142">
        <v>4</v>
      </c>
      <c r="O272" s="5142">
        <v>3</v>
      </c>
      <c r="P272" s="5129" t="s">
        <v>5437</v>
      </c>
      <c r="Q272" s="5129" t="s">
        <v>5409</v>
      </c>
      <c r="R272" s="5125" t="s">
        <v>5358</v>
      </c>
      <c r="S272" s="3749"/>
      <c r="T272" s="3725"/>
      <c r="U272" s="3725"/>
      <c r="V272" s="3530"/>
      <c r="W272" s="2633"/>
      <c r="X272" s="1967"/>
      <c r="Y272" s="3565"/>
      <c r="Z272" s="3565"/>
      <c r="AA272" s="3565"/>
      <c r="AB272" s="3566"/>
      <c r="AC272" s="1967"/>
      <c r="AD272" s="1967"/>
      <c r="AE272" s="1967"/>
      <c r="AF272" s="5155"/>
    </row>
    <row r="273" spans="1:32" ht="48.75" customHeight="1">
      <c r="A273" s="4564"/>
      <c r="B273" s="4570"/>
      <c r="C273" s="5145"/>
      <c r="D273" s="5130"/>
      <c r="E273" s="5130"/>
      <c r="F273" s="5130"/>
      <c r="G273" s="5130"/>
      <c r="H273" s="5130"/>
      <c r="I273" s="5130"/>
      <c r="J273" s="5130"/>
      <c r="K273" s="5130"/>
      <c r="L273" s="5130"/>
      <c r="M273" s="5138"/>
      <c r="N273" s="5138"/>
      <c r="O273" s="5138"/>
      <c r="P273" s="5130"/>
      <c r="Q273" s="5130"/>
      <c r="R273" s="5128"/>
      <c r="S273" s="3744"/>
      <c r="T273" s="3719"/>
      <c r="U273" s="3718"/>
      <c r="V273" s="2681"/>
      <c r="W273" s="2630"/>
      <c r="X273" s="532"/>
      <c r="Y273" s="3561"/>
      <c r="Z273" s="3561"/>
      <c r="AA273" s="3561"/>
      <c r="AB273" s="3562"/>
      <c r="AC273" s="532"/>
      <c r="AD273" s="532"/>
      <c r="AE273" s="532"/>
      <c r="AF273" s="5051"/>
    </row>
    <row r="274" spans="1:32" ht="48.75" customHeight="1">
      <c r="A274" s="4564"/>
      <c r="B274" s="4570"/>
      <c r="C274" s="5145"/>
      <c r="D274" s="5130"/>
      <c r="E274" s="5130"/>
      <c r="F274" s="5130"/>
      <c r="G274" s="5130"/>
      <c r="H274" s="5130"/>
      <c r="I274" s="5130"/>
      <c r="J274" s="5130"/>
      <c r="K274" s="5130"/>
      <c r="L274" s="5130"/>
      <c r="M274" s="5138"/>
      <c r="N274" s="5138"/>
      <c r="O274" s="5138"/>
      <c r="P274" s="5130"/>
      <c r="Q274" s="5130"/>
      <c r="R274" s="5128"/>
      <c r="S274" s="3744"/>
      <c r="T274" s="3719"/>
      <c r="U274" s="3718"/>
      <c r="V274" s="2681"/>
      <c r="W274" s="2630"/>
      <c r="X274" s="532"/>
      <c r="Y274" s="3561"/>
      <c r="Z274" s="3561"/>
      <c r="AA274" s="3561"/>
      <c r="AB274" s="3562"/>
      <c r="AC274" s="532"/>
      <c r="AD274" s="532"/>
      <c r="AE274" s="533"/>
      <c r="AF274" s="5051"/>
    </row>
    <row r="275" spans="1:32" ht="48.75" customHeight="1">
      <c r="A275" s="4564"/>
      <c r="B275" s="4570"/>
      <c r="C275" s="5145"/>
      <c r="D275" s="5130"/>
      <c r="E275" s="5130"/>
      <c r="F275" s="5130"/>
      <c r="G275" s="5130"/>
      <c r="H275" s="5130"/>
      <c r="I275" s="5130"/>
      <c r="J275" s="5130"/>
      <c r="K275" s="5130"/>
      <c r="L275" s="5130"/>
      <c r="M275" s="5138"/>
      <c r="N275" s="5138"/>
      <c r="O275" s="5138"/>
      <c r="P275" s="5130"/>
      <c r="Q275" s="5130"/>
      <c r="R275" s="5128"/>
      <c r="S275" s="3744"/>
      <c r="T275" s="3719"/>
      <c r="U275" s="3718"/>
      <c r="V275" s="2681"/>
      <c r="W275" s="2630"/>
      <c r="X275" s="532"/>
      <c r="Y275" s="3561"/>
      <c r="Z275" s="3561"/>
      <c r="AA275" s="3561"/>
      <c r="AB275" s="3562"/>
      <c r="AC275" s="532"/>
      <c r="AD275" s="532"/>
      <c r="AE275" s="533"/>
      <c r="AF275" s="5051"/>
    </row>
    <row r="276" spans="1:32" ht="48.75" customHeight="1">
      <c r="A276" s="4564"/>
      <c r="B276" s="4570"/>
      <c r="C276" s="5145"/>
      <c r="D276" s="5130"/>
      <c r="E276" s="5130"/>
      <c r="F276" s="5130"/>
      <c r="G276" s="5130"/>
      <c r="H276" s="5130"/>
      <c r="I276" s="5130"/>
      <c r="J276" s="5130"/>
      <c r="K276" s="5130"/>
      <c r="L276" s="5130"/>
      <c r="M276" s="5138"/>
      <c r="N276" s="5138"/>
      <c r="O276" s="5138"/>
      <c r="P276" s="5130"/>
      <c r="Q276" s="5130"/>
      <c r="R276" s="5153"/>
      <c r="S276" s="3750"/>
      <c r="T276" s="3733"/>
      <c r="U276" s="3720"/>
      <c r="V276" s="2682"/>
      <c r="W276" s="2631"/>
      <c r="X276" s="575"/>
      <c r="Y276" s="3603"/>
      <c r="Z276" s="3603"/>
      <c r="AA276" s="3603"/>
      <c r="AB276" s="3604"/>
      <c r="AC276" s="575"/>
      <c r="AD276" s="575"/>
      <c r="AE276" s="321"/>
      <c r="AF276" s="5051"/>
    </row>
    <row r="277" spans="1:32" ht="38.25" customHeight="1">
      <c r="A277" s="4564"/>
      <c r="B277" s="4570"/>
      <c r="C277" s="5144" t="s">
        <v>235</v>
      </c>
      <c r="D277" s="5129" t="s">
        <v>236</v>
      </c>
      <c r="E277" s="5129" t="s">
        <v>237</v>
      </c>
      <c r="F277" s="5129" t="s">
        <v>1137</v>
      </c>
      <c r="G277" s="5131" t="s">
        <v>239</v>
      </c>
      <c r="H277" s="5129" t="s">
        <v>240</v>
      </c>
      <c r="I277" s="5129" t="s">
        <v>257</v>
      </c>
      <c r="J277" s="5129" t="s">
        <v>5574</v>
      </c>
      <c r="K277" s="5129" t="s">
        <v>338</v>
      </c>
      <c r="L277" s="5129" t="s">
        <v>5513</v>
      </c>
      <c r="M277" s="5142">
        <v>0</v>
      </c>
      <c r="N277" s="5142">
        <v>1</v>
      </c>
      <c r="O277" s="5142">
        <v>1</v>
      </c>
      <c r="P277" s="5129" t="s">
        <v>5436</v>
      </c>
      <c r="Q277" s="5129" t="s">
        <v>5410</v>
      </c>
      <c r="R277" s="5132" t="s">
        <v>5358</v>
      </c>
      <c r="S277" s="3743"/>
      <c r="T277" s="3721"/>
      <c r="U277" s="3721"/>
      <c r="V277" s="3575"/>
      <c r="W277" s="3576"/>
      <c r="X277" s="3580"/>
      <c r="Y277" s="3607"/>
      <c r="Z277" s="3607"/>
      <c r="AA277" s="3607"/>
      <c r="AB277" s="3608"/>
      <c r="AC277" s="3580"/>
      <c r="AD277" s="3582"/>
      <c r="AE277" s="3582"/>
      <c r="AF277" s="5154"/>
    </row>
    <row r="278" spans="1:32" ht="38.25" customHeight="1">
      <c r="A278" s="4564"/>
      <c r="B278" s="4570"/>
      <c r="C278" s="5145"/>
      <c r="D278" s="5130"/>
      <c r="E278" s="5130"/>
      <c r="F278" s="5130"/>
      <c r="G278" s="5130"/>
      <c r="H278" s="5130"/>
      <c r="I278" s="5130"/>
      <c r="J278" s="5130"/>
      <c r="K278" s="5130"/>
      <c r="L278" s="5130"/>
      <c r="M278" s="5138"/>
      <c r="N278" s="5138"/>
      <c r="O278" s="5138"/>
      <c r="P278" s="5130"/>
      <c r="Q278" s="5130"/>
      <c r="R278" s="5128"/>
      <c r="S278" s="3744"/>
      <c r="T278" s="3719"/>
      <c r="U278" s="3718"/>
      <c r="V278" s="2681"/>
      <c r="W278" s="2630"/>
      <c r="X278" s="532"/>
      <c r="Y278" s="3561"/>
      <c r="Z278" s="3561"/>
      <c r="AA278" s="3561"/>
      <c r="AB278" s="3562"/>
      <c r="AC278" s="532"/>
      <c r="AD278" s="533"/>
      <c r="AE278" s="533"/>
      <c r="AF278" s="5051"/>
    </row>
    <row r="279" spans="1:32" ht="38.25" customHeight="1">
      <c r="A279" s="4564"/>
      <c r="B279" s="4570"/>
      <c r="C279" s="5145"/>
      <c r="D279" s="5130"/>
      <c r="E279" s="5130"/>
      <c r="F279" s="5130"/>
      <c r="G279" s="5130"/>
      <c r="H279" s="5130"/>
      <c r="I279" s="5130"/>
      <c r="J279" s="5130"/>
      <c r="K279" s="5130"/>
      <c r="L279" s="5130"/>
      <c r="M279" s="5138"/>
      <c r="N279" s="5138"/>
      <c r="O279" s="5138"/>
      <c r="P279" s="5130"/>
      <c r="Q279" s="5130"/>
      <c r="R279" s="5128"/>
      <c r="S279" s="3744"/>
      <c r="T279" s="3719"/>
      <c r="U279" s="3718"/>
      <c r="V279" s="2681"/>
      <c r="W279" s="2630"/>
      <c r="X279" s="532"/>
      <c r="Y279" s="3561"/>
      <c r="Z279" s="3561"/>
      <c r="AA279" s="3561"/>
      <c r="AB279" s="3562"/>
      <c r="AC279" s="532"/>
      <c r="AD279" s="533"/>
      <c r="AE279" s="533"/>
      <c r="AF279" s="5051"/>
    </row>
    <row r="280" spans="1:32" ht="38.25" customHeight="1">
      <c r="A280" s="4564"/>
      <c r="B280" s="4570"/>
      <c r="C280" s="5145"/>
      <c r="D280" s="5130"/>
      <c r="E280" s="5130"/>
      <c r="F280" s="5130"/>
      <c r="G280" s="5130"/>
      <c r="H280" s="5130"/>
      <c r="I280" s="5130"/>
      <c r="J280" s="5130"/>
      <c r="K280" s="5130"/>
      <c r="L280" s="5130"/>
      <c r="M280" s="5138"/>
      <c r="N280" s="5138"/>
      <c r="O280" s="5138"/>
      <c r="P280" s="5130"/>
      <c r="Q280" s="5130"/>
      <c r="R280" s="5128"/>
      <c r="S280" s="3744"/>
      <c r="T280" s="3719"/>
      <c r="U280" s="3718"/>
      <c r="V280" s="2681"/>
      <c r="W280" s="2630"/>
      <c r="X280" s="532"/>
      <c r="Y280" s="3561"/>
      <c r="Z280" s="3561"/>
      <c r="AA280" s="3561"/>
      <c r="AB280" s="3562"/>
      <c r="AC280" s="532"/>
      <c r="AD280" s="533"/>
      <c r="AE280" s="533"/>
      <c r="AF280" s="5051"/>
    </row>
    <row r="281" spans="1:32" ht="38.25" customHeight="1">
      <c r="A281" s="4564"/>
      <c r="B281" s="4570"/>
      <c r="C281" s="5145"/>
      <c r="D281" s="5130"/>
      <c r="E281" s="5130"/>
      <c r="F281" s="5130"/>
      <c r="G281" s="5130"/>
      <c r="H281" s="5130"/>
      <c r="I281" s="5130"/>
      <c r="J281" s="5130"/>
      <c r="K281" s="5130"/>
      <c r="L281" s="5130"/>
      <c r="M281" s="5138"/>
      <c r="N281" s="5138"/>
      <c r="O281" s="5138"/>
      <c r="P281" s="5130"/>
      <c r="Q281" s="5130"/>
      <c r="R281" s="5128"/>
      <c r="S281" s="3745"/>
      <c r="T281" s="3729"/>
      <c r="U281" s="1779"/>
      <c r="V281" s="2686"/>
      <c r="W281" s="1781"/>
      <c r="X281" s="1782"/>
      <c r="Y281" s="1783"/>
      <c r="Z281" s="1783"/>
      <c r="AA281" s="1783"/>
      <c r="AB281" s="3602"/>
      <c r="AC281" s="1782"/>
      <c r="AD281" s="3572"/>
      <c r="AE281" s="3572"/>
      <c r="AF281" s="5085"/>
    </row>
    <row r="282" spans="1:32" ht="30.75" customHeight="1">
      <c r="A282" s="4564"/>
      <c r="B282" s="4570"/>
      <c r="C282" s="5144" t="s">
        <v>235</v>
      </c>
      <c r="D282" s="5129" t="s">
        <v>236</v>
      </c>
      <c r="E282" s="5129" t="s">
        <v>237</v>
      </c>
      <c r="F282" s="5129" t="s">
        <v>1137</v>
      </c>
      <c r="G282" s="5131" t="s">
        <v>239</v>
      </c>
      <c r="H282" s="5129" t="s">
        <v>240</v>
      </c>
      <c r="I282" s="5129" t="s">
        <v>257</v>
      </c>
      <c r="J282" s="5129" t="s">
        <v>5575</v>
      </c>
      <c r="K282" s="5129" t="s">
        <v>707</v>
      </c>
      <c r="L282" s="5129" t="s">
        <v>5514</v>
      </c>
      <c r="M282" s="5142">
        <v>10</v>
      </c>
      <c r="N282" s="5142">
        <v>10</v>
      </c>
      <c r="O282" s="5142">
        <v>10</v>
      </c>
      <c r="P282" s="5129" t="s">
        <v>5435</v>
      </c>
      <c r="Q282" s="5129" t="s">
        <v>4252</v>
      </c>
      <c r="R282" s="5125" t="s">
        <v>5360</v>
      </c>
      <c r="S282" s="3749"/>
      <c r="T282" s="3725"/>
      <c r="U282" s="3725"/>
      <c r="V282" s="3530"/>
      <c r="W282" s="2633"/>
      <c r="X282" s="1967"/>
      <c r="Y282" s="3565"/>
      <c r="Z282" s="3565"/>
      <c r="AA282" s="3565"/>
      <c r="AB282" s="3566"/>
      <c r="AC282" s="1967"/>
      <c r="AD282" s="1971"/>
      <c r="AE282" s="1971"/>
      <c r="AF282" s="5155"/>
    </row>
    <row r="283" spans="1:32" ht="30.75" customHeight="1">
      <c r="A283" s="4564"/>
      <c r="B283" s="4570"/>
      <c r="C283" s="5145"/>
      <c r="D283" s="5130"/>
      <c r="E283" s="5130"/>
      <c r="F283" s="5130"/>
      <c r="G283" s="5130"/>
      <c r="H283" s="5130"/>
      <c r="I283" s="5130"/>
      <c r="J283" s="5130"/>
      <c r="K283" s="5130"/>
      <c r="L283" s="5130"/>
      <c r="M283" s="5138"/>
      <c r="N283" s="5138"/>
      <c r="O283" s="5138"/>
      <c r="P283" s="5130"/>
      <c r="Q283" s="5130"/>
      <c r="R283" s="5128"/>
      <c r="S283" s="3744"/>
      <c r="T283" s="3719"/>
      <c r="U283" s="3718"/>
      <c r="V283" s="2681"/>
      <c r="W283" s="2630"/>
      <c r="X283" s="532"/>
      <c r="Y283" s="3561"/>
      <c r="Z283" s="3561"/>
      <c r="AA283" s="3561"/>
      <c r="AB283" s="3562"/>
      <c r="AC283" s="532"/>
      <c r="AD283" s="533"/>
      <c r="AE283" s="533"/>
      <c r="AF283" s="5051"/>
    </row>
    <row r="284" spans="1:32" ht="30.75" customHeight="1">
      <c r="A284" s="4564"/>
      <c r="B284" s="4570"/>
      <c r="C284" s="5145"/>
      <c r="D284" s="5130"/>
      <c r="E284" s="5130"/>
      <c r="F284" s="5130"/>
      <c r="G284" s="5130"/>
      <c r="H284" s="5130"/>
      <c r="I284" s="5130"/>
      <c r="J284" s="5130"/>
      <c r="K284" s="5130"/>
      <c r="L284" s="5130"/>
      <c r="M284" s="5138"/>
      <c r="N284" s="5138"/>
      <c r="O284" s="5138"/>
      <c r="P284" s="5130"/>
      <c r="Q284" s="5130"/>
      <c r="R284" s="5128"/>
      <c r="S284" s="3744"/>
      <c r="T284" s="3719"/>
      <c r="U284" s="3718"/>
      <c r="V284" s="2681"/>
      <c r="W284" s="2630"/>
      <c r="X284" s="532"/>
      <c r="Y284" s="3561"/>
      <c r="Z284" s="3561"/>
      <c r="AA284" s="3561"/>
      <c r="AB284" s="3562"/>
      <c r="AC284" s="532"/>
      <c r="AD284" s="533"/>
      <c r="AE284" s="533"/>
      <c r="AF284" s="5051"/>
    </row>
    <row r="285" spans="1:32" ht="30.75" customHeight="1">
      <c r="A285" s="4564"/>
      <c r="B285" s="4570"/>
      <c r="C285" s="5145"/>
      <c r="D285" s="5130"/>
      <c r="E285" s="5130"/>
      <c r="F285" s="5130"/>
      <c r="G285" s="5130"/>
      <c r="H285" s="5130"/>
      <c r="I285" s="5130"/>
      <c r="J285" s="5130"/>
      <c r="K285" s="5130"/>
      <c r="L285" s="5130"/>
      <c r="M285" s="5138"/>
      <c r="N285" s="5138"/>
      <c r="O285" s="5138"/>
      <c r="P285" s="5130"/>
      <c r="Q285" s="5130"/>
      <c r="R285" s="5128"/>
      <c r="S285" s="3744"/>
      <c r="T285" s="3719"/>
      <c r="U285" s="3718"/>
      <c r="V285" s="2681"/>
      <c r="W285" s="2630"/>
      <c r="X285" s="532"/>
      <c r="Y285" s="3561"/>
      <c r="Z285" s="3561"/>
      <c r="AA285" s="3561"/>
      <c r="AB285" s="3562"/>
      <c r="AC285" s="532"/>
      <c r="AD285" s="533"/>
      <c r="AE285" s="533"/>
      <c r="AF285" s="5051"/>
    </row>
    <row r="286" spans="1:32" ht="30.75" customHeight="1" thickBot="1">
      <c r="A286" s="4564"/>
      <c r="B286" s="4570"/>
      <c r="C286" s="5146"/>
      <c r="D286" s="5136"/>
      <c r="E286" s="5136"/>
      <c r="F286" s="5136"/>
      <c r="G286" s="5136"/>
      <c r="H286" s="5136"/>
      <c r="I286" s="5136"/>
      <c r="J286" s="5136"/>
      <c r="K286" s="5136"/>
      <c r="L286" s="5136"/>
      <c r="M286" s="5139"/>
      <c r="N286" s="5139"/>
      <c r="O286" s="5139"/>
      <c r="P286" s="5136"/>
      <c r="Q286" s="5136"/>
      <c r="R286" s="5141"/>
      <c r="S286" s="3751"/>
      <c r="T286" s="3734"/>
      <c r="U286" s="3726"/>
      <c r="V286" s="3532"/>
      <c r="W286" s="2642"/>
      <c r="X286" s="578"/>
      <c r="Y286" s="3563"/>
      <c r="Z286" s="3563"/>
      <c r="AA286" s="3563"/>
      <c r="AB286" s="3564"/>
      <c r="AC286" s="578"/>
      <c r="AD286" s="341"/>
      <c r="AE286" s="341"/>
      <c r="AF286" s="5087"/>
    </row>
    <row r="287" spans="1:32" ht="22.5" customHeight="1" thickBot="1">
      <c r="A287" s="4564"/>
      <c r="B287" s="4479"/>
      <c r="C287" s="3647"/>
      <c r="D287" s="3646"/>
      <c r="E287" s="3646"/>
      <c r="F287" s="3646"/>
      <c r="G287" s="3646"/>
      <c r="H287" s="3646"/>
      <c r="I287" s="3646"/>
      <c r="J287" s="3646"/>
      <c r="K287" s="3646"/>
      <c r="L287" s="3646"/>
      <c r="M287" s="3653"/>
      <c r="N287" s="3653"/>
      <c r="O287" s="3653"/>
      <c r="P287" s="3651"/>
      <c r="Q287" s="3651"/>
      <c r="R287" s="3652"/>
      <c r="S287" s="5108" t="s">
        <v>1219</v>
      </c>
      <c r="T287" s="5109"/>
      <c r="U287" s="5109"/>
      <c r="V287" s="5109"/>
      <c r="W287" s="5109"/>
      <c r="X287" s="5109"/>
      <c r="Y287" s="5109"/>
      <c r="Z287" s="5109"/>
      <c r="AA287" s="2232" t="s">
        <v>340</v>
      </c>
      <c r="AB287" s="2233">
        <f>SUM(AB242:AB286)</f>
        <v>35</v>
      </c>
      <c r="AC287" s="5162"/>
      <c r="AD287" s="5113"/>
      <c r="AE287" s="5113"/>
      <c r="AF287" s="5114"/>
    </row>
    <row r="288" spans="1:32" ht="30" customHeight="1">
      <c r="A288" s="4564"/>
      <c r="B288" s="4571" t="s">
        <v>1220</v>
      </c>
      <c r="C288" s="5147" t="s">
        <v>235</v>
      </c>
      <c r="D288" s="5148" t="s">
        <v>236</v>
      </c>
      <c r="E288" s="5148" t="s">
        <v>244</v>
      </c>
      <c r="F288" s="5148" t="s">
        <v>337</v>
      </c>
      <c r="G288" s="5164" t="s">
        <v>239</v>
      </c>
      <c r="H288" s="5148" t="s">
        <v>240</v>
      </c>
      <c r="I288" s="5148" t="s">
        <v>257</v>
      </c>
      <c r="J288" s="5148" t="s">
        <v>5576</v>
      </c>
      <c r="K288" s="5148" t="s">
        <v>1221</v>
      </c>
      <c r="L288" s="5148" t="s">
        <v>5515</v>
      </c>
      <c r="M288" s="5160">
        <v>10</v>
      </c>
      <c r="N288" s="5160">
        <v>10</v>
      </c>
      <c r="O288" s="5160">
        <v>10</v>
      </c>
      <c r="P288" s="5068" t="s">
        <v>5434</v>
      </c>
      <c r="Q288" s="5161" t="s">
        <v>5411</v>
      </c>
      <c r="R288" s="5090" t="s">
        <v>5361</v>
      </c>
      <c r="S288" s="3755"/>
      <c r="T288" s="3731"/>
      <c r="U288" s="3717"/>
      <c r="V288" s="3533"/>
      <c r="W288" s="2629"/>
      <c r="X288" s="577"/>
      <c r="Y288" s="3559"/>
      <c r="Z288" s="3559"/>
      <c r="AA288" s="3559"/>
      <c r="AB288" s="3560"/>
      <c r="AC288" s="577"/>
      <c r="AD288" s="320"/>
      <c r="AE288" s="320"/>
      <c r="AF288" s="5159"/>
    </row>
    <row r="289" spans="1:32" ht="30" customHeight="1">
      <c r="A289" s="4564"/>
      <c r="B289" s="4570"/>
      <c r="C289" s="5145"/>
      <c r="D289" s="5130"/>
      <c r="E289" s="5130"/>
      <c r="F289" s="5130"/>
      <c r="G289" s="5130"/>
      <c r="H289" s="5130"/>
      <c r="I289" s="5130"/>
      <c r="J289" s="5130"/>
      <c r="K289" s="5130"/>
      <c r="L289" s="5130"/>
      <c r="M289" s="5138"/>
      <c r="N289" s="5138"/>
      <c r="O289" s="5138"/>
      <c r="P289" s="5062"/>
      <c r="Q289" s="5130"/>
      <c r="R289" s="5078"/>
      <c r="S289" s="3744"/>
      <c r="T289" s="2601"/>
      <c r="U289" s="3718"/>
      <c r="V289" s="2681"/>
      <c r="W289" s="2630"/>
      <c r="X289" s="532"/>
      <c r="Y289" s="3561"/>
      <c r="Z289" s="3561"/>
      <c r="AA289" s="3561"/>
      <c r="AB289" s="3562"/>
      <c r="AC289" s="532"/>
      <c r="AD289" s="533"/>
      <c r="AE289" s="533"/>
      <c r="AF289" s="5051"/>
    </row>
    <row r="290" spans="1:32" ht="30" customHeight="1">
      <c r="A290" s="4564"/>
      <c r="B290" s="4570"/>
      <c r="C290" s="5145"/>
      <c r="D290" s="5130"/>
      <c r="E290" s="5130"/>
      <c r="F290" s="5130"/>
      <c r="G290" s="5130"/>
      <c r="H290" s="5130"/>
      <c r="I290" s="5130"/>
      <c r="J290" s="5130"/>
      <c r="K290" s="5130"/>
      <c r="L290" s="5130"/>
      <c r="M290" s="5138"/>
      <c r="N290" s="5138"/>
      <c r="O290" s="5138"/>
      <c r="P290" s="5062"/>
      <c r="Q290" s="5130"/>
      <c r="R290" s="5078"/>
      <c r="S290" s="3744"/>
      <c r="T290" s="2601"/>
      <c r="U290" s="3718"/>
      <c r="V290" s="2681"/>
      <c r="W290" s="2630"/>
      <c r="X290" s="532"/>
      <c r="Y290" s="3561"/>
      <c r="Z290" s="3561"/>
      <c r="AA290" s="3561"/>
      <c r="AB290" s="3562"/>
      <c r="AC290" s="532"/>
      <c r="AD290" s="533"/>
      <c r="AE290" s="533"/>
      <c r="AF290" s="5051"/>
    </row>
    <row r="291" spans="1:32" ht="30" customHeight="1">
      <c r="A291" s="4564"/>
      <c r="B291" s="4570"/>
      <c r="C291" s="5145"/>
      <c r="D291" s="5130"/>
      <c r="E291" s="5130"/>
      <c r="F291" s="5130"/>
      <c r="G291" s="5130"/>
      <c r="H291" s="5130"/>
      <c r="I291" s="5130"/>
      <c r="J291" s="5130"/>
      <c r="K291" s="5130"/>
      <c r="L291" s="5130"/>
      <c r="M291" s="5138"/>
      <c r="N291" s="5138"/>
      <c r="O291" s="5138"/>
      <c r="P291" s="5062"/>
      <c r="Q291" s="5130"/>
      <c r="R291" s="5078"/>
      <c r="S291" s="3744"/>
      <c r="T291" s="2601"/>
      <c r="U291" s="3719"/>
      <c r="V291" s="2681"/>
      <c r="W291" s="2630"/>
      <c r="X291" s="532"/>
      <c r="Y291" s="3561"/>
      <c r="Z291" s="3561"/>
      <c r="AA291" s="3561"/>
      <c r="AB291" s="3562"/>
      <c r="AC291" s="532"/>
      <c r="AD291" s="533"/>
      <c r="AE291" s="533"/>
      <c r="AF291" s="5051"/>
    </row>
    <row r="292" spans="1:32" ht="30" customHeight="1">
      <c r="A292" s="4564"/>
      <c r="B292" s="4570"/>
      <c r="C292" s="5145"/>
      <c r="D292" s="5130"/>
      <c r="E292" s="5130"/>
      <c r="F292" s="5130"/>
      <c r="G292" s="5130"/>
      <c r="H292" s="5130"/>
      <c r="I292" s="5130"/>
      <c r="J292" s="5130"/>
      <c r="K292" s="5130"/>
      <c r="L292" s="5130"/>
      <c r="M292" s="5138"/>
      <c r="N292" s="5138"/>
      <c r="O292" s="5138"/>
      <c r="P292" s="5127"/>
      <c r="Q292" s="5130"/>
      <c r="R292" s="5126"/>
      <c r="S292" s="3750"/>
      <c r="T292" s="3735"/>
      <c r="U292" s="3720"/>
      <c r="V292" s="2682"/>
      <c r="W292" s="2631"/>
      <c r="X292" s="575"/>
      <c r="Y292" s="3603"/>
      <c r="Z292" s="3603"/>
      <c r="AA292" s="3603"/>
      <c r="AB292" s="3604"/>
      <c r="AC292" s="575"/>
      <c r="AD292" s="321"/>
      <c r="AE292" s="321"/>
      <c r="AF292" s="5051"/>
    </row>
    <row r="293" spans="1:32" ht="18" customHeight="1">
      <c r="A293" s="4564"/>
      <c r="B293" s="4570"/>
      <c r="C293" s="5144" t="s">
        <v>235</v>
      </c>
      <c r="D293" s="5129" t="s">
        <v>236</v>
      </c>
      <c r="E293" s="5129" t="s">
        <v>244</v>
      </c>
      <c r="F293" s="5129" t="s">
        <v>337</v>
      </c>
      <c r="G293" s="5131" t="s">
        <v>239</v>
      </c>
      <c r="H293" s="5129" t="s">
        <v>240</v>
      </c>
      <c r="I293" s="5129" t="s">
        <v>257</v>
      </c>
      <c r="J293" s="5129" t="s">
        <v>5577</v>
      </c>
      <c r="K293" s="5129" t="s">
        <v>1222</v>
      </c>
      <c r="L293" s="5129" t="s">
        <v>5516</v>
      </c>
      <c r="M293" s="5142">
        <v>200</v>
      </c>
      <c r="N293" s="5142">
        <v>200</v>
      </c>
      <c r="O293" s="5142">
        <v>200</v>
      </c>
      <c r="P293" s="5129" t="s">
        <v>5433</v>
      </c>
      <c r="Q293" s="5135" t="s">
        <v>5412</v>
      </c>
      <c r="R293" s="5132" t="s">
        <v>5362</v>
      </c>
      <c r="S293" s="3743" t="s">
        <v>11</v>
      </c>
      <c r="T293" s="3759">
        <v>530809</v>
      </c>
      <c r="U293" s="3723"/>
      <c r="V293" s="3716" t="s">
        <v>136</v>
      </c>
      <c r="W293" s="3687"/>
      <c r="X293" s="3612"/>
      <c r="Y293" s="3692"/>
      <c r="Z293" s="3692"/>
      <c r="AA293" s="3692"/>
      <c r="AB293" s="3608">
        <f>SUM($AA$294:$AA$317)</f>
        <v>13767.935999999998</v>
      </c>
      <c r="AC293" s="3612"/>
      <c r="AD293" s="3612"/>
      <c r="AE293" s="3612"/>
      <c r="AF293" s="5154"/>
    </row>
    <row r="294" spans="1:32" ht="18" customHeight="1">
      <c r="A294" s="4564"/>
      <c r="B294" s="4570"/>
      <c r="C294" s="5145"/>
      <c r="D294" s="5130"/>
      <c r="E294" s="5130"/>
      <c r="F294" s="5130"/>
      <c r="G294" s="5130"/>
      <c r="H294" s="5130"/>
      <c r="I294" s="5130"/>
      <c r="J294" s="5130"/>
      <c r="K294" s="5130"/>
      <c r="L294" s="5130"/>
      <c r="M294" s="5138"/>
      <c r="N294" s="5138"/>
      <c r="O294" s="5138"/>
      <c r="P294" s="5130"/>
      <c r="Q294" s="5130"/>
      <c r="R294" s="5128"/>
      <c r="S294" s="3744"/>
      <c r="T294" s="2601"/>
      <c r="U294" s="3718">
        <v>352500531</v>
      </c>
      <c r="V294" s="2684" t="s">
        <v>1223</v>
      </c>
      <c r="W294" s="2638">
        <v>150</v>
      </c>
      <c r="X294" s="532" t="s">
        <v>269</v>
      </c>
      <c r="Y294" s="3561">
        <v>11.35</v>
      </c>
      <c r="Z294" s="3561">
        <f t="shared" ref="Z294:Z317" si="14">+W294*Y294</f>
        <v>1702.5</v>
      </c>
      <c r="AA294" s="3561">
        <f t="shared" ref="AA294:AA317" si="15">+Z294*1.12</f>
        <v>1906.8000000000002</v>
      </c>
      <c r="AB294" s="3690"/>
      <c r="AC294" s="579"/>
      <c r="AD294" s="579" t="s">
        <v>251</v>
      </c>
      <c r="AE294" s="579"/>
      <c r="AF294" s="5051"/>
    </row>
    <row r="295" spans="1:32" ht="18" customHeight="1">
      <c r="A295" s="4564"/>
      <c r="B295" s="4570"/>
      <c r="C295" s="5145"/>
      <c r="D295" s="5130"/>
      <c r="E295" s="5130"/>
      <c r="F295" s="5130"/>
      <c r="G295" s="5130"/>
      <c r="H295" s="5130"/>
      <c r="I295" s="5130"/>
      <c r="J295" s="5130"/>
      <c r="K295" s="5130"/>
      <c r="L295" s="5130"/>
      <c r="M295" s="5138"/>
      <c r="N295" s="5138"/>
      <c r="O295" s="5138"/>
      <c r="P295" s="5130"/>
      <c r="Q295" s="5130"/>
      <c r="R295" s="5128"/>
      <c r="S295" s="3744"/>
      <c r="T295" s="2601"/>
      <c r="U295" s="3718">
        <v>352501311</v>
      </c>
      <c r="V295" s="2684" t="s">
        <v>5299</v>
      </c>
      <c r="W295" s="2638">
        <v>100</v>
      </c>
      <c r="X295" s="532" t="s">
        <v>269</v>
      </c>
      <c r="Y295" s="3561">
        <v>1.59</v>
      </c>
      <c r="Z295" s="3561">
        <f t="shared" si="14"/>
        <v>159</v>
      </c>
      <c r="AA295" s="3561">
        <f t="shared" si="15"/>
        <v>178.08</v>
      </c>
      <c r="AB295" s="3690"/>
      <c r="AC295" s="579"/>
      <c r="AD295" s="579" t="s">
        <v>251</v>
      </c>
      <c r="AE295" s="579"/>
      <c r="AF295" s="5051"/>
    </row>
    <row r="296" spans="1:32" ht="18" customHeight="1">
      <c r="A296" s="4564"/>
      <c r="B296" s="4570"/>
      <c r="C296" s="5145"/>
      <c r="D296" s="5130"/>
      <c r="E296" s="5130"/>
      <c r="F296" s="5130"/>
      <c r="G296" s="5130"/>
      <c r="H296" s="5130"/>
      <c r="I296" s="5130"/>
      <c r="J296" s="5130"/>
      <c r="K296" s="5130"/>
      <c r="L296" s="5130"/>
      <c r="M296" s="5138"/>
      <c r="N296" s="5138"/>
      <c r="O296" s="5138"/>
      <c r="P296" s="5130"/>
      <c r="Q296" s="5130"/>
      <c r="R296" s="5128"/>
      <c r="S296" s="3744"/>
      <c r="T296" s="2601"/>
      <c r="U296" s="3718">
        <v>352100011</v>
      </c>
      <c r="V296" s="2684" t="s">
        <v>5300</v>
      </c>
      <c r="W296" s="3701">
        <v>1000</v>
      </c>
      <c r="X296" s="532" t="s">
        <v>269</v>
      </c>
      <c r="Y296" s="3561">
        <v>0.3</v>
      </c>
      <c r="Z296" s="3561">
        <f t="shared" si="14"/>
        <v>300</v>
      </c>
      <c r="AA296" s="3561">
        <f t="shared" si="15"/>
        <v>336.00000000000006</v>
      </c>
      <c r="AB296" s="3690"/>
      <c r="AC296" s="579"/>
      <c r="AD296" s="579" t="s">
        <v>251</v>
      </c>
      <c r="AE296" s="579"/>
      <c r="AF296" s="5051"/>
    </row>
    <row r="297" spans="1:32" ht="18" customHeight="1">
      <c r="A297" s="4564"/>
      <c r="B297" s="4570"/>
      <c r="C297" s="5145"/>
      <c r="D297" s="5130"/>
      <c r="E297" s="5130"/>
      <c r="F297" s="5130"/>
      <c r="G297" s="5130"/>
      <c r="H297" s="5130"/>
      <c r="I297" s="5130"/>
      <c r="J297" s="5130"/>
      <c r="K297" s="5130"/>
      <c r="L297" s="5130"/>
      <c r="M297" s="5138"/>
      <c r="N297" s="5138"/>
      <c r="O297" s="5138"/>
      <c r="P297" s="5130"/>
      <c r="Q297" s="5130"/>
      <c r="R297" s="5128"/>
      <c r="S297" s="3744"/>
      <c r="T297" s="2601"/>
      <c r="U297" s="3718">
        <v>352100011</v>
      </c>
      <c r="V297" s="2684" t="s">
        <v>5301</v>
      </c>
      <c r="W297" s="2638">
        <v>500</v>
      </c>
      <c r="X297" s="532" t="s">
        <v>269</v>
      </c>
      <c r="Y297" s="3561">
        <v>0.75</v>
      </c>
      <c r="Z297" s="3561">
        <f t="shared" si="14"/>
        <v>375</v>
      </c>
      <c r="AA297" s="3561">
        <f t="shared" si="15"/>
        <v>420.00000000000006</v>
      </c>
      <c r="AB297" s="3690"/>
      <c r="AC297" s="579"/>
      <c r="AD297" s="579" t="s">
        <v>251</v>
      </c>
      <c r="AE297" s="579"/>
      <c r="AF297" s="5051"/>
    </row>
    <row r="298" spans="1:32" ht="18" customHeight="1">
      <c r="A298" s="4564"/>
      <c r="B298" s="4570"/>
      <c r="C298" s="5145"/>
      <c r="D298" s="5130"/>
      <c r="E298" s="5130"/>
      <c r="F298" s="5130"/>
      <c r="G298" s="5130"/>
      <c r="H298" s="5130"/>
      <c r="I298" s="5130"/>
      <c r="J298" s="5130"/>
      <c r="K298" s="5130"/>
      <c r="L298" s="5130"/>
      <c r="M298" s="5138"/>
      <c r="N298" s="5138"/>
      <c r="O298" s="5138"/>
      <c r="P298" s="5130"/>
      <c r="Q298" s="5130"/>
      <c r="R298" s="5128"/>
      <c r="S298" s="3744"/>
      <c r="T298" s="2601"/>
      <c r="U298" s="3718">
        <v>352501311</v>
      </c>
      <c r="V298" s="2684" t="s">
        <v>5302</v>
      </c>
      <c r="W298" s="2638">
        <v>500</v>
      </c>
      <c r="X298" s="532" t="s">
        <v>269</v>
      </c>
      <c r="Y298" s="3561">
        <v>2</v>
      </c>
      <c r="Z298" s="3561">
        <f t="shared" si="14"/>
        <v>1000</v>
      </c>
      <c r="AA298" s="3561">
        <f t="shared" si="15"/>
        <v>1120</v>
      </c>
      <c r="AB298" s="3690"/>
      <c r="AC298" s="579"/>
      <c r="AD298" s="579" t="s">
        <v>251</v>
      </c>
      <c r="AE298" s="579"/>
      <c r="AF298" s="5051"/>
    </row>
    <row r="299" spans="1:32" ht="18" customHeight="1">
      <c r="A299" s="4564"/>
      <c r="B299" s="4570"/>
      <c r="C299" s="5145"/>
      <c r="D299" s="5130"/>
      <c r="E299" s="5130"/>
      <c r="F299" s="5130"/>
      <c r="G299" s="5130"/>
      <c r="H299" s="5130"/>
      <c r="I299" s="5130"/>
      <c r="J299" s="5130"/>
      <c r="K299" s="5130"/>
      <c r="L299" s="5130"/>
      <c r="M299" s="5138"/>
      <c r="N299" s="5138"/>
      <c r="O299" s="5138"/>
      <c r="P299" s="5130"/>
      <c r="Q299" s="5130"/>
      <c r="R299" s="5128"/>
      <c r="S299" s="3744"/>
      <c r="T299" s="2601"/>
      <c r="U299" s="3718">
        <v>352501311</v>
      </c>
      <c r="V299" s="2684" t="s">
        <v>5303</v>
      </c>
      <c r="W299" s="2638">
        <v>100</v>
      </c>
      <c r="X299" s="532" t="s">
        <v>269</v>
      </c>
      <c r="Y299" s="3561">
        <v>0.25</v>
      </c>
      <c r="Z299" s="3561">
        <f t="shared" si="14"/>
        <v>25</v>
      </c>
      <c r="AA299" s="3561">
        <f t="shared" si="15"/>
        <v>28.000000000000004</v>
      </c>
      <c r="AB299" s="3690"/>
      <c r="AC299" s="579"/>
      <c r="AD299" s="579" t="s">
        <v>251</v>
      </c>
      <c r="AE299" s="579"/>
      <c r="AF299" s="5051"/>
    </row>
    <row r="300" spans="1:32" ht="18" customHeight="1">
      <c r="A300" s="4564"/>
      <c r="B300" s="4570"/>
      <c r="C300" s="5145"/>
      <c r="D300" s="5130"/>
      <c r="E300" s="5130"/>
      <c r="F300" s="5130"/>
      <c r="G300" s="5130"/>
      <c r="H300" s="5130"/>
      <c r="I300" s="5130"/>
      <c r="J300" s="5130"/>
      <c r="K300" s="5130"/>
      <c r="L300" s="5130"/>
      <c r="M300" s="5138"/>
      <c r="N300" s="5138"/>
      <c r="O300" s="5138"/>
      <c r="P300" s="5130"/>
      <c r="Q300" s="5130"/>
      <c r="R300" s="5128"/>
      <c r="S300" s="3744"/>
      <c r="T300" s="2601"/>
      <c r="U300" s="3718">
        <v>352100011</v>
      </c>
      <c r="V300" s="2684" t="s">
        <v>5304</v>
      </c>
      <c r="W300" s="2638">
        <v>500</v>
      </c>
      <c r="X300" s="532" t="s">
        <v>269</v>
      </c>
      <c r="Y300" s="3561">
        <v>0.2</v>
      </c>
      <c r="Z300" s="3561">
        <f t="shared" si="14"/>
        <v>100</v>
      </c>
      <c r="AA300" s="3561">
        <f t="shared" si="15"/>
        <v>112.00000000000001</v>
      </c>
      <c r="AB300" s="3690"/>
      <c r="AC300" s="579"/>
      <c r="AD300" s="579" t="s">
        <v>251</v>
      </c>
      <c r="AE300" s="579"/>
      <c r="AF300" s="5051"/>
    </row>
    <row r="301" spans="1:32" ht="18" customHeight="1">
      <c r="A301" s="4564"/>
      <c r="B301" s="4570"/>
      <c r="C301" s="5145"/>
      <c r="D301" s="5130"/>
      <c r="E301" s="5130"/>
      <c r="F301" s="5130"/>
      <c r="G301" s="5130"/>
      <c r="H301" s="5130"/>
      <c r="I301" s="5130"/>
      <c r="J301" s="5130"/>
      <c r="K301" s="5130"/>
      <c r="L301" s="5130"/>
      <c r="M301" s="5138"/>
      <c r="N301" s="5138"/>
      <c r="O301" s="5138"/>
      <c r="P301" s="5130"/>
      <c r="Q301" s="5130"/>
      <c r="R301" s="5128"/>
      <c r="S301" s="3744"/>
      <c r="T301" s="2601"/>
      <c r="U301" s="3718">
        <v>352100011</v>
      </c>
      <c r="V301" s="2684" t="s">
        <v>5305</v>
      </c>
      <c r="W301" s="2638">
        <v>50</v>
      </c>
      <c r="X301" s="532" t="s">
        <v>269</v>
      </c>
      <c r="Y301" s="3561">
        <v>0.8</v>
      </c>
      <c r="Z301" s="3561">
        <f t="shared" si="14"/>
        <v>40</v>
      </c>
      <c r="AA301" s="3561">
        <f t="shared" si="15"/>
        <v>44.800000000000004</v>
      </c>
      <c r="AB301" s="3690"/>
      <c r="AC301" s="579"/>
      <c r="AD301" s="579" t="s">
        <v>251</v>
      </c>
      <c r="AE301" s="579"/>
      <c r="AF301" s="5051"/>
    </row>
    <row r="302" spans="1:32" ht="18" customHeight="1">
      <c r="A302" s="4564"/>
      <c r="B302" s="4570"/>
      <c r="C302" s="5145"/>
      <c r="D302" s="5130"/>
      <c r="E302" s="5130"/>
      <c r="F302" s="5130"/>
      <c r="G302" s="5130"/>
      <c r="H302" s="5130"/>
      <c r="I302" s="5130"/>
      <c r="J302" s="5130"/>
      <c r="K302" s="5130"/>
      <c r="L302" s="5130"/>
      <c r="M302" s="5138"/>
      <c r="N302" s="5138"/>
      <c r="O302" s="5138"/>
      <c r="P302" s="5130"/>
      <c r="Q302" s="5130"/>
      <c r="R302" s="5128"/>
      <c r="S302" s="3744"/>
      <c r="T302" s="2601"/>
      <c r="U302" s="3718">
        <v>341501312</v>
      </c>
      <c r="V302" s="2684" t="s">
        <v>5306</v>
      </c>
      <c r="W302" s="3701">
        <v>2000</v>
      </c>
      <c r="X302" s="532" t="s">
        <v>269</v>
      </c>
      <c r="Y302" s="3561">
        <v>0.2</v>
      </c>
      <c r="Z302" s="3561">
        <f t="shared" si="14"/>
        <v>400</v>
      </c>
      <c r="AA302" s="3561">
        <f t="shared" si="15"/>
        <v>448.00000000000006</v>
      </c>
      <c r="AB302" s="3690"/>
      <c r="AC302" s="579"/>
      <c r="AD302" s="579" t="s">
        <v>251</v>
      </c>
      <c r="AE302" s="579"/>
      <c r="AF302" s="5051"/>
    </row>
    <row r="303" spans="1:32" ht="18" customHeight="1">
      <c r="A303" s="4564"/>
      <c r="B303" s="4570"/>
      <c r="C303" s="5145"/>
      <c r="D303" s="5130"/>
      <c r="E303" s="5130"/>
      <c r="F303" s="5130"/>
      <c r="G303" s="5130"/>
      <c r="H303" s="5130"/>
      <c r="I303" s="5130"/>
      <c r="J303" s="5130"/>
      <c r="K303" s="5130"/>
      <c r="L303" s="5130"/>
      <c r="M303" s="5138"/>
      <c r="N303" s="5138"/>
      <c r="O303" s="5138"/>
      <c r="P303" s="5130"/>
      <c r="Q303" s="5130"/>
      <c r="R303" s="5128"/>
      <c r="S303" s="3744"/>
      <c r="T303" s="2601"/>
      <c r="U303" s="3718">
        <v>35250021100</v>
      </c>
      <c r="V303" s="2684" t="s">
        <v>5307</v>
      </c>
      <c r="W303" s="2638">
        <v>500</v>
      </c>
      <c r="X303" s="532" t="s">
        <v>269</v>
      </c>
      <c r="Y303" s="3561">
        <v>3</v>
      </c>
      <c r="Z303" s="3561">
        <f t="shared" si="14"/>
        <v>1500</v>
      </c>
      <c r="AA303" s="3561">
        <f t="shared" si="15"/>
        <v>1680.0000000000002</v>
      </c>
      <c r="AB303" s="3690"/>
      <c r="AC303" s="579"/>
      <c r="AD303" s="579" t="s">
        <v>251</v>
      </c>
      <c r="AE303" s="579"/>
      <c r="AF303" s="5051"/>
    </row>
    <row r="304" spans="1:32" ht="18" customHeight="1">
      <c r="A304" s="4564"/>
      <c r="B304" s="4570"/>
      <c r="C304" s="5145"/>
      <c r="D304" s="5130"/>
      <c r="E304" s="5130"/>
      <c r="F304" s="5130"/>
      <c r="G304" s="5130"/>
      <c r="H304" s="5130"/>
      <c r="I304" s="5130"/>
      <c r="J304" s="5130"/>
      <c r="K304" s="5130"/>
      <c r="L304" s="5130"/>
      <c r="M304" s="5138"/>
      <c r="N304" s="5138"/>
      <c r="O304" s="5138"/>
      <c r="P304" s="5130"/>
      <c r="Q304" s="5130"/>
      <c r="R304" s="5128"/>
      <c r="S304" s="3744"/>
      <c r="T304" s="2601"/>
      <c r="U304" s="3718">
        <v>352901094</v>
      </c>
      <c r="V304" s="2684" t="s">
        <v>5308</v>
      </c>
      <c r="W304" s="2638">
        <v>15</v>
      </c>
      <c r="X304" s="532" t="s">
        <v>269</v>
      </c>
      <c r="Y304" s="3561">
        <v>2</v>
      </c>
      <c r="Z304" s="3561">
        <f t="shared" si="14"/>
        <v>30</v>
      </c>
      <c r="AA304" s="3561">
        <f t="shared" si="15"/>
        <v>33.6</v>
      </c>
      <c r="AB304" s="3690"/>
      <c r="AC304" s="579"/>
      <c r="AD304" s="579" t="s">
        <v>251</v>
      </c>
      <c r="AE304" s="579"/>
      <c r="AF304" s="5051"/>
    </row>
    <row r="305" spans="1:32" ht="18" customHeight="1">
      <c r="A305" s="4564"/>
      <c r="B305" s="4570"/>
      <c r="C305" s="5145"/>
      <c r="D305" s="5130"/>
      <c r="E305" s="5130"/>
      <c r="F305" s="5130"/>
      <c r="G305" s="5130"/>
      <c r="H305" s="5130"/>
      <c r="I305" s="5130"/>
      <c r="J305" s="5130"/>
      <c r="K305" s="5130"/>
      <c r="L305" s="5130"/>
      <c r="M305" s="5138"/>
      <c r="N305" s="5138"/>
      <c r="O305" s="5138"/>
      <c r="P305" s="5130"/>
      <c r="Q305" s="5130"/>
      <c r="R305" s="5128"/>
      <c r="S305" s="3744"/>
      <c r="T305" s="2601"/>
      <c r="U305" s="3718">
        <v>352901094</v>
      </c>
      <c r="V305" s="2684" t="s">
        <v>5309</v>
      </c>
      <c r="W305" s="2638">
        <v>15</v>
      </c>
      <c r="X305" s="532" t="s">
        <v>269</v>
      </c>
      <c r="Y305" s="3561">
        <v>1.5</v>
      </c>
      <c r="Z305" s="3561">
        <f t="shared" si="14"/>
        <v>22.5</v>
      </c>
      <c r="AA305" s="3561">
        <f t="shared" si="15"/>
        <v>25.200000000000003</v>
      </c>
      <c r="AB305" s="3690"/>
      <c r="AC305" s="579"/>
      <c r="AD305" s="579" t="s">
        <v>251</v>
      </c>
      <c r="AE305" s="579"/>
      <c r="AF305" s="5051"/>
    </row>
    <row r="306" spans="1:32" ht="18" customHeight="1">
      <c r="A306" s="4564"/>
      <c r="B306" s="4570"/>
      <c r="C306" s="5145"/>
      <c r="D306" s="5130"/>
      <c r="E306" s="5130"/>
      <c r="F306" s="5130"/>
      <c r="G306" s="5130"/>
      <c r="H306" s="5130"/>
      <c r="I306" s="5130"/>
      <c r="J306" s="5130"/>
      <c r="K306" s="5130"/>
      <c r="L306" s="5130"/>
      <c r="M306" s="5138"/>
      <c r="N306" s="5138"/>
      <c r="O306" s="5138"/>
      <c r="P306" s="5130"/>
      <c r="Q306" s="5130"/>
      <c r="R306" s="5128"/>
      <c r="S306" s="3744"/>
      <c r="T306" s="2601"/>
      <c r="U306" s="3718">
        <v>352901096</v>
      </c>
      <c r="V306" s="2684" t="s">
        <v>5310</v>
      </c>
      <c r="W306" s="2638">
        <v>200</v>
      </c>
      <c r="X306" s="532" t="s">
        <v>269</v>
      </c>
      <c r="Y306" s="3561">
        <v>1.5</v>
      </c>
      <c r="Z306" s="3561">
        <f t="shared" si="14"/>
        <v>300</v>
      </c>
      <c r="AA306" s="3561">
        <f t="shared" si="15"/>
        <v>336.00000000000006</v>
      </c>
      <c r="AB306" s="3690"/>
      <c r="AC306" s="579"/>
      <c r="AD306" s="579" t="s">
        <v>251</v>
      </c>
      <c r="AE306" s="579"/>
      <c r="AF306" s="5051"/>
    </row>
    <row r="307" spans="1:32" ht="25.5">
      <c r="A307" s="4564"/>
      <c r="B307" s="4570"/>
      <c r="C307" s="5145"/>
      <c r="D307" s="5130"/>
      <c r="E307" s="5130"/>
      <c r="F307" s="5130"/>
      <c r="G307" s="5130"/>
      <c r="H307" s="5130"/>
      <c r="I307" s="5130"/>
      <c r="J307" s="5130"/>
      <c r="K307" s="5130"/>
      <c r="L307" s="5130"/>
      <c r="M307" s="5138"/>
      <c r="N307" s="5138"/>
      <c r="O307" s="5138"/>
      <c r="P307" s="5130"/>
      <c r="Q307" s="5130"/>
      <c r="R307" s="5128"/>
      <c r="S307" s="3744"/>
      <c r="T307" s="2601"/>
      <c r="U307" s="3718">
        <v>352100011</v>
      </c>
      <c r="V307" s="2681" t="s">
        <v>1224</v>
      </c>
      <c r="W307" s="2638">
        <v>500</v>
      </c>
      <c r="X307" s="532" t="s">
        <v>269</v>
      </c>
      <c r="Y307" s="3561">
        <v>0.5</v>
      </c>
      <c r="Z307" s="3561">
        <f t="shared" si="14"/>
        <v>250</v>
      </c>
      <c r="AA307" s="3561">
        <f t="shared" si="15"/>
        <v>280</v>
      </c>
      <c r="AB307" s="3690"/>
      <c r="AC307" s="579"/>
      <c r="AD307" s="579" t="s">
        <v>251</v>
      </c>
      <c r="AE307" s="579"/>
      <c r="AF307" s="5051"/>
    </row>
    <row r="308" spans="1:32" ht="18" customHeight="1">
      <c r="A308" s="4564"/>
      <c r="B308" s="4570"/>
      <c r="C308" s="5145"/>
      <c r="D308" s="5130"/>
      <c r="E308" s="5130"/>
      <c r="F308" s="5130"/>
      <c r="G308" s="5130"/>
      <c r="H308" s="5130"/>
      <c r="I308" s="5130"/>
      <c r="J308" s="5130"/>
      <c r="K308" s="5130"/>
      <c r="L308" s="5130"/>
      <c r="M308" s="5138"/>
      <c r="N308" s="5138"/>
      <c r="O308" s="5138"/>
      <c r="P308" s="5130"/>
      <c r="Q308" s="5130"/>
      <c r="R308" s="5128"/>
      <c r="S308" s="3744"/>
      <c r="T308" s="2601"/>
      <c r="U308" s="3718">
        <v>352609011</v>
      </c>
      <c r="V308" s="2684" t="s">
        <v>5311</v>
      </c>
      <c r="W308" s="2638">
        <v>500</v>
      </c>
      <c r="X308" s="532" t="s">
        <v>269</v>
      </c>
      <c r="Y308" s="3561">
        <v>1</v>
      </c>
      <c r="Z308" s="3561">
        <f t="shared" si="14"/>
        <v>500</v>
      </c>
      <c r="AA308" s="3561">
        <f t="shared" si="15"/>
        <v>560</v>
      </c>
      <c r="AB308" s="3690"/>
      <c r="AC308" s="579"/>
      <c r="AD308" s="579" t="s">
        <v>251</v>
      </c>
      <c r="AE308" s="579"/>
      <c r="AF308" s="5051"/>
    </row>
    <row r="309" spans="1:32" ht="18" customHeight="1">
      <c r="A309" s="4564"/>
      <c r="B309" s="4570"/>
      <c r="C309" s="5145"/>
      <c r="D309" s="5130"/>
      <c r="E309" s="5130"/>
      <c r="F309" s="5130"/>
      <c r="G309" s="5130"/>
      <c r="H309" s="5130"/>
      <c r="I309" s="5130"/>
      <c r="J309" s="5130"/>
      <c r="K309" s="5130"/>
      <c r="L309" s="5130"/>
      <c r="M309" s="5138"/>
      <c r="N309" s="5138"/>
      <c r="O309" s="5138"/>
      <c r="P309" s="5130"/>
      <c r="Q309" s="5130"/>
      <c r="R309" s="5128"/>
      <c r="S309" s="3744"/>
      <c r="T309" s="2601"/>
      <c r="U309" s="3718">
        <v>35200000315</v>
      </c>
      <c r="V309" s="2684" t="s">
        <v>5312</v>
      </c>
      <c r="W309" s="2638">
        <v>500</v>
      </c>
      <c r="X309" s="532" t="s">
        <v>269</v>
      </c>
      <c r="Y309" s="3561">
        <v>2</v>
      </c>
      <c r="Z309" s="3561">
        <f t="shared" si="14"/>
        <v>1000</v>
      </c>
      <c r="AA309" s="3561">
        <f t="shared" si="15"/>
        <v>1120</v>
      </c>
      <c r="AB309" s="3690"/>
      <c r="AC309" s="579"/>
      <c r="AD309" s="579" t="s">
        <v>251</v>
      </c>
      <c r="AE309" s="579"/>
      <c r="AF309" s="5051"/>
    </row>
    <row r="310" spans="1:32" ht="18" customHeight="1">
      <c r="A310" s="4564"/>
      <c r="B310" s="4570"/>
      <c r="C310" s="5145"/>
      <c r="D310" s="5130"/>
      <c r="E310" s="5130"/>
      <c r="F310" s="5130"/>
      <c r="G310" s="5130"/>
      <c r="H310" s="5130"/>
      <c r="I310" s="5130"/>
      <c r="J310" s="5130"/>
      <c r="K310" s="5130"/>
      <c r="L310" s="5130"/>
      <c r="M310" s="5138"/>
      <c r="N310" s="5138"/>
      <c r="O310" s="5138"/>
      <c r="P310" s="5130"/>
      <c r="Q310" s="5130"/>
      <c r="R310" s="5128"/>
      <c r="S310" s="3744"/>
      <c r="T310" s="2601"/>
      <c r="U310" s="3718">
        <v>352605806</v>
      </c>
      <c r="V310" s="2684" t="s">
        <v>5313</v>
      </c>
      <c r="W310" s="2638">
        <v>50</v>
      </c>
      <c r="X310" s="532" t="s">
        <v>269</v>
      </c>
      <c r="Y310" s="3561">
        <v>1</v>
      </c>
      <c r="Z310" s="3561">
        <f t="shared" si="14"/>
        <v>50</v>
      </c>
      <c r="AA310" s="3561">
        <f t="shared" si="15"/>
        <v>56.000000000000007</v>
      </c>
      <c r="AB310" s="3690"/>
      <c r="AC310" s="579"/>
      <c r="AD310" s="579" t="s">
        <v>251</v>
      </c>
      <c r="AE310" s="579"/>
      <c r="AF310" s="5051"/>
    </row>
    <row r="311" spans="1:32" ht="18" customHeight="1">
      <c r="A311" s="4564"/>
      <c r="B311" s="4570"/>
      <c r="C311" s="5145"/>
      <c r="D311" s="5130"/>
      <c r="E311" s="5130"/>
      <c r="F311" s="5130"/>
      <c r="G311" s="5130"/>
      <c r="H311" s="5130"/>
      <c r="I311" s="5130"/>
      <c r="J311" s="5130"/>
      <c r="K311" s="5130"/>
      <c r="L311" s="5130"/>
      <c r="M311" s="5138"/>
      <c r="N311" s="5138"/>
      <c r="O311" s="5138"/>
      <c r="P311" s="5130"/>
      <c r="Q311" s="5130"/>
      <c r="R311" s="5128"/>
      <c r="S311" s="3744"/>
      <c r="T311" s="2601"/>
      <c r="U311" s="3718">
        <v>35200000347</v>
      </c>
      <c r="V311" s="2684" t="s">
        <v>5314</v>
      </c>
      <c r="W311" s="2638">
        <v>25</v>
      </c>
      <c r="X311" s="532" t="s">
        <v>269</v>
      </c>
      <c r="Y311" s="3561">
        <v>1</v>
      </c>
      <c r="Z311" s="3561">
        <f t="shared" si="14"/>
        <v>25</v>
      </c>
      <c r="AA311" s="3561">
        <f t="shared" si="15"/>
        <v>28.000000000000004</v>
      </c>
      <c r="AB311" s="3690"/>
      <c r="AC311" s="579"/>
      <c r="AD311" s="579" t="s">
        <v>251</v>
      </c>
      <c r="AE311" s="579"/>
      <c r="AF311" s="5051"/>
    </row>
    <row r="312" spans="1:32" ht="18" customHeight="1">
      <c r="A312" s="4564"/>
      <c r="B312" s="4570"/>
      <c r="C312" s="5145"/>
      <c r="D312" s="5130"/>
      <c r="E312" s="5130"/>
      <c r="F312" s="5130"/>
      <c r="G312" s="5130"/>
      <c r="H312" s="5130"/>
      <c r="I312" s="5130"/>
      <c r="J312" s="5130"/>
      <c r="K312" s="5130"/>
      <c r="L312" s="5130"/>
      <c r="M312" s="5138"/>
      <c r="N312" s="5138"/>
      <c r="O312" s="5138"/>
      <c r="P312" s="5130"/>
      <c r="Q312" s="5130"/>
      <c r="R312" s="5128"/>
      <c r="S312" s="3744"/>
      <c r="T312" s="2601"/>
      <c r="U312" s="3718">
        <v>352605511</v>
      </c>
      <c r="V312" s="2684" t="s">
        <v>5315</v>
      </c>
      <c r="W312" s="2638">
        <v>300</v>
      </c>
      <c r="X312" s="532" t="s">
        <v>269</v>
      </c>
      <c r="Y312" s="3561">
        <v>0.8</v>
      </c>
      <c r="Z312" s="3561">
        <f t="shared" si="14"/>
        <v>240</v>
      </c>
      <c r="AA312" s="3561">
        <f t="shared" si="15"/>
        <v>268.8</v>
      </c>
      <c r="AB312" s="3690"/>
      <c r="AC312" s="579"/>
      <c r="AD312" s="579" t="s">
        <v>251</v>
      </c>
      <c r="AE312" s="579"/>
      <c r="AF312" s="5051"/>
    </row>
    <row r="313" spans="1:32" ht="18" customHeight="1">
      <c r="A313" s="4564"/>
      <c r="B313" s="4570"/>
      <c r="C313" s="5145"/>
      <c r="D313" s="5130"/>
      <c r="E313" s="5130"/>
      <c r="F313" s="5130"/>
      <c r="G313" s="5130"/>
      <c r="H313" s="5130"/>
      <c r="I313" s="5130"/>
      <c r="J313" s="5130"/>
      <c r="K313" s="5130"/>
      <c r="L313" s="5130"/>
      <c r="M313" s="5138"/>
      <c r="N313" s="5138"/>
      <c r="O313" s="5138"/>
      <c r="P313" s="5130"/>
      <c r="Q313" s="5130"/>
      <c r="R313" s="5128"/>
      <c r="S313" s="3744"/>
      <c r="T313" s="2601"/>
      <c r="U313" s="3718">
        <v>321290516</v>
      </c>
      <c r="V313" s="2684" t="s">
        <v>5316</v>
      </c>
      <c r="W313" s="2638">
        <v>100</v>
      </c>
      <c r="X313" s="532" t="s">
        <v>269</v>
      </c>
      <c r="Y313" s="3561">
        <v>7</v>
      </c>
      <c r="Z313" s="3561">
        <f t="shared" si="14"/>
        <v>700</v>
      </c>
      <c r="AA313" s="3561">
        <f t="shared" si="15"/>
        <v>784.00000000000011</v>
      </c>
      <c r="AB313" s="3690"/>
      <c r="AC313" s="579"/>
      <c r="AD313" s="579" t="s">
        <v>251</v>
      </c>
      <c r="AE313" s="579"/>
      <c r="AF313" s="5051"/>
    </row>
    <row r="314" spans="1:32" ht="18" customHeight="1">
      <c r="A314" s="4564"/>
      <c r="B314" s="4570"/>
      <c r="C314" s="5145"/>
      <c r="D314" s="5130"/>
      <c r="E314" s="5130"/>
      <c r="F314" s="5130"/>
      <c r="G314" s="5130"/>
      <c r="H314" s="5130"/>
      <c r="I314" s="5130"/>
      <c r="J314" s="5130"/>
      <c r="K314" s="5130"/>
      <c r="L314" s="5130"/>
      <c r="M314" s="5138"/>
      <c r="N314" s="5138"/>
      <c r="O314" s="5138"/>
      <c r="P314" s="5130"/>
      <c r="Q314" s="5130"/>
      <c r="R314" s="5128"/>
      <c r="S314" s="3744"/>
      <c r="T314" s="2601"/>
      <c r="U314" s="3718">
        <v>34620091</v>
      </c>
      <c r="V314" s="2684" t="s">
        <v>5317</v>
      </c>
      <c r="W314" s="2638">
        <v>50</v>
      </c>
      <c r="X314" s="579" t="s">
        <v>522</v>
      </c>
      <c r="Y314" s="3561">
        <v>3.5</v>
      </c>
      <c r="Z314" s="3561">
        <f t="shared" si="14"/>
        <v>175</v>
      </c>
      <c r="AA314" s="3561">
        <f t="shared" si="15"/>
        <v>196.00000000000003</v>
      </c>
      <c r="AB314" s="3690"/>
      <c r="AC314" s="579"/>
      <c r="AD314" s="579" t="s">
        <v>251</v>
      </c>
      <c r="AE314" s="579"/>
      <c r="AF314" s="5051"/>
    </row>
    <row r="315" spans="1:32" ht="18" customHeight="1">
      <c r="A315" s="4564"/>
      <c r="B315" s="4570"/>
      <c r="C315" s="5145"/>
      <c r="D315" s="5130"/>
      <c r="E315" s="5130"/>
      <c r="F315" s="5130"/>
      <c r="G315" s="5130"/>
      <c r="H315" s="5130"/>
      <c r="I315" s="5130"/>
      <c r="J315" s="5130"/>
      <c r="K315" s="5130"/>
      <c r="L315" s="5130"/>
      <c r="M315" s="5138"/>
      <c r="N315" s="5138"/>
      <c r="O315" s="5138"/>
      <c r="P315" s="5130"/>
      <c r="Q315" s="5130"/>
      <c r="R315" s="5128"/>
      <c r="S315" s="3744"/>
      <c r="T315" s="2601"/>
      <c r="U315" s="3718">
        <v>35200000722</v>
      </c>
      <c r="V315" s="2684" t="s">
        <v>5318</v>
      </c>
      <c r="W315" s="3701">
        <v>1000</v>
      </c>
      <c r="X315" s="532" t="s">
        <v>269</v>
      </c>
      <c r="Y315" s="3561">
        <v>0.25</v>
      </c>
      <c r="Z315" s="3561">
        <f t="shared" si="14"/>
        <v>250</v>
      </c>
      <c r="AA315" s="3561">
        <f t="shared" si="15"/>
        <v>280</v>
      </c>
      <c r="AB315" s="3690"/>
      <c r="AC315" s="579"/>
      <c r="AD315" s="579" t="s">
        <v>251</v>
      </c>
      <c r="AE315" s="579"/>
      <c r="AF315" s="5051"/>
    </row>
    <row r="316" spans="1:32" ht="18" customHeight="1">
      <c r="A316" s="4564"/>
      <c r="B316" s="4570"/>
      <c r="C316" s="5145"/>
      <c r="D316" s="5130"/>
      <c r="E316" s="5130"/>
      <c r="F316" s="5130"/>
      <c r="G316" s="5130"/>
      <c r="H316" s="5130"/>
      <c r="I316" s="5130"/>
      <c r="J316" s="5130"/>
      <c r="K316" s="5130"/>
      <c r="L316" s="5130"/>
      <c r="M316" s="5138"/>
      <c r="N316" s="5138"/>
      <c r="O316" s="5138"/>
      <c r="P316" s="5130"/>
      <c r="Q316" s="5130"/>
      <c r="R316" s="5128"/>
      <c r="S316" s="3744"/>
      <c r="T316" s="2601"/>
      <c r="U316" s="3718">
        <v>352605711</v>
      </c>
      <c r="V316" s="2684" t="s">
        <v>5319</v>
      </c>
      <c r="W316" s="3701">
        <v>2000</v>
      </c>
      <c r="X316" s="532" t="s">
        <v>269</v>
      </c>
      <c r="Y316" s="3561">
        <v>1.57</v>
      </c>
      <c r="Z316" s="3561">
        <f t="shared" si="14"/>
        <v>3140</v>
      </c>
      <c r="AA316" s="3561">
        <f t="shared" si="15"/>
        <v>3516.8</v>
      </c>
      <c r="AB316" s="3690"/>
      <c r="AC316" s="579"/>
      <c r="AD316" s="579" t="s">
        <v>251</v>
      </c>
      <c r="AE316" s="579"/>
      <c r="AF316" s="5051"/>
    </row>
    <row r="317" spans="1:32" ht="18" customHeight="1">
      <c r="A317" s="4564"/>
      <c r="B317" s="4570"/>
      <c r="C317" s="5145"/>
      <c r="D317" s="5130"/>
      <c r="E317" s="5130"/>
      <c r="F317" s="5130"/>
      <c r="G317" s="5130"/>
      <c r="H317" s="5130"/>
      <c r="I317" s="5130"/>
      <c r="J317" s="5130"/>
      <c r="K317" s="5130"/>
      <c r="L317" s="5130"/>
      <c r="M317" s="5138"/>
      <c r="N317" s="5138"/>
      <c r="O317" s="5138"/>
      <c r="P317" s="5130"/>
      <c r="Q317" s="5130"/>
      <c r="R317" s="5128"/>
      <c r="S317" s="3744"/>
      <c r="T317" s="2601"/>
      <c r="U317" s="3718">
        <v>3525011412</v>
      </c>
      <c r="V317" s="2684" t="s">
        <v>5320</v>
      </c>
      <c r="W317" s="2638">
        <v>4</v>
      </c>
      <c r="X317" s="532" t="s">
        <v>269</v>
      </c>
      <c r="Y317" s="3561">
        <v>2.2000000000000002</v>
      </c>
      <c r="Z317" s="3561">
        <f t="shared" si="14"/>
        <v>8.8000000000000007</v>
      </c>
      <c r="AA317" s="3561">
        <f t="shared" si="15"/>
        <v>9.8560000000000016</v>
      </c>
      <c r="AB317" s="3690"/>
      <c r="AC317" s="579"/>
      <c r="AD317" s="579" t="s">
        <v>251</v>
      </c>
      <c r="AE317" s="579"/>
      <c r="AF317" s="5051"/>
    </row>
    <row r="318" spans="1:32" ht="30.75" customHeight="1">
      <c r="A318" s="4564"/>
      <c r="B318" s="4570"/>
      <c r="C318" s="5144" t="s">
        <v>235</v>
      </c>
      <c r="D318" s="5129" t="s">
        <v>236</v>
      </c>
      <c r="E318" s="5129" t="s">
        <v>244</v>
      </c>
      <c r="F318" s="5129" t="s">
        <v>337</v>
      </c>
      <c r="G318" s="5131" t="s">
        <v>239</v>
      </c>
      <c r="H318" s="5129" t="s">
        <v>240</v>
      </c>
      <c r="I318" s="5129" t="s">
        <v>257</v>
      </c>
      <c r="J318" s="5131" t="s">
        <v>5578</v>
      </c>
      <c r="K318" s="5129" t="s">
        <v>1225</v>
      </c>
      <c r="L318" s="5129" t="s">
        <v>5517</v>
      </c>
      <c r="M318" s="5142">
        <v>25</v>
      </c>
      <c r="N318" s="5142">
        <v>25</v>
      </c>
      <c r="O318" s="5142">
        <v>25</v>
      </c>
      <c r="P318" s="5135" t="s">
        <v>5432</v>
      </c>
      <c r="Q318" s="5135" t="s">
        <v>5413</v>
      </c>
      <c r="R318" s="5073" t="s">
        <v>5361</v>
      </c>
      <c r="S318" s="3743"/>
      <c r="T318" s="3721"/>
      <c r="U318" s="3721"/>
      <c r="V318" s="3575"/>
      <c r="W318" s="3576"/>
      <c r="X318" s="3580"/>
      <c r="Y318" s="3607"/>
      <c r="Z318" s="3607"/>
      <c r="AA318" s="3607"/>
      <c r="AB318" s="3608"/>
      <c r="AC318" s="3577"/>
      <c r="AD318" s="3674"/>
      <c r="AE318" s="3674"/>
      <c r="AF318" s="5154"/>
    </row>
    <row r="319" spans="1:32" ht="30.75" customHeight="1">
      <c r="A319" s="4564"/>
      <c r="B319" s="4570"/>
      <c r="C319" s="5145"/>
      <c r="D319" s="5130"/>
      <c r="E319" s="5130"/>
      <c r="F319" s="5130"/>
      <c r="G319" s="5130"/>
      <c r="H319" s="5130"/>
      <c r="I319" s="5130"/>
      <c r="J319" s="5130"/>
      <c r="K319" s="5130"/>
      <c r="L319" s="5130"/>
      <c r="M319" s="5138"/>
      <c r="N319" s="5138"/>
      <c r="O319" s="5138"/>
      <c r="P319" s="5130"/>
      <c r="Q319" s="5130"/>
      <c r="R319" s="5078"/>
      <c r="S319" s="3744"/>
      <c r="T319" s="3719"/>
      <c r="U319" s="3718"/>
      <c r="V319" s="2681"/>
      <c r="W319" s="2630"/>
      <c r="X319" s="532"/>
      <c r="Y319" s="3561"/>
      <c r="Z319" s="3561"/>
      <c r="AA319" s="3561"/>
      <c r="AB319" s="3562"/>
      <c r="AC319" s="3544"/>
      <c r="AD319" s="3549"/>
      <c r="AE319" s="3549"/>
      <c r="AF319" s="5051"/>
    </row>
    <row r="320" spans="1:32" ht="30.75" customHeight="1">
      <c r="A320" s="4564"/>
      <c r="B320" s="4570"/>
      <c r="C320" s="5145"/>
      <c r="D320" s="5130"/>
      <c r="E320" s="5130"/>
      <c r="F320" s="5130"/>
      <c r="G320" s="5130"/>
      <c r="H320" s="5130"/>
      <c r="I320" s="5130"/>
      <c r="J320" s="5130"/>
      <c r="K320" s="5130"/>
      <c r="L320" s="5130"/>
      <c r="M320" s="5138"/>
      <c r="N320" s="5138"/>
      <c r="O320" s="5138"/>
      <c r="P320" s="5130"/>
      <c r="Q320" s="5130"/>
      <c r="R320" s="5078"/>
      <c r="S320" s="3744"/>
      <c r="T320" s="3719"/>
      <c r="U320" s="3718"/>
      <c r="V320" s="2681"/>
      <c r="W320" s="2630"/>
      <c r="X320" s="532"/>
      <c r="Y320" s="3561"/>
      <c r="Z320" s="3561"/>
      <c r="AA320" s="3561"/>
      <c r="AB320" s="3562"/>
      <c r="AC320" s="3544"/>
      <c r="AD320" s="3549"/>
      <c r="AE320" s="3549"/>
      <c r="AF320" s="5051"/>
    </row>
    <row r="321" spans="1:32" ht="30.75" customHeight="1">
      <c r="A321" s="4564"/>
      <c r="B321" s="4570"/>
      <c r="C321" s="5145"/>
      <c r="D321" s="5130"/>
      <c r="E321" s="5130"/>
      <c r="F321" s="5130"/>
      <c r="G321" s="5130"/>
      <c r="H321" s="5130"/>
      <c r="I321" s="5130"/>
      <c r="J321" s="5130"/>
      <c r="K321" s="5130"/>
      <c r="L321" s="5130"/>
      <c r="M321" s="5138"/>
      <c r="N321" s="5138"/>
      <c r="O321" s="5138"/>
      <c r="P321" s="5130"/>
      <c r="Q321" s="5130"/>
      <c r="R321" s="5078"/>
      <c r="S321" s="3744"/>
      <c r="T321" s="3719"/>
      <c r="U321" s="3718"/>
      <c r="V321" s="2681"/>
      <c r="W321" s="2630"/>
      <c r="X321" s="532"/>
      <c r="Y321" s="3561"/>
      <c r="Z321" s="3561"/>
      <c r="AA321" s="3561"/>
      <c r="AB321" s="3562"/>
      <c r="AC321" s="3544"/>
      <c r="AD321" s="3549"/>
      <c r="AE321" s="3549"/>
      <c r="AF321" s="5051"/>
    </row>
    <row r="322" spans="1:32" ht="30.75" customHeight="1">
      <c r="A322" s="4564"/>
      <c r="B322" s="4570"/>
      <c r="C322" s="5145"/>
      <c r="D322" s="5130"/>
      <c r="E322" s="5130"/>
      <c r="F322" s="5130"/>
      <c r="G322" s="5130"/>
      <c r="H322" s="5130"/>
      <c r="I322" s="5130"/>
      <c r="J322" s="5130"/>
      <c r="K322" s="5130"/>
      <c r="L322" s="5130"/>
      <c r="M322" s="5138"/>
      <c r="N322" s="5138"/>
      <c r="O322" s="5138"/>
      <c r="P322" s="5130"/>
      <c r="Q322" s="5130"/>
      <c r="R322" s="5126"/>
      <c r="S322" s="3745"/>
      <c r="T322" s="3729"/>
      <c r="U322" s="1779"/>
      <c r="V322" s="2686"/>
      <c r="W322" s="1781"/>
      <c r="X322" s="1782"/>
      <c r="Y322" s="1783"/>
      <c r="Z322" s="1783"/>
      <c r="AA322" s="1783"/>
      <c r="AB322" s="3602"/>
      <c r="AC322" s="3571"/>
      <c r="AD322" s="3675"/>
      <c r="AE322" s="3675"/>
      <c r="AF322" s="5085"/>
    </row>
    <row r="323" spans="1:32" ht="18" customHeight="1">
      <c r="A323" s="4564"/>
      <c r="B323" s="4570"/>
      <c r="C323" s="5144" t="s">
        <v>235</v>
      </c>
      <c r="D323" s="5129" t="s">
        <v>236</v>
      </c>
      <c r="E323" s="5129" t="s">
        <v>244</v>
      </c>
      <c r="F323" s="5129" t="s">
        <v>337</v>
      </c>
      <c r="G323" s="5131" t="s">
        <v>239</v>
      </c>
      <c r="H323" s="5129" t="s">
        <v>240</v>
      </c>
      <c r="I323" s="5129" t="s">
        <v>257</v>
      </c>
      <c r="J323" s="5131" t="s">
        <v>5579</v>
      </c>
      <c r="K323" s="5129" t="s">
        <v>1226</v>
      </c>
      <c r="L323" s="5135" t="s">
        <v>5518</v>
      </c>
      <c r="M323" s="5142">
        <v>2</v>
      </c>
      <c r="N323" s="5142">
        <v>2</v>
      </c>
      <c r="O323" s="5142">
        <v>2</v>
      </c>
      <c r="P323" s="5135" t="s">
        <v>5431</v>
      </c>
      <c r="Q323" s="5135" t="s">
        <v>5414</v>
      </c>
      <c r="R323" s="5125" t="s">
        <v>5362</v>
      </c>
      <c r="S323" s="3749" t="s">
        <v>11</v>
      </c>
      <c r="T323" s="3380">
        <v>530826</v>
      </c>
      <c r="U323" s="3725"/>
      <c r="V323" s="3530" t="s">
        <v>138</v>
      </c>
      <c r="W323" s="2633"/>
      <c r="X323" s="1967"/>
      <c r="Y323" s="3565"/>
      <c r="Z323" s="3565"/>
      <c r="AA323" s="3565"/>
      <c r="AB323" s="3566">
        <f>SUM($AA$324:$AA$338)</f>
        <v>869.12</v>
      </c>
      <c r="AC323" s="3547"/>
      <c r="AD323" s="3676"/>
      <c r="AE323" s="3676"/>
      <c r="AF323" s="5155"/>
    </row>
    <row r="324" spans="1:32" ht="18" customHeight="1">
      <c r="A324" s="4564"/>
      <c r="B324" s="4570"/>
      <c r="C324" s="5145"/>
      <c r="D324" s="5130"/>
      <c r="E324" s="5130"/>
      <c r="F324" s="5130"/>
      <c r="G324" s="5130"/>
      <c r="H324" s="5130"/>
      <c r="I324" s="5130"/>
      <c r="J324" s="5130"/>
      <c r="K324" s="5130"/>
      <c r="L324" s="5130"/>
      <c r="M324" s="5138"/>
      <c r="N324" s="5138"/>
      <c r="O324" s="5138"/>
      <c r="P324" s="5130"/>
      <c r="Q324" s="5130"/>
      <c r="R324" s="5128"/>
      <c r="S324" s="3744"/>
      <c r="T324" s="3719"/>
      <c r="U324" s="3718">
        <v>35260</v>
      </c>
      <c r="V324" s="2681" t="s">
        <v>5322</v>
      </c>
      <c r="W324" s="2630">
        <v>100</v>
      </c>
      <c r="X324" s="3544" t="s">
        <v>269</v>
      </c>
      <c r="Y324" s="3561">
        <v>0.15</v>
      </c>
      <c r="Z324" s="3561">
        <f t="shared" ref="Z324:Z338" si="16">+W324*Y324</f>
        <v>15</v>
      </c>
      <c r="AA324" s="3561">
        <f t="shared" ref="AA324:AA338" si="17">+Z324*1.12</f>
        <v>16.8</v>
      </c>
      <c r="AB324" s="3562"/>
      <c r="AC324" s="3544"/>
      <c r="AD324" s="3549" t="s">
        <v>251</v>
      </c>
      <c r="AE324" s="3549"/>
      <c r="AF324" s="5051"/>
    </row>
    <row r="325" spans="1:32" ht="18" customHeight="1">
      <c r="A325" s="4564"/>
      <c r="B325" s="4570"/>
      <c r="C325" s="5145"/>
      <c r="D325" s="5130"/>
      <c r="E325" s="5130"/>
      <c r="F325" s="5130"/>
      <c r="G325" s="5130"/>
      <c r="H325" s="5130"/>
      <c r="I325" s="5130"/>
      <c r="J325" s="5130"/>
      <c r="K325" s="5130"/>
      <c r="L325" s="5130"/>
      <c r="M325" s="5138"/>
      <c r="N325" s="5138"/>
      <c r="O325" s="5138"/>
      <c r="P325" s="5130"/>
      <c r="Q325" s="5130"/>
      <c r="R325" s="5128"/>
      <c r="S325" s="3744"/>
      <c r="T325" s="3719"/>
      <c r="U325" s="3718">
        <v>35260</v>
      </c>
      <c r="V325" s="2681" t="s">
        <v>5323</v>
      </c>
      <c r="W325" s="2630">
        <v>300</v>
      </c>
      <c r="X325" s="3544" t="s">
        <v>269</v>
      </c>
      <c r="Y325" s="3561">
        <v>0.18</v>
      </c>
      <c r="Z325" s="3561">
        <f t="shared" si="16"/>
        <v>54</v>
      </c>
      <c r="AA325" s="3561">
        <f t="shared" si="17"/>
        <v>60.480000000000004</v>
      </c>
      <c r="AB325" s="3562"/>
      <c r="AC325" s="3544"/>
      <c r="AD325" s="3549" t="s">
        <v>251</v>
      </c>
      <c r="AE325" s="3549"/>
      <c r="AF325" s="5051"/>
    </row>
    <row r="326" spans="1:32" ht="18" customHeight="1">
      <c r="A326" s="4564"/>
      <c r="B326" s="4570"/>
      <c r="C326" s="5145"/>
      <c r="D326" s="5130"/>
      <c r="E326" s="5130"/>
      <c r="F326" s="5130"/>
      <c r="G326" s="5130"/>
      <c r="H326" s="5130"/>
      <c r="I326" s="5130"/>
      <c r="J326" s="5130"/>
      <c r="K326" s="5130"/>
      <c r="L326" s="5130"/>
      <c r="M326" s="5138"/>
      <c r="N326" s="5138"/>
      <c r="O326" s="5138"/>
      <c r="P326" s="5130"/>
      <c r="Q326" s="5130"/>
      <c r="R326" s="5128"/>
      <c r="S326" s="3744"/>
      <c r="T326" s="3719"/>
      <c r="U326" s="3718">
        <v>35260</v>
      </c>
      <c r="V326" s="2681" t="s">
        <v>5324</v>
      </c>
      <c r="W326" s="2630">
        <v>100</v>
      </c>
      <c r="X326" s="3544" t="s">
        <v>269</v>
      </c>
      <c r="Y326" s="3561">
        <v>0.2</v>
      </c>
      <c r="Z326" s="3561">
        <f t="shared" si="16"/>
        <v>20</v>
      </c>
      <c r="AA326" s="3561">
        <f t="shared" si="17"/>
        <v>22.400000000000002</v>
      </c>
      <c r="AB326" s="3562"/>
      <c r="AC326" s="3544"/>
      <c r="AD326" s="3549" t="s">
        <v>251</v>
      </c>
      <c r="AE326" s="3549"/>
      <c r="AF326" s="5051"/>
    </row>
    <row r="327" spans="1:32" ht="18" customHeight="1">
      <c r="A327" s="4564"/>
      <c r="B327" s="4570"/>
      <c r="C327" s="5145"/>
      <c r="D327" s="5130"/>
      <c r="E327" s="5130"/>
      <c r="F327" s="5130"/>
      <c r="G327" s="5130"/>
      <c r="H327" s="5130"/>
      <c r="I327" s="5130"/>
      <c r="J327" s="5130"/>
      <c r="K327" s="5130"/>
      <c r="L327" s="5130"/>
      <c r="M327" s="5138"/>
      <c r="N327" s="5138"/>
      <c r="O327" s="5138"/>
      <c r="P327" s="5130"/>
      <c r="Q327" s="5130"/>
      <c r="R327" s="5128"/>
      <c r="S327" s="3744"/>
      <c r="T327" s="3719"/>
      <c r="U327" s="3718">
        <v>352901091</v>
      </c>
      <c r="V327" s="2681" t="s">
        <v>5325</v>
      </c>
      <c r="W327" s="2630">
        <v>2</v>
      </c>
      <c r="X327" s="3544" t="s">
        <v>5291</v>
      </c>
      <c r="Y327" s="3561">
        <v>2</v>
      </c>
      <c r="Z327" s="3561">
        <f t="shared" si="16"/>
        <v>4</v>
      </c>
      <c r="AA327" s="3561">
        <f t="shared" si="17"/>
        <v>4.4800000000000004</v>
      </c>
      <c r="AB327" s="3562"/>
      <c r="AC327" s="3544"/>
      <c r="AD327" s="3549" t="s">
        <v>251</v>
      </c>
      <c r="AE327" s="3549"/>
      <c r="AF327" s="5051"/>
    </row>
    <row r="328" spans="1:32" ht="18" customHeight="1">
      <c r="A328" s="4564"/>
      <c r="B328" s="4570"/>
      <c r="C328" s="5145"/>
      <c r="D328" s="5130"/>
      <c r="E328" s="5130"/>
      <c r="F328" s="5130"/>
      <c r="G328" s="5130"/>
      <c r="H328" s="5130"/>
      <c r="I328" s="5130"/>
      <c r="J328" s="5130"/>
      <c r="K328" s="5130"/>
      <c r="L328" s="5130"/>
      <c r="M328" s="5138"/>
      <c r="N328" s="5138"/>
      <c r="O328" s="5138"/>
      <c r="P328" s="5130"/>
      <c r="Q328" s="5130"/>
      <c r="R328" s="5128"/>
      <c r="S328" s="3744"/>
      <c r="T328" s="3719"/>
      <c r="U328" s="3718">
        <v>35260</v>
      </c>
      <c r="V328" s="2681" t="s">
        <v>5326</v>
      </c>
      <c r="W328" s="2630">
        <v>10</v>
      </c>
      <c r="X328" s="3544" t="s">
        <v>269</v>
      </c>
      <c r="Y328" s="3561">
        <v>3</v>
      </c>
      <c r="Z328" s="3561">
        <f t="shared" si="16"/>
        <v>30</v>
      </c>
      <c r="AA328" s="3561">
        <f t="shared" si="17"/>
        <v>33.6</v>
      </c>
      <c r="AB328" s="3562"/>
      <c r="AC328" s="3544"/>
      <c r="AD328" s="3549" t="s">
        <v>251</v>
      </c>
      <c r="AE328" s="3549"/>
      <c r="AF328" s="5051"/>
    </row>
    <row r="329" spans="1:32" ht="18" customHeight="1">
      <c r="A329" s="4564"/>
      <c r="B329" s="4570"/>
      <c r="C329" s="5145"/>
      <c r="D329" s="5130"/>
      <c r="E329" s="5130"/>
      <c r="F329" s="5130"/>
      <c r="G329" s="5130"/>
      <c r="H329" s="5130"/>
      <c r="I329" s="5130"/>
      <c r="J329" s="5130"/>
      <c r="K329" s="5130"/>
      <c r="L329" s="5130"/>
      <c r="M329" s="5138"/>
      <c r="N329" s="5138"/>
      <c r="O329" s="5138"/>
      <c r="P329" s="5130"/>
      <c r="Q329" s="5130"/>
      <c r="R329" s="5128"/>
      <c r="S329" s="3744"/>
      <c r="T329" s="3719"/>
      <c r="U329" s="3718">
        <v>35260</v>
      </c>
      <c r="V329" s="2681" t="s">
        <v>5327</v>
      </c>
      <c r="W329" s="2630">
        <v>10</v>
      </c>
      <c r="X329" s="3544" t="s">
        <v>5291</v>
      </c>
      <c r="Y329" s="3561">
        <v>10</v>
      </c>
      <c r="Z329" s="3561">
        <f t="shared" si="16"/>
        <v>100</v>
      </c>
      <c r="AA329" s="3561">
        <f t="shared" si="17"/>
        <v>112.00000000000001</v>
      </c>
      <c r="AB329" s="3562"/>
      <c r="AC329" s="3544"/>
      <c r="AD329" s="3549" t="s">
        <v>251</v>
      </c>
      <c r="AE329" s="3549"/>
      <c r="AF329" s="5051"/>
    </row>
    <row r="330" spans="1:32" ht="18" customHeight="1">
      <c r="A330" s="4564"/>
      <c r="B330" s="4570"/>
      <c r="C330" s="5145"/>
      <c r="D330" s="5130"/>
      <c r="E330" s="5130"/>
      <c r="F330" s="5130"/>
      <c r="G330" s="5130"/>
      <c r="H330" s="5130"/>
      <c r="I330" s="5130"/>
      <c r="J330" s="5130"/>
      <c r="K330" s="5130"/>
      <c r="L330" s="5130"/>
      <c r="M330" s="5138"/>
      <c r="N330" s="5138"/>
      <c r="O330" s="5138"/>
      <c r="P330" s="5130"/>
      <c r="Q330" s="5130"/>
      <c r="R330" s="5128"/>
      <c r="S330" s="3744"/>
      <c r="T330" s="3719"/>
      <c r="U330" s="3718">
        <v>352701104</v>
      </c>
      <c r="V330" s="2681" t="s">
        <v>1227</v>
      </c>
      <c r="W330" s="2630">
        <v>2</v>
      </c>
      <c r="X330" s="3544" t="s">
        <v>5291</v>
      </c>
      <c r="Y330" s="3561">
        <v>9</v>
      </c>
      <c r="Z330" s="3561">
        <f t="shared" si="16"/>
        <v>18</v>
      </c>
      <c r="AA330" s="3561">
        <f t="shared" si="17"/>
        <v>20.160000000000004</v>
      </c>
      <c r="AB330" s="3562"/>
      <c r="AC330" s="3544"/>
      <c r="AD330" s="3549" t="s">
        <v>251</v>
      </c>
      <c r="AE330" s="3549"/>
      <c r="AF330" s="5051"/>
    </row>
    <row r="331" spans="1:32" ht="18" customHeight="1">
      <c r="A331" s="4564"/>
      <c r="B331" s="4570"/>
      <c r="C331" s="5145"/>
      <c r="D331" s="5130"/>
      <c r="E331" s="5130"/>
      <c r="F331" s="5130"/>
      <c r="G331" s="5130"/>
      <c r="H331" s="5130"/>
      <c r="I331" s="5130"/>
      <c r="J331" s="5130"/>
      <c r="K331" s="5130"/>
      <c r="L331" s="5130"/>
      <c r="M331" s="5138"/>
      <c r="N331" s="5138"/>
      <c r="O331" s="5138"/>
      <c r="P331" s="5130"/>
      <c r="Q331" s="5130"/>
      <c r="R331" s="5128"/>
      <c r="S331" s="3744"/>
      <c r="T331" s="3719"/>
      <c r="U331" s="3718">
        <v>35260</v>
      </c>
      <c r="V331" s="2681" t="s">
        <v>1228</v>
      </c>
      <c r="W331" s="2630">
        <v>2</v>
      </c>
      <c r="X331" s="3544" t="s">
        <v>5292</v>
      </c>
      <c r="Y331" s="3561">
        <v>22</v>
      </c>
      <c r="Z331" s="3561">
        <f t="shared" si="16"/>
        <v>44</v>
      </c>
      <c r="AA331" s="3561">
        <f t="shared" si="17"/>
        <v>49.28</v>
      </c>
      <c r="AB331" s="3562"/>
      <c r="AC331" s="3544"/>
      <c r="AD331" s="3549" t="s">
        <v>251</v>
      </c>
      <c r="AE331" s="3549"/>
      <c r="AF331" s="5051"/>
    </row>
    <row r="332" spans="1:32" ht="18" customHeight="1">
      <c r="A332" s="4564"/>
      <c r="B332" s="4570"/>
      <c r="C332" s="5145"/>
      <c r="D332" s="5130"/>
      <c r="E332" s="5130"/>
      <c r="F332" s="5130"/>
      <c r="G332" s="5130"/>
      <c r="H332" s="5130"/>
      <c r="I332" s="5130"/>
      <c r="J332" s="5130"/>
      <c r="K332" s="5130"/>
      <c r="L332" s="5130"/>
      <c r="M332" s="5138"/>
      <c r="N332" s="5138"/>
      <c r="O332" s="5138"/>
      <c r="P332" s="5130"/>
      <c r="Q332" s="5130"/>
      <c r="R332" s="5128"/>
      <c r="S332" s="3744"/>
      <c r="T332" s="3719"/>
      <c r="U332" s="3718">
        <v>35260</v>
      </c>
      <c r="V332" s="2681" t="s">
        <v>1229</v>
      </c>
      <c r="W332" s="2630">
        <v>5</v>
      </c>
      <c r="X332" s="3544" t="s">
        <v>1008</v>
      </c>
      <c r="Y332" s="3561">
        <v>8</v>
      </c>
      <c r="Z332" s="3561">
        <f t="shared" si="16"/>
        <v>40</v>
      </c>
      <c r="AA332" s="3561">
        <f t="shared" si="17"/>
        <v>44.800000000000004</v>
      </c>
      <c r="AB332" s="3562"/>
      <c r="AC332" s="3544"/>
      <c r="AD332" s="3549" t="s">
        <v>251</v>
      </c>
      <c r="AE332" s="3549"/>
      <c r="AF332" s="5051"/>
    </row>
    <row r="333" spans="1:32" ht="18" customHeight="1">
      <c r="A333" s="4564"/>
      <c r="B333" s="4570"/>
      <c r="C333" s="5145"/>
      <c r="D333" s="5130"/>
      <c r="E333" s="5130"/>
      <c r="F333" s="5130"/>
      <c r="G333" s="5130"/>
      <c r="H333" s="5130"/>
      <c r="I333" s="5130"/>
      <c r="J333" s="5130"/>
      <c r="K333" s="5130"/>
      <c r="L333" s="5130"/>
      <c r="M333" s="5138"/>
      <c r="N333" s="5138"/>
      <c r="O333" s="5138"/>
      <c r="P333" s="5130"/>
      <c r="Q333" s="5130"/>
      <c r="R333" s="5128"/>
      <c r="S333" s="3744"/>
      <c r="T333" s="3719"/>
      <c r="U333" s="3718">
        <v>35260</v>
      </c>
      <c r="V333" s="2681" t="s">
        <v>1230</v>
      </c>
      <c r="W333" s="2630">
        <v>2</v>
      </c>
      <c r="X333" s="3544" t="s">
        <v>1008</v>
      </c>
      <c r="Y333" s="3561">
        <v>7</v>
      </c>
      <c r="Z333" s="3561">
        <f t="shared" si="16"/>
        <v>14</v>
      </c>
      <c r="AA333" s="3561">
        <f t="shared" si="17"/>
        <v>15.680000000000001</v>
      </c>
      <c r="AB333" s="3562"/>
      <c r="AC333" s="3544"/>
      <c r="AD333" s="3549" t="s">
        <v>251</v>
      </c>
      <c r="AE333" s="3549"/>
      <c r="AF333" s="5051"/>
    </row>
    <row r="334" spans="1:32" ht="18" customHeight="1">
      <c r="A334" s="4564"/>
      <c r="B334" s="4570"/>
      <c r="C334" s="5145"/>
      <c r="D334" s="5130"/>
      <c r="E334" s="5130"/>
      <c r="F334" s="5130"/>
      <c r="G334" s="5130"/>
      <c r="H334" s="5130"/>
      <c r="I334" s="5130"/>
      <c r="J334" s="5130"/>
      <c r="K334" s="5130"/>
      <c r="L334" s="5130"/>
      <c r="M334" s="5138"/>
      <c r="N334" s="5138"/>
      <c r="O334" s="5138"/>
      <c r="P334" s="5130"/>
      <c r="Q334" s="5130"/>
      <c r="R334" s="5128"/>
      <c r="S334" s="3744"/>
      <c r="T334" s="3719"/>
      <c r="U334" s="3718">
        <v>35260</v>
      </c>
      <c r="V334" s="2681" t="s">
        <v>5328</v>
      </c>
      <c r="W334" s="2630">
        <v>6</v>
      </c>
      <c r="X334" s="3544" t="s">
        <v>269</v>
      </c>
      <c r="Y334" s="3561">
        <v>3</v>
      </c>
      <c r="Z334" s="3561">
        <f t="shared" si="16"/>
        <v>18</v>
      </c>
      <c r="AA334" s="3561">
        <f t="shared" si="17"/>
        <v>20.160000000000004</v>
      </c>
      <c r="AB334" s="3562"/>
      <c r="AC334" s="3544"/>
      <c r="AD334" s="3549" t="s">
        <v>251</v>
      </c>
      <c r="AE334" s="3549"/>
      <c r="AF334" s="5051"/>
    </row>
    <row r="335" spans="1:32" ht="18" customHeight="1">
      <c r="A335" s="4564"/>
      <c r="B335" s="4570"/>
      <c r="C335" s="5145"/>
      <c r="D335" s="5130"/>
      <c r="E335" s="5130"/>
      <c r="F335" s="5130"/>
      <c r="G335" s="5130"/>
      <c r="H335" s="5130"/>
      <c r="I335" s="5130"/>
      <c r="J335" s="5130"/>
      <c r="K335" s="5130"/>
      <c r="L335" s="5130"/>
      <c r="M335" s="5138"/>
      <c r="N335" s="5138"/>
      <c r="O335" s="5138"/>
      <c r="P335" s="5130"/>
      <c r="Q335" s="5130"/>
      <c r="R335" s="5128"/>
      <c r="S335" s="3744"/>
      <c r="T335" s="3719"/>
      <c r="U335" s="3718">
        <v>3529010924</v>
      </c>
      <c r="V335" s="2681" t="s">
        <v>5329</v>
      </c>
      <c r="W335" s="2630">
        <v>5</v>
      </c>
      <c r="X335" s="3544" t="s">
        <v>5291</v>
      </c>
      <c r="Y335" s="3561">
        <v>4</v>
      </c>
      <c r="Z335" s="3561">
        <f t="shared" si="16"/>
        <v>20</v>
      </c>
      <c r="AA335" s="3561">
        <f t="shared" si="17"/>
        <v>22.400000000000002</v>
      </c>
      <c r="AB335" s="3562"/>
      <c r="AC335" s="3544"/>
      <c r="AD335" s="3549" t="s">
        <v>251</v>
      </c>
      <c r="AE335" s="3549"/>
      <c r="AF335" s="5051"/>
    </row>
    <row r="336" spans="1:32" ht="18" customHeight="1">
      <c r="A336" s="4564"/>
      <c r="B336" s="4570"/>
      <c r="C336" s="5145"/>
      <c r="D336" s="5130"/>
      <c r="E336" s="5130"/>
      <c r="F336" s="5130"/>
      <c r="G336" s="5130"/>
      <c r="H336" s="5130"/>
      <c r="I336" s="5130"/>
      <c r="J336" s="5130"/>
      <c r="K336" s="5130"/>
      <c r="L336" s="5130"/>
      <c r="M336" s="5138"/>
      <c r="N336" s="5138"/>
      <c r="O336" s="5138"/>
      <c r="P336" s="5130"/>
      <c r="Q336" s="5130"/>
      <c r="R336" s="5128"/>
      <c r="S336" s="3744"/>
      <c r="T336" s="3719"/>
      <c r="U336" s="3718">
        <v>35260</v>
      </c>
      <c r="V336" s="2681" t="s">
        <v>5321</v>
      </c>
      <c r="W336" s="2630">
        <v>400</v>
      </c>
      <c r="X336" s="3544" t="s">
        <v>269</v>
      </c>
      <c r="Y336" s="3561">
        <v>0.9</v>
      </c>
      <c r="Z336" s="3561">
        <f t="shared" si="16"/>
        <v>360</v>
      </c>
      <c r="AA336" s="3561">
        <f t="shared" si="17"/>
        <v>403.20000000000005</v>
      </c>
      <c r="AB336" s="3562"/>
      <c r="AC336" s="3544"/>
      <c r="AD336" s="3549" t="s">
        <v>251</v>
      </c>
      <c r="AE336" s="3549"/>
      <c r="AF336" s="5051"/>
    </row>
    <row r="337" spans="1:32" ht="18" customHeight="1">
      <c r="A337" s="4564"/>
      <c r="B337" s="4570"/>
      <c r="C337" s="5145"/>
      <c r="D337" s="5130"/>
      <c r="E337" s="5130"/>
      <c r="F337" s="5130"/>
      <c r="G337" s="5130"/>
      <c r="H337" s="5130"/>
      <c r="I337" s="5130"/>
      <c r="J337" s="5130"/>
      <c r="K337" s="5130"/>
      <c r="L337" s="5130"/>
      <c r="M337" s="5138"/>
      <c r="N337" s="5138"/>
      <c r="O337" s="5138"/>
      <c r="P337" s="5130"/>
      <c r="Q337" s="5130"/>
      <c r="R337" s="5128"/>
      <c r="S337" s="3744"/>
      <c r="T337" s="3719"/>
      <c r="U337" s="3718">
        <v>35260</v>
      </c>
      <c r="V337" s="2681" t="s">
        <v>1231</v>
      </c>
      <c r="W337" s="2630">
        <v>2</v>
      </c>
      <c r="X337" s="3544" t="s">
        <v>5292</v>
      </c>
      <c r="Y337" s="3561">
        <v>12</v>
      </c>
      <c r="Z337" s="3561">
        <f t="shared" si="16"/>
        <v>24</v>
      </c>
      <c r="AA337" s="3561">
        <f t="shared" si="17"/>
        <v>26.880000000000003</v>
      </c>
      <c r="AB337" s="3562"/>
      <c r="AC337" s="3544"/>
      <c r="AD337" s="3549" t="s">
        <v>251</v>
      </c>
      <c r="AE337" s="3549"/>
      <c r="AF337" s="5051"/>
    </row>
    <row r="338" spans="1:32" ht="18" customHeight="1">
      <c r="A338" s="4564"/>
      <c r="B338" s="4570"/>
      <c r="C338" s="5145"/>
      <c r="D338" s="5130"/>
      <c r="E338" s="5130"/>
      <c r="F338" s="5130"/>
      <c r="G338" s="5130"/>
      <c r="H338" s="5130"/>
      <c r="I338" s="5130"/>
      <c r="J338" s="5130"/>
      <c r="K338" s="5130"/>
      <c r="L338" s="5130"/>
      <c r="M338" s="5138"/>
      <c r="N338" s="5138"/>
      <c r="O338" s="5138"/>
      <c r="P338" s="5130"/>
      <c r="Q338" s="5130"/>
      <c r="R338" s="5128"/>
      <c r="S338" s="3744"/>
      <c r="T338" s="3719"/>
      <c r="U338" s="3718"/>
      <c r="V338" s="2681" t="s">
        <v>5330</v>
      </c>
      <c r="W338" s="2630">
        <v>1</v>
      </c>
      <c r="X338" s="3544" t="s">
        <v>1008</v>
      </c>
      <c r="Y338" s="3561">
        <v>15</v>
      </c>
      <c r="Z338" s="3561">
        <f t="shared" si="16"/>
        <v>15</v>
      </c>
      <c r="AA338" s="3561">
        <f t="shared" si="17"/>
        <v>16.8</v>
      </c>
      <c r="AB338" s="3562"/>
      <c r="AC338" s="3544"/>
      <c r="AD338" s="3549" t="s">
        <v>251</v>
      </c>
      <c r="AE338" s="3549"/>
      <c r="AF338" s="5051"/>
    </row>
    <row r="339" spans="1:32" ht="30.75" customHeight="1">
      <c r="A339" s="4564"/>
      <c r="B339" s="4570"/>
      <c r="C339" s="5144" t="s">
        <v>235</v>
      </c>
      <c r="D339" s="5129" t="s">
        <v>236</v>
      </c>
      <c r="E339" s="5129" t="s">
        <v>244</v>
      </c>
      <c r="F339" s="5129" t="s">
        <v>337</v>
      </c>
      <c r="G339" s="5131" t="s">
        <v>239</v>
      </c>
      <c r="H339" s="5129" t="s">
        <v>240</v>
      </c>
      <c r="I339" s="5129" t="s">
        <v>257</v>
      </c>
      <c r="J339" s="5131" t="s">
        <v>5580</v>
      </c>
      <c r="K339" s="5129" t="s">
        <v>1232</v>
      </c>
      <c r="L339" s="5135" t="s">
        <v>5519</v>
      </c>
      <c r="M339" s="5137">
        <v>0</v>
      </c>
      <c r="N339" s="5137">
        <v>0</v>
      </c>
      <c r="O339" s="5137">
        <v>0</v>
      </c>
      <c r="P339" s="5135" t="s">
        <v>5430</v>
      </c>
      <c r="Q339" s="5135" t="s">
        <v>5415</v>
      </c>
      <c r="R339" s="5132" t="s">
        <v>1233</v>
      </c>
      <c r="S339" s="3743"/>
      <c r="T339" s="3721"/>
      <c r="U339" s="3721"/>
      <c r="V339" s="3575"/>
      <c r="W339" s="3576"/>
      <c r="X339" s="3580"/>
      <c r="Y339" s="3607"/>
      <c r="Z339" s="3607"/>
      <c r="AA339" s="3607"/>
      <c r="AB339" s="3608"/>
      <c r="AC339" s="3577"/>
      <c r="AD339" s="3674"/>
      <c r="AE339" s="3674"/>
      <c r="AF339" s="5156"/>
    </row>
    <row r="340" spans="1:32" ht="30.75" customHeight="1">
      <c r="A340" s="4564"/>
      <c r="B340" s="4570"/>
      <c r="C340" s="5145"/>
      <c r="D340" s="5130"/>
      <c r="E340" s="5130"/>
      <c r="F340" s="5130"/>
      <c r="G340" s="5130"/>
      <c r="H340" s="5130"/>
      <c r="I340" s="5130"/>
      <c r="J340" s="5130"/>
      <c r="K340" s="5130"/>
      <c r="L340" s="5130"/>
      <c r="M340" s="5138"/>
      <c r="N340" s="5138"/>
      <c r="O340" s="5138"/>
      <c r="P340" s="5130"/>
      <c r="Q340" s="5130"/>
      <c r="R340" s="5128"/>
      <c r="S340" s="3744"/>
      <c r="T340" s="3719"/>
      <c r="U340" s="3718"/>
      <c r="V340" s="2681"/>
      <c r="W340" s="2630"/>
      <c r="X340" s="532"/>
      <c r="Y340" s="3561"/>
      <c r="Z340" s="3561"/>
      <c r="AA340" s="3561"/>
      <c r="AB340" s="3562"/>
      <c r="AC340" s="3544"/>
      <c r="AD340" s="3549"/>
      <c r="AE340" s="3549"/>
      <c r="AF340" s="5051"/>
    </row>
    <row r="341" spans="1:32" ht="30.75" customHeight="1">
      <c r="A341" s="4564"/>
      <c r="B341" s="4570"/>
      <c r="C341" s="5145"/>
      <c r="D341" s="5130"/>
      <c r="E341" s="5130"/>
      <c r="F341" s="5130"/>
      <c r="G341" s="5130"/>
      <c r="H341" s="5130"/>
      <c r="I341" s="5130"/>
      <c r="J341" s="5130"/>
      <c r="K341" s="5130"/>
      <c r="L341" s="5130"/>
      <c r="M341" s="5138"/>
      <c r="N341" s="5138"/>
      <c r="O341" s="5138"/>
      <c r="P341" s="5130"/>
      <c r="Q341" s="5130"/>
      <c r="R341" s="5128"/>
      <c r="S341" s="3744"/>
      <c r="T341" s="3719"/>
      <c r="U341" s="3718"/>
      <c r="V341" s="2681"/>
      <c r="W341" s="2630"/>
      <c r="X341" s="532"/>
      <c r="Y341" s="3561"/>
      <c r="Z341" s="3561"/>
      <c r="AA341" s="3561"/>
      <c r="AB341" s="3562"/>
      <c r="AC341" s="3544"/>
      <c r="AD341" s="3549"/>
      <c r="AE341" s="3549"/>
      <c r="AF341" s="5051"/>
    </row>
    <row r="342" spans="1:32" ht="30.75" customHeight="1">
      <c r="A342" s="4564"/>
      <c r="B342" s="4570"/>
      <c r="C342" s="5145"/>
      <c r="D342" s="5130"/>
      <c r="E342" s="5130"/>
      <c r="F342" s="5130"/>
      <c r="G342" s="5130"/>
      <c r="H342" s="5130"/>
      <c r="I342" s="5130"/>
      <c r="J342" s="5130"/>
      <c r="K342" s="5130"/>
      <c r="L342" s="5130"/>
      <c r="M342" s="5138"/>
      <c r="N342" s="5138"/>
      <c r="O342" s="5138"/>
      <c r="P342" s="5130"/>
      <c r="Q342" s="5130"/>
      <c r="R342" s="5128"/>
      <c r="S342" s="3744"/>
      <c r="T342" s="3719"/>
      <c r="U342" s="3718"/>
      <c r="V342" s="2681"/>
      <c r="W342" s="2630"/>
      <c r="X342" s="532"/>
      <c r="Y342" s="3561"/>
      <c r="Z342" s="3561"/>
      <c r="AA342" s="3561"/>
      <c r="AB342" s="3562"/>
      <c r="AC342" s="3544"/>
      <c r="AD342" s="3549"/>
      <c r="AE342" s="3549"/>
      <c r="AF342" s="5051"/>
    </row>
    <row r="343" spans="1:32" ht="30.75" customHeight="1">
      <c r="A343" s="4564"/>
      <c r="B343" s="4570"/>
      <c r="C343" s="5145"/>
      <c r="D343" s="5130"/>
      <c r="E343" s="5130"/>
      <c r="F343" s="5130"/>
      <c r="G343" s="5130"/>
      <c r="H343" s="5130"/>
      <c r="I343" s="5130"/>
      <c r="J343" s="5130"/>
      <c r="K343" s="5130"/>
      <c r="L343" s="5130"/>
      <c r="M343" s="5138"/>
      <c r="N343" s="5138"/>
      <c r="O343" s="5138"/>
      <c r="P343" s="5130"/>
      <c r="Q343" s="5130"/>
      <c r="R343" s="5128"/>
      <c r="S343" s="3745"/>
      <c r="T343" s="3729"/>
      <c r="U343" s="1779"/>
      <c r="V343" s="2686"/>
      <c r="W343" s="1781"/>
      <c r="X343" s="1782"/>
      <c r="Y343" s="1783"/>
      <c r="Z343" s="1783"/>
      <c r="AA343" s="1783"/>
      <c r="AB343" s="3602"/>
      <c r="AC343" s="3571"/>
      <c r="AD343" s="3675"/>
      <c r="AE343" s="3675"/>
      <c r="AF343" s="5085"/>
    </row>
    <row r="344" spans="1:32" ht="25.5" customHeight="1">
      <c r="A344" s="4564"/>
      <c r="B344" s="4570"/>
      <c r="C344" s="5144" t="s">
        <v>235</v>
      </c>
      <c r="D344" s="5129" t="s">
        <v>236</v>
      </c>
      <c r="E344" s="5129" t="s">
        <v>244</v>
      </c>
      <c r="F344" s="5129" t="s">
        <v>430</v>
      </c>
      <c r="G344" s="5131" t="s">
        <v>239</v>
      </c>
      <c r="H344" s="5129" t="s">
        <v>240</v>
      </c>
      <c r="I344" s="5129" t="s">
        <v>257</v>
      </c>
      <c r="J344" s="5131" t="s">
        <v>5581</v>
      </c>
      <c r="K344" s="5129" t="s">
        <v>1234</v>
      </c>
      <c r="L344" s="5135" t="s">
        <v>5520</v>
      </c>
      <c r="M344" s="5137">
        <v>1</v>
      </c>
      <c r="N344" s="5137">
        <v>2</v>
      </c>
      <c r="O344" s="5137">
        <v>1</v>
      </c>
      <c r="P344" s="5135" t="s">
        <v>5429</v>
      </c>
      <c r="Q344" s="5135" t="s">
        <v>5416</v>
      </c>
      <c r="R344" s="5125" t="s">
        <v>5361</v>
      </c>
      <c r="S344" s="3749" t="s">
        <v>11</v>
      </c>
      <c r="T344" s="3732">
        <v>530203</v>
      </c>
      <c r="U344" s="3725"/>
      <c r="V344" s="3530" t="s">
        <v>1235</v>
      </c>
      <c r="W344" s="3688"/>
      <c r="X344" s="3529"/>
      <c r="Y344" s="3695"/>
      <c r="Z344" s="3695"/>
      <c r="AA344" s="3565"/>
      <c r="AB344" s="3566">
        <f>SUM($AA$345:$AA$349)</f>
        <v>2564.8000000000002</v>
      </c>
      <c r="AC344" s="3547"/>
      <c r="AD344" s="3676"/>
      <c r="AE344" s="3676"/>
      <c r="AF344" s="5155"/>
    </row>
    <row r="345" spans="1:32" ht="25.5" customHeight="1">
      <c r="A345" s="4564"/>
      <c r="B345" s="4570"/>
      <c r="C345" s="5145"/>
      <c r="D345" s="5130"/>
      <c r="E345" s="5130"/>
      <c r="F345" s="5130"/>
      <c r="G345" s="5130"/>
      <c r="H345" s="5130"/>
      <c r="I345" s="5130"/>
      <c r="J345" s="5130"/>
      <c r="K345" s="5130"/>
      <c r="L345" s="5130"/>
      <c r="M345" s="5138"/>
      <c r="N345" s="5138"/>
      <c r="O345" s="5138"/>
      <c r="P345" s="5130"/>
      <c r="Q345" s="5130"/>
      <c r="R345" s="5128"/>
      <c r="S345" s="3744"/>
      <c r="T345" s="3719"/>
      <c r="U345" s="3718">
        <v>439260011</v>
      </c>
      <c r="V345" s="2681" t="s">
        <v>5331</v>
      </c>
      <c r="W345" s="2630">
        <v>225</v>
      </c>
      <c r="X345" s="3544" t="s">
        <v>269</v>
      </c>
      <c r="Y345" s="3561">
        <v>6</v>
      </c>
      <c r="Z345" s="3696">
        <f t="shared" ref="Z345:Z349" si="18">W345*Y345</f>
        <v>1350</v>
      </c>
      <c r="AA345" s="3561">
        <f t="shared" ref="AA345:AA349" si="19">+Z345*0.12+Z345</f>
        <v>1512</v>
      </c>
      <c r="AB345" s="3562"/>
      <c r="AC345" s="3544"/>
      <c r="AD345" s="3549" t="s">
        <v>251</v>
      </c>
      <c r="AE345" s="3549"/>
      <c r="AF345" s="5051"/>
    </row>
    <row r="346" spans="1:32" ht="25.5" customHeight="1">
      <c r="A346" s="4564"/>
      <c r="B346" s="4570"/>
      <c r="C346" s="5145"/>
      <c r="D346" s="5130"/>
      <c r="E346" s="5130"/>
      <c r="F346" s="5130"/>
      <c r="G346" s="5130"/>
      <c r="H346" s="5130"/>
      <c r="I346" s="5130"/>
      <c r="J346" s="5130"/>
      <c r="K346" s="5130"/>
      <c r="L346" s="5130"/>
      <c r="M346" s="5138"/>
      <c r="N346" s="5138"/>
      <c r="O346" s="5138"/>
      <c r="P346" s="5130"/>
      <c r="Q346" s="5130"/>
      <c r="R346" s="5128"/>
      <c r="S346" s="3744"/>
      <c r="T346" s="3719"/>
      <c r="U346" s="3718">
        <v>439260011</v>
      </c>
      <c r="V346" s="2681" t="s">
        <v>5332</v>
      </c>
      <c r="W346" s="2630">
        <v>12</v>
      </c>
      <c r="X346" s="3544" t="s">
        <v>269</v>
      </c>
      <c r="Y346" s="3561">
        <v>10</v>
      </c>
      <c r="Z346" s="3696">
        <f t="shared" si="18"/>
        <v>120</v>
      </c>
      <c r="AA346" s="3561">
        <f t="shared" si="19"/>
        <v>134.4</v>
      </c>
      <c r="AB346" s="3562"/>
      <c r="AC346" s="3544"/>
      <c r="AD346" s="3549" t="s">
        <v>251</v>
      </c>
      <c r="AE346" s="3549"/>
      <c r="AF346" s="5051"/>
    </row>
    <row r="347" spans="1:32" ht="25.5" customHeight="1">
      <c r="A347" s="4564"/>
      <c r="B347" s="4570"/>
      <c r="C347" s="5145"/>
      <c r="D347" s="5130"/>
      <c r="E347" s="5130"/>
      <c r="F347" s="5130"/>
      <c r="G347" s="5130"/>
      <c r="H347" s="5130"/>
      <c r="I347" s="5130"/>
      <c r="J347" s="5130"/>
      <c r="K347" s="5130"/>
      <c r="L347" s="5130"/>
      <c r="M347" s="5138"/>
      <c r="N347" s="5138"/>
      <c r="O347" s="5138"/>
      <c r="P347" s="5130"/>
      <c r="Q347" s="5130"/>
      <c r="R347" s="5128"/>
      <c r="S347" s="3744"/>
      <c r="T347" s="3719"/>
      <c r="U347" s="3718">
        <v>439260011</v>
      </c>
      <c r="V347" s="2681" t="s">
        <v>5333</v>
      </c>
      <c r="W347" s="2630">
        <v>20</v>
      </c>
      <c r="X347" s="3492" t="s">
        <v>269</v>
      </c>
      <c r="Y347" s="3561">
        <v>6</v>
      </c>
      <c r="Z347" s="3696">
        <f t="shared" si="18"/>
        <v>120</v>
      </c>
      <c r="AA347" s="3561">
        <f t="shared" si="19"/>
        <v>134.4</v>
      </c>
      <c r="AB347" s="3562"/>
      <c r="AC347" s="3544"/>
      <c r="AD347" s="3549" t="s">
        <v>251</v>
      </c>
      <c r="AE347" s="3549"/>
      <c r="AF347" s="5051"/>
    </row>
    <row r="348" spans="1:32" ht="25.5" customHeight="1">
      <c r="A348" s="4564"/>
      <c r="B348" s="4570"/>
      <c r="C348" s="5145"/>
      <c r="D348" s="5130"/>
      <c r="E348" s="5130"/>
      <c r="F348" s="5130"/>
      <c r="G348" s="5130"/>
      <c r="H348" s="5130"/>
      <c r="I348" s="5130"/>
      <c r="J348" s="5130"/>
      <c r="K348" s="5130"/>
      <c r="L348" s="5130"/>
      <c r="M348" s="5138"/>
      <c r="N348" s="5138"/>
      <c r="O348" s="5138"/>
      <c r="P348" s="5130"/>
      <c r="Q348" s="5130"/>
      <c r="R348" s="5128"/>
      <c r="S348" s="3744"/>
      <c r="T348" s="3719"/>
      <c r="U348" s="3718">
        <v>439260011</v>
      </c>
      <c r="V348" s="2681" t="s">
        <v>5334</v>
      </c>
      <c r="W348" s="2630">
        <v>30</v>
      </c>
      <c r="X348" s="3544" t="s">
        <v>269</v>
      </c>
      <c r="Y348" s="3561">
        <v>10</v>
      </c>
      <c r="Z348" s="3696">
        <f t="shared" si="18"/>
        <v>300</v>
      </c>
      <c r="AA348" s="3561">
        <f t="shared" si="19"/>
        <v>336</v>
      </c>
      <c r="AB348" s="3562"/>
      <c r="AC348" s="3544"/>
      <c r="AD348" s="3549" t="s">
        <v>251</v>
      </c>
      <c r="AE348" s="3549"/>
      <c r="AF348" s="5051"/>
    </row>
    <row r="349" spans="1:32" ht="25.5" customHeight="1">
      <c r="A349" s="4564"/>
      <c r="B349" s="4570"/>
      <c r="C349" s="5145"/>
      <c r="D349" s="5130"/>
      <c r="E349" s="5130"/>
      <c r="F349" s="5130"/>
      <c r="G349" s="5130"/>
      <c r="H349" s="5130"/>
      <c r="I349" s="5130"/>
      <c r="J349" s="5130"/>
      <c r="K349" s="5130"/>
      <c r="L349" s="5130"/>
      <c r="M349" s="5138"/>
      <c r="N349" s="5138"/>
      <c r="O349" s="5138"/>
      <c r="P349" s="5130"/>
      <c r="Q349" s="5130"/>
      <c r="R349" s="5128"/>
      <c r="S349" s="3744"/>
      <c r="T349" s="3719"/>
      <c r="U349" s="3718">
        <v>439260011</v>
      </c>
      <c r="V349" s="2681" t="s">
        <v>5335</v>
      </c>
      <c r="W349" s="2630">
        <v>20</v>
      </c>
      <c r="X349" s="3544" t="s">
        <v>269</v>
      </c>
      <c r="Y349" s="3561">
        <v>20</v>
      </c>
      <c r="Z349" s="3696">
        <f t="shared" si="18"/>
        <v>400</v>
      </c>
      <c r="AA349" s="3561">
        <f t="shared" si="19"/>
        <v>448</v>
      </c>
      <c r="AB349" s="3562"/>
      <c r="AC349" s="3544"/>
      <c r="AD349" s="3549" t="s">
        <v>251</v>
      </c>
      <c r="AE349" s="3549"/>
      <c r="AF349" s="5051"/>
    </row>
    <row r="350" spans="1:32" ht="31.5" customHeight="1">
      <c r="A350" s="4564"/>
      <c r="B350" s="4570"/>
      <c r="C350" s="5144" t="s">
        <v>235</v>
      </c>
      <c r="D350" s="5129" t="s">
        <v>236</v>
      </c>
      <c r="E350" s="5129" t="s">
        <v>244</v>
      </c>
      <c r="F350" s="5129" t="s">
        <v>337</v>
      </c>
      <c r="G350" s="5131" t="s">
        <v>239</v>
      </c>
      <c r="H350" s="5129" t="s">
        <v>240</v>
      </c>
      <c r="I350" s="5129" t="s">
        <v>257</v>
      </c>
      <c r="J350" s="5129" t="s">
        <v>5582</v>
      </c>
      <c r="K350" s="5129" t="s">
        <v>1236</v>
      </c>
      <c r="L350" s="5135" t="s">
        <v>5521</v>
      </c>
      <c r="M350" s="5137">
        <v>0</v>
      </c>
      <c r="N350" s="5137">
        <v>1</v>
      </c>
      <c r="O350" s="5137">
        <v>5</v>
      </c>
      <c r="P350" s="5135" t="s">
        <v>5428</v>
      </c>
      <c r="Q350" s="5135" t="s">
        <v>5417</v>
      </c>
      <c r="R350" s="5132" t="s">
        <v>5361</v>
      </c>
      <c r="S350" s="3743"/>
      <c r="T350" s="3721"/>
      <c r="U350" s="3721"/>
      <c r="V350" s="3575"/>
      <c r="W350" s="3576"/>
      <c r="X350" s="3580"/>
      <c r="Y350" s="3607"/>
      <c r="Z350" s="3607"/>
      <c r="AA350" s="3607"/>
      <c r="AB350" s="3608"/>
      <c r="AC350" s="3577"/>
      <c r="AD350" s="3577"/>
      <c r="AE350" s="3577"/>
      <c r="AF350" s="5154"/>
    </row>
    <row r="351" spans="1:32" ht="31.5" customHeight="1">
      <c r="A351" s="4564"/>
      <c r="B351" s="4570"/>
      <c r="C351" s="5145"/>
      <c r="D351" s="5130"/>
      <c r="E351" s="5130"/>
      <c r="F351" s="5130"/>
      <c r="G351" s="5130"/>
      <c r="H351" s="5130"/>
      <c r="I351" s="5130"/>
      <c r="J351" s="5130"/>
      <c r="K351" s="5130"/>
      <c r="L351" s="5130"/>
      <c r="M351" s="5138"/>
      <c r="N351" s="5138"/>
      <c r="O351" s="5138"/>
      <c r="P351" s="5130"/>
      <c r="Q351" s="5130"/>
      <c r="R351" s="5128"/>
      <c r="S351" s="3744"/>
      <c r="T351" s="3719"/>
      <c r="U351" s="3718"/>
      <c r="V351" s="2681"/>
      <c r="W351" s="2630"/>
      <c r="X351" s="532"/>
      <c r="Y351" s="3561"/>
      <c r="Z351" s="3561"/>
      <c r="AA351" s="3561"/>
      <c r="AB351" s="3562"/>
      <c r="AC351" s="3544"/>
      <c r="AD351" s="3544"/>
      <c r="AE351" s="3544"/>
      <c r="AF351" s="5051"/>
    </row>
    <row r="352" spans="1:32" ht="31.5" customHeight="1">
      <c r="A352" s="4564"/>
      <c r="B352" s="4570"/>
      <c r="C352" s="5145"/>
      <c r="D352" s="5130"/>
      <c r="E352" s="5130"/>
      <c r="F352" s="5130"/>
      <c r="G352" s="5130"/>
      <c r="H352" s="5130"/>
      <c r="I352" s="5130"/>
      <c r="J352" s="5130"/>
      <c r="K352" s="5130"/>
      <c r="L352" s="5130"/>
      <c r="M352" s="5138"/>
      <c r="N352" s="5138"/>
      <c r="O352" s="5138"/>
      <c r="P352" s="5130"/>
      <c r="Q352" s="5130"/>
      <c r="R352" s="5128"/>
      <c r="S352" s="3744"/>
      <c r="T352" s="3719"/>
      <c r="U352" s="3718"/>
      <c r="V352" s="2681"/>
      <c r="W352" s="2630"/>
      <c r="X352" s="532"/>
      <c r="Y352" s="3561"/>
      <c r="Z352" s="3561"/>
      <c r="AA352" s="3561"/>
      <c r="AB352" s="3562"/>
      <c r="AC352" s="3544"/>
      <c r="AD352" s="3544"/>
      <c r="AE352" s="3549"/>
      <c r="AF352" s="5051"/>
    </row>
    <row r="353" spans="1:32" ht="31.5" customHeight="1">
      <c r="A353" s="4564"/>
      <c r="B353" s="4570"/>
      <c r="C353" s="5145"/>
      <c r="D353" s="5130"/>
      <c r="E353" s="5130"/>
      <c r="F353" s="5130"/>
      <c r="G353" s="5130"/>
      <c r="H353" s="5130"/>
      <c r="I353" s="5130"/>
      <c r="J353" s="5130"/>
      <c r="K353" s="5130"/>
      <c r="L353" s="5130"/>
      <c r="M353" s="5138"/>
      <c r="N353" s="5138"/>
      <c r="O353" s="5138"/>
      <c r="P353" s="5130"/>
      <c r="Q353" s="5130"/>
      <c r="R353" s="5128"/>
      <c r="S353" s="3744"/>
      <c r="T353" s="3719"/>
      <c r="U353" s="3718"/>
      <c r="V353" s="2681"/>
      <c r="W353" s="2630"/>
      <c r="X353" s="532"/>
      <c r="Y353" s="3561"/>
      <c r="Z353" s="3561"/>
      <c r="AA353" s="3561"/>
      <c r="AB353" s="3562"/>
      <c r="AC353" s="3544"/>
      <c r="AD353" s="3544"/>
      <c r="AE353" s="3549"/>
      <c r="AF353" s="5051"/>
    </row>
    <row r="354" spans="1:32" ht="31.5" customHeight="1">
      <c r="A354" s="4564"/>
      <c r="B354" s="4570"/>
      <c r="C354" s="5145"/>
      <c r="D354" s="5130"/>
      <c r="E354" s="5130"/>
      <c r="F354" s="5130"/>
      <c r="G354" s="5130"/>
      <c r="H354" s="5130"/>
      <c r="I354" s="5130"/>
      <c r="J354" s="5130"/>
      <c r="K354" s="5130"/>
      <c r="L354" s="5130"/>
      <c r="M354" s="5138"/>
      <c r="N354" s="5138"/>
      <c r="O354" s="5138"/>
      <c r="P354" s="5130"/>
      <c r="Q354" s="5130"/>
      <c r="R354" s="5128"/>
      <c r="S354" s="3745"/>
      <c r="T354" s="3729"/>
      <c r="U354" s="1779"/>
      <c r="V354" s="2686"/>
      <c r="W354" s="1781"/>
      <c r="X354" s="1782"/>
      <c r="Y354" s="1783"/>
      <c r="Z354" s="1783"/>
      <c r="AA354" s="1783"/>
      <c r="AB354" s="3602"/>
      <c r="AC354" s="3571"/>
      <c r="AD354" s="3571"/>
      <c r="AE354" s="3675"/>
      <c r="AF354" s="5085"/>
    </row>
    <row r="355" spans="1:32" ht="31.5" customHeight="1">
      <c r="A355" s="4564"/>
      <c r="B355" s="4570"/>
      <c r="C355" s="5144" t="s">
        <v>235</v>
      </c>
      <c r="D355" s="5129" t="s">
        <v>236</v>
      </c>
      <c r="E355" s="5129" t="s">
        <v>244</v>
      </c>
      <c r="F355" s="5129" t="s">
        <v>337</v>
      </c>
      <c r="G355" s="5131" t="s">
        <v>239</v>
      </c>
      <c r="H355" s="5129" t="s">
        <v>240</v>
      </c>
      <c r="I355" s="5129" t="s">
        <v>257</v>
      </c>
      <c r="J355" s="5129" t="s">
        <v>5583</v>
      </c>
      <c r="K355" s="5129" t="s">
        <v>1237</v>
      </c>
      <c r="L355" s="5135" t="s">
        <v>5522</v>
      </c>
      <c r="M355" s="5137">
        <v>0</v>
      </c>
      <c r="N355" s="5137">
        <v>0</v>
      </c>
      <c r="O355" s="5137">
        <v>1</v>
      </c>
      <c r="P355" s="5135" t="s">
        <v>5427</v>
      </c>
      <c r="Q355" s="5135" t="s">
        <v>5418</v>
      </c>
      <c r="R355" s="5125" t="s">
        <v>5363</v>
      </c>
      <c r="S355" s="3749"/>
      <c r="T355" s="3725"/>
      <c r="U355" s="3725"/>
      <c r="V355" s="3530"/>
      <c r="W355" s="2633"/>
      <c r="X355" s="1967"/>
      <c r="Y355" s="3565"/>
      <c r="Z355" s="3565"/>
      <c r="AA355" s="3565"/>
      <c r="AB355" s="3566"/>
      <c r="AC355" s="3547"/>
      <c r="AD355" s="3676"/>
      <c r="AE355" s="3676"/>
      <c r="AF355" s="5155"/>
    </row>
    <row r="356" spans="1:32" ht="31.5" customHeight="1">
      <c r="A356" s="4564"/>
      <c r="B356" s="4570"/>
      <c r="C356" s="5145"/>
      <c r="D356" s="5130"/>
      <c r="E356" s="5130"/>
      <c r="F356" s="5130"/>
      <c r="G356" s="5130"/>
      <c r="H356" s="5130"/>
      <c r="I356" s="5130"/>
      <c r="J356" s="5130"/>
      <c r="K356" s="5130"/>
      <c r="L356" s="5130"/>
      <c r="M356" s="5138"/>
      <c r="N356" s="5138"/>
      <c r="O356" s="5138"/>
      <c r="P356" s="5130"/>
      <c r="Q356" s="5130"/>
      <c r="R356" s="5128"/>
      <c r="S356" s="3744"/>
      <c r="T356" s="3719"/>
      <c r="U356" s="3718"/>
      <c r="V356" s="2681"/>
      <c r="W356" s="2630"/>
      <c r="X356" s="532"/>
      <c r="Y356" s="3561"/>
      <c r="Z356" s="3561"/>
      <c r="AA356" s="3561"/>
      <c r="AB356" s="3562"/>
      <c r="AC356" s="3544"/>
      <c r="AD356" s="3549"/>
      <c r="AE356" s="3549"/>
      <c r="AF356" s="5051"/>
    </row>
    <row r="357" spans="1:32" ht="31.5" customHeight="1">
      <c r="A357" s="4564"/>
      <c r="B357" s="4570"/>
      <c r="C357" s="5145"/>
      <c r="D357" s="5130"/>
      <c r="E357" s="5130"/>
      <c r="F357" s="5130"/>
      <c r="G357" s="5130"/>
      <c r="H357" s="5130"/>
      <c r="I357" s="5130"/>
      <c r="J357" s="5130"/>
      <c r="K357" s="5130"/>
      <c r="L357" s="5130"/>
      <c r="M357" s="5138"/>
      <c r="N357" s="5138"/>
      <c r="O357" s="5138"/>
      <c r="P357" s="5130"/>
      <c r="Q357" s="5130"/>
      <c r="R357" s="5128"/>
      <c r="S357" s="3744"/>
      <c r="T357" s="3719"/>
      <c r="U357" s="3718"/>
      <c r="V357" s="2681"/>
      <c r="W357" s="2630"/>
      <c r="X357" s="532"/>
      <c r="Y357" s="3561"/>
      <c r="Z357" s="3561"/>
      <c r="AA357" s="3561"/>
      <c r="AB357" s="3562"/>
      <c r="AC357" s="3544"/>
      <c r="AD357" s="3549"/>
      <c r="AE357" s="3549"/>
      <c r="AF357" s="5051"/>
    </row>
    <row r="358" spans="1:32" ht="31.5" customHeight="1">
      <c r="A358" s="4564"/>
      <c r="B358" s="4570"/>
      <c r="C358" s="5145"/>
      <c r="D358" s="5130"/>
      <c r="E358" s="5130"/>
      <c r="F358" s="5130"/>
      <c r="G358" s="5130"/>
      <c r="H358" s="5130"/>
      <c r="I358" s="5130"/>
      <c r="J358" s="5130"/>
      <c r="K358" s="5130"/>
      <c r="L358" s="5130"/>
      <c r="M358" s="5138"/>
      <c r="N358" s="5138"/>
      <c r="O358" s="5138"/>
      <c r="P358" s="5130"/>
      <c r="Q358" s="5130"/>
      <c r="R358" s="5128"/>
      <c r="S358" s="3744"/>
      <c r="T358" s="3719"/>
      <c r="U358" s="3718"/>
      <c r="V358" s="2681"/>
      <c r="W358" s="2630"/>
      <c r="X358" s="532"/>
      <c r="Y358" s="3561"/>
      <c r="Z358" s="3561"/>
      <c r="AA358" s="3561"/>
      <c r="AB358" s="3562"/>
      <c r="AC358" s="3544"/>
      <c r="AD358" s="3549"/>
      <c r="AE358" s="3549"/>
      <c r="AF358" s="5051"/>
    </row>
    <row r="359" spans="1:32" ht="31.5" customHeight="1">
      <c r="A359" s="4564"/>
      <c r="B359" s="4570"/>
      <c r="C359" s="5145"/>
      <c r="D359" s="5130"/>
      <c r="E359" s="5130"/>
      <c r="F359" s="5130"/>
      <c r="G359" s="5130"/>
      <c r="H359" s="5130"/>
      <c r="I359" s="5130"/>
      <c r="J359" s="5130"/>
      <c r="K359" s="5130"/>
      <c r="L359" s="5130"/>
      <c r="M359" s="5138"/>
      <c r="N359" s="5138"/>
      <c r="O359" s="5138"/>
      <c r="P359" s="5130"/>
      <c r="Q359" s="5130"/>
      <c r="R359" s="5153"/>
      <c r="S359" s="3750"/>
      <c r="T359" s="3733"/>
      <c r="U359" s="3720"/>
      <c r="V359" s="2682"/>
      <c r="W359" s="2631"/>
      <c r="X359" s="575"/>
      <c r="Y359" s="3603"/>
      <c r="Z359" s="3603"/>
      <c r="AA359" s="3603"/>
      <c r="AB359" s="3604"/>
      <c r="AC359" s="3548"/>
      <c r="AD359" s="3677"/>
      <c r="AE359" s="3677"/>
      <c r="AF359" s="5051"/>
    </row>
    <row r="360" spans="1:32" ht="30.75" customHeight="1">
      <c r="A360" s="4564"/>
      <c r="B360" s="4570"/>
      <c r="C360" s="5144" t="s">
        <v>235</v>
      </c>
      <c r="D360" s="5129" t="s">
        <v>236</v>
      </c>
      <c r="E360" s="5129" t="s">
        <v>244</v>
      </c>
      <c r="F360" s="5129" t="s">
        <v>337</v>
      </c>
      <c r="G360" s="5131" t="s">
        <v>239</v>
      </c>
      <c r="H360" s="5129" t="s">
        <v>240</v>
      </c>
      <c r="I360" s="5129" t="s">
        <v>257</v>
      </c>
      <c r="J360" s="5129" t="s">
        <v>5584</v>
      </c>
      <c r="K360" s="5129" t="s">
        <v>1238</v>
      </c>
      <c r="L360" s="5135" t="s">
        <v>5523</v>
      </c>
      <c r="M360" s="5137">
        <v>0</v>
      </c>
      <c r="N360" s="5137">
        <v>1</v>
      </c>
      <c r="O360" s="5137">
        <v>1</v>
      </c>
      <c r="P360" s="5135" t="s">
        <v>5426</v>
      </c>
      <c r="Q360" s="5135" t="s">
        <v>5419</v>
      </c>
      <c r="R360" s="5132" t="s">
        <v>5364</v>
      </c>
      <c r="S360" s="3743"/>
      <c r="T360" s="3721"/>
      <c r="U360" s="3721"/>
      <c r="V360" s="3575"/>
      <c r="W360" s="3576"/>
      <c r="X360" s="3580"/>
      <c r="Y360" s="3607"/>
      <c r="Z360" s="3607"/>
      <c r="AA360" s="3607"/>
      <c r="AB360" s="3608"/>
      <c r="AC360" s="3577"/>
      <c r="AD360" s="3674"/>
      <c r="AE360" s="3674"/>
      <c r="AF360" s="5154"/>
    </row>
    <row r="361" spans="1:32" ht="30.75" customHeight="1">
      <c r="A361" s="4564"/>
      <c r="B361" s="4570"/>
      <c r="C361" s="5145"/>
      <c r="D361" s="5130"/>
      <c r="E361" s="5130"/>
      <c r="F361" s="5130"/>
      <c r="G361" s="5130"/>
      <c r="H361" s="5130"/>
      <c r="I361" s="5130"/>
      <c r="J361" s="5130"/>
      <c r="K361" s="5130"/>
      <c r="L361" s="5130"/>
      <c r="M361" s="5138"/>
      <c r="N361" s="5138"/>
      <c r="O361" s="5138"/>
      <c r="P361" s="5130"/>
      <c r="Q361" s="5130"/>
      <c r="R361" s="5128"/>
      <c r="S361" s="3744"/>
      <c r="T361" s="3719"/>
      <c r="U361" s="3718"/>
      <c r="V361" s="2681"/>
      <c r="W361" s="2630"/>
      <c r="X361" s="532"/>
      <c r="Y361" s="3561"/>
      <c r="Z361" s="3561"/>
      <c r="AA361" s="3561"/>
      <c r="AB361" s="3562"/>
      <c r="AC361" s="3544"/>
      <c r="AD361" s="3549"/>
      <c r="AE361" s="3549"/>
      <c r="AF361" s="5051"/>
    </row>
    <row r="362" spans="1:32" ht="30.75" customHeight="1">
      <c r="A362" s="4564"/>
      <c r="B362" s="4570"/>
      <c r="C362" s="5145"/>
      <c r="D362" s="5130"/>
      <c r="E362" s="5130"/>
      <c r="F362" s="5130"/>
      <c r="G362" s="5130"/>
      <c r="H362" s="5130"/>
      <c r="I362" s="5130"/>
      <c r="J362" s="5130"/>
      <c r="K362" s="5130"/>
      <c r="L362" s="5130"/>
      <c r="M362" s="5138"/>
      <c r="N362" s="5138"/>
      <c r="O362" s="5138"/>
      <c r="P362" s="5130"/>
      <c r="Q362" s="5130"/>
      <c r="R362" s="5128"/>
      <c r="S362" s="3744"/>
      <c r="T362" s="3719"/>
      <c r="U362" s="3718"/>
      <c r="V362" s="2681"/>
      <c r="W362" s="2630"/>
      <c r="X362" s="532"/>
      <c r="Y362" s="3561"/>
      <c r="Z362" s="3418"/>
      <c r="AA362" s="3561"/>
      <c r="AB362" s="3562"/>
      <c r="AC362" s="3544"/>
      <c r="AD362" s="3549"/>
      <c r="AE362" s="3549"/>
      <c r="AF362" s="5051"/>
    </row>
    <row r="363" spans="1:32" ht="30.75" customHeight="1">
      <c r="A363" s="4564"/>
      <c r="B363" s="4570"/>
      <c r="C363" s="5145"/>
      <c r="D363" s="5130"/>
      <c r="E363" s="5130"/>
      <c r="F363" s="5130"/>
      <c r="G363" s="5130"/>
      <c r="H363" s="5130"/>
      <c r="I363" s="5130"/>
      <c r="J363" s="5130"/>
      <c r="K363" s="5130"/>
      <c r="L363" s="5130"/>
      <c r="M363" s="5138"/>
      <c r="N363" s="5138"/>
      <c r="O363" s="5138"/>
      <c r="P363" s="5130"/>
      <c r="Q363" s="5130"/>
      <c r="R363" s="5128"/>
      <c r="S363" s="3744"/>
      <c r="T363" s="3719"/>
      <c r="U363" s="3718"/>
      <c r="V363" s="2681"/>
      <c r="W363" s="2630"/>
      <c r="X363" s="532"/>
      <c r="Y363" s="3561"/>
      <c r="Z363" s="3561"/>
      <c r="AA363" s="3561"/>
      <c r="AB363" s="3562"/>
      <c r="AC363" s="3544"/>
      <c r="AD363" s="3549"/>
      <c r="AE363" s="3549"/>
      <c r="AF363" s="5051"/>
    </row>
    <row r="364" spans="1:32" ht="30.75" customHeight="1">
      <c r="A364" s="4564"/>
      <c r="B364" s="4570"/>
      <c r="C364" s="5145"/>
      <c r="D364" s="5130"/>
      <c r="E364" s="5130"/>
      <c r="F364" s="5130"/>
      <c r="G364" s="5130"/>
      <c r="H364" s="5130"/>
      <c r="I364" s="5130"/>
      <c r="J364" s="5130"/>
      <c r="K364" s="5130"/>
      <c r="L364" s="5130"/>
      <c r="M364" s="5138"/>
      <c r="N364" s="5138"/>
      <c r="O364" s="5138"/>
      <c r="P364" s="5130"/>
      <c r="Q364" s="5130"/>
      <c r="R364" s="5128"/>
      <c r="S364" s="3745"/>
      <c r="T364" s="3729"/>
      <c r="U364" s="1779"/>
      <c r="V364" s="2686"/>
      <c r="W364" s="1781"/>
      <c r="X364" s="1782"/>
      <c r="Y364" s="1783"/>
      <c r="Z364" s="1783"/>
      <c r="AA364" s="1783"/>
      <c r="AB364" s="3602"/>
      <c r="AC364" s="3571"/>
      <c r="AD364" s="3675"/>
      <c r="AE364" s="3675"/>
      <c r="AF364" s="5085"/>
    </row>
    <row r="365" spans="1:32" ht="31.5" customHeight="1">
      <c r="A365" s="4564"/>
      <c r="B365" s="4570"/>
      <c r="C365" s="5144" t="s">
        <v>235</v>
      </c>
      <c r="D365" s="5129" t="s">
        <v>236</v>
      </c>
      <c r="E365" s="5129" t="s">
        <v>244</v>
      </c>
      <c r="F365" s="5129" t="s">
        <v>337</v>
      </c>
      <c r="G365" s="5131" t="s">
        <v>239</v>
      </c>
      <c r="H365" s="5129" t="s">
        <v>240</v>
      </c>
      <c r="I365" s="5129" t="s">
        <v>257</v>
      </c>
      <c r="J365" s="5129" t="s">
        <v>5585</v>
      </c>
      <c r="K365" s="5129" t="s">
        <v>1239</v>
      </c>
      <c r="L365" s="5135" t="s">
        <v>5524</v>
      </c>
      <c r="M365" s="5137">
        <v>0</v>
      </c>
      <c r="N365" s="5137">
        <v>100</v>
      </c>
      <c r="O365" s="5137">
        <v>100</v>
      </c>
      <c r="P365" s="5135" t="s">
        <v>5425</v>
      </c>
      <c r="Q365" s="5135" t="s">
        <v>5420</v>
      </c>
      <c r="R365" s="5125" t="s">
        <v>5363</v>
      </c>
      <c r="S365" s="3749"/>
      <c r="T365" s="3725"/>
      <c r="U365" s="3725"/>
      <c r="V365" s="3530"/>
      <c r="W365" s="2633"/>
      <c r="X365" s="1967"/>
      <c r="Y365" s="3565"/>
      <c r="Z365" s="3565"/>
      <c r="AA365" s="3565"/>
      <c r="AB365" s="3566"/>
      <c r="AC365" s="3547"/>
      <c r="AD365" s="3676"/>
      <c r="AE365" s="3676"/>
      <c r="AF365" s="5155"/>
    </row>
    <row r="366" spans="1:32" ht="31.5" customHeight="1">
      <c r="A366" s="4564"/>
      <c r="B366" s="4570"/>
      <c r="C366" s="5145"/>
      <c r="D366" s="5130"/>
      <c r="E366" s="5130"/>
      <c r="F366" s="5130"/>
      <c r="G366" s="5130"/>
      <c r="H366" s="5130"/>
      <c r="I366" s="5130"/>
      <c r="J366" s="5130"/>
      <c r="K366" s="5130"/>
      <c r="L366" s="5130"/>
      <c r="M366" s="5138"/>
      <c r="N366" s="5138"/>
      <c r="O366" s="5138"/>
      <c r="P366" s="5130"/>
      <c r="Q366" s="5130"/>
      <c r="R366" s="5128"/>
      <c r="S366" s="3744"/>
      <c r="T366" s="3719"/>
      <c r="U366" s="3718"/>
      <c r="V366" s="2681"/>
      <c r="W366" s="2630"/>
      <c r="X366" s="532"/>
      <c r="Y366" s="3561"/>
      <c r="Z366" s="3561"/>
      <c r="AA366" s="3561"/>
      <c r="AB366" s="3562"/>
      <c r="AC366" s="3544"/>
      <c r="AD366" s="3549"/>
      <c r="AE366" s="3549"/>
      <c r="AF366" s="5051"/>
    </row>
    <row r="367" spans="1:32" ht="31.5" customHeight="1">
      <c r="A367" s="4564"/>
      <c r="B367" s="4570"/>
      <c r="C367" s="5145"/>
      <c r="D367" s="5130"/>
      <c r="E367" s="5130"/>
      <c r="F367" s="5130"/>
      <c r="G367" s="5130"/>
      <c r="H367" s="5130"/>
      <c r="I367" s="5130"/>
      <c r="J367" s="5130"/>
      <c r="K367" s="5130"/>
      <c r="L367" s="5130"/>
      <c r="M367" s="5138"/>
      <c r="N367" s="5138"/>
      <c r="O367" s="5138"/>
      <c r="P367" s="5130"/>
      <c r="Q367" s="5130"/>
      <c r="R367" s="5128"/>
      <c r="S367" s="3744"/>
      <c r="T367" s="3719"/>
      <c r="U367" s="3718"/>
      <c r="V367" s="2681"/>
      <c r="W367" s="2630"/>
      <c r="X367" s="532"/>
      <c r="Y367" s="3561"/>
      <c r="Z367" s="3561"/>
      <c r="AA367" s="3561"/>
      <c r="AB367" s="3562"/>
      <c r="AC367" s="3544"/>
      <c r="AD367" s="3549"/>
      <c r="AE367" s="3549"/>
      <c r="AF367" s="5051"/>
    </row>
    <row r="368" spans="1:32" ht="31.5" customHeight="1">
      <c r="A368" s="4564"/>
      <c r="B368" s="4570"/>
      <c r="C368" s="5145"/>
      <c r="D368" s="5130"/>
      <c r="E368" s="5130"/>
      <c r="F368" s="5130"/>
      <c r="G368" s="5130"/>
      <c r="H368" s="5130"/>
      <c r="I368" s="5130"/>
      <c r="J368" s="5130"/>
      <c r="K368" s="5130"/>
      <c r="L368" s="5130"/>
      <c r="M368" s="5138"/>
      <c r="N368" s="5138"/>
      <c r="O368" s="5138"/>
      <c r="P368" s="5130"/>
      <c r="Q368" s="5130"/>
      <c r="R368" s="5128"/>
      <c r="S368" s="3744"/>
      <c r="T368" s="3719"/>
      <c r="U368" s="3718"/>
      <c r="V368" s="2681"/>
      <c r="W368" s="2630"/>
      <c r="X368" s="532"/>
      <c r="Y368" s="3561"/>
      <c r="Z368" s="3561"/>
      <c r="AA368" s="3561"/>
      <c r="AB368" s="3562"/>
      <c r="AC368" s="3544"/>
      <c r="AD368" s="3549"/>
      <c r="AE368" s="3549"/>
      <c r="AF368" s="5051"/>
    </row>
    <row r="369" spans="1:32" ht="31.5" customHeight="1">
      <c r="A369" s="4564"/>
      <c r="B369" s="4570"/>
      <c r="C369" s="5145"/>
      <c r="D369" s="5130"/>
      <c r="E369" s="5130"/>
      <c r="F369" s="5130"/>
      <c r="G369" s="5130"/>
      <c r="H369" s="5130"/>
      <c r="I369" s="5130"/>
      <c r="J369" s="5130"/>
      <c r="K369" s="5130"/>
      <c r="L369" s="5130"/>
      <c r="M369" s="5138"/>
      <c r="N369" s="5138"/>
      <c r="O369" s="5138"/>
      <c r="P369" s="5130"/>
      <c r="Q369" s="5130"/>
      <c r="R369" s="5153"/>
      <c r="S369" s="3750"/>
      <c r="T369" s="3733"/>
      <c r="U369" s="3720"/>
      <c r="V369" s="2682"/>
      <c r="W369" s="2631"/>
      <c r="X369" s="575"/>
      <c r="Y369" s="3603"/>
      <c r="Z369" s="3603"/>
      <c r="AA369" s="3603"/>
      <c r="AB369" s="3604"/>
      <c r="AC369" s="3548"/>
      <c r="AD369" s="3677"/>
      <c r="AE369" s="3677"/>
      <c r="AF369" s="5051"/>
    </row>
    <row r="370" spans="1:32" ht="30" customHeight="1">
      <c r="A370" s="4564"/>
      <c r="B370" s="4570"/>
      <c r="C370" s="5144" t="s">
        <v>235</v>
      </c>
      <c r="D370" s="5129" t="s">
        <v>236</v>
      </c>
      <c r="E370" s="5129" t="s">
        <v>244</v>
      </c>
      <c r="F370" s="5129" t="s">
        <v>337</v>
      </c>
      <c r="G370" s="5131" t="s">
        <v>239</v>
      </c>
      <c r="H370" s="5129" t="s">
        <v>240</v>
      </c>
      <c r="I370" s="5129" t="s">
        <v>257</v>
      </c>
      <c r="J370" s="5129" t="s">
        <v>5586</v>
      </c>
      <c r="K370" s="5129" t="s">
        <v>338</v>
      </c>
      <c r="L370" s="5135" t="s">
        <v>5525</v>
      </c>
      <c r="M370" s="5137">
        <v>0</v>
      </c>
      <c r="N370" s="5137">
        <v>1</v>
      </c>
      <c r="O370" s="5137">
        <v>1</v>
      </c>
      <c r="P370" s="5140" t="s">
        <v>5424</v>
      </c>
      <c r="Q370" s="5140" t="s">
        <v>5421</v>
      </c>
      <c r="R370" s="5132" t="s">
        <v>5363</v>
      </c>
      <c r="S370" s="3743"/>
      <c r="T370" s="3721"/>
      <c r="U370" s="3721"/>
      <c r="V370" s="3575"/>
      <c r="W370" s="3576"/>
      <c r="X370" s="3580"/>
      <c r="Y370" s="3607"/>
      <c r="Z370" s="3607"/>
      <c r="AA370" s="3607"/>
      <c r="AB370" s="3608"/>
      <c r="AC370" s="3577"/>
      <c r="AD370" s="3674"/>
      <c r="AE370" s="3674"/>
      <c r="AF370" s="5154"/>
    </row>
    <row r="371" spans="1:32" ht="30" customHeight="1">
      <c r="A371" s="4564"/>
      <c r="B371" s="4570"/>
      <c r="C371" s="5145"/>
      <c r="D371" s="5130"/>
      <c r="E371" s="5130"/>
      <c r="F371" s="5130"/>
      <c r="G371" s="5130"/>
      <c r="H371" s="5130"/>
      <c r="I371" s="5130"/>
      <c r="J371" s="5130"/>
      <c r="K371" s="5130"/>
      <c r="L371" s="5130"/>
      <c r="M371" s="5138"/>
      <c r="N371" s="5138"/>
      <c r="O371" s="5138"/>
      <c r="P371" s="5130"/>
      <c r="Q371" s="5130"/>
      <c r="R371" s="5128"/>
      <c r="S371" s="3744"/>
      <c r="T371" s="3719"/>
      <c r="U371" s="3718"/>
      <c r="V371" s="2681"/>
      <c r="W371" s="2630"/>
      <c r="X371" s="532"/>
      <c r="Y371" s="3561"/>
      <c r="Z371" s="3561"/>
      <c r="AA371" s="3561"/>
      <c r="AB371" s="3562"/>
      <c r="AC371" s="3544"/>
      <c r="AD371" s="3549"/>
      <c r="AE371" s="3549"/>
      <c r="AF371" s="5051"/>
    </row>
    <row r="372" spans="1:32" ht="30" customHeight="1">
      <c r="A372" s="4564"/>
      <c r="B372" s="4570"/>
      <c r="C372" s="5145"/>
      <c r="D372" s="5130"/>
      <c r="E372" s="5130"/>
      <c r="F372" s="5130"/>
      <c r="G372" s="5130"/>
      <c r="H372" s="5130"/>
      <c r="I372" s="5130"/>
      <c r="J372" s="5130"/>
      <c r="K372" s="5130"/>
      <c r="L372" s="5130"/>
      <c r="M372" s="5138"/>
      <c r="N372" s="5138"/>
      <c r="O372" s="5138"/>
      <c r="P372" s="5130"/>
      <c r="Q372" s="5130"/>
      <c r="R372" s="5128"/>
      <c r="S372" s="3744"/>
      <c r="T372" s="3719"/>
      <c r="U372" s="3718"/>
      <c r="V372" s="2681"/>
      <c r="W372" s="2630"/>
      <c r="X372" s="532"/>
      <c r="Y372" s="3561"/>
      <c r="Z372" s="3561"/>
      <c r="AA372" s="3561"/>
      <c r="AB372" s="3562"/>
      <c r="AC372" s="3544"/>
      <c r="AD372" s="3549"/>
      <c r="AE372" s="3549"/>
      <c r="AF372" s="5051"/>
    </row>
    <row r="373" spans="1:32" ht="30" customHeight="1">
      <c r="A373" s="4564"/>
      <c r="B373" s="4570"/>
      <c r="C373" s="5145"/>
      <c r="D373" s="5130"/>
      <c r="E373" s="5130"/>
      <c r="F373" s="5130"/>
      <c r="G373" s="5130"/>
      <c r="H373" s="5130"/>
      <c r="I373" s="5130"/>
      <c r="J373" s="5130"/>
      <c r="K373" s="5130"/>
      <c r="L373" s="5130"/>
      <c r="M373" s="5138"/>
      <c r="N373" s="5138"/>
      <c r="O373" s="5138"/>
      <c r="P373" s="5130"/>
      <c r="Q373" s="5130"/>
      <c r="R373" s="5128"/>
      <c r="S373" s="3744"/>
      <c r="T373" s="3719"/>
      <c r="U373" s="3718"/>
      <c r="V373" s="2681"/>
      <c r="W373" s="2630"/>
      <c r="X373" s="532"/>
      <c r="Y373" s="3561"/>
      <c r="Z373" s="3561"/>
      <c r="AA373" s="3561"/>
      <c r="AB373" s="3562"/>
      <c r="AC373" s="3544"/>
      <c r="AD373" s="3549"/>
      <c r="AE373" s="3549"/>
      <c r="AF373" s="5051"/>
    </row>
    <row r="374" spans="1:32" ht="30" customHeight="1">
      <c r="A374" s="4564"/>
      <c r="B374" s="4570"/>
      <c r="C374" s="5145"/>
      <c r="D374" s="5130"/>
      <c r="E374" s="5130"/>
      <c r="F374" s="5130"/>
      <c r="G374" s="5130"/>
      <c r="H374" s="5130"/>
      <c r="I374" s="5130"/>
      <c r="J374" s="5130"/>
      <c r="K374" s="5130"/>
      <c r="L374" s="5130"/>
      <c r="M374" s="5138"/>
      <c r="N374" s="5138"/>
      <c r="O374" s="5138"/>
      <c r="P374" s="5130"/>
      <c r="Q374" s="5130"/>
      <c r="R374" s="5128"/>
      <c r="S374" s="3745"/>
      <c r="T374" s="3729"/>
      <c r="U374" s="1779"/>
      <c r="V374" s="2686"/>
      <c r="W374" s="1781"/>
      <c r="X374" s="1782"/>
      <c r="Y374" s="1783"/>
      <c r="Z374" s="1783"/>
      <c r="AA374" s="1783"/>
      <c r="AB374" s="3602"/>
      <c r="AC374" s="3571"/>
      <c r="AD374" s="3675"/>
      <c r="AE374" s="3675"/>
      <c r="AF374" s="5085"/>
    </row>
    <row r="375" spans="1:32" ht="30" customHeight="1">
      <c r="A375" s="4564"/>
      <c r="B375" s="4570"/>
      <c r="C375" s="5144" t="s">
        <v>235</v>
      </c>
      <c r="D375" s="5129" t="s">
        <v>236</v>
      </c>
      <c r="E375" s="5129" t="s">
        <v>244</v>
      </c>
      <c r="F375" s="5129" t="s">
        <v>337</v>
      </c>
      <c r="G375" s="5131" t="s">
        <v>239</v>
      </c>
      <c r="H375" s="5129" t="s">
        <v>240</v>
      </c>
      <c r="I375" s="5129" t="s">
        <v>257</v>
      </c>
      <c r="J375" s="5129" t="s">
        <v>4151</v>
      </c>
      <c r="K375" s="5129" t="s">
        <v>707</v>
      </c>
      <c r="L375" s="5135" t="s">
        <v>5526</v>
      </c>
      <c r="M375" s="5137">
        <v>2</v>
      </c>
      <c r="N375" s="5137">
        <v>2</v>
      </c>
      <c r="O375" s="5137">
        <v>2</v>
      </c>
      <c r="P375" s="5140" t="s">
        <v>5423</v>
      </c>
      <c r="Q375" s="5140" t="s">
        <v>5422</v>
      </c>
      <c r="R375" s="5125" t="s">
        <v>5365</v>
      </c>
      <c r="S375" s="3749"/>
      <c r="T375" s="3725"/>
      <c r="U375" s="3725"/>
      <c r="V375" s="3530"/>
      <c r="W375" s="2633"/>
      <c r="X375" s="1967"/>
      <c r="Y375" s="3565"/>
      <c r="Z375" s="3565"/>
      <c r="AA375" s="3565"/>
      <c r="AB375" s="3566"/>
      <c r="AC375" s="3547"/>
      <c r="AD375" s="3676"/>
      <c r="AE375" s="3676"/>
      <c r="AF375" s="5155"/>
    </row>
    <row r="376" spans="1:32" ht="30" customHeight="1">
      <c r="A376" s="4564"/>
      <c r="B376" s="4570"/>
      <c r="C376" s="5145"/>
      <c r="D376" s="5130"/>
      <c r="E376" s="5130"/>
      <c r="F376" s="5130"/>
      <c r="G376" s="5130"/>
      <c r="H376" s="5130"/>
      <c r="I376" s="5130"/>
      <c r="J376" s="5130"/>
      <c r="K376" s="5130"/>
      <c r="L376" s="5130"/>
      <c r="M376" s="5138"/>
      <c r="N376" s="5138"/>
      <c r="O376" s="5138"/>
      <c r="P376" s="5130"/>
      <c r="Q376" s="5130"/>
      <c r="R376" s="5128"/>
      <c r="S376" s="3744"/>
      <c r="T376" s="3719"/>
      <c r="U376" s="3718"/>
      <c r="V376" s="2681"/>
      <c r="W376" s="2630"/>
      <c r="X376" s="532"/>
      <c r="Y376" s="3561"/>
      <c r="Z376" s="3561"/>
      <c r="AA376" s="3561"/>
      <c r="AB376" s="3562"/>
      <c r="AC376" s="3544"/>
      <c r="AD376" s="3549"/>
      <c r="AE376" s="3549"/>
      <c r="AF376" s="5051"/>
    </row>
    <row r="377" spans="1:32" ht="30" customHeight="1">
      <c r="A377" s="4564"/>
      <c r="B377" s="4570"/>
      <c r="C377" s="5145"/>
      <c r="D377" s="5130"/>
      <c r="E377" s="5130"/>
      <c r="F377" s="5130"/>
      <c r="G377" s="5130"/>
      <c r="H377" s="5130"/>
      <c r="I377" s="5130"/>
      <c r="J377" s="5130"/>
      <c r="K377" s="5130"/>
      <c r="L377" s="5130"/>
      <c r="M377" s="5138"/>
      <c r="N377" s="5138"/>
      <c r="O377" s="5138"/>
      <c r="P377" s="5130"/>
      <c r="Q377" s="5130"/>
      <c r="R377" s="5128"/>
      <c r="S377" s="3744"/>
      <c r="T377" s="3719"/>
      <c r="U377" s="3718"/>
      <c r="V377" s="2681"/>
      <c r="W377" s="2630"/>
      <c r="X377" s="532"/>
      <c r="Y377" s="3561"/>
      <c r="Z377" s="3561"/>
      <c r="AA377" s="3561"/>
      <c r="AB377" s="3562"/>
      <c r="AC377" s="3544"/>
      <c r="AD377" s="3549"/>
      <c r="AE377" s="3549"/>
      <c r="AF377" s="5051"/>
    </row>
    <row r="378" spans="1:32" ht="30" customHeight="1">
      <c r="A378" s="4564"/>
      <c r="B378" s="4570"/>
      <c r="C378" s="5145"/>
      <c r="D378" s="5130"/>
      <c r="E378" s="5130"/>
      <c r="F378" s="5130"/>
      <c r="G378" s="5130"/>
      <c r="H378" s="5130"/>
      <c r="I378" s="5130"/>
      <c r="J378" s="5130"/>
      <c r="K378" s="5130"/>
      <c r="L378" s="5130"/>
      <c r="M378" s="5138"/>
      <c r="N378" s="5138"/>
      <c r="O378" s="5138"/>
      <c r="P378" s="5130"/>
      <c r="Q378" s="5130"/>
      <c r="R378" s="5128"/>
      <c r="S378" s="3744"/>
      <c r="T378" s="3719"/>
      <c r="U378" s="3718"/>
      <c r="V378" s="2681"/>
      <c r="W378" s="2630"/>
      <c r="X378" s="532"/>
      <c r="Y378" s="3561"/>
      <c r="Z378" s="3561"/>
      <c r="AA378" s="3561"/>
      <c r="AB378" s="3562"/>
      <c r="AC378" s="3544"/>
      <c r="AD378" s="3549"/>
      <c r="AE378" s="3549"/>
      <c r="AF378" s="5051"/>
    </row>
    <row r="379" spans="1:32" ht="30" customHeight="1" thickBot="1">
      <c r="A379" s="4564"/>
      <c r="B379" s="4570"/>
      <c r="C379" s="5146"/>
      <c r="D379" s="5136"/>
      <c r="E379" s="5136"/>
      <c r="F379" s="5136"/>
      <c r="G379" s="5136"/>
      <c r="H379" s="5136"/>
      <c r="I379" s="5136"/>
      <c r="J379" s="5136"/>
      <c r="K379" s="5136"/>
      <c r="L379" s="5136"/>
      <c r="M379" s="5139"/>
      <c r="N379" s="5139"/>
      <c r="O379" s="5139"/>
      <c r="P379" s="5136"/>
      <c r="Q379" s="5136"/>
      <c r="R379" s="5141"/>
      <c r="S379" s="3751"/>
      <c r="T379" s="3734"/>
      <c r="U379" s="3726"/>
      <c r="V379" s="3532"/>
      <c r="W379" s="2642"/>
      <c r="X379" s="578"/>
      <c r="Y379" s="3563"/>
      <c r="Z379" s="3563"/>
      <c r="AA379" s="3563"/>
      <c r="AB379" s="3564"/>
      <c r="AC379" s="3546"/>
      <c r="AD379" s="3678"/>
      <c r="AE379" s="3678"/>
      <c r="AF379" s="5087"/>
    </row>
    <row r="380" spans="1:32" ht="22.5" customHeight="1" thickBot="1">
      <c r="A380" s="4564"/>
      <c r="B380" s="4479"/>
      <c r="C380" s="3647"/>
      <c r="D380" s="3649"/>
      <c r="E380" s="3649"/>
      <c r="F380" s="3649"/>
      <c r="G380" s="3649"/>
      <c r="H380" s="3649"/>
      <c r="I380" s="3649"/>
      <c r="J380" s="3649"/>
      <c r="K380" s="3649"/>
      <c r="L380" s="3649"/>
      <c r="M380" s="3649"/>
      <c r="N380" s="3649"/>
      <c r="O380" s="3649"/>
      <c r="P380" s="3649"/>
      <c r="Q380" s="3649"/>
      <c r="R380" s="3649"/>
      <c r="S380" s="4561" t="s">
        <v>1240</v>
      </c>
      <c r="T380" s="5157"/>
      <c r="U380" s="5157"/>
      <c r="V380" s="5157"/>
      <c r="W380" s="5157"/>
      <c r="X380" s="5157"/>
      <c r="Y380" s="5157"/>
      <c r="Z380" s="5157"/>
      <c r="AA380" s="2232" t="s">
        <v>340</v>
      </c>
      <c r="AB380" s="2233">
        <f>SUM(AB288:AB379)</f>
        <v>17201.856</v>
      </c>
      <c r="AC380" s="5158"/>
      <c r="AD380" s="4540"/>
      <c r="AE380" s="4540"/>
      <c r="AF380" s="4541"/>
    </row>
    <row r="381" spans="1:32" ht="22.5" customHeight="1" thickBot="1">
      <c r="A381" s="4362"/>
      <c r="B381" s="2191"/>
      <c r="C381" s="2192"/>
      <c r="D381" s="2192"/>
      <c r="E381" s="2192"/>
      <c r="F381" s="2192"/>
      <c r="G381" s="2192"/>
      <c r="H381" s="2192"/>
      <c r="I381" s="2192"/>
      <c r="J381" s="2192"/>
      <c r="K381" s="2192"/>
      <c r="L381" s="2192"/>
      <c r="M381" s="2192"/>
      <c r="N381" s="2192"/>
      <c r="O381" s="2192"/>
      <c r="P381" s="2192"/>
      <c r="Q381" s="2192"/>
      <c r="R381" s="2192"/>
      <c r="S381" s="5054" t="s">
        <v>1165</v>
      </c>
      <c r="T381" s="5054"/>
      <c r="U381" s="5054"/>
      <c r="V381" s="5054"/>
      <c r="W381" s="5054"/>
      <c r="X381" s="5054"/>
      <c r="Y381" s="5054"/>
      <c r="Z381" s="5054"/>
      <c r="AA381" s="2175" t="s">
        <v>340</v>
      </c>
      <c r="AB381" s="1989">
        <f>SUM(AB123,AB185,AB241,AB287,AB380)</f>
        <v>27548836.000400003</v>
      </c>
      <c r="AC381" s="4505"/>
      <c r="AD381" s="4506"/>
      <c r="AE381" s="4506"/>
      <c r="AF381" s="4507"/>
    </row>
    <row r="382" spans="1:32" ht="17.25" thickTop="1">
      <c r="A382" s="298"/>
      <c r="B382" s="374"/>
      <c r="C382" s="12" t="s">
        <v>442</v>
      </c>
      <c r="D382" s="584" t="s">
        <v>1241</v>
      </c>
      <c r="E382" s="298"/>
      <c r="F382" s="298"/>
      <c r="G382" s="298"/>
      <c r="H382" s="298"/>
      <c r="I382" s="298"/>
      <c r="J382" s="298"/>
      <c r="K382" s="298"/>
      <c r="L382" s="298"/>
      <c r="M382" s="298"/>
      <c r="N382" s="298"/>
      <c r="O382" s="298"/>
      <c r="P382" s="298"/>
      <c r="Q382" s="298"/>
      <c r="R382" s="298"/>
      <c r="S382" s="4318" t="s">
        <v>3930</v>
      </c>
      <c r="T382" s="4150"/>
      <c r="U382" s="4150"/>
      <c r="V382" s="4150"/>
      <c r="W382" s="4150"/>
      <c r="X382" s="4150"/>
      <c r="Y382" s="4150"/>
      <c r="Z382" s="4150"/>
      <c r="AA382" s="4150"/>
      <c r="AB382" s="4150"/>
      <c r="AC382" s="4150"/>
      <c r="AD382" s="4150"/>
      <c r="AE382" s="4150"/>
      <c r="AF382" s="4150"/>
    </row>
    <row r="383" spans="1:32" ht="16.5" customHeight="1">
      <c r="A383" s="298"/>
      <c r="B383" s="374"/>
      <c r="C383" s="12" t="s">
        <v>444</v>
      </c>
      <c r="D383" s="585">
        <v>44817</v>
      </c>
      <c r="E383" s="298"/>
      <c r="F383" s="298"/>
      <c r="G383" s="298"/>
      <c r="H383" s="298"/>
      <c r="I383" s="298"/>
      <c r="J383" s="298"/>
      <c r="K383" s="298"/>
      <c r="L383" s="298"/>
      <c r="M383" s="298"/>
      <c r="N383" s="298"/>
      <c r="O383" s="298"/>
      <c r="P383" s="298"/>
      <c r="Q383" s="298"/>
      <c r="R383" s="298"/>
      <c r="S383" s="221"/>
      <c r="T383" s="221"/>
      <c r="U383" s="221"/>
      <c r="V383" s="1884"/>
      <c r="W383" s="1884"/>
      <c r="X383" s="1884"/>
      <c r="Y383" s="1884"/>
      <c r="Z383" s="1884"/>
      <c r="AA383" s="1884"/>
      <c r="AB383" s="221"/>
      <c r="AC383" s="221"/>
      <c r="AD383" s="221"/>
      <c r="AE383" s="221"/>
      <c r="AF383" s="221"/>
    </row>
    <row r="384" spans="1:32" ht="18.75">
      <c r="A384" s="298"/>
      <c r="B384" s="298"/>
      <c r="C384" s="298"/>
      <c r="D384" s="298"/>
      <c r="E384" s="298"/>
      <c r="F384" s="298"/>
      <c r="G384" s="298"/>
      <c r="H384" s="298"/>
      <c r="I384" s="298"/>
      <c r="J384" s="298"/>
      <c r="K384" s="298"/>
      <c r="L384" s="298"/>
      <c r="M384" s="298"/>
      <c r="N384" s="298"/>
      <c r="O384" s="298"/>
      <c r="P384" s="298"/>
      <c r="Q384" s="298"/>
      <c r="R384" s="298"/>
      <c r="S384" s="221"/>
      <c r="U384" s="4222" t="s">
        <v>1242</v>
      </c>
      <c r="V384" s="4223"/>
      <c r="W384" s="4223"/>
      <c r="X384" s="4223"/>
      <c r="Y384" s="4223"/>
      <c r="Z384" s="4223"/>
      <c r="AA384" s="586"/>
      <c r="AB384" s="221"/>
      <c r="AC384" s="221"/>
      <c r="AD384" s="221"/>
      <c r="AE384" s="221"/>
    </row>
    <row r="385" spans="1:31" ht="16.5" customHeight="1" thickBot="1">
      <c r="A385" s="298"/>
      <c r="B385" s="298"/>
      <c r="C385" s="298"/>
      <c r="D385" s="298"/>
      <c r="E385" s="298"/>
      <c r="F385" s="298"/>
      <c r="G385" s="298"/>
      <c r="H385" s="298"/>
      <c r="I385" s="298"/>
      <c r="J385" s="298"/>
      <c r="K385" s="298"/>
      <c r="L385" s="298"/>
      <c r="M385" s="298"/>
      <c r="N385" s="298"/>
      <c r="O385" s="298"/>
      <c r="P385" s="298"/>
      <c r="Q385" s="298"/>
      <c r="R385" s="298"/>
      <c r="S385" s="221"/>
      <c r="T385" s="221"/>
      <c r="U385" s="221"/>
      <c r="V385" s="221"/>
      <c r="W385" s="221"/>
      <c r="X385" s="221"/>
      <c r="Y385" s="221"/>
      <c r="Z385" s="221"/>
      <c r="AA385" s="221"/>
      <c r="AB385" s="221"/>
      <c r="AC385" s="221"/>
      <c r="AD385" s="221"/>
      <c r="AE385" s="221"/>
    </row>
    <row r="386" spans="1:31" ht="16.5" customHeight="1" thickTop="1">
      <c r="A386" s="298"/>
      <c r="B386" s="298"/>
      <c r="C386" s="298"/>
      <c r="D386" s="298"/>
      <c r="E386" s="298"/>
      <c r="F386" s="298"/>
      <c r="G386" s="298"/>
      <c r="H386" s="298"/>
      <c r="I386" s="298"/>
      <c r="J386" s="298"/>
      <c r="K386" s="298"/>
      <c r="L386" s="298"/>
      <c r="M386" s="298"/>
      <c r="N386" s="298"/>
      <c r="O386" s="298"/>
      <c r="P386" s="298"/>
      <c r="Q386" s="298"/>
      <c r="R386" s="298"/>
      <c r="S386" s="587"/>
      <c r="U386" s="2238" t="s">
        <v>4</v>
      </c>
      <c r="V386" s="2239" t="s">
        <v>344</v>
      </c>
      <c r="W386" s="2240" t="s">
        <v>6</v>
      </c>
      <c r="X386" s="2241" t="s">
        <v>345</v>
      </c>
      <c r="Y386" s="2241" t="s">
        <v>8</v>
      </c>
      <c r="Z386" s="2276" t="s">
        <v>346</v>
      </c>
      <c r="AA386" s="221"/>
      <c r="AB386" s="221"/>
      <c r="AC386" s="221"/>
      <c r="AD386" s="221"/>
      <c r="AE386" s="221"/>
    </row>
    <row r="387" spans="1:31" ht="16.5" customHeight="1">
      <c r="A387" s="298"/>
      <c r="B387" s="298"/>
      <c r="C387" s="298"/>
      <c r="D387" s="298"/>
      <c r="E387" s="298"/>
      <c r="F387" s="298"/>
      <c r="G387" s="298"/>
      <c r="H387" s="298"/>
      <c r="I387" s="298"/>
      <c r="J387" s="298"/>
      <c r="K387" s="298"/>
      <c r="L387" s="298"/>
      <c r="M387" s="298"/>
      <c r="N387" s="298"/>
      <c r="O387" s="298"/>
      <c r="P387" s="298"/>
      <c r="U387" s="1689" t="s">
        <v>11</v>
      </c>
      <c r="V387" s="2277" t="s">
        <v>96</v>
      </c>
      <c r="W387" s="137" t="s">
        <v>97</v>
      </c>
      <c r="X387" s="137" t="s">
        <v>98</v>
      </c>
      <c r="Y387" s="137" t="s">
        <v>14</v>
      </c>
      <c r="Z387" s="654">
        <f t="shared" ref="Z387:Z401" si="20">SUM(AB44)</f>
        <v>3497244.8</v>
      </c>
      <c r="AA387" s="588"/>
      <c r="AB387" s="221"/>
      <c r="AC387" s="221"/>
      <c r="AD387" s="221"/>
      <c r="AE387" s="221"/>
    </row>
    <row r="388" spans="1:31" ht="16.5" customHeight="1">
      <c r="A388" s="298"/>
      <c r="B388" s="298"/>
      <c r="C388" s="298"/>
      <c r="D388" s="298"/>
      <c r="E388" s="298"/>
      <c r="F388" s="298"/>
      <c r="G388" s="298"/>
      <c r="H388" s="298"/>
      <c r="I388" s="298"/>
      <c r="J388" s="298"/>
      <c r="K388" s="298"/>
      <c r="L388" s="298"/>
      <c r="M388" s="298"/>
      <c r="N388" s="298"/>
      <c r="O388" s="298"/>
      <c r="P388" s="298"/>
      <c r="U388" s="1689" t="s">
        <v>11</v>
      </c>
      <c r="V388" s="2277" t="s">
        <v>99</v>
      </c>
      <c r="W388" s="137" t="s">
        <v>100</v>
      </c>
      <c r="X388" s="137" t="s">
        <v>98</v>
      </c>
      <c r="Y388" s="137" t="s">
        <v>14</v>
      </c>
      <c r="Z388" s="654">
        <f t="shared" si="20"/>
        <v>1006663.08</v>
      </c>
      <c r="AA388" s="588"/>
      <c r="AB388" s="221"/>
      <c r="AC388" s="221"/>
      <c r="AD388" s="221"/>
      <c r="AE388" s="221"/>
    </row>
    <row r="389" spans="1:31" ht="31.5" customHeight="1">
      <c r="A389" s="298"/>
      <c r="B389" s="298"/>
      <c r="C389" s="298"/>
      <c r="D389" s="298"/>
      <c r="E389" s="298"/>
      <c r="F389" s="298"/>
      <c r="G389" s="298"/>
      <c r="H389" s="298"/>
      <c r="I389" s="298"/>
      <c r="J389" s="298"/>
      <c r="K389" s="298"/>
      <c r="L389" s="298"/>
      <c r="M389" s="298"/>
      <c r="N389" s="298"/>
      <c r="O389" s="298"/>
      <c r="P389" s="298"/>
      <c r="U389" s="1689" t="s">
        <v>11</v>
      </c>
      <c r="V389" s="2278" t="s">
        <v>101</v>
      </c>
      <c r="W389" s="137" t="s">
        <v>102</v>
      </c>
      <c r="X389" s="137" t="s">
        <v>98</v>
      </c>
      <c r="Y389" s="137" t="s">
        <v>14</v>
      </c>
      <c r="Z389" s="654">
        <f t="shared" si="20"/>
        <v>828020.16</v>
      </c>
      <c r="AA389" s="588"/>
      <c r="AB389" s="221"/>
      <c r="AC389" s="221"/>
      <c r="AD389" s="221"/>
      <c r="AE389" s="221"/>
    </row>
    <row r="390" spans="1:31" ht="16.5" customHeight="1">
      <c r="A390" s="298"/>
      <c r="B390" s="298"/>
      <c r="C390" s="298"/>
      <c r="D390" s="298"/>
      <c r="E390" s="298"/>
      <c r="F390" s="298"/>
      <c r="G390" s="298"/>
      <c r="H390" s="298"/>
      <c r="I390" s="298"/>
      <c r="J390" s="298"/>
      <c r="K390" s="298"/>
      <c r="L390" s="298"/>
      <c r="M390" s="298"/>
      <c r="N390" s="298"/>
      <c r="O390" s="298"/>
      <c r="P390" s="298"/>
      <c r="U390" s="1689" t="s">
        <v>11</v>
      </c>
      <c r="V390" s="2277" t="s">
        <v>1151</v>
      </c>
      <c r="W390" s="137" t="s">
        <v>104</v>
      </c>
      <c r="X390" s="137" t="s">
        <v>98</v>
      </c>
      <c r="Y390" s="137" t="s">
        <v>14</v>
      </c>
      <c r="Z390" s="654">
        <f t="shared" si="20"/>
        <v>491904.66999999993</v>
      </c>
      <c r="AA390" s="588"/>
      <c r="AB390" s="221"/>
      <c r="AC390" s="221"/>
      <c r="AD390" s="221"/>
      <c r="AE390" s="221"/>
    </row>
    <row r="391" spans="1:31" ht="16.5" customHeight="1">
      <c r="A391" s="298"/>
      <c r="B391" s="298"/>
      <c r="C391" s="298"/>
      <c r="D391" s="298"/>
      <c r="E391" s="298"/>
      <c r="F391" s="298"/>
      <c r="G391" s="298"/>
      <c r="H391" s="298"/>
      <c r="I391" s="298"/>
      <c r="J391" s="298"/>
      <c r="K391" s="298"/>
      <c r="L391" s="298"/>
      <c r="M391" s="298"/>
      <c r="N391" s="298"/>
      <c r="O391" s="298"/>
      <c r="P391" s="298"/>
      <c r="U391" s="1689" t="s">
        <v>11</v>
      </c>
      <c r="V391" s="2277" t="s">
        <v>1152</v>
      </c>
      <c r="W391" s="137" t="s">
        <v>106</v>
      </c>
      <c r="X391" s="137" t="s">
        <v>98</v>
      </c>
      <c r="Y391" s="137" t="s">
        <v>14</v>
      </c>
      <c r="Z391" s="654">
        <f t="shared" si="20"/>
        <v>165218.75</v>
      </c>
      <c r="AA391" s="588"/>
      <c r="AB391" s="221"/>
      <c r="AC391" s="221"/>
      <c r="AD391" s="221"/>
      <c r="AE391" s="221"/>
    </row>
    <row r="392" spans="1:31" ht="16.5" customHeight="1">
      <c r="A392" s="298"/>
      <c r="B392" s="298"/>
      <c r="C392" s="298"/>
      <c r="D392" s="298"/>
      <c r="E392" s="298"/>
      <c r="F392" s="298"/>
      <c r="G392" s="298"/>
      <c r="H392" s="298"/>
      <c r="I392" s="298"/>
      <c r="J392" s="298"/>
      <c r="K392" s="298"/>
      <c r="L392" s="298"/>
      <c r="M392" s="298"/>
      <c r="N392" s="298"/>
      <c r="O392" s="298"/>
      <c r="P392" s="298"/>
      <c r="U392" s="1689" t="s">
        <v>11</v>
      </c>
      <c r="V392" s="2277" t="s">
        <v>107</v>
      </c>
      <c r="W392" s="137" t="s">
        <v>108</v>
      </c>
      <c r="X392" s="137" t="s">
        <v>98</v>
      </c>
      <c r="Y392" s="137" t="s">
        <v>14</v>
      </c>
      <c r="Z392" s="654">
        <f t="shared" si="20"/>
        <v>15000</v>
      </c>
      <c r="AA392" s="588"/>
      <c r="AB392" s="221"/>
      <c r="AC392" s="221"/>
      <c r="AD392" s="221"/>
      <c r="AE392" s="221"/>
    </row>
    <row r="393" spans="1:31" ht="16.5" customHeight="1">
      <c r="A393" s="298"/>
      <c r="B393" s="298"/>
      <c r="C393" s="298"/>
      <c r="D393" s="298"/>
      <c r="E393" s="298"/>
      <c r="F393" s="298"/>
      <c r="G393" s="298"/>
      <c r="H393" s="298"/>
      <c r="I393" s="298"/>
      <c r="J393" s="298"/>
      <c r="K393" s="298"/>
      <c r="L393" s="298"/>
      <c r="M393" s="298"/>
      <c r="N393" s="298"/>
      <c r="O393" s="298"/>
      <c r="P393" s="298"/>
      <c r="U393" s="1689" t="s">
        <v>11</v>
      </c>
      <c r="V393" s="2277" t="s">
        <v>109</v>
      </c>
      <c r="W393" s="137" t="s">
        <v>110</v>
      </c>
      <c r="X393" s="137" t="s">
        <v>98</v>
      </c>
      <c r="Y393" s="137" t="s">
        <v>14</v>
      </c>
      <c r="Z393" s="654">
        <f t="shared" si="20"/>
        <v>95000</v>
      </c>
      <c r="AA393" s="588"/>
      <c r="AB393" s="221"/>
      <c r="AC393" s="221"/>
      <c r="AD393" s="221"/>
      <c r="AE393" s="221"/>
    </row>
    <row r="394" spans="1:31" ht="17.25" customHeight="1">
      <c r="A394" s="298"/>
      <c r="B394" s="298"/>
      <c r="C394" s="298"/>
      <c r="D394" s="298"/>
      <c r="E394" s="298"/>
      <c r="F394" s="298"/>
      <c r="G394" s="298"/>
      <c r="H394" s="298"/>
      <c r="I394" s="298"/>
      <c r="J394" s="298"/>
      <c r="K394" s="298"/>
      <c r="L394" s="298"/>
      <c r="M394" s="298"/>
      <c r="N394" s="298"/>
      <c r="O394" s="298"/>
      <c r="P394" s="298"/>
      <c r="U394" s="1689" t="s">
        <v>11</v>
      </c>
      <c r="V394" s="2277" t="s">
        <v>111</v>
      </c>
      <c r="W394" s="137" t="s">
        <v>112</v>
      </c>
      <c r="X394" s="137" t="s">
        <v>98</v>
      </c>
      <c r="Y394" s="137" t="s">
        <v>14</v>
      </c>
      <c r="Z394" s="654">
        <f t="shared" si="20"/>
        <v>5000</v>
      </c>
      <c r="AA394" s="588"/>
      <c r="AB394" s="221"/>
      <c r="AC394" s="221"/>
      <c r="AD394" s="221"/>
      <c r="AE394" s="221"/>
    </row>
    <row r="395" spans="1:31" ht="16.5" customHeight="1">
      <c r="A395" s="298"/>
      <c r="B395" s="298"/>
      <c r="C395" s="298"/>
      <c r="D395" s="298"/>
      <c r="E395" s="298"/>
      <c r="F395" s="298"/>
      <c r="G395" s="298"/>
      <c r="H395" s="298"/>
      <c r="I395" s="298"/>
      <c r="J395" s="298"/>
      <c r="K395" s="298"/>
      <c r="L395" s="298"/>
      <c r="M395" s="298"/>
      <c r="N395" s="298"/>
      <c r="O395" s="298"/>
      <c r="P395" s="298"/>
      <c r="U395" s="1689" t="s">
        <v>11</v>
      </c>
      <c r="V395" s="2277" t="s">
        <v>113</v>
      </c>
      <c r="W395" s="137" t="s">
        <v>114</v>
      </c>
      <c r="X395" s="137" t="s">
        <v>98</v>
      </c>
      <c r="Y395" s="137" t="s">
        <v>14</v>
      </c>
      <c r="Z395" s="654">
        <f t="shared" si="20"/>
        <v>24000</v>
      </c>
      <c r="AA395" s="588"/>
      <c r="AB395" s="221"/>
      <c r="AC395" s="221"/>
      <c r="AD395" s="221"/>
      <c r="AE395" s="221"/>
    </row>
    <row r="396" spans="1:31" ht="16.5" customHeight="1">
      <c r="A396" s="298"/>
      <c r="B396" s="298"/>
      <c r="C396" s="298"/>
      <c r="D396" s="298"/>
      <c r="E396" s="298"/>
      <c r="F396" s="298"/>
      <c r="G396" s="298"/>
      <c r="H396" s="298"/>
      <c r="I396" s="298"/>
      <c r="J396" s="298"/>
      <c r="K396" s="298"/>
      <c r="L396" s="298"/>
      <c r="M396" s="298"/>
      <c r="N396" s="298"/>
      <c r="O396" s="298"/>
      <c r="P396" s="298"/>
      <c r="U396" s="1689" t="s">
        <v>11</v>
      </c>
      <c r="V396" s="2277" t="s">
        <v>115</v>
      </c>
      <c r="W396" s="137" t="s">
        <v>116</v>
      </c>
      <c r="X396" s="137" t="s">
        <v>98</v>
      </c>
      <c r="Y396" s="137" t="s">
        <v>14</v>
      </c>
      <c r="Z396" s="654">
        <f t="shared" si="20"/>
        <v>20000</v>
      </c>
      <c r="AA396" s="588"/>
      <c r="AB396" s="221"/>
      <c r="AC396" s="221"/>
      <c r="AD396" s="221"/>
      <c r="AE396" s="221"/>
    </row>
    <row r="397" spans="1:31" ht="16.5" customHeight="1">
      <c r="A397" s="298"/>
      <c r="B397" s="298"/>
      <c r="C397" s="298"/>
      <c r="D397" s="298"/>
      <c r="E397" s="298"/>
      <c r="F397" s="298"/>
      <c r="G397" s="298"/>
      <c r="H397" s="298"/>
      <c r="I397" s="298"/>
      <c r="J397" s="298"/>
      <c r="K397" s="298"/>
      <c r="L397" s="298"/>
      <c r="M397" s="298"/>
      <c r="N397" s="298"/>
      <c r="O397" s="298"/>
      <c r="P397" s="298"/>
      <c r="U397" s="1689" t="s">
        <v>11</v>
      </c>
      <c r="V397" s="2277" t="s">
        <v>117</v>
      </c>
      <c r="W397" s="137" t="s">
        <v>118</v>
      </c>
      <c r="X397" s="137" t="s">
        <v>98</v>
      </c>
      <c r="Y397" s="137" t="s">
        <v>14</v>
      </c>
      <c r="Z397" s="654">
        <f t="shared" si="20"/>
        <v>569128</v>
      </c>
      <c r="AA397" s="588"/>
      <c r="AB397" s="221"/>
      <c r="AC397" s="221"/>
      <c r="AD397" s="221"/>
      <c r="AE397" s="221"/>
    </row>
    <row r="398" spans="1:31" ht="16.5" customHeight="1">
      <c r="A398" s="298"/>
      <c r="B398" s="298"/>
      <c r="C398" s="298"/>
      <c r="D398" s="298"/>
      <c r="E398" s="298"/>
      <c r="F398" s="298"/>
      <c r="G398" s="298"/>
      <c r="H398" s="298"/>
      <c r="I398" s="298"/>
      <c r="J398" s="298"/>
      <c r="K398" s="298"/>
      <c r="L398" s="298"/>
      <c r="M398" s="298"/>
      <c r="N398" s="298"/>
      <c r="O398" s="298"/>
      <c r="P398" s="298"/>
      <c r="U398" s="1689" t="s">
        <v>11</v>
      </c>
      <c r="V398" s="2277" t="s">
        <v>119</v>
      </c>
      <c r="W398" s="137" t="s">
        <v>120</v>
      </c>
      <c r="X398" s="137" t="s">
        <v>98</v>
      </c>
      <c r="Y398" s="137" t="s">
        <v>14</v>
      </c>
      <c r="Z398" s="654">
        <f t="shared" si="20"/>
        <v>10000</v>
      </c>
      <c r="AA398" s="588"/>
      <c r="AB398" s="221"/>
      <c r="AC398" s="221"/>
      <c r="AD398" s="221"/>
      <c r="AE398" s="221"/>
    </row>
    <row r="399" spans="1:31" ht="16.5" customHeight="1">
      <c r="A399" s="298"/>
      <c r="B399" s="298"/>
      <c r="C399" s="298"/>
      <c r="D399" s="298"/>
      <c r="E399" s="298"/>
      <c r="F399" s="298"/>
      <c r="G399" s="298"/>
      <c r="H399" s="298"/>
      <c r="I399" s="298"/>
      <c r="J399" s="298"/>
      <c r="K399" s="298"/>
      <c r="L399" s="298"/>
      <c r="M399" s="298"/>
      <c r="N399" s="298"/>
      <c r="O399" s="298"/>
      <c r="P399" s="298"/>
      <c r="Q399" s="589"/>
      <c r="R399" s="590"/>
      <c r="S399" s="591"/>
      <c r="U399" s="1689" t="s">
        <v>11</v>
      </c>
      <c r="V399" s="2277" t="s">
        <v>121</v>
      </c>
      <c r="W399" s="137" t="s">
        <v>122</v>
      </c>
      <c r="X399" s="137" t="s">
        <v>98</v>
      </c>
      <c r="Y399" s="137" t="s">
        <v>14</v>
      </c>
      <c r="Z399" s="654">
        <f t="shared" si="20"/>
        <v>4800</v>
      </c>
      <c r="AA399" s="588"/>
      <c r="AB399" s="221"/>
      <c r="AC399" s="221"/>
      <c r="AD399" s="221"/>
      <c r="AE399" s="221"/>
    </row>
    <row r="400" spans="1:31" ht="16.5" customHeight="1">
      <c r="A400" s="298"/>
      <c r="B400" s="298"/>
      <c r="C400" s="298"/>
      <c r="D400" s="298"/>
      <c r="E400" s="298"/>
      <c r="F400" s="298"/>
      <c r="G400" s="298"/>
      <c r="H400" s="298"/>
      <c r="I400" s="298"/>
      <c r="J400" s="298"/>
      <c r="K400" s="298"/>
      <c r="L400" s="298"/>
      <c r="M400" s="298"/>
      <c r="N400" s="298"/>
      <c r="O400" s="298"/>
      <c r="P400" s="298"/>
      <c r="Q400" s="589"/>
      <c r="R400" s="590"/>
      <c r="S400" s="591"/>
      <c r="U400" s="1689" t="s">
        <v>11</v>
      </c>
      <c r="V400" s="2277" t="s">
        <v>123</v>
      </c>
      <c r="W400" s="137" t="s">
        <v>124</v>
      </c>
      <c r="X400" s="137" t="s">
        <v>98</v>
      </c>
      <c r="Y400" s="137" t="s">
        <v>14</v>
      </c>
      <c r="Z400" s="654">
        <f t="shared" si="20"/>
        <v>590108.61</v>
      </c>
      <c r="AA400" s="588"/>
      <c r="AB400" s="221"/>
      <c r="AC400" s="221"/>
      <c r="AD400" s="221"/>
      <c r="AE400" s="221"/>
    </row>
    <row r="401" spans="1:31" ht="16.5" customHeight="1">
      <c r="A401" s="298"/>
      <c r="B401" s="298"/>
      <c r="C401" s="298"/>
      <c r="D401" s="298"/>
      <c r="E401" s="298"/>
      <c r="F401" s="298"/>
      <c r="G401" s="298"/>
      <c r="H401" s="298"/>
      <c r="I401" s="298"/>
      <c r="J401" s="298"/>
      <c r="K401" s="298"/>
      <c r="L401" s="298"/>
      <c r="M401" s="298"/>
      <c r="N401" s="298"/>
      <c r="O401" s="298"/>
      <c r="P401" s="298"/>
      <c r="Q401" s="589"/>
      <c r="R401" s="590"/>
      <c r="S401" s="591"/>
      <c r="U401" s="1689" t="s">
        <v>11</v>
      </c>
      <c r="V401" s="2277" t="s">
        <v>125</v>
      </c>
      <c r="W401" s="137" t="s">
        <v>126</v>
      </c>
      <c r="X401" s="137" t="s">
        <v>98</v>
      </c>
      <c r="Y401" s="137" t="s">
        <v>14</v>
      </c>
      <c r="Z401" s="654">
        <f t="shared" si="20"/>
        <v>491708.1599999998</v>
      </c>
      <c r="AA401" s="588"/>
      <c r="AB401" s="221"/>
      <c r="AC401" s="221"/>
      <c r="AD401" s="221"/>
      <c r="AE401" s="221"/>
    </row>
    <row r="402" spans="1:31" ht="16.5" customHeight="1">
      <c r="A402" s="298"/>
      <c r="B402" s="298"/>
      <c r="C402" s="298"/>
      <c r="D402" s="298"/>
      <c r="E402" s="298"/>
      <c r="F402" s="298"/>
      <c r="G402" s="298"/>
      <c r="H402" s="298"/>
      <c r="I402" s="298"/>
      <c r="J402" s="298"/>
      <c r="K402" s="298"/>
      <c r="L402" s="298"/>
      <c r="M402" s="298"/>
      <c r="N402" s="298"/>
      <c r="O402" s="298"/>
      <c r="P402" s="298"/>
      <c r="Q402" s="589"/>
      <c r="R402" s="590"/>
      <c r="S402" s="591"/>
      <c r="U402" s="2279" t="s">
        <v>11</v>
      </c>
      <c r="V402" s="2280" t="s">
        <v>20</v>
      </c>
      <c r="W402" s="592" t="s">
        <v>63</v>
      </c>
      <c r="X402" s="592" t="s">
        <v>13</v>
      </c>
      <c r="Y402" s="592" t="s">
        <v>14</v>
      </c>
      <c r="Z402" s="593">
        <f>SUM(AB88)</f>
        <v>423188.3</v>
      </c>
      <c r="AC402" s="221"/>
      <c r="AD402" s="221"/>
      <c r="AE402" s="221"/>
    </row>
    <row r="403" spans="1:31" ht="33">
      <c r="A403" s="298"/>
      <c r="B403" s="298"/>
      <c r="C403" s="298"/>
      <c r="D403" s="298"/>
      <c r="E403" s="298"/>
      <c r="F403" s="298"/>
      <c r="G403" s="298"/>
      <c r="H403" s="298"/>
      <c r="I403" s="298"/>
      <c r="J403" s="298"/>
      <c r="K403" s="298"/>
      <c r="L403" s="298"/>
      <c r="M403" s="298"/>
      <c r="N403" s="298"/>
      <c r="O403" s="298"/>
      <c r="P403" s="298"/>
      <c r="Q403" s="589"/>
      <c r="R403" s="590"/>
      <c r="S403" s="591"/>
      <c r="U403" s="1689" t="s">
        <v>11</v>
      </c>
      <c r="V403" s="2278" t="s">
        <v>127</v>
      </c>
      <c r="W403" s="137" t="s">
        <v>128</v>
      </c>
      <c r="X403" s="137" t="s">
        <v>98</v>
      </c>
      <c r="Y403" s="137" t="s">
        <v>14</v>
      </c>
      <c r="Z403" s="654">
        <f>SUM(AB59)</f>
        <v>2000</v>
      </c>
      <c r="AA403" s="588"/>
      <c r="AB403" s="221"/>
      <c r="AC403" s="221"/>
      <c r="AD403" s="221"/>
      <c r="AE403" s="221"/>
    </row>
    <row r="404" spans="1:31" ht="33">
      <c r="A404" s="298"/>
      <c r="B404" s="298"/>
      <c r="C404" s="298"/>
      <c r="D404" s="298"/>
      <c r="E404" s="298"/>
      <c r="F404" s="298"/>
      <c r="G404" s="298"/>
      <c r="H404" s="298"/>
      <c r="I404" s="298"/>
      <c r="J404" s="298"/>
      <c r="K404" s="298"/>
      <c r="L404" s="298"/>
      <c r="M404" s="298"/>
      <c r="N404" s="298"/>
      <c r="O404" s="298"/>
      <c r="P404" s="298"/>
      <c r="Q404" s="589"/>
      <c r="R404" s="590"/>
      <c r="S404" s="591"/>
      <c r="U404" s="1689" t="s">
        <v>11</v>
      </c>
      <c r="V404" s="2278" t="s">
        <v>1235</v>
      </c>
      <c r="W404" s="594">
        <v>530203</v>
      </c>
      <c r="X404" s="137" t="s">
        <v>13</v>
      </c>
      <c r="Y404" s="137" t="s">
        <v>14</v>
      </c>
      <c r="Z404" s="654">
        <f>SUM(AB344)</f>
        <v>2564.8000000000002</v>
      </c>
      <c r="AA404" s="221"/>
      <c r="AB404" s="221"/>
      <c r="AC404" s="221"/>
      <c r="AD404" s="221"/>
      <c r="AE404" s="221"/>
    </row>
    <row r="405" spans="1:31" ht="16.5" customHeight="1">
      <c r="A405" s="298"/>
      <c r="B405" s="298"/>
      <c r="C405" s="298"/>
      <c r="D405" s="298"/>
      <c r="E405" s="298"/>
      <c r="F405" s="298"/>
      <c r="G405" s="298"/>
      <c r="H405" s="298"/>
      <c r="I405" s="298"/>
      <c r="J405" s="298"/>
      <c r="K405" s="298"/>
      <c r="L405" s="298"/>
      <c r="M405" s="298"/>
      <c r="N405" s="298"/>
      <c r="O405" s="298"/>
      <c r="P405" s="298"/>
      <c r="Q405" s="589"/>
      <c r="R405" s="590"/>
      <c r="S405" s="591"/>
      <c r="U405" s="1689" t="s">
        <v>11</v>
      </c>
      <c r="V405" s="2278" t="s">
        <v>143</v>
      </c>
      <c r="W405" s="137" t="s">
        <v>144</v>
      </c>
      <c r="X405" s="137" t="s">
        <v>13</v>
      </c>
      <c r="Y405" s="137" t="s">
        <v>18</v>
      </c>
      <c r="Z405" s="654">
        <f>SUM(AB90)</f>
        <v>1280000</v>
      </c>
      <c r="AA405" s="221"/>
      <c r="AB405" s="221"/>
      <c r="AC405" s="221"/>
      <c r="AD405" s="221"/>
      <c r="AE405" s="221"/>
    </row>
    <row r="406" spans="1:31" ht="16.5" customHeight="1">
      <c r="A406" s="298"/>
      <c r="B406" s="298"/>
      <c r="C406" s="298"/>
      <c r="D406" s="298"/>
      <c r="E406" s="298"/>
      <c r="F406" s="298"/>
      <c r="G406" s="298"/>
      <c r="H406" s="298"/>
      <c r="I406" s="298"/>
      <c r="J406" s="298"/>
      <c r="K406" s="298"/>
      <c r="L406" s="298"/>
      <c r="M406" s="298"/>
      <c r="N406" s="298"/>
      <c r="O406" s="298"/>
      <c r="P406" s="298"/>
      <c r="Q406" s="589"/>
      <c r="R406" s="590"/>
      <c r="S406" s="591"/>
      <c r="U406" s="1689" t="s">
        <v>11</v>
      </c>
      <c r="V406" s="2277" t="s">
        <v>66</v>
      </c>
      <c r="W406" s="137" t="s">
        <v>132</v>
      </c>
      <c r="X406" s="137" t="s">
        <v>13</v>
      </c>
      <c r="Y406" s="137" t="s">
        <v>18</v>
      </c>
      <c r="Z406" s="654">
        <f>SUM(AB186)</f>
        <v>96884.726799999975</v>
      </c>
      <c r="AA406" s="221"/>
      <c r="AB406" s="221"/>
      <c r="AC406" s="221"/>
      <c r="AD406" s="221"/>
      <c r="AE406" s="221"/>
    </row>
    <row r="407" spans="1:31" ht="28.5" customHeight="1">
      <c r="A407" s="298"/>
      <c r="B407" s="298"/>
      <c r="C407" s="298"/>
      <c r="D407" s="298"/>
      <c r="E407" s="298"/>
      <c r="F407" s="298"/>
      <c r="G407" s="298"/>
      <c r="H407" s="298"/>
      <c r="I407" s="298"/>
      <c r="J407" s="298"/>
      <c r="K407" s="298"/>
      <c r="L407" s="298"/>
      <c r="M407" s="298"/>
      <c r="N407" s="298"/>
      <c r="O407" s="298"/>
      <c r="P407" s="298"/>
      <c r="Q407" s="589"/>
      <c r="R407" s="590"/>
      <c r="S407" s="591"/>
      <c r="U407" s="1689" t="s">
        <v>11</v>
      </c>
      <c r="V407" s="2278" t="s">
        <v>133</v>
      </c>
      <c r="W407" s="137" t="s">
        <v>134</v>
      </c>
      <c r="X407" s="137" t="s">
        <v>13</v>
      </c>
      <c r="Y407" s="137" t="s">
        <v>18</v>
      </c>
      <c r="Z407" s="654">
        <f>SUM(AB29)</f>
        <v>25466.000000000004</v>
      </c>
      <c r="AA407" s="221"/>
      <c r="AB407" s="221"/>
      <c r="AC407" s="221"/>
      <c r="AD407" s="221"/>
      <c r="AE407" s="221"/>
    </row>
    <row r="408" spans="1:31" ht="33">
      <c r="A408" s="298"/>
      <c r="B408" s="298"/>
      <c r="C408" s="298"/>
      <c r="D408" s="298"/>
      <c r="E408" s="298"/>
      <c r="F408" s="298"/>
      <c r="G408" s="298"/>
      <c r="H408" s="298"/>
      <c r="I408" s="298"/>
      <c r="J408" s="298"/>
      <c r="K408" s="298"/>
      <c r="L408" s="298"/>
      <c r="M408" s="298"/>
      <c r="N408" s="298"/>
      <c r="O408" s="298"/>
      <c r="P408" s="298"/>
      <c r="Q408" s="589"/>
      <c r="R408" s="590"/>
      <c r="S408" s="591"/>
      <c r="U408" s="1689" t="s">
        <v>11</v>
      </c>
      <c r="V408" s="2278" t="s">
        <v>44</v>
      </c>
      <c r="W408" s="137" t="s">
        <v>135</v>
      </c>
      <c r="X408" s="137" t="s">
        <v>13</v>
      </c>
      <c r="Y408" s="137" t="s">
        <v>18</v>
      </c>
      <c r="Z408" s="654">
        <f>SUM(AB150)</f>
        <v>426.72</v>
      </c>
      <c r="AA408" s="221"/>
      <c r="AB408" s="221"/>
      <c r="AC408" s="221"/>
      <c r="AD408" s="221"/>
      <c r="AE408" s="221"/>
    </row>
    <row r="409" spans="1:31" ht="16.5" customHeight="1">
      <c r="A409" s="298"/>
      <c r="B409" s="298"/>
      <c r="C409" s="298"/>
      <c r="D409" s="298"/>
      <c r="E409" s="298"/>
      <c r="F409" s="298"/>
      <c r="G409" s="298"/>
      <c r="H409" s="298"/>
      <c r="I409" s="298"/>
      <c r="J409" s="298"/>
      <c r="K409" s="298"/>
      <c r="L409" s="298"/>
      <c r="M409" s="298"/>
      <c r="N409" s="298"/>
      <c r="O409" s="298"/>
      <c r="P409" s="298"/>
      <c r="Q409" s="589"/>
      <c r="R409" s="590"/>
      <c r="S409" s="591"/>
      <c r="U409" s="1689" t="s">
        <v>11</v>
      </c>
      <c r="V409" s="2281" t="s">
        <v>136</v>
      </c>
      <c r="W409" s="137" t="s">
        <v>137</v>
      </c>
      <c r="X409" s="137" t="s">
        <v>13</v>
      </c>
      <c r="Y409" s="137" t="s">
        <v>14</v>
      </c>
      <c r="Z409" s="654">
        <f>SUM(AB293)</f>
        <v>13767.935999999998</v>
      </c>
      <c r="AA409" s="221"/>
      <c r="AB409" s="221"/>
      <c r="AC409" s="221"/>
      <c r="AD409" s="221"/>
      <c r="AE409" s="221"/>
    </row>
    <row r="410" spans="1:31" ht="16.5" customHeight="1">
      <c r="A410" s="298"/>
      <c r="B410" s="298"/>
      <c r="C410" s="298"/>
      <c r="D410" s="298"/>
      <c r="E410" s="298"/>
      <c r="F410" s="298"/>
      <c r="G410" s="298"/>
      <c r="H410" s="298"/>
      <c r="I410" s="298"/>
      <c r="J410" s="298"/>
      <c r="K410" s="298"/>
      <c r="L410" s="298"/>
      <c r="M410" s="298"/>
      <c r="N410" s="298"/>
      <c r="O410" s="298"/>
      <c r="P410" s="298"/>
      <c r="U410" s="1689" t="s">
        <v>11</v>
      </c>
      <c r="V410" s="2278" t="s">
        <v>138</v>
      </c>
      <c r="W410" s="595" t="s">
        <v>139</v>
      </c>
      <c r="X410" s="137" t="s">
        <v>13</v>
      </c>
      <c r="Y410" s="137" t="s">
        <v>14</v>
      </c>
      <c r="Z410" s="654">
        <f>SUM(AB323)</f>
        <v>869.12</v>
      </c>
      <c r="AA410" s="221"/>
      <c r="AB410" s="221"/>
      <c r="AC410" s="221"/>
      <c r="AD410" s="221"/>
      <c r="AE410" s="221"/>
    </row>
    <row r="411" spans="1:31" ht="16.5" customHeight="1">
      <c r="A411" s="298"/>
      <c r="B411" s="298"/>
      <c r="C411" s="298"/>
      <c r="D411" s="298"/>
      <c r="E411" s="298"/>
      <c r="F411" s="298"/>
      <c r="G411" s="298"/>
      <c r="H411" s="298"/>
      <c r="I411" s="298"/>
      <c r="J411" s="298"/>
      <c r="K411" s="298"/>
      <c r="L411" s="298"/>
      <c r="M411" s="298"/>
      <c r="N411" s="298"/>
      <c r="O411" s="298"/>
      <c r="P411" s="298"/>
      <c r="U411" s="1689" t="s">
        <v>11</v>
      </c>
      <c r="V411" s="1618" t="s">
        <v>20</v>
      </c>
      <c r="W411" s="198">
        <v>531407</v>
      </c>
      <c r="X411" s="137" t="s">
        <v>13</v>
      </c>
      <c r="Y411" s="137" t="s">
        <v>14</v>
      </c>
      <c r="Z411" s="654">
        <f>SUM(AB247)</f>
        <v>35</v>
      </c>
      <c r="AA411" s="221"/>
      <c r="AB411" s="221"/>
      <c r="AC411" s="221"/>
      <c r="AD411" s="221"/>
      <c r="AE411" s="221"/>
    </row>
    <row r="412" spans="1:31" ht="16.5" customHeight="1">
      <c r="A412" s="298"/>
      <c r="B412" s="298"/>
      <c r="C412" s="298"/>
      <c r="D412" s="298"/>
      <c r="E412" s="298"/>
      <c r="F412" s="298"/>
      <c r="G412" s="298"/>
      <c r="H412" s="298"/>
      <c r="I412" s="298"/>
      <c r="J412" s="298"/>
      <c r="K412" s="298"/>
      <c r="L412" s="298"/>
      <c r="M412" s="298"/>
      <c r="N412" s="298"/>
      <c r="O412" s="298"/>
      <c r="P412" s="298"/>
      <c r="U412" s="1689" t="s">
        <v>11</v>
      </c>
      <c r="V412" s="2278" t="s">
        <v>48</v>
      </c>
      <c r="W412" s="137" t="s">
        <v>142</v>
      </c>
      <c r="X412" s="137" t="s">
        <v>13</v>
      </c>
      <c r="Y412" s="137" t="s">
        <v>18</v>
      </c>
      <c r="Z412" s="654">
        <f>SUM(AB31)</f>
        <v>2429.96</v>
      </c>
      <c r="AA412" s="596"/>
      <c r="AB412" s="221"/>
      <c r="AC412" s="221"/>
      <c r="AD412" s="221"/>
      <c r="AE412" s="221"/>
    </row>
    <row r="413" spans="1:31" ht="16.5" customHeight="1">
      <c r="A413" s="298"/>
      <c r="B413" s="298"/>
      <c r="C413" s="298"/>
      <c r="D413" s="298"/>
      <c r="E413" s="298"/>
      <c r="F413" s="298"/>
      <c r="G413" s="298"/>
      <c r="H413" s="298"/>
      <c r="I413" s="298"/>
      <c r="J413" s="298"/>
      <c r="K413" s="298"/>
      <c r="L413" s="298"/>
      <c r="M413" s="298"/>
      <c r="N413" s="298"/>
      <c r="O413" s="298"/>
      <c r="P413" s="298"/>
      <c r="U413" s="1689" t="s">
        <v>11</v>
      </c>
      <c r="V413" s="2277" t="s">
        <v>49</v>
      </c>
      <c r="W413" s="137" t="s">
        <v>145</v>
      </c>
      <c r="X413" s="137" t="s">
        <v>13</v>
      </c>
      <c r="Y413" s="137" t="s">
        <v>18</v>
      </c>
      <c r="Z413" s="654">
        <f>SUM(AB196)</f>
        <v>4980.0000000000009</v>
      </c>
      <c r="AA413" s="221"/>
      <c r="AB413" s="221"/>
      <c r="AC413" s="221"/>
      <c r="AD413" s="221"/>
      <c r="AE413" s="221"/>
    </row>
    <row r="414" spans="1:31" ht="16.5" customHeight="1">
      <c r="A414" s="298"/>
      <c r="B414" s="298"/>
      <c r="C414" s="298"/>
      <c r="D414" s="298"/>
      <c r="E414" s="298"/>
      <c r="F414" s="298"/>
      <c r="G414" s="298"/>
      <c r="H414" s="298"/>
      <c r="I414" s="298"/>
      <c r="J414" s="298"/>
      <c r="K414" s="298"/>
      <c r="L414" s="298"/>
      <c r="M414" s="298"/>
      <c r="N414" s="298"/>
      <c r="O414" s="298"/>
      <c r="P414" s="298"/>
      <c r="U414" s="1689" t="s">
        <v>11</v>
      </c>
      <c r="V414" s="1618" t="s">
        <v>22</v>
      </c>
      <c r="W414" s="198">
        <v>840103</v>
      </c>
      <c r="X414" s="137" t="s">
        <v>13</v>
      </c>
      <c r="Y414" s="137" t="s">
        <v>14</v>
      </c>
      <c r="Z414" s="654">
        <f>SUM(AB34)</f>
        <v>3407.2975999999999</v>
      </c>
      <c r="AA414" s="221"/>
      <c r="AB414" s="221"/>
      <c r="AC414" s="221"/>
      <c r="AD414" s="221"/>
      <c r="AE414" s="221"/>
    </row>
    <row r="415" spans="1:31" ht="16.5" customHeight="1">
      <c r="A415" s="298"/>
      <c r="B415" s="298"/>
      <c r="C415" s="298"/>
      <c r="D415" s="298"/>
      <c r="E415" s="298"/>
      <c r="F415" s="298"/>
      <c r="G415" s="298"/>
      <c r="H415" s="298"/>
      <c r="I415" s="298"/>
      <c r="J415" s="298"/>
      <c r="K415" s="298"/>
      <c r="L415" s="298"/>
      <c r="M415" s="298"/>
      <c r="N415" s="298"/>
      <c r="O415" s="298"/>
      <c r="P415" s="298"/>
      <c r="Q415" s="597"/>
      <c r="U415" s="2282" t="s">
        <v>39</v>
      </c>
      <c r="V415" s="2277" t="s">
        <v>1151</v>
      </c>
      <c r="W415" s="137" t="s">
        <v>104</v>
      </c>
      <c r="X415" s="137" t="s">
        <v>98</v>
      </c>
      <c r="Y415" s="137" t="s">
        <v>18</v>
      </c>
      <c r="Z415" s="654">
        <f>SUM(AB61)*13.18361535/100</f>
        <v>146650.99998940158</v>
      </c>
      <c r="AA415" s="221"/>
      <c r="AB415" s="221"/>
      <c r="AC415" s="221"/>
      <c r="AD415" s="221"/>
      <c r="AE415" s="221"/>
    </row>
    <row r="416" spans="1:31" ht="16.5" customHeight="1">
      <c r="A416" s="298"/>
      <c r="B416" s="298"/>
      <c r="C416" s="298"/>
      <c r="D416" s="298"/>
      <c r="E416" s="298"/>
      <c r="F416" s="298"/>
      <c r="G416" s="298"/>
      <c r="H416" s="298"/>
      <c r="I416" s="298"/>
      <c r="J416" s="298"/>
      <c r="K416" s="298"/>
      <c r="L416" s="298"/>
      <c r="M416" s="298"/>
      <c r="N416" s="298"/>
      <c r="O416" s="298"/>
      <c r="P416" s="298"/>
      <c r="Q416" s="597"/>
      <c r="U416" s="2282" t="s">
        <v>39</v>
      </c>
      <c r="V416" s="2277" t="s">
        <v>1151</v>
      </c>
      <c r="W416" s="137" t="s">
        <v>104</v>
      </c>
      <c r="X416" s="137" t="s">
        <v>98</v>
      </c>
      <c r="Y416" s="137" t="s">
        <v>14</v>
      </c>
      <c r="Z416" s="654">
        <f>SUM(AB61)*86.81638465/100</f>
        <v>965722.17001059849</v>
      </c>
      <c r="AA416" s="221"/>
      <c r="AB416" s="221"/>
      <c r="AC416" s="221"/>
      <c r="AD416" s="221"/>
      <c r="AE416" s="221"/>
    </row>
    <row r="417" spans="1:31" ht="16.5" customHeight="1">
      <c r="A417" s="298"/>
      <c r="B417" s="298"/>
      <c r="C417" s="298"/>
      <c r="D417" s="298"/>
      <c r="E417" s="298"/>
      <c r="F417" s="298"/>
      <c r="G417" s="298"/>
      <c r="H417" s="298"/>
      <c r="I417" s="298"/>
      <c r="J417" s="298"/>
      <c r="K417" s="298"/>
      <c r="L417" s="298"/>
      <c r="M417" s="298"/>
      <c r="N417" s="298"/>
      <c r="O417" s="298"/>
      <c r="P417" s="298"/>
      <c r="Q417" s="597"/>
      <c r="U417" s="2282" t="s">
        <v>39</v>
      </c>
      <c r="V417" s="2277" t="s">
        <v>1152</v>
      </c>
      <c r="W417" s="137" t="s">
        <v>106</v>
      </c>
      <c r="X417" s="137" t="s">
        <v>98</v>
      </c>
      <c r="Y417" s="137" t="s">
        <v>18</v>
      </c>
      <c r="Z417" s="654">
        <f>SUM(AB62)*18.26086957/100</f>
        <v>44625.000011687502</v>
      </c>
      <c r="AA417" s="221"/>
      <c r="AB417" s="221"/>
      <c r="AC417" s="221"/>
      <c r="AD417" s="221"/>
      <c r="AE417" s="221"/>
    </row>
    <row r="418" spans="1:31" ht="16.5" customHeight="1">
      <c r="A418" s="298"/>
      <c r="B418" s="298"/>
      <c r="C418" s="298"/>
      <c r="D418" s="298"/>
      <c r="E418" s="298"/>
      <c r="F418" s="298"/>
      <c r="G418" s="298"/>
      <c r="H418" s="298"/>
      <c r="I418" s="298"/>
      <c r="J418" s="298"/>
      <c r="K418" s="298"/>
      <c r="L418" s="298"/>
      <c r="M418" s="298"/>
      <c r="N418" s="298"/>
      <c r="O418" s="298"/>
      <c r="P418" s="298"/>
      <c r="Q418" s="597"/>
      <c r="U418" s="2282" t="s">
        <v>39</v>
      </c>
      <c r="V418" s="2277" t="s">
        <v>1152</v>
      </c>
      <c r="W418" s="137" t="s">
        <v>106</v>
      </c>
      <c r="X418" s="137" t="s">
        <v>98</v>
      </c>
      <c r="Y418" s="137" t="s">
        <v>14</v>
      </c>
      <c r="Z418" s="654">
        <f>SUM(AB62)*81.73913043/100</f>
        <v>199749.99998831248</v>
      </c>
      <c r="AA418" s="221"/>
      <c r="AB418" s="221"/>
      <c r="AC418" s="221"/>
      <c r="AD418" s="221"/>
      <c r="AE418" s="221"/>
    </row>
    <row r="419" spans="1:31" ht="16.5" customHeight="1">
      <c r="A419" s="298"/>
      <c r="B419" s="298"/>
      <c r="C419" s="298"/>
      <c r="D419" s="298"/>
      <c r="E419" s="298"/>
      <c r="F419" s="298"/>
      <c r="G419" s="298"/>
      <c r="H419" s="298"/>
      <c r="I419" s="298"/>
      <c r="J419" s="298"/>
      <c r="K419" s="298"/>
      <c r="L419" s="298"/>
      <c r="M419" s="298"/>
      <c r="N419" s="298"/>
      <c r="O419" s="298"/>
      <c r="P419" s="298"/>
      <c r="Q419" s="597"/>
      <c r="U419" s="2282" t="s">
        <v>39</v>
      </c>
      <c r="V419" s="2277" t="s">
        <v>125</v>
      </c>
      <c r="W419" s="137" t="s">
        <v>126</v>
      </c>
      <c r="X419" s="137" t="s">
        <v>98</v>
      </c>
      <c r="Y419" s="137" t="s">
        <v>18</v>
      </c>
      <c r="Z419" s="654">
        <f>SUM(AB65)*13.1835898/100</f>
        <v>146592.00002416442</v>
      </c>
      <c r="AA419" s="221"/>
      <c r="AB419" s="221"/>
      <c r="AC419" s="221"/>
      <c r="AD419" s="221"/>
      <c r="AE419" s="221"/>
    </row>
    <row r="420" spans="1:31" ht="18" customHeight="1">
      <c r="A420" s="298"/>
      <c r="B420" s="298"/>
      <c r="C420" s="298"/>
      <c r="D420" s="298"/>
      <c r="E420" s="298"/>
      <c r="F420" s="298"/>
      <c r="G420" s="298"/>
      <c r="H420" s="298"/>
      <c r="I420" s="298"/>
      <c r="J420" s="298"/>
      <c r="K420" s="298"/>
      <c r="L420" s="298"/>
      <c r="M420" s="298"/>
      <c r="N420" s="298"/>
      <c r="O420" s="298"/>
      <c r="P420" s="298"/>
      <c r="Q420" s="597"/>
      <c r="U420" s="2282" t="s">
        <v>39</v>
      </c>
      <c r="V420" s="2277" t="s">
        <v>125</v>
      </c>
      <c r="W420" s="137" t="s">
        <v>126</v>
      </c>
      <c r="X420" s="137" t="s">
        <v>98</v>
      </c>
      <c r="Y420" s="137" t="s">
        <v>14</v>
      </c>
      <c r="Z420" s="654">
        <f>SUM(AB65)*86.8164102/100</f>
        <v>965335.79997583572</v>
      </c>
      <c r="AA420" s="221"/>
      <c r="AB420" s="221"/>
      <c r="AC420" s="221"/>
      <c r="AD420" s="221"/>
      <c r="AE420" s="221"/>
    </row>
    <row r="421" spans="1:31" ht="31.5" customHeight="1">
      <c r="A421" s="298"/>
      <c r="B421" s="298"/>
      <c r="C421" s="298"/>
      <c r="D421" s="298"/>
      <c r="E421" s="298"/>
      <c r="F421" s="298"/>
      <c r="G421" s="298"/>
      <c r="H421" s="298"/>
      <c r="I421" s="298"/>
      <c r="J421" s="298"/>
      <c r="K421" s="298"/>
      <c r="L421" s="298"/>
      <c r="M421" s="298"/>
      <c r="N421" s="298"/>
      <c r="O421" s="298"/>
      <c r="P421" s="298"/>
      <c r="Q421" s="597"/>
      <c r="U421" s="2282" t="s">
        <v>39</v>
      </c>
      <c r="V421" s="2278" t="s">
        <v>101</v>
      </c>
      <c r="W421" s="137" t="s">
        <v>102</v>
      </c>
      <c r="X421" s="137" t="s">
        <v>98</v>
      </c>
      <c r="Y421" s="137" t="s">
        <v>14</v>
      </c>
      <c r="Z421" s="654">
        <f>SUM(AB60)</f>
        <v>9354765.1400000006</v>
      </c>
      <c r="AA421" s="221"/>
      <c r="AB421" s="221"/>
      <c r="AC421" s="221"/>
      <c r="AD421" s="221"/>
      <c r="AE421" s="221"/>
    </row>
    <row r="422" spans="1:31" ht="30" customHeight="1">
      <c r="A422" s="298"/>
      <c r="B422" s="298"/>
      <c r="C422" s="298"/>
      <c r="D422" s="298"/>
      <c r="E422" s="298"/>
      <c r="F422" s="298"/>
      <c r="G422" s="298"/>
      <c r="H422" s="298"/>
      <c r="I422" s="298"/>
      <c r="J422" s="298"/>
      <c r="K422" s="298"/>
      <c r="L422" s="298"/>
      <c r="M422" s="298"/>
      <c r="N422" s="298"/>
      <c r="O422" s="298"/>
      <c r="P422" s="298"/>
      <c r="Q422" s="597"/>
      <c r="U422" s="2282" t="s">
        <v>39</v>
      </c>
      <c r="V422" s="2278" t="s">
        <v>129</v>
      </c>
      <c r="W422" s="137" t="s">
        <v>130</v>
      </c>
      <c r="X422" s="137" t="s">
        <v>98</v>
      </c>
      <c r="Y422" s="137" t="s">
        <v>18</v>
      </c>
      <c r="Z422" s="654">
        <f>SUM(AB63)*38.18059072/100</f>
        <v>1764832.5401302234</v>
      </c>
      <c r="AA422" s="221"/>
      <c r="AB422" s="221"/>
      <c r="AC422" s="221"/>
      <c r="AD422" s="221"/>
      <c r="AE422" s="221"/>
    </row>
    <row r="423" spans="1:31" ht="31.5" customHeight="1">
      <c r="A423" s="298"/>
      <c r="B423" s="298"/>
      <c r="C423" s="298"/>
      <c r="D423" s="298"/>
      <c r="E423" s="298"/>
      <c r="F423" s="298"/>
      <c r="G423" s="298"/>
      <c r="H423" s="298"/>
      <c r="I423" s="298"/>
      <c r="J423" s="298"/>
      <c r="K423" s="298"/>
      <c r="L423" s="298"/>
      <c r="M423" s="298"/>
      <c r="N423" s="298"/>
      <c r="O423" s="298"/>
      <c r="P423" s="298"/>
      <c r="Q423" s="597"/>
      <c r="U423" s="2282" t="s">
        <v>39</v>
      </c>
      <c r="V423" s="2278" t="s">
        <v>129</v>
      </c>
      <c r="W423" s="137" t="s">
        <v>130</v>
      </c>
      <c r="X423" s="137" t="s">
        <v>98</v>
      </c>
      <c r="Y423" s="137" t="s">
        <v>14</v>
      </c>
      <c r="Z423" s="654">
        <f>SUM(AB63)*61.81940928/100</f>
        <v>2857496.5198697769</v>
      </c>
      <c r="AA423" s="221"/>
      <c r="AB423" s="221"/>
      <c r="AC423" s="221"/>
      <c r="AD423" s="221"/>
      <c r="AE423" s="221"/>
    </row>
    <row r="424" spans="1:31" ht="19.5" customHeight="1">
      <c r="A424" s="298"/>
      <c r="B424" s="298"/>
      <c r="C424" s="298"/>
      <c r="D424" s="298"/>
      <c r="E424" s="298"/>
      <c r="F424" s="298"/>
      <c r="G424" s="298"/>
      <c r="H424" s="298"/>
      <c r="I424" s="298"/>
      <c r="J424" s="298"/>
      <c r="K424" s="298"/>
      <c r="L424" s="298"/>
      <c r="M424" s="298"/>
      <c r="N424" s="298"/>
      <c r="O424" s="298"/>
      <c r="P424" s="298"/>
      <c r="Q424" s="597"/>
      <c r="U424" s="2282" t="s">
        <v>39</v>
      </c>
      <c r="V424" s="2277" t="s">
        <v>123</v>
      </c>
      <c r="W424" s="137" t="s">
        <v>124</v>
      </c>
      <c r="X424" s="137" t="s">
        <v>98</v>
      </c>
      <c r="Y424" s="137" t="s">
        <v>18</v>
      </c>
      <c r="Z424" s="654">
        <f>SUM(AB64)*13.18355348/100</f>
        <v>161022.00004262262</v>
      </c>
      <c r="AA424" s="221"/>
      <c r="AB424" s="221"/>
      <c r="AC424" s="221"/>
      <c r="AD424" s="221"/>
      <c r="AE424" s="221"/>
    </row>
    <row r="425" spans="1:31" ht="16.5" customHeight="1">
      <c r="A425" s="298"/>
      <c r="B425" s="298"/>
      <c r="C425" s="298"/>
      <c r="D425" s="298"/>
      <c r="E425" s="298"/>
      <c r="F425" s="298"/>
      <c r="G425" s="298"/>
      <c r="H425" s="298"/>
      <c r="I425" s="298"/>
      <c r="J425" s="298"/>
      <c r="K425" s="298"/>
      <c r="L425" s="298"/>
      <c r="M425" s="298"/>
      <c r="N425" s="298"/>
      <c r="O425" s="298"/>
      <c r="P425" s="298"/>
      <c r="Q425" s="597"/>
      <c r="U425" s="2282" t="s">
        <v>39</v>
      </c>
      <c r="V425" s="2277" t="s">
        <v>123</v>
      </c>
      <c r="W425" s="137" t="s">
        <v>124</v>
      </c>
      <c r="X425" s="137" t="s">
        <v>98</v>
      </c>
      <c r="Y425" s="137" t="s">
        <v>14</v>
      </c>
      <c r="Z425" s="654">
        <f>SUM(AB64)*86.81644652/100</f>
        <v>1060363.4199573772</v>
      </c>
      <c r="AA425" s="221"/>
      <c r="AB425" s="221"/>
      <c r="AC425" s="221"/>
      <c r="AD425" s="221"/>
      <c r="AE425" s="221"/>
    </row>
    <row r="426" spans="1:31" ht="33">
      <c r="A426" s="298"/>
      <c r="B426" s="298"/>
      <c r="C426" s="298"/>
      <c r="D426" s="298"/>
      <c r="E426" s="298"/>
      <c r="F426" s="298"/>
      <c r="G426" s="298"/>
      <c r="H426" s="298"/>
      <c r="I426" s="298"/>
      <c r="J426" s="298"/>
      <c r="K426" s="298"/>
      <c r="L426" s="298"/>
      <c r="M426" s="298"/>
      <c r="N426" s="298"/>
      <c r="O426" s="298"/>
      <c r="P426" s="298"/>
      <c r="Q426" s="597"/>
      <c r="U426" s="2282" t="s">
        <v>39</v>
      </c>
      <c r="V426" s="2278" t="s">
        <v>127</v>
      </c>
      <c r="W426" s="137" t="s">
        <v>128</v>
      </c>
      <c r="X426" s="137" t="s">
        <v>98</v>
      </c>
      <c r="Y426" s="137" t="s">
        <v>18</v>
      </c>
      <c r="Z426" s="654">
        <f>SUM(AB66)/2</f>
        <v>1500</v>
      </c>
      <c r="AA426" s="221"/>
      <c r="AB426" s="233"/>
      <c r="AC426" s="221"/>
      <c r="AD426" s="221"/>
      <c r="AE426" s="221"/>
    </row>
    <row r="427" spans="1:31" ht="33">
      <c r="A427" s="298"/>
      <c r="B427" s="298"/>
      <c r="C427" s="298"/>
      <c r="D427" s="298"/>
      <c r="E427" s="298"/>
      <c r="F427" s="298"/>
      <c r="G427" s="298"/>
      <c r="H427" s="298"/>
      <c r="I427" s="298"/>
      <c r="J427" s="298"/>
      <c r="K427" s="298"/>
      <c r="L427" s="298"/>
      <c r="M427" s="298"/>
      <c r="N427" s="298"/>
      <c r="O427" s="298"/>
      <c r="P427" s="298"/>
      <c r="Q427" s="597"/>
      <c r="U427" s="2282" t="s">
        <v>39</v>
      </c>
      <c r="V427" s="2278" t="s">
        <v>127</v>
      </c>
      <c r="W427" s="137" t="s">
        <v>128</v>
      </c>
      <c r="X427" s="137" t="s">
        <v>98</v>
      </c>
      <c r="Y427" s="137" t="s">
        <v>14</v>
      </c>
      <c r="Z427" s="654">
        <f>SUM(AB66)/2</f>
        <v>1500</v>
      </c>
      <c r="AA427" s="221"/>
      <c r="AB427" s="221"/>
      <c r="AC427" s="590"/>
      <c r="AD427" s="590"/>
      <c r="AE427" s="221"/>
    </row>
    <row r="428" spans="1:31" ht="16.5" customHeight="1">
      <c r="A428" s="298"/>
      <c r="B428" s="298"/>
      <c r="C428" s="298"/>
      <c r="D428" s="298"/>
      <c r="E428" s="298"/>
      <c r="F428" s="298"/>
      <c r="G428" s="298"/>
      <c r="H428" s="298"/>
      <c r="I428" s="298"/>
      <c r="J428" s="298"/>
      <c r="K428" s="298"/>
      <c r="L428" s="298"/>
      <c r="M428" s="298"/>
      <c r="N428" s="298"/>
      <c r="O428" s="298"/>
      <c r="P428" s="298"/>
      <c r="Q428" s="597"/>
      <c r="U428" s="2282" t="s">
        <v>39</v>
      </c>
      <c r="V428" s="2277" t="s">
        <v>140</v>
      </c>
      <c r="W428" s="137" t="s">
        <v>141</v>
      </c>
      <c r="X428" s="137" t="s">
        <v>13</v>
      </c>
      <c r="Y428" s="137" t="s">
        <v>30</v>
      </c>
      <c r="Z428" s="654">
        <f>SUM(AB67)</f>
        <v>100000.32000000001</v>
      </c>
      <c r="AA428" s="221"/>
      <c r="AB428" s="221"/>
      <c r="AC428" s="590"/>
      <c r="AD428" s="590"/>
      <c r="AE428" s="221"/>
    </row>
    <row r="429" spans="1:31" ht="16.5" customHeight="1">
      <c r="A429" s="298"/>
      <c r="B429" s="298"/>
      <c r="C429" s="298"/>
      <c r="D429" s="298"/>
      <c r="E429" s="298"/>
      <c r="F429" s="298"/>
      <c r="G429" s="298"/>
      <c r="H429" s="298"/>
      <c r="I429" s="298"/>
      <c r="J429" s="298"/>
      <c r="K429" s="298"/>
      <c r="L429" s="298"/>
      <c r="M429" s="298"/>
      <c r="N429" s="298"/>
      <c r="O429" s="298"/>
      <c r="P429" s="298"/>
      <c r="Q429" s="598"/>
      <c r="U429" s="1689" t="s">
        <v>17</v>
      </c>
      <c r="V429" s="2277" t="s">
        <v>140</v>
      </c>
      <c r="W429" s="137" t="s">
        <v>141</v>
      </c>
      <c r="X429" s="137" t="s">
        <v>13</v>
      </c>
      <c r="Y429" s="137" t="s">
        <v>30</v>
      </c>
      <c r="Z429" s="654">
        <f>SUM(AB69)</f>
        <v>50064.000000000007</v>
      </c>
      <c r="AA429" s="221"/>
      <c r="AB429" s="221"/>
      <c r="AC429" s="590"/>
      <c r="AD429" s="590"/>
      <c r="AE429" s="221"/>
    </row>
    <row r="430" spans="1:31" ht="16.5" customHeight="1">
      <c r="A430" s="298"/>
      <c r="B430" s="298"/>
      <c r="C430" s="298"/>
      <c r="D430" s="298"/>
      <c r="E430" s="298"/>
      <c r="F430" s="298"/>
      <c r="G430" s="298"/>
      <c r="H430" s="298"/>
      <c r="I430" s="298"/>
      <c r="J430" s="298"/>
      <c r="K430" s="298"/>
      <c r="L430" s="298"/>
      <c r="M430" s="298"/>
      <c r="N430" s="298"/>
      <c r="O430" s="298"/>
      <c r="P430" s="298"/>
      <c r="Q430" s="598"/>
      <c r="R430" s="590"/>
      <c r="S430" s="599"/>
      <c r="U430" s="1689" t="s">
        <v>17</v>
      </c>
      <c r="V430" s="2277" t="s">
        <v>20</v>
      </c>
      <c r="W430" s="137" t="s">
        <v>63</v>
      </c>
      <c r="X430" s="137" t="s">
        <v>13</v>
      </c>
      <c r="Y430" s="137" t="s">
        <v>14</v>
      </c>
      <c r="Z430" s="654">
        <f>+AB19</f>
        <v>8736</v>
      </c>
      <c r="AA430" s="221"/>
      <c r="AB430" s="221"/>
      <c r="AC430" s="590"/>
      <c r="AD430" s="590"/>
      <c r="AE430" s="221"/>
    </row>
    <row r="431" spans="1:31" ht="33">
      <c r="A431" s="298"/>
      <c r="B431" s="298"/>
      <c r="C431" s="298"/>
      <c r="D431" s="298"/>
      <c r="E431" s="298"/>
      <c r="F431" s="298"/>
      <c r="G431" s="298"/>
      <c r="H431" s="298"/>
      <c r="I431" s="298"/>
      <c r="J431" s="298"/>
      <c r="K431" s="298"/>
      <c r="L431" s="298"/>
      <c r="M431" s="298"/>
      <c r="N431" s="298"/>
      <c r="O431" s="298"/>
      <c r="P431" s="298"/>
      <c r="Q431" s="589"/>
      <c r="U431" s="2282" t="s">
        <v>29</v>
      </c>
      <c r="V431" s="2277" t="s">
        <v>140</v>
      </c>
      <c r="W431" s="137" t="s">
        <v>141</v>
      </c>
      <c r="X431" s="137" t="s">
        <v>13</v>
      </c>
      <c r="Y431" s="137" t="s">
        <v>30</v>
      </c>
      <c r="Z431" s="654">
        <f>SUM(AB71)</f>
        <v>50064.000000000007</v>
      </c>
      <c r="AA431" s="221"/>
      <c r="AB431" s="221"/>
      <c r="AC431" s="590"/>
      <c r="AD431" s="590"/>
      <c r="AE431" s="221"/>
    </row>
    <row r="432" spans="1:31" ht="16.5" customHeight="1" thickBot="1">
      <c r="A432" s="298"/>
      <c r="B432" s="298"/>
      <c r="C432" s="298"/>
      <c r="D432" s="298"/>
      <c r="E432" s="298"/>
      <c r="F432" s="298"/>
      <c r="G432" s="298"/>
      <c r="H432" s="298"/>
      <c r="I432" s="298"/>
      <c r="J432" s="298"/>
      <c r="K432" s="298"/>
      <c r="L432" s="298"/>
      <c r="M432" s="298"/>
      <c r="N432" s="298"/>
      <c r="O432" s="298"/>
      <c r="P432" s="298"/>
      <c r="Q432" s="589"/>
      <c r="U432" s="2168"/>
      <c r="V432" s="2269" t="s">
        <v>183</v>
      </c>
      <c r="W432" s="2283"/>
      <c r="X432" s="2283"/>
      <c r="Y432" s="2246" t="s">
        <v>340</v>
      </c>
      <c r="Z432" s="140">
        <f>SUM(Z387:Z431)</f>
        <v>27548836.000400003</v>
      </c>
      <c r="AA432" s="221"/>
      <c r="AB432" s="221"/>
      <c r="AC432" s="590"/>
      <c r="AD432" s="590"/>
      <c r="AE432" s="221"/>
    </row>
    <row r="433" spans="1:31" ht="16.5" customHeight="1" thickTop="1">
      <c r="A433" s="298"/>
      <c r="B433" s="298"/>
      <c r="C433" s="298"/>
      <c r="D433" s="298"/>
      <c r="E433" s="298"/>
      <c r="F433" s="298"/>
      <c r="G433" s="298"/>
      <c r="H433" s="298"/>
      <c r="I433" s="298"/>
      <c r="J433" s="298"/>
      <c r="K433" s="298"/>
      <c r="L433" s="298"/>
      <c r="M433" s="298"/>
      <c r="N433" s="298"/>
      <c r="O433" s="298"/>
      <c r="P433" s="298"/>
      <c r="Q433" s="598"/>
      <c r="T433" s="221"/>
      <c r="U433" s="221"/>
      <c r="V433" s="221"/>
      <c r="W433" s="233"/>
      <c r="X433" s="221"/>
      <c r="Y433" s="221"/>
      <c r="Z433" s="221"/>
      <c r="AA433" s="221"/>
      <c r="AB433" s="221"/>
      <c r="AC433" s="590"/>
      <c r="AD433" s="590"/>
      <c r="AE433" s="221"/>
    </row>
    <row r="434" spans="1:31" ht="16.5" customHeight="1" thickBot="1">
      <c r="A434" s="298"/>
      <c r="B434" s="298"/>
      <c r="C434" s="298"/>
      <c r="D434" s="298"/>
      <c r="E434" s="298"/>
      <c r="F434" s="298"/>
      <c r="G434" s="298"/>
      <c r="H434" s="298"/>
      <c r="I434" s="298"/>
      <c r="J434" s="298"/>
      <c r="K434" s="298"/>
      <c r="L434" s="298"/>
      <c r="M434" s="298"/>
      <c r="N434" s="298"/>
      <c r="O434" s="298"/>
      <c r="P434" s="298"/>
      <c r="Q434" s="598"/>
      <c r="T434" s="221"/>
      <c r="U434" s="221"/>
      <c r="V434" s="221"/>
      <c r="W434" s="233"/>
      <c r="X434" s="221"/>
      <c r="Y434" s="221"/>
      <c r="Z434" s="221"/>
      <c r="AA434" s="221"/>
      <c r="AB434" s="221"/>
      <c r="AC434" s="590"/>
      <c r="AD434" s="590"/>
      <c r="AE434" s="221"/>
    </row>
    <row r="435" spans="1:31" ht="16.5" customHeight="1" thickTop="1">
      <c r="A435" s="298"/>
      <c r="B435" s="298"/>
      <c r="C435" s="298"/>
      <c r="D435" s="298"/>
      <c r="E435" s="298"/>
      <c r="F435" s="298"/>
      <c r="G435" s="298"/>
      <c r="H435" s="298"/>
      <c r="I435" s="298"/>
      <c r="J435" s="298"/>
      <c r="K435" s="298"/>
      <c r="L435" s="298"/>
      <c r="M435" s="298"/>
      <c r="N435" s="298"/>
      <c r="O435" s="298"/>
      <c r="P435" s="298"/>
      <c r="Q435" s="589"/>
      <c r="U435" s="4303" t="s">
        <v>348</v>
      </c>
      <c r="V435" s="5151"/>
      <c r="W435" s="5152"/>
      <c r="X435" s="233"/>
      <c r="Y435" s="236" t="s">
        <v>349</v>
      </c>
      <c r="Z435" s="222" t="str">
        <f>IF(Z432=AB381,"OK","NO")</f>
        <v>OK</v>
      </c>
      <c r="AA435" s="221"/>
      <c r="AB435" s="221"/>
      <c r="AC435" s="221"/>
      <c r="AD435" s="600"/>
      <c r="AE435" s="590"/>
    </row>
    <row r="436" spans="1:31" ht="16.5" customHeight="1">
      <c r="A436" s="298"/>
      <c r="B436" s="298"/>
      <c r="C436" s="298"/>
      <c r="D436" s="298"/>
      <c r="E436" s="298"/>
      <c r="F436" s="298"/>
      <c r="G436" s="298"/>
      <c r="H436" s="298"/>
      <c r="I436" s="298"/>
      <c r="J436" s="298"/>
      <c r="K436" s="298"/>
      <c r="L436" s="298"/>
      <c r="M436" s="298"/>
      <c r="N436" s="298"/>
      <c r="O436" s="298"/>
      <c r="P436" s="298"/>
      <c r="Q436" s="598"/>
      <c r="U436" s="4213" t="s">
        <v>3680</v>
      </c>
      <c r="V436" s="4208"/>
      <c r="W436" s="516">
        <f>SUM(Z405:Z408,Z413,Z415,Z417,Z419,Z422,Z424,Z426,Z412)</f>
        <v>3675409.9469980993</v>
      </c>
      <c r="X436" s="233"/>
      <c r="Y436" s="221"/>
      <c r="Z436" s="222" t="str">
        <f>IF(W440=AB381,"OK","NO")</f>
        <v>OK</v>
      </c>
      <c r="AA436" s="601"/>
      <c r="AB436" s="221"/>
      <c r="AC436" s="221"/>
      <c r="AD436" s="590"/>
      <c r="AE436" s="590"/>
    </row>
    <row r="437" spans="1:31" ht="16.5" customHeight="1">
      <c r="A437" s="298"/>
      <c r="B437" s="298"/>
      <c r="C437" s="298"/>
      <c r="D437" s="298"/>
      <c r="E437" s="298"/>
      <c r="F437" s="298"/>
      <c r="G437" s="298"/>
      <c r="H437" s="298"/>
      <c r="I437" s="298"/>
      <c r="J437" s="298"/>
      <c r="K437" s="298"/>
      <c r="L437" s="298"/>
      <c r="M437" s="298"/>
      <c r="N437" s="298"/>
      <c r="O437" s="298"/>
      <c r="P437" s="298"/>
      <c r="Q437" s="598"/>
      <c r="R437" s="590"/>
      <c r="U437" s="4200" t="s">
        <v>3932</v>
      </c>
      <c r="V437" s="4201"/>
      <c r="W437" s="515">
        <f>SUM(Z428:Z429,Z431)</f>
        <v>200128.32</v>
      </c>
      <c r="X437" s="237"/>
      <c r="Y437" s="221"/>
      <c r="Z437" s="222" t="str">
        <f>IF(W450=AB381,"OK","NO")</f>
        <v>OK</v>
      </c>
      <c r="AA437" s="221"/>
      <c r="AB437" s="221"/>
      <c r="AC437" s="221"/>
      <c r="AD437" s="590"/>
      <c r="AE437" s="590"/>
    </row>
    <row r="438" spans="1:31" ht="16.5" customHeight="1">
      <c r="A438" s="298"/>
      <c r="B438" s="298"/>
      <c r="C438" s="298"/>
      <c r="D438" s="298"/>
      <c r="E438" s="298"/>
      <c r="F438" s="298"/>
      <c r="G438" s="298"/>
      <c r="H438" s="298"/>
      <c r="I438" s="298"/>
      <c r="J438" s="298"/>
      <c r="K438" s="298"/>
      <c r="L438" s="298"/>
      <c r="M438" s="298"/>
      <c r="N438" s="298"/>
      <c r="O438" s="298"/>
      <c r="P438" s="298"/>
      <c r="Q438" s="598"/>
      <c r="U438" s="4200" t="s">
        <v>3933</v>
      </c>
      <c r="V438" s="4201"/>
      <c r="W438" s="515">
        <f>SUM(Z387:Z404,Z409:Z411,Z414,Z416,Z418,Z420,Z421,Z423,Z425,Z427,Z430)</f>
        <v>23673297.733401902</v>
      </c>
      <c r="X438" s="233"/>
      <c r="Y438" s="221"/>
      <c r="Z438" s="222" t="str">
        <f>IF(Resumen!C362=AB381,"OK","NO")</f>
        <v>OK</v>
      </c>
      <c r="AA438" s="601"/>
      <c r="AB438" s="221"/>
      <c r="AC438" s="221"/>
      <c r="AD438" s="590"/>
      <c r="AE438" s="590"/>
    </row>
    <row r="439" spans="1:31" ht="16.5" customHeight="1">
      <c r="A439" s="298"/>
      <c r="B439" s="298"/>
      <c r="C439" s="298"/>
      <c r="D439" s="298"/>
      <c r="E439" s="298"/>
      <c r="F439" s="298"/>
      <c r="G439" s="298"/>
      <c r="H439" s="298"/>
      <c r="I439" s="298"/>
      <c r="J439" s="298"/>
      <c r="K439" s="298"/>
      <c r="L439" s="298"/>
      <c r="M439" s="298"/>
      <c r="N439" s="298"/>
      <c r="O439" s="298"/>
      <c r="P439" s="298"/>
      <c r="Q439" s="589"/>
      <c r="U439" s="4200" t="s">
        <v>3934</v>
      </c>
      <c r="V439" s="4201"/>
      <c r="W439" s="517">
        <v>0</v>
      </c>
      <c r="X439" s="233"/>
      <c r="Y439" s="221"/>
      <c r="Z439" s="221"/>
      <c r="AA439" s="221"/>
      <c r="AB439" s="221"/>
      <c r="AC439" s="221"/>
      <c r="AD439" s="590"/>
      <c r="AE439" s="590"/>
    </row>
    <row r="440" spans="1:31" ht="16.5" customHeight="1">
      <c r="A440" s="298"/>
      <c r="B440" s="298"/>
      <c r="C440" s="298"/>
      <c r="D440" s="298"/>
      <c r="E440" s="298"/>
      <c r="F440" s="298"/>
      <c r="G440" s="298"/>
      <c r="H440" s="298"/>
      <c r="I440" s="298"/>
      <c r="J440" s="298"/>
      <c r="K440" s="298"/>
      <c r="L440" s="298"/>
      <c r="M440" s="298"/>
      <c r="N440" s="298"/>
      <c r="O440" s="298"/>
      <c r="P440" s="298"/>
      <c r="Q440" s="598"/>
      <c r="U440" s="4553" t="s">
        <v>183</v>
      </c>
      <c r="V440" s="4554"/>
      <c r="W440" s="1571">
        <f>SUM(W436:W439)</f>
        <v>27548836.000399999</v>
      </c>
      <c r="X440" s="233"/>
      <c r="Y440" s="221"/>
      <c r="Z440" s="221"/>
      <c r="AA440" s="221"/>
      <c r="AB440" s="221"/>
      <c r="AC440" s="221"/>
      <c r="AD440" s="590"/>
      <c r="AE440" s="590"/>
    </row>
    <row r="441" spans="1:31" ht="16.5" customHeight="1">
      <c r="A441" s="298"/>
      <c r="B441" s="298"/>
      <c r="C441" s="298"/>
      <c r="D441" s="298"/>
      <c r="E441" s="298"/>
      <c r="F441" s="298"/>
      <c r="G441" s="298"/>
      <c r="H441" s="298"/>
      <c r="I441" s="298"/>
      <c r="J441" s="298"/>
      <c r="K441" s="298"/>
      <c r="L441" s="298"/>
      <c r="M441" s="298"/>
      <c r="N441" s="298"/>
      <c r="O441" s="298"/>
      <c r="P441" s="298"/>
      <c r="Q441" s="598"/>
      <c r="U441" s="4555" t="s">
        <v>350</v>
      </c>
      <c r="V441" s="5149"/>
      <c r="W441" s="5150"/>
      <c r="X441" s="237"/>
      <c r="Y441" s="221"/>
      <c r="Z441" s="221"/>
      <c r="AA441" s="221"/>
      <c r="AB441" s="221"/>
      <c r="AC441" s="221"/>
      <c r="AD441" s="603"/>
      <c r="AE441" s="590"/>
    </row>
    <row r="442" spans="1:31" ht="16.5" customHeight="1">
      <c r="A442" s="298"/>
      <c r="B442" s="298"/>
      <c r="C442" s="298"/>
      <c r="D442" s="298"/>
      <c r="E442" s="298"/>
      <c r="F442" s="298"/>
      <c r="G442" s="298"/>
      <c r="H442" s="298"/>
      <c r="I442" s="298"/>
      <c r="J442" s="298"/>
      <c r="K442" s="298"/>
      <c r="L442" s="298"/>
      <c r="M442" s="298"/>
      <c r="N442" s="298"/>
      <c r="O442" s="298"/>
      <c r="P442" s="298"/>
      <c r="Q442" s="598"/>
      <c r="U442" s="4207" t="s">
        <v>3670</v>
      </c>
      <c r="V442" s="4208"/>
      <c r="W442" s="516">
        <f>SUM(Z387,Z388,Z389,Z390,Z391,Z392,Z393,Z394,Z395,Z396,Z397,Z398,Z399,Z400,Z401,Z403,Z415,Z416,Z417,Z418,Z419,Z420,Z421,Z422,Z423,Z424,Z425,Z426,Z427)</f>
        <v>25485951.82</v>
      </c>
      <c r="X442" s="237"/>
      <c r="Y442" s="602"/>
      <c r="Z442" s="602"/>
      <c r="AA442" s="221"/>
      <c r="AB442" s="221"/>
      <c r="AC442" s="221"/>
      <c r="AD442" s="604"/>
      <c r="AE442" s="590"/>
    </row>
    <row r="443" spans="1:31" ht="16.5" customHeight="1">
      <c r="A443" s="298"/>
      <c r="B443" s="298"/>
      <c r="C443" s="298"/>
      <c r="D443" s="298"/>
      <c r="E443" s="298"/>
      <c r="F443" s="298"/>
      <c r="G443" s="298"/>
      <c r="H443" s="298"/>
      <c r="I443" s="298"/>
      <c r="J443" s="298"/>
      <c r="K443" s="298"/>
      <c r="L443" s="298"/>
      <c r="M443" s="298"/>
      <c r="N443" s="298"/>
      <c r="O443" s="298"/>
      <c r="P443" s="298"/>
      <c r="Q443" s="598"/>
      <c r="U443" s="4375" t="s">
        <v>3935</v>
      </c>
      <c r="V443" s="4201"/>
      <c r="W443" s="515">
        <f>SUM(Z404,Z406:Z411,Z428:Z429,Z431)</f>
        <v>340142.62280000001</v>
      </c>
      <c r="X443" s="237"/>
      <c r="Y443" s="221"/>
      <c r="Z443" s="221"/>
      <c r="AA443" s="221"/>
      <c r="AB443" s="221"/>
      <c r="AC443" s="221"/>
      <c r="AD443" s="604"/>
      <c r="AE443" s="590"/>
    </row>
    <row r="444" spans="1:31" ht="16.5" customHeight="1">
      <c r="A444" s="298"/>
      <c r="B444" s="298"/>
      <c r="C444" s="298"/>
      <c r="D444" s="298"/>
      <c r="E444" s="298"/>
      <c r="F444" s="298"/>
      <c r="G444" s="298"/>
      <c r="H444" s="298"/>
      <c r="I444" s="298"/>
      <c r="J444" s="298"/>
      <c r="K444" s="298"/>
      <c r="L444" s="298"/>
      <c r="M444" s="298"/>
      <c r="N444" s="298"/>
      <c r="O444" s="298"/>
      <c r="P444" s="298"/>
      <c r="Q444" s="598"/>
      <c r="U444" s="4375" t="s">
        <v>3936</v>
      </c>
      <c r="V444" s="4201"/>
      <c r="W444" s="515">
        <f>SUM(Z412)</f>
        <v>2429.96</v>
      </c>
      <c r="X444" s="238"/>
      <c r="Y444" s="221"/>
      <c r="Z444" s="221"/>
      <c r="AA444" s="221"/>
      <c r="AB444" s="221"/>
      <c r="AC444" s="221"/>
      <c r="AD444" s="590"/>
      <c r="AE444" s="605"/>
    </row>
    <row r="445" spans="1:31" ht="16.5" customHeight="1">
      <c r="A445" s="298"/>
      <c r="B445" s="298"/>
      <c r="C445" s="298"/>
      <c r="D445" s="298"/>
      <c r="E445" s="298"/>
      <c r="F445" s="298"/>
      <c r="G445" s="298"/>
      <c r="H445" s="298"/>
      <c r="I445" s="298"/>
      <c r="J445" s="298"/>
      <c r="K445" s="298"/>
      <c r="L445" s="298"/>
      <c r="M445" s="298"/>
      <c r="N445" s="298"/>
      <c r="O445" s="298"/>
      <c r="P445" s="298"/>
      <c r="Q445" s="598"/>
      <c r="U445" s="4375" t="s">
        <v>3937</v>
      </c>
      <c r="V445" s="4201"/>
      <c r="W445" s="515">
        <f>SUM(Z405,Z413)</f>
        <v>1284980</v>
      </c>
      <c r="X445" s="233"/>
      <c r="Y445" s="221"/>
      <c r="Z445" s="221"/>
      <c r="AA445" s="221"/>
      <c r="AB445" s="221"/>
      <c r="AC445" s="221"/>
      <c r="AD445" s="590"/>
      <c r="AE445" s="587"/>
    </row>
    <row r="446" spans="1:31" ht="16.5" customHeight="1">
      <c r="A446" s="298"/>
      <c r="B446" s="298"/>
      <c r="C446" s="298"/>
      <c r="D446" s="298"/>
      <c r="E446" s="298"/>
      <c r="F446" s="298"/>
      <c r="G446" s="298"/>
      <c r="H446" s="298"/>
      <c r="I446" s="298"/>
      <c r="J446" s="298"/>
      <c r="K446" s="298"/>
      <c r="L446" s="298"/>
      <c r="M446" s="298"/>
      <c r="N446" s="298"/>
      <c r="O446" s="298"/>
      <c r="P446" s="298"/>
      <c r="Q446" s="598"/>
      <c r="U446" s="4375" t="s">
        <v>3938</v>
      </c>
      <c r="V446" s="4201"/>
      <c r="W446" s="515">
        <v>0</v>
      </c>
      <c r="X446" s="240"/>
      <c r="Y446" s="221"/>
      <c r="Z446" s="221"/>
      <c r="AA446" s="221"/>
      <c r="AB446" s="221"/>
      <c r="AC446" s="221"/>
      <c r="AE446" s="221"/>
    </row>
    <row r="447" spans="1:31" ht="16.5" customHeight="1">
      <c r="A447" s="298"/>
      <c r="B447" s="298"/>
      <c r="C447" s="298"/>
      <c r="D447" s="298"/>
      <c r="E447" s="298"/>
      <c r="F447" s="298"/>
      <c r="G447" s="298"/>
      <c r="H447" s="298"/>
      <c r="I447" s="298"/>
      <c r="J447" s="298"/>
      <c r="K447" s="298"/>
      <c r="L447" s="298"/>
      <c r="M447" s="298"/>
      <c r="N447" s="298"/>
      <c r="O447" s="298"/>
      <c r="P447" s="298"/>
      <c r="Q447" s="598"/>
      <c r="U447" s="4375" t="s">
        <v>3939</v>
      </c>
      <c r="V447" s="4201"/>
      <c r="W447" s="515">
        <v>0</v>
      </c>
      <c r="X447" s="240"/>
      <c r="Y447" s="221"/>
      <c r="Z447" s="221"/>
      <c r="AA447" s="221"/>
      <c r="AB447" s="221"/>
      <c r="AC447" s="221"/>
      <c r="AE447" s="221"/>
    </row>
    <row r="448" spans="1:31" ht="16.5" customHeight="1">
      <c r="A448" s="298"/>
      <c r="B448" s="298"/>
      <c r="C448" s="298"/>
      <c r="D448" s="298"/>
      <c r="E448" s="298"/>
      <c r="F448" s="298"/>
      <c r="G448" s="298"/>
      <c r="H448" s="298"/>
      <c r="I448" s="298"/>
      <c r="J448" s="298"/>
      <c r="K448" s="298"/>
      <c r="L448" s="298"/>
      <c r="M448" s="298"/>
      <c r="N448" s="298"/>
      <c r="O448" s="298"/>
      <c r="P448" s="298"/>
      <c r="Q448" s="598"/>
      <c r="U448" s="4375" t="s">
        <v>3940</v>
      </c>
      <c r="V448" s="4201"/>
      <c r="W448" s="515">
        <f>SUM(Z402,Z414,Z430)</f>
        <v>435331.59759999998</v>
      </c>
      <c r="X448" s="240"/>
      <c r="Y448" s="221"/>
      <c r="Z448" s="221"/>
      <c r="AA448" s="221"/>
      <c r="AB448" s="221"/>
      <c r="AC448" s="221"/>
      <c r="AE448" s="221"/>
    </row>
    <row r="449" spans="1:31" ht="16.5" customHeight="1">
      <c r="A449" s="298"/>
      <c r="B449" s="298"/>
      <c r="C449" s="298"/>
      <c r="D449" s="298"/>
      <c r="E449" s="298"/>
      <c r="F449" s="298"/>
      <c r="G449" s="298"/>
      <c r="H449" s="298"/>
      <c r="I449" s="298"/>
      <c r="J449" s="298"/>
      <c r="K449" s="298"/>
      <c r="L449" s="298"/>
      <c r="M449" s="298"/>
      <c r="N449" s="298"/>
      <c r="O449" s="298"/>
      <c r="P449" s="298"/>
      <c r="Q449" s="598"/>
      <c r="U449" s="4375" t="s">
        <v>3941</v>
      </c>
      <c r="V449" s="4201"/>
      <c r="W449" s="517">
        <v>0</v>
      </c>
      <c r="X449" s="245"/>
      <c r="Y449" s="221"/>
      <c r="Z449" s="221"/>
      <c r="AA449" s="221"/>
      <c r="AB449" s="221"/>
      <c r="AC449" s="221"/>
      <c r="AE449" s="221"/>
    </row>
    <row r="450" spans="1:31" ht="16.5" customHeight="1" thickBot="1">
      <c r="A450" s="298"/>
      <c r="B450" s="298"/>
      <c r="C450" s="298"/>
      <c r="D450" s="298"/>
      <c r="E450" s="298"/>
      <c r="F450" s="298"/>
      <c r="G450" s="298"/>
      <c r="H450" s="298"/>
      <c r="I450" s="298"/>
      <c r="J450" s="298"/>
      <c r="K450" s="298"/>
      <c r="L450" s="298"/>
      <c r="M450" s="298"/>
      <c r="N450" s="298"/>
      <c r="O450" s="298"/>
      <c r="P450" s="298"/>
      <c r="Q450" s="598"/>
      <c r="U450" s="4295" t="s">
        <v>183</v>
      </c>
      <c r="V450" s="4296"/>
      <c r="W450" s="1572">
        <f>SUM(W442:W449)</f>
        <v>27548836.000399999</v>
      </c>
      <c r="X450" s="238"/>
      <c r="Y450" s="221"/>
      <c r="Z450" s="221"/>
      <c r="AA450" s="221"/>
      <c r="AB450" s="221"/>
      <c r="AC450" s="221"/>
      <c r="AE450" s="221"/>
    </row>
    <row r="451" spans="1:31" ht="16.5" customHeight="1" thickTop="1">
      <c r="A451" s="298"/>
      <c r="B451" s="298"/>
      <c r="C451" s="298"/>
      <c r="D451" s="298"/>
      <c r="E451" s="298"/>
      <c r="F451" s="298"/>
      <c r="G451" s="298"/>
      <c r="H451" s="298"/>
      <c r="I451" s="298"/>
      <c r="J451" s="298"/>
      <c r="K451" s="298"/>
      <c r="L451" s="298"/>
      <c r="M451" s="298"/>
      <c r="N451" s="298"/>
      <c r="O451" s="298"/>
      <c r="P451" s="298"/>
      <c r="Q451" s="589"/>
      <c r="U451" s="221"/>
      <c r="V451" s="221"/>
      <c r="W451" s="238"/>
      <c r="X451" s="221"/>
      <c r="Y451" s="221"/>
      <c r="Z451" s="221"/>
      <c r="AA451" s="221"/>
      <c r="AB451" s="221"/>
      <c r="AC451" s="221"/>
      <c r="AE451" s="221"/>
    </row>
    <row r="452" spans="1:31" ht="15.75" customHeight="1">
      <c r="AA452" s="221"/>
    </row>
  </sheetData>
  <mergeCells count="1117">
    <mergeCell ref="J175:J179"/>
    <mergeCell ref="L216:L220"/>
    <mergeCell ref="M216:M220"/>
    <mergeCell ref="J165:J169"/>
    <mergeCell ref="K165:K169"/>
    <mergeCell ref="L165:L169"/>
    <mergeCell ref="J231:J235"/>
    <mergeCell ref="Q139:Q144"/>
    <mergeCell ref="R139:R144"/>
    <mergeCell ref="AF139:AF144"/>
    <mergeCell ref="J139:J144"/>
    <mergeCell ref="K139:K144"/>
    <mergeCell ref="L139:L144"/>
    <mergeCell ref="M139:M144"/>
    <mergeCell ref="N139:N144"/>
    <mergeCell ref="O139:O144"/>
    <mergeCell ref="P139:P144"/>
    <mergeCell ref="Q145:Q149"/>
    <mergeCell ref="R145:R149"/>
    <mergeCell ref="AF145:AF149"/>
    <mergeCell ref="J145:J149"/>
    <mergeCell ref="K145:K149"/>
    <mergeCell ref="L145:L149"/>
    <mergeCell ref="M145:M149"/>
    <mergeCell ref="N145:N149"/>
    <mergeCell ref="O145:O149"/>
    <mergeCell ref="M180:M184"/>
    <mergeCell ref="K216:K220"/>
    <mergeCell ref="N180:N184"/>
    <mergeCell ref="M191:M195"/>
    <mergeCell ref="N191:N195"/>
    <mergeCell ref="J206:J210"/>
    <mergeCell ref="P165:P169"/>
    <mergeCell ref="Q170:Q174"/>
    <mergeCell ref="N186:N190"/>
    <mergeCell ref="O186:O190"/>
    <mergeCell ref="O180:O184"/>
    <mergeCell ref="AF175:AF179"/>
    <mergeCell ref="P180:P184"/>
    <mergeCell ref="L211:L215"/>
    <mergeCell ref="M211:M215"/>
    <mergeCell ref="N201:N205"/>
    <mergeCell ref="AF170:AF174"/>
    <mergeCell ref="M175:M179"/>
    <mergeCell ref="N175:N179"/>
    <mergeCell ref="L160:L164"/>
    <mergeCell ref="M160:M164"/>
    <mergeCell ref="N160:N164"/>
    <mergeCell ref="O160:O164"/>
    <mergeCell ref="P160:P164"/>
    <mergeCell ref="Q165:Q169"/>
    <mergeCell ref="R165:R169"/>
    <mergeCell ref="AF165:AF169"/>
    <mergeCell ref="P145:P149"/>
    <mergeCell ref="M150:M154"/>
    <mergeCell ref="N150:N154"/>
    <mergeCell ref="O150:O154"/>
    <mergeCell ref="P150:P154"/>
    <mergeCell ref="Q196:Q200"/>
    <mergeCell ref="R196:R200"/>
    <mergeCell ref="AF196:AF200"/>
    <mergeCell ref="K221:K225"/>
    <mergeCell ref="L221:L225"/>
    <mergeCell ref="M221:M225"/>
    <mergeCell ref="N221:N225"/>
    <mergeCell ref="J170:J174"/>
    <mergeCell ref="K170:K174"/>
    <mergeCell ref="L170:L174"/>
    <mergeCell ref="M170:M174"/>
    <mergeCell ref="N170:N174"/>
    <mergeCell ref="K180:K184"/>
    <mergeCell ref="L180:L184"/>
    <mergeCell ref="K175:K179"/>
    <mergeCell ref="L175:L179"/>
    <mergeCell ref="K201:K205"/>
    <mergeCell ref="L201:L205"/>
    <mergeCell ref="M201:M205"/>
    <mergeCell ref="O216:O220"/>
    <mergeCell ref="AF150:AF154"/>
    <mergeCell ref="N165:N169"/>
    <mergeCell ref="J160:J164"/>
    <mergeCell ref="K160:K164"/>
    <mergeCell ref="Q155:Q159"/>
    <mergeCell ref="R155:R159"/>
    <mergeCell ref="AF155:AF159"/>
    <mergeCell ref="J196:J200"/>
    <mergeCell ref="K196:K200"/>
    <mergeCell ref="L196:L200"/>
    <mergeCell ref="M196:M200"/>
    <mergeCell ref="N196:N200"/>
    <mergeCell ref="O196:O200"/>
    <mergeCell ref="P196:P200"/>
    <mergeCell ref="Q201:Q205"/>
    <mergeCell ref="R201:R205"/>
    <mergeCell ref="AF201:AF205"/>
    <mergeCell ref="J201:J205"/>
    <mergeCell ref="O191:O195"/>
    <mergeCell ref="P191:P195"/>
    <mergeCell ref="Q216:Q220"/>
    <mergeCell ref="J186:J190"/>
    <mergeCell ref="K186:K190"/>
    <mergeCell ref="L186:L190"/>
    <mergeCell ref="M186:M190"/>
    <mergeCell ref="J191:J195"/>
    <mergeCell ref="K191:K195"/>
    <mergeCell ref="L191:L195"/>
    <mergeCell ref="L206:L210"/>
    <mergeCell ref="M206:M210"/>
    <mergeCell ref="K206:K210"/>
    <mergeCell ref="K211:K215"/>
    <mergeCell ref="P186:P190"/>
    <mergeCell ref="AF262:AF266"/>
    <mergeCell ref="N247:N251"/>
    <mergeCell ref="O247:O251"/>
    <mergeCell ref="P247:P251"/>
    <mergeCell ref="Q277:Q281"/>
    <mergeCell ref="R277:R281"/>
    <mergeCell ref="Q257:Q261"/>
    <mergeCell ref="R257:R261"/>
    <mergeCell ref="N236:N240"/>
    <mergeCell ref="O236:O240"/>
    <mergeCell ref="AF186:AF190"/>
    <mergeCell ref="N206:N210"/>
    <mergeCell ref="O206:O210"/>
    <mergeCell ref="P206:P210"/>
    <mergeCell ref="AF257:AF261"/>
    <mergeCell ref="N216:N220"/>
    <mergeCell ref="Q242:Q246"/>
    <mergeCell ref="R242:R246"/>
    <mergeCell ref="AF242:AF246"/>
    <mergeCell ref="N242:N246"/>
    <mergeCell ref="AF226:AF230"/>
    <mergeCell ref="AF211:AF215"/>
    <mergeCell ref="N257:N261"/>
    <mergeCell ref="N252:N256"/>
    <mergeCell ref="P252:P256"/>
    <mergeCell ref="Q186:Q190"/>
    <mergeCell ref="R186:R190"/>
    <mergeCell ref="P216:P220"/>
    <mergeCell ref="O221:O225"/>
    <mergeCell ref="P221:P225"/>
    <mergeCell ref="P226:P230"/>
    <mergeCell ref="O226:O230"/>
    <mergeCell ref="AF282:AF286"/>
    <mergeCell ref="S287:Z287"/>
    <mergeCell ref="AC287:AF287"/>
    <mergeCell ref="Q160:Q164"/>
    <mergeCell ref="R160:R164"/>
    <mergeCell ref="AF160:AF164"/>
    <mergeCell ref="AF267:AF271"/>
    <mergeCell ref="AF272:AF276"/>
    <mergeCell ref="AF277:AF281"/>
    <mergeCell ref="R272:R276"/>
    <mergeCell ref="R267:R271"/>
    <mergeCell ref="O282:O286"/>
    <mergeCell ref="P282:P286"/>
    <mergeCell ref="Q282:Q286"/>
    <mergeCell ref="R282:R286"/>
    <mergeCell ref="O170:O174"/>
    <mergeCell ref="P170:P174"/>
    <mergeCell ref="Q175:Q179"/>
    <mergeCell ref="O201:O205"/>
    <mergeCell ref="P201:P205"/>
    <mergeCell ref="Q206:Q210"/>
    <mergeCell ref="Q221:Q225"/>
    <mergeCell ref="Q231:Q235"/>
    <mergeCell ref="R231:R235"/>
    <mergeCell ref="AF231:AF235"/>
    <mergeCell ref="R221:R225"/>
    <mergeCell ref="AF221:AF225"/>
    <mergeCell ref="S185:Z185"/>
    <mergeCell ref="AC185:AF185"/>
    <mergeCell ref="O257:O261"/>
    <mergeCell ref="P257:P261"/>
    <mergeCell ref="O252:O256"/>
    <mergeCell ref="K226:K230"/>
    <mergeCell ref="L226:L230"/>
    <mergeCell ref="M165:M169"/>
    <mergeCell ref="Q252:Q256"/>
    <mergeCell ref="R252:R256"/>
    <mergeCell ref="AF252:AF256"/>
    <mergeCell ref="Q191:Q195"/>
    <mergeCell ref="R191:R195"/>
    <mergeCell ref="AF191:AF195"/>
    <mergeCell ref="R170:R174"/>
    <mergeCell ref="O242:O246"/>
    <mergeCell ref="P242:P246"/>
    <mergeCell ref="R236:R240"/>
    <mergeCell ref="AF236:AF240"/>
    <mergeCell ref="N211:N215"/>
    <mergeCell ref="O211:O215"/>
    <mergeCell ref="P211:P215"/>
    <mergeCell ref="Q226:Q230"/>
    <mergeCell ref="R226:R230"/>
    <mergeCell ref="L231:L235"/>
    <mergeCell ref="M231:M235"/>
    <mergeCell ref="N231:N235"/>
    <mergeCell ref="O231:O235"/>
    <mergeCell ref="P231:P235"/>
    <mergeCell ref="R206:R210"/>
    <mergeCell ref="AF206:AF210"/>
    <mergeCell ref="Q236:Q240"/>
    <mergeCell ref="R216:R220"/>
    <mergeCell ref="AF216:AF220"/>
    <mergeCell ref="M226:M230"/>
    <mergeCell ref="N226:N230"/>
    <mergeCell ref="O165:O169"/>
    <mergeCell ref="J221:J225"/>
    <mergeCell ref="R175:R179"/>
    <mergeCell ref="A1:AF1"/>
    <mergeCell ref="A2:AF2"/>
    <mergeCell ref="A3:AF3"/>
    <mergeCell ref="A4:AF4"/>
    <mergeCell ref="Q9:Q13"/>
    <mergeCell ref="R9:R13"/>
    <mergeCell ref="AF9:AF13"/>
    <mergeCell ref="J9:J13"/>
    <mergeCell ref="K9:K13"/>
    <mergeCell ref="L9:L13"/>
    <mergeCell ref="M9:M13"/>
    <mergeCell ref="N9:N13"/>
    <mergeCell ref="O9:O13"/>
    <mergeCell ref="P9:P13"/>
    <mergeCell ref="A9:A381"/>
    <mergeCell ref="N14:N18"/>
    <mergeCell ref="O14:O18"/>
    <mergeCell ref="P14:P18"/>
    <mergeCell ref="Q14:Q18"/>
    <mergeCell ref="R14:R18"/>
    <mergeCell ref="O175:O179"/>
    <mergeCell ref="P175:P179"/>
    <mergeCell ref="Q180:Q184"/>
    <mergeCell ref="R180:R184"/>
    <mergeCell ref="AF180:AF184"/>
    <mergeCell ref="J180:J184"/>
    <mergeCell ref="E9:E13"/>
    <mergeCell ref="F9:F13"/>
    <mergeCell ref="G9:G13"/>
    <mergeCell ref="H9:H13"/>
    <mergeCell ref="I9:I13"/>
    <mergeCell ref="Q19:Q23"/>
    <mergeCell ref="R24:R28"/>
    <mergeCell ref="E24:E28"/>
    <mergeCell ref="F24:F28"/>
    <mergeCell ref="G24:G28"/>
    <mergeCell ref="H24:H28"/>
    <mergeCell ref="E14:E18"/>
    <mergeCell ref="F14:F18"/>
    <mergeCell ref="G14:G18"/>
    <mergeCell ref="H14:H18"/>
    <mergeCell ref="I14:I18"/>
    <mergeCell ref="J14:J18"/>
    <mergeCell ref="K14:K18"/>
    <mergeCell ref="L29:L33"/>
    <mergeCell ref="M29:M33"/>
    <mergeCell ref="N29:N33"/>
    <mergeCell ref="O29:O33"/>
    <mergeCell ref="P29:P33"/>
    <mergeCell ref="R19:R23"/>
    <mergeCell ref="I24:I28"/>
    <mergeCell ref="J24:J28"/>
    <mergeCell ref="K24:K28"/>
    <mergeCell ref="L19:L23"/>
    <mergeCell ref="M19:M23"/>
    <mergeCell ref="N19:N23"/>
    <mergeCell ref="O19:O23"/>
    <mergeCell ref="P19:P23"/>
    <mergeCell ref="J39:J43"/>
    <mergeCell ref="K39:K43"/>
    <mergeCell ref="J19:J23"/>
    <mergeCell ref="K19:K23"/>
    <mergeCell ref="C14:C18"/>
    <mergeCell ref="C19:C23"/>
    <mergeCell ref="E19:E23"/>
    <mergeCell ref="F19:F23"/>
    <mergeCell ref="G19:G23"/>
    <mergeCell ref="H19:H23"/>
    <mergeCell ref="I19:I23"/>
    <mergeCell ref="L24:L28"/>
    <mergeCell ref="M24:M28"/>
    <mergeCell ref="N24:N28"/>
    <mergeCell ref="O24:O28"/>
    <mergeCell ref="P24:P28"/>
    <mergeCell ref="Q24:Q28"/>
    <mergeCell ref="I34:I38"/>
    <mergeCell ref="J34:J38"/>
    <mergeCell ref="K34:K38"/>
    <mergeCell ref="L34:L38"/>
    <mergeCell ref="M34:M38"/>
    <mergeCell ref="N34:N38"/>
    <mergeCell ref="O34:O38"/>
    <mergeCell ref="P34:P38"/>
    <mergeCell ref="Q34:Q38"/>
    <mergeCell ref="O88:O92"/>
    <mergeCell ref="P88:P92"/>
    <mergeCell ref="Q88:Q92"/>
    <mergeCell ref="R88:R92"/>
    <mergeCell ref="L83:L87"/>
    <mergeCell ref="M83:M87"/>
    <mergeCell ref="N83:N87"/>
    <mergeCell ref="O83:O87"/>
    <mergeCell ref="P83:P87"/>
    <mergeCell ref="Q83:Q87"/>
    <mergeCell ref="R83:R87"/>
    <mergeCell ref="Q29:Q33"/>
    <mergeCell ref="R29:R33"/>
    <mergeCell ref="E29:E33"/>
    <mergeCell ref="F29:F33"/>
    <mergeCell ref="G29:G33"/>
    <mergeCell ref="H29:H33"/>
    <mergeCell ref="I29:I33"/>
    <mergeCell ref="J29:J33"/>
    <mergeCell ref="K29:K33"/>
    <mergeCell ref="L39:L43"/>
    <mergeCell ref="M39:M43"/>
    <mergeCell ref="N39:N43"/>
    <mergeCell ref="O39:O43"/>
    <mergeCell ref="P39:P43"/>
    <mergeCell ref="Q39:Q43"/>
    <mergeCell ref="R39:R43"/>
    <mergeCell ref="E39:E43"/>
    <mergeCell ref="F39:F43"/>
    <mergeCell ref="G39:G43"/>
    <mergeCell ref="H39:H43"/>
    <mergeCell ref="I39:I43"/>
    <mergeCell ref="N113:N117"/>
    <mergeCell ref="O113:O117"/>
    <mergeCell ref="P113:P117"/>
    <mergeCell ref="Q113:Q117"/>
    <mergeCell ref="R113:R117"/>
    <mergeCell ref="I113:I117"/>
    <mergeCell ref="J113:J117"/>
    <mergeCell ref="K113:K117"/>
    <mergeCell ref="Q108:Q112"/>
    <mergeCell ref="R108:R112"/>
    <mergeCell ref="J108:J112"/>
    <mergeCell ref="K108:K112"/>
    <mergeCell ref="L108:L112"/>
    <mergeCell ref="R93:R97"/>
    <mergeCell ref="L98:L102"/>
    <mergeCell ref="M98:M102"/>
    <mergeCell ref="N98:N102"/>
    <mergeCell ref="P98:P102"/>
    <mergeCell ref="P93:P97"/>
    <mergeCell ref="Q93:Q97"/>
    <mergeCell ref="N108:N112"/>
    <mergeCell ref="O108:O112"/>
    <mergeCell ref="P108:P112"/>
    <mergeCell ref="J155:J159"/>
    <mergeCell ref="K155:K159"/>
    <mergeCell ref="L155:L159"/>
    <mergeCell ref="M155:M159"/>
    <mergeCell ref="N155:N159"/>
    <mergeCell ref="O155:O159"/>
    <mergeCell ref="P155:P159"/>
    <mergeCell ref="L129:L133"/>
    <mergeCell ref="M129:M133"/>
    <mergeCell ref="N129:N133"/>
    <mergeCell ref="O129:O133"/>
    <mergeCell ref="P129:P133"/>
    <mergeCell ref="Q129:Q133"/>
    <mergeCell ref="R129:R133"/>
    <mergeCell ref="AF129:AF133"/>
    <mergeCell ref="J129:J133"/>
    <mergeCell ref="K129:K133"/>
    <mergeCell ref="L134:L138"/>
    <mergeCell ref="M134:M138"/>
    <mergeCell ref="N134:N138"/>
    <mergeCell ref="O134:O138"/>
    <mergeCell ref="P134:P138"/>
    <mergeCell ref="Q134:Q138"/>
    <mergeCell ref="R134:R138"/>
    <mergeCell ref="AF134:AF138"/>
    <mergeCell ref="J134:J138"/>
    <mergeCell ref="K134:K138"/>
    <mergeCell ref="Q150:Q154"/>
    <mergeCell ref="R150:R154"/>
    <mergeCell ref="J150:J154"/>
    <mergeCell ref="K150:K154"/>
    <mergeCell ref="L150:L154"/>
    <mergeCell ref="N73:N77"/>
    <mergeCell ref="O73:O77"/>
    <mergeCell ref="P73:P77"/>
    <mergeCell ref="L78:L82"/>
    <mergeCell ref="M78:M82"/>
    <mergeCell ref="N78:N82"/>
    <mergeCell ref="O78:O82"/>
    <mergeCell ref="P78:P82"/>
    <mergeCell ref="Q78:Q82"/>
    <mergeCell ref="O118:O122"/>
    <mergeCell ref="C113:C117"/>
    <mergeCell ref="D113:D117"/>
    <mergeCell ref="C118:C122"/>
    <mergeCell ref="D118:D122"/>
    <mergeCell ref="D124:D128"/>
    <mergeCell ref="D129:D133"/>
    <mergeCell ref="C73:C77"/>
    <mergeCell ref="H93:H97"/>
    <mergeCell ref="I93:I97"/>
    <mergeCell ref="J93:J97"/>
    <mergeCell ref="K93:K97"/>
    <mergeCell ref="L93:L97"/>
    <mergeCell ref="M93:M97"/>
    <mergeCell ref="N93:N97"/>
    <mergeCell ref="O93:O97"/>
    <mergeCell ref="O98:O102"/>
    <mergeCell ref="N103:N107"/>
    <mergeCell ref="O103:O107"/>
    <mergeCell ref="P103:P107"/>
    <mergeCell ref="Q103:Q107"/>
    <mergeCell ref="E103:E107"/>
    <mergeCell ref="K103:K107"/>
    <mergeCell ref="L73:L77"/>
    <mergeCell ref="E145:E149"/>
    <mergeCell ref="F145:F149"/>
    <mergeCell ref="G145:G149"/>
    <mergeCell ref="H145:H149"/>
    <mergeCell ref="I145:I149"/>
    <mergeCell ref="D134:D138"/>
    <mergeCell ref="D139:D144"/>
    <mergeCell ref="E139:E144"/>
    <mergeCell ref="F139:F144"/>
    <mergeCell ref="G139:G144"/>
    <mergeCell ref="H139:H144"/>
    <mergeCell ref="I139:I144"/>
    <mergeCell ref="D145:D149"/>
    <mergeCell ref="F103:F107"/>
    <mergeCell ref="G103:G107"/>
    <mergeCell ref="M73:M77"/>
    <mergeCell ref="L113:L117"/>
    <mergeCell ref="M113:M117"/>
    <mergeCell ref="M108:M112"/>
    <mergeCell ref="F170:F174"/>
    <mergeCell ref="I180:I184"/>
    <mergeCell ref="D73:D77"/>
    <mergeCell ref="E129:E133"/>
    <mergeCell ref="F129:F133"/>
    <mergeCell ref="G129:G133"/>
    <mergeCell ref="H129:H133"/>
    <mergeCell ref="I129:I133"/>
    <mergeCell ref="E113:E117"/>
    <mergeCell ref="F113:F117"/>
    <mergeCell ref="G113:G117"/>
    <mergeCell ref="H113:H117"/>
    <mergeCell ref="D150:D154"/>
    <mergeCell ref="E150:E154"/>
    <mergeCell ref="F150:F154"/>
    <mergeCell ref="G150:G154"/>
    <mergeCell ref="H150:H154"/>
    <mergeCell ref="I150:I154"/>
    <mergeCell ref="E93:E97"/>
    <mergeCell ref="F93:F97"/>
    <mergeCell ref="G93:G97"/>
    <mergeCell ref="H108:H112"/>
    <mergeCell ref="I108:I112"/>
    <mergeCell ref="H78:H82"/>
    <mergeCell ref="I226:I230"/>
    <mergeCell ref="E226:E230"/>
    <mergeCell ref="I155:I159"/>
    <mergeCell ref="E134:E138"/>
    <mergeCell ref="F134:F138"/>
    <mergeCell ref="G134:G138"/>
    <mergeCell ref="H134:H138"/>
    <mergeCell ref="I134:I138"/>
    <mergeCell ref="D155:D159"/>
    <mergeCell ref="D160:D164"/>
    <mergeCell ref="C165:C169"/>
    <mergeCell ref="C170:C174"/>
    <mergeCell ref="D165:D169"/>
    <mergeCell ref="D170:D174"/>
    <mergeCell ref="C175:C179"/>
    <mergeCell ref="C180:C184"/>
    <mergeCell ref="D175:D179"/>
    <mergeCell ref="D180:D184"/>
    <mergeCell ref="G160:G164"/>
    <mergeCell ref="H160:H164"/>
    <mergeCell ref="E155:E159"/>
    <mergeCell ref="F155:F159"/>
    <mergeCell ref="G155:G159"/>
    <mergeCell ref="H155:H159"/>
    <mergeCell ref="F160:F164"/>
    <mergeCell ref="E160:E164"/>
    <mergeCell ref="E165:E169"/>
    <mergeCell ref="F165:F169"/>
    <mergeCell ref="G165:G169"/>
    <mergeCell ref="H165:H169"/>
    <mergeCell ref="I165:I169"/>
    <mergeCell ref="E170:E174"/>
    <mergeCell ref="F262:F266"/>
    <mergeCell ref="G262:G266"/>
    <mergeCell ref="G170:G174"/>
    <mergeCell ref="E175:E179"/>
    <mergeCell ref="F175:F179"/>
    <mergeCell ref="G175:G179"/>
    <mergeCell ref="F180:F184"/>
    <mergeCell ref="G180:G184"/>
    <mergeCell ref="E180:E184"/>
    <mergeCell ref="E186:E190"/>
    <mergeCell ref="F186:F190"/>
    <mergeCell ref="G186:G190"/>
    <mergeCell ref="H186:H190"/>
    <mergeCell ref="I186:I190"/>
    <mergeCell ref="I160:I164"/>
    <mergeCell ref="H170:H174"/>
    <mergeCell ref="I170:I174"/>
    <mergeCell ref="H175:H179"/>
    <mergeCell ref="I175:I179"/>
    <mergeCell ref="H180:H184"/>
    <mergeCell ref="H236:H240"/>
    <mergeCell ref="I236:I240"/>
    <mergeCell ref="E231:E235"/>
    <mergeCell ref="F231:F235"/>
    <mergeCell ref="G231:G235"/>
    <mergeCell ref="H231:H235"/>
    <mergeCell ref="I231:I235"/>
    <mergeCell ref="E236:E240"/>
    <mergeCell ref="F236:F240"/>
    <mergeCell ref="G236:G240"/>
    <mergeCell ref="E242:E246"/>
    <mergeCell ref="F242:F246"/>
    <mergeCell ref="P44:P72"/>
    <mergeCell ref="E73:E77"/>
    <mergeCell ref="F73:F77"/>
    <mergeCell ref="G73:G77"/>
    <mergeCell ref="H73:H77"/>
    <mergeCell ref="I73:I77"/>
    <mergeCell ref="L88:L92"/>
    <mergeCell ref="M88:M92"/>
    <mergeCell ref="N88:N92"/>
    <mergeCell ref="C221:C225"/>
    <mergeCell ref="D221:D225"/>
    <mergeCell ref="G211:G215"/>
    <mergeCell ref="E216:E220"/>
    <mergeCell ref="F216:F220"/>
    <mergeCell ref="G216:G220"/>
    <mergeCell ref="H216:H220"/>
    <mergeCell ref="I216:I220"/>
    <mergeCell ref="D186:D190"/>
    <mergeCell ref="C191:C195"/>
    <mergeCell ref="D191:D195"/>
    <mergeCell ref="C196:C200"/>
    <mergeCell ref="D196:D200"/>
    <mergeCell ref="C201:C205"/>
    <mergeCell ref="D201:D205"/>
    <mergeCell ref="C206:C210"/>
    <mergeCell ref="M44:M72"/>
    <mergeCell ref="N44:N72"/>
    <mergeCell ref="H191:H195"/>
    <mergeCell ref="I191:I195"/>
    <mergeCell ref="H196:H200"/>
    <mergeCell ref="I196:I200"/>
    <mergeCell ref="H201:H205"/>
    <mergeCell ref="O44:O72"/>
    <mergeCell ref="I78:I82"/>
    <mergeCell ref="J78:J82"/>
    <mergeCell ref="K78:K82"/>
    <mergeCell ref="K73:K77"/>
    <mergeCell ref="F288:F292"/>
    <mergeCell ref="G288:G292"/>
    <mergeCell ref="E293:E317"/>
    <mergeCell ref="F293:F317"/>
    <mergeCell ref="G293:G317"/>
    <mergeCell ref="H293:H317"/>
    <mergeCell ref="I293:I317"/>
    <mergeCell ref="E267:E271"/>
    <mergeCell ref="F267:F271"/>
    <mergeCell ref="G267:G271"/>
    <mergeCell ref="H267:H271"/>
    <mergeCell ref="I267:I271"/>
    <mergeCell ref="G277:G281"/>
    <mergeCell ref="H277:H281"/>
    <mergeCell ref="E272:E276"/>
    <mergeCell ref="F272:F276"/>
    <mergeCell ref="G272:G276"/>
    <mergeCell ref="H272:H276"/>
    <mergeCell ref="I272:I276"/>
    <mergeCell ref="F277:F281"/>
    <mergeCell ref="I277:I281"/>
    <mergeCell ref="H288:H292"/>
    <mergeCell ref="I288:I292"/>
    <mergeCell ref="E277:E281"/>
    <mergeCell ref="E282:E286"/>
    <mergeCell ref="F282:F286"/>
    <mergeCell ref="G282:G286"/>
    <mergeCell ref="H282:H286"/>
    <mergeCell ref="I282:I286"/>
    <mergeCell ref="E288:E292"/>
    <mergeCell ref="AF39:AF43"/>
    <mergeCell ref="AF44:AF72"/>
    <mergeCell ref="AF73:AF77"/>
    <mergeCell ref="L14:L18"/>
    <mergeCell ref="M14:M18"/>
    <mergeCell ref="AF14:AF18"/>
    <mergeCell ref="AF19:AF23"/>
    <mergeCell ref="AF24:AF28"/>
    <mergeCell ref="AF29:AF33"/>
    <mergeCell ref="AF34:AF38"/>
    <mergeCell ref="D19:D23"/>
    <mergeCell ref="C24:C28"/>
    <mergeCell ref="D24:D28"/>
    <mergeCell ref="C29:C33"/>
    <mergeCell ref="D29:D33"/>
    <mergeCell ref="C39:C43"/>
    <mergeCell ref="D39:D43"/>
    <mergeCell ref="C44:C72"/>
    <mergeCell ref="D44:D72"/>
    <mergeCell ref="E44:E72"/>
    <mergeCell ref="F44:F72"/>
    <mergeCell ref="G44:G72"/>
    <mergeCell ref="H44:H72"/>
    <mergeCell ref="I44:I72"/>
    <mergeCell ref="Q44:Q72"/>
    <mergeCell ref="R44:R72"/>
    <mergeCell ref="J44:J72"/>
    <mergeCell ref="K44:K72"/>
    <mergeCell ref="L44:L72"/>
    <mergeCell ref="Q73:Q77"/>
    <mergeCell ref="R73:R77"/>
    <mergeCell ref="J73:J77"/>
    <mergeCell ref="R78:R82"/>
    <mergeCell ref="AF78:AF82"/>
    <mergeCell ref="AF83:AF87"/>
    <mergeCell ref="E83:E87"/>
    <mergeCell ref="F83:F87"/>
    <mergeCell ref="G83:G87"/>
    <mergeCell ref="H83:H87"/>
    <mergeCell ref="I83:I87"/>
    <mergeCell ref="J83:J87"/>
    <mergeCell ref="K83:K87"/>
    <mergeCell ref="Q98:Q102"/>
    <mergeCell ref="R98:R102"/>
    <mergeCell ref="AF98:AF102"/>
    <mergeCell ref="E98:E102"/>
    <mergeCell ref="F98:F102"/>
    <mergeCell ref="G98:G102"/>
    <mergeCell ref="H98:H102"/>
    <mergeCell ref="I98:I102"/>
    <mergeCell ref="J98:J102"/>
    <mergeCell ref="K98:K102"/>
    <mergeCell ref="AF88:AF92"/>
    <mergeCell ref="E88:E92"/>
    <mergeCell ref="F88:F92"/>
    <mergeCell ref="G88:G92"/>
    <mergeCell ref="H88:H92"/>
    <mergeCell ref="I88:I92"/>
    <mergeCell ref="J88:J92"/>
    <mergeCell ref="K88:K92"/>
    <mergeCell ref="AF93:AF97"/>
    <mergeCell ref="C78:C82"/>
    <mergeCell ref="D78:D82"/>
    <mergeCell ref="C83:C87"/>
    <mergeCell ref="D83:D87"/>
    <mergeCell ref="C88:C92"/>
    <mergeCell ref="D88:D92"/>
    <mergeCell ref="C93:C97"/>
    <mergeCell ref="D93:D97"/>
    <mergeCell ref="C98:C102"/>
    <mergeCell ref="D98:D102"/>
    <mergeCell ref="C103:C107"/>
    <mergeCell ref="D103:D107"/>
    <mergeCell ref="C108:C112"/>
    <mergeCell ref="D108:D112"/>
    <mergeCell ref="E108:E112"/>
    <mergeCell ref="F108:F112"/>
    <mergeCell ref="G108:G112"/>
    <mergeCell ref="E78:E82"/>
    <mergeCell ref="F78:F82"/>
    <mergeCell ref="G78:G82"/>
    <mergeCell ref="N118:N122"/>
    <mergeCell ref="P118:P122"/>
    <mergeCell ref="Q118:Q122"/>
    <mergeCell ref="AF118:AF122"/>
    <mergeCell ref="AC123:AF123"/>
    <mergeCell ref="F118:F122"/>
    <mergeCell ref="G118:G122"/>
    <mergeCell ref="H118:H122"/>
    <mergeCell ref="I118:I122"/>
    <mergeCell ref="J118:J122"/>
    <mergeCell ref="K118:K122"/>
    <mergeCell ref="R124:R128"/>
    <mergeCell ref="AF124:AF128"/>
    <mergeCell ref="K124:K128"/>
    <mergeCell ref="L124:L128"/>
    <mergeCell ref="M124:M128"/>
    <mergeCell ref="N124:N128"/>
    <mergeCell ref="O124:O128"/>
    <mergeCell ref="P124:P128"/>
    <mergeCell ref="Q124:Q128"/>
    <mergeCell ref="H262:H266"/>
    <mergeCell ref="I262:I266"/>
    <mergeCell ref="J262:J266"/>
    <mergeCell ref="K262:K266"/>
    <mergeCell ref="L262:L266"/>
    <mergeCell ref="M262:M266"/>
    <mergeCell ref="N262:N266"/>
    <mergeCell ref="J211:J215"/>
    <mergeCell ref="Q211:Q215"/>
    <mergeCell ref="R211:R215"/>
    <mergeCell ref="I257:I261"/>
    <mergeCell ref="E262:E266"/>
    <mergeCell ref="AF103:AF107"/>
    <mergeCell ref="AF108:AF112"/>
    <mergeCell ref="AF113:AF117"/>
    <mergeCell ref="L103:L107"/>
    <mergeCell ref="M103:M107"/>
    <mergeCell ref="R103:R107"/>
    <mergeCell ref="H103:H107"/>
    <mergeCell ref="I103:I107"/>
    <mergeCell ref="J103:J107"/>
    <mergeCell ref="E118:E122"/>
    <mergeCell ref="E124:E128"/>
    <mergeCell ref="F124:F128"/>
    <mergeCell ref="G124:G128"/>
    <mergeCell ref="H124:H128"/>
    <mergeCell ref="I124:I128"/>
    <mergeCell ref="J124:J128"/>
    <mergeCell ref="R118:R122"/>
    <mergeCell ref="S123:Z123"/>
    <mergeCell ref="L118:L122"/>
    <mergeCell ref="M118:M122"/>
    <mergeCell ref="G206:G210"/>
    <mergeCell ref="H206:H210"/>
    <mergeCell ref="I206:I210"/>
    <mergeCell ref="E211:E215"/>
    <mergeCell ref="G242:G246"/>
    <mergeCell ref="H242:H246"/>
    <mergeCell ref="I242:I246"/>
    <mergeCell ref="G252:G256"/>
    <mergeCell ref="H252:H256"/>
    <mergeCell ref="I201:I205"/>
    <mergeCell ref="F191:F195"/>
    <mergeCell ref="G191:G195"/>
    <mergeCell ref="E196:E200"/>
    <mergeCell ref="F196:F200"/>
    <mergeCell ref="G196:G200"/>
    <mergeCell ref="F201:F205"/>
    <mergeCell ref="G201:G205"/>
    <mergeCell ref="H211:H215"/>
    <mergeCell ref="I211:I215"/>
    <mergeCell ref="E201:E205"/>
    <mergeCell ref="E206:E210"/>
    <mergeCell ref="F206:F210"/>
    <mergeCell ref="E191:E195"/>
    <mergeCell ref="F211:F215"/>
    <mergeCell ref="G226:G230"/>
    <mergeCell ref="H226:H230"/>
    <mergeCell ref="E221:E225"/>
    <mergeCell ref="F221:F225"/>
    <mergeCell ref="G221:G225"/>
    <mergeCell ref="H221:H225"/>
    <mergeCell ref="I221:I225"/>
    <mergeCell ref="F226:F230"/>
    <mergeCell ref="J272:J276"/>
    <mergeCell ref="K231:K235"/>
    <mergeCell ref="J247:J251"/>
    <mergeCell ref="K247:K251"/>
    <mergeCell ref="L247:L251"/>
    <mergeCell ref="M247:M251"/>
    <mergeCell ref="J216:J220"/>
    <mergeCell ref="J242:J246"/>
    <mergeCell ref="K242:K246"/>
    <mergeCell ref="L242:L246"/>
    <mergeCell ref="M242:M246"/>
    <mergeCell ref="J236:J240"/>
    <mergeCell ref="K236:K240"/>
    <mergeCell ref="L236:L240"/>
    <mergeCell ref="M236:M240"/>
    <mergeCell ref="J226:J230"/>
    <mergeCell ref="Q267:Q271"/>
    <mergeCell ref="J267:J271"/>
    <mergeCell ref="K267:K271"/>
    <mergeCell ref="L267:L271"/>
    <mergeCell ref="M267:M271"/>
    <mergeCell ref="N267:N271"/>
    <mergeCell ref="O267:O271"/>
    <mergeCell ref="P267:P271"/>
    <mergeCell ref="J252:J256"/>
    <mergeCell ref="K252:K256"/>
    <mergeCell ref="L252:L256"/>
    <mergeCell ref="M252:M256"/>
    <mergeCell ref="J257:J261"/>
    <mergeCell ref="K257:K261"/>
    <mergeCell ref="L257:L261"/>
    <mergeCell ref="M257:M261"/>
    <mergeCell ref="Q293:Q317"/>
    <mergeCell ref="R293:R317"/>
    <mergeCell ref="P236:P240"/>
    <mergeCell ref="Q247:Q251"/>
    <mergeCell ref="R247:R251"/>
    <mergeCell ref="AF247:AF251"/>
    <mergeCell ref="AF288:AF292"/>
    <mergeCell ref="J288:J292"/>
    <mergeCell ref="K288:K292"/>
    <mergeCell ref="L288:L292"/>
    <mergeCell ref="M288:M292"/>
    <mergeCell ref="N288:N292"/>
    <mergeCell ref="O288:O292"/>
    <mergeCell ref="Q288:Q292"/>
    <mergeCell ref="S241:Z241"/>
    <mergeCell ref="AC241:AF241"/>
    <mergeCell ref="O262:O266"/>
    <mergeCell ref="P262:P266"/>
    <mergeCell ref="AF293:AF317"/>
    <mergeCell ref="K272:K276"/>
    <mergeCell ref="L272:L276"/>
    <mergeCell ref="M272:M276"/>
    <mergeCell ref="N272:N276"/>
    <mergeCell ref="O272:O276"/>
    <mergeCell ref="P272:P276"/>
    <mergeCell ref="Q262:Q266"/>
    <mergeCell ref="R262:R266"/>
    <mergeCell ref="Q272:Q276"/>
    <mergeCell ref="N293:N317"/>
    <mergeCell ref="O293:O317"/>
    <mergeCell ref="P293:P317"/>
    <mergeCell ref="J277:J281"/>
    <mergeCell ref="P360:P364"/>
    <mergeCell ref="Q360:Q364"/>
    <mergeCell ref="R360:R364"/>
    <mergeCell ref="E360:E364"/>
    <mergeCell ref="F360:F364"/>
    <mergeCell ref="G360:G364"/>
    <mergeCell ref="C344:C349"/>
    <mergeCell ref="D344:D349"/>
    <mergeCell ref="C350:C354"/>
    <mergeCell ref="D350:D354"/>
    <mergeCell ref="L344:L349"/>
    <mergeCell ref="M344:M349"/>
    <mergeCell ref="N344:N349"/>
    <mergeCell ref="O344:O349"/>
    <mergeCell ref="P344:P349"/>
    <mergeCell ref="Q344:Q349"/>
    <mergeCell ref="R344:R349"/>
    <mergeCell ref="E344:E349"/>
    <mergeCell ref="F344:F349"/>
    <mergeCell ref="G344:G349"/>
    <mergeCell ref="F355:F359"/>
    <mergeCell ref="G355:G359"/>
    <mergeCell ref="H355:H359"/>
    <mergeCell ref="I355:I359"/>
    <mergeCell ref="J355:J359"/>
    <mergeCell ref="K355:K359"/>
    <mergeCell ref="L360:L364"/>
    <mergeCell ref="M360:M364"/>
    <mergeCell ref="R350:R354"/>
    <mergeCell ref="E350:E354"/>
    <mergeCell ref="D318:D322"/>
    <mergeCell ref="C323:C338"/>
    <mergeCell ref="AF318:AF322"/>
    <mergeCell ref="AF323:AF338"/>
    <mergeCell ref="AF339:AF343"/>
    <mergeCell ref="S380:Z380"/>
    <mergeCell ref="AC380:AF380"/>
    <mergeCell ref="AC381:AF381"/>
    <mergeCell ref="S382:AF382"/>
    <mergeCell ref="U384:Z384"/>
    <mergeCell ref="AF344:AF349"/>
    <mergeCell ref="AF350:AF354"/>
    <mergeCell ref="AF355:AF359"/>
    <mergeCell ref="AF360:AF364"/>
    <mergeCell ref="AF365:AF369"/>
    <mergeCell ref="AF370:AF374"/>
    <mergeCell ref="AF375:AF379"/>
    <mergeCell ref="E318:E322"/>
    <mergeCell ref="F318:F322"/>
    <mergeCell ref="G318:G322"/>
    <mergeCell ref="H318:H322"/>
    <mergeCell ref="D323:D338"/>
    <mergeCell ref="C339:C343"/>
    <mergeCell ref="E370:E374"/>
    <mergeCell ref="F370:F374"/>
    <mergeCell ref="G370:G374"/>
    <mergeCell ref="H370:H374"/>
    <mergeCell ref="I370:I374"/>
    <mergeCell ref="E365:E369"/>
    <mergeCell ref="E355:E359"/>
    <mergeCell ref="H360:H364"/>
    <mergeCell ref="I360:I364"/>
    <mergeCell ref="K277:K281"/>
    <mergeCell ref="L277:L281"/>
    <mergeCell ref="M277:M281"/>
    <mergeCell ref="N277:N281"/>
    <mergeCell ref="O277:O281"/>
    <mergeCell ref="P277:P281"/>
    <mergeCell ref="J282:J286"/>
    <mergeCell ref="K282:K286"/>
    <mergeCell ref="L282:L286"/>
    <mergeCell ref="M282:M286"/>
    <mergeCell ref="N282:N286"/>
    <mergeCell ref="O350:O354"/>
    <mergeCell ref="P350:P354"/>
    <mergeCell ref="Q350:Q354"/>
    <mergeCell ref="N323:N338"/>
    <mergeCell ref="O323:O338"/>
    <mergeCell ref="U435:W435"/>
    <mergeCell ref="R370:R374"/>
    <mergeCell ref="J370:J374"/>
    <mergeCell ref="K370:K374"/>
    <mergeCell ref="P365:P369"/>
    <mergeCell ref="Q365:Q369"/>
    <mergeCell ref="R365:R369"/>
    <mergeCell ref="L355:L359"/>
    <mergeCell ref="M355:M359"/>
    <mergeCell ref="N355:N359"/>
    <mergeCell ref="O355:O359"/>
    <mergeCell ref="P355:P359"/>
    <mergeCell ref="Q355:Q359"/>
    <mergeCell ref="R355:R359"/>
    <mergeCell ref="J360:J364"/>
    <mergeCell ref="K360:K364"/>
    <mergeCell ref="U436:V436"/>
    <mergeCell ref="U437:V437"/>
    <mergeCell ref="U438:V438"/>
    <mergeCell ref="U439:V439"/>
    <mergeCell ref="U440:V440"/>
    <mergeCell ref="U441:W441"/>
    <mergeCell ref="U449:V449"/>
    <mergeCell ref="U450:V450"/>
    <mergeCell ref="U442:V442"/>
    <mergeCell ref="U443:V443"/>
    <mergeCell ref="U444:V444"/>
    <mergeCell ref="U445:V445"/>
    <mergeCell ref="U446:V446"/>
    <mergeCell ref="U447:V447"/>
    <mergeCell ref="U448:V448"/>
    <mergeCell ref="E247:E251"/>
    <mergeCell ref="F247:F251"/>
    <mergeCell ref="G247:G251"/>
    <mergeCell ref="H247:H251"/>
    <mergeCell ref="I247:I251"/>
    <mergeCell ref="F252:F256"/>
    <mergeCell ref="I252:I256"/>
    <mergeCell ref="E252:E256"/>
    <mergeCell ref="E257:E261"/>
    <mergeCell ref="F257:F261"/>
    <mergeCell ref="G257:G261"/>
    <mergeCell ref="H257:H261"/>
    <mergeCell ref="J293:J317"/>
    <mergeCell ref="K293:K317"/>
    <mergeCell ref="L293:L317"/>
    <mergeCell ref="M293:M317"/>
    <mergeCell ref="Q370:Q374"/>
    <mergeCell ref="B124:B185"/>
    <mergeCell ref="C124:C128"/>
    <mergeCell ref="C129:C133"/>
    <mergeCell ref="C134:C138"/>
    <mergeCell ref="C139:C144"/>
    <mergeCell ref="C145:C149"/>
    <mergeCell ref="C150:C154"/>
    <mergeCell ref="D242:D246"/>
    <mergeCell ref="D247:D251"/>
    <mergeCell ref="D252:D256"/>
    <mergeCell ref="D257:D261"/>
    <mergeCell ref="D262:D266"/>
    <mergeCell ref="D267:D271"/>
    <mergeCell ref="C272:C276"/>
    <mergeCell ref="C277:C281"/>
    <mergeCell ref="B242:B287"/>
    <mergeCell ref="C242:C246"/>
    <mergeCell ref="C247:C251"/>
    <mergeCell ref="C252:C256"/>
    <mergeCell ref="C257:C261"/>
    <mergeCell ref="C262:C266"/>
    <mergeCell ref="C267:C271"/>
    <mergeCell ref="C282:C286"/>
    <mergeCell ref="D272:D276"/>
    <mergeCell ref="D277:D281"/>
    <mergeCell ref="D206:D210"/>
    <mergeCell ref="C211:C215"/>
    <mergeCell ref="D211:D215"/>
    <mergeCell ref="C216:C220"/>
    <mergeCell ref="D216:D220"/>
    <mergeCell ref="B9:B123"/>
    <mergeCell ref="B288:B380"/>
    <mergeCell ref="C355:C359"/>
    <mergeCell ref="D355:D359"/>
    <mergeCell ref="C360:C364"/>
    <mergeCell ref="D360:D364"/>
    <mergeCell ref="C365:C369"/>
    <mergeCell ref="D365:D369"/>
    <mergeCell ref="C370:C374"/>
    <mergeCell ref="D370:D374"/>
    <mergeCell ref="C375:C379"/>
    <mergeCell ref="D375:D379"/>
    <mergeCell ref="C9:C13"/>
    <mergeCell ref="D9:D13"/>
    <mergeCell ref="D14:D18"/>
    <mergeCell ref="D282:D286"/>
    <mergeCell ref="C288:C292"/>
    <mergeCell ref="D288:D292"/>
    <mergeCell ref="C293:C317"/>
    <mergeCell ref="D293:D317"/>
    <mergeCell ref="C318:C322"/>
    <mergeCell ref="C160:C164"/>
    <mergeCell ref="D226:D230"/>
    <mergeCell ref="D231:D235"/>
    <mergeCell ref="D236:D240"/>
    <mergeCell ref="B186:B241"/>
    <mergeCell ref="C186:C190"/>
    <mergeCell ref="C226:C230"/>
    <mergeCell ref="D339:D343"/>
    <mergeCell ref="C231:C235"/>
    <mergeCell ref="C236:C240"/>
    <mergeCell ref="C155:C159"/>
    <mergeCell ref="Q318:Q322"/>
    <mergeCell ref="H344:H349"/>
    <mergeCell ref="I344:I349"/>
    <mergeCell ref="J344:J349"/>
    <mergeCell ref="K344:K349"/>
    <mergeCell ref="L350:L354"/>
    <mergeCell ref="M350:M354"/>
    <mergeCell ref="N350:N354"/>
    <mergeCell ref="I339:I343"/>
    <mergeCell ref="J339:J343"/>
    <mergeCell ref="K339:K343"/>
    <mergeCell ref="P323:P338"/>
    <mergeCell ref="Q323:Q338"/>
    <mergeCell ref="N339:N343"/>
    <mergeCell ref="O339:O343"/>
    <mergeCell ref="P339:P343"/>
    <mergeCell ref="Q339:Q343"/>
    <mergeCell ref="O365:O369"/>
    <mergeCell ref="N370:N374"/>
    <mergeCell ref="O370:O374"/>
    <mergeCell ref="P370:P374"/>
    <mergeCell ref="F365:F369"/>
    <mergeCell ref="G365:G369"/>
    <mergeCell ref="H365:H369"/>
    <mergeCell ref="I365:I369"/>
    <mergeCell ref="J365:J369"/>
    <mergeCell ref="K365:K369"/>
    <mergeCell ref="L370:L374"/>
    <mergeCell ref="M370:M374"/>
    <mergeCell ref="I318:I322"/>
    <mergeCell ref="J318:J322"/>
    <mergeCell ref="K318:K322"/>
    <mergeCell ref="L323:L338"/>
    <mergeCell ref="M323:M338"/>
    <mergeCell ref="L339:L343"/>
    <mergeCell ref="M339:M343"/>
    <mergeCell ref="F350:F354"/>
    <mergeCell ref="G350:G354"/>
    <mergeCell ref="H350:H354"/>
    <mergeCell ref="I350:I354"/>
    <mergeCell ref="J350:J354"/>
    <mergeCell ref="K350:K354"/>
    <mergeCell ref="L318:L322"/>
    <mergeCell ref="M318:M322"/>
    <mergeCell ref="N318:N322"/>
    <mergeCell ref="O318:O322"/>
    <mergeCell ref="P318:P322"/>
    <mergeCell ref="N360:N364"/>
    <mergeCell ref="O360:O364"/>
    <mergeCell ref="P7:P8"/>
    <mergeCell ref="Q7:Q8"/>
    <mergeCell ref="R7:R8"/>
    <mergeCell ref="S7:Y7"/>
    <mergeCell ref="Z7:AB7"/>
    <mergeCell ref="AC7:AE7"/>
    <mergeCell ref="AF7:AF8"/>
    <mergeCell ref="R339:R343"/>
    <mergeCell ref="E339:E343"/>
    <mergeCell ref="C34:C38"/>
    <mergeCell ref="D34:D38"/>
    <mergeCell ref="E34:E38"/>
    <mergeCell ref="F34:F38"/>
    <mergeCell ref="G34:G38"/>
    <mergeCell ref="H34:H38"/>
    <mergeCell ref="L375:L379"/>
    <mergeCell ref="M375:M379"/>
    <mergeCell ref="N375:N379"/>
    <mergeCell ref="O375:O379"/>
    <mergeCell ref="P375:P379"/>
    <mergeCell ref="Q375:Q379"/>
    <mergeCell ref="R375:R379"/>
    <mergeCell ref="E375:E379"/>
    <mergeCell ref="F375:F379"/>
    <mergeCell ref="G375:G379"/>
    <mergeCell ref="H375:H379"/>
    <mergeCell ref="I375:I379"/>
    <mergeCell ref="J375:J379"/>
    <mergeCell ref="K375:K379"/>
    <mergeCell ref="L365:L369"/>
    <mergeCell ref="M365:M369"/>
    <mergeCell ref="N365:N369"/>
    <mergeCell ref="R34:R38"/>
    <mergeCell ref="R288:R292"/>
    <mergeCell ref="P288:P292"/>
    <mergeCell ref="R318:R322"/>
    <mergeCell ref="R323:R338"/>
    <mergeCell ref="E323:E338"/>
    <mergeCell ref="F323:F338"/>
    <mergeCell ref="G323:G338"/>
    <mergeCell ref="H323:H338"/>
    <mergeCell ref="I323:I338"/>
    <mergeCell ref="J323:J338"/>
    <mergeCell ref="K323:K338"/>
    <mergeCell ref="F339:F343"/>
    <mergeCell ref="G339:G343"/>
    <mergeCell ref="H339:H343"/>
    <mergeCell ref="S381:Z381"/>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s>
  <dataValidations count="3">
    <dataValidation type="list" allowBlank="1" showErrorMessage="1" sqref="F9 F14 F19 F24 F29 F39 F44 F73 F78 F83 F88 F93 F98 F103 F108 F113 F118 F124 F129 F134 F139 F145 F150 F155 F160 F165 F170 F175 F180 F186 F191 F196 F201 F206 F211 F216 F221 F226 F231 F236 F242 F247 F252 F257 F262 F272 F277 F282 F288 F293 F318 F323 F339 F344 F350 F355 F360 F365 F370 F375 F34">
      <formula1>INDIRECT($E9)</formula1>
    </dataValidation>
    <dataValidation type="list" allowBlank="1" showErrorMessage="1" sqref="E9 E14 E19 E24 E29 E39 E44 E73 E78 E83 E88 E93 E98 E103 E108 E113 E118 E124 E129 E134 E139 E145 E150 E155 E160 E165 E170 E175 E180 E186 E191 E196 E201 E206 E211 E216 E221 E226 E231 E236 E242 E247 E252 E257 E262 E267 E272 E277 E282 E288 E293 E318 E323 E339 E344 E350 E355 E360 E365 E370 E375 E34">
      <formula1>INDIRECT($G9)</formula1>
    </dataValidation>
    <dataValidation type="decimal" allowBlank="1" showInputMessage="1" showErrorMessage="1" prompt="DPLAN - Sólo debe ingresar valores, NO porcentajes." sqref="M19:O19 M24:O24 M29:O29 M34:O34 M44:O44 M73:O73 M83:O83 M88:O88 M93:O93 M98:O98 M103:O103 M108:O108 M113:O113 M118:O118 M129 O129 M134 O134 M139 O139 M145 O145 M155 O155 M160 O160 M165 O165 M170 O170 M175 O175 M180 O180 M191:O191 M196:O196 M201:O201 M206:O206 M216:O216 M221:O221 M226:O226 M231:O231 M236:O236 M247:O247 M252:O252 M257:O257 M262:O262 M272:O272 M277:O277 M282:O282 M288:O288 M293:O293 M318:O318 M323:O323 M339:O339 M350:O350 M355:O355 M360:O360 M365:O365 M370:O370 M375:O375">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&amp;"Cambria,Cursiva"&amp;12&amp;K0070C0Administración Central&amp;C&amp;"Century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C14:D14 C19:D19 C24:D24 C29:D29 C34:D34 C39:D39 C44:D44 C73:D73 C78:D78 C83:D83 C88:D88 C93:D93 C98:D98 C103:D103 C108:D108 C113:D113 C118:D118 C186:D186 C191:D191 C196:D196 C201:D201 C206:D206 C211:D211 C216:D216 C221:D221 C226:D226 C231:D231 C236:D236 C242:D242 C247:D247 C252:D252 C257:D257 C262:D262 C267:D267 C272:D272 C277:D277 C282:D282 C288:D288 C293:D293 C318:D318 C323:D323 C339:D339 C344:D344 C350:D350 C355:D355 C360:D360 C365:D365 C370:D370 C375:D375</xm:sqref>
        </x14:dataValidation>
        <x14:dataValidation type="list" allowBlank="1" showErrorMessage="1">
          <x14:formula1>
            <xm:f>(PEDI!#REF!)</xm:f>
          </x14:formula1>
          <xm:sqref>H9 H14 H19 H24 H29 H34 H39 H44 H73 H78 H83 H88 H93 H98 H103 H108 H113 H118 H186 H191 H196 H201 H206 H211 H216 H221 H226 H231 H236 H242 H247 H252 H257 H262 H267 H272 H277 H282 H288 H293 H318 H323 H339 H344 H350 H355 H360 H365 H370 H375</xm:sqref>
        </x14:dataValidation>
        <x14:dataValidation type="list" allowBlank="1" showErrorMessage="1">
          <x14:formula1>
            <xm:f>PEDI!#REF!</xm:f>
          </x14:formula1>
          <xm:sqref>G9 G14 G19 G24 G29 G34 G39 G44 G73 G78 G83 G88 G93 G98 G103 G108 G113 G118 G186 G191 G196 G201 G206 G211 G216 G221 G226 G231 G236 G242 G247 G252 G257 G262 G272 G277 G282 G288 G293 G318 G323 G339 G344 G350 G355 G360 G365 G370 G375 F267:G267</xm:sqref>
        </x14:dataValidation>
        <x14:dataValidation type="list" allowBlank="1" showErrorMessage="1">
          <x14:formula1>
            <xm:f>INDIRECT('Estrategias DAFO'!#REF!)</xm:f>
          </x14:formula1>
          <xm:sqref>I9 I14 I19 I24 I29 I34 I39 I44 I73 I78 I83 I88 I93 I98 I103 I108 I113 I118 I186 I191 I196 I201 I206 I211 I216 I221 I226 I231 I236 I242 I247 I252 I257 I262 I267 I272 I277 I282 I288 I293 I318 I323 I339 I344 I350 I355 I360 I365 I370 I375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F124"/>
  <sheetViews>
    <sheetView showGridLines="0" topLeftCell="R89" zoomScaleNormal="100" workbookViewId="0">
      <selection activeCell="Z112" sqref="Z112"/>
    </sheetView>
  </sheetViews>
  <sheetFormatPr baseColWidth="10" defaultColWidth="12.5703125" defaultRowHeight="15.75" customHeight="1"/>
  <cols>
    <col min="1" max="2" width="5" customWidth="1"/>
    <col min="3" max="7" width="22.42578125" customWidth="1"/>
    <col min="8" max="8" width="20.7109375" customWidth="1"/>
    <col min="9" max="9" width="17.7109375" customWidth="1"/>
    <col min="10" max="10" width="26.42578125" customWidth="1"/>
    <col min="11" max="12" width="22.42578125" customWidth="1"/>
    <col min="13" max="15" width="8.7109375" customWidth="1"/>
    <col min="16" max="16" width="35.42578125" customWidth="1"/>
    <col min="17" max="17" width="22.42578125" customWidth="1"/>
    <col min="18" max="18" width="24.5703125" customWidth="1"/>
    <col min="19" max="19" width="25.5703125" customWidth="1"/>
    <col min="20" max="20" width="16.42578125" customWidth="1"/>
    <col min="21" max="21" width="24" customWidth="1"/>
    <col min="22" max="22" width="47.42578125" customWidth="1"/>
    <col min="23" max="23" width="15.7109375" customWidth="1"/>
    <col min="24" max="24" width="12.7109375" customWidth="1"/>
    <col min="25" max="25" width="12" customWidth="1"/>
    <col min="26" max="26" width="14.42578125" customWidth="1"/>
    <col min="27" max="27" width="17" customWidth="1"/>
    <col min="28" max="28" width="14.85546875" customWidth="1"/>
    <col min="29" max="31" width="7.7109375" customWidth="1"/>
    <col min="32" max="32" width="19.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254" t="s">
        <v>198</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8.75" customHeight="1" thickBot="1">
      <c r="A5" s="148"/>
      <c r="B5" s="1575"/>
      <c r="C5" s="1575"/>
      <c r="D5" s="1575"/>
      <c r="E5" s="1575"/>
      <c r="F5" s="1575"/>
      <c r="G5" s="1575"/>
      <c r="H5" s="1575"/>
      <c r="I5" s="1575"/>
      <c r="J5" s="1575"/>
      <c r="K5" s="1575"/>
      <c r="L5" s="1575"/>
      <c r="M5" s="1575"/>
      <c r="N5" s="1575"/>
      <c r="O5" s="1575"/>
      <c r="P5" s="1575"/>
      <c r="Q5" s="1575"/>
      <c r="R5" s="1575"/>
      <c r="S5" s="1575"/>
      <c r="T5" s="1575"/>
      <c r="U5" s="2000"/>
      <c r="V5" s="1575"/>
      <c r="W5" s="1575"/>
      <c r="X5" s="1575"/>
      <c r="Y5" s="1575"/>
      <c r="Z5" s="1575"/>
      <c r="AA5" s="1575"/>
      <c r="AB5" s="1575"/>
      <c r="AC5" s="1575"/>
      <c r="AD5" s="1575"/>
      <c r="AE5" s="1575"/>
      <c r="AF5" s="1575"/>
    </row>
    <row r="6" spans="1:32" s="1747" customFormat="1" ht="24.95" customHeight="1" thickTop="1">
      <c r="A6" s="4158" t="s">
        <v>200</v>
      </c>
      <c r="B6" s="4159"/>
      <c r="C6" s="4164" t="s">
        <v>201</v>
      </c>
      <c r="D6" s="4165"/>
      <c r="E6" s="4166" t="s">
        <v>202</v>
      </c>
      <c r="F6" s="4167"/>
      <c r="G6" s="4167"/>
      <c r="H6" s="4167"/>
      <c r="I6" s="4168"/>
      <c r="J6" s="4169" t="s">
        <v>203</v>
      </c>
      <c r="K6" s="4170"/>
      <c r="L6" s="4170"/>
      <c r="M6" s="4170"/>
      <c r="N6" s="4170"/>
      <c r="O6" s="4170"/>
      <c r="P6" s="4170"/>
      <c r="Q6" s="4170"/>
      <c r="R6" s="4171"/>
      <c r="S6" s="4172" t="s">
        <v>204</v>
      </c>
      <c r="T6" s="4173"/>
      <c r="U6" s="4173"/>
      <c r="V6" s="4173"/>
      <c r="W6" s="4173"/>
      <c r="X6" s="4173"/>
      <c r="Y6" s="4173"/>
      <c r="Z6" s="4173"/>
      <c r="AA6" s="4173"/>
      <c r="AB6" s="4173"/>
      <c r="AC6" s="4173"/>
      <c r="AD6" s="4173"/>
      <c r="AE6" s="4173"/>
      <c r="AF6" s="4174"/>
    </row>
    <row r="7" spans="1:32" s="1747" customFormat="1" ht="39.950000000000003" customHeight="1">
      <c r="A7" s="416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196" t="s">
        <v>222</v>
      </c>
    </row>
    <row r="8" spans="1:32" s="1747" customFormat="1" ht="51.95" customHeight="1" thickBot="1">
      <c r="A8" s="4162"/>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197"/>
    </row>
    <row r="9" spans="1:32" ht="38.25" customHeight="1">
      <c r="A9" s="4263" t="s">
        <v>198</v>
      </c>
      <c r="B9" s="4264"/>
      <c r="C9" s="4243" t="s">
        <v>235</v>
      </c>
      <c r="D9" s="4244" t="s">
        <v>236</v>
      </c>
      <c r="E9" s="4244" t="s">
        <v>237</v>
      </c>
      <c r="F9" s="4244" t="s">
        <v>238</v>
      </c>
      <c r="G9" s="4245" t="s">
        <v>239</v>
      </c>
      <c r="H9" s="4244" t="s">
        <v>240</v>
      </c>
      <c r="I9" s="4244" t="s">
        <v>241</v>
      </c>
      <c r="J9" s="4261" t="s">
        <v>3711</v>
      </c>
      <c r="K9" s="4244" t="s">
        <v>242</v>
      </c>
      <c r="L9" s="4244" t="s">
        <v>243</v>
      </c>
      <c r="M9" s="4262">
        <v>0</v>
      </c>
      <c r="N9" s="4262">
        <v>0.2</v>
      </c>
      <c r="O9" s="4262">
        <v>0.75</v>
      </c>
      <c r="P9" s="4256" t="s">
        <v>3634</v>
      </c>
      <c r="Q9" s="4256" t="s">
        <v>3665</v>
      </c>
      <c r="R9" s="4257" t="s">
        <v>3873</v>
      </c>
      <c r="S9" s="1495"/>
      <c r="T9" s="1506"/>
      <c r="U9" s="104"/>
      <c r="V9" s="1520"/>
      <c r="W9" s="1533"/>
      <c r="X9" s="105"/>
      <c r="Y9" s="1544"/>
      <c r="Z9" s="1544"/>
      <c r="AA9" s="1544"/>
      <c r="AB9" s="1545"/>
      <c r="AC9" s="105"/>
      <c r="AD9" s="106"/>
      <c r="AE9" s="106"/>
      <c r="AF9" s="4259"/>
    </row>
    <row r="10" spans="1:32" ht="38.25" customHeight="1">
      <c r="A10" s="4265"/>
      <c r="B10" s="4266"/>
      <c r="C10" s="4241"/>
      <c r="D10" s="4215"/>
      <c r="E10" s="4215"/>
      <c r="F10" s="4215"/>
      <c r="G10" s="4215"/>
      <c r="H10" s="4215"/>
      <c r="I10" s="4215"/>
      <c r="J10" s="4215"/>
      <c r="K10" s="4215"/>
      <c r="L10" s="4215"/>
      <c r="M10" s="4226"/>
      <c r="N10" s="4226"/>
      <c r="O10" s="4226"/>
      <c r="P10" s="4215"/>
      <c r="Q10" s="4215"/>
      <c r="R10" s="4233"/>
      <c r="S10" s="1496"/>
      <c r="T10" s="1507"/>
      <c r="U10" s="107"/>
      <c r="V10" s="1521"/>
      <c r="W10" s="1534"/>
      <c r="X10" s="108"/>
      <c r="Y10" s="1546"/>
      <c r="Z10" s="1546"/>
      <c r="AA10" s="1546"/>
      <c r="AB10" s="1547"/>
      <c r="AC10" s="108"/>
      <c r="AD10" s="107"/>
      <c r="AE10" s="107"/>
      <c r="AF10" s="4230"/>
    </row>
    <row r="11" spans="1:32" ht="38.25" customHeight="1">
      <c r="A11" s="4265"/>
      <c r="B11" s="4266"/>
      <c r="C11" s="4241"/>
      <c r="D11" s="4215"/>
      <c r="E11" s="4215"/>
      <c r="F11" s="4215"/>
      <c r="G11" s="4215"/>
      <c r="H11" s="4215"/>
      <c r="I11" s="4215"/>
      <c r="J11" s="4215"/>
      <c r="K11" s="4215"/>
      <c r="L11" s="4215"/>
      <c r="M11" s="4226"/>
      <c r="N11" s="4226"/>
      <c r="O11" s="4226"/>
      <c r="P11" s="4215"/>
      <c r="Q11" s="4215"/>
      <c r="R11" s="4233"/>
      <c r="S11" s="1496"/>
      <c r="T11" s="1507"/>
      <c r="U11" s="107"/>
      <c r="V11" s="1521"/>
      <c r="W11" s="1534"/>
      <c r="X11" s="108"/>
      <c r="Y11" s="1546"/>
      <c r="Z11" s="1546"/>
      <c r="AA11" s="1546"/>
      <c r="AB11" s="1547"/>
      <c r="AC11" s="108"/>
      <c r="AD11" s="107"/>
      <c r="AE11" s="107"/>
      <c r="AF11" s="4230"/>
    </row>
    <row r="12" spans="1:32" ht="38.25" customHeight="1">
      <c r="A12" s="4265"/>
      <c r="B12" s="4266"/>
      <c r="C12" s="4241"/>
      <c r="D12" s="4215"/>
      <c r="E12" s="4215"/>
      <c r="F12" s="4215"/>
      <c r="G12" s="4215"/>
      <c r="H12" s="4215"/>
      <c r="I12" s="4215"/>
      <c r="J12" s="4215"/>
      <c r="K12" s="4215"/>
      <c r="L12" s="4215"/>
      <c r="M12" s="4226"/>
      <c r="N12" s="4226"/>
      <c r="O12" s="4226"/>
      <c r="P12" s="4215"/>
      <c r="Q12" s="4215"/>
      <c r="R12" s="4233"/>
      <c r="S12" s="1497"/>
      <c r="T12" s="1508"/>
      <c r="U12" s="109"/>
      <c r="V12" s="1521"/>
      <c r="W12" s="1534"/>
      <c r="X12" s="108"/>
      <c r="Y12" s="1546"/>
      <c r="Z12" s="1546"/>
      <c r="AA12" s="1546"/>
      <c r="AB12" s="1547"/>
      <c r="AC12" s="108"/>
      <c r="AD12" s="107"/>
      <c r="AE12" s="107"/>
      <c r="AF12" s="4230"/>
    </row>
    <row r="13" spans="1:32" ht="38.25" customHeight="1">
      <c r="A13" s="4265"/>
      <c r="B13" s="4266"/>
      <c r="C13" s="4242"/>
      <c r="D13" s="4216"/>
      <c r="E13" s="4216"/>
      <c r="F13" s="4216"/>
      <c r="G13" s="4216"/>
      <c r="H13" s="4216"/>
      <c r="I13" s="4216"/>
      <c r="J13" s="4216"/>
      <c r="K13" s="4216"/>
      <c r="L13" s="4216"/>
      <c r="M13" s="4247"/>
      <c r="N13" s="4247"/>
      <c r="O13" s="4247"/>
      <c r="P13" s="4216"/>
      <c r="Q13" s="4216"/>
      <c r="R13" s="4258"/>
      <c r="S13" s="1498"/>
      <c r="T13" s="1509"/>
      <c r="U13" s="110"/>
      <c r="V13" s="1522"/>
      <c r="W13" s="1535"/>
      <c r="X13" s="111"/>
      <c r="Y13" s="1548"/>
      <c r="Z13" s="1548"/>
      <c r="AA13" s="1548"/>
      <c r="AB13" s="1549"/>
      <c r="AC13" s="111"/>
      <c r="AD13" s="110"/>
      <c r="AE13" s="110"/>
      <c r="AF13" s="4260"/>
    </row>
    <row r="14" spans="1:32" ht="52.5" customHeight="1">
      <c r="A14" s="4265"/>
      <c r="B14" s="4266"/>
      <c r="C14" s="4240" t="s">
        <v>235</v>
      </c>
      <c r="D14" s="4214" t="s">
        <v>236</v>
      </c>
      <c r="E14" s="4214" t="s">
        <v>244</v>
      </c>
      <c r="F14" s="4214" t="s">
        <v>245</v>
      </c>
      <c r="G14" s="4217" t="s">
        <v>239</v>
      </c>
      <c r="H14" s="4214" t="s">
        <v>240</v>
      </c>
      <c r="I14" s="4214" t="s">
        <v>241</v>
      </c>
      <c r="J14" s="4218" t="s">
        <v>3712</v>
      </c>
      <c r="K14" s="4214" t="s">
        <v>246</v>
      </c>
      <c r="L14" s="4214" t="s">
        <v>247</v>
      </c>
      <c r="M14" s="4249">
        <v>3</v>
      </c>
      <c r="N14" s="4249">
        <v>5</v>
      </c>
      <c r="O14" s="4249">
        <v>3</v>
      </c>
      <c r="P14" s="4228" t="s">
        <v>3635</v>
      </c>
      <c r="Q14" s="4228" t="s">
        <v>3664</v>
      </c>
      <c r="R14" s="4232" t="s">
        <v>3874</v>
      </c>
      <c r="S14" s="1788" t="s">
        <v>11</v>
      </c>
      <c r="T14" s="1789">
        <v>530704</v>
      </c>
      <c r="U14" s="1790"/>
      <c r="V14" s="1791" t="s">
        <v>19</v>
      </c>
      <c r="W14" s="1792"/>
      <c r="X14" s="1793"/>
      <c r="Y14" s="1794"/>
      <c r="Z14" s="1794"/>
      <c r="AA14" s="1794"/>
      <c r="AB14" s="1795">
        <f>SUM($AA$15)</f>
        <v>672.00000000000011</v>
      </c>
      <c r="AC14" s="1793"/>
      <c r="AD14" s="1793"/>
      <c r="AE14" s="1793"/>
      <c r="AF14" s="4269" t="s">
        <v>3678</v>
      </c>
    </row>
    <row r="15" spans="1:32" ht="52.5" customHeight="1">
      <c r="A15" s="4265"/>
      <c r="B15" s="4266"/>
      <c r="C15" s="4241"/>
      <c r="D15" s="4215"/>
      <c r="E15" s="4215"/>
      <c r="F15" s="4215"/>
      <c r="G15" s="4215"/>
      <c r="H15" s="4215"/>
      <c r="I15" s="4215"/>
      <c r="J15" s="4215"/>
      <c r="K15" s="4215"/>
      <c r="L15" s="4215"/>
      <c r="M15" s="4226"/>
      <c r="N15" s="4226"/>
      <c r="O15" s="4226"/>
      <c r="P15" s="4215"/>
      <c r="Q15" s="4215"/>
      <c r="R15" s="4233"/>
      <c r="S15" s="1796"/>
      <c r="T15" s="1797"/>
      <c r="U15" s="1798" t="s">
        <v>248</v>
      </c>
      <c r="V15" s="1799" t="s">
        <v>249</v>
      </c>
      <c r="W15" s="1800">
        <v>2</v>
      </c>
      <c r="X15" s="1801" t="s">
        <v>250</v>
      </c>
      <c r="Y15" s="1802">
        <v>300</v>
      </c>
      <c r="Z15" s="1802">
        <f>W15*Y15</f>
        <v>600</v>
      </c>
      <c r="AA15" s="1802">
        <f>Z15*1.12</f>
        <v>672.00000000000011</v>
      </c>
      <c r="AB15" s="1803"/>
      <c r="AC15" s="1801"/>
      <c r="AD15" s="1804" t="s">
        <v>251</v>
      </c>
      <c r="AE15" s="1804"/>
      <c r="AF15" s="4270"/>
    </row>
    <row r="16" spans="1:32" ht="52.5" customHeight="1">
      <c r="A16" s="4265"/>
      <c r="B16" s="4266"/>
      <c r="C16" s="4241"/>
      <c r="D16" s="4215"/>
      <c r="E16" s="4215"/>
      <c r="F16" s="4215"/>
      <c r="G16" s="4215"/>
      <c r="H16" s="4215"/>
      <c r="I16" s="4215"/>
      <c r="J16" s="4215"/>
      <c r="K16" s="4215"/>
      <c r="L16" s="4215"/>
      <c r="M16" s="4226"/>
      <c r="N16" s="4226"/>
      <c r="O16" s="4226"/>
      <c r="P16" s="4215"/>
      <c r="Q16" s="4215"/>
      <c r="R16" s="4233"/>
      <c r="S16" s="1805" t="s">
        <v>11</v>
      </c>
      <c r="T16" s="1806">
        <v>530402</v>
      </c>
      <c r="U16" s="1807"/>
      <c r="V16" s="1808" t="s">
        <v>252</v>
      </c>
      <c r="W16" s="1800"/>
      <c r="X16" s="1804"/>
      <c r="Y16" s="1802"/>
      <c r="Z16" s="1802"/>
      <c r="AA16" s="1802"/>
      <c r="AB16" s="1803">
        <f>SUM($AA$17)</f>
        <v>4393.87</v>
      </c>
      <c r="AC16" s="1804"/>
      <c r="AD16" s="1804"/>
      <c r="AE16" s="1809"/>
      <c r="AF16" s="4270"/>
    </row>
    <row r="17" spans="1:32" ht="52.5" customHeight="1">
      <c r="A17" s="4265"/>
      <c r="B17" s="4266"/>
      <c r="C17" s="4241"/>
      <c r="D17" s="4215"/>
      <c r="E17" s="4215"/>
      <c r="F17" s="4215"/>
      <c r="G17" s="4215"/>
      <c r="H17" s="4215"/>
      <c r="I17" s="4215"/>
      <c r="J17" s="4215"/>
      <c r="K17" s="4215"/>
      <c r="L17" s="4215"/>
      <c r="M17" s="4226"/>
      <c r="N17" s="4226"/>
      <c r="O17" s="4226"/>
      <c r="P17" s="4215"/>
      <c r="Q17" s="4215"/>
      <c r="R17" s="4233"/>
      <c r="S17" s="1796"/>
      <c r="T17" s="1797"/>
      <c r="U17" s="1798" t="s">
        <v>253</v>
      </c>
      <c r="V17" s="1799" t="s">
        <v>254</v>
      </c>
      <c r="W17" s="1800">
        <v>1</v>
      </c>
      <c r="X17" s="1801" t="s">
        <v>250</v>
      </c>
      <c r="Y17" s="1802">
        <f>4393.87/1.12</f>
        <v>3923.0982142857138</v>
      </c>
      <c r="Z17" s="1802">
        <f>W17*Y17</f>
        <v>3923.0982142857138</v>
      </c>
      <c r="AA17" s="1802">
        <f>Z17*1.12</f>
        <v>4393.87</v>
      </c>
      <c r="AB17" s="1803"/>
      <c r="AC17" s="1804"/>
      <c r="AD17" s="1801" t="s">
        <v>251</v>
      </c>
      <c r="AE17" s="1809"/>
      <c r="AF17" s="4270"/>
    </row>
    <row r="18" spans="1:32" ht="52.5" customHeight="1">
      <c r="A18" s="4265"/>
      <c r="B18" s="4266"/>
      <c r="C18" s="4242"/>
      <c r="D18" s="4216"/>
      <c r="E18" s="4216"/>
      <c r="F18" s="4216"/>
      <c r="G18" s="4216"/>
      <c r="H18" s="4216"/>
      <c r="I18" s="4216"/>
      <c r="J18" s="4216"/>
      <c r="K18" s="4216"/>
      <c r="L18" s="4216"/>
      <c r="M18" s="4247"/>
      <c r="N18" s="4247"/>
      <c r="O18" s="4247"/>
      <c r="P18" s="4216"/>
      <c r="Q18" s="4216"/>
      <c r="R18" s="4258"/>
      <c r="S18" s="1810"/>
      <c r="T18" s="1811"/>
      <c r="U18" s="1812"/>
      <c r="V18" s="1813"/>
      <c r="W18" s="1814"/>
      <c r="X18" s="1815"/>
      <c r="Y18" s="1816"/>
      <c r="Z18" s="1816"/>
      <c r="AA18" s="1816"/>
      <c r="AB18" s="1817"/>
      <c r="AC18" s="1815"/>
      <c r="AD18" s="1815"/>
      <c r="AE18" s="1812"/>
      <c r="AF18" s="4271"/>
    </row>
    <row r="19" spans="1:32" ht="30" customHeight="1">
      <c r="A19" s="4265"/>
      <c r="B19" s="4266"/>
      <c r="C19" s="4240" t="s">
        <v>235</v>
      </c>
      <c r="D19" s="4214" t="s">
        <v>236</v>
      </c>
      <c r="E19" s="4248" t="s">
        <v>237</v>
      </c>
      <c r="F19" s="4214" t="s">
        <v>255</v>
      </c>
      <c r="G19" s="4217" t="s">
        <v>239</v>
      </c>
      <c r="H19" s="4214" t="s">
        <v>256</v>
      </c>
      <c r="I19" s="4214" t="s">
        <v>257</v>
      </c>
      <c r="J19" s="4218" t="s">
        <v>3713</v>
      </c>
      <c r="K19" s="4214" t="s">
        <v>258</v>
      </c>
      <c r="L19" s="4214" t="s">
        <v>259</v>
      </c>
      <c r="M19" s="4246">
        <v>2</v>
      </c>
      <c r="N19" s="4246">
        <v>2</v>
      </c>
      <c r="O19" s="4246">
        <v>2</v>
      </c>
      <c r="P19" s="4228" t="s">
        <v>3636</v>
      </c>
      <c r="Q19" s="4228" t="s">
        <v>3663</v>
      </c>
      <c r="R19" s="4232" t="s">
        <v>3875</v>
      </c>
      <c r="S19" s="1500"/>
      <c r="T19" s="1510"/>
      <c r="U19" s="112"/>
      <c r="V19" s="1525"/>
      <c r="W19" s="1536"/>
      <c r="X19" s="113"/>
      <c r="Y19" s="1550"/>
      <c r="Z19" s="1550"/>
      <c r="AA19" s="1550"/>
      <c r="AB19" s="1551"/>
      <c r="AC19" s="113"/>
      <c r="AD19" s="114"/>
      <c r="AE19" s="114"/>
      <c r="AF19" s="4229"/>
    </row>
    <row r="20" spans="1:32" ht="30" customHeight="1">
      <c r="A20" s="4265"/>
      <c r="B20" s="4266"/>
      <c r="C20" s="4241"/>
      <c r="D20" s="4215"/>
      <c r="E20" s="4215"/>
      <c r="F20" s="4215"/>
      <c r="G20" s="4215"/>
      <c r="H20" s="4215"/>
      <c r="I20" s="4215"/>
      <c r="J20" s="4215"/>
      <c r="K20" s="4215"/>
      <c r="L20" s="4215"/>
      <c r="M20" s="4226"/>
      <c r="N20" s="4226"/>
      <c r="O20" s="4226"/>
      <c r="P20" s="4215"/>
      <c r="Q20" s="4215"/>
      <c r="R20" s="4233"/>
      <c r="S20" s="1496"/>
      <c r="T20" s="1507"/>
      <c r="U20" s="107"/>
      <c r="V20" s="1521"/>
      <c r="W20" s="1534"/>
      <c r="X20" s="108"/>
      <c r="Y20" s="1546"/>
      <c r="Z20" s="1546"/>
      <c r="AA20" s="1546"/>
      <c r="AB20" s="1547"/>
      <c r="AC20" s="108"/>
      <c r="AD20" s="107"/>
      <c r="AE20" s="107"/>
      <c r="AF20" s="4230"/>
    </row>
    <row r="21" spans="1:32" ht="30" customHeight="1">
      <c r="A21" s="4265"/>
      <c r="B21" s="4266"/>
      <c r="C21" s="4241"/>
      <c r="D21" s="4215"/>
      <c r="E21" s="4215"/>
      <c r="F21" s="4215"/>
      <c r="G21" s="4215"/>
      <c r="H21" s="4215"/>
      <c r="I21" s="4215"/>
      <c r="J21" s="4215"/>
      <c r="K21" s="4215"/>
      <c r="L21" s="4215"/>
      <c r="M21" s="4226"/>
      <c r="N21" s="4226"/>
      <c r="O21" s="4226"/>
      <c r="P21" s="4215"/>
      <c r="Q21" s="4215"/>
      <c r="R21" s="4233"/>
      <c r="S21" s="1496"/>
      <c r="T21" s="1507"/>
      <c r="U21" s="107"/>
      <c r="V21" s="1521"/>
      <c r="W21" s="1534"/>
      <c r="X21" s="108"/>
      <c r="Y21" s="1546"/>
      <c r="Z21" s="1546"/>
      <c r="AA21" s="1546"/>
      <c r="AB21" s="1547"/>
      <c r="AC21" s="108"/>
      <c r="AD21" s="107"/>
      <c r="AE21" s="107"/>
      <c r="AF21" s="4230"/>
    </row>
    <row r="22" spans="1:32" ht="30" customHeight="1">
      <c r="A22" s="4265"/>
      <c r="B22" s="4266"/>
      <c r="C22" s="4241"/>
      <c r="D22" s="4215"/>
      <c r="E22" s="4215"/>
      <c r="F22" s="4215"/>
      <c r="G22" s="4215"/>
      <c r="H22" s="4215"/>
      <c r="I22" s="4215"/>
      <c r="J22" s="4215"/>
      <c r="K22" s="4215"/>
      <c r="L22" s="4215"/>
      <c r="M22" s="4226"/>
      <c r="N22" s="4226"/>
      <c r="O22" s="4226"/>
      <c r="P22" s="4215"/>
      <c r="Q22" s="4215"/>
      <c r="R22" s="4233"/>
      <c r="S22" s="1496"/>
      <c r="T22" s="1507"/>
      <c r="U22" s="107"/>
      <c r="V22" s="1521"/>
      <c r="W22" s="1534"/>
      <c r="X22" s="108"/>
      <c r="Y22" s="1546"/>
      <c r="Z22" s="1546"/>
      <c r="AA22" s="1546"/>
      <c r="AB22" s="1547"/>
      <c r="AC22" s="108"/>
      <c r="AD22" s="107"/>
      <c r="AE22" s="107"/>
      <c r="AF22" s="4230"/>
    </row>
    <row r="23" spans="1:32" ht="30" customHeight="1">
      <c r="A23" s="4265"/>
      <c r="B23" s="4266"/>
      <c r="C23" s="4242"/>
      <c r="D23" s="4216"/>
      <c r="E23" s="4216"/>
      <c r="F23" s="4216"/>
      <c r="G23" s="4216"/>
      <c r="H23" s="4216"/>
      <c r="I23" s="4216"/>
      <c r="J23" s="4216"/>
      <c r="K23" s="4216"/>
      <c r="L23" s="4216"/>
      <c r="M23" s="4247"/>
      <c r="N23" s="4247"/>
      <c r="O23" s="4247"/>
      <c r="P23" s="4216"/>
      <c r="Q23" s="4216"/>
      <c r="R23" s="4258"/>
      <c r="S23" s="1498"/>
      <c r="T23" s="1509"/>
      <c r="U23" s="110"/>
      <c r="V23" s="1522"/>
      <c r="W23" s="1535"/>
      <c r="X23" s="111"/>
      <c r="Y23" s="1548"/>
      <c r="Z23" s="1548"/>
      <c r="AA23" s="1548"/>
      <c r="AB23" s="1549"/>
      <c r="AC23" s="111"/>
      <c r="AD23" s="110"/>
      <c r="AE23" s="110"/>
      <c r="AF23" s="4260"/>
    </row>
    <row r="24" spans="1:32" ht="31.5" customHeight="1">
      <c r="A24" s="4265"/>
      <c r="B24" s="4266"/>
      <c r="C24" s="4240" t="s">
        <v>235</v>
      </c>
      <c r="D24" s="4214" t="s">
        <v>236</v>
      </c>
      <c r="E24" s="4214" t="s">
        <v>244</v>
      </c>
      <c r="F24" s="4214" t="s">
        <v>245</v>
      </c>
      <c r="G24" s="4217" t="s">
        <v>239</v>
      </c>
      <c r="H24" s="4214" t="s">
        <v>256</v>
      </c>
      <c r="I24" s="4214" t="s">
        <v>257</v>
      </c>
      <c r="J24" s="4218" t="s">
        <v>3714</v>
      </c>
      <c r="K24" s="4214" t="s">
        <v>260</v>
      </c>
      <c r="L24" s="4214" t="s">
        <v>261</v>
      </c>
      <c r="M24" s="4246">
        <v>2</v>
      </c>
      <c r="N24" s="4246">
        <v>2</v>
      </c>
      <c r="O24" s="4246">
        <v>1</v>
      </c>
      <c r="P24" s="4228" t="s">
        <v>3637</v>
      </c>
      <c r="Q24" s="4228" t="s">
        <v>3662</v>
      </c>
      <c r="R24" s="4232" t="s">
        <v>3876</v>
      </c>
      <c r="S24" s="1500"/>
      <c r="T24" s="1510"/>
      <c r="U24" s="112"/>
      <c r="V24" s="1525"/>
      <c r="W24" s="1536"/>
      <c r="X24" s="113"/>
      <c r="Y24" s="1550"/>
      <c r="Z24" s="1550"/>
      <c r="AA24" s="1550"/>
      <c r="AB24" s="1551"/>
      <c r="AC24" s="113"/>
      <c r="AD24" s="114"/>
      <c r="AE24" s="114"/>
      <c r="AF24" s="4229"/>
    </row>
    <row r="25" spans="1:32" ht="31.5" customHeight="1">
      <c r="A25" s="4265"/>
      <c r="B25" s="4266"/>
      <c r="C25" s="4241"/>
      <c r="D25" s="4215"/>
      <c r="E25" s="4215"/>
      <c r="F25" s="4215"/>
      <c r="G25" s="4215"/>
      <c r="H25" s="4215"/>
      <c r="I25" s="4215"/>
      <c r="J25" s="4215"/>
      <c r="K25" s="4215"/>
      <c r="L25" s="4215"/>
      <c r="M25" s="4226"/>
      <c r="N25" s="4226"/>
      <c r="O25" s="4226"/>
      <c r="P25" s="4215"/>
      <c r="Q25" s="4215"/>
      <c r="R25" s="4233"/>
      <c r="S25" s="1496"/>
      <c r="T25" s="1507"/>
      <c r="U25" s="107"/>
      <c r="V25" s="1521"/>
      <c r="W25" s="1534"/>
      <c r="X25" s="108"/>
      <c r="Y25" s="1546"/>
      <c r="Z25" s="1546"/>
      <c r="AA25" s="1546"/>
      <c r="AB25" s="1547"/>
      <c r="AC25" s="108"/>
      <c r="AD25" s="107"/>
      <c r="AE25" s="107"/>
      <c r="AF25" s="4230"/>
    </row>
    <row r="26" spans="1:32" ht="31.5" customHeight="1">
      <c r="A26" s="4265"/>
      <c r="B26" s="4266"/>
      <c r="C26" s="4241"/>
      <c r="D26" s="4215"/>
      <c r="E26" s="4215"/>
      <c r="F26" s="4215"/>
      <c r="G26" s="4215"/>
      <c r="H26" s="4215"/>
      <c r="I26" s="4215"/>
      <c r="J26" s="4215"/>
      <c r="K26" s="4215"/>
      <c r="L26" s="4215"/>
      <c r="M26" s="4226"/>
      <c r="N26" s="4226"/>
      <c r="O26" s="4226"/>
      <c r="P26" s="4215"/>
      <c r="Q26" s="4215"/>
      <c r="R26" s="4233"/>
      <c r="S26" s="1496"/>
      <c r="T26" s="1507"/>
      <c r="U26" s="107"/>
      <c r="V26" s="1521"/>
      <c r="W26" s="1534"/>
      <c r="X26" s="108"/>
      <c r="Y26" s="1546"/>
      <c r="Z26" s="1546"/>
      <c r="AA26" s="1546"/>
      <c r="AB26" s="1547"/>
      <c r="AC26" s="108"/>
      <c r="AD26" s="107"/>
      <c r="AE26" s="107"/>
      <c r="AF26" s="4230"/>
    </row>
    <row r="27" spans="1:32" ht="31.5" customHeight="1">
      <c r="A27" s="4265"/>
      <c r="B27" s="4266"/>
      <c r="C27" s="4241"/>
      <c r="D27" s="4215"/>
      <c r="E27" s="4215"/>
      <c r="F27" s="4215"/>
      <c r="G27" s="4215"/>
      <c r="H27" s="4215"/>
      <c r="I27" s="4215"/>
      <c r="J27" s="4215"/>
      <c r="K27" s="4215"/>
      <c r="L27" s="4215"/>
      <c r="M27" s="4226"/>
      <c r="N27" s="4226"/>
      <c r="O27" s="4226"/>
      <c r="P27" s="4215"/>
      <c r="Q27" s="4215"/>
      <c r="R27" s="4233"/>
      <c r="S27" s="1496"/>
      <c r="T27" s="1507"/>
      <c r="U27" s="107"/>
      <c r="V27" s="1521"/>
      <c r="W27" s="1534"/>
      <c r="X27" s="108"/>
      <c r="Y27" s="1546"/>
      <c r="Z27" s="1546"/>
      <c r="AA27" s="1546"/>
      <c r="AB27" s="1547"/>
      <c r="AC27" s="108"/>
      <c r="AD27" s="107"/>
      <c r="AE27" s="107"/>
      <c r="AF27" s="4230"/>
    </row>
    <row r="28" spans="1:32" ht="31.5" customHeight="1">
      <c r="A28" s="4265"/>
      <c r="B28" s="4266"/>
      <c r="C28" s="4242"/>
      <c r="D28" s="4216"/>
      <c r="E28" s="4216"/>
      <c r="F28" s="4216"/>
      <c r="G28" s="4216"/>
      <c r="H28" s="4216"/>
      <c r="I28" s="4216"/>
      <c r="J28" s="4216"/>
      <c r="K28" s="4216"/>
      <c r="L28" s="4216"/>
      <c r="M28" s="4247"/>
      <c r="N28" s="4247"/>
      <c r="O28" s="4247"/>
      <c r="P28" s="4216"/>
      <c r="Q28" s="4216"/>
      <c r="R28" s="4258"/>
      <c r="S28" s="1498"/>
      <c r="T28" s="1509"/>
      <c r="U28" s="110"/>
      <c r="V28" s="1522"/>
      <c r="W28" s="1535"/>
      <c r="X28" s="111"/>
      <c r="Y28" s="1548"/>
      <c r="Z28" s="1548"/>
      <c r="AA28" s="1548"/>
      <c r="AB28" s="1549"/>
      <c r="AC28" s="111"/>
      <c r="AD28" s="110"/>
      <c r="AE28" s="110"/>
      <c r="AF28" s="4260"/>
    </row>
    <row r="29" spans="1:32" ht="48" customHeight="1">
      <c r="A29" s="4265"/>
      <c r="B29" s="4266"/>
      <c r="C29" s="4240" t="s">
        <v>235</v>
      </c>
      <c r="D29" s="4214" t="s">
        <v>236</v>
      </c>
      <c r="E29" s="4214" t="s">
        <v>244</v>
      </c>
      <c r="F29" s="4214" t="s">
        <v>245</v>
      </c>
      <c r="G29" s="4217" t="s">
        <v>239</v>
      </c>
      <c r="H29" s="4214" t="s">
        <v>262</v>
      </c>
      <c r="I29" s="4214" t="s">
        <v>257</v>
      </c>
      <c r="J29" s="4218" t="s">
        <v>3715</v>
      </c>
      <c r="K29" s="4214" t="s">
        <v>263</v>
      </c>
      <c r="L29" s="4214" t="s">
        <v>264</v>
      </c>
      <c r="M29" s="4246">
        <v>1</v>
      </c>
      <c r="N29" s="4246">
        <v>2</v>
      </c>
      <c r="O29" s="4246">
        <v>2</v>
      </c>
      <c r="P29" s="4228" t="s">
        <v>3638</v>
      </c>
      <c r="Q29" s="4228" t="s">
        <v>3661</v>
      </c>
      <c r="R29" s="4232" t="s">
        <v>3877</v>
      </c>
      <c r="S29" s="1499" t="s">
        <v>11</v>
      </c>
      <c r="T29" s="1510">
        <v>530307</v>
      </c>
      <c r="U29" s="112"/>
      <c r="V29" s="1523" t="s">
        <v>15</v>
      </c>
      <c r="W29" s="1536"/>
      <c r="X29" s="113"/>
      <c r="Y29" s="1550"/>
      <c r="Z29" s="1550"/>
      <c r="AA29" s="1550"/>
      <c r="AB29" s="1551">
        <f>SUM($AA$30)</f>
        <v>7120.0192000000006</v>
      </c>
      <c r="AC29" s="113"/>
      <c r="AD29" s="114"/>
      <c r="AE29" s="114"/>
      <c r="AF29" s="4229"/>
    </row>
    <row r="30" spans="1:32" ht="42" customHeight="1">
      <c r="A30" s="4265"/>
      <c r="B30" s="4266"/>
      <c r="C30" s="4241"/>
      <c r="D30" s="4215"/>
      <c r="E30" s="4215"/>
      <c r="F30" s="4215"/>
      <c r="G30" s="4215"/>
      <c r="H30" s="4215"/>
      <c r="I30" s="4215"/>
      <c r="J30" s="4215"/>
      <c r="K30" s="4215"/>
      <c r="L30" s="4215"/>
      <c r="M30" s="4226"/>
      <c r="N30" s="4226"/>
      <c r="O30" s="4226"/>
      <c r="P30" s="4215"/>
      <c r="Q30" s="4215"/>
      <c r="R30" s="4233"/>
      <c r="S30" s="1496"/>
      <c r="T30" s="1507"/>
      <c r="U30" s="1518" t="s">
        <v>265</v>
      </c>
      <c r="V30" s="1524" t="s">
        <v>266</v>
      </c>
      <c r="W30" s="1534">
        <v>4</v>
      </c>
      <c r="X30" s="117" t="s">
        <v>250</v>
      </c>
      <c r="Y30" s="1546">
        <v>1589.29</v>
      </c>
      <c r="Z30" s="1546">
        <f>W30*Y30</f>
        <v>6357.16</v>
      </c>
      <c r="AA30" s="1546">
        <f>Z30*1.12</f>
        <v>7120.0192000000006</v>
      </c>
      <c r="AB30" s="1547"/>
      <c r="AC30" s="117" t="s">
        <v>251</v>
      </c>
      <c r="AD30" s="107" t="s">
        <v>251</v>
      </c>
      <c r="AE30" s="107" t="s">
        <v>251</v>
      </c>
      <c r="AF30" s="4230"/>
    </row>
    <row r="31" spans="1:32" ht="42" customHeight="1">
      <c r="A31" s="4265"/>
      <c r="B31" s="4266"/>
      <c r="C31" s="4241"/>
      <c r="D31" s="4215"/>
      <c r="E31" s="4215"/>
      <c r="F31" s="4215"/>
      <c r="G31" s="4215"/>
      <c r="H31" s="4215"/>
      <c r="I31" s="4215"/>
      <c r="J31" s="4215"/>
      <c r="K31" s="4215"/>
      <c r="L31" s="4215"/>
      <c r="M31" s="4226"/>
      <c r="N31" s="4226"/>
      <c r="O31" s="4226"/>
      <c r="P31" s="4215"/>
      <c r="Q31" s="4215"/>
      <c r="R31" s="4233"/>
      <c r="S31" s="1579" t="s">
        <v>17</v>
      </c>
      <c r="T31" s="1511">
        <v>840104</v>
      </c>
      <c r="U31" s="1491"/>
      <c r="V31" s="1526" t="s">
        <v>24</v>
      </c>
      <c r="W31" s="1537"/>
      <c r="X31" s="1492"/>
      <c r="Y31" s="1552"/>
      <c r="Z31" s="1552"/>
      <c r="AA31" s="1552"/>
      <c r="AB31" s="1552">
        <f>SUM($AA$32:$AA$33)</f>
        <v>400</v>
      </c>
      <c r="AC31" s="1493"/>
      <c r="AD31" s="1494"/>
      <c r="AE31" s="1494"/>
      <c r="AF31" s="4230"/>
    </row>
    <row r="32" spans="1:32" ht="42" customHeight="1">
      <c r="A32" s="4265"/>
      <c r="B32" s="4266"/>
      <c r="C32" s="4241"/>
      <c r="D32" s="4215"/>
      <c r="E32" s="4215"/>
      <c r="F32" s="4215"/>
      <c r="G32" s="4215"/>
      <c r="H32" s="4215"/>
      <c r="I32" s="4215"/>
      <c r="J32" s="4215"/>
      <c r="K32" s="4215"/>
      <c r="L32" s="4215"/>
      <c r="M32" s="4226"/>
      <c r="N32" s="4226"/>
      <c r="O32" s="4226"/>
      <c r="P32" s="4215"/>
      <c r="Q32" s="4215"/>
      <c r="R32" s="4233"/>
      <c r="S32" s="1496"/>
      <c r="T32" s="1507"/>
      <c r="U32" s="1518" t="s">
        <v>267</v>
      </c>
      <c r="V32" s="1524" t="s">
        <v>268</v>
      </c>
      <c r="W32" s="1534">
        <v>1</v>
      </c>
      <c r="X32" s="117" t="s">
        <v>269</v>
      </c>
      <c r="Y32" s="1546">
        <v>250</v>
      </c>
      <c r="Z32" s="1546">
        <f t="shared" ref="Z32:Z33" si="0">W32*Y32</f>
        <v>250</v>
      </c>
      <c r="AA32" s="1546">
        <f t="shared" ref="AA32:AA33" si="1">Z32*1.12</f>
        <v>280</v>
      </c>
      <c r="AB32" s="1547"/>
      <c r="AC32" s="117"/>
      <c r="AD32" s="107" t="s">
        <v>251</v>
      </c>
      <c r="AE32" s="107"/>
      <c r="AF32" s="4230"/>
    </row>
    <row r="33" spans="1:32" ht="42" customHeight="1">
      <c r="A33" s="4265"/>
      <c r="B33" s="4266"/>
      <c r="C33" s="4242"/>
      <c r="D33" s="4216"/>
      <c r="E33" s="4216"/>
      <c r="F33" s="4216"/>
      <c r="G33" s="4216"/>
      <c r="H33" s="4216"/>
      <c r="I33" s="4216"/>
      <c r="J33" s="4216"/>
      <c r="K33" s="4216"/>
      <c r="L33" s="4216"/>
      <c r="M33" s="4247"/>
      <c r="N33" s="4247"/>
      <c r="O33" s="4247"/>
      <c r="P33" s="4216"/>
      <c r="Q33" s="4216"/>
      <c r="R33" s="4258"/>
      <c r="S33" s="1502"/>
      <c r="T33" s="1512"/>
      <c r="U33" s="1519" t="s">
        <v>270</v>
      </c>
      <c r="V33" s="1527" t="s">
        <v>271</v>
      </c>
      <c r="W33" s="1538">
        <v>1</v>
      </c>
      <c r="X33" s="116" t="s">
        <v>269</v>
      </c>
      <c r="Y33" s="1553">
        <f>120/1.12</f>
        <v>107.14285714285714</v>
      </c>
      <c r="Z33" s="1553">
        <f t="shared" si="0"/>
        <v>107.14285714285714</v>
      </c>
      <c r="AA33" s="1553">
        <f t="shared" si="1"/>
        <v>120</v>
      </c>
      <c r="AB33" s="1554"/>
      <c r="AC33" s="116"/>
      <c r="AD33" s="115" t="s">
        <v>251</v>
      </c>
      <c r="AE33" s="118"/>
      <c r="AF33" s="4260"/>
    </row>
    <row r="34" spans="1:32" ht="63" customHeight="1">
      <c r="A34" s="4265"/>
      <c r="B34" s="4266"/>
      <c r="C34" s="4240" t="s">
        <v>272</v>
      </c>
      <c r="D34" s="4214" t="s">
        <v>273</v>
      </c>
      <c r="E34" s="4214" t="s">
        <v>274</v>
      </c>
      <c r="F34" s="4214" t="s">
        <v>275</v>
      </c>
      <c r="G34" s="4217" t="s">
        <v>276</v>
      </c>
      <c r="H34" s="4214" t="s">
        <v>277</v>
      </c>
      <c r="I34" s="4214" t="s">
        <v>278</v>
      </c>
      <c r="J34" s="4218" t="s">
        <v>3716</v>
      </c>
      <c r="K34" s="4214" t="s">
        <v>279</v>
      </c>
      <c r="L34" s="4214" t="s">
        <v>280</v>
      </c>
      <c r="M34" s="4246">
        <v>1</v>
      </c>
      <c r="N34" s="4246">
        <v>0</v>
      </c>
      <c r="O34" s="4246">
        <v>0</v>
      </c>
      <c r="P34" s="4228" t="s">
        <v>3639</v>
      </c>
      <c r="Q34" s="4228" t="s">
        <v>3660</v>
      </c>
      <c r="R34" s="4232" t="s">
        <v>3878</v>
      </c>
      <c r="S34" s="1499" t="s">
        <v>11</v>
      </c>
      <c r="T34" s="1510">
        <v>840107</v>
      </c>
      <c r="U34" s="112"/>
      <c r="V34" s="1523" t="s">
        <v>20</v>
      </c>
      <c r="W34" s="1536"/>
      <c r="X34" s="113"/>
      <c r="Y34" s="1550"/>
      <c r="Z34" s="1550"/>
      <c r="AA34" s="1550"/>
      <c r="AB34" s="1551">
        <f>SUM($AA$35:$AA$38)</f>
        <v>6548.3488000000007</v>
      </c>
      <c r="AC34" s="113"/>
      <c r="AD34" s="114"/>
      <c r="AE34" s="114"/>
      <c r="AF34" s="4229" t="s">
        <v>3679</v>
      </c>
    </row>
    <row r="35" spans="1:32" ht="63" customHeight="1">
      <c r="A35" s="4265"/>
      <c r="B35" s="4266"/>
      <c r="C35" s="4241"/>
      <c r="D35" s="4215"/>
      <c r="E35" s="4215"/>
      <c r="F35" s="4215"/>
      <c r="G35" s="4215"/>
      <c r="H35" s="4215"/>
      <c r="I35" s="4215"/>
      <c r="J35" s="4215"/>
      <c r="K35" s="4215"/>
      <c r="L35" s="4215"/>
      <c r="M35" s="4226"/>
      <c r="N35" s="4226"/>
      <c r="O35" s="4226"/>
      <c r="P35" s="4215"/>
      <c r="Q35" s="4215"/>
      <c r="R35" s="4233"/>
      <c r="S35" s="1496"/>
      <c r="T35" s="1507"/>
      <c r="U35" s="1518" t="s">
        <v>281</v>
      </c>
      <c r="V35" s="1524" t="s">
        <v>282</v>
      </c>
      <c r="W35" s="1534">
        <v>1</v>
      </c>
      <c r="X35" s="117" t="s">
        <v>269</v>
      </c>
      <c r="Y35" s="1546">
        <v>1436.74</v>
      </c>
      <c r="Z35" s="1546">
        <f t="shared" ref="Z35:Z38" si="2">W35*Y35</f>
        <v>1436.74</v>
      </c>
      <c r="AA35" s="1546">
        <f t="shared" ref="AA35:AA38" si="3">Z35*1.12</f>
        <v>1609.1488000000002</v>
      </c>
      <c r="AB35" s="1547"/>
      <c r="AC35" s="117"/>
      <c r="AD35" s="107" t="s">
        <v>251</v>
      </c>
      <c r="AE35" s="107"/>
      <c r="AF35" s="4230"/>
    </row>
    <row r="36" spans="1:32" ht="63" customHeight="1">
      <c r="A36" s="4265"/>
      <c r="B36" s="4266"/>
      <c r="C36" s="4241"/>
      <c r="D36" s="4215"/>
      <c r="E36" s="4215"/>
      <c r="F36" s="4215"/>
      <c r="G36" s="4215"/>
      <c r="H36" s="4215"/>
      <c r="I36" s="4215"/>
      <c r="J36" s="4215"/>
      <c r="K36" s="4215"/>
      <c r="L36" s="4215"/>
      <c r="M36" s="4226"/>
      <c r="N36" s="4226"/>
      <c r="O36" s="4226"/>
      <c r="P36" s="4215"/>
      <c r="Q36" s="4215"/>
      <c r="R36" s="4233"/>
      <c r="S36" s="1496"/>
      <c r="T36" s="1507"/>
      <c r="U36" s="1518" t="s">
        <v>283</v>
      </c>
      <c r="V36" s="1524" t="s">
        <v>284</v>
      </c>
      <c r="W36" s="1534">
        <v>2</v>
      </c>
      <c r="X36" s="117" t="s">
        <v>269</v>
      </c>
      <c r="Y36" s="1546">
        <v>1650</v>
      </c>
      <c r="Z36" s="1546">
        <f t="shared" si="2"/>
        <v>3300</v>
      </c>
      <c r="AA36" s="1546">
        <f t="shared" si="3"/>
        <v>3696.0000000000005</v>
      </c>
      <c r="AB36" s="1547"/>
      <c r="AC36" s="117"/>
      <c r="AD36" s="107" t="s">
        <v>251</v>
      </c>
      <c r="AE36" s="107"/>
      <c r="AF36" s="4230"/>
    </row>
    <row r="37" spans="1:32" ht="63" customHeight="1">
      <c r="A37" s="4265"/>
      <c r="B37" s="4266"/>
      <c r="C37" s="4241"/>
      <c r="D37" s="4215"/>
      <c r="E37" s="4215"/>
      <c r="F37" s="4215"/>
      <c r="G37" s="4215"/>
      <c r="H37" s="4215"/>
      <c r="I37" s="4215"/>
      <c r="J37" s="4215"/>
      <c r="K37" s="4215"/>
      <c r="L37" s="4215"/>
      <c r="M37" s="4226"/>
      <c r="N37" s="4226"/>
      <c r="O37" s="4226"/>
      <c r="P37" s="4215"/>
      <c r="Q37" s="4215"/>
      <c r="R37" s="4233"/>
      <c r="S37" s="1496"/>
      <c r="T37" s="1507"/>
      <c r="U37" s="1518" t="s">
        <v>285</v>
      </c>
      <c r="V37" s="1524" t="s">
        <v>286</v>
      </c>
      <c r="W37" s="1534">
        <v>5</v>
      </c>
      <c r="X37" s="117" t="s">
        <v>269</v>
      </c>
      <c r="Y37" s="1546">
        <v>150</v>
      </c>
      <c r="Z37" s="1546">
        <f t="shared" si="2"/>
        <v>750</v>
      </c>
      <c r="AA37" s="1546">
        <f t="shared" si="3"/>
        <v>840.00000000000011</v>
      </c>
      <c r="AB37" s="1547"/>
      <c r="AC37" s="117"/>
      <c r="AD37" s="107" t="s">
        <v>251</v>
      </c>
      <c r="AE37" s="107"/>
      <c r="AF37" s="4230"/>
    </row>
    <row r="38" spans="1:32" ht="63" customHeight="1">
      <c r="A38" s="4265"/>
      <c r="B38" s="4266"/>
      <c r="C38" s="4242"/>
      <c r="D38" s="4216"/>
      <c r="E38" s="4216"/>
      <c r="F38" s="4216"/>
      <c r="G38" s="4216"/>
      <c r="H38" s="4216"/>
      <c r="I38" s="4216"/>
      <c r="J38" s="4216"/>
      <c r="K38" s="4216"/>
      <c r="L38" s="4216"/>
      <c r="M38" s="4247"/>
      <c r="N38" s="4247"/>
      <c r="O38" s="4247"/>
      <c r="P38" s="4216"/>
      <c r="Q38" s="4216"/>
      <c r="R38" s="4258"/>
      <c r="S38" s="1496"/>
      <c r="T38" s="1507"/>
      <c r="U38" s="1518" t="s">
        <v>287</v>
      </c>
      <c r="V38" s="1524" t="s">
        <v>288</v>
      </c>
      <c r="W38" s="1534">
        <v>3</v>
      </c>
      <c r="X38" s="117" t="s">
        <v>269</v>
      </c>
      <c r="Y38" s="1546">
        <v>120</v>
      </c>
      <c r="Z38" s="1546">
        <f t="shared" si="2"/>
        <v>360</v>
      </c>
      <c r="AA38" s="1546">
        <f t="shared" si="3"/>
        <v>403.20000000000005</v>
      </c>
      <c r="AB38" s="1547"/>
      <c r="AC38" s="117"/>
      <c r="AD38" s="107" t="s">
        <v>251</v>
      </c>
      <c r="AE38" s="107"/>
      <c r="AF38" s="4260"/>
    </row>
    <row r="39" spans="1:32" ht="36" customHeight="1">
      <c r="A39" s="4265"/>
      <c r="B39" s="4266"/>
      <c r="C39" s="4240" t="s">
        <v>235</v>
      </c>
      <c r="D39" s="4214" t="s">
        <v>236</v>
      </c>
      <c r="E39" s="4214" t="s">
        <v>237</v>
      </c>
      <c r="F39" s="4214" t="s">
        <v>289</v>
      </c>
      <c r="G39" s="4217" t="s">
        <v>239</v>
      </c>
      <c r="H39" s="4214" t="s">
        <v>240</v>
      </c>
      <c r="I39" s="4214" t="s">
        <v>278</v>
      </c>
      <c r="J39" s="4272" t="s">
        <v>3717</v>
      </c>
      <c r="K39" s="4214" t="s">
        <v>290</v>
      </c>
      <c r="L39" s="4214" t="s">
        <v>291</v>
      </c>
      <c r="M39" s="4246">
        <v>2</v>
      </c>
      <c r="N39" s="4246">
        <v>2</v>
      </c>
      <c r="O39" s="4246">
        <v>1</v>
      </c>
      <c r="P39" s="4228" t="s">
        <v>3640</v>
      </c>
      <c r="Q39" s="4228" t="s">
        <v>3659</v>
      </c>
      <c r="R39" s="4232" t="s">
        <v>3879</v>
      </c>
      <c r="S39" s="1500"/>
      <c r="T39" s="1510"/>
      <c r="U39" s="112"/>
      <c r="V39" s="1525"/>
      <c r="W39" s="1536"/>
      <c r="X39" s="113"/>
      <c r="Y39" s="1550"/>
      <c r="Z39" s="1550"/>
      <c r="AA39" s="1550"/>
      <c r="AB39" s="1551"/>
      <c r="AC39" s="113"/>
      <c r="AD39" s="114"/>
      <c r="AE39" s="114"/>
      <c r="AF39" s="4229"/>
    </row>
    <row r="40" spans="1:32" ht="36" customHeight="1">
      <c r="A40" s="4265"/>
      <c r="B40" s="4266"/>
      <c r="C40" s="4241"/>
      <c r="D40" s="4215"/>
      <c r="E40" s="4215"/>
      <c r="F40" s="4215"/>
      <c r="G40" s="4215"/>
      <c r="H40" s="4215"/>
      <c r="I40" s="4215"/>
      <c r="J40" s="4215"/>
      <c r="K40" s="4215"/>
      <c r="L40" s="4215"/>
      <c r="M40" s="4226"/>
      <c r="N40" s="4226"/>
      <c r="O40" s="4226"/>
      <c r="P40" s="4215"/>
      <c r="Q40" s="4215"/>
      <c r="R40" s="4233"/>
      <c r="S40" s="1496"/>
      <c r="T40" s="1507"/>
      <c r="U40" s="107"/>
      <c r="V40" s="1521"/>
      <c r="W40" s="1534"/>
      <c r="X40" s="108"/>
      <c r="Y40" s="1546"/>
      <c r="Z40" s="1546"/>
      <c r="AA40" s="1546"/>
      <c r="AB40" s="1547"/>
      <c r="AC40" s="108"/>
      <c r="AD40" s="107"/>
      <c r="AE40" s="107"/>
      <c r="AF40" s="4230"/>
    </row>
    <row r="41" spans="1:32" ht="36" customHeight="1">
      <c r="A41" s="4265"/>
      <c r="B41" s="4266"/>
      <c r="C41" s="4241"/>
      <c r="D41" s="4215"/>
      <c r="E41" s="4215"/>
      <c r="F41" s="4215"/>
      <c r="G41" s="4215"/>
      <c r="H41" s="4215"/>
      <c r="I41" s="4215"/>
      <c r="J41" s="4215"/>
      <c r="K41" s="4215"/>
      <c r="L41" s="4215"/>
      <c r="M41" s="4226"/>
      <c r="N41" s="4226"/>
      <c r="O41" s="4226"/>
      <c r="P41" s="4215"/>
      <c r="Q41" s="4215"/>
      <c r="R41" s="4233"/>
      <c r="S41" s="1496"/>
      <c r="T41" s="1507"/>
      <c r="U41" s="107"/>
      <c r="V41" s="1521"/>
      <c r="W41" s="1534"/>
      <c r="X41" s="108"/>
      <c r="Y41" s="1546"/>
      <c r="Z41" s="1546"/>
      <c r="AA41" s="1546"/>
      <c r="AB41" s="1547"/>
      <c r="AC41" s="108"/>
      <c r="AD41" s="107"/>
      <c r="AE41" s="107"/>
      <c r="AF41" s="4230"/>
    </row>
    <row r="42" spans="1:32" ht="36" customHeight="1">
      <c r="A42" s="4265"/>
      <c r="B42" s="4266"/>
      <c r="C42" s="4241"/>
      <c r="D42" s="4215"/>
      <c r="E42" s="4215"/>
      <c r="F42" s="4215"/>
      <c r="G42" s="4215"/>
      <c r="H42" s="4215"/>
      <c r="I42" s="4215"/>
      <c r="J42" s="4215"/>
      <c r="K42" s="4215"/>
      <c r="L42" s="4215"/>
      <c r="M42" s="4226"/>
      <c r="N42" s="4226"/>
      <c r="O42" s="4226"/>
      <c r="P42" s="4215"/>
      <c r="Q42" s="4215"/>
      <c r="R42" s="4233"/>
      <c r="S42" s="1496"/>
      <c r="T42" s="1507"/>
      <c r="U42" s="107"/>
      <c r="V42" s="1521"/>
      <c r="W42" s="1534"/>
      <c r="X42" s="108"/>
      <c r="Y42" s="1546"/>
      <c r="Z42" s="1546"/>
      <c r="AA42" s="1546"/>
      <c r="AB42" s="1547"/>
      <c r="AC42" s="108"/>
      <c r="AD42" s="107"/>
      <c r="AE42" s="107"/>
      <c r="AF42" s="4230"/>
    </row>
    <row r="43" spans="1:32" ht="36" customHeight="1">
      <c r="A43" s="4265"/>
      <c r="B43" s="4266"/>
      <c r="C43" s="4242"/>
      <c r="D43" s="4216"/>
      <c r="E43" s="4216"/>
      <c r="F43" s="4216"/>
      <c r="G43" s="4216"/>
      <c r="H43" s="4216"/>
      <c r="I43" s="4216"/>
      <c r="J43" s="4216"/>
      <c r="K43" s="4216"/>
      <c r="L43" s="4216"/>
      <c r="M43" s="4247"/>
      <c r="N43" s="4247"/>
      <c r="O43" s="4247"/>
      <c r="P43" s="4216"/>
      <c r="Q43" s="4216"/>
      <c r="R43" s="4258"/>
      <c r="S43" s="1498"/>
      <c r="T43" s="1509"/>
      <c r="U43" s="110"/>
      <c r="V43" s="1522"/>
      <c r="W43" s="1535"/>
      <c r="X43" s="111"/>
      <c r="Y43" s="1548"/>
      <c r="Z43" s="1548"/>
      <c r="AA43" s="1548"/>
      <c r="AB43" s="1549"/>
      <c r="AC43" s="111"/>
      <c r="AD43" s="110"/>
      <c r="AE43" s="110"/>
      <c r="AF43" s="4260"/>
    </row>
    <row r="44" spans="1:32" ht="36.75" customHeight="1">
      <c r="A44" s="4265"/>
      <c r="B44" s="4266"/>
      <c r="C44" s="4240" t="s">
        <v>235</v>
      </c>
      <c r="D44" s="4214" t="s">
        <v>236</v>
      </c>
      <c r="E44" s="4214" t="s">
        <v>244</v>
      </c>
      <c r="F44" s="4214" t="s">
        <v>292</v>
      </c>
      <c r="G44" s="4217" t="s">
        <v>239</v>
      </c>
      <c r="H44" s="4214" t="s">
        <v>293</v>
      </c>
      <c r="I44" s="4214" t="s">
        <v>294</v>
      </c>
      <c r="J44" s="4218" t="s">
        <v>3718</v>
      </c>
      <c r="K44" s="4214" t="s">
        <v>295</v>
      </c>
      <c r="L44" s="4214" t="s">
        <v>296</v>
      </c>
      <c r="M44" s="4246">
        <v>1</v>
      </c>
      <c r="N44" s="4246">
        <v>0</v>
      </c>
      <c r="O44" s="4246">
        <v>0</v>
      </c>
      <c r="P44" s="4228" t="s">
        <v>3641</v>
      </c>
      <c r="Q44" s="4228" t="s">
        <v>3658</v>
      </c>
      <c r="R44" s="4232" t="s">
        <v>3880</v>
      </c>
      <c r="S44" s="1500" t="s">
        <v>17</v>
      </c>
      <c r="T44" s="1510">
        <v>840107</v>
      </c>
      <c r="U44" s="112"/>
      <c r="V44" s="1523" t="s">
        <v>20</v>
      </c>
      <c r="W44" s="1536"/>
      <c r="X44" s="113"/>
      <c r="Y44" s="1550"/>
      <c r="Z44" s="1550"/>
      <c r="AA44" s="1550"/>
      <c r="AB44" s="1551">
        <f>SUM($AA$45)</f>
        <v>20949.782707199771</v>
      </c>
      <c r="AC44" s="113"/>
      <c r="AD44" s="114"/>
      <c r="AE44" s="114"/>
      <c r="AF44" s="4229"/>
    </row>
    <row r="45" spans="1:32" ht="36.75" customHeight="1">
      <c r="A45" s="4265"/>
      <c r="B45" s="4266"/>
      <c r="C45" s="4241"/>
      <c r="D45" s="4215"/>
      <c r="E45" s="4215"/>
      <c r="F45" s="4215"/>
      <c r="G45" s="4215"/>
      <c r="H45" s="4215"/>
      <c r="I45" s="4215"/>
      <c r="J45" s="4215"/>
      <c r="K45" s="4215"/>
      <c r="L45" s="4215"/>
      <c r="M45" s="4226"/>
      <c r="N45" s="4226"/>
      <c r="O45" s="4226"/>
      <c r="P45" s="4215"/>
      <c r="Q45" s="4215"/>
      <c r="R45" s="4233"/>
      <c r="S45" s="1496"/>
      <c r="T45" s="1507"/>
      <c r="U45" s="1518" t="s">
        <v>297</v>
      </c>
      <c r="V45" s="1524" t="s">
        <v>298</v>
      </c>
      <c r="W45" s="1534">
        <v>14</v>
      </c>
      <c r="X45" s="117" t="s">
        <v>269</v>
      </c>
      <c r="Y45" s="1546">
        <v>1330</v>
      </c>
      <c r="Z45" s="1546">
        <f>W45*Y45</f>
        <v>18620</v>
      </c>
      <c r="AA45" s="1546">
        <f>Z45*1.12+95.38+0.002707+0.000000199768692255</f>
        <v>20949.782707199771</v>
      </c>
      <c r="AB45" s="1547"/>
      <c r="AC45" s="117" t="s">
        <v>251</v>
      </c>
      <c r="AD45" s="107" t="s">
        <v>251</v>
      </c>
      <c r="AE45" s="107"/>
      <c r="AF45" s="4230"/>
    </row>
    <row r="46" spans="1:32" ht="36.75" customHeight="1">
      <c r="A46" s="4265"/>
      <c r="B46" s="4266"/>
      <c r="C46" s="4241"/>
      <c r="D46" s="4215"/>
      <c r="E46" s="4215"/>
      <c r="F46" s="4215"/>
      <c r="G46" s="4215"/>
      <c r="H46" s="4215"/>
      <c r="I46" s="4215"/>
      <c r="J46" s="4215"/>
      <c r="K46" s="4215"/>
      <c r="L46" s="4215"/>
      <c r="M46" s="4226"/>
      <c r="N46" s="4226"/>
      <c r="O46" s="4226"/>
      <c r="P46" s="4215"/>
      <c r="Q46" s="4215"/>
      <c r="R46" s="4233"/>
      <c r="S46" s="1501" t="s">
        <v>17</v>
      </c>
      <c r="T46" s="1511">
        <v>530402</v>
      </c>
      <c r="U46" s="1494"/>
      <c r="V46" s="1526" t="s">
        <v>16</v>
      </c>
      <c r="W46" s="1539"/>
      <c r="X46" s="1493"/>
      <c r="Y46" s="1555"/>
      <c r="Z46" s="1555"/>
      <c r="AA46" s="1555"/>
      <c r="AB46" s="1552">
        <f>SUM($AA$47)</f>
        <v>29680.000000000004</v>
      </c>
      <c r="AC46" s="1493"/>
      <c r="AD46" s="1494"/>
      <c r="AE46" s="1494"/>
      <c r="AF46" s="4230"/>
    </row>
    <row r="47" spans="1:32" ht="36.75" customHeight="1">
      <c r="A47" s="4265"/>
      <c r="B47" s="4266"/>
      <c r="C47" s="4241"/>
      <c r="D47" s="4215"/>
      <c r="E47" s="4215"/>
      <c r="F47" s="4215"/>
      <c r="G47" s="4215"/>
      <c r="H47" s="4215"/>
      <c r="I47" s="4215"/>
      <c r="J47" s="4215"/>
      <c r="K47" s="4215"/>
      <c r="L47" s="4215"/>
      <c r="M47" s="4226"/>
      <c r="N47" s="4226"/>
      <c r="O47" s="4226"/>
      <c r="P47" s="4215"/>
      <c r="Q47" s="4215"/>
      <c r="R47" s="4233"/>
      <c r="S47" s="1496"/>
      <c r="T47" s="1507"/>
      <c r="U47" s="1518" t="s">
        <v>253</v>
      </c>
      <c r="V47" s="1524" t="s">
        <v>299</v>
      </c>
      <c r="W47" s="1534">
        <v>1</v>
      </c>
      <c r="X47" s="117" t="s">
        <v>250</v>
      </c>
      <c r="Y47" s="1546">
        <v>26500</v>
      </c>
      <c r="Z47" s="1546">
        <f>W47*Y47</f>
        <v>26500</v>
      </c>
      <c r="AA47" s="1546">
        <f>Z47*1.12</f>
        <v>29680.000000000004</v>
      </c>
      <c r="AB47" s="1547"/>
      <c r="AC47" s="117" t="s">
        <v>251</v>
      </c>
      <c r="AD47" s="107" t="s">
        <v>251</v>
      </c>
      <c r="AE47" s="107"/>
      <c r="AF47" s="4230"/>
    </row>
    <row r="48" spans="1:32" ht="36.75" customHeight="1">
      <c r="A48" s="4265"/>
      <c r="B48" s="4266"/>
      <c r="C48" s="4242"/>
      <c r="D48" s="4216"/>
      <c r="E48" s="4216"/>
      <c r="F48" s="4216"/>
      <c r="G48" s="4216"/>
      <c r="H48" s="4216"/>
      <c r="I48" s="4216"/>
      <c r="J48" s="4216"/>
      <c r="K48" s="4216"/>
      <c r="L48" s="4216"/>
      <c r="M48" s="4247"/>
      <c r="N48" s="4247"/>
      <c r="O48" s="4247"/>
      <c r="P48" s="4216"/>
      <c r="Q48" s="4216"/>
      <c r="R48" s="4258"/>
      <c r="S48" s="1498"/>
      <c r="T48" s="1509"/>
      <c r="U48" s="110"/>
      <c r="V48" s="1522"/>
      <c r="W48" s="1535"/>
      <c r="X48" s="111"/>
      <c r="Y48" s="1548"/>
      <c r="Z48" s="1580"/>
      <c r="AA48" s="1580"/>
      <c r="AB48" s="1549"/>
      <c r="AC48" s="111"/>
      <c r="AD48" s="110"/>
      <c r="AE48" s="110"/>
      <c r="AF48" s="4260"/>
    </row>
    <row r="49" spans="1:32" ht="39.75" customHeight="1">
      <c r="A49" s="4265"/>
      <c r="B49" s="4266"/>
      <c r="C49" s="4240" t="s">
        <v>235</v>
      </c>
      <c r="D49" s="4214" t="s">
        <v>236</v>
      </c>
      <c r="E49" s="4214" t="s">
        <v>237</v>
      </c>
      <c r="F49" s="4214" t="s">
        <v>255</v>
      </c>
      <c r="G49" s="4217" t="s">
        <v>239</v>
      </c>
      <c r="H49" s="4214" t="s">
        <v>240</v>
      </c>
      <c r="I49" s="4214" t="s">
        <v>278</v>
      </c>
      <c r="J49" s="4218" t="s">
        <v>3719</v>
      </c>
      <c r="K49" s="4214" t="s">
        <v>300</v>
      </c>
      <c r="L49" s="4214" t="s">
        <v>301</v>
      </c>
      <c r="M49" s="4246">
        <v>0</v>
      </c>
      <c r="N49" s="4246">
        <v>1</v>
      </c>
      <c r="O49" s="4246">
        <v>1</v>
      </c>
      <c r="P49" s="4228" t="s">
        <v>3642</v>
      </c>
      <c r="Q49" s="4228" t="s">
        <v>3657</v>
      </c>
      <c r="R49" s="4232" t="s">
        <v>3881</v>
      </c>
      <c r="S49" s="1500"/>
      <c r="T49" s="1510"/>
      <c r="U49" s="112"/>
      <c r="V49" s="1525"/>
      <c r="W49" s="1536"/>
      <c r="X49" s="113"/>
      <c r="Y49" s="1550"/>
      <c r="Z49" s="1550"/>
      <c r="AA49" s="1550"/>
      <c r="AB49" s="1551"/>
      <c r="AC49" s="113"/>
      <c r="AD49" s="114"/>
      <c r="AE49" s="114"/>
      <c r="AF49" s="4229"/>
    </row>
    <row r="50" spans="1:32" ht="39.75" customHeight="1">
      <c r="A50" s="4265"/>
      <c r="B50" s="4266"/>
      <c r="C50" s="4241"/>
      <c r="D50" s="4215"/>
      <c r="E50" s="4215"/>
      <c r="F50" s="4215"/>
      <c r="G50" s="4215"/>
      <c r="H50" s="4215"/>
      <c r="I50" s="4215"/>
      <c r="J50" s="4215"/>
      <c r="K50" s="4215"/>
      <c r="L50" s="4215"/>
      <c r="M50" s="4226"/>
      <c r="N50" s="4226"/>
      <c r="O50" s="4226"/>
      <c r="P50" s="4215"/>
      <c r="Q50" s="4215"/>
      <c r="R50" s="4233"/>
      <c r="S50" s="1496"/>
      <c r="T50" s="1507"/>
      <c r="U50" s="107"/>
      <c r="V50" s="1521"/>
      <c r="W50" s="1534"/>
      <c r="X50" s="108"/>
      <c r="Y50" s="1546"/>
      <c r="Z50" s="1546"/>
      <c r="AA50" s="1546"/>
      <c r="AB50" s="1547"/>
      <c r="AC50" s="108"/>
      <c r="AD50" s="107"/>
      <c r="AE50" s="107"/>
      <c r="AF50" s="4230"/>
    </row>
    <row r="51" spans="1:32" ht="39.75" customHeight="1">
      <c r="A51" s="4265"/>
      <c r="B51" s="4266"/>
      <c r="C51" s="4241"/>
      <c r="D51" s="4215"/>
      <c r="E51" s="4215"/>
      <c r="F51" s="4215"/>
      <c r="G51" s="4215"/>
      <c r="H51" s="4215"/>
      <c r="I51" s="4215"/>
      <c r="J51" s="4215"/>
      <c r="K51" s="4215"/>
      <c r="L51" s="4215"/>
      <c r="M51" s="4226"/>
      <c r="N51" s="4226"/>
      <c r="O51" s="4226"/>
      <c r="P51" s="4215"/>
      <c r="Q51" s="4215"/>
      <c r="R51" s="4233"/>
      <c r="S51" s="1497"/>
      <c r="T51" s="1508"/>
      <c r="U51" s="107"/>
      <c r="V51" s="1528"/>
      <c r="W51" s="1534"/>
      <c r="X51" s="108"/>
      <c r="Y51" s="1546"/>
      <c r="Z51" s="1546"/>
      <c r="AA51" s="1546"/>
      <c r="AB51" s="1547"/>
      <c r="AC51" s="108"/>
      <c r="AD51" s="107"/>
      <c r="AE51" s="107"/>
      <c r="AF51" s="4230"/>
    </row>
    <row r="52" spans="1:32" ht="39.75" customHeight="1">
      <c r="A52" s="4265"/>
      <c r="B52" s="4266"/>
      <c r="C52" s="4241"/>
      <c r="D52" s="4215"/>
      <c r="E52" s="4215"/>
      <c r="F52" s="4215"/>
      <c r="G52" s="4215"/>
      <c r="H52" s="4215"/>
      <c r="I52" s="4215"/>
      <c r="J52" s="4215"/>
      <c r="K52" s="4215"/>
      <c r="L52" s="4215"/>
      <c r="M52" s="4226"/>
      <c r="N52" s="4226"/>
      <c r="O52" s="4226"/>
      <c r="P52" s="4215"/>
      <c r="Q52" s="4215"/>
      <c r="R52" s="4233"/>
      <c r="S52" s="1496"/>
      <c r="T52" s="1507"/>
      <c r="U52" s="107"/>
      <c r="V52" s="1521"/>
      <c r="W52" s="1534"/>
      <c r="X52" s="108"/>
      <c r="Y52" s="1546"/>
      <c r="Z52" s="1546"/>
      <c r="AA52" s="1546"/>
      <c r="AB52" s="1547"/>
      <c r="AC52" s="108"/>
      <c r="AD52" s="107"/>
      <c r="AE52" s="107"/>
      <c r="AF52" s="4230"/>
    </row>
    <row r="53" spans="1:32" ht="39.75" customHeight="1">
      <c r="A53" s="4267"/>
      <c r="B53" s="4268"/>
      <c r="C53" s="4242"/>
      <c r="D53" s="4216"/>
      <c r="E53" s="4216"/>
      <c r="F53" s="4216"/>
      <c r="G53" s="4216"/>
      <c r="H53" s="4216"/>
      <c r="I53" s="4216"/>
      <c r="J53" s="4216"/>
      <c r="K53" s="4216"/>
      <c r="L53" s="4216"/>
      <c r="M53" s="4247"/>
      <c r="N53" s="4247"/>
      <c r="O53" s="4247"/>
      <c r="P53" s="4216"/>
      <c r="Q53" s="4216"/>
      <c r="R53" s="4258"/>
      <c r="S53" s="1498"/>
      <c r="T53" s="1509"/>
      <c r="U53" s="110"/>
      <c r="V53" s="1522"/>
      <c r="W53" s="1535"/>
      <c r="X53" s="111"/>
      <c r="Y53" s="1548"/>
      <c r="Z53" s="1548"/>
      <c r="AA53" s="1548"/>
      <c r="AB53" s="1549"/>
      <c r="AC53" s="111"/>
      <c r="AD53" s="110"/>
      <c r="AE53" s="110"/>
      <c r="AF53" s="4260"/>
    </row>
    <row r="54" spans="1:32" ht="33" customHeight="1">
      <c r="A54" s="4274" t="s">
        <v>198</v>
      </c>
      <c r="B54" s="4275"/>
      <c r="C54" s="4240" t="s">
        <v>272</v>
      </c>
      <c r="D54" s="4214" t="s">
        <v>302</v>
      </c>
      <c r="E54" s="4214" t="s">
        <v>303</v>
      </c>
      <c r="F54" s="4214" t="s">
        <v>304</v>
      </c>
      <c r="G54" s="4217" t="s">
        <v>305</v>
      </c>
      <c r="H54" s="4214" t="s">
        <v>306</v>
      </c>
      <c r="I54" s="4214" t="s">
        <v>257</v>
      </c>
      <c r="J54" s="4218" t="s">
        <v>3720</v>
      </c>
      <c r="K54" s="4214" t="s">
        <v>307</v>
      </c>
      <c r="L54" s="4214" t="s">
        <v>308</v>
      </c>
      <c r="M54" s="4246">
        <v>0</v>
      </c>
      <c r="N54" s="4246">
        <v>200</v>
      </c>
      <c r="O54" s="4246">
        <v>150</v>
      </c>
      <c r="P54" s="4228" t="s">
        <v>3643</v>
      </c>
      <c r="Q54" s="4228" t="s">
        <v>3656</v>
      </c>
      <c r="R54" s="4232" t="s">
        <v>3882</v>
      </c>
      <c r="S54" s="1501"/>
      <c r="T54" s="1511"/>
      <c r="U54" s="1491"/>
      <c r="V54" s="1581"/>
      <c r="W54" s="1539"/>
      <c r="X54" s="1493"/>
      <c r="Y54" s="1555"/>
      <c r="Z54" s="1555"/>
      <c r="AA54" s="1550"/>
      <c r="AB54" s="1551"/>
      <c r="AC54" s="113"/>
      <c r="AD54" s="114"/>
      <c r="AE54" s="114"/>
      <c r="AF54" s="4229"/>
    </row>
    <row r="55" spans="1:32" ht="33" customHeight="1">
      <c r="A55" s="4276"/>
      <c r="B55" s="4277"/>
      <c r="C55" s="4241"/>
      <c r="D55" s="4215"/>
      <c r="E55" s="4215"/>
      <c r="F55" s="4215"/>
      <c r="G55" s="4215"/>
      <c r="H55" s="4215"/>
      <c r="I55" s="4215"/>
      <c r="J55" s="4215"/>
      <c r="K55" s="4215"/>
      <c r="L55" s="4215"/>
      <c r="M55" s="4226"/>
      <c r="N55" s="4226"/>
      <c r="O55" s="4226"/>
      <c r="P55" s="4215"/>
      <c r="Q55" s="4215"/>
      <c r="R55" s="4233"/>
      <c r="S55" s="1496"/>
      <c r="T55" s="1507"/>
      <c r="U55" s="107"/>
      <c r="V55" s="1521"/>
      <c r="W55" s="1534"/>
      <c r="X55" s="108"/>
      <c r="Y55" s="1546"/>
      <c r="Z55" s="1546"/>
      <c r="AA55" s="1546"/>
      <c r="AB55" s="1547"/>
      <c r="AC55" s="108"/>
      <c r="AD55" s="107"/>
      <c r="AE55" s="107"/>
      <c r="AF55" s="4230"/>
    </row>
    <row r="56" spans="1:32" ht="33" customHeight="1">
      <c r="A56" s="4276"/>
      <c r="B56" s="4277"/>
      <c r="C56" s="4241"/>
      <c r="D56" s="4215"/>
      <c r="E56" s="4215"/>
      <c r="F56" s="4215"/>
      <c r="G56" s="4215"/>
      <c r="H56" s="4215"/>
      <c r="I56" s="4215"/>
      <c r="J56" s="4215"/>
      <c r="K56" s="4215"/>
      <c r="L56" s="4215"/>
      <c r="M56" s="4226"/>
      <c r="N56" s="4226"/>
      <c r="O56" s="4226"/>
      <c r="P56" s="4215"/>
      <c r="Q56" s="4215"/>
      <c r="R56" s="4233"/>
      <c r="S56" s="1496"/>
      <c r="T56" s="1507"/>
      <c r="U56" s="107"/>
      <c r="V56" s="1521"/>
      <c r="W56" s="1534"/>
      <c r="X56" s="108"/>
      <c r="Y56" s="1546"/>
      <c r="Z56" s="1546"/>
      <c r="AA56" s="1546"/>
      <c r="AB56" s="1547"/>
      <c r="AC56" s="108"/>
      <c r="AD56" s="107"/>
      <c r="AE56" s="107"/>
      <c r="AF56" s="4230"/>
    </row>
    <row r="57" spans="1:32" ht="33" customHeight="1">
      <c r="A57" s="4276"/>
      <c r="B57" s="4277"/>
      <c r="C57" s="4241"/>
      <c r="D57" s="4215"/>
      <c r="E57" s="4215"/>
      <c r="F57" s="4215"/>
      <c r="G57" s="4215"/>
      <c r="H57" s="4215"/>
      <c r="I57" s="4215"/>
      <c r="J57" s="4215"/>
      <c r="K57" s="4215"/>
      <c r="L57" s="4215"/>
      <c r="M57" s="4226"/>
      <c r="N57" s="4226"/>
      <c r="O57" s="4226"/>
      <c r="P57" s="4215"/>
      <c r="Q57" s="4215"/>
      <c r="R57" s="4233"/>
      <c r="S57" s="1496"/>
      <c r="T57" s="1507"/>
      <c r="U57" s="107"/>
      <c r="V57" s="1521"/>
      <c r="W57" s="1534"/>
      <c r="X57" s="108"/>
      <c r="Y57" s="1546"/>
      <c r="Z57" s="1546"/>
      <c r="AA57" s="1546"/>
      <c r="AB57" s="1547"/>
      <c r="AC57" s="108"/>
      <c r="AD57" s="107"/>
      <c r="AE57" s="107"/>
      <c r="AF57" s="4230"/>
    </row>
    <row r="58" spans="1:32" ht="33" customHeight="1">
      <c r="A58" s="4276"/>
      <c r="B58" s="4277"/>
      <c r="C58" s="4242"/>
      <c r="D58" s="4216"/>
      <c r="E58" s="4216"/>
      <c r="F58" s="4216"/>
      <c r="G58" s="4216"/>
      <c r="H58" s="4216"/>
      <c r="I58" s="4216"/>
      <c r="J58" s="4216"/>
      <c r="K58" s="4216"/>
      <c r="L58" s="4216"/>
      <c r="M58" s="4247"/>
      <c r="N58" s="4247"/>
      <c r="O58" s="4247"/>
      <c r="P58" s="4216"/>
      <c r="Q58" s="4216"/>
      <c r="R58" s="4258"/>
      <c r="S58" s="1498"/>
      <c r="T58" s="1509"/>
      <c r="U58" s="110"/>
      <c r="V58" s="1522"/>
      <c r="W58" s="1535"/>
      <c r="X58" s="111"/>
      <c r="Y58" s="1548"/>
      <c r="Z58" s="1548"/>
      <c r="AA58" s="1548"/>
      <c r="AB58" s="1549"/>
      <c r="AC58" s="111"/>
      <c r="AD58" s="110"/>
      <c r="AE58" s="110"/>
      <c r="AF58" s="4260"/>
    </row>
    <row r="59" spans="1:32" ht="43.5" customHeight="1">
      <c r="A59" s="4276"/>
      <c r="B59" s="4277"/>
      <c r="C59" s="4240" t="s">
        <v>235</v>
      </c>
      <c r="D59" s="4214" t="s">
        <v>236</v>
      </c>
      <c r="E59" s="4214" t="s">
        <v>244</v>
      </c>
      <c r="F59" s="4214" t="s">
        <v>309</v>
      </c>
      <c r="G59" s="4217" t="s">
        <v>239</v>
      </c>
      <c r="H59" s="4214" t="s">
        <v>240</v>
      </c>
      <c r="I59" s="4214" t="s">
        <v>278</v>
      </c>
      <c r="J59" s="4218" t="s">
        <v>3721</v>
      </c>
      <c r="K59" s="4214" t="s">
        <v>310</v>
      </c>
      <c r="L59" s="4214" t="s">
        <v>311</v>
      </c>
      <c r="M59" s="4246">
        <v>10</v>
      </c>
      <c r="N59" s="4246">
        <v>20</v>
      </c>
      <c r="O59" s="4246">
        <v>12</v>
      </c>
      <c r="P59" s="4228" t="s">
        <v>3644</v>
      </c>
      <c r="Q59" s="4228" t="s">
        <v>3655</v>
      </c>
      <c r="R59" s="4232" t="s">
        <v>3883</v>
      </c>
      <c r="S59" s="1500"/>
      <c r="T59" s="1510"/>
      <c r="U59" s="112"/>
      <c r="V59" s="1525"/>
      <c r="W59" s="1536"/>
      <c r="X59" s="113"/>
      <c r="Y59" s="1550"/>
      <c r="Z59" s="1555"/>
      <c r="AA59" s="1550"/>
      <c r="AB59" s="1551"/>
      <c r="AC59" s="113"/>
      <c r="AD59" s="114"/>
      <c r="AE59" s="114"/>
      <c r="AF59" s="4229"/>
    </row>
    <row r="60" spans="1:32" ht="43.5" customHeight="1">
      <c r="A60" s="4276"/>
      <c r="B60" s="4277"/>
      <c r="C60" s="4241"/>
      <c r="D60" s="4215"/>
      <c r="E60" s="4215"/>
      <c r="F60" s="4215"/>
      <c r="G60" s="4215"/>
      <c r="H60" s="4215"/>
      <c r="I60" s="4215"/>
      <c r="J60" s="4215"/>
      <c r="K60" s="4215"/>
      <c r="L60" s="4215"/>
      <c r="M60" s="4226"/>
      <c r="N60" s="4226"/>
      <c r="O60" s="4226"/>
      <c r="P60" s="4215"/>
      <c r="Q60" s="4215"/>
      <c r="R60" s="4233"/>
      <c r="S60" s="1496"/>
      <c r="T60" s="1507"/>
      <c r="U60" s="107"/>
      <c r="V60" s="1521"/>
      <c r="W60" s="1534"/>
      <c r="X60" s="108"/>
      <c r="Y60" s="1546"/>
      <c r="Z60" s="1546"/>
      <c r="AA60" s="1546"/>
      <c r="AB60" s="1547"/>
      <c r="AC60" s="108"/>
      <c r="AD60" s="107"/>
      <c r="AE60" s="107"/>
      <c r="AF60" s="4230"/>
    </row>
    <row r="61" spans="1:32" ht="43.5" customHeight="1">
      <c r="A61" s="4276"/>
      <c r="B61" s="4277"/>
      <c r="C61" s="4241"/>
      <c r="D61" s="4215"/>
      <c r="E61" s="4215"/>
      <c r="F61" s="4215"/>
      <c r="G61" s="4215"/>
      <c r="H61" s="4215"/>
      <c r="I61" s="4215"/>
      <c r="J61" s="4215"/>
      <c r="K61" s="4215"/>
      <c r="L61" s="4215"/>
      <c r="M61" s="4226"/>
      <c r="N61" s="4226"/>
      <c r="O61" s="4226"/>
      <c r="P61" s="4215"/>
      <c r="Q61" s="4215"/>
      <c r="R61" s="4233"/>
      <c r="S61" s="1496"/>
      <c r="T61" s="1507"/>
      <c r="U61" s="107"/>
      <c r="V61" s="1521"/>
      <c r="W61" s="1534"/>
      <c r="X61" s="108"/>
      <c r="Y61" s="1546"/>
      <c r="Z61" s="1546"/>
      <c r="AA61" s="1546"/>
      <c r="AB61" s="1547"/>
      <c r="AC61" s="108"/>
      <c r="AD61" s="107"/>
      <c r="AE61" s="107"/>
      <c r="AF61" s="4230"/>
    </row>
    <row r="62" spans="1:32" ht="43.5" customHeight="1">
      <c r="A62" s="4276"/>
      <c r="B62" s="4277"/>
      <c r="C62" s="4241"/>
      <c r="D62" s="4215"/>
      <c r="E62" s="4215"/>
      <c r="F62" s="4215"/>
      <c r="G62" s="4215"/>
      <c r="H62" s="4215"/>
      <c r="I62" s="4215"/>
      <c r="J62" s="4215"/>
      <c r="K62" s="4215"/>
      <c r="L62" s="4215"/>
      <c r="M62" s="4226"/>
      <c r="N62" s="4226"/>
      <c r="O62" s="4226"/>
      <c r="P62" s="4215"/>
      <c r="Q62" s="4215"/>
      <c r="R62" s="4233"/>
      <c r="S62" s="1496"/>
      <c r="T62" s="1507"/>
      <c r="U62" s="107"/>
      <c r="V62" s="1521"/>
      <c r="W62" s="1534"/>
      <c r="X62" s="108"/>
      <c r="Y62" s="1546"/>
      <c r="Z62" s="1546"/>
      <c r="AA62" s="1546"/>
      <c r="AB62" s="1547"/>
      <c r="AC62" s="108"/>
      <c r="AD62" s="107"/>
      <c r="AE62" s="107"/>
      <c r="AF62" s="4230"/>
    </row>
    <row r="63" spans="1:32" ht="43.5" customHeight="1">
      <c r="A63" s="4276"/>
      <c r="B63" s="4277"/>
      <c r="C63" s="4242"/>
      <c r="D63" s="4216"/>
      <c r="E63" s="4216"/>
      <c r="F63" s="4216"/>
      <c r="G63" s="4216"/>
      <c r="H63" s="4216"/>
      <c r="I63" s="4216"/>
      <c r="J63" s="4216"/>
      <c r="K63" s="4216"/>
      <c r="L63" s="4216"/>
      <c r="M63" s="4247"/>
      <c r="N63" s="4247"/>
      <c r="O63" s="4247"/>
      <c r="P63" s="4216"/>
      <c r="Q63" s="4216"/>
      <c r="R63" s="4258"/>
      <c r="S63" s="1502"/>
      <c r="T63" s="1512"/>
      <c r="U63" s="118"/>
      <c r="V63" s="1529"/>
      <c r="W63" s="1540"/>
      <c r="X63" s="119"/>
      <c r="Y63" s="1556"/>
      <c r="Z63" s="1556"/>
      <c r="AA63" s="1556"/>
      <c r="AB63" s="1549"/>
      <c r="AC63" s="119"/>
      <c r="AD63" s="118"/>
      <c r="AE63" s="110"/>
      <c r="AF63" s="4260"/>
    </row>
    <row r="64" spans="1:32" ht="32.25" customHeight="1">
      <c r="A64" s="4276"/>
      <c r="B64" s="4277"/>
      <c r="C64" s="4240" t="s">
        <v>272</v>
      </c>
      <c r="D64" s="4214" t="s">
        <v>273</v>
      </c>
      <c r="E64" s="4214" t="s">
        <v>312</v>
      </c>
      <c r="F64" s="4214" t="s">
        <v>313</v>
      </c>
      <c r="G64" s="4217" t="s">
        <v>276</v>
      </c>
      <c r="H64" s="4214" t="s">
        <v>314</v>
      </c>
      <c r="I64" s="4214" t="s">
        <v>257</v>
      </c>
      <c r="J64" s="4218" t="s">
        <v>3722</v>
      </c>
      <c r="K64" s="4214" t="s">
        <v>315</v>
      </c>
      <c r="L64" s="4214" t="s">
        <v>316</v>
      </c>
      <c r="M64" s="4246">
        <v>10</v>
      </c>
      <c r="N64" s="4246">
        <v>15</v>
      </c>
      <c r="O64" s="4246">
        <v>5</v>
      </c>
      <c r="P64" s="4228" t="s">
        <v>3645</v>
      </c>
      <c r="Q64" s="4228" t="s">
        <v>3654</v>
      </c>
      <c r="R64" s="4232" t="s">
        <v>3884</v>
      </c>
      <c r="S64" s="1499" t="s">
        <v>11</v>
      </c>
      <c r="T64" s="1510">
        <v>530304</v>
      </c>
      <c r="U64" s="114"/>
      <c r="V64" s="1523" t="s">
        <v>12</v>
      </c>
      <c r="W64" s="1536"/>
      <c r="X64" s="113"/>
      <c r="Y64" s="1550"/>
      <c r="Z64" s="1550"/>
      <c r="AA64" s="1550"/>
      <c r="AB64" s="1552">
        <f>SUM($AA$65)</f>
        <v>8400</v>
      </c>
      <c r="AC64" s="113"/>
      <c r="AD64" s="114"/>
      <c r="AE64" s="114"/>
      <c r="AF64" s="4229"/>
    </row>
    <row r="65" spans="1:32" ht="32.25" customHeight="1">
      <c r="A65" s="4276"/>
      <c r="B65" s="4277"/>
      <c r="C65" s="4241"/>
      <c r="D65" s="4215"/>
      <c r="E65" s="4215"/>
      <c r="F65" s="4215"/>
      <c r="G65" s="4215"/>
      <c r="H65" s="4215"/>
      <c r="I65" s="4215"/>
      <c r="J65" s="4215"/>
      <c r="K65" s="4215"/>
      <c r="L65" s="4215"/>
      <c r="M65" s="4226"/>
      <c r="N65" s="4226"/>
      <c r="O65" s="4226"/>
      <c r="P65" s="4215"/>
      <c r="Q65" s="4215"/>
      <c r="R65" s="4233"/>
      <c r="S65" s="1496"/>
      <c r="T65" s="1508"/>
      <c r="U65" s="107" t="s">
        <v>317</v>
      </c>
      <c r="V65" s="1524" t="s">
        <v>12</v>
      </c>
      <c r="W65" s="1534">
        <v>1</v>
      </c>
      <c r="X65" s="117" t="s">
        <v>250</v>
      </c>
      <c r="Y65" s="1546">
        <v>7500</v>
      </c>
      <c r="Z65" s="1546">
        <f>W65*Y65</f>
        <v>7500</v>
      </c>
      <c r="AA65" s="1546">
        <f>Z65*1.12</f>
        <v>8400</v>
      </c>
      <c r="AB65" s="1547"/>
      <c r="AC65" s="117" t="s">
        <v>251</v>
      </c>
      <c r="AD65" s="107" t="s">
        <v>251</v>
      </c>
      <c r="AE65" s="107" t="s">
        <v>251</v>
      </c>
      <c r="AF65" s="4230"/>
    </row>
    <row r="66" spans="1:32" ht="32.25" customHeight="1">
      <c r="A66" s="4276"/>
      <c r="B66" s="4277"/>
      <c r="C66" s="4241"/>
      <c r="D66" s="4215"/>
      <c r="E66" s="4215"/>
      <c r="F66" s="4215"/>
      <c r="G66" s="4215"/>
      <c r="H66" s="4215"/>
      <c r="I66" s="4215"/>
      <c r="J66" s="4215"/>
      <c r="K66" s="4215"/>
      <c r="L66" s="4215"/>
      <c r="M66" s="4226"/>
      <c r="N66" s="4226"/>
      <c r="O66" s="4226"/>
      <c r="P66" s="4215"/>
      <c r="Q66" s="4215"/>
      <c r="R66" s="4233"/>
      <c r="S66" s="1496"/>
      <c r="T66" s="1508"/>
      <c r="U66" s="107"/>
      <c r="V66" s="1521"/>
      <c r="W66" s="1534"/>
      <c r="X66" s="108"/>
      <c r="Y66" s="1546"/>
      <c r="Z66" s="1546"/>
      <c r="AA66" s="1546"/>
      <c r="AB66" s="1547"/>
      <c r="AC66" s="108"/>
      <c r="AD66" s="107"/>
      <c r="AE66" s="107"/>
      <c r="AF66" s="4230"/>
    </row>
    <row r="67" spans="1:32" ht="32.25" customHeight="1">
      <c r="A67" s="4276"/>
      <c r="B67" s="4277"/>
      <c r="C67" s="4241"/>
      <c r="D67" s="4215"/>
      <c r="E67" s="4215"/>
      <c r="F67" s="4215"/>
      <c r="G67" s="4215"/>
      <c r="H67" s="4215"/>
      <c r="I67" s="4215"/>
      <c r="J67" s="4215"/>
      <c r="K67" s="4215"/>
      <c r="L67" s="4215"/>
      <c r="M67" s="4226"/>
      <c r="N67" s="4226"/>
      <c r="O67" s="4226"/>
      <c r="P67" s="4215"/>
      <c r="Q67" s="4215"/>
      <c r="R67" s="4233"/>
      <c r="S67" s="1496"/>
      <c r="T67" s="1508"/>
      <c r="U67" s="107"/>
      <c r="V67" s="1528"/>
      <c r="W67" s="1534"/>
      <c r="X67" s="108"/>
      <c r="Y67" s="1546"/>
      <c r="Z67" s="1546"/>
      <c r="AA67" s="1546"/>
      <c r="AB67" s="1547"/>
      <c r="AC67" s="108"/>
      <c r="AD67" s="107"/>
      <c r="AE67" s="107"/>
      <c r="AF67" s="4230"/>
    </row>
    <row r="68" spans="1:32" ht="32.25" customHeight="1">
      <c r="A68" s="4276"/>
      <c r="B68" s="4277"/>
      <c r="C68" s="4242"/>
      <c r="D68" s="4216"/>
      <c r="E68" s="4216"/>
      <c r="F68" s="4216"/>
      <c r="G68" s="4216"/>
      <c r="H68" s="4216"/>
      <c r="I68" s="4216"/>
      <c r="J68" s="4216"/>
      <c r="K68" s="4216"/>
      <c r="L68" s="4216"/>
      <c r="M68" s="4247"/>
      <c r="N68" s="4247"/>
      <c r="O68" s="4247"/>
      <c r="P68" s="4216"/>
      <c r="Q68" s="4216"/>
      <c r="R68" s="4258"/>
      <c r="S68" s="1498"/>
      <c r="T68" s="1513"/>
      <c r="U68" s="110"/>
      <c r="V68" s="1522"/>
      <c r="W68" s="1535"/>
      <c r="X68" s="111"/>
      <c r="Y68" s="1548"/>
      <c r="Z68" s="1548"/>
      <c r="AA68" s="1548"/>
      <c r="AB68" s="1549"/>
      <c r="AC68" s="111"/>
      <c r="AD68" s="110"/>
      <c r="AE68" s="110"/>
      <c r="AF68" s="4260"/>
    </row>
    <row r="69" spans="1:32" ht="30.75" customHeight="1">
      <c r="A69" s="4276"/>
      <c r="B69" s="4277"/>
      <c r="C69" s="4240" t="s">
        <v>272</v>
      </c>
      <c r="D69" s="4214" t="s">
        <v>302</v>
      </c>
      <c r="E69" s="4219" t="s">
        <v>303</v>
      </c>
      <c r="F69" s="4219" t="s">
        <v>318</v>
      </c>
      <c r="G69" s="4217" t="s">
        <v>305</v>
      </c>
      <c r="H69" s="4214" t="s">
        <v>256</v>
      </c>
      <c r="I69" s="4214" t="s">
        <v>294</v>
      </c>
      <c r="J69" s="4218" t="s">
        <v>3723</v>
      </c>
      <c r="K69" s="4214" t="s">
        <v>319</v>
      </c>
      <c r="L69" s="4273" t="s">
        <v>320</v>
      </c>
      <c r="M69" s="4246">
        <v>8</v>
      </c>
      <c r="N69" s="4246">
        <v>4</v>
      </c>
      <c r="O69" s="4246">
        <v>2</v>
      </c>
      <c r="P69" s="4228" t="s">
        <v>3646</v>
      </c>
      <c r="Q69" s="4228" t="s">
        <v>3653</v>
      </c>
      <c r="R69" s="4232" t="s">
        <v>3885</v>
      </c>
      <c r="S69" s="1499" t="s">
        <v>11</v>
      </c>
      <c r="T69" s="1514" t="s">
        <v>21</v>
      </c>
      <c r="U69" s="112"/>
      <c r="V69" s="1523" t="s">
        <v>20</v>
      </c>
      <c r="W69" s="1536"/>
      <c r="X69" s="113"/>
      <c r="Y69" s="1550"/>
      <c r="Z69" s="1550"/>
      <c r="AA69" s="1550"/>
      <c r="AB69" s="1547">
        <f>SUM($AA$70:$AA$72)</f>
        <v>564.48</v>
      </c>
      <c r="AC69" s="113"/>
      <c r="AD69" s="114"/>
      <c r="AE69" s="114"/>
      <c r="AF69" s="4229"/>
    </row>
    <row r="70" spans="1:32" ht="30.75" customHeight="1">
      <c r="A70" s="4276"/>
      <c r="B70" s="4277"/>
      <c r="C70" s="4241"/>
      <c r="D70" s="4215"/>
      <c r="E70" s="4215"/>
      <c r="F70" s="4215"/>
      <c r="G70" s="4215"/>
      <c r="H70" s="4215"/>
      <c r="I70" s="4215"/>
      <c r="J70" s="4215"/>
      <c r="K70" s="4215"/>
      <c r="L70" s="4215"/>
      <c r="M70" s="4226"/>
      <c r="N70" s="4226"/>
      <c r="O70" s="4226"/>
      <c r="P70" s="4215"/>
      <c r="Q70" s="4215"/>
      <c r="R70" s="4233"/>
      <c r="S70" s="1496"/>
      <c r="T70" s="1507"/>
      <c r="U70" s="1518" t="s">
        <v>321</v>
      </c>
      <c r="V70" s="1573" t="s">
        <v>3872</v>
      </c>
      <c r="W70" s="1534">
        <v>2</v>
      </c>
      <c r="X70" s="117" t="s">
        <v>322</v>
      </c>
      <c r="Y70" s="1546">
        <v>87</v>
      </c>
      <c r="Z70" s="1546">
        <f t="shared" ref="Z70:Z72" si="4">W70*Y70</f>
        <v>174</v>
      </c>
      <c r="AA70" s="1546">
        <f t="shared" ref="AA70:AA72" si="5">Z70*1.12</f>
        <v>194.88000000000002</v>
      </c>
      <c r="AB70" s="1547"/>
      <c r="AC70" s="117"/>
      <c r="AD70" s="107" t="s">
        <v>251</v>
      </c>
      <c r="AE70" s="107"/>
      <c r="AF70" s="4230"/>
    </row>
    <row r="71" spans="1:32" ht="30.75" customHeight="1">
      <c r="A71" s="4276"/>
      <c r="B71" s="4277"/>
      <c r="C71" s="4241"/>
      <c r="D71" s="4215"/>
      <c r="E71" s="4215"/>
      <c r="F71" s="4215"/>
      <c r="G71" s="4215"/>
      <c r="H71" s="4215"/>
      <c r="I71" s="4215"/>
      <c r="J71" s="4215"/>
      <c r="K71" s="4215"/>
      <c r="L71" s="4215"/>
      <c r="M71" s="4226"/>
      <c r="N71" s="4226"/>
      <c r="O71" s="4226"/>
      <c r="P71" s="4215"/>
      <c r="Q71" s="4215"/>
      <c r="R71" s="4233"/>
      <c r="S71" s="1496"/>
      <c r="T71" s="1507"/>
      <c r="U71" s="1518" t="s">
        <v>323</v>
      </c>
      <c r="V71" s="1573" t="s">
        <v>3633</v>
      </c>
      <c r="W71" s="1534">
        <v>3</v>
      </c>
      <c r="X71" s="117" t="s">
        <v>322</v>
      </c>
      <c r="Y71" s="1546">
        <v>60</v>
      </c>
      <c r="Z71" s="1546">
        <f t="shared" si="4"/>
        <v>180</v>
      </c>
      <c r="AA71" s="1546">
        <f t="shared" si="5"/>
        <v>201.60000000000002</v>
      </c>
      <c r="AB71" s="1547"/>
      <c r="AC71" s="117"/>
      <c r="AD71" s="107" t="s">
        <v>251</v>
      </c>
      <c r="AE71" s="107"/>
      <c r="AF71" s="4230"/>
    </row>
    <row r="72" spans="1:32" ht="30.75" customHeight="1">
      <c r="A72" s="4276"/>
      <c r="B72" s="4277"/>
      <c r="C72" s="4241"/>
      <c r="D72" s="4215"/>
      <c r="E72" s="4215"/>
      <c r="F72" s="4215"/>
      <c r="G72" s="4215"/>
      <c r="H72" s="4215"/>
      <c r="I72" s="4215"/>
      <c r="J72" s="4215"/>
      <c r="K72" s="4215"/>
      <c r="L72" s="4215"/>
      <c r="M72" s="4226"/>
      <c r="N72" s="4226"/>
      <c r="O72" s="4226"/>
      <c r="P72" s="4215"/>
      <c r="Q72" s="4215"/>
      <c r="R72" s="4233"/>
      <c r="S72" s="1496"/>
      <c r="T72" s="1507"/>
      <c r="U72" s="1518" t="s">
        <v>324</v>
      </c>
      <c r="V72" s="1524" t="s">
        <v>325</v>
      </c>
      <c r="W72" s="1534">
        <v>3</v>
      </c>
      <c r="X72" s="117" t="s">
        <v>322</v>
      </c>
      <c r="Y72" s="1546">
        <v>50</v>
      </c>
      <c r="Z72" s="1546">
        <f t="shared" si="4"/>
        <v>150</v>
      </c>
      <c r="AA72" s="1546">
        <f t="shared" si="5"/>
        <v>168.00000000000003</v>
      </c>
      <c r="AB72" s="1547"/>
      <c r="AC72" s="117"/>
      <c r="AD72" s="107" t="s">
        <v>251</v>
      </c>
      <c r="AE72" s="107"/>
      <c r="AF72" s="4230"/>
    </row>
    <row r="73" spans="1:32" ht="30.75" customHeight="1">
      <c r="A73" s="4276"/>
      <c r="B73" s="4277"/>
      <c r="C73" s="4242"/>
      <c r="D73" s="4216"/>
      <c r="E73" s="4216"/>
      <c r="F73" s="4216"/>
      <c r="G73" s="4216"/>
      <c r="H73" s="4216"/>
      <c r="I73" s="4216"/>
      <c r="J73" s="4216"/>
      <c r="K73" s="4216"/>
      <c r="L73" s="4216"/>
      <c r="M73" s="4247"/>
      <c r="N73" s="4247"/>
      <c r="O73" s="4247"/>
      <c r="P73" s="4216"/>
      <c r="Q73" s="4216"/>
      <c r="R73" s="4258"/>
      <c r="S73" s="1498"/>
      <c r="T73" s="1509"/>
      <c r="U73" s="110"/>
      <c r="V73" s="1522"/>
      <c r="W73" s="1535"/>
      <c r="X73" s="111"/>
      <c r="Y73" s="1548"/>
      <c r="Z73" s="1548"/>
      <c r="AA73" s="1548"/>
      <c r="AB73" s="1549"/>
      <c r="AC73" s="111"/>
      <c r="AD73" s="110"/>
      <c r="AE73" s="110"/>
      <c r="AF73" s="4260"/>
    </row>
    <row r="74" spans="1:32" ht="39" customHeight="1">
      <c r="A74" s="4276"/>
      <c r="B74" s="4277"/>
      <c r="C74" s="4240" t="s">
        <v>235</v>
      </c>
      <c r="D74" s="4214" t="s">
        <v>236</v>
      </c>
      <c r="E74" s="4214" t="s">
        <v>237</v>
      </c>
      <c r="F74" s="4214" t="s">
        <v>326</v>
      </c>
      <c r="G74" s="4217" t="s">
        <v>239</v>
      </c>
      <c r="H74" s="4214" t="s">
        <v>240</v>
      </c>
      <c r="I74" s="4214" t="s">
        <v>294</v>
      </c>
      <c r="J74" s="4218" t="s">
        <v>3724</v>
      </c>
      <c r="K74" s="4214" t="s">
        <v>327</v>
      </c>
      <c r="L74" s="4273" t="s">
        <v>328</v>
      </c>
      <c r="M74" s="4246">
        <v>10</v>
      </c>
      <c r="N74" s="4246">
        <v>15</v>
      </c>
      <c r="O74" s="4246">
        <v>20</v>
      </c>
      <c r="P74" s="4228" t="s">
        <v>3647</v>
      </c>
      <c r="Q74" s="4228" t="s">
        <v>3652</v>
      </c>
      <c r="R74" s="4232" t="s">
        <v>3886</v>
      </c>
      <c r="S74" s="1499" t="s">
        <v>17</v>
      </c>
      <c r="T74" s="1510">
        <v>840103</v>
      </c>
      <c r="U74" s="112"/>
      <c r="V74" s="1523" t="s">
        <v>22</v>
      </c>
      <c r="W74" s="1536"/>
      <c r="X74" s="113"/>
      <c r="Y74" s="1550"/>
      <c r="Z74" s="1550"/>
      <c r="AA74" s="1550"/>
      <c r="AB74" s="1547">
        <f>SUM($AA$75:$AA$77)</f>
        <v>3505.7872928000006</v>
      </c>
      <c r="AC74" s="113"/>
      <c r="AD74" s="114"/>
      <c r="AE74" s="114"/>
      <c r="AF74" s="4229"/>
    </row>
    <row r="75" spans="1:32" ht="39" customHeight="1">
      <c r="A75" s="4276"/>
      <c r="B75" s="4277"/>
      <c r="C75" s="4241"/>
      <c r="D75" s="4215"/>
      <c r="E75" s="4215"/>
      <c r="F75" s="4215"/>
      <c r="G75" s="4215"/>
      <c r="H75" s="4215"/>
      <c r="I75" s="4215"/>
      <c r="J75" s="4215"/>
      <c r="K75" s="4215"/>
      <c r="L75" s="4215"/>
      <c r="M75" s="4226"/>
      <c r="N75" s="4226"/>
      <c r="O75" s="4226"/>
      <c r="P75" s="4215"/>
      <c r="Q75" s="4215"/>
      <c r="R75" s="4233"/>
      <c r="S75" s="1496"/>
      <c r="T75" s="1507"/>
      <c r="U75" s="1518" t="s">
        <v>329</v>
      </c>
      <c r="V75" s="1524" t="s">
        <v>330</v>
      </c>
      <c r="W75" s="1534">
        <v>3</v>
      </c>
      <c r="X75" s="117" t="s">
        <v>269</v>
      </c>
      <c r="Y75" s="1546">
        <v>850</v>
      </c>
      <c r="Z75" s="1546">
        <f t="shared" ref="Z75:Z76" si="6">W75*Y75</f>
        <v>2550</v>
      </c>
      <c r="AA75" s="1546">
        <f>Z75*1.12-22.2127072</f>
        <v>2833.7872928000006</v>
      </c>
      <c r="AB75" s="1547"/>
      <c r="AC75" s="117"/>
      <c r="AD75" s="107" t="s">
        <v>251</v>
      </c>
      <c r="AE75" s="107"/>
      <c r="AF75" s="4230"/>
    </row>
    <row r="76" spans="1:32" ht="39" customHeight="1">
      <c r="A76" s="4276"/>
      <c r="B76" s="4277"/>
      <c r="C76" s="4241"/>
      <c r="D76" s="4215"/>
      <c r="E76" s="4215"/>
      <c r="F76" s="4215"/>
      <c r="G76" s="4215"/>
      <c r="H76" s="4215"/>
      <c r="I76" s="4215"/>
      <c r="J76" s="4215"/>
      <c r="K76" s="4215"/>
      <c r="L76" s="4215"/>
      <c r="M76" s="4226"/>
      <c r="N76" s="4226"/>
      <c r="O76" s="4226"/>
      <c r="P76" s="4215"/>
      <c r="Q76" s="4215"/>
      <c r="R76" s="4233"/>
      <c r="S76" s="1496"/>
      <c r="T76" s="1507"/>
      <c r="U76" s="1518" t="s">
        <v>331</v>
      </c>
      <c r="V76" s="1524" t="s">
        <v>332</v>
      </c>
      <c r="W76" s="1534">
        <v>4</v>
      </c>
      <c r="X76" s="117" t="s">
        <v>269</v>
      </c>
      <c r="Y76" s="1546">
        <v>150</v>
      </c>
      <c r="Z76" s="1546">
        <f t="shared" si="6"/>
        <v>600</v>
      </c>
      <c r="AA76" s="1546">
        <f>Z76*1.12</f>
        <v>672.00000000000011</v>
      </c>
      <c r="AB76" s="1547"/>
      <c r="AC76" s="117"/>
      <c r="AD76" s="107" t="s">
        <v>251</v>
      </c>
      <c r="AE76" s="107"/>
      <c r="AF76" s="4230"/>
    </row>
    <row r="77" spans="1:32" ht="39" customHeight="1">
      <c r="A77" s="4276"/>
      <c r="B77" s="4277"/>
      <c r="C77" s="4241"/>
      <c r="D77" s="4215"/>
      <c r="E77" s="4215"/>
      <c r="F77" s="4215"/>
      <c r="G77" s="4215"/>
      <c r="H77" s="4215"/>
      <c r="I77" s="4215"/>
      <c r="J77" s="4215"/>
      <c r="K77" s="4215"/>
      <c r="L77" s="4215"/>
      <c r="M77" s="4226"/>
      <c r="N77" s="4226"/>
      <c r="O77" s="4226"/>
      <c r="P77" s="4215"/>
      <c r="Q77" s="4215"/>
      <c r="R77" s="4233"/>
      <c r="S77" s="1496"/>
      <c r="T77" s="1507"/>
      <c r="U77" s="107"/>
      <c r="V77" s="1521"/>
      <c r="W77" s="1534"/>
      <c r="X77" s="108"/>
      <c r="Y77" s="1546"/>
      <c r="Z77" s="1546"/>
      <c r="AA77" s="1546"/>
      <c r="AB77" s="1547"/>
      <c r="AC77" s="108"/>
      <c r="AD77" s="107"/>
      <c r="AE77" s="107"/>
      <c r="AF77" s="4230"/>
    </row>
    <row r="78" spans="1:32" ht="39" customHeight="1">
      <c r="A78" s="4276"/>
      <c r="B78" s="4277"/>
      <c r="C78" s="4242"/>
      <c r="D78" s="4216"/>
      <c r="E78" s="4216"/>
      <c r="F78" s="4216"/>
      <c r="G78" s="4216"/>
      <c r="H78" s="4216"/>
      <c r="I78" s="4216"/>
      <c r="J78" s="4216"/>
      <c r="K78" s="4216"/>
      <c r="L78" s="4216"/>
      <c r="M78" s="4247"/>
      <c r="N78" s="4247"/>
      <c r="O78" s="4247"/>
      <c r="P78" s="4216"/>
      <c r="Q78" s="4216"/>
      <c r="R78" s="4258"/>
      <c r="S78" s="1498"/>
      <c r="T78" s="1509"/>
      <c r="U78" s="110"/>
      <c r="V78" s="1522"/>
      <c r="W78" s="1535"/>
      <c r="X78" s="111"/>
      <c r="Y78" s="1548"/>
      <c r="Z78" s="1548"/>
      <c r="AA78" s="1548"/>
      <c r="AB78" s="1549"/>
      <c r="AC78" s="111"/>
      <c r="AD78" s="110"/>
      <c r="AE78" s="110"/>
      <c r="AF78" s="4260"/>
    </row>
    <row r="79" spans="1:32" ht="41.25" customHeight="1">
      <c r="A79" s="4276"/>
      <c r="B79" s="4277"/>
      <c r="C79" s="4240" t="s">
        <v>235</v>
      </c>
      <c r="D79" s="4214" t="s">
        <v>236</v>
      </c>
      <c r="E79" s="4214" t="s">
        <v>244</v>
      </c>
      <c r="F79" s="4214" t="s">
        <v>245</v>
      </c>
      <c r="G79" s="4217" t="s">
        <v>239</v>
      </c>
      <c r="H79" s="4214" t="s">
        <v>293</v>
      </c>
      <c r="I79" s="4214" t="s">
        <v>241</v>
      </c>
      <c r="J79" s="4218" t="s">
        <v>3725</v>
      </c>
      <c r="K79" s="4214" t="s">
        <v>333</v>
      </c>
      <c r="L79" s="4214" t="s">
        <v>334</v>
      </c>
      <c r="M79" s="4246">
        <v>1</v>
      </c>
      <c r="N79" s="4246">
        <v>2</v>
      </c>
      <c r="O79" s="4246">
        <v>2</v>
      </c>
      <c r="P79" s="4228" t="s">
        <v>3648</v>
      </c>
      <c r="Q79" s="4228" t="s">
        <v>3651</v>
      </c>
      <c r="R79" s="4232" t="s">
        <v>3887</v>
      </c>
      <c r="S79" s="1499" t="s">
        <v>11</v>
      </c>
      <c r="T79" s="1511">
        <v>530402</v>
      </c>
      <c r="U79" s="112"/>
      <c r="V79" s="1526" t="s">
        <v>16</v>
      </c>
      <c r="W79" s="1536"/>
      <c r="X79" s="113"/>
      <c r="Y79" s="1550"/>
      <c r="Z79" s="1550"/>
      <c r="AA79" s="1550"/>
      <c r="AB79" s="1551">
        <f>SUM(AA80)</f>
        <v>18037.804499911999</v>
      </c>
      <c r="AC79" s="113"/>
      <c r="AD79" s="114"/>
      <c r="AE79" s="114"/>
      <c r="AF79" s="4229"/>
    </row>
    <row r="80" spans="1:32" ht="41.25" customHeight="1">
      <c r="A80" s="4276"/>
      <c r="B80" s="4277"/>
      <c r="C80" s="4241"/>
      <c r="D80" s="4215"/>
      <c r="E80" s="4215"/>
      <c r="F80" s="4215"/>
      <c r="G80" s="4215"/>
      <c r="H80" s="4215"/>
      <c r="I80" s="4215"/>
      <c r="J80" s="4215"/>
      <c r="K80" s="4215"/>
      <c r="L80" s="4215"/>
      <c r="M80" s="4226"/>
      <c r="N80" s="4226"/>
      <c r="O80" s="4226"/>
      <c r="P80" s="4215"/>
      <c r="Q80" s="4215"/>
      <c r="R80" s="4233"/>
      <c r="S80" s="1496"/>
      <c r="T80" s="1507"/>
      <c r="U80" s="1582"/>
      <c r="V80" s="1524" t="s">
        <v>335</v>
      </c>
      <c r="W80" s="1534">
        <v>1</v>
      </c>
      <c r="X80" s="117" t="s">
        <v>250</v>
      </c>
      <c r="Y80" s="1546">
        <v>15000</v>
      </c>
      <c r="Z80" s="1546">
        <f t="shared" ref="Z80:Z82" si="7">W80*Y80</f>
        <v>15000</v>
      </c>
      <c r="AA80" s="1546">
        <f>Z80*1.12+1237.8+0.004499912</f>
        <v>18037.804499911999</v>
      </c>
      <c r="AB80" s="1547"/>
      <c r="AC80" s="108"/>
      <c r="AD80" s="107" t="s">
        <v>251</v>
      </c>
      <c r="AE80" s="107" t="s">
        <v>251</v>
      </c>
      <c r="AF80" s="4230"/>
    </row>
    <row r="81" spans="1:32" ht="41.25" customHeight="1">
      <c r="A81" s="4276"/>
      <c r="B81" s="4277"/>
      <c r="C81" s="4241"/>
      <c r="D81" s="4215"/>
      <c r="E81" s="4215"/>
      <c r="F81" s="4215"/>
      <c r="G81" s="4215"/>
      <c r="H81" s="4215"/>
      <c r="I81" s="4215"/>
      <c r="J81" s="4215"/>
      <c r="K81" s="4215"/>
      <c r="L81" s="4215"/>
      <c r="M81" s="4226"/>
      <c r="N81" s="4226"/>
      <c r="O81" s="4226"/>
      <c r="P81" s="4215"/>
      <c r="Q81" s="4215"/>
      <c r="R81" s="4233"/>
      <c r="S81" s="1503"/>
      <c r="T81" s="1515"/>
      <c r="U81" s="120" t="s">
        <v>253</v>
      </c>
      <c r="V81" s="1530" t="s">
        <v>336</v>
      </c>
      <c r="W81" s="1541"/>
      <c r="X81" s="122" t="s">
        <v>250</v>
      </c>
      <c r="Y81" s="1557">
        <v>16900</v>
      </c>
      <c r="Z81" s="1557">
        <f t="shared" si="7"/>
        <v>0</v>
      </c>
      <c r="AA81" s="1557">
        <f t="shared" ref="AA81:AA82" si="8">Z81*1.12</f>
        <v>0</v>
      </c>
      <c r="AB81" s="1558"/>
      <c r="AC81" s="121"/>
      <c r="AD81" s="120" t="s">
        <v>251</v>
      </c>
      <c r="AE81" s="120" t="s">
        <v>251</v>
      </c>
      <c r="AF81" s="4230"/>
    </row>
    <row r="82" spans="1:32" ht="41.25" customHeight="1">
      <c r="A82" s="4276"/>
      <c r="B82" s="4277"/>
      <c r="C82" s="4241"/>
      <c r="D82" s="4215"/>
      <c r="E82" s="4215"/>
      <c r="F82" s="4215"/>
      <c r="G82" s="4215"/>
      <c r="H82" s="4215"/>
      <c r="I82" s="4215"/>
      <c r="J82" s="4215"/>
      <c r="K82" s="4215"/>
      <c r="L82" s="4215"/>
      <c r="M82" s="4226"/>
      <c r="N82" s="4226"/>
      <c r="O82" s="4226"/>
      <c r="P82" s="4215"/>
      <c r="Q82" s="4215"/>
      <c r="R82" s="4233"/>
      <c r="S82" s="1583"/>
      <c r="T82" s="1584"/>
      <c r="U82" s="1585"/>
      <c r="V82" s="1586"/>
      <c r="W82" s="1587"/>
      <c r="X82" s="1588"/>
      <c r="Y82" s="1589"/>
      <c r="Z82" s="1559">
        <f t="shared" si="7"/>
        <v>0</v>
      </c>
      <c r="AA82" s="1559">
        <f t="shared" si="8"/>
        <v>0</v>
      </c>
      <c r="AB82" s="1590"/>
      <c r="AC82" s="1588"/>
      <c r="AD82" s="1585"/>
      <c r="AE82" s="1585"/>
      <c r="AF82" s="4230"/>
    </row>
    <row r="83" spans="1:32" ht="41.25" customHeight="1">
      <c r="A83" s="4276"/>
      <c r="B83" s="4277"/>
      <c r="C83" s="4242"/>
      <c r="D83" s="4216"/>
      <c r="E83" s="4216"/>
      <c r="F83" s="4216"/>
      <c r="G83" s="4216"/>
      <c r="H83" s="4216"/>
      <c r="I83" s="4216"/>
      <c r="J83" s="4216"/>
      <c r="K83" s="4216"/>
      <c r="L83" s="4216"/>
      <c r="M83" s="4247"/>
      <c r="N83" s="4247"/>
      <c r="O83" s="4247"/>
      <c r="P83" s="4216"/>
      <c r="Q83" s="4216"/>
      <c r="R83" s="4258"/>
      <c r="S83" s="1504"/>
      <c r="T83" s="1516"/>
      <c r="U83" s="123"/>
      <c r="V83" s="1531"/>
      <c r="W83" s="1542"/>
      <c r="X83" s="124"/>
      <c r="Y83" s="1560"/>
      <c r="Z83" s="1591"/>
      <c r="AA83" s="1591"/>
      <c r="AB83" s="1561"/>
      <c r="AC83" s="124"/>
      <c r="AD83" s="123"/>
      <c r="AE83" s="123"/>
      <c r="AF83" s="4260"/>
    </row>
    <row r="84" spans="1:32" ht="30" customHeight="1">
      <c r="A84" s="4276"/>
      <c r="B84" s="4277"/>
      <c r="C84" s="4240" t="s">
        <v>235</v>
      </c>
      <c r="D84" s="4214" t="s">
        <v>236</v>
      </c>
      <c r="E84" s="4214" t="s">
        <v>244</v>
      </c>
      <c r="F84" s="4214" t="s">
        <v>337</v>
      </c>
      <c r="G84" s="4217" t="s">
        <v>239</v>
      </c>
      <c r="H84" s="4214" t="s">
        <v>240</v>
      </c>
      <c r="I84" s="4214" t="s">
        <v>257</v>
      </c>
      <c r="J84" s="4218" t="s">
        <v>3726</v>
      </c>
      <c r="K84" s="4214" t="s">
        <v>338</v>
      </c>
      <c r="L84" s="4214" t="s">
        <v>339</v>
      </c>
      <c r="M84" s="4225">
        <v>0</v>
      </c>
      <c r="N84" s="4225">
        <v>1</v>
      </c>
      <c r="O84" s="4225">
        <v>1</v>
      </c>
      <c r="P84" s="4228" t="s">
        <v>3649</v>
      </c>
      <c r="Q84" s="4228" t="s">
        <v>3650</v>
      </c>
      <c r="R84" s="4232" t="s">
        <v>3888</v>
      </c>
      <c r="S84" s="1500"/>
      <c r="T84" s="1510"/>
      <c r="U84" s="112"/>
      <c r="V84" s="1525"/>
      <c r="W84" s="1536"/>
      <c r="X84" s="113"/>
      <c r="Y84" s="1550"/>
      <c r="Z84" s="1550"/>
      <c r="AA84" s="1550"/>
      <c r="AB84" s="1551"/>
      <c r="AC84" s="113"/>
      <c r="AD84" s="114"/>
      <c r="AE84" s="114"/>
      <c r="AF84" s="4229"/>
    </row>
    <row r="85" spans="1:32" ht="30" customHeight="1">
      <c r="A85" s="4276"/>
      <c r="B85" s="4277"/>
      <c r="C85" s="4241"/>
      <c r="D85" s="4215"/>
      <c r="E85" s="4215"/>
      <c r="F85" s="4215"/>
      <c r="G85" s="4215"/>
      <c r="H85" s="4215"/>
      <c r="I85" s="4215"/>
      <c r="J85" s="4215"/>
      <c r="K85" s="4215"/>
      <c r="L85" s="4215"/>
      <c r="M85" s="4226"/>
      <c r="N85" s="4226"/>
      <c r="O85" s="4226"/>
      <c r="P85" s="4215"/>
      <c r="Q85" s="4215"/>
      <c r="R85" s="4233"/>
      <c r="S85" s="1496"/>
      <c r="T85" s="1507"/>
      <c r="U85" s="107"/>
      <c r="V85" s="1521"/>
      <c r="W85" s="1534"/>
      <c r="X85" s="108"/>
      <c r="Y85" s="1546"/>
      <c r="Z85" s="1546"/>
      <c r="AA85" s="1546"/>
      <c r="AB85" s="1547"/>
      <c r="AC85" s="108"/>
      <c r="AD85" s="107"/>
      <c r="AE85" s="107"/>
      <c r="AF85" s="4230"/>
    </row>
    <row r="86" spans="1:32" ht="30" customHeight="1">
      <c r="A86" s="4276"/>
      <c r="B86" s="4277"/>
      <c r="C86" s="4241"/>
      <c r="D86" s="4215"/>
      <c r="E86" s="4215"/>
      <c r="F86" s="4215"/>
      <c r="G86" s="4215"/>
      <c r="H86" s="4215"/>
      <c r="I86" s="4215"/>
      <c r="J86" s="4215"/>
      <c r="K86" s="4215"/>
      <c r="L86" s="4215"/>
      <c r="M86" s="4226"/>
      <c r="N86" s="4226"/>
      <c r="O86" s="4226"/>
      <c r="P86" s="4215"/>
      <c r="Q86" s="4215"/>
      <c r="R86" s="4233"/>
      <c r="S86" s="1496"/>
      <c r="T86" s="1507"/>
      <c r="U86" s="107"/>
      <c r="V86" s="1521"/>
      <c r="W86" s="1534"/>
      <c r="X86" s="108"/>
      <c r="Y86" s="1546"/>
      <c r="Z86" s="1546"/>
      <c r="AA86" s="1546"/>
      <c r="AB86" s="1547"/>
      <c r="AC86" s="108"/>
      <c r="AD86" s="107"/>
      <c r="AE86" s="107"/>
      <c r="AF86" s="4230"/>
    </row>
    <row r="87" spans="1:32" ht="30" customHeight="1">
      <c r="A87" s="4276"/>
      <c r="B87" s="4277"/>
      <c r="C87" s="4241"/>
      <c r="D87" s="4215"/>
      <c r="E87" s="4215"/>
      <c r="F87" s="4215"/>
      <c r="G87" s="4215"/>
      <c r="H87" s="4215"/>
      <c r="I87" s="4215"/>
      <c r="J87" s="4215"/>
      <c r="K87" s="4215"/>
      <c r="L87" s="4215"/>
      <c r="M87" s="4226"/>
      <c r="N87" s="4226"/>
      <c r="O87" s="4226"/>
      <c r="P87" s="4215"/>
      <c r="Q87" s="4215"/>
      <c r="R87" s="4233"/>
      <c r="S87" s="1496"/>
      <c r="T87" s="1507"/>
      <c r="U87" s="107"/>
      <c r="V87" s="1521"/>
      <c r="W87" s="1534"/>
      <c r="X87" s="108"/>
      <c r="Y87" s="1546"/>
      <c r="Z87" s="1546"/>
      <c r="AA87" s="1546"/>
      <c r="AB87" s="1547"/>
      <c r="AC87" s="108"/>
      <c r="AD87" s="107"/>
      <c r="AE87" s="107"/>
      <c r="AF87" s="4230"/>
    </row>
    <row r="88" spans="1:32" ht="30" customHeight="1" thickBot="1">
      <c r="A88" s="4276"/>
      <c r="B88" s="4277"/>
      <c r="C88" s="4250"/>
      <c r="D88" s="4224"/>
      <c r="E88" s="4224"/>
      <c r="F88" s="4224"/>
      <c r="G88" s="4224"/>
      <c r="H88" s="4224"/>
      <c r="I88" s="4224"/>
      <c r="J88" s="4224"/>
      <c r="K88" s="4224"/>
      <c r="L88" s="4224"/>
      <c r="M88" s="4227"/>
      <c r="N88" s="4227"/>
      <c r="O88" s="4227"/>
      <c r="P88" s="4224"/>
      <c r="Q88" s="4224"/>
      <c r="R88" s="4234"/>
      <c r="S88" s="1505"/>
      <c r="T88" s="1517"/>
      <c r="U88" s="125"/>
      <c r="V88" s="1532"/>
      <c r="W88" s="1543"/>
      <c r="X88" s="126"/>
      <c r="Y88" s="1562"/>
      <c r="Z88" s="1562"/>
      <c r="AA88" s="1562"/>
      <c r="AB88" s="1563"/>
      <c r="AC88" s="126"/>
      <c r="AD88" s="125"/>
      <c r="AE88" s="125"/>
      <c r="AF88" s="4231"/>
    </row>
    <row r="89" spans="1:32" ht="22.5" customHeight="1" thickBot="1">
      <c r="A89" s="1838"/>
      <c r="B89" s="1839"/>
      <c r="C89" s="1574"/>
      <c r="D89" s="1708"/>
      <c r="E89" s="1708"/>
      <c r="F89" s="1708"/>
      <c r="G89" s="1708"/>
      <c r="H89" s="1708"/>
      <c r="I89" s="1708"/>
      <c r="J89" s="1708"/>
      <c r="K89" s="1708"/>
      <c r="L89" s="1708"/>
      <c r="M89" s="1708"/>
      <c r="N89" s="1708"/>
      <c r="O89" s="1708"/>
      <c r="P89" s="1592"/>
      <c r="Q89" s="1592"/>
      <c r="R89" s="1592"/>
      <c r="S89" s="4235" t="s">
        <v>3921</v>
      </c>
      <c r="T89" s="4236"/>
      <c r="U89" s="4236"/>
      <c r="V89" s="4236"/>
      <c r="W89" s="4236"/>
      <c r="X89" s="4236"/>
      <c r="Y89" s="4236"/>
      <c r="Z89" s="4236"/>
      <c r="AA89" s="2169" t="s">
        <v>340</v>
      </c>
      <c r="AB89" s="1564">
        <f>SUM(AB9:AB88)</f>
        <v>100272.09249991177</v>
      </c>
      <c r="AC89" s="4237"/>
      <c r="AD89" s="4238"/>
      <c r="AE89" s="4238"/>
      <c r="AF89" s="4239"/>
    </row>
    <row r="90" spans="1:32" ht="17.25" thickTop="1">
      <c r="A90" s="1896"/>
      <c r="B90" s="1897"/>
      <c r="C90" s="1898" t="s">
        <v>341</v>
      </c>
      <c r="D90" s="127"/>
      <c r="E90" s="127"/>
      <c r="F90" s="127"/>
      <c r="G90" s="127"/>
      <c r="H90" s="127"/>
      <c r="I90" s="127"/>
      <c r="J90" s="127"/>
      <c r="K90" s="127"/>
      <c r="L90" s="127"/>
      <c r="M90" s="127"/>
      <c r="N90" s="127"/>
      <c r="O90" s="127"/>
      <c r="P90" s="127"/>
      <c r="Q90" s="127"/>
      <c r="R90" s="127"/>
      <c r="S90" s="4220" t="s">
        <v>3920</v>
      </c>
      <c r="T90" s="4221"/>
      <c r="U90" s="4221"/>
      <c r="V90" s="4221"/>
      <c r="W90" s="4221"/>
      <c r="X90" s="4221"/>
      <c r="Y90" s="4221"/>
      <c r="Z90" s="4221"/>
      <c r="AA90" s="4221"/>
      <c r="AB90" s="4221"/>
      <c r="AC90" s="4221"/>
      <c r="AD90" s="4221"/>
      <c r="AE90" s="4221"/>
      <c r="AF90" s="4221"/>
    </row>
    <row r="91" spans="1:32" ht="18.75" customHeight="1">
      <c r="A91" s="1575"/>
      <c r="B91" s="1899"/>
      <c r="C91" s="1900" t="s">
        <v>342</v>
      </c>
      <c r="D91" s="127"/>
      <c r="E91" s="127"/>
      <c r="F91" s="127"/>
      <c r="G91" s="127"/>
      <c r="H91" s="127"/>
      <c r="I91" s="127"/>
      <c r="J91" s="127"/>
      <c r="K91" s="127"/>
      <c r="L91" s="127"/>
      <c r="M91" s="127"/>
      <c r="N91" s="127"/>
      <c r="O91" s="127"/>
      <c r="P91" s="127"/>
      <c r="Q91" s="127"/>
      <c r="R91" s="127"/>
      <c r="S91" s="1575"/>
      <c r="T91" s="1575"/>
      <c r="U91" s="1575"/>
      <c r="V91" s="1576"/>
      <c r="W91" s="1576"/>
      <c r="X91" s="1576"/>
      <c r="Y91" s="1576"/>
      <c r="Z91" s="1576"/>
      <c r="AA91" s="1576"/>
      <c r="AB91" s="1577"/>
      <c r="AC91" s="1575"/>
      <c r="AD91" s="1575"/>
      <c r="AE91" s="1575"/>
      <c r="AF91" s="1575"/>
    </row>
    <row r="92" spans="1:32" ht="18.75" customHeight="1">
      <c r="A92" s="1575"/>
      <c r="B92" s="1899"/>
      <c r="C92" s="1578"/>
      <c r="D92" s="129"/>
      <c r="E92" s="129"/>
      <c r="F92" s="129"/>
      <c r="G92" s="129"/>
      <c r="H92" s="129"/>
      <c r="I92" s="129"/>
      <c r="J92" s="129"/>
      <c r="K92" s="129"/>
      <c r="L92" s="129"/>
      <c r="M92" s="129"/>
      <c r="N92" s="129"/>
      <c r="O92" s="129"/>
      <c r="P92" s="129"/>
      <c r="Q92" s="129"/>
      <c r="R92" s="129"/>
      <c r="S92" s="129"/>
      <c r="T92" s="129"/>
      <c r="U92" s="4222" t="s">
        <v>343</v>
      </c>
      <c r="V92" s="4223"/>
      <c r="W92" s="4223"/>
      <c r="X92" s="4223"/>
      <c r="Y92" s="4223"/>
      <c r="Z92" s="4223"/>
      <c r="AA92" s="130"/>
      <c r="AB92" s="129"/>
      <c r="AC92" s="129"/>
      <c r="AD92" s="129"/>
      <c r="AE92" s="1575"/>
      <c r="AF92" s="1578"/>
    </row>
    <row r="93" spans="1:32" ht="18.75" customHeight="1" thickBot="1">
      <c r="A93" s="1575"/>
      <c r="B93" s="1575"/>
      <c r="C93" s="1575"/>
      <c r="D93" s="129"/>
      <c r="E93" s="129"/>
      <c r="F93" s="129"/>
      <c r="G93" s="129"/>
      <c r="H93" s="129"/>
      <c r="I93" s="129"/>
      <c r="J93" s="129"/>
      <c r="K93" s="129"/>
      <c r="L93" s="129"/>
      <c r="M93" s="129"/>
      <c r="N93" s="129"/>
      <c r="O93" s="129"/>
      <c r="P93" s="129"/>
      <c r="Q93" s="129"/>
      <c r="R93" s="129"/>
      <c r="S93" s="129"/>
      <c r="U93" s="131"/>
      <c r="V93" s="131"/>
      <c r="W93" s="131"/>
      <c r="X93" s="131"/>
      <c r="Y93" s="131"/>
      <c r="Z93" s="131"/>
      <c r="AA93" s="132"/>
      <c r="AB93" s="129"/>
      <c r="AC93" s="129"/>
      <c r="AD93" s="129"/>
      <c r="AE93" s="1575"/>
      <c r="AF93" s="1578"/>
    </row>
    <row r="94" spans="1:32" ht="18.75" customHeight="1" thickTop="1">
      <c r="A94" s="1575"/>
      <c r="B94" s="1575"/>
      <c r="C94" s="1575"/>
      <c r="D94" s="129"/>
      <c r="E94" s="129"/>
      <c r="F94" s="129"/>
      <c r="G94" s="129"/>
      <c r="H94" s="129"/>
      <c r="I94" s="129"/>
      <c r="J94" s="129"/>
      <c r="K94" s="129"/>
      <c r="L94" s="129"/>
      <c r="M94" s="129"/>
      <c r="N94" s="129"/>
      <c r="O94" s="129"/>
      <c r="P94" s="129"/>
      <c r="Q94" s="129"/>
      <c r="R94" s="129"/>
      <c r="S94" s="133"/>
      <c r="U94" s="2238" t="s">
        <v>4</v>
      </c>
      <c r="V94" s="2239" t="s">
        <v>344</v>
      </c>
      <c r="W94" s="2240" t="s">
        <v>6</v>
      </c>
      <c r="X94" s="2241" t="s">
        <v>345</v>
      </c>
      <c r="Y94" s="2241" t="s">
        <v>8</v>
      </c>
      <c r="Z94" s="2242" t="s">
        <v>346</v>
      </c>
      <c r="AA94" s="134"/>
      <c r="AB94" s="129"/>
      <c r="AC94" s="130"/>
      <c r="AD94" s="129"/>
      <c r="AE94" s="1575"/>
      <c r="AF94" s="1578"/>
    </row>
    <row r="95" spans="1:32" ht="15">
      <c r="A95" s="1575"/>
      <c r="B95" s="1575"/>
      <c r="C95" s="1575"/>
      <c r="D95" s="129"/>
      <c r="E95" s="129"/>
      <c r="F95" s="129"/>
      <c r="G95" s="129"/>
      <c r="H95" s="129"/>
      <c r="I95" s="129"/>
      <c r="J95" s="129"/>
      <c r="K95" s="129"/>
      <c r="L95" s="129"/>
      <c r="M95" s="129"/>
      <c r="N95" s="129"/>
      <c r="O95" s="129"/>
      <c r="P95" s="129"/>
      <c r="Q95" s="135"/>
      <c r="R95" s="135"/>
      <c r="S95" s="135"/>
      <c r="U95" s="1565" t="s">
        <v>11</v>
      </c>
      <c r="V95" s="1566" t="s">
        <v>12</v>
      </c>
      <c r="W95" s="136">
        <v>530304</v>
      </c>
      <c r="X95" s="137" t="s">
        <v>13</v>
      </c>
      <c r="Y95" s="1568" t="s">
        <v>14</v>
      </c>
      <c r="Z95" s="138">
        <f>SUM($AA$65)</f>
        <v>8400</v>
      </c>
      <c r="AA95" s="129"/>
      <c r="AB95" s="129"/>
      <c r="AC95" s="130"/>
      <c r="AD95" s="129"/>
      <c r="AE95" s="1575"/>
      <c r="AF95" s="1578"/>
    </row>
    <row r="96" spans="1:32" ht="25.5">
      <c r="A96" s="1575"/>
      <c r="B96" s="1575"/>
      <c r="C96" s="1575"/>
      <c r="D96" s="129"/>
      <c r="E96" s="129"/>
      <c r="F96" s="129"/>
      <c r="G96" s="129"/>
      <c r="H96" s="129"/>
      <c r="I96" s="129"/>
      <c r="J96" s="129"/>
      <c r="K96" s="129"/>
      <c r="L96" s="129"/>
      <c r="M96" s="129"/>
      <c r="N96" s="129"/>
      <c r="O96" s="129"/>
      <c r="P96" s="129"/>
      <c r="Q96" s="135"/>
      <c r="R96" s="135"/>
      <c r="S96" s="135"/>
      <c r="U96" s="1565" t="s">
        <v>11</v>
      </c>
      <c r="V96" s="1566" t="s">
        <v>15</v>
      </c>
      <c r="W96" s="136">
        <v>530307</v>
      </c>
      <c r="X96" s="137" t="s">
        <v>13</v>
      </c>
      <c r="Y96" s="1568" t="s">
        <v>14</v>
      </c>
      <c r="Z96" s="138">
        <f>SUM($AA$30)</f>
        <v>7120.0192000000006</v>
      </c>
      <c r="AA96" s="129"/>
      <c r="AB96" s="129"/>
      <c r="AC96" s="129"/>
      <c r="AD96" s="129"/>
      <c r="AE96" s="1575"/>
      <c r="AF96" s="1578"/>
    </row>
    <row r="97" spans="1:32" ht="25.5">
      <c r="A97" s="1575"/>
      <c r="B97" s="1575"/>
      <c r="C97" s="1575"/>
      <c r="D97" s="129"/>
      <c r="E97" s="129"/>
      <c r="F97" s="129"/>
      <c r="G97" s="129"/>
      <c r="H97" s="129"/>
      <c r="I97" s="129"/>
      <c r="J97" s="129"/>
      <c r="K97" s="129"/>
      <c r="L97" s="129"/>
      <c r="M97" s="129"/>
      <c r="N97" s="129"/>
      <c r="O97" s="129"/>
      <c r="P97" s="129"/>
      <c r="Q97" s="135"/>
      <c r="R97" s="135"/>
      <c r="S97" s="135"/>
      <c r="U97" s="1565" t="s">
        <v>11</v>
      </c>
      <c r="V97" s="1566" t="s">
        <v>252</v>
      </c>
      <c r="W97" s="136">
        <v>530402</v>
      </c>
      <c r="X97" s="137" t="s">
        <v>13</v>
      </c>
      <c r="Y97" s="1568" t="s">
        <v>14</v>
      </c>
      <c r="Z97" s="138">
        <f>SUM($AA$17)</f>
        <v>4393.87</v>
      </c>
      <c r="AA97" s="129"/>
      <c r="AB97" s="129"/>
      <c r="AC97" s="130"/>
      <c r="AD97" s="129"/>
      <c r="AE97" s="1575"/>
      <c r="AF97" s="1578"/>
    </row>
    <row r="98" spans="1:32" ht="25.5">
      <c r="A98" s="1575"/>
      <c r="B98" s="1575"/>
      <c r="C98" s="1575"/>
      <c r="D98" s="129"/>
      <c r="E98" s="129"/>
      <c r="F98" s="129"/>
      <c r="G98" s="129"/>
      <c r="H98" s="129"/>
      <c r="I98" s="129"/>
      <c r="J98" s="129"/>
      <c r="K98" s="129"/>
      <c r="L98" s="129"/>
      <c r="M98" s="129"/>
      <c r="N98" s="129"/>
      <c r="O98" s="129"/>
      <c r="P98" s="129"/>
      <c r="Q98" s="135"/>
      <c r="R98" s="135"/>
      <c r="S98" s="135"/>
      <c r="U98" s="1567" t="s">
        <v>17</v>
      </c>
      <c r="V98" s="1566" t="s">
        <v>16</v>
      </c>
      <c r="W98" s="139">
        <v>530402</v>
      </c>
      <c r="X98" s="137" t="s">
        <v>13</v>
      </c>
      <c r="Y98" s="1569" t="s">
        <v>18</v>
      </c>
      <c r="Z98" s="138">
        <f>SUM($AA$47)</f>
        <v>29680.000000000004</v>
      </c>
      <c r="AA98" s="129"/>
      <c r="AB98" s="129"/>
      <c r="AC98" s="129"/>
      <c r="AD98" s="129"/>
      <c r="AE98" s="1575"/>
      <c r="AF98" s="1578"/>
    </row>
    <row r="99" spans="1:32" ht="25.5">
      <c r="A99" s="1575"/>
      <c r="B99" s="1575"/>
      <c r="C99" s="1575"/>
      <c r="D99" s="129"/>
      <c r="E99" s="129"/>
      <c r="F99" s="129"/>
      <c r="G99" s="129"/>
      <c r="H99" s="129"/>
      <c r="I99" s="129"/>
      <c r="J99" s="129"/>
      <c r="K99" s="129"/>
      <c r="L99" s="129"/>
      <c r="M99" s="129"/>
      <c r="N99" s="129"/>
      <c r="O99" s="129"/>
      <c r="P99" s="129"/>
      <c r="Q99" s="135"/>
      <c r="R99" s="135"/>
      <c r="S99" s="135"/>
      <c r="U99" s="1565" t="s">
        <v>11</v>
      </c>
      <c r="V99" s="1566" t="s">
        <v>16</v>
      </c>
      <c r="W99" s="136">
        <v>530402</v>
      </c>
      <c r="X99" s="137" t="s">
        <v>13</v>
      </c>
      <c r="Y99" s="1568" t="s">
        <v>14</v>
      </c>
      <c r="Z99" s="138">
        <f>SUM($AA$80)</f>
        <v>18037.804499911999</v>
      </c>
      <c r="AA99" s="129"/>
      <c r="AB99" s="129"/>
      <c r="AC99" s="129"/>
      <c r="AD99" s="129"/>
      <c r="AE99" s="1575"/>
      <c r="AF99" s="1578"/>
    </row>
    <row r="100" spans="1:32" ht="15">
      <c r="A100" s="1575"/>
      <c r="B100" s="1575"/>
      <c r="C100" s="1575"/>
      <c r="D100" s="129"/>
      <c r="E100" s="129"/>
      <c r="F100" s="129"/>
      <c r="G100" s="129"/>
      <c r="H100" s="129"/>
      <c r="I100" s="129"/>
      <c r="J100" s="129"/>
      <c r="K100" s="129"/>
      <c r="L100" s="129"/>
      <c r="M100" s="129"/>
      <c r="N100" s="129"/>
      <c r="O100" s="129"/>
      <c r="P100" s="129"/>
      <c r="Q100" s="135"/>
      <c r="R100" s="135"/>
      <c r="S100" s="135"/>
      <c r="U100" s="1565" t="s">
        <v>11</v>
      </c>
      <c r="V100" s="1566" t="s">
        <v>19</v>
      </c>
      <c r="W100" s="136">
        <v>530704</v>
      </c>
      <c r="X100" s="137" t="s">
        <v>13</v>
      </c>
      <c r="Y100" s="1568" t="s">
        <v>14</v>
      </c>
      <c r="Z100" s="138">
        <f>SUM($AA$15)</f>
        <v>672.00000000000011</v>
      </c>
      <c r="AA100" s="129"/>
      <c r="AB100" s="129"/>
      <c r="AC100" s="129"/>
      <c r="AD100" s="129"/>
      <c r="AE100" s="1575"/>
      <c r="AF100" s="1578"/>
    </row>
    <row r="101" spans="1:32" ht="15">
      <c r="A101" s="1575"/>
      <c r="B101" s="1575"/>
      <c r="C101" s="1575"/>
      <c r="D101" s="129"/>
      <c r="E101" s="129"/>
      <c r="F101" s="129"/>
      <c r="G101" s="129"/>
      <c r="H101" s="129"/>
      <c r="I101" s="129"/>
      <c r="J101" s="129"/>
      <c r="K101" s="129"/>
      <c r="L101" s="129"/>
      <c r="M101" s="129"/>
      <c r="N101" s="129"/>
      <c r="O101" s="129"/>
      <c r="P101" s="129"/>
      <c r="Q101" s="135"/>
      <c r="R101" s="135"/>
      <c r="S101" s="135"/>
      <c r="U101" s="1565" t="s">
        <v>11</v>
      </c>
      <c r="V101" s="1566" t="s">
        <v>20</v>
      </c>
      <c r="W101" s="136" t="s">
        <v>21</v>
      </c>
      <c r="X101" s="137" t="s">
        <v>13</v>
      </c>
      <c r="Y101" s="1568" t="s">
        <v>14</v>
      </c>
      <c r="Z101" s="138">
        <f>SUM($AA$70:$AA$72)</f>
        <v>564.48</v>
      </c>
      <c r="AA101" s="129"/>
      <c r="AB101" s="129"/>
      <c r="AC101" s="129"/>
      <c r="AD101" s="129"/>
      <c r="AE101" s="1575"/>
      <c r="AF101" s="1578"/>
    </row>
    <row r="102" spans="1:32" ht="15">
      <c r="A102" s="1575"/>
      <c r="B102" s="1575"/>
      <c r="C102" s="1575"/>
      <c r="D102" s="129"/>
      <c r="E102" s="129"/>
      <c r="F102" s="129"/>
      <c r="G102" s="129"/>
      <c r="H102" s="129"/>
      <c r="I102" s="129"/>
      <c r="J102" s="129"/>
      <c r="K102" s="129"/>
      <c r="L102" s="129"/>
      <c r="M102" s="129"/>
      <c r="N102" s="129"/>
      <c r="O102" s="129"/>
      <c r="P102" s="129"/>
      <c r="Q102" s="135"/>
      <c r="R102" s="135"/>
      <c r="S102" s="135"/>
      <c r="U102" s="1565" t="s">
        <v>17</v>
      </c>
      <c r="V102" s="1566" t="s">
        <v>22</v>
      </c>
      <c r="W102" s="136">
        <v>840103</v>
      </c>
      <c r="X102" s="137" t="s">
        <v>13</v>
      </c>
      <c r="Y102" s="1570" t="s">
        <v>23</v>
      </c>
      <c r="Z102" s="138">
        <f>SUM($AA$75:$AA$77)</f>
        <v>3505.7872928000006</v>
      </c>
      <c r="AA102" s="129"/>
      <c r="AB102" s="129"/>
      <c r="AC102" s="129"/>
      <c r="AD102" s="129"/>
      <c r="AE102" s="1575"/>
      <c r="AF102" s="1578"/>
    </row>
    <row r="103" spans="1:32" ht="15">
      <c r="A103" s="1575"/>
      <c r="B103" s="1575"/>
      <c r="C103" s="1575"/>
      <c r="D103" s="129"/>
      <c r="E103" s="129"/>
      <c r="F103" s="129"/>
      <c r="G103" s="129"/>
      <c r="H103" s="129"/>
      <c r="I103" s="129"/>
      <c r="J103" s="129"/>
      <c r="K103" s="129"/>
      <c r="L103" s="129"/>
      <c r="M103" s="129"/>
      <c r="N103" s="129"/>
      <c r="O103" s="129"/>
      <c r="P103" s="129"/>
      <c r="Q103" s="135"/>
      <c r="R103" s="135"/>
      <c r="S103" s="135"/>
      <c r="U103" s="1565" t="s">
        <v>17</v>
      </c>
      <c r="V103" s="1566" t="s">
        <v>24</v>
      </c>
      <c r="W103" s="139">
        <v>840104</v>
      </c>
      <c r="X103" s="137" t="s">
        <v>13</v>
      </c>
      <c r="Y103" s="1570" t="s">
        <v>23</v>
      </c>
      <c r="Z103" s="138">
        <f>SUM($AA$32:$AA$33)</f>
        <v>400</v>
      </c>
      <c r="AA103" s="129"/>
      <c r="AB103" s="129"/>
      <c r="AC103" s="129"/>
      <c r="AD103" s="129"/>
      <c r="AE103" s="1575"/>
      <c r="AF103" s="1578"/>
    </row>
    <row r="104" spans="1:32" ht="15">
      <c r="A104" s="1575"/>
      <c r="B104" s="1575"/>
      <c r="C104" s="1575"/>
      <c r="D104" s="129"/>
      <c r="E104" s="129"/>
      <c r="F104" s="129"/>
      <c r="G104" s="129"/>
      <c r="H104" s="129"/>
      <c r="I104" s="129"/>
      <c r="J104" s="129"/>
      <c r="K104" s="129"/>
      <c r="L104" s="129"/>
      <c r="M104" s="129"/>
      <c r="N104" s="129"/>
      <c r="O104" s="129"/>
      <c r="P104" s="129"/>
      <c r="Q104" s="135"/>
      <c r="R104" s="135"/>
      <c r="S104" s="135"/>
      <c r="U104" s="1565" t="s">
        <v>11</v>
      </c>
      <c r="V104" s="1566" t="s">
        <v>20</v>
      </c>
      <c r="W104" s="136">
        <v>840107</v>
      </c>
      <c r="X104" s="137" t="s">
        <v>13</v>
      </c>
      <c r="Y104" s="1570" t="s">
        <v>14</v>
      </c>
      <c r="Z104" s="138">
        <f>SUM($AA$35:$AA$38)</f>
        <v>6548.3488000000007</v>
      </c>
      <c r="AA104" s="129"/>
      <c r="AB104" s="129"/>
      <c r="AC104" s="129"/>
      <c r="AD104" s="129"/>
      <c r="AE104" s="1575"/>
      <c r="AF104" s="1578"/>
    </row>
    <row r="105" spans="1:32" ht="15">
      <c r="A105" s="1575"/>
      <c r="B105" s="1575"/>
      <c r="C105" s="1575"/>
      <c r="D105" s="129"/>
      <c r="E105" s="129"/>
      <c r="F105" s="129"/>
      <c r="G105" s="129"/>
      <c r="H105" s="129"/>
      <c r="I105" s="129"/>
      <c r="J105" s="129"/>
      <c r="K105" s="129"/>
      <c r="L105" s="129"/>
      <c r="M105" s="129"/>
      <c r="N105" s="129"/>
      <c r="O105" s="129"/>
      <c r="P105" s="129"/>
      <c r="Q105" s="135"/>
      <c r="R105" s="135"/>
      <c r="S105" s="135"/>
      <c r="U105" s="1567" t="s">
        <v>17</v>
      </c>
      <c r="V105" s="1566" t="s">
        <v>20</v>
      </c>
      <c r="W105" s="136">
        <v>840107</v>
      </c>
      <c r="X105" s="137" t="s">
        <v>13</v>
      </c>
      <c r="Y105" s="1570" t="s">
        <v>23</v>
      </c>
      <c r="Z105" s="138">
        <f>SUM($AA$45)</f>
        <v>20949.782707199771</v>
      </c>
      <c r="AA105" s="129"/>
      <c r="AB105" s="129"/>
      <c r="AC105" s="129"/>
      <c r="AD105" s="129"/>
      <c r="AE105" s="1575"/>
      <c r="AF105" s="1578"/>
    </row>
    <row r="106" spans="1:32" ht="18" customHeight="1" thickBot="1">
      <c r="A106" s="1575"/>
      <c r="B106" s="1575"/>
      <c r="C106" s="1575"/>
      <c r="D106" s="129"/>
      <c r="E106" s="129"/>
      <c r="F106" s="129"/>
      <c r="G106" s="129"/>
      <c r="H106" s="129"/>
      <c r="I106" s="129"/>
      <c r="J106" s="129"/>
      <c r="K106" s="129"/>
      <c r="L106" s="129"/>
      <c r="M106" s="129"/>
      <c r="N106" s="129"/>
      <c r="O106" s="129"/>
      <c r="P106" s="129"/>
      <c r="Q106" s="129"/>
      <c r="R106" s="135"/>
      <c r="S106" s="135"/>
      <c r="U106" s="2243"/>
      <c r="V106" s="2245" t="s">
        <v>183</v>
      </c>
      <c r="W106" s="2244"/>
      <c r="X106" s="2244"/>
      <c r="Y106" s="2246" t="s">
        <v>340</v>
      </c>
      <c r="Z106" s="140">
        <f>SUM(Z95:Z105)</f>
        <v>100272.09249991179</v>
      </c>
      <c r="AA106" s="129"/>
      <c r="AB106" s="129"/>
      <c r="AC106" s="141"/>
      <c r="AD106" s="129"/>
      <c r="AE106" s="1575"/>
      <c r="AF106" s="1578"/>
    </row>
    <row r="107" spans="1:32" ht="18.75" customHeight="1" thickTop="1">
      <c r="A107" s="1575"/>
      <c r="B107" s="1575"/>
      <c r="C107" s="1575"/>
      <c r="D107" s="129"/>
      <c r="E107" s="129"/>
      <c r="F107" s="129"/>
      <c r="G107" s="129"/>
      <c r="H107" s="129"/>
      <c r="I107" s="129"/>
      <c r="J107" s="129"/>
      <c r="K107" s="129"/>
      <c r="L107" s="129"/>
      <c r="M107" s="129"/>
      <c r="N107" s="129"/>
      <c r="O107" s="129"/>
      <c r="P107" s="129"/>
      <c r="Q107" s="129"/>
      <c r="R107" s="135"/>
      <c r="S107" s="135"/>
      <c r="U107" s="131"/>
      <c r="V107" s="131"/>
      <c r="W107" s="142" t="s">
        <v>347</v>
      </c>
      <c r="X107" s="143"/>
      <c r="Y107" s="131"/>
      <c r="Z107" s="131"/>
      <c r="AA107" s="129"/>
      <c r="AB107" s="129"/>
      <c r="AC107" s="129"/>
      <c r="AD107" s="129"/>
      <c r="AE107" s="1575"/>
      <c r="AF107" s="1578"/>
    </row>
    <row r="108" spans="1:32" ht="18.75" customHeight="1" thickBot="1">
      <c r="A108" s="1575"/>
      <c r="B108" s="1575"/>
      <c r="C108" s="1575"/>
      <c r="D108" s="129"/>
      <c r="E108" s="129"/>
      <c r="F108" s="129"/>
      <c r="G108" s="129"/>
      <c r="H108" s="129"/>
      <c r="I108" s="129"/>
      <c r="J108" s="129"/>
      <c r="K108" s="129"/>
      <c r="L108" s="129"/>
      <c r="M108" s="129"/>
      <c r="N108" s="129"/>
      <c r="O108" s="129"/>
      <c r="P108" s="129"/>
      <c r="Q108" s="129"/>
      <c r="R108" s="135"/>
      <c r="S108" s="135"/>
      <c r="U108" s="131"/>
      <c r="V108" s="131"/>
      <c r="W108" s="131"/>
      <c r="X108" s="131"/>
      <c r="Y108" s="131"/>
      <c r="Z108" s="131"/>
      <c r="AA108" s="129"/>
      <c r="AB108" s="129"/>
      <c r="AC108" s="129"/>
      <c r="AD108" s="129"/>
      <c r="AE108" s="1575"/>
      <c r="AF108" s="1578"/>
    </row>
    <row r="109" spans="1:32" ht="18.75" customHeight="1" thickTop="1">
      <c r="A109" s="1575"/>
      <c r="B109" s="1575"/>
      <c r="C109" s="1575"/>
      <c r="D109" s="129"/>
      <c r="E109" s="129"/>
      <c r="F109" s="129"/>
      <c r="G109" s="129"/>
      <c r="H109" s="129"/>
      <c r="I109" s="129"/>
      <c r="J109" s="129"/>
      <c r="K109" s="129"/>
      <c r="L109" s="129"/>
      <c r="M109" s="129"/>
      <c r="N109" s="129"/>
      <c r="O109" s="129"/>
      <c r="P109" s="129"/>
      <c r="Q109" s="129"/>
      <c r="R109" s="135"/>
      <c r="S109" s="135"/>
      <c r="U109" s="4210" t="s">
        <v>348</v>
      </c>
      <c r="V109" s="4211"/>
      <c r="W109" s="4212"/>
      <c r="X109" s="131"/>
      <c r="Y109" s="144" t="s">
        <v>349</v>
      </c>
      <c r="Z109" s="145" t="str">
        <f>IF(Z106=AB89,"OK","NO")</f>
        <v>OK</v>
      </c>
      <c r="AA109" s="129"/>
      <c r="AB109" s="129"/>
      <c r="AC109" s="129"/>
      <c r="AD109" s="129"/>
      <c r="AE109" s="1575"/>
      <c r="AF109" s="1578"/>
    </row>
    <row r="110" spans="1:32" ht="18.75" customHeight="1">
      <c r="A110" s="1575"/>
      <c r="B110" s="1575"/>
      <c r="C110" s="1575"/>
      <c r="D110" s="129"/>
      <c r="E110" s="129"/>
      <c r="F110" s="129"/>
      <c r="G110" s="129"/>
      <c r="H110" s="129"/>
      <c r="I110" s="129"/>
      <c r="J110" s="129"/>
      <c r="K110" s="129"/>
      <c r="L110" s="129"/>
      <c r="M110" s="129"/>
      <c r="N110" s="129"/>
      <c r="O110" s="129"/>
      <c r="P110" s="129"/>
      <c r="Q110" s="129"/>
      <c r="R110" s="129"/>
      <c r="S110" s="129"/>
      <c r="U110" s="4213" t="s">
        <v>3666</v>
      </c>
      <c r="V110" s="4208"/>
      <c r="W110" s="516">
        <f>SUM(Z98)</f>
        <v>29680.000000000004</v>
      </c>
      <c r="X110" s="143"/>
      <c r="Y110" s="131"/>
      <c r="Z110" s="145" t="str">
        <f>IF(W114=AB89,"OK","NO")</f>
        <v>OK</v>
      </c>
      <c r="AA110" s="129"/>
      <c r="AB110" s="129"/>
      <c r="AC110" s="129"/>
      <c r="AD110" s="129"/>
      <c r="AE110" s="1575"/>
      <c r="AF110" s="1578"/>
    </row>
    <row r="111" spans="1:32" ht="18.75" customHeight="1">
      <c r="A111" s="1575"/>
      <c r="B111" s="1575"/>
      <c r="C111" s="1575"/>
      <c r="D111" s="129"/>
      <c r="E111" s="129"/>
      <c r="F111" s="129"/>
      <c r="G111" s="129"/>
      <c r="H111" s="129"/>
      <c r="I111" s="129"/>
      <c r="J111" s="129"/>
      <c r="K111" s="129"/>
      <c r="L111" s="129"/>
      <c r="M111" s="129"/>
      <c r="N111" s="129"/>
      <c r="O111" s="129"/>
      <c r="P111" s="129"/>
      <c r="Q111" s="129"/>
      <c r="R111" s="129"/>
      <c r="S111" s="129"/>
      <c r="U111" s="4200" t="s">
        <v>3667</v>
      </c>
      <c r="V111" s="4201"/>
      <c r="W111" s="515">
        <v>0</v>
      </c>
      <c r="X111" s="143"/>
      <c r="Y111" s="131"/>
      <c r="Z111" s="145" t="str">
        <f>IF(W124=AB89,"OK","NO")</f>
        <v>OK</v>
      </c>
      <c r="AA111" s="129"/>
      <c r="AB111" s="129"/>
      <c r="AC111" s="129"/>
      <c r="AD111" s="129"/>
      <c r="AE111" s="1575"/>
      <c r="AF111" s="1578"/>
    </row>
    <row r="112" spans="1:32" ht="18.75" customHeight="1">
      <c r="A112" s="1575"/>
      <c r="B112" s="1575"/>
      <c r="C112" s="1575"/>
      <c r="D112" s="129"/>
      <c r="E112" s="129"/>
      <c r="F112" s="129"/>
      <c r="G112" s="129"/>
      <c r="H112" s="129"/>
      <c r="I112" s="129"/>
      <c r="J112" s="129"/>
      <c r="K112" s="129"/>
      <c r="L112" s="129"/>
      <c r="M112" s="129"/>
      <c r="N112" s="129"/>
      <c r="O112" s="129"/>
      <c r="P112" s="129"/>
      <c r="Q112" s="129"/>
      <c r="R112" s="129"/>
      <c r="S112" s="129"/>
      <c r="U112" s="4200" t="s">
        <v>3669</v>
      </c>
      <c r="V112" s="4201"/>
      <c r="W112" s="515">
        <f>SUM(Z95,Z96,Z97,Z99,Z100,Z101,Z104)</f>
        <v>45736.522499912004</v>
      </c>
      <c r="X112" s="143"/>
      <c r="Y112" s="143"/>
      <c r="Z112" s="145" t="str">
        <f>IF(Resumen!C345=AB89,"OK","NO")</f>
        <v>OK</v>
      </c>
      <c r="AA112" s="129"/>
      <c r="AB112" s="129"/>
      <c r="AC112" s="129"/>
      <c r="AD112" s="129"/>
      <c r="AE112" s="1575"/>
      <c r="AF112" s="1578"/>
    </row>
    <row r="113" spans="1:32" ht="18.75" customHeight="1">
      <c r="A113" s="1575"/>
      <c r="B113" s="1575"/>
      <c r="C113" s="1575"/>
      <c r="D113" s="129"/>
      <c r="E113" s="129"/>
      <c r="F113" s="129"/>
      <c r="G113" s="129"/>
      <c r="H113" s="129"/>
      <c r="I113" s="129"/>
      <c r="J113" s="129"/>
      <c r="K113" s="129"/>
      <c r="L113" s="129"/>
      <c r="M113" s="129"/>
      <c r="N113" s="129"/>
      <c r="O113" s="129"/>
      <c r="P113" s="129"/>
      <c r="Q113" s="129"/>
      <c r="R113" s="129"/>
      <c r="S113" s="129"/>
      <c r="U113" s="4200" t="s">
        <v>3668</v>
      </c>
      <c r="V113" s="4201"/>
      <c r="W113" s="517">
        <f>SUM(Z102,Z103,Z105)</f>
        <v>24855.569999999771</v>
      </c>
      <c r="X113" s="143"/>
      <c r="Y113" s="143"/>
      <c r="Z113" s="131"/>
      <c r="AA113" s="129"/>
      <c r="AB113" s="129"/>
      <c r="AC113" s="129"/>
      <c r="AD113" s="129"/>
      <c r="AE113" s="1575"/>
      <c r="AF113" s="1578"/>
    </row>
    <row r="114" spans="1:32" ht="18.75" customHeight="1">
      <c r="A114" s="1575"/>
      <c r="B114" s="1575"/>
      <c r="C114" s="1575"/>
      <c r="D114" s="129"/>
      <c r="E114" s="129"/>
      <c r="F114" s="129"/>
      <c r="G114" s="129"/>
      <c r="H114" s="129"/>
      <c r="I114" s="129"/>
      <c r="J114" s="129"/>
      <c r="K114" s="129"/>
      <c r="L114" s="129"/>
      <c r="M114" s="129"/>
      <c r="N114" s="129"/>
      <c r="O114" s="129"/>
      <c r="P114" s="129"/>
      <c r="Q114" s="129"/>
      <c r="R114" s="129"/>
      <c r="S114" s="129"/>
      <c r="U114" s="4202" t="s">
        <v>183</v>
      </c>
      <c r="V114" s="4203"/>
      <c r="W114" s="1571">
        <f>SUM(W110:W113)</f>
        <v>100272.09249991179</v>
      </c>
      <c r="X114" s="143"/>
      <c r="Y114" s="143"/>
      <c r="Z114" s="131"/>
      <c r="AA114" s="129"/>
      <c r="AB114" s="129"/>
      <c r="AC114" s="129"/>
      <c r="AD114" s="129"/>
      <c r="AE114" s="1575"/>
      <c r="AF114" s="1578"/>
    </row>
    <row r="115" spans="1:32" ht="18.75" customHeight="1">
      <c r="A115" s="1575"/>
      <c r="B115" s="1575"/>
      <c r="C115" s="1575"/>
      <c r="D115" s="129"/>
      <c r="E115" s="129"/>
      <c r="F115" s="129"/>
      <c r="G115" s="129"/>
      <c r="H115" s="129"/>
      <c r="I115" s="129"/>
      <c r="J115" s="129"/>
      <c r="K115" s="129"/>
      <c r="L115" s="129"/>
      <c r="M115" s="129"/>
      <c r="N115" s="129"/>
      <c r="O115" s="129"/>
      <c r="P115" s="129"/>
      <c r="Q115" s="129"/>
      <c r="R115" s="129"/>
      <c r="S115" s="129"/>
      <c r="U115" s="4204" t="s">
        <v>350</v>
      </c>
      <c r="V115" s="4205"/>
      <c r="W115" s="4206"/>
      <c r="X115" s="147"/>
      <c r="Y115" s="147"/>
      <c r="Z115" s="131"/>
      <c r="AA115" s="129"/>
      <c r="AB115" s="129"/>
      <c r="AC115" s="129"/>
      <c r="AD115" s="129"/>
      <c r="AE115" s="1575"/>
      <c r="AF115" s="1578"/>
    </row>
    <row r="116" spans="1:32" ht="18.75" customHeight="1">
      <c r="A116" s="1575"/>
      <c r="B116" s="1575"/>
      <c r="C116" s="1575"/>
      <c r="D116" s="129"/>
      <c r="E116" s="129"/>
      <c r="F116" s="129"/>
      <c r="G116" s="129"/>
      <c r="H116" s="129"/>
      <c r="I116" s="129"/>
      <c r="J116" s="129"/>
      <c r="K116" s="129"/>
      <c r="L116" s="129"/>
      <c r="M116" s="129"/>
      <c r="N116" s="129"/>
      <c r="O116" s="129"/>
      <c r="P116" s="129"/>
      <c r="Q116" s="129"/>
      <c r="R116" s="129"/>
      <c r="S116" s="129"/>
      <c r="U116" s="4207" t="s">
        <v>3670</v>
      </c>
      <c r="V116" s="4208"/>
      <c r="W116" s="516">
        <v>0</v>
      </c>
      <c r="X116" s="147"/>
      <c r="Y116" s="147"/>
      <c r="Z116" s="131"/>
      <c r="AA116" s="129"/>
      <c r="AB116" s="129"/>
      <c r="AC116" s="129"/>
      <c r="AD116" s="129"/>
      <c r="AE116" s="1575"/>
      <c r="AF116" s="1578"/>
    </row>
    <row r="117" spans="1:32" ht="18.75" customHeight="1">
      <c r="A117" s="1575"/>
      <c r="B117" s="1575"/>
      <c r="C117" s="1575"/>
      <c r="D117" s="103"/>
      <c r="E117" s="103"/>
      <c r="F117" s="103"/>
      <c r="G117" s="103"/>
      <c r="H117" s="103"/>
      <c r="I117" s="103"/>
      <c r="J117" s="103"/>
      <c r="K117" s="103"/>
      <c r="L117" s="103"/>
      <c r="M117" s="103"/>
      <c r="N117" s="103"/>
      <c r="O117" s="103"/>
      <c r="P117" s="103"/>
      <c r="Q117" s="129"/>
      <c r="R117" s="129"/>
      <c r="S117" s="129"/>
      <c r="U117" s="4209" t="s">
        <v>3671</v>
      </c>
      <c r="V117" s="4201"/>
      <c r="W117" s="515">
        <f>SUM(Z95:Z101)</f>
        <v>68868.173699912004</v>
      </c>
      <c r="X117" s="147"/>
      <c r="Y117" s="147"/>
      <c r="Z117" s="131"/>
      <c r="AA117" s="129"/>
      <c r="AB117" s="129"/>
      <c r="AC117" s="129"/>
      <c r="AD117" s="129"/>
      <c r="AE117" s="1575"/>
      <c r="AF117" s="1578"/>
    </row>
    <row r="118" spans="1:32" ht="18.75" customHeight="1">
      <c r="A118" s="1575"/>
      <c r="B118" s="1575"/>
      <c r="C118" s="1575"/>
      <c r="D118" s="149"/>
      <c r="E118" s="149"/>
      <c r="F118" s="149"/>
      <c r="G118" s="149"/>
      <c r="H118" s="149"/>
      <c r="I118" s="149"/>
      <c r="J118" s="149"/>
      <c r="K118" s="149"/>
      <c r="L118" s="149"/>
      <c r="M118" s="149"/>
      <c r="N118" s="149"/>
      <c r="O118" s="149"/>
      <c r="P118" s="149"/>
      <c r="Q118" s="132"/>
      <c r="R118" s="129"/>
      <c r="S118" s="129"/>
      <c r="U118" s="4209" t="s">
        <v>3672</v>
      </c>
      <c r="V118" s="4201"/>
      <c r="W118" s="515">
        <v>0</v>
      </c>
      <c r="X118" s="150"/>
      <c r="Y118" s="150"/>
      <c r="Z118" s="131"/>
      <c r="AA118" s="129"/>
      <c r="AB118" s="129"/>
      <c r="AC118" s="129"/>
      <c r="AD118" s="129"/>
      <c r="AE118" s="1575"/>
      <c r="AF118" s="1578"/>
    </row>
    <row r="119" spans="1:32" ht="18.75" customHeight="1">
      <c r="A119" s="1575"/>
      <c r="B119" s="1575"/>
      <c r="C119" s="1575"/>
      <c r="D119" s="149"/>
      <c r="E119" s="149"/>
      <c r="F119" s="149"/>
      <c r="G119" s="149"/>
      <c r="H119" s="149"/>
      <c r="I119" s="149"/>
      <c r="J119" s="149"/>
      <c r="K119" s="149"/>
      <c r="L119" s="149"/>
      <c r="M119" s="149"/>
      <c r="N119" s="149"/>
      <c r="O119" s="149"/>
      <c r="P119" s="149"/>
      <c r="Q119" s="132"/>
      <c r="R119" s="129"/>
      <c r="S119" s="129"/>
      <c r="U119" s="4209" t="s">
        <v>3673</v>
      </c>
      <c r="V119" s="4201"/>
      <c r="W119" s="515">
        <v>0</v>
      </c>
      <c r="X119" s="143"/>
      <c r="Y119" s="143"/>
      <c r="Z119" s="131"/>
      <c r="AA119" s="129"/>
      <c r="AB119" s="129"/>
      <c r="AC119" s="129"/>
      <c r="AD119" s="129"/>
      <c r="AE119" s="1575"/>
      <c r="AF119" s="1578"/>
    </row>
    <row r="120" spans="1:32" ht="18.75" customHeight="1">
      <c r="A120" s="1575"/>
      <c r="B120" s="1575"/>
      <c r="C120" s="1575"/>
      <c r="D120" s="149"/>
      <c r="E120" s="149"/>
      <c r="F120" s="149"/>
      <c r="G120" s="149"/>
      <c r="H120" s="149"/>
      <c r="I120" s="149"/>
      <c r="J120" s="149"/>
      <c r="K120" s="149"/>
      <c r="L120" s="149"/>
      <c r="M120" s="149"/>
      <c r="N120" s="149"/>
      <c r="O120" s="149"/>
      <c r="P120" s="149"/>
      <c r="Q120" s="132"/>
      <c r="R120" s="129"/>
      <c r="S120" s="129"/>
      <c r="U120" s="4209" t="s">
        <v>3674</v>
      </c>
      <c r="V120" s="4201"/>
      <c r="W120" s="515">
        <v>0</v>
      </c>
      <c r="X120" s="151"/>
      <c r="Y120" s="151"/>
      <c r="Z120" s="131"/>
      <c r="AA120" s="129"/>
      <c r="AB120" s="129"/>
      <c r="AC120" s="129"/>
      <c r="AD120" s="129"/>
      <c r="AE120" s="1575"/>
      <c r="AF120" s="1578"/>
    </row>
    <row r="121" spans="1:32" ht="18.75" customHeight="1">
      <c r="A121" s="1575"/>
      <c r="B121" s="1575"/>
      <c r="C121" s="1575"/>
      <c r="D121" s="149"/>
      <c r="E121" s="149"/>
      <c r="F121" s="149"/>
      <c r="G121" s="149"/>
      <c r="H121" s="149"/>
      <c r="I121" s="149"/>
      <c r="J121" s="149"/>
      <c r="K121" s="149"/>
      <c r="L121" s="149"/>
      <c r="M121" s="149"/>
      <c r="N121" s="149"/>
      <c r="O121" s="149"/>
      <c r="P121" s="149"/>
      <c r="Q121" s="132"/>
      <c r="R121" s="129"/>
      <c r="S121" s="129"/>
      <c r="U121" s="4209" t="s">
        <v>3675</v>
      </c>
      <c r="V121" s="4201"/>
      <c r="W121" s="515">
        <v>0</v>
      </c>
      <c r="X121" s="151"/>
      <c r="Y121" s="151"/>
      <c r="Z121" s="131"/>
      <c r="AA121" s="129"/>
      <c r="AB121" s="129"/>
      <c r="AC121" s="129"/>
      <c r="AD121" s="129"/>
      <c r="AE121" s="1575"/>
      <c r="AF121" s="1578"/>
    </row>
    <row r="122" spans="1:32" ht="18.75" customHeight="1">
      <c r="A122" s="1575"/>
      <c r="B122" s="1575"/>
      <c r="C122" s="1575"/>
      <c r="D122" s="149"/>
      <c r="E122" s="149"/>
      <c r="F122" s="149"/>
      <c r="G122" s="149"/>
      <c r="H122" s="149"/>
      <c r="I122" s="149"/>
      <c r="J122" s="149"/>
      <c r="K122" s="149"/>
      <c r="L122" s="149"/>
      <c r="M122" s="149"/>
      <c r="N122" s="149"/>
      <c r="O122" s="149"/>
      <c r="P122" s="149"/>
      <c r="Q122" s="132"/>
      <c r="R122" s="129"/>
      <c r="S122" s="129"/>
      <c r="U122" s="4209" t="s">
        <v>3676</v>
      </c>
      <c r="V122" s="4201"/>
      <c r="W122" s="515">
        <f>SUM(Z102:Z105)</f>
        <v>31403.918799999774</v>
      </c>
      <c r="X122" s="151"/>
      <c r="Y122" s="151"/>
      <c r="Z122" s="131"/>
      <c r="AA122" s="129"/>
      <c r="AB122" s="103"/>
      <c r="AC122" s="103"/>
      <c r="AD122" s="103"/>
      <c r="AE122" s="1575"/>
      <c r="AF122" s="1578"/>
    </row>
    <row r="123" spans="1:32" ht="18.75" customHeight="1">
      <c r="A123" s="149"/>
      <c r="B123" s="149"/>
      <c r="C123" s="149"/>
      <c r="D123" s="149"/>
      <c r="E123" s="149"/>
      <c r="F123" s="149"/>
      <c r="G123" s="149"/>
      <c r="H123" s="149"/>
      <c r="I123" s="149"/>
      <c r="J123" s="149"/>
      <c r="K123" s="149"/>
      <c r="L123" s="149"/>
      <c r="M123" s="149"/>
      <c r="N123" s="149"/>
      <c r="O123" s="149"/>
      <c r="P123" s="149"/>
      <c r="Q123" s="132"/>
      <c r="R123" s="129"/>
      <c r="S123" s="129"/>
      <c r="U123" s="4209" t="s">
        <v>3677</v>
      </c>
      <c r="V123" s="4201"/>
      <c r="W123" s="517">
        <v>0</v>
      </c>
      <c r="X123" s="152"/>
      <c r="Y123" s="152"/>
      <c r="Z123" s="131"/>
      <c r="AA123" s="146"/>
      <c r="AB123" s="149"/>
      <c r="AC123" s="149"/>
      <c r="AD123" s="149"/>
      <c r="AE123" s="1575"/>
      <c r="AF123" s="1578"/>
    </row>
    <row r="124" spans="1:32" ht="18.75" customHeight="1">
      <c r="A124" s="149"/>
      <c r="B124" s="149"/>
      <c r="C124" s="149"/>
      <c r="D124" s="149"/>
      <c r="E124" s="149"/>
      <c r="F124" s="149"/>
      <c r="G124" s="149"/>
      <c r="H124" s="149"/>
      <c r="I124" s="149"/>
      <c r="J124" s="149"/>
      <c r="K124" s="149"/>
      <c r="L124" s="149"/>
      <c r="M124" s="149"/>
      <c r="N124" s="149"/>
      <c r="O124" s="149"/>
      <c r="P124" s="149"/>
      <c r="Q124" s="132"/>
      <c r="R124" s="129"/>
      <c r="S124" s="129"/>
      <c r="U124" s="4198" t="s">
        <v>183</v>
      </c>
      <c r="V124" s="4199"/>
      <c r="W124" s="1572">
        <f>SUM(W116:W123)</f>
        <v>100272.09249991179</v>
      </c>
      <c r="X124" s="150"/>
      <c r="Y124" s="150"/>
      <c r="Z124" s="131"/>
      <c r="AA124" s="146"/>
      <c r="AB124" s="149"/>
      <c r="AC124" s="149"/>
      <c r="AD124" s="149"/>
      <c r="AE124" s="149"/>
    </row>
  </sheetData>
  <mergeCells count="321">
    <mergeCell ref="J29:J33"/>
    <mergeCell ref="K29:K33"/>
    <mergeCell ref="J34:J38"/>
    <mergeCell ref="K34:K38"/>
    <mergeCell ref="C34:C38"/>
    <mergeCell ref="D34:D38"/>
    <mergeCell ref="E34:E38"/>
    <mergeCell ref="Q34:Q38"/>
    <mergeCell ref="R34:R38"/>
    <mergeCell ref="L34:L38"/>
    <mergeCell ref="M34:M38"/>
    <mergeCell ref="N34:N38"/>
    <mergeCell ref="O34:O38"/>
    <mergeCell ref="P34:P38"/>
    <mergeCell ref="A54:B88"/>
    <mergeCell ref="E24:E28"/>
    <mergeCell ref="F24:F28"/>
    <mergeCell ref="G24:G28"/>
    <mergeCell ref="H24:H28"/>
    <mergeCell ref="I24:I28"/>
    <mergeCell ref="J24:J28"/>
    <mergeCell ref="K24:K28"/>
    <mergeCell ref="C24:C28"/>
    <mergeCell ref="D24:D28"/>
    <mergeCell ref="C29:C33"/>
    <mergeCell ref="D29:D33"/>
    <mergeCell ref="E29:E33"/>
    <mergeCell ref="F29:F33"/>
    <mergeCell ref="G29:G33"/>
    <mergeCell ref="H29:H33"/>
    <mergeCell ref="I29:I33"/>
    <mergeCell ref="H34:H38"/>
    <mergeCell ref="I34:I38"/>
    <mergeCell ref="E39:E43"/>
    <mergeCell ref="F39:F43"/>
    <mergeCell ref="G39:G43"/>
    <mergeCell ref="H39:H43"/>
    <mergeCell ref="I39:I43"/>
    <mergeCell ref="AF24:AF28"/>
    <mergeCell ref="AF29:AF33"/>
    <mergeCell ref="O29:O33"/>
    <mergeCell ref="P29:P33"/>
    <mergeCell ref="AF34:AF38"/>
    <mergeCell ref="L24:L28"/>
    <mergeCell ref="M24:M28"/>
    <mergeCell ref="N24:N28"/>
    <mergeCell ref="O24:O28"/>
    <mergeCell ref="P24:P28"/>
    <mergeCell ref="Q24:Q28"/>
    <mergeCell ref="R24:R28"/>
    <mergeCell ref="Q29:Q33"/>
    <mergeCell ref="R29:R33"/>
    <mergeCell ref="L29:L33"/>
    <mergeCell ref="M29:M33"/>
    <mergeCell ref="N29:N33"/>
    <mergeCell ref="AF44:AF48"/>
    <mergeCell ref="AF49:AF53"/>
    <mergeCell ref="L39:L43"/>
    <mergeCell ref="M39:M43"/>
    <mergeCell ref="N39:N43"/>
    <mergeCell ref="O39:O43"/>
    <mergeCell ref="P39:P43"/>
    <mergeCell ref="Q39:Q43"/>
    <mergeCell ref="R39:R43"/>
    <mergeCell ref="Q49:Q53"/>
    <mergeCell ref="R49:R53"/>
    <mergeCell ref="L49:L53"/>
    <mergeCell ref="M49:M53"/>
    <mergeCell ref="N49:N53"/>
    <mergeCell ref="O49:O53"/>
    <mergeCell ref="P49:P53"/>
    <mergeCell ref="Q44:Q48"/>
    <mergeCell ref="R44:R48"/>
    <mergeCell ref="F54:F58"/>
    <mergeCell ref="G54:G58"/>
    <mergeCell ref="H54:H58"/>
    <mergeCell ref="I54:I58"/>
    <mergeCell ref="E44:E48"/>
    <mergeCell ref="F44:F48"/>
    <mergeCell ref="G44:G48"/>
    <mergeCell ref="H44:H48"/>
    <mergeCell ref="I44:I48"/>
    <mergeCell ref="E49:E53"/>
    <mergeCell ref="F49:F53"/>
    <mergeCell ref="G49:G53"/>
    <mergeCell ref="H49:H53"/>
    <mergeCell ref="I49:I53"/>
    <mergeCell ref="AF64:AF68"/>
    <mergeCell ref="L54:L58"/>
    <mergeCell ref="M54:M58"/>
    <mergeCell ref="N54:N58"/>
    <mergeCell ref="O54:O58"/>
    <mergeCell ref="P54:P58"/>
    <mergeCell ref="Q54:Q58"/>
    <mergeCell ref="R54:R58"/>
    <mergeCell ref="Q64:Q68"/>
    <mergeCell ref="R64:R68"/>
    <mergeCell ref="L64:L68"/>
    <mergeCell ref="M64:M68"/>
    <mergeCell ref="N64:N68"/>
    <mergeCell ref="O64:O68"/>
    <mergeCell ref="P64:P68"/>
    <mergeCell ref="Q59:Q63"/>
    <mergeCell ref="R59:R63"/>
    <mergeCell ref="O59:O63"/>
    <mergeCell ref="P59:P63"/>
    <mergeCell ref="K79:K83"/>
    <mergeCell ref="L79:L83"/>
    <mergeCell ref="M79:M83"/>
    <mergeCell ref="N79:N83"/>
    <mergeCell ref="O79:O83"/>
    <mergeCell ref="P79:P83"/>
    <mergeCell ref="J64:J68"/>
    <mergeCell ref="K64:K68"/>
    <mergeCell ref="J74:J78"/>
    <mergeCell ref="K74:K78"/>
    <mergeCell ref="K69:K73"/>
    <mergeCell ref="AF79:AF83"/>
    <mergeCell ref="L69:L73"/>
    <mergeCell ref="M69:M73"/>
    <mergeCell ref="N69:N73"/>
    <mergeCell ref="O69:O73"/>
    <mergeCell ref="P69:P73"/>
    <mergeCell ref="Q69:Q73"/>
    <mergeCell ref="R69:R73"/>
    <mergeCell ref="Q79:Q83"/>
    <mergeCell ref="R79:R83"/>
    <mergeCell ref="Q74:Q78"/>
    <mergeCell ref="R74:R78"/>
    <mergeCell ref="L74:L78"/>
    <mergeCell ref="M74:M78"/>
    <mergeCell ref="N74:N78"/>
    <mergeCell ref="O74:O78"/>
    <mergeCell ref="P74:P78"/>
    <mergeCell ref="AF69:AF73"/>
    <mergeCell ref="AF74:AF78"/>
    <mergeCell ref="F59:F63"/>
    <mergeCell ref="G59:G63"/>
    <mergeCell ref="H59:H63"/>
    <mergeCell ref="I59:I63"/>
    <mergeCell ref="E64:E68"/>
    <mergeCell ref="F64:F68"/>
    <mergeCell ref="G64:G68"/>
    <mergeCell ref="H64:H68"/>
    <mergeCell ref="I64:I68"/>
    <mergeCell ref="AF14:AF18"/>
    <mergeCell ref="Q14:Q18"/>
    <mergeCell ref="R14:R18"/>
    <mergeCell ref="P14:P18"/>
    <mergeCell ref="J14:J18"/>
    <mergeCell ref="K14:K18"/>
    <mergeCell ref="J59:J63"/>
    <mergeCell ref="K59:K63"/>
    <mergeCell ref="L59:L63"/>
    <mergeCell ref="M59:M63"/>
    <mergeCell ref="N59:N63"/>
    <mergeCell ref="AF54:AF58"/>
    <mergeCell ref="AF59:AF63"/>
    <mergeCell ref="K44:K48"/>
    <mergeCell ref="L44:L48"/>
    <mergeCell ref="M44:M48"/>
    <mergeCell ref="N44:N48"/>
    <mergeCell ref="O44:O48"/>
    <mergeCell ref="P44:P48"/>
    <mergeCell ref="J54:J58"/>
    <mergeCell ref="K54:K58"/>
    <mergeCell ref="J39:J43"/>
    <mergeCell ref="K39:K43"/>
    <mergeCell ref="AF39:AF43"/>
    <mergeCell ref="A1:AF1"/>
    <mergeCell ref="A2:AF2"/>
    <mergeCell ref="A3:AF3"/>
    <mergeCell ref="A4:AF4"/>
    <mergeCell ref="Q9:Q13"/>
    <mergeCell ref="R9:R13"/>
    <mergeCell ref="AF9:AF13"/>
    <mergeCell ref="J9:J13"/>
    <mergeCell ref="K9:K13"/>
    <mergeCell ref="L9:L13"/>
    <mergeCell ref="M9:M13"/>
    <mergeCell ref="N9:N13"/>
    <mergeCell ref="O9:O13"/>
    <mergeCell ref="P9:P13"/>
    <mergeCell ref="A9:B53"/>
    <mergeCell ref="H9:H13"/>
    <mergeCell ref="I9:I13"/>
    <mergeCell ref="N14:N18"/>
    <mergeCell ref="O14:O18"/>
    <mergeCell ref="Q19:Q23"/>
    <mergeCell ref="R19:R23"/>
    <mergeCell ref="K19:K23"/>
    <mergeCell ref="AF19:AF23"/>
    <mergeCell ref="C19:C23"/>
    <mergeCell ref="P19:P23"/>
    <mergeCell ref="H14:H18"/>
    <mergeCell ref="I14:I18"/>
    <mergeCell ref="J19:J23"/>
    <mergeCell ref="E14:E18"/>
    <mergeCell ref="C84:C88"/>
    <mergeCell ref="D84:D88"/>
    <mergeCell ref="E84:E88"/>
    <mergeCell ref="F84:F88"/>
    <mergeCell ref="G84:G88"/>
    <mergeCell ref="H84:H88"/>
    <mergeCell ref="I84:I88"/>
    <mergeCell ref="J84:J88"/>
    <mergeCell ref="K84:K88"/>
    <mergeCell ref="F14:F18"/>
    <mergeCell ref="G14:G18"/>
    <mergeCell ref="C54:C58"/>
    <mergeCell ref="D54:D58"/>
    <mergeCell ref="C64:C68"/>
    <mergeCell ref="D64:D68"/>
    <mergeCell ref="C69:C73"/>
    <mergeCell ref="D69:D73"/>
    <mergeCell ref="C59:C63"/>
    <mergeCell ref="D19:D23"/>
    <mergeCell ref="F9:F13"/>
    <mergeCell ref="G9:G13"/>
    <mergeCell ref="C49:C53"/>
    <mergeCell ref="D49:D53"/>
    <mergeCell ref="C44:C48"/>
    <mergeCell ref="C39:C43"/>
    <mergeCell ref="D39:D43"/>
    <mergeCell ref="D44:D48"/>
    <mergeCell ref="O19:O23"/>
    <mergeCell ref="E19:E23"/>
    <mergeCell ref="F19:F23"/>
    <mergeCell ref="G19:G23"/>
    <mergeCell ref="H19:H23"/>
    <mergeCell ref="I19:I23"/>
    <mergeCell ref="L19:L23"/>
    <mergeCell ref="M19:M23"/>
    <mergeCell ref="N19:N23"/>
    <mergeCell ref="L14:L18"/>
    <mergeCell ref="M14:M18"/>
    <mergeCell ref="J49:J53"/>
    <mergeCell ref="K49:K53"/>
    <mergeCell ref="J44:J48"/>
    <mergeCell ref="F34:F38"/>
    <mergeCell ref="G34:G38"/>
    <mergeCell ref="C79:C83"/>
    <mergeCell ref="D79:D83"/>
    <mergeCell ref="C74:C78"/>
    <mergeCell ref="D74:D78"/>
    <mergeCell ref="C9:C13"/>
    <mergeCell ref="D9:D13"/>
    <mergeCell ref="C14:C18"/>
    <mergeCell ref="D14:D18"/>
    <mergeCell ref="E9:E13"/>
    <mergeCell ref="E74:E78"/>
    <mergeCell ref="E59:E63"/>
    <mergeCell ref="E69:E73"/>
    <mergeCell ref="E54:E58"/>
    <mergeCell ref="D59:D63"/>
    <mergeCell ref="E79:E83"/>
    <mergeCell ref="S90:AF90"/>
    <mergeCell ref="U92:Z92"/>
    <mergeCell ref="L84:L88"/>
    <mergeCell ref="M84:M88"/>
    <mergeCell ref="N84:N88"/>
    <mergeCell ref="O84:O88"/>
    <mergeCell ref="P84:P88"/>
    <mergeCell ref="Q84:Q88"/>
    <mergeCell ref="AF84:AF88"/>
    <mergeCell ref="R84:R88"/>
    <mergeCell ref="S89:Z89"/>
    <mergeCell ref="AC89:AF89"/>
    <mergeCell ref="F79:F83"/>
    <mergeCell ref="G79:G83"/>
    <mergeCell ref="H79:H83"/>
    <mergeCell ref="I79:I83"/>
    <mergeCell ref="F74:F78"/>
    <mergeCell ref="G74:G78"/>
    <mergeCell ref="H74:H78"/>
    <mergeCell ref="I74:I78"/>
    <mergeCell ref="J69:J73"/>
    <mergeCell ref="F69:F73"/>
    <mergeCell ref="G69:G73"/>
    <mergeCell ref="H69:H73"/>
    <mergeCell ref="I69:I73"/>
    <mergeCell ref="J79:J83"/>
    <mergeCell ref="U124:V124"/>
    <mergeCell ref="U113:V113"/>
    <mergeCell ref="U114:V114"/>
    <mergeCell ref="U115:W115"/>
    <mergeCell ref="U116:V116"/>
    <mergeCell ref="U117:V117"/>
    <mergeCell ref="U118:V118"/>
    <mergeCell ref="U119:V119"/>
    <mergeCell ref="U109:W109"/>
    <mergeCell ref="U110:V110"/>
    <mergeCell ref="U111:V111"/>
    <mergeCell ref="U112:V112"/>
    <mergeCell ref="U120:V120"/>
    <mergeCell ref="U121:V121"/>
    <mergeCell ref="U122:V122"/>
    <mergeCell ref="U123:V123"/>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4">
    <dataValidation type="list" allowBlank="1" showErrorMessage="1" sqref="D9 D14 D19 D24 D29 D34 D39 D44 D49 D54 D59 D64 D69 D74 D79 D84">
      <formula1>"M.7.4.1. Incrementar los artículos publicados por las universidades y escuelas politécnicas en revistas indexadas de 6.624 a 12.423."</formula1>
    </dataValidation>
    <dataValidation type="list" allowBlank="1" showErrorMessage="1" sqref="H9 H14 H19 H24 H29 H34 H39 H44 H49 H54 H59 H64 H69 H74 H79 H84">
      <formula1>"FORTALECIMIENTO INSTITUCIONAL,ASEGURAMIENTO DE LA CALIDAD,TALENTO HUMANO FORTALECIDO,OFERTA ACADÉMICA,MATRICULADOS SEGÚN AUTOIDENTIFICACIÓN ÉTINICA,EJES SUSTANTIVOS INTEGRADOS,INTERCULTURALIDAD E IGUALDAD DE CONDICIONES FOMENTADA,INVESTIGACIONES"</formula1>
    </dataValidation>
    <dataValidation type="list" allowBlank="1" showErrorMessage="1" sqref="G9 G14 G19 G24 G29 G34 G39 G44 G49 G54 G59 G64 G69 G74 G79 G84">
      <formula1>"OEI_1_FORTALECER_LAS_CAPACIDADES_INSTITUCIONALES.,OEI_2_INCREMENTAR_LA_FORMACIÓN_DE_PROFESIONALES_CON_EXCELENCIA.,OEI_3_INCREMENTAR_LA_PRODUCCIÓN_CIENTÍFICA_Y_TECNOLÓGICA.,OEI_4_INCREMENTAR_LA_VINCULACIÓN_CON_LA_COLECTIVIDAD."</formula1>
    </dataValidation>
    <dataValidation type="decimal" allowBlank="1" showInputMessage="1" showErrorMessage="1" prompt="DPLAN - Sólo debe ingresar valores, NO porcentajes." sqref="M14:O14 M19:O19 M24:O24 M29:O29 M34:O34 M39:O39 M44:O44 M49:O49 M54:O54 M59:O59 M64:O64 M69:O69 M74:O74 M79:O79">
      <formula1>0</formula1>
      <formula2>1000000</formula2>
    </dataValidation>
  </dataValidations>
  <printOptions horizontalCentered="1"/>
  <pageMargins left="0.23622047244094491" right="0.23622047244094491" top="0.74803149606299213" bottom="0.74803149606299213" header="0" footer="0"/>
  <pageSetup paperSize="9" scale="25" fitToHeight="0" pageOrder="overThenDown" orientation="landscape" r:id="rId1"/>
  <headerFooter>
    <oddHeader>&amp;L&amp;"Britannic Bold,Normal"&amp;12&amp;K002060Plan Operativo Anual 2023&amp;"-,Normal"&amp;10&amp;K000000
&amp;"Cambria,Cursiva"&amp;12&amp;K0070C0Administración Central&amp;C&amp;"Century Schoolbook,Normal"&amp;12&amp;K002060&amp;P</oddHeader>
  </headerFooter>
  <ignoredErrors>
    <ignoredError sqref="W101" numberStoredAsText="1"/>
  </ignoredError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316"/>
  <sheetViews>
    <sheetView showGridLines="0" topLeftCell="R1" zoomScaleNormal="100" workbookViewId="0">
      <selection activeCell="Z301" sqref="Z301"/>
    </sheetView>
  </sheetViews>
  <sheetFormatPr baseColWidth="10" defaultColWidth="12.5703125" defaultRowHeight="15.75" customHeight="1"/>
  <cols>
    <col min="1" max="2" width="5" customWidth="1"/>
    <col min="3" max="12" width="22.42578125" customWidth="1"/>
    <col min="13" max="15" width="8.7109375" customWidth="1"/>
    <col min="16" max="16" width="24.7109375" customWidth="1"/>
    <col min="17" max="18" width="22.42578125" customWidth="1"/>
    <col min="19" max="19" width="22.7109375" customWidth="1"/>
    <col min="20" max="20" width="12.7109375" customWidth="1"/>
    <col min="21" max="21" width="24.7109375" customWidth="1"/>
    <col min="22" max="22" width="49.140625" customWidth="1"/>
    <col min="23" max="23" width="12.7109375" customWidth="1"/>
    <col min="24" max="25" width="12" customWidth="1"/>
    <col min="26" max="26" width="12.7109375" customWidth="1"/>
    <col min="27" max="28" width="12" customWidth="1"/>
    <col min="29" max="31" width="7.7109375" customWidth="1"/>
    <col min="32" max="32" width="19.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254" t="s">
        <v>1243</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41.25" customHeight="1">
      <c r="A9" s="4669" t="s">
        <v>1243</v>
      </c>
      <c r="B9" s="4407" t="s">
        <v>1243</v>
      </c>
      <c r="C9" s="5212" t="s">
        <v>235</v>
      </c>
      <c r="D9" s="4916" t="s">
        <v>236</v>
      </c>
      <c r="E9" s="4916" t="s">
        <v>237</v>
      </c>
      <c r="F9" s="4916" t="s">
        <v>326</v>
      </c>
      <c r="G9" s="5182" t="s">
        <v>239</v>
      </c>
      <c r="H9" s="4916" t="s">
        <v>240</v>
      </c>
      <c r="I9" s="4916" t="s">
        <v>294</v>
      </c>
      <c r="J9" s="4931" t="s">
        <v>5590</v>
      </c>
      <c r="K9" s="4916" t="s">
        <v>1244</v>
      </c>
      <c r="L9" s="4916" t="s">
        <v>1245</v>
      </c>
      <c r="M9" s="5204">
        <v>2</v>
      </c>
      <c r="N9" s="5211">
        <v>3</v>
      </c>
      <c r="O9" s="5204">
        <v>3</v>
      </c>
      <c r="P9" s="4524" t="s">
        <v>5649</v>
      </c>
      <c r="Q9" s="4931" t="s">
        <v>5699</v>
      </c>
      <c r="R9" s="5203" t="s">
        <v>5631</v>
      </c>
      <c r="S9" s="3852"/>
      <c r="T9" s="3853"/>
      <c r="U9" s="3874"/>
      <c r="V9" s="3854"/>
      <c r="W9" s="3855"/>
      <c r="X9" s="3856"/>
      <c r="Y9" s="3301"/>
      <c r="Z9" s="3301"/>
      <c r="AA9" s="3668"/>
      <c r="AB9" s="3786"/>
      <c r="AC9" s="3667"/>
      <c r="AD9" s="3787"/>
      <c r="AE9" s="3788"/>
      <c r="AF9" s="5210"/>
    </row>
    <row r="10" spans="1:32" ht="41.25" customHeight="1">
      <c r="A10" s="4564"/>
      <c r="B10" s="4408"/>
      <c r="C10" s="4404"/>
      <c r="D10" s="4378"/>
      <c r="E10" s="4378"/>
      <c r="F10" s="4378"/>
      <c r="G10" s="4378"/>
      <c r="H10" s="4378"/>
      <c r="I10" s="4378"/>
      <c r="J10" s="4378"/>
      <c r="K10" s="4378"/>
      <c r="L10" s="4378"/>
      <c r="M10" s="4393"/>
      <c r="N10" s="4393"/>
      <c r="O10" s="4393"/>
      <c r="P10" s="4378"/>
      <c r="Q10" s="4378"/>
      <c r="R10" s="5180"/>
      <c r="S10" s="3303"/>
      <c r="T10" s="1891"/>
      <c r="U10" s="1849"/>
      <c r="V10" s="1883"/>
      <c r="W10" s="1864"/>
      <c r="X10" s="1824"/>
      <c r="Y10" s="1870"/>
      <c r="Z10" s="1870"/>
      <c r="AA10" s="1870"/>
      <c r="AB10" s="1871"/>
      <c r="AC10" s="1824"/>
      <c r="AD10" s="1826"/>
      <c r="AE10" s="3200"/>
      <c r="AF10" s="4521"/>
    </row>
    <row r="11" spans="1:32" ht="41.25" customHeight="1">
      <c r="A11" s="4564"/>
      <c r="B11" s="4408"/>
      <c r="C11" s="4404"/>
      <c r="D11" s="4378"/>
      <c r="E11" s="4378"/>
      <c r="F11" s="4378"/>
      <c r="G11" s="4378"/>
      <c r="H11" s="4378"/>
      <c r="I11" s="4378"/>
      <c r="J11" s="4378"/>
      <c r="K11" s="4378"/>
      <c r="L11" s="4378"/>
      <c r="M11" s="4393"/>
      <c r="N11" s="4393"/>
      <c r="O11" s="4393"/>
      <c r="P11" s="4378"/>
      <c r="Q11" s="4378"/>
      <c r="R11" s="5180"/>
      <c r="S11" s="3857"/>
      <c r="T11" s="1891"/>
      <c r="U11" s="1849"/>
      <c r="V11" s="3789"/>
      <c r="W11" s="1864"/>
      <c r="X11" s="1824"/>
      <c r="Y11" s="1870"/>
      <c r="Z11" s="1870"/>
      <c r="AA11" s="1870"/>
      <c r="AB11" s="1871"/>
      <c r="AC11" s="1824"/>
      <c r="AD11" s="1826"/>
      <c r="AE11" s="3200"/>
      <c r="AF11" s="4521"/>
    </row>
    <row r="12" spans="1:32" ht="41.25" customHeight="1">
      <c r="A12" s="4564"/>
      <c r="B12" s="4408"/>
      <c r="C12" s="4404"/>
      <c r="D12" s="4378"/>
      <c r="E12" s="4378"/>
      <c r="F12" s="4378"/>
      <c r="G12" s="4378"/>
      <c r="H12" s="4378"/>
      <c r="I12" s="4378"/>
      <c r="J12" s="4378"/>
      <c r="K12" s="4378"/>
      <c r="L12" s="4378"/>
      <c r="M12" s="4393"/>
      <c r="N12" s="4393"/>
      <c r="O12" s="4393"/>
      <c r="P12" s="4378"/>
      <c r="Q12" s="4378"/>
      <c r="R12" s="5180"/>
      <c r="S12" s="3857"/>
      <c r="T12" s="1891"/>
      <c r="U12" s="1849"/>
      <c r="V12" s="3789"/>
      <c r="W12" s="1864"/>
      <c r="X12" s="1824"/>
      <c r="Y12" s="1870"/>
      <c r="Z12" s="1870"/>
      <c r="AA12" s="1870"/>
      <c r="AB12" s="1871"/>
      <c r="AC12" s="1824"/>
      <c r="AD12" s="1826"/>
      <c r="AE12" s="3200"/>
      <c r="AF12" s="4521"/>
    </row>
    <row r="13" spans="1:32" ht="41.25" customHeight="1">
      <c r="A13" s="4564"/>
      <c r="B13" s="4408"/>
      <c r="C13" s="4404"/>
      <c r="D13" s="4378"/>
      <c r="E13" s="4378"/>
      <c r="F13" s="4378"/>
      <c r="G13" s="4378"/>
      <c r="H13" s="4378"/>
      <c r="I13" s="4378"/>
      <c r="J13" s="4378"/>
      <c r="K13" s="4378"/>
      <c r="L13" s="4378"/>
      <c r="M13" s="4393"/>
      <c r="N13" s="4393"/>
      <c r="O13" s="4393"/>
      <c r="P13" s="4378"/>
      <c r="Q13" s="4378"/>
      <c r="R13" s="5180"/>
      <c r="S13" s="3303"/>
      <c r="T13" s="1891"/>
      <c r="U13" s="1849"/>
      <c r="V13" s="1883"/>
      <c r="W13" s="1864"/>
      <c r="X13" s="1824"/>
      <c r="Y13" s="1870"/>
      <c r="Z13" s="1870"/>
      <c r="AA13" s="1870"/>
      <c r="AB13" s="1871"/>
      <c r="AC13" s="1824"/>
      <c r="AD13" s="1826"/>
      <c r="AE13" s="3200"/>
      <c r="AF13" s="4521"/>
    </row>
    <row r="14" spans="1:32" ht="41.25" customHeight="1">
      <c r="A14" s="4564"/>
      <c r="B14" s="4408"/>
      <c r="C14" s="4413"/>
      <c r="D14" s="4396"/>
      <c r="E14" s="4396"/>
      <c r="F14" s="4396"/>
      <c r="G14" s="4396"/>
      <c r="H14" s="4396"/>
      <c r="I14" s="4396"/>
      <c r="J14" s="4396"/>
      <c r="K14" s="4396"/>
      <c r="L14" s="4396"/>
      <c r="M14" s="4402"/>
      <c r="N14" s="4402"/>
      <c r="O14" s="4402"/>
      <c r="P14" s="4396"/>
      <c r="Q14" s="4396"/>
      <c r="R14" s="5194"/>
      <c r="S14" s="3304"/>
      <c r="T14" s="3821"/>
      <c r="U14" s="3271"/>
      <c r="V14" s="3822"/>
      <c r="W14" s="3254"/>
      <c r="X14" s="3246"/>
      <c r="Y14" s="3245"/>
      <c r="Z14" s="3245"/>
      <c r="AA14" s="3245"/>
      <c r="AB14" s="3823"/>
      <c r="AC14" s="3246"/>
      <c r="AD14" s="3161"/>
      <c r="AE14" s="3256"/>
      <c r="AF14" s="4530"/>
    </row>
    <row r="15" spans="1:32" ht="60.75" customHeight="1">
      <c r="A15" s="4564"/>
      <c r="B15" s="4408"/>
      <c r="C15" s="4403" t="s">
        <v>235</v>
      </c>
      <c r="D15" s="4390" t="s">
        <v>236</v>
      </c>
      <c r="E15" s="4390" t="s">
        <v>237</v>
      </c>
      <c r="F15" s="4390" t="s">
        <v>326</v>
      </c>
      <c r="G15" s="4406" t="s">
        <v>239</v>
      </c>
      <c r="H15" s="4390" t="s">
        <v>240</v>
      </c>
      <c r="I15" s="4390" t="s">
        <v>294</v>
      </c>
      <c r="J15" s="4377" t="s">
        <v>5591</v>
      </c>
      <c r="K15" s="4390" t="s">
        <v>1246</v>
      </c>
      <c r="L15" s="4390" t="s">
        <v>1247</v>
      </c>
      <c r="M15" s="4392">
        <v>1</v>
      </c>
      <c r="N15" s="4392">
        <v>2</v>
      </c>
      <c r="O15" s="4392">
        <v>2</v>
      </c>
      <c r="P15" s="4391" t="s">
        <v>5650</v>
      </c>
      <c r="Q15" s="4377" t="s">
        <v>5700</v>
      </c>
      <c r="R15" s="5179" t="s">
        <v>5632</v>
      </c>
      <c r="S15" s="3305"/>
      <c r="T15" s="3270"/>
      <c r="U15" s="3272"/>
      <c r="V15" s="3662"/>
      <c r="W15" s="3663"/>
      <c r="X15" s="3259"/>
      <c r="Y15" s="3252"/>
      <c r="Z15" s="3252"/>
      <c r="AA15" s="3252"/>
      <c r="AB15" s="3329"/>
      <c r="AC15" s="3259"/>
      <c r="AD15" s="2943"/>
      <c r="AE15" s="3824"/>
      <c r="AF15" s="5188"/>
    </row>
    <row r="16" spans="1:32" ht="60.75" customHeight="1">
      <c r="A16" s="4564"/>
      <c r="B16" s="4408"/>
      <c r="C16" s="4404"/>
      <c r="D16" s="4378"/>
      <c r="E16" s="4378"/>
      <c r="F16" s="4378"/>
      <c r="G16" s="4378"/>
      <c r="H16" s="4378"/>
      <c r="I16" s="4378"/>
      <c r="J16" s="4378"/>
      <c r="K16" s="4378"/>
      <c r="L16" s="4378"/>
      <c r="M16" s="4393"/>
      <c r="N16" s="4393"/>
      <c r="O16" s="4393"/>
      <c r="P16" s="4378"/>
      <c r="Q16" s="4378"/>
      <c r="R16" s="5180"/>
      <c r="S16" s="3303"/>
      <c r="T16" s="1891"/>
      <c r="U16" s="1849"/>
      <c r="V16" s="1883"/>
      <c r="W16" s="1864"/>
      <c r="X16" s="1824"/>
      <c r="Y16" s="1870"/>
      <c r="Z16" s="1870"/>
      <c r="AA16" s="1870"/>
      <c r="AB16" s="1871"/>
      <c r="AC16" s="1824"/>
      <c r="AD16" s="1825"/>
      <c r="AE16" s="3790"/>
      <c r="AF16" s="4521"/>
    </row>
    <row r="17" spans="1:32" ht="60.75" customHeight="1">
      <c r="A17" s="4564"/>
      <c r="B17" s="4408"/>
      <c r="C17" s="4404"/>
      <c r="D17" s="4378"/>
      <c r="E17" s="4378"/>
      <c r="F17" s="4378"/>
      <c r="G17" s="4378"/>
      <c r="H17" s="4378"/>
      <c r="I17" s="4378"/>
      <c r="J17" s="4378"/>
      <c r="K17" s="4378"/>
      <c r="L17" s="4378"/>
      <c r="M17" s="4393"/>
      <c r="N17" s="4393"/>
      <c r="O17" s="4393"/>
      <c r="P17" s="4378"/>
      <c r="Q17" s="4378"/>
      <c r="R17" s="5180"/>
      <c r="S17" s="3303"/>
      <c r="T17" s="1891"/>
      <c r="U17" s="1849"/>
      <c r="V17" s="1883"/>
      <c r="W17" s="1864"/>
      <c r="X17" s="1824"/>
      <c r="Y17" s="1870"/>
      <c r="Z17" s="1870"/>
      <c r="AA17" s="1870"/>
      <c r="AB17" s="1871"/>
      <c r="AC17" s="1824"/>
      <c r="AD17" s="1825"/>
      <c r="AE17" s="3200"/>
      <c r="AF17" s="4521"/>
    </row>
    <row r="18" spans="1:32" ht="60.75" customHeight="1">
      <c r="A18" s="4564"/>
      <c r="B18" s="4408"/>
      <c r="C18" s="4404"/>
      <c r="D18" s="4378"/>
      <c r="E18" s="4378"/>
      <c r="F18" s="4378"/>
      <c r="G18" s="4378"/>
      <c r="H18" s="4378"/>
      <c r="I18" s="4378"/>
      <c r="J18" s="4378"/>
      <c r="K18" s="4378"/>
      <c r="L18" s="4378"/>
      <c r="M18" s="4393"/>
      <c r="N18" s="4393"/>
      <c r="O18" s="4393"/>
      <c r="P18" s="4378"/>
      <c r="Q18" s="4378"/>
      <c r="R18" s="5180"/>
      <c r="S18" s="3303"/>
      <c r="T18" s="1891"/>
      <c r="U18" s="1849"/>
      <c r="V18" s="1883"/>
      <c r="W18" s="1864"/>
      <c r="X18" s="1824"/>
      <c r="Y18" s="1870"/>
      <c r="Z18" s="1870"/>
      <c r="AA18" s="1870"/>
      <c r="AB18" s="1871"/>
      <c r="AC18" s="1824"/>
      <c r="AD18" s="1825"/>
      <c r="AE18" s="3200"/>
      <c r="AF18" s="4521"/>
    </row>
    <row r="19" spans="1:32" ht="60.75" customHeight="1">
      <c r="A19" s="4564"/>
      <c r="B19" s="4408"/>
      <c r="C19" s="4416"/>
      <c r="D19" s="4411"/>
      <c r="E19" s="4411"/>
      <c r="F19" s="4411"/>
      <c r="G19" s="4411"/>
      <c r="H19" s="4411"/>
      <c r="I19" s="4411"/>
      <c r="J19" s="4411"/>
      <c r="K19" s="4411"/>
      <c r="L19" s="4411"/>
      <c r="M19" s="4420"/>
      <c r="N19" s="4420"/>
      <c r="O19" s="4420"/>
      <c r="P19" s="4411"/>
      <c r="Q19" s="4411"/>
      <c r="R19" s="5181"/>
      <c r="S19" s="3306"/>
      <c r="T19" s="3819"/>
      <c r="U19" s="3268"/>
      <c r="V19" s="3641"/>
      <c r="W19" s="3233"/>
      <c r="X19" s="3234"/>
      <c r="Y19" s="3236"/>
      <c r="Z19" s="3236"/>
      <c r="AA19" s="3236"/>
      <c r="AB19" s="3820"/>
      <c r="AC19" s="3234"/>
      <c r="AD19" s="3150"/>
      <c r="AE19" s="3238"/>
      <c r="AF19" s="4522"/>
    </row>
    <row r="20" spans="1:32" ht="30.75" customHeight="1">
      <c r="A20" s="4564"/>
      <c r="B20" s="4408"/>
      <c r="C20" s="4412" t="s">
        <v>235</v>
      </c>
      <c r="D20" s="4400" t="s">
        <v>236</v>
      </c>
      <c r="E20" s="4400" t="s">
        <v>237</v>
      </c>
      <c r="F20" s="4400" t="s">
        <v>326</v>
      </c>
      <c r="G20" s="4414" t="s">
        <v>239</v>
      </c>
      <c r="H20" s="4400" t="s">
        <v>240</v>
      </c>
      <c r="I20" s="4400" t="s">
        <v>294</v>
      </c>
      <c r="J20" s="4395" t="s">
        <v>5592</v>
      </c>
      <c r="K20" s="4400" t="s">
        <v>1248</v>
      </c>
      <c r="L20" s="4400" t="s">
        <v>1249</v>
      </c>
      <c r="M20" s="4401">
        <v>1</v>
      </c>
      <c r="N20" s="4401">
        <v>6</v>
      </c>
      <c r="O20" s="4401">
        <v>6</v>
      </c>
      <c r="P20" s="4399" t="s">
        <v>5651</v>
      </c>
      <c r="Q20" s="4395" t="s">
        <v>5701</v>
      </c>
      <c r="R20" s="5183" t="s">
        <v>5633</v>
      </c>
      <c r="S20" s="3858" t="s">
        <v>11</v>
      </c>
      <c r="T20" s="3071">
        <v>530704</v>
      </c>
      <c r="U20" s="3274"/>
      <c r="V20" s="3661" t="s">
        <v>19</v>
      </c>
      <c r="W20" s="3664"/>
      <c r="X20" s="3187"/>
      <c r="Y20" s="3228"/>
      <c r="Z20" s="3228"/>
      <c r="AA20" s="3228"/>
      <c r="AB20" s="2479">
        <f>SUM(AA21:AA22)</f>
        <v>92610.11</v>
      </c>
      <c r="AC20" s="3187"/>
      <c r="AD20" s="3147"/>
      <c r="AE20" s="3230"/>
      <c r="AF20" s="5209" t="s">
        <v>5587</v>
      </c>
    </row>
    <row r="21" spans="1:32" ht="30.75" customHeight="1">
      <c r="A21" s="4564"/>
      <c r="B21" s="4408"/>
      <c r="C21" s="4404"/>
      <c r="D21" s="4378"/>
      <c r="E21" s="4378"/>
      <c r="F21" s="4378"/>
      <c r="G21" s="4378"/>
      <c r="H21" s="4378"/>
      <c r="I21" s="4378"/>
      <c r="J21" s="4378"/>
      <c r="K21" s="4378"/>
      <c r="L21" s="4378"/>
      <c r="M21" s="4393"/>
      <c r="N21" s="4393"/>
      <c r="O21" s="4393"/>
      <c r="P21" s="4378"/>
      <c r="Q21" s="4378"/>
      <c r="R21" s="5180"/>
      <c r="S21" s="3303"/>
      <c r="T21" s="1891"/>
      <c r="U21" s="1849"/>
      <c r="V21" s="1883" t="s">
        <v>1250</v>
      </c>
      <c r="W21" s="1864"/>
      <c r="X21" s="1824"/>
      <c r="Y21" s="2435">
        <v>91610.11</v>
      </c>
      <c r="Z21" s="1870"/>
      <c r="AA21" s="2435">
        <f t="shared" ref="AA21:AA22" si="0">Y21</f>
        <v>91610.11</v>
      </c>
      <c r="AB21" s="2436"/>
      <c r="AC21" s="1824"/>
      <c r="AD21" s="1826"/>
      <c r="AE21" s="3200"/>
      <c r="AF21" s="5185"/>
    </row>
    <row r="22" spans="1:32" ht="30.75" customHeight="1">
      <c r="A22" s="4564"/>
      <c r="B22" s="4408"/>
      <c r="C22" s="4404"/>
      <c r="D22" s="4378"/>
      <c r="E22" s="4378"/>
      <c r="F22" s="4378"/>
      <c r="G22" s="4378"/>
      <c r="H22" s="4378"/>
      <c r="I22" s="4378"/>
      <c r="J22" s="4378"/>
      <c r="K22" s="4378"/>
      <c r="L22" s="4378"/>
      <c r="M22" s="4393"/>
      <c r="N22" s="4393"/>
      <c r="O22" s="4393"/>
      <c r="P22" s="4378"/>
      <c r="Q22" s="4378"/>
      <c r="R22" s="5180"/>
      <c r="S22" s="3859"/>
      <c r="T22" s="1891"/>
      <c r="U22" s="1849"/>
      <c r="V22" s="1883" t="s">
        <v>1251</v>
      </c>
      <c r="W22" s="1864"/>
      <c r="X22" s="1824"/>
      <c r="Y22" s="1870">
        <v>1000</v>
      </c>
      <c r="Z22" s="1870"/>
      <c r="AA22" s="1870">
        <f t="shared" si="0"/>
        <v>1000</v>
      </c>
      <c r="AB22" s="1871"/>
      <c r="AC22" s="1824"/>
      <c r="AD22" s="1826"/>
      <c r="AE22" s="3200"/>
      <c r="AF22" s="5185"/>
    </row>
    <row r="23" spans="1:32" ht="30.75" customHeight="1">
      <c r="A23" s="4564"/>
      <c r="B23" s="4408"/>
      <c r="C23" s="4404"/>
      <c r="D23" s="4378"/>
      <c r="E23" s="4378"/>
      <c r="F23" s="4378"/>
      <c r="G23" s="4378"/>
      <c r="H23" s="4378"/>
      <c r="I23" s="4378"/>
      <c r="J23" s="4378"/>
      <c r="K23" s="4378"/>
      <c r="L23" s="4378"/>
      <c r="M23" s="4393"/>
      <c r="N23" s="4393"/>
      <c r="O23" s="4393"/>
      <c r="P23" s="4378"/>
      <c r="Q23" s="4378"/>
      <c r="R23" s="5180"/>
      <c r="S23" s="3859"/>
      <c r="T23" s="1891"/>
      <c r="U23" s="1849"/>
      <c r="V23" s="3789"/>
      <c r="W23" s="1864"/>
      <c r="X23" s="1824"/>
      <c r="Y23" s="1870"/>
      <c r="Z23" s="1870"/>
      <c r="AA23" s="1870"/>
      <c r="AB23" s="1871"/>
      <c r="AC23" s="1824"/>
      <c r="AD23" s="1826"/>
      <c r="AE23" s="3200"/>
      <c r="AF23" s="5185"/>
    </row>
    <row r="24" spans="1:32" ht="30.75" customHeight="1">
      <c r="A24" s="4564"/>
      <c r="B24" s="4408"/>
      <c r="C24" s="4413"/>
      <c r="D24" s="4396"/>
      <c r="E24" s="4396"/>
      <c r="F24" s="4396"/>
      <c r="G24" s="4396"/>
      <c r="H24" s="4396"/>
      <c r="I24" s="4396"/>
      <c r="J24" s="4396"/>
      <c r="K24" s="4396"/>
      <c r="L24" s="4396"/>
      <c r="M24" s="4402"/>
      <c r="N24" s="4402"/>
      <c r="O24" s="4402"/>
      <c r="P24" s="4396"/>
      <c r="Q24" s="4396"/>
      <c r="R24" s="5194"/>
      <c r="S24" s="3304"/>
      <c r="T24" s="3821"/>
      <c r="U24" s="3271"/>
      <c r="V24" s="3822"/>
      <c r="W24" s="3254"/>
      <c r="X24" s="3246"/>
      <c r="Y24" s="3245"/>
      <c r="Z24" s="3245"/>
      <c r="AA24" s="3245"/>
      <c r="AB24" s="3823"/>
      <c r="AC24" s="3246"/>
      <c r="AD24" s="3161"/>
      <c r="AE24" s="3256"/>
      <c r="AF24" s="5186"/>
    </row>
    <row r="25" spans="1:32" ht="29.25" customHeight="1">
      <c r="A25" s="4564"/>
      <c r="B25" s="4408"/>
      <c r="C25" s="4403" t="s">
        <v>235</v>
      </c>
      <c r="D25" s="4390" t="s">
        <v>236</v>
      </c>
      <c r="E25" s="4390" t="s">
        <v>237</v>
      </c>
      <c r="F25" s="4390" t="s">
        <v>326</v>
      </c>
      <c r="G25" s="4406" t="s">
        <v>239</v>
      </c>
      <c r="H25" s="4390" t="s">
        <v>240</v>
      </c>
      <c r="I25" s="4431" t="s">
        <v>257</v>
      </c>
      <c r="J25" s="4377" t="s">
        <v>5593</v>
      </c>
      <c r="K25" s="4390" t="s">
        <v>1252</v>
      </c>
      <c r="L25" s="4390" t="s">
        <v>1253</v>
      </c>
      <c r="M25" s="4392">
        <v>0</v>
      </c>
      <c r="N25" s="4392">
        <v>1</v>
      </c>
      <c r="O25" s="4392">
        <v>1</v>
      </c>
      <c r="P25" s="4391" t="s">
        <v>5652</v>
      </c>
      <c r="Q25" s="4391" t="s">
        <v>5702</v>
      </c>
      <c r="R25" s="5179" t="s">
        <v>5634</v>
      </c>
      <c r="S25" s="3305"/>
      <c r="T25" s="3270"/>
      <c r="U25" s="3272"/>
      <c r="V25" s="3662"/>
      <c r="W25" s="3663"/>
      <c r="X25" s="3259"/>
      <c r="Y25" s="3252"/>
      <c r="Z25" s="3252"/>
      <c r="AA25" s="3252"/>
      <c r="AB25" s="3329"/>
      <c r="AC25" s="3259"/>
      <c r="AD25" s="3166"/>
      <c r="AE25" s="3262"/>
      <c r="AF25" s="5188"/>
    </row>
    <row r="26" spans="1:32" ht="29.25" customHeight="1">
      <c r="A26" s="4564"/>
      <c r="B26" s="4408"/>
      <c r="C26" s="4404"/>
      <c r="D26" s="4378"/>
      <c r="E26" s="4378"/>
      <c r="F26" s="4378"/>
      <c r="G26" s="4378"/>
      <c r="H26" s="4378"/>
      <c r="I26" s="4378"/>
      <c r="J26" s="4378"/>
      <c r="K26" s="4378"/>
      <c r="L26" s="4378"/>
      <c r="M26" s="4393"/>
      <c r="N26" s="4393"/>
      <c r="O26" s="4393"/>
      <c r="P26" s="4378"/>
      <c r="Q26" s="4378"/>
      <c r="R26" s="5180"/>
      <c r="S26" s="3303"/>
      <c r="T26" s="1891"/>
      <c r="U26" s="1849"/>
      <c r="V26" s="1883"/>
      <c r="W26" s="1864"/>
      <c r="X26" s="1824"/>
      <c r="Y26" s="1870"/>
      <c r="Z26" s="1870"/>
      <c r="AA26" s="1870"/>
      <c r="AB26" s="1871"/>
      <c r="AC26" s="1824"/>
      <c r="AD26" s="1826"/>
      <c r="AE26" s="3200"/>
      <c r="AF26" s="4521"/>
    </row>
    <row r="27" spans="1:32" ht="29.25" customHeight="1">
      <c r="A27" s="4564"/>
      <c r="B27" s="4408"/>
      <c r="C27" s="4404"/>
      <c r="D27" s="4378"/>
      <c r="E27" s="4378"/>
      <c r="F27" s="4378"/>
      <c r="G27" s="4378"/>
      <c r="H27" s="4378"/>
      <c r="I27" s="4378"/>
      <c r="J27" s="4378"/>
      <c r="K27" s="4378"/>
      <c r="L27" s="4378"/>
      <c r="M27" s="4393"/>
      <c r="N27" s="4393"/>
      <c r="O27" s="4393"/>
      <c r="P27" s="4378"/>
      <c r="Q27" s="4378"/>
      <c r="R27" s="5180"/>
      <c r="S27" s="3303"/>
      <c r="T27" s="1891"/>
      <c r="U27" s="1849"/>
      <c r="V27" s="1883"/>
      <c r="W27" s="1864"/>
      <c r="X27" s="1824"/>
      <c r="Y27" s="1870"/>
      <c r="Z27" s="1870"/>
      <c r="AA27" s="1870"/>
      <c r="AB27" s="1871"/>
      <c r="AC27" s="1824"/>
      <c r="AD27" s="1826"/>
      <c r="AE27" s="3200"/>
      <c r="AF27" s="4521"/>
    </row>
    <row r="28" spans="1:32" ht="29.25" customHeight="1">
      <c r="A28" s="4564"/>
      <c r="B28" s="4408"/>
      <c r="C28" s="4404"/>
      <c r="D28" s="4378"/>
      <c r="E28" s="4378"/>
      <c r="F28" s="4378"/>
      <c r="G28" s="4378"/>
      <c r="H28" s="4378"/>
      <c r="I28" s="4378"/>
      <c r="J28" s="4378"/>
      <c r="K28" s="4378"/>
      <c r="L28" s="4378"/>
      <c r="M28" s="4393"/>
      <c r="N28" s="4393"/>
      <c r="O28" s="4393"/>
      <c r="P28" s="4378"/>
      <c r="Q28" s="4378"/>
      <c r="R28" s="5180"/>
      <c r="S28" s="3303"/>
      <c r="T28" s="1891"/>
      <c r="U28" s="1849"/>
      <c r="V28" s="1883"/>
      <c r="W28" s="1864"/>
      <c r="X28" s="1824"/>
      <c r="Y28" s="1870"/>
      <c r="Z28" s="1870"/>
      <c r="AA28" s="1870"/>
      <c r="AB28" s="1871"/>
      <c r="AC28" s="1824"/>
      <c r="AD28" s="1826"/>
      <c r="AE28" s="3200"/>
      <c r="AF28" s="4521"/>
    </row>
    <row r="29" spans="1:32" ht="29.25" customHeight="1">
      <c r="A29" s="4564"/>
      <c r="B29" s="4408"/>
      <c r="C29" s="4416"/>
      <c r="D29" s="4411"/>
      <c r="E29" s="4411"/>
      <c r="F29" s="4411"/>
      <c r="G29" s="4411"/>
      <c r="H29" s="4411"/>
      <c r="I29" s="4411"/>
      <c r="J29" s="4411"/>
      <c r="K29" s="4411"/>
      <c r="L29" s="4411"/>
      <c r="M29" s="4420"/>
      <c r="N29" s="4420"/>
      <c r="O29" s="4420"/>
      <c r="P29" s="4411"/>
      <c r="Q29" s="4411"/>
      <c r="R29" s="5181"/>
      <c r="S29" s="3306"/>
      <c r="T29" s="3819"/>
      <c r="U29" s="3268"/>
      <c r="V29" s="3641"/>
      <c r="W29" s="3233"/>
      <c r="X29" s="3234"/>
      <c r="Y29" s="3236"/>
      <c r="Z29" s="3236"/>
      <c r="AA29" s="3236"/>
      <c r="AB29" s="3820"/>
      <c r="AC29" s="3234"/>
      <c r="AD29" s="3153"/>
      <c r="AE29" s="3238"/>
      <c r="AF29" s="4522"/>
    </row>
    <row r="30" spans="1:32" ht="36.75" customHeight="1">
      <c r="A30" s="4564"/>
      <c r="B30" s="4408"/>
      <c r="C30" s="4412" t="s">
        <v>235</v>
      </c>
      <c r="D30" s="4400" t="s">
        <v>236</v>
      </c>
      <c r="E30" s="4400" t="s">
        <v>237</v>
      </c>
      <c r="F30" s="4400" t="s">
        <v>326</v>
      </c>
      <c r="G30" s="4414" t="s">
        <v>239</v>
      </c>
      <c r="H30" s="4400" t="s">
        <v>240</v>
      </c>
      <c r="I30" s="4418" t="s">
        <v>257</v>
      </c>
      <c r="J30" s="4395" t="s">
        <v>5594</v>
      </c>
      <c r="K30" s="4400" t="s">
        <v>371</v>
      </c>
      <c r="L30" s="4395" t="s">
        <v>5745</v>
      </c>
      <c r="M30" s="4401">
        <v>0</v>
      </c>
      <c r="N30" s="4401">
        <v>2</v>
      </c>
      <c r="O30" s="4401">
        <v>3</v>
      </c>
      <c r="P30" s="4399" t="s">
        <v>5653</v>
      </c>
      <c r="Q30" s="4395" t="s">
        <v>5703</v>
      </c>
      <c r="R30" s="5183" t="s">
        <v>5635</v>
      </c>
      <c r="S30" s="3858" t="s">
        <v>11</v>
      </c>
      <c r="T30" s="3071">
        <v>531407</v>
      </c>
      <c r="U30" s="3274"/>
      <c r="V30" s="3661" t="s">
        <v>20</v>
      </c>
      <c r="W30" s="3664"/>
      <c r="X30" s="3187"/>
      <c r="Y30" s="3228"/>
      <c r="Z30" s="3228"/>
      <c r="AA30" s="3228"/>
      <c r="AB30" s="3330">
        <f>SUM(AA31:AA32)</f>
        <v>95.2</v>
      </c>
      <c r="AC30" s="3187"/>
      <c r="AD30" s="3147"/>
      <c r="AE30" s="3230"/>
      <c r="AF30" s="5187"/>
    </row>
    <row r="31" spans="1:32" ht="36.75" customHeight="1">
      <c r="A31" s="4564"/>
      <c r="B31" s="4408"/>
      <c r="C31" s="4404"/>
      <c r="D31" s="4378"/>
      <c r="E31" s="4378"/>
      <c r="F31" s="4378"/>
      <c r="G31" s="4378"/>
      <c r="H31" s="4378"/>
      <c r="I31" s="4378"/>
      <c r="J31" s="4378"/>
      <c r="K31" s="4378"/>
      <c r="L31" s="4378"/>
      <c r="M31" s="4393"/>
      <c r="N31" s="4393"/>
      <c r="O31" s="4393"/>
      <c r="P31" s="4378"/>
      <c r="Q31" s="4378"/>
      <c r="R31" s="5180"/>
      <c r="S31" s="3303"/>
      <c r="T31" s="1891"/>
      <c r="U31" s="1849">
        <v>461220011</v>
      </c>
      <c r="V31" s="1883" t="s">
        <v>421</v>
      </c>
      <c r="W31" s="1864">
        <v>1</v>
      </c>
      <c r="X31" s="1824" t="s">
        <v>269</v>
      </c>
      <c r="Y31" s="1870">
        <v>85</v>
      </c>
      <c r="Z31" s="1870">
        <f t="shared" ref="Z31" si="1">W31*Y31</f>
        <v>85</v>
      </c>
      <c r="AA31" s="1870">
        <f t="shared" ref="AA31" si="2">+Z31*1.12</f>
        <v>95.2</v>
      </c>
      <c r="AB31" s="1871"/>
      <c r="AC31" s="1824"/>
      <c r="AD31" s="3200" t="s">
        <v>251</v>
      </c>
      <c r="AE31" s="3200"/>
      <c r="AF31" s="4521"/>
    </row>
    <row r="32" spans="1:32" ht="36.75" customHeight="1">
      <c r="A32" s="4564"/>
      <c r="B32" s="4408"/>
      <c r="C32" s="4404"/>
      <c r="D32" s="4378"/>
      <c r="E32" s="4378"/>
      <c r="F32" s="4378"/>
      <c r="G32" s="4378"/>
      <c r="H32" s="4378"/>
      <c r="I32" s="4378"/>
      <c r="J32" s="4378"/>
      <c r="K32" s="4378"/>
      <c r="L32" s="4378"/>
      <c r="M32" s="4393"/>
      <c r="N32" s="4393"/>
      <c r="O32" s="4393"/>
      <c r="P32" s="4378"/>
      <c r="Q32" s="4378"/>
      <c r="R32" s="5180"/>
      <c r="S32" s="3303"/>
      <c r="T32" s="1891"/>
      <c r="U32" s="1849"/>
      <c r="V32" s="1883"/>
      <c r="W32" s="1864"/>
      <c r="X32" s="1824"/>
      <c r="Y32" s="1870"/>
      <c r="Z32" s="1870"/>
      <c r="AA32" s="1870"/>
      <c r="AB32" s="1871"/>
      <c r="AC32" s="1824"/>
      <c r="AD32" s="3200"/>
      <c r="AE32" s="3200"/>
      <c r="AF32" s="4521"/>
    </row>
    <row r="33" spans="1:32" ht="36.75" customHeight="1" thickBot="1">
      <c r="A33" s="4564"/>
      <c r="B33" s="4408"/>
      <c r="C33" s="4405"/>
      <c r="D33" s="4379"/>
      <c r="E33" s="4379"/>
      <c r="F33" s="4379"/>
      <c r="G33" s="4379"/>
      <c r="H33" s="4379"/>
      <c r="I33" s="4379"/>
      <c r="J33" s="4379"/>
      <c r="K33" s="4379"/>
      <c r="L33" s="4379"/>
      <c r="M33" s="4394"/>
      <c r="N33" s="4394"/>
      <c r="O33" s="4394"/>
      <c r="P33" s="4379"/>
      <c r="Q33" s="4379"/>
      <c r="R33" s="5201"/>
      <c r="S33" s="3860"/>
      <c r="T33" s="3791"/>
      <c r="U33" s="3875"/>
      <c r="V33" s="3792"/>
      <c r="W33" s="3793"/>
      <c r="X33" s="3794"/>
      <c r="Y33" s="3795"/>
      <c r="Z33" s="3795"/>
      <c r="AA33" s="3795"/>
      <c r="AB33" s="3796"/>
      <c r="AC33" s="3794"/>
      <c r="AD33" s="3797"/>
      <c r="AE33" s="3797"/>
      <c r="AF33" s="4536"/>
    </row>
    <row r="34" spans="1:32" ht="22.5" customHeight="1" thickBot="1">
      <c r="A34" s="4564"/>
      <c r="B34" s="4479"/>
      <c r="C34" s="3781"/>
      <c r="D34" s="3780"/>
      <c r="E34" s="3780"/>
      <c r="F34" s="3780"/>
      <c r="G34" s="3780"/>
      <c r="H34" s="3780"/>
      <c r="I34" s="3780"/>
      <c r="J34" s="3780"/>
      <c r="K34" s="3780"/>
      <c r="L34" s="3780"/>
      <c r="M34" s="3653"/>
      <c r="N34" s="3653"/>
      <c r="O34" s="3653"/>
      <c r="P34" s="3780"/>
      <c r="Q34" s="3780"/>
      <c r="R34" s="3850"/>
      <c r="S34" s="5195" t="s">
        <v>1254</v>
      </c>
      <c r="T34" s="5196"/>
      <c r="U34" s="5196"/>
      <c r="V34" s="5196"/>
      <c r="W34" s="5196"/>
      <c r="X34" s="5196"/>
      <c r="Y34" s="5196"/>
      <c r="Z34" s="5197"/>
      <c r="AA34" s="3782" t="s">
        <v>340</v>
      </c>
      <c r="AB34" s="3624">
        <f>SUM(AB9:AB33)</f>
        <v>92705.31</v>
      </c>
      <c r="AC34" s="5198"/>
      <c r="AD34" s="5111"/>
      <c r="AE34" s="5111"/>
      <c r="AF34" s="4717"/>
    </row>
    <row r="35" spans="1:32" ht="36" customHeight="1">
      <c r="A35" s="4564"/>
      <c r="B35" s="4571" t="s">
        <v>1255</v>
      </c>
      <c r="C35" s="5212" t="s">
        <v>235</v>
      </c>
      <c r="D35" s="4916" t="s">
        <v>236</v>
      </c>
      <c r="E35" s="4916" t="s">
        <v>237</v>
      </c>
      <c r="F35" s="4916" t="s">
        <v>326</v>
      </c>
      <c r="G35" s="5182" t="s">
        <v>239</v>
      </c>
      <c r="H35" s="4916" t="s">
        <v>240</v>
      </c>
      <c r="I35" s="4916" t="s">
        <v>294</v>
      </c>
      <c r="J35" s="4524" t="s">
        <v>5595</v>
      </c>
      <c r="K35" s="4916" t="s">
        <v>1256</v>
      </c>
      <c r="L35" s="4916" t="s">
        <v>1257</v>
      </c>
      <c r="M35" s="5204">
        <v>0</v>
      </c>
      <c r="N35" s="5204">
        <v>1</v>
      </c>
      <c r="O35" s="5204">
        <v>0</v>
      </c>
      <c r="P35" s="4931" t="s">
        <v>5654</v>
      </c>
      <c r="Q35" s="4524" t="s">
        <v>5704</v>
      </c>
      <c r="R35" s="5203" t="s">
        <v>5636</v>
      </c>
      <c r="S35" s="3861"/>
      <c r="T35" s="3785"/>
      <c r="U35" s="3876"/>
      <c r="V35" s="3666"/>
      <c r="W35" s="3665"/>
      <c r="X35" s="3667"/>
      <c r="Y35" s="3668"/>
      <c r="Z35" s="3668"/>
      <c r="AA35" s="3668"/>
      <c r="AB35" s="3786"/>
      <c r="AC35" s="3667"/>
      <c r="AD35" s="3788"/>
      <c r="AE35" s="3788"/>
      <c r="AF35" s="5210"/>
    </row>
    <row r="36" spans="1:32" ht="36" customHeight="1">
      <c r="A36" s="4564"/>
      <c r="B36" s="4408"/>
      <c r="C36" s="4404"/>
      <c r="D36" s="4378"/>
      <c r="E36" s="4378"/>
      <c r="F36" s="4378"/>
      <c r="G36" s="4378"/>
      <c r="H36" s="4378"/>
      <c r="I36" s="4378"/>
      <c r="J36" s="4378"/>
      <c r="K36" s="4378"/>
      <c r="L36" s="4378"/>
      <c r="M36" s="4393"/>
      <c r="N36" s="4393"/>
      <c r="O36" s="4393"/>
      <c r="P36" s="4378"/>
      <c r="Q36" s="4378"/>
      <c r="R36" s="5180"/>
      <c r="S36" s="3303"/>
      <c r="T36" s="1891"/>
      <c r="U36" s="1849"/>
      <c r="V36" s="1883"/>
      <c r="W36" s="1864"/>
      <c r="X36" s="1824"/>
      <c r="Y36" s="1870"/>
      <c r="Z36" s="1870"/>
      <c r="AA36" s="1870"/>
      <c r="AB36" s="1871"/>
      <c r="AC36" s="1824"/>
      <c r="AD36" s="1826"/>
      <c r="AE36" s="3200"/>
      <c r="AF36" s="4521"/>
    </row>
    <row r="37" spans="1:32" ht="36" customHeight="1">
      <c r="A37" s="4564"/>
      <c r="B37" s="4408"/>
      <c r="C37" s="4404"/>
      <c r="D37" s="4378"/>
      <c r="E37" s="4378"/>
      <c r="F37" s="4378"/>
      <c r="G37" s="4378"/>
      <c r="H37" s="4378"/>
      <c r="I37" s="4378"/>
      <c r="J37" s="4378"/>
      <c r="K37" s="4378"/>
      <c r="L37" s="4378"/>
      <c r="M37" s="4393"/>
      <c r="N37" s="4393"/>
      <c r="O37" s="4393"/>
      <c r="P37" s="4378"/>
      <c r="Q37" s="4378"/>
      <c r="R37" s="5180"/>
      <c r="S37" s="3303"/>
      <c r="T37" s="1891"/>
      <c r="U37" s="1849"/>
      <c r="V37" s="1883"/>
      <c r="W37" s="1864"/>
      <c r="X37" s="1824"/>
      <c r="Y37" s="1870"/>
      <c r="Z37" s="1870"/>
      <c r="AA37" s="1870"/>
      <c r="AB37" s="1871"/>
      <c r="AC37" s="1824"/>
      <c r="AD37" s="3200"/>
      <c r="AE37" s="3200"/>
      <c r="AF37" s="4521"/>
    </row>
    <row r="38" spans="1:32" ht="36" customHeight="1">
      <c r="A38" s="4564"/>
      <c r="B38" s="4408"/>
      <c r="C38" s="4404"/>
      <c r="D38" s="4378"/>
      <c r="E38" s="4378"/>
      <c r="F38" s="4378"/>
      <c r="G38" s="4378"/>
      <c r="H38" s="4378"/>
      <c r="I38" s="4378"/>
      <c r="J38" s="4378"/>
      <c r="K38" s="4378"/>
      <c r="L38" s="4378"/>
      <c r="M38" s="4393"/>
      <c r="N38" s="4393"/>
      <c r="O38" s="4393"/>
      <c r="P38" s="4378"/>
      <c r="Q38" s="4378"/>
      <c r="R38" s="5180"/>
      <c r="S38" s="3303"/>
      <c r="T38" s="1891"/>
      <c r="U38" s="1849"/>
      <c r="V38" s="1883"/>
      <c r="W38" s="1864"/>
      <c r="X38" s="1824"/>
      <c r="Y38" s="1870"/>
      <c r="Z38" s="1870"/>
      <c r="AA38" s="1870"/>
      <c r="AB38" s="1871"/>
      <c r="AC38" s="1824"/>
      <c r="AD38" s="3200"/>
      <c r="AE38" s="3200"/>
      <c r="AF38" s="4521"/>
    </row>
    <row r="39" spans="1:32" ht="36" customHeight="1">
      <c r="A39" s="4564"/>
      <c r="B39" s="4408"/>
      <c r="C39" s="4413"/>
      <c r="D39" s="4396"/>
      <c r="E39" s="4396"/>
      <c r="F39" s="4396"/>
      <c r="G39" s="4396"/>
      <c r="H39" s="4396"/>
      <c r="I39" s="4396"/>
      <c r="J39" s="4396"/>
      <c r="K39" s="4396"/>
      <c r="L39" s="4396"/>
      <c r="M39" s="4402"/>
      <c r="N39" s="4402"/>
      <c r="O39" s="4402"/>
      <c r="P39" s="4396"/>
      <c r="Q39" s="4396"/>
      <c r="R39" s="5194"/>
      <c r="S39" s="3304"/>
      <c r="T39" s="3821"/>
      <c r="U39" s="3271"/>
      <c r="V39" s="3822"/>
      <c r="W39" s="3254"/>
      <c r="X39" s="3246"/>
      <c r="Y39" s="3245"/>
      <c r="Z39" s="3245"/>
      <c r="AA39" s="3245"/>
      <c r="AB39" s="3823"/>
      <c r="AC39" s="3246"/>
      <c r="AD39" s="3256"/>
      <c r="AE39" s="3256"/>
      <c r="AF39" s="4530"/>
    </row>
    <row r="40" spans="1:32" ht="30.75" customHeight="1">
      <c r="A40" s="4564"/>
      <c r="B40" s="4408"/>
      <c r="C40" s="4403" t="s">
        <v>235</v>
      </c>
      <c r="D40" s="4390" t="s">
        <v>236</v>
      </c>
      <c r="E40" s="4390" t="s">
        <v>237</v>
      </c>
      <c r="F40" s="4390" t="s">
        <v>326</v>
      </c>
      <c r="G40" s="4406" t="s">
        <v>239</v>
      </c>
      <c r="H40" s="4390" t="s">
        <v>240</v>
      </c>
      <c r="I40" s="4390" t="s">
        <v>294</v>
      </c>
      <c r="J40" s="4377" t="s">
        <v>5596</v>
      </c>
      <c r="K40" s="4390" t="s">
        <v>1258</v>
      </c>
      <c r="L40" s="4390" t="s">
        <v>1259</v>
      </c>
      <c r="M40" s="4392">
        <v>10</v>
      </c>
      <c r="N40" s="4392">
        <v>10</v>
      </c>
      <c r="O40" s="4392">
        <v>5</v>
      </c>
      <c r="P40" s="4377" t="s">
        <v>5655</v>
      </c>
      <c r="Q40" s="4391" t="s">
        <v>5705</v>
      </c>
      <c r="R40" s="5179" t="s">
        <v>5636</v>
      </c>
      <c r="S40" s="3305"/>
      <c r="T40" s="3270"/>
      <c r="U40" s="3272"/>
      <c r="V40" s="3662"/>
      <c r="W40" s="3663"/>
      <c r="X40" s="3259"/>
      <c r="Y40" s="3252"/>
      <c r="Z40" s="3252"/>
      <c r="AA40" s="3252"/>
      <c r="AB40" s="3329"/>
      <c r="AC40" s="3259"/>
      <c r="AD40" s="3824"/>
      <c r="AE40" s="3824"/>
      <c r="AF40" s="5188"/>
    </row>
    <row r="41" spans="1:32" ht="30.75" customHeight="1">
      <c r="A41" s="4564"/>
      <c r="B41" s="4408"/>
      <c r="C41" s="4404"/>
      <c r="D41" s="4378"/>
      <c r="E41" s="4378"/>
      <c r="F41" s="4378"/>
      <c r="G41" s="4378"/>
      <c r="H41" s="4378"/>
      <c r="I41" s="4378"/>
      <c r="J41" s="4378"/>
      <c r="K41" s="4378"/>
      <c r="L41" s="4378"/>
      <c r="M41" s="4393"/>
      <c r="N41" s="4393"/>
      <c r="O41" s="4393"/>
      <c r="P41" s="4378"/>
      <c r="Q41" s="4378"/>
      <c r="R41" s="5180"/>
      <c r="S41" s="3303"/>
      <c r="T41" s="1891"/>
      <c r="U41" s="1849"/>
      <c r="V41" s="1883"/>
      <c r="W41" s="1864"/>
      <c r="X41" s="1824"/>
      <c r="Y41" s="1870"/>
      <c r="Z41" s="1870"/>
      <c r="AA41" s="1870"/>
      <c r="AB41" s="1871"/>
      <c r="AC41" s="1824"/>
      <c r="AD41" s="1824"/>
      <c r="AE41" s="3790"/>
      <c r="AF41" s="4521"/>
    </row>
    <row r="42" spans="1:32" ht="30.75" customHeight="1">
      <c r="A42" s="4564"/>
      <c r="B42" s="4408"/>
      <c r="C42" s="4404"/>
      <c r="D42" s="4378"/>
      <c r="E42" s="4378"/>
      <c r="F42" s="4378"/>
      <c r="G42" s="4378"/>
      <c r="H42" s="4378"/>
      <c r="I42" s="4378"/>
      <c r="J42" s="4378"/>
      <c r="K42" s="4378"/>
      <c r="L42" s="4378"/>
      <c r="M42" s="4393"/>
      <c r="N42" s="4393"/>
      <c r="O42" s="4393"/>
      <c r="P42" s="4378"/>
      <c r="Q42" s="4378"/>
      <c r="R42" s="5180"/>
      <c r="S42" s="3303"/>
      <c r="T42" s="1891"/>
      <c r="U42" s="1849"/>
      <c r="V42" s="1883"/>
      <c r="W42" s="1864"/>
      <c r="X42" s="1824"/>
      <c r="Y42" s="1870"/>
      <c r="Z42" s="1870"/>
      <c r="AA42" s="1870"/>
      <c r="AB42" s="1871"/>
      <c r="AC42" s="1824"/>
      <c r="AD42" s="1824"/>
      <c r="AE42" s="3200"/>
      <c r="AF42" s="4521"/>
    </row>
    <row r="43" spans="1:32" ht="30.75" customHeight="1">
      <c r="A43" s="4564"/>
      <c r="B43" s="4408"/>
      <c r="C43" s="4404"/>
      <c r="D43" s="4378"/>
      <c r="E43" s="4378"/>
      <c r="F43" s="4378"/>
      <c r="G43" s="4378"/>
      <c r="H43" s="4378"/>
      <c r="I43" s="4378"/>
      <c r="J43" s="4378"/>
      <c r="K43" s="4378"/>
      <c r="L43" s="4378"/>
      <c r="M43" s="4393"/>
      <c r="N43" s="4393"/>
      <c r="O43" s="4393"/>
      <c r="P43" s="4378"/>
      <c r="Q43" s="4378"/>
      <c r="R43" s="5180"/>
      <c r="S43" s="3303"/>
      <c r="T43" s="1891"/>
      <c r="U43" s="1849"/>
      <c r="V43" s="1883"/>
      <c r="W43" s="1864"/>
      <c r="X43" s="1824"/>
      <c r="Y43" s="1870"/>
      <c r="Z43" s="1870"/>
      <c r="AA43" s="1870"/>
      <c r="AB43" s="1871"/>
      <c r="AC43" s="1824"/>
      <c r="AD43" s="1824"/>
      <c r="AE43" s="3200"/>
      <c r="AF43" s="4521"/>
    </row>
    <row r="44" spans="1:32" ht="30.75" customHeight="1">
      <c r="A44" s="4564"/>
      <c r="B44" s="4408"/>
      <c r="C44" s="4416"/>
      <c r="D44" s="4411"/>
      <c r="E44" s="4411"/>
      <c r="F44" s="4411"/>
      <c r="G44" s="4411"/>
      <c r="H44" s="4411"/>
      <c r="I44" s="4411"/>
      <c r="J44" s="4411"/>
      <c r="K44" s="4411"/>
      <c r="L44" s="4411"/>
      <c r="M44" s="4420"/>
      <c r="N44" s="4420"/>
      <c r="O44" s="4420"/>
      <c r="P44" s="4411"/>
      <c r="Q44" s="4411"/>
      <c r="R44" s="5181"/>
      <c r="S44" s="3306"/>
      <c r="T44" s="3819"/>
      <c r="U44" s="3268"/>
      <c r="V44" s="3641"/>
      <c r="W44" s="3233"/>
      <c r="X44" s="3234"/>
      <c r="Y44" s="3236"/>
      <c r="Z44" s="3236"/>
      <c r="AA44" s="3236"/>
      <c r="AB44" s="3820"/>
      <c r="AC44" s="3234"/>
      <c r="AD44" s="3234"/>
      <c r="AE44" s="3238"/>
      <c r="AF44" s="4522"/>
    </row>
    <row r="45" spans="1:32" ht="30" customHeight="1">
      <c r="A45" s="4564"/>
      <c r="B45" s="4408"/>
      <c r="C45" s="4412" t="s">
        <v>235</v>
      </c>
      <c r="D45" s="4400" t="s">
        <v>236</v>
      </c>
      <c r="E45" s="4400" t="s">
        <v>237</v>
      </c>
      <c r="F45" s="4400" t="s">
        <v>326</v>
      </c>
      <c r="G45" s="4414" t="s">
        <v>239</v>
      </c>
      <c r="H45" s="4400" t="s">
        <v>240</v>
      </c>
      <c r="I45" s="4400" t="s">
        <v>294</v>
      </c>
      <c r="J45" s="4395" t="s">
        <v>5597</v>
      </c>
      <c r="K45" s="4400" t="s">
        <v>1260</v>
      </c>
      <c r="L45" s="4400" t="s">
        <v>1261</v>
      </c>
      <c r="M45" s="4401">
        <v>20</v>
      </c>
      <c r="N45" s="4401">
        <v>50</v>
      </c>
      <c r="O45" s="4401">
        <v>40</v>
      </c>
      <c r="P45" s="4395" t="s">
        <v>5656</v>
      </c>
      <c r="Q45" s="4399" t="s">
        <v>5706</v>
      </c>
      <c r="R45" s="5183" t="s">
        <v>5637</v>
      </c>
      <c r="S45" s="3115"/>
      <c r="T45" s="3071"/>
      <c r="U45" s="3274"/>
      <c r="V45" s="3661"/>
      <c r="W45" s="3664"/>
      <c r="X45" s="3187"/>
      <c r="Y45" s="3228"/>
      <c r="Z45" s="3228"/>
      <c r="AA45" s="3228"/>
      <c r="AB45" s="3330"/>
      <c r="AC45" s="3187"/>
      <c r="AD45" s="3230"/>
      <c r="AE45" s="3230"/>
      <c r="AF45" s="5187"/>
    </row>
    <row r="46" spans="1:32" ht="30" customHeight="1">
      <c r="A46" s="4564"/>
      <c r="B46" s="4408"/>
      <c r="C46" s="4404"/>
      <c r="D46" s="4378"/>
      <c r="E46" s="4378"/>
      <c r="F46" s="4378"/>
      <c r="G46" s="4378"/>
      <c r="H46" s="4378"/>
      <c r="I46" s="4378"/>
      <c r="J46" s="4378"/>
      <c r="K46" s="4378"/>
      <c r="L46" s="4378"/>
      <c r="M46" s="4393"/>
      <c r="N46" s="4393"/>
      <c r="O46" s="4393"/>
      <c r="P46" s="4378"/>
      <c r="Q46" s="4378"/>
      <c r="R46" s="5180"/>
      <c r="S46" s="3303"/>
      <c r="T46" s="1891"/>
      <c r="U46" s="1849"/>
      <c r="V46" s="1883"/>
      <c r="W46" s="1864"/>
      <c r="X46" s="1824"/>
      <c r="Y46" s="1870"/>
      <c r="Z46" s="1870"/>
      <c r="AA46" s="1870"/>
      <c r="AB46" s="1871"/>
      <c r="AC46" s="1824"/>
      <c r="AD46" s="3200"/>
      <c r="AE46" s="3200"/>
      <c r="AF46" s="4521"/>
    </row>
    <row r="47" spans="1:32" ht="30" customHeight="1">
      <c r="A47" s="4564"/>
      <c r="B47" s="4408"/>
      <c r="C47" s="4404"/>
      <c r="D47" s="4378"/>
      <c r="E47" s="4378"/>
      <c r="F47" s="4378"/>
      <c r="G47" s="4378"/>
      <c r="H47" s="4378"/>
      <c r="I47" s="4378"/>
      <c r="J47" s="4378"/>
      <c r="K47" s="4378"/>
      <c r="L47" s="4378"/>
      <c r="M47" s="4393"/>
      <c r="N47" s="4393"/>
      <c r="O47" s="4393"/>
      <c r="P47" s="4378"/>
      <c r="Q47" s="4378"/>
      <c r="R47" s="5180"/>
      <c r="S47" s="3303"/>
      <c r="T47" s="1891"/>
      <c r="U47" s="1849"/>
      <c r="V47" s="1883"/>
      <c r="W47" s="1864"/>
      <c r="X47" s="1824"/>
      <c r="Y47" s="1870"/>
      <c r="Z47" s="1870"/>
      <c r="AA47" s="1870"/>
      <c r="AB47" s="1871"/>
      <c r="AC47" s="1824"/>
      <c r="AD47" s="3200"/>
      <c r="AE47" s="3200"/>
      <c r="AF47" s="4521"/>
    </row>
    <row r="48" spans="1:32" ht="30" customHeight="1">
      <c r="A48" s="4564"/>
      <c r="B48" s="4408"/>
      <c r="C48" s="4404"/>
      <c r="D48" s="4378"/>
      <c r="E48" s="4378"/>
      <c r="F48" s="4378"/>
      <c r="G48" s="4378"/>
      <c r="H48" s="4378"/>
      <c r="I48" s="4378"/>
      <c r="J48" s="4378"/>
      <c r="K48" s="4378"/>
      <c r="L48" s="4378"/>
      <c r="M48" s="4393"/>
      <c r="N48" s="4393"/>
      <c r="O48" s="4393"/>
      <c r="P48" s="4378"/>
      <c r="Q48" s="4378"/>
      <c r="R48" s="5180"/>
      <c r="S48" s="3303"/>
      <c r="T48" s="1891"/>
      <c r="U48" s="1849"/>
      <c r="V48" s="1883"/>
      <c r="W48" s="1864"/>
      <c r="X48" s="1824"/>
      <c r="Y48" s="1870"/>
      <c r="Z48" s="1870"/>
      <c r="AA48" s="1870"/>
      <c r="AB48" s="1871"/>
      <c r="AC48" s="1824"/>
      <c r="AD48" s="3200"/>
      <c r="AE48" s="3200"/>
      <c r="AF48" s="4521"/>
    </row>
    <row r="49" spans="1:32" ht="30" customHeight="1">
      <c r="A49" s="4564"/>
      <c r="B49" s="4408"/>
      <c r="C49" s="4413"/>
      <c r="D49" s="4396"/>
      <c r="E49" s="4396"/>
      <c r="F49" s="4396"/>
      <c r="G49" s="4396"/>
      <c r="H49" s="4396"/>
      <c r="I49" s="4396"/>
      <c r="J49" s="4396"/>
      <c r="K49" s="4396"/>
      <c r="L49" s="4396"/>
      <c r="M49" s="4402"/>
      <c r="N49" s="4402"/>
      <c r="O49" s="4402"/>
      <c r="P49" s="4396"/>
      <c r="Q49" s="4396"/>
      <c r="R49" s="5194"/>
      <c r="S49" s="3304"/>
      <c r="T49" s="3821"/>
      <c r="U49" s="3271"/>
      <c r="V49" s="3822"/>
      <c r="W49" s="3254"/>
      <c r="X49" s="3246"/>
      <c r="Y49" s="3245"/>
      <c r="Z49" s="3245"/>
      <c r="AA49" s="3245"/>
      <c r="AB49" s="3823"/>
      <c r="AC49" s="3246"/>
      <c r="AD49" s="3256"/>
      <c r="AE49" s="3256"/>
      <c r="AF49" s="4530"/>
    </row>
    <row r="50" spans="1:32" ht="30.75" customHeight="1">
      <c r="A50" s="4564"/>
      <c r="B50" s="4408"/>
      <c r="C50" s="4403" t="s">
        <v>235</v>
      </c>
      <c r="D50" s="4390" t="s">
        <v>236</v>
      </c>
      <c r="E50" s="4390" t="s">
        <v>237</v>
      </c>
      <c r="F50" s="4390" t="s">
        <v>326</v>
      </c>
      <c r="G50" s="4406" t="s">
        <v>239</v>
      </c>
      <c r="H50" s="4390" t="s">
        <v>240</v>
      </c>
      <c r="I50" s="4390" t="s">
        <v>294</v>
      </c>
      <c r="J50" s="4377" t="s">
        <v>5598</v>
      </c>
      <c r="K50" s="4390" t="s">
        <v>1262</v>
      </c>
      <c r="L50" s="4390" t="s">
        <v>1263</v>
      </c>
      <c r="M50" s="4392">
        <v>1</v>
      </c>
      <c r="N50" s="4392">
        <v>1</v>
      </c>
      <c r="O50" s="4392">
        <v>1</v>
      </c>
      <c r="P50" s="4377" t="s">
        <v>5657</v>
      </c>
      <c r="Q50" s="4391" t="s">
        <v>5707</v>
      </c>
      <c r="R50" s="5179" t="s">
        <v>5638</v>
      </c>
      <c r="S50" s="3305"/>
      <c r="T50" s="3270"/>
      <c r="U50" s="3272"/>
      <c r="V50" s="3662"/>
      <c r="W50" s="3663"/>
      <c r="X50" s="3259"/>
      <c r="Y50" s="3252"/>
      <c r="Z50" s="3252"/>
      <c r="AA50" s="3252"/>
      <c r="AB50" s="3329"/>
      <c r="AC50" s="3259"/>
      <c r="AD50" s="3262"/>
      <c r="AE50" s="3262"/>
      <c r="AF50" s="5188"/>
    </row>
    <row r="51" spans="1:32" ht="30.75" customHeight="1">
      <c r="A51" s="4564"/>
      <c r="B51" s="4408"/>
      <c r="C51" s="4404"/>
      <c r="D51" s="4378"/>
      <c r="E51" s="4378"/>
      <c r="F51" s="4378"/>
      <c r="G51" s="4378"/>
      <c r="H51" s="4378"/>
      <c r="I51" s="4378"/>
      <c r="J51" s="4378"/>
      <c r="K51" s="4378"/>
      <c r="L51" s="4378"/>
      <c r="M51" s="4393"/>
      <c r="N51" s="4393"/>
      <c r="O51" s="4393"/>
      <c r="P51" s="4378"/>
      <c r="Q51" s="4378"/>
      <c r="R51" s="5180"/>
      <c r="S51" s="3303"/>
      <c r="T51" s="1891"/>
      <c r="U51" s="1849"/>
      <c r="V51" s="1883"/>
      <c r="W51" s="1864"/>
      <c r="X51" s="1824"/>
      <c r="Y51" s="1870"/>
      <c r="Z51" s="1870"/>
      <c r="AA51" s="1870"/>
      <c r="AB51" s="1871"/>
      <c r="AC51" s="1824"/>
      <c r="AD51" s="3200"/>
      <c r="AE51" s="3200"/>
      <c r="AF51" s="4521"/>
    </row>
    <row r="52" spans="1:32" ht="30.75" customHeight="1">
      <c r="A52" s="4564"/>
      <c r="B52" s="4408"/>
      <c r="C52" s="4404"/>
      <c r="D52" s="4378"/>
      <c r="E52" s="4378"/>
      <c r="F52" s="4378"/>
      <c r="G52" s="4378"/>
      <c r="H52" s="4378"/>
      <c r="I52" s="4378"/>
      <c r="J52" s="4378"/>
      <c r="K52" s="4378"/>
      <c r="L52" s="4378"/>
      <c r="M52" s="4393"/>
      <c r="N52" s="4393"/>
      <c r="O52" s="4393"/>
      <c r="P52" s="4378"/>
      <c r="Q52" s="4378"/>
      <c r="R52" s="5180"/>
      <c r="S52" s="3303"/>
      <c r="T52" s="1891"/>
      <c r="U52" s="1849"/>
      <c r="V52" s="1883"/>
      <c r="W52" s="1864"/>
      <c r="X52" s="1824"/>
      <c r="Y52" s="1870"/>
      <c r="Z52" s="1870"/>
      <c r="AA52" s="1870"/>
      <c r="AB52" s="1871"/>
      <c r="AC52" s="1824"/>
      <c r="AD52" s="3200"/>
      <c r="AE52" s="3200"/>
      <c r="AF52" s="4521"/>
    </row>
    <row r="53" spans="1:32" ht="30.75" customHeight="1">
      <c r="A53" s="4564"/>
      <c r="B53" s="4408"/>
      <c r="C53" s="4404"/>
      <c r="D53" s="4378"/>
      <c r="E53" s="4378"/>
      <c r="F53" s="4378"/>
      <c r="G53" s="4378"/>
      <c r="H53" s="4378"/>
      <c r="I53" s="4378"/>
      <c r="J53" s="4378"/>
      <c r="K53" s="4378"/>
      <c r="L53" s="4378"/>
      <c r="M53" s="4393"/>
      <c r="N53" s="4393"/>
      <c r="O53" s="4393"/>
      <c r="P53" s="4378"/>
      <c r="Q53" s="4378"/>
      <c r="R53" s="5180"/>
      <c r="S53" s="3303"/>
      <c r="T53" s="1891"/>
      <c r="U53" s="1849"/>
      <c r="V53" s="1883"/>
      <c r="W53" s="1864"/>
      <c r="X53" s="1824"/>
      <c r="Y53" s="1870"/>
      <c r="Z53" s="1870"/>
      <c r="AA53" s="1870"/>
      <c r="AB53" s="1871"/>
      <c r="AC53" s="1824"/>
      <c r="AD53" s="3200"/>
      <c r="AE53" s="3200"/>
      <c r="AF53" s="4521"/>
    </row>
    <row r="54" spans="1:32" ht="30.75" customHeight="1">
      <c r="A54" s="4564"/>
      <c r="B54" s="4408"/>
      <c r="C54" s="4416"/>
      <c r="D54" s="4411"/>
      <c r="E54" s="4411"/>
      <c r="F54" s="4411"/>
      <c r="G54" s="4411"/>
      <c r="H54" s="4411"/>
      <c r="I54" s="4411"/>
      <c r="J54" s="4411"/>
      <c r="K54" s="4411"/>
      <c r="L54" s="4411"/>
      <c r="M54" s="4420"/>
      <c r="N54" s="4420"/>
      <c r="O54" s="4420"/>
      <c r="P54" s="4411"/>
      <c r="Q54" s="4411"/>
      <c r="R54" s="5181"/>
      <c r="S54" s="3306"/>
      <c r="T54" s="3819"/>
      <c r="U54" s="3268"/>
      <c r="V54" s="3641"/>
      <c r="W54" s="3233"/>
      <c r="X54" s="3234"/>
      <c r="Y54" s="3236"/>
      <c r="Z54" s="3236"/>
      <c r="AA54" s="3236"/>
      <c r="AB54" s="3820"/>
      <c r="AC54" s="3234"/>
      <c r="AD54" s="3238"/>
      <c r="AE54" s="3238"/>
      <c r="AF54" s="4522"/>
    </row>
    <row r="55" spans="1:32" ht="30" customHeight="1">
      <c r="A55" s="4564"/>
      <c r="B55" s="4408"/>
      <c r="C55" s="4412" t="s">
        <v>235</v>
      </c>
      <c r="D55" s="4400" t="s">
        <v>236</v>
      </c>
      <c r="E55" s="4400" t="s">
        <v>237</v>
      </c>
      <c r="F55" s="4400" t="s">
        <v>326</v>
      </c>
      <c r="G55" s="4414" t="s">
        <v>239</v>
      </c>
      <c r="H55" s="4400" t="s">
        <v>240</v>
      </c>
      <c r="I55" s="4400" t="s">
        <v>294</v>
      </c>
      <c r="J55" s="4395" t="s">
        <v>5599</v>
      </c>
      <c r="K55" s="4400" t="s">
        <v>1264</v>
      </c>
      <c r="L55" s="4400" t="s">
        <v>1265</v>
      </c>
      <c r="M55" s="4401">
        <v>200</v>
      </c>
      <c r="N55" s="4401">
        <v>200</v>
      </c>
      <c r="O55" s="4401">
        <v>300</v>
      </c>
      <c r="P55" s="4395" t="s">
        <v>5658</v>
      </c>
      <c r="Q55" s="4399" t="s">
        <v>5708</v>
      </c>
      <c r="R55" s="5183" t="s">
        <v>5637</v>
      </c>
      <c r="S55" s="3115"/>
      <c r="T55" s="3071"/>
      <c r="U55" s="3274"/>
      <c r="V55" s="3661"/>
      <c r="W55" s="3664"/>
      <c r="X55" s="3187"/>
      <c r="Y55" s="3228"/>
      <c r="Z55" s="3228"/>
      <c r="AA55" s="3228"/>
      <c r="AB55" s="3330"/>
      <c r="AC55" s="3187"/>
      <c r="AD55" s="3230"/>
      <c r="AE55" s="3230"/>
      <c r="AF55" s="5187"/>
    </row>
    <row r="56" spans="1:32" ht="30" customHeight="1">
      <c r="A56" s="4564"/>
      <c r="B56" s="4408"/>
      <c r="C56" s="4404"/>
      <c r="D56" s="4378"/>
      <c r="E56" s="4378"/>
      <c r="F56" s="4378"/>
      <c r="G56" s="4378"/>
      <c r="H56" s="4378"/>
      <c r="I56" s="4378"/>
      <c r="J56" s="4378"/>
      <c r="K56" s="4378"/>
      <c r="L56" s="4378"/>
      <c r="M56" s="4393"/>
      <c r="N56" s="4393"/>
      <c r="O56" s="4393"/>
      <c r="P56" s="4378"/>
      <c r="Q56" s="4378"/>
      <c r="R56" s="5180"/>
      <c r="S56" s="3303"/>
      <c r="T56" s="1891"/>
      <c r="U56" s="1849"/>
      <c r="V56" s="1883"/>
      <c r="W56" s="1864"/>
      <c r="X56" s="1824"/>
      <c r="Y56" s="1870"/>
      <c r="Z56" s="1870"/>
      <c r="AA56" s="1870"/>
      <c r="AB56" s="1871"/>
      <c r="AC56" s="1824"/>
      <c r="AD56" s="3200"/>
      <c r="AE56" s="3200"/>
      <c r="AF56" s="4521"/>
    </row>
    <row r="57" spans="1:32" ht="30" customHeight="1">
      <c r="A57" s="4564"/>
      <c r="B57" s="4408"/>
      <c r="C57" s="4404"/>
      <c r="D57" s="4378"/>
      <c r="E57" s="4378"/>
      <c r="F57" s="4378"/>
      <c r="G57" s="4378"/>
      <c r="H57" s="4378"/>
      <c r="I57" s="4378"/>
      <c r="J57" s="4378"/>
      <c r="K57" s="4378"/>
      <c r="L57" s="4378"/>
      <c r="M57" s="4393"/>
      <c r="N57" s="4393"/>
      <c r="O57" s="4393"/>
      <c r="P57" s="4378"/>
      <c r="Q57" s="4378"/>
      <c r="R57" s="5180"/>
      <c r="S57" s="3303"/>
      <c r="T57" s="1891"/>
      <c r="U57" s="1849"/>
      <c r="V57" s="1883"/>
      <c r="W57" s="1864"/>
      <c r="X57" s="1824"/>
      <c r="Y57" s="1870"/>
      <c r="Z57" s="1870"/>
      <c r="AA57" s="1870"/>
      <c r="AB57" s="1871"/>
      <c r="AC57" s="1824"/>
      <c r="AD57" s="3200"/>
      <c r="AE57" s="3200"/>
      <c r="AF57" s="4521"/>
    </row>
    <row r="58" spans="1:32" ht="30" customHeight="1">
      <c r="A58" s="4564"/>
      <c r="B58" s="4408"/>
      <c r="C58" s="4404"/>
      <c r="D58" s="4378"/>
      <c r="E58" s="4378"/>
      <c r="F58" s="4378"/>
      <c r="G58" s="4378"/>
      <c r="H58" s="4378"/>
      <c r="I58" s="4378"/>
      <c r="J58" s="4378"/>
      <c r="K58" s="4378"/>
      <c r="L58" s="4378"/>
      <c r="M58" s="4393"/>
      <c r="N58" s="4393"/>
      <c r="O58" s="4393"/>
      <c r="P58" s="4378"/>
      <c r="Q58" s="4378"/>
      <c r="R58" s="5180"/>
      <c r="S58" s="3303"/>
      <c r="T58" s="1891"/>
      <c r="U58" s="1849"/>
      <c r="V58" s="1883"/>
      <c r="W58" s="1864"/>
      <c r="X58" s="1824"/>
      <c r="Y58" s="1870"/>
      <c r="Z58" s="1870"/>
      <c r="AA58" s="1870"/>
      <c r="AB58" s="1871"/>
      <c r="AC58" s="1824"/>
      <c r="AD58" s="3200"/>
      <c r="AE58" s="3200"/>
      <c r="AF58" s="4521"/>
    </row>
    <row r="59" spans="1:32" ht="30" customHeight="1">
      <c r="A59" s="4564"/>
      <c r="B59" s="4408"/>
      <c r="C59" s="4413"/>
      <c r="D59" s="4396"/>
      <c r="E59" s="4396"/>
      <c r="F59" s="4396"/>
      <c r="G59" s="4396"/>
      <c r="H59" s="4396"/>
      <c r="I59" s="4396"/>
      <c r="J59" s="4396"/>
      <c r="K59" s="4396"/>
      <c r="L59" s="4396"/>
      <c r="M59" s="4402"/>
      <c r="N59" s="4402"/>
      <c r="O59" s="4402"/>
      <c r="P59" s="4396"/>
      <c r="Q59" s="4396"/>
      <c r="R59" s="5194"/>
      <c r="S59" s="3304"/>
      <c r="T59" s="3821"/>
      <c r="U59" s="3271"/>
      <c r="V59" s="3822"/>
      <c r="W59" s="3254"/>
      <c r="X59" s="3246"/>
      <c r="Y59" s="3245"/>
      <c r="Z59" s="3245"/>
      <c r="AA59" s="3245"/>
      <c r="AB59" s="3823"/>
      <c r="AC59" s="3246"/>
      <c r="AD59" s="3256"/>
      <c r="AE59" s="3256"/>
      <c r="AF59" s="4530"/>
    </row>
    <row r="60" spans="1:32" ht="30" customHeight="1">
      <c r="A60" s="4564"/>
      <c r="B60" s="4408"/>
      <c r="C60" s="4403" t="s">
        <v>235</v>
      </c>
      <c r="D60" s="4390" t="s">
        <v>236</v>
      </c>
      <c r="E60" s="4390" t="s">
        <v>237</v>
      </c>
      <c r="F60" s="4390" t="s">
        <v>326</v>
      </c>
      <c r="G60" s="4406" t="s">
        <v>239</v>
      </c>
      <c r="H60" s="4390" t="s">
        <v>240</v>
      </c>
      <c r="I60" s="4390" t="s">
        <v>257</v>
      </c>
      <c r="J60" s="4377" t="s">
        <v>5600</v>
      </c>
      <c r="K60" s="4390" t="s">
        <v>1266</v>
      </c>
      <c r="L60" s="4390" t="s">
        <v>1267</v>
      </c>
      <c r="M60" s="4392">
        <v>2</v>
      </c>
      <c r="N60" s="4392">
        <v>2</v>
      </c>
      <c r="O60" s="4392">
        <v>1</v>
      </c>
      <c r="P60" s="4377" t="s">
        <v>5659</v>
      </c>
      <c r="Q60" s="4391" t="s">
        <v>5709</v>
      </c>
      <c r="R60" s="5179" t="s">
        <v>5636</v>
      </c>
      <c r="S60" s="3305"/>
      <c r="T60" s="3270"/>
      <c r="U60" s="3272"/>
      <c r="V60" s="3662"/>
      <c r="W60" s="3663"/>
      <c r="X60" s="3259"/>
      <c r="Y60" s="3252"/>
      <c r="Z60" s="3252"/>
      <c r="AA60" s="3252"/>
      <c r="AB60" s="3329"/>
      <c r="AC60" s="3259"/>
      <c r="AD60" s="3262"/>
      <c r="AE60" s="3262"/>
      <c r="AF60" s="5188"/>
    </row>
    <row r="61" spans="1:32" ht="30" customHeight="1">
      <c r="A61" s="4564"/>
      <c r="B61" s="4408"/>
      <c r="C61" s="4404"/>
      <c r="D61" s="4378"/>
      <c r="E61" s="4378"/>
      <c r="F61" s="4378"/>
      <c r="G61" s="4378"/>
      <c r="H61" s="4378"/>
      <c r="I61" s="4378"/>
      <c r="J61" s="4378"/>
      <c r="K61" s="4378"/>
      <c r="L61" s="4378"/>
      <c r="M61" s="4393"/>
      <c r="N61" s="4393"/>
      <c r="O61" s="4393"/>
      <c r="P61" s="4378"/>
      <c r="Q61" s="4378"/>
      <c r="R61" s="5180"/>
      <c r="S61" s="3303"/>
      <c r="T61" s="1891"/>
      <c r="U61" s="1849"/>
      <c r="V61" s="1883"/>
      <c r="W61" s="1864"/>
      <c r="X61" s="1824"/>
      <c r="Y61" s="1870"/>
      <c r="Z61" s="1870"/>
      <c r="AA61" s="1870"/>
      <c r="AB61" s="1871"/>
      <c r="AC61" s="1824"/>
      <c r="AD61" s="3200"/>
      <c r="AE61" s="3200"/>
      <c r="AF61" s="4521"/>
    </row>
    <row r="62" spans="1:32" ht="30" customHeight="1">
      <c r="A62" s="4564"/>
      <c r="B62" s="4408"/>
      <c r="C62" s="4404"/>
      <c r="D62" s="4378"/>
      <c r="E62" s="4378"/>
      <c r="F62" s="4378"/>
      <c r="G62" s="4378"/>
      <c r="H62" s="4378"/>
      <c r="I62" s="4378"/>
      <c r="J62" s="4378"/>
      <c r="K62" s="4378"/>
      <c r="L62" s="4378"/>
      <c r="M62" s="4393"/>
      <c r="N62" s="4393"/>
      <c r="O62" s="4393"/>
      <c r="P62" s="4378"/>
      <c r="Q62" s="4378"/>
      <c r="R62" s="5180"/>
      <c r="S62" s="3303"/>
      <c r="T62" s="1891"/>
      <c r="U62" s="1849"/>
      <c r="V62" s="1883"/>
      <c r="W62" s="1864"/>
      <c r="X62" s="1824"/>
      <c r="Y62" s="1870"/>
      <c r="Z62" s="1870"/>
      <c r="AA62" s="1870"/>
      <c r="AB62" s="1871"/>
      <c r="AC62" s="1824"/>
      <c r="AD62" s="3200"/>
      <c r="AE62" s="3200"/>
      <c r="AF62" s="4521"/>
    </row>
    <row r="63" spans="1:32" ht="30" customHeight="1">
      <c r="A63" s="4564"/>
      <c r="B63" s="4408"/>
      <c r="C63" s="4404"/>
      <c r="D63" s="4378"/>
      <c r="E63" s="4378"/>
      <c r="F63" s="4378"/>
      <c r="G63" s="4378"/>
      <c r="H63" s="4378"/>
      <c r="I63" s="4378"/>
      <c r="J63" s="4378"/>
      <c r="K63" s="4378"/>
      <c r="L63" s="4378"/>
      <c r="M63" s="4393"/>
      <c r="N63" s="4393"/>
      <c r="O63" s="4393"/>
      <c r="P63" s="4378"/>
      <c r="Q63" s="4378"/>
      <c r="R63" s="5180"/>
      <c r="S63" s="3303"/>
      <c r="T63" s="1891"/>
      <c r="U63" s="1849"/>
      <c r="V63" s="1883"/>
      <c r="W63" s="1864"/>
      <c r="X63" s="1824"/>
      <c r="Y63" s="1870"/>
      <c r="Z63" s="1870"/>
      <c r="AA63" s="1870"/>
      <c r="AB63" s="1871"/>
      <c r="AC63" s="1824"/>
      <c r="AD63" s="3200"/>
      <c r="AE63" s="3200"/>
      <c r="AF63" s="4521"/>
    </row>
    <row r="64" spans="1:32" ht="30" customHeight="1">
      <c r="A64" s="4564"/>
      <c r="B64" s="4408"/>
      <c r="C64" s="4416"/>
      <c r="D64" s="4411"/>
      <c r="E64" s="4411"/>
      <c r="F64" s="4411"/>
      <c r="G64" s="4411"/>
      <c r="H64" s="4411"/>
      <c r="I64" s="4411"/>
      <c r="J64" s="4411"/>
      <c r="K64" s="4411"/>
      <c r="L64" s="4411"/>
      <c r="M64" s="4420"/>
      <c r="N64" s="4420"/>
      <c r="O64" s="4420"/>
      <c r="P64" s="4411"/>
      <c r="Q64" s="4411"/>
      <c r="R64" s="5181"/>
      <c r="S64" s="3306"/>
      <c r="T64" s="3819"/>
      <c r="U64" s="3268"/>
      <c r="V64" s="3641"/>
      <c r="W64" s="3233"/>
      <c r="X64" s="3234"/>
      <c r="Y64" s="3236"/>
      <c r="Z64" s="3236"/>
      <c r="AA64" s="3236"/>
      <c r="AB64" s="3820"/>
      <c r="AC64" s="3234"/>
      <c r="AD64" s="3238"/>
      <c r="AE64" s="3238"/>
      <c r="AF64" s="4522"/>
    </row>
    <row r="65" spans="1:32" ht="30.75" customHeight="1">
      <c r="A65" s="4564"/>
      <c r="B65" s="4408"/>
      <c r="C65" s="4412" t="s">
        <v>235</v>
      </c>
      <c r="D65" s="4400" t="s">
        <v>236</v>
      </c>
      <c r="E65" s="4400" t="s">
        <v>237</v>
      </c>
      <c r="F65" s="4400" t="s">
        <v>326</v>
      </c>
      <c r="G65" s="4414" t="s">
        <v>239</v>
      </c>
      <c r="H65" s="4400" t="s">
        <v>240</v>
      </c>
      <c r="I65" s="4400" t="s">
        <v>294</v>
      </c>
      <c r="J65" s="4395" t="s">
        <v>5601</v>
      </c>
      <c r="K65" s="4400" t="s">
        <v>1268</v>
      </c>
      <c r="L65" s="4400" t="s">
        <v>1269</v>
      </c>
      <c r="M65" s="4401">
        <v>3</v>
      </c>
      <c r="N65" s="4401">
        <v>3</v>
      </c>
      <c r="O65" s="4401">
        <v>3</v>
      </c>
      <c r="P65" s="4395" t="s">
        <v>5660</v>
      </c>
      <c r="Q65" s="4399" t="s">
        <v>5710</v>
      </c>
      <c r="R65" s="5183" t="s">
        <v>5636</v>
      </c>
      <c r="S65" s="3115"/>
      <c r="T65" s="3071"/>
      <c r="U65" s="3274"/>
      <c r="V65" s="3661"/>
      <c r="W65" s="3664"/>
      <c r="X65" s="3187"/>
      <c r="Y65" s="3228"/>
      <c r="Z65" s="3228"/>
      <c r="AA65" s="3228"/>
      <c r="AB65" s="3330"/>
      <c r="AC65" s="3187"/>
      <c r="AD65" s="3825"/>
      <c r="AE65" s="3825"/>
      <c r="AF65" s="5187"/>
    </row>
    <row r="66" spans="1:32" ht="30.75" customHeight="1">
      <c r="A66" s="4564"/>
      <c r="B66" s="4408"/>
      <c r="C66" s="4404"/>
      <c r="D66" s="4378"/>
      <c r="E66" s="4378"/>
      <c r="F66" s="4378"/>
      <c r="G66" s="4378"/>
      <c r="H66" s="4378"/>
      <c r="I66" s="4378"/>
      <c r="J66" s="4378"/>
      <c r="K66" s="4378"/>
      <c r="L66" s="4378"/>
      <c r="M66" s="4393"/>
      <c r="N66" s="4393"/>
      <c r="O66" s="4393"/>
      <c r="P66" s="4378"/>
      <c r="Q66" s="4378"/>
      <c r="R66" s="5180"/>
      <c r="S66" s="3303"/>
      <c r="T66" s="1891"/>
      <c r="U66" s="1849"/>
      <c r="V66" s="1883"/>
      <c r="W66" s="1864"/>
      <c r="X66" s="1824"/>
      <c r="Y66" s="1870"/>
      <c r="Z66" s="1870"/>
      <c r="AA66" s="1870"/>
      <c r="AB66" s="1871"/>
      <c r="AC66" s="1824"/>
      <c r="AD66" s="1824"/>
      <c r="AE66" s="3790"/>
      <c r="AF66" s="4521"/>
    </row>
    <row r="67" spans="1:32" ht="30.75" customHeight="1">
      <c r="A67" s="4564"/>
      <c r="B67" s="4408"/>
      <c r="C67" s="4404"/>
      <c r="D67" s="4378"/>
      <c r="E67" s="4378"/>
      <c r="F67" s="4378"/>
      <c r="G67" s="4378"/>
      <c r="H67" s="4378"/>
      <c r="I67" s="4378"/>
      <c r="J67" s="4378"/>
      <c r="K67" s="4378"/>
      <c r="L67" s="4378"/>
      <c r="M67" s="4393"/>
      <c r="N67" s="4393"/>
      <c r="O67" s="4393"/>
      <c r="P67" s="4378"/>
      <c r="Q67" s="4378"/>
      <c r="R67" s="5180"/>
      <c r="S67" s="3303"/>
      <c r="T67" s="1891"/>
      <c r="U67" s="1849"/>
      <c r="V67" s="1883"/>
      <c r="W67" s="1864"/>
      <c r="X67" s="1824"/>
      <c r="Y67" s="1870"/>
      <c r="Z67" s="1870"/>
      <c r="AA67" s="1870"/>
      <c r="AB67" s="1871"/>
      <c r="AC67" s="1824"/>
      <c r="AD67" s="1824"/>
      <c r="AE67" s="3200"/>
      <c r="AF67" s="4521"/>
    </row>
    <row r="68" spans="1:32" ht="30.75" customHeight="1">
      <c r="A68" s="4564"/>
      <c r="B68" s="4408"/>
      <c r="C68" s="4404"/>
      <c r="D68" s="4378"/>
      <c r="E68" s="4378"/>
      <c r="F68" s="4378"/>
      <c r="G68" s="4378"/>
      <c r="H68" s="4378"/>
      <c r="I68" s="4378"/>
      <c r="J68" s="4378"/>
      <c r="K68" s="4378"/>
      <c r="L68" s="4378"/>
      <c r="M68" s="4393"/>
      <c r="N68" s="4393"/>
      <c r="O68" s="4393"/>
      <c r="P68" s="4378"/>
      <c r="Q68" s="4378"/>
      <c r="R68" s="5180"/>
      <c r="S68" s="3303"/>
      <c r="T68" s="1891"/>
      <c r="U68" s="1849"/>
      <c r="V68" s="1883"/>
      <c r="W68" s="1864"/>
      <c r="X68" s="1824"/>
      <c r="Y68" s="1870"/>
      <c r="Z68" s="1870"/>
      <c r="AA68" s="1870"/>
      <c r="AB68" s="1871"/>
      <c r="AC68" s="1824"/>
      <c r="AD68" s="1824"/>
      <c r="AE68" s="3200"/>
      <c r="AF68" s="4521"/>
    </row>
    <row r="69" spans="1:32" ht="30.75" customHeight="1">
      <c r="A69" s="4564"/>
      <c r="B69" s="4408"/>
      <c r="C69" s="4413"/>
      <c r="D69" s="4396"/>
      <c r="E69" s="4396"/>
      <c r="F69" s="4396"/>
      <c r="G69" s="4396"/>
      <c r="H69" s="4396"/>
      <c r="I69" s="4396"/>
      <c r="J69" s="4396"/>
      <c r="K69" s="4396"/>
      <c r="L69" s="4396"/>
      <c r="M69" s="4402"/>
      <c r="N69" s="4402"/>
      <c r="O69" s="4402"/>
      <c r="P69" s="4396"/>
      <c r="Q69" s="4396"/>
      <c r="R69" s="5194"/>
      <c r="S69" s="3304"/>
      <c r="T69" s="3821"/>
      <c r="U69" s="3271"/>
      <c r="V69" s="3822"/>
      <c r="W69" s="3254"/>
      <c r="X69" s="3246"/>
      <c r="Y69" s="3245"/>
      <c r="Z69" s="3245"/>
      <c r="AA69" s="3245"/>
      <c r="AB69" s="3823"/>
      <c r="AC69" s="3246"/>
      <c r="AD69" s="3246"/>
      <c r="AE69" s="3256"/>
      <c r="AF69" s="4530"/>
    </row>
    <row r="70" spans="1:32" ht="30" customHeight="1">
      <c r="A70" s="4564"/>
      <c r="B70" s="4408"/>
      <c r="C70" s="4403" t="s">
        <v>235</v>
      </c>
      <c r="D70" s="4390" t="s">
        <v>236</v>
      </c>
      <c r="E70" s="4390" t="s">
        <v>237</v>
      </c>
      <c r="F70" s="4390" t="s">
        <v>326</v>
      </c>
      <c r="G70" s="4406" t="s">
        <v>239</v>
      </c>
      <c r="H70" s="4390" t="s">
        <v>240</v>
      </c>
      <c r="I70" s="4390" t="s">
        <v>257</v>
      </c>
      <c r="J70" s="4377" t="s">
        <v>5755</v>
      </c>
      <c r="K70" s="4431" t="s">
        <v>1270</v>
      </c>
      <c r="L70" s="4390" t="s">
        <v>1271</v>
      </c>
      <c r="M70" s="4392">
        <v>4</v>
      </c>
      <c r="N70" s="4392">
        <v>4</v>
      </c>
      <c r="O70" s="4392">
        <v>4</v>
      </c>
      <c r="P70" s="4377" t="s">
        <v>5661</v>
      </c>
      <c r="Q70" s="4391" t="s">
        <v>5711</v>
      </c>
      <c r="R70" s="5179" t="s">
        <v>5638</v>
      </c>
      <c r="S70" s="3305"/>
      <c r="T70" s="3270"/>
      <c r="U70" s="3272"/>
      <c r="V70" s="3662"/>
      <c r="W70" s="3663"/>
      <c r="X70" s="3259"/>
      <c r="Y70" s="3252"/>
      <c r="Z70" s="3252"/>
      <c r="AA70" s="3252"/>
      <c r="AB70" s="3329"/>
      <c r="AC70" s="3259"/>
      <c r="AD70" s="3262"/>
      <c r="AE70" s="3262"/>
      <c r="AF70" s="5188"/>
    </row>
    <row r="71" spans="1:32" ht="30" customHeight="1">
      <c r="A71" s="4564"/>
      <c r="B71" s="4408"/>
      <c r="C71" s="4404"/>
      <c r="D71" s="4378"/>
      <c r="E71" s="4378"/>
      <c r="F71" s="4378"/>
      <c r="G71" s="4378"/>
      <c r="H71" s="4378"/>
      <c r="I71" s="4378"/>
      <c r="J71" s="4378"/>
      <c r="K71" s="4378"/>
      <c r="L71" s="4378"/>
      <c r="M71" s="4393"/>
      <c r="N71" s="4393"/>
      <c r="O71" s="4393"/>
      <c r="P71" s="4378"/>
      <c r="Q71" s="4378"/>
      <c r="R71" s="5180"/>
      <c r="S71" s="3303"/>
      <c r="T71" s="1891"/>
      <c r="U71" s="1849"/>
      <c r="V71" s="1883"/>
      <c r="W71" s="1864"/>
      <c r="X71" s="1824"/>
      <c r="Y71" s="1870"/>
      <c r="Z71" s="1870"/>
      <c r="AA71" s="1870"/>
      <c r="AB71" s="1871"/>
      <c r="AC71" s="1824"/>
      <c r="AD71" s="3200"/>
      <c r="AE71" s="3200"/>
      <c r="AF71" s="4521"/>
    </row>
    <row r="72" spans="1:32" ht="30" customHeight="1">
      <c r="A72" s="4564"/>
      <c r="B72" s="4408"/>
      <c r="C72" s="4404"/>
      <c r="D72" s="4378"/>
      <c r="E72" s="4378"/>
      <c r="F72" s="4378"/>
      <c r="G72" s="4378"/>
      <c r="H72" s="4378"/>
      <c r="I72" s="4378"/>
      <c r="J72" s="4378"/>
      <c r="K72" s="4378"/>
      <c r="L72" s="4378"/>
      <c r="M72" s="4393"/>
      <c r="N72" s="4393"/>
      <c r="O72" s="4393"/>
      <c r="P72" s="4378"/>
      <c r="Q72" s="4378"/>
      <c r="R72" s="5180"/>
      <c r="S72" s="3303"/>
      <c r="T72" s="1891"/>
      <c r="U72" s="1849"/>
      <c r="V72" s="1883"/>
      <c r="W72" s="1864"/>
      <c r="X72" s="1824"/>
      <c r="Y72" s="1870"/>
      <c r="Z72" s="1870"/>
      <c r="AA72" s="1870"/>
      <c r="AB72" s="1871"/>
      <c r="AC72" s="1824"/>
      <c r="AD72" s="3200"/>
      <c r="AE72" s="3200"/>
      <c r="AF72" s="4521"/>
    </row>
    <row r="73" spans="1:32" ht="30" customHeight="1">
      <c r="A73" s="4564"/>
      <c r="B73" s="4408"/>
      <c r="C73" s="4404"/>
      <c r="D73" s="4378"/>
      <c r="E73" s="4378"/>
      <c r="F73" s="4378"/>
      <c r="G73" s="4378"/>
      <c r="H73" s="4378"/>
      <c r="I73" s="4378"/>
      <c r="J73" s="4378"/>
      <c r="K73" s="4378"/>
      <c r="L73" s="4378"/>
      <c r="M73" s="4393"/>
      <c r="N73" s="4393"/>
      <c r="O73" s="4393"/>
      <c r="P73" s="4378"/>
      <c r="Q73" s="4378"/>
      <c r="R73" s="5180"/>
      <c r="S73" s="3303"/>
      <c r="T73" s="1891"/>
      <c r="U73" s="1849"/>
      <c r="V73" s="1883"/>
      <c r="W73" s="1864"/>
      <c r="X73" s="1824"/>
      <c r="Y73" s="1870"/>
      <c r="Z73" s="1870"/>
      <c r="AA73" s="1870"/>
      <c r="AB73" s="1871"/>
      <c r="AC73" s="1824"/>
      <c r="AD73" s="3200"/>
      <c r="AE73" s="3200"/>
      <c r="AF73" s="4521"/>
    </row>
    <row r="74" spans="1:32" ht="30" customHeight="1">
      <c r="A74" s="4564"/>
      <c r="B74" s="4408"/>
      <c r="C74" s="4416"/>
      <c r="D74" s="4411"/>
      <c r="E74" s="4411"/>
      <c r="F74" s="4411"/>
      <c r="G74" s="4411"/>
      <c r="H74" s="4411"/>
      <c r="I74" s="4411"/>
      <c r="J74" s="4411"/>
      <c r="K74" s="4411"/>
      <c r="L74" s="4411"/>
      <c r="M74" s="4420"/>
      <c r="N74" s="4420"/>
      <c r="O74" s="4420"/>
      <c r="P74" s="4411"/>
      <c r="Q74" s="4411"/>
      <c r="R74" s="5181"/>
      <c r="S74" s="3306"/>
      <c r="T74" s="3819"/>
      <c r="U74" s="3268"/>
      <c r="V74" s="3641"/>
      <c r="W74" s="3233"/>
      <c r="X74" s="3234"/>
      <c r="Y74" s="3236"/>
      <c r="Z74" s="3236"/>
      <c r="AA74" s="3236"/>
      <c r="AB74" s="3820"/>
      <c r="AC74" s="3234"/>
      <c r="AD74" s="3238"/>
      <c r="AE74" s="3238"/>
      <c r="AF74" s="4522"/>
    </row>
    <row r="75" spans="1:32" ht="30.75" customHeight="1">
      <c r="A75" s="4564"/>
      <c r="B75" s="4408"/>
      <c r="C75" s="4403" t="s">
        <v>235</v>
      </c>
      <c r="D75" s="4390" t="s">
        <v>236</v>
      </c>
      <c r="E75" s="4390" t="s">
        <v>237</v>
      </c>
      <c r="F75" s="4390" t="s">
        <v>326</v>
      </c>
      <c r="G75" s="4406" t="s">
        <v>239</v>
      </c>
      <c r="H75" s="4390" t="s">
        <v>240</v>
      </c>
      <c r="I75" s="4390" t="s">
        <v>257</v>
      </c>
      <c r="J75" s="4377" t="s">
        <v>5602</v>
      </c>
      <c r="K75" s="4390" t="s">
        <v>338</v>
      </c>
      <c r="L75" s="4390" t="s">
        <v>1272</v>
      </c>
      <c r="M75" s="4392">
        <v>0</v>
      </c>
      <c r="N75" s="4392">
        <v>1</v>
      </c>
      <c r="O75" s="4392">
        <v>1</v>
      </c>
      <c r="P75" s="4377" t="s">
        <v>5662</v>
      </c>
      <c r="Q75" s="4377" t="s">
        <v>4360</v>
      </c>
      <c r="R75" s="5179" t="s">
        <v>5639</v>
      </c>
      <c r="S75" s="3305"/>
      <c r="T75" s="3270"/>
      <c r="U75" s="3272"/>
      <c r="V75" s="3662"/>
      <c r="W75" s="3663"/>
      <c r="X75" s="3259"/>
      <c r="Y75" s="3252"/>
      <c r="Z75" s="3252"/>
      <c r="AA75" s="3252"/>
      <c r="AB75" s="3329"/>
      <c r="AC75" s="3259"/>
      <c r="AD75" s="3262"/>
      <c r="AE75" s="3262"/>
      <c r="AF75" s="5188"/>
    </row>
    <row r="76" spans="1:32" ht="30.75" customHeight="1">
      <c r="A76" s="4564"/>
      <c r="B76" s="4408"/>
      <c r="C76" s="4404"/>
      <c r="D76" s="4378"/>
      <c r="E76" s="4378"/>
      <c r="F76" s="4378"/>
      <c r="G76" s="4378"/>
      <c r="H76" s="4378"/>
      <c r="I76" s="4378"/>
      <c r="J76" s="4378"/>
      <c r="K76" s="4378"/>
      <c r="L76" s="4378"/>
      <c r="M76" s="4393"/>
      <c r="N76" s="4393"/>
      <c r="O76" s="4393"/>
      <c r="P76" s="4378"/>
      <c r="Q76" s="4378"/>
      <c r="R76" s="5180"/>
      <c r="S76" s="3303"/>
      <c r="T76" s="1891"/>
      <c r="U76" s="1849"/>
      <c r="V76" s="1883"/>
      <c r="W76" s="1864"/>
      <c r="X76" s="1824"/>
      <c r="Y76" s="1870"/>
      <c r="Z76" s="1870"/>
      <c r="AA76" s="1870"/>
      <c r="AB76" s="1871"/>
      <c r="AC76" s="1824"/>
      <c r="AD76" s="3200"/>
      <c r="AE76" s="3200"/>
      <c r="AF76" s="4521"/>
    </row>
    <row r="77" spans="1:32" ht="30.75" customHeight="1">
      <c r="A77" s="4564"/>
      <c r="B77" s="4408"/>
      <c r="C77" s="4404"/>
      <c r="D77" s="4378"/>
      <c r="E77" s="4378"/>
      <c r="F77" s="4378"/>
      <c r="G77" s="4378"/>
      <c r="H77" s="4378"/>
      <c r="I77" s="4378"/>
      <c r="J77" s="4378"/>
      <c r="K77" s="4378"/>
      <c r="L77" s="4378"/>
      <c r="M77" s="4393"/>
      <c r="N77" s="4393"/>
      <c r="O77" s="4393"/>
      <c r="P77" s="4378"/>
      <c r="Q77" s="4378"/>
      <c r="R77" s="5180"/>
      <c r="S77" s="3303"/>
      <c r="T77" s="1891"/>
      <c r="U77" s="1849"/>
      <c r="V77" s="1883"/>
      <c r="W77" s="1864"/>
      <c r="X77" s="1824"/>
      <c r="Y77" s="1870"/>
      <c r="Z77" s="1870"/>
      <c r="AA77" s="1870"/>
      <c r="AB77" s="1871"/>
      <c r="AC77" s="1824"/>
      <c r="AD77" s="3200"/>
      <c r="AE77" s="3200"/>
      <c r="AF77" s="4521"/>
    </row>
    <row r="78" spans="1:32" ht="30.75" customHeight="1">
      <c r="A78" s="4564"/>
      <c r="B78" s="4408"/>
      <c r="C78" s="4404"/>
      <c r="D78" s="4378"/>
      <c r="E78" s="4378"/>
      <c r="F78" s="4378"/>
      <c r="G78" s="4378"/>
      <c r="H78" s="4378"/>
      <c r="I78" s="4378"/>
      <c r="J78" s="4378"/>
      <c r="K78" s="4378"/>
      <c r="L78" s="4378"/>
      <c r="M78" s="4393"/>
      <c r="N78" s="4393"/>
      <c r="O78" s="4393"/>
      <c r="P78" s="4378"/>
      <c r="Q78" s="4378"/>
      <c r="R78" s="5180"/>
      <c r="S78" s="3303"/>
      <c r="T78" s="1891"/>
      <c r="U78" s="1849"/>
      <c r="V78" s="1883"/>
      <c r="W78" s="1864"/>
      <c r="X78" s="1824"/>
      <c r="Y78" s="1870"/>
      <c r="Z78" s="1870"/>
      <c r="AA78" s="1870"/>
      <c r="AB78" s="1871"/>
      <c r="AC78" s="1824"/>
      <c r="AD78" s="3200"/>
      <c r="AE78" s="3200"/>
      <c r="AF78" s="4521"/>
    </row>
    <row r="79" spans="1:32" ht="30.75" customHeight="1">
      <c r="A79" s="4564"/>
      <c r="B79" s="4408"/>
      <c r="C79" s="4416"/>
      <c r="D79" s="4411"/>
      <c r="E79" s="4411"/>
      <c r="F79" s="4411"/>
      <c r="G79" s="4411"/>
      <c r="H79" s="4411"/>
      <c r="I79" s="4411"/>
      <c r="J79" s="4411"/>
      <c r="K79" s="4411"/>
      <c r="L79" s="4411"/>
      <c r="M79" s="4420"/>
      <c r="N79" s="4420"/>
      <c r="O79" s="4420"/>
      <c r="P79" s="4411"/>
      <c r="Q79" s="4411"/>
      <c r="R79" s="5181"/>
      <c r="S79" s="3306"/>
      <c r="T79" s="3819"/>
      <c r="U79" s="3268"/>
      <c r="V79" s="3641"/>
      <c r="W79" s="3233"/>
      <c r="X79" s="3234"/>
      <c r="Y79" s="3236"/>
      <c r="Z79" s="3236"/>
      <c r="AA79" s="3236"/>
      <c r="AB79" s="3820"/>
      <c r="AC79" s="3234"/>
      <c r="AD79" s="3238"/>
      <c r="AE79" s="3238"/>
      <c r="AF79" s="4522"/>
    </row>
    <row r="80" spans="1:32" ht="30.75" customHeight="1">
      <c r="A80" s="4564"/>
      <c r="B80" s="4408"/>
      <c r="C80" s="4412" t="s">
        <v>235</v>
      </c>
      <c r="D80" s="4400" t="s">
        <v>236</v>
      </c>
      <c r="E80" s="4400" t="s">
        <v>237</v>
      </c>
      <c r="F80" s="4400" t="s">
        <v>326</v>
      </c>
      <c r="G80" s="4414" t="s">
        <v>239</v>
      </c>
      <c r="H80" s="4400" t="s">
        <v>240</v>
      </c>
      <c r="I80" s="4400" t="s">
        <v>257</v>
      </c>
      <c r="J80" s="4395" t="s">
        <v>3786</v>
      </c>
      <c r="K80" s="4400" t="s">
        <v>371</v>
      </c>
      <c r="L80" s="4400" t="s">
        <v>1273</v>
      </c>
      <c r="M80" s="4401">
        <v>3</v>
      </c>
      <c r="N80" s="4401">
        <v>3</v>
      </c>
      <c r="O80" s="4401">
        <v>4</v>
      </c>
      <c r="P80" s="4395" t="s">
        <v>5663</v>
      </c>
      <c r="Q80" s="4399" t="s">
        <v>3911</v>
      </c>
      <c r="R80" s="5183" t="s">
        <v>5638</v>
      </c>
      <c r="S80" s="3115"/>
      <c r="T80" s="3071"/>
      <c r="U80" s="3274"/>
      <c r="V80" s="3661"/>
      <c r="W80" s="3664"/>
      <c r="X80" s="3187"/>
      <c r="Y80" s="3228"/>
      <c r="Z80" s="3228"/>
      <c r="AA80" s="3228"/>
      <c r="AB80" s="3330"/>
      <c r="AC80" s="3187"/>
      <c r="AD80" s="3230"/>
      <c r="AE80" s="3230"/>
      <c r="AF80" s="5187"/>
    </row>
    <row r="81" spans="1:32" ht="30.75" customHeight="1">
      <c r="A81" s="4564"/>
      <c r="B81" s="4408"/>
      <c r="C81" s="4404"/>
      <c r="D81" s="4378"/>
      <c r="E81" s="4378"/>
      <c r="F81" s="4378"/>
      <c r="G81" s="4378"/>
      <c r="H81" s="4378"/>
      <c r="I81" s="4378"/>
      <c r="J81" s="4378"/>
      <c r="K81" s="4378"/>
      <c r="L81" s="4378"/>
      <c r="M81" s="4393"/>
      <c r="N81" s="4393"/>
      <c r="O81" s="4393"/>
      <c r="P81" s="4378"/>
      <c r="Q81" s="4378"/>
      <c r="R81" s="5180"/>
      <c r="S81" s="3303"/>
      <c r="T81" s="1891"/>
      <c r="U81" s="1849"/>
      <c r="V81" s="1883"/>
      <c r="W81" s="1864"/>
      <c r="X81" s="1824"/>
      <c r="Y81" s="1870"/>
      <c r="Z81" s="1870"/>
      <c r="AA81" s="1870"/>
      <c r="AB81" s="1871"/>
      <c r="AC81" s="1824"/>
      <c r="AD81" s="3200"/>
      <c r="AE81" s="3200"/>
      <c r="AF81" s="4521"/>
    </row>
    <row r="82" spans="1:32" ht="30.75" customHeight="1">
      <c r="A82" s="4564"/>
      <c r="B82" s="4408"/>
      <c r="C82" s="4404"/>
      <c r="D82" s="4378"/>
      <c r="E82" s="4378"/>
      <c r="F82" s="4378"/>
      <c r="G82" s="4378"/>
      <c r="H82" s="4378"/>
      <c r="I82" s="4378"/>
      <c r="J82" s="4378"/>
      <c r="K82" s="4378"/>
      <c r="L82" s="4378"/>
      <c r="M82" s="4393"/>
      <c r="N82" s="4393"/>
      <c r="O82" s="4393"/>
      <c r="P82" s="4378"/>
      <c r="Q82" s="4378"/>
      <c r="R82" s="5180"/>
      <c r="S82" s="3303"/>
      <c r="T82" s="1891"/>
      <c r="U82" s="1849"/>
      <c r="V82" s="1883"/>
      <c r="W82" s="1864"/>
      <c r="X82" s="1824"/>
      <c r="Y82" s="1870"/>
      <c r="Z82" s="1870"/>
      <c r="AA82" s="1870"/>
      <c r="AB82" s="1871"/>
      <c r="AC82" s="1824"/>
      <c r="AD82" s="3200"/>
      <c r="AE82" s="3200"/>
      <c r="AF82" s="4521"/>
    </row>
    <row r="83" spans="1:32" ht="30.75" customHeight="1">
      <c r="A83" s="4564"/>
      <c r="B83" s="4408"/>
      <c r="C83" s="4404"/>
      <c r="D83" s="4378"/>
      <c r="E83" s="4378"/>
      <c r="F83" s="4378"/>
      <c r="G83" s="4378"/>
      <c r="H83" s="4378"/>
      <c r="I83" s="4378"/>
      <c r="J83" s="4378"/>
      <c r="K83" s="4378"/>
      <c r="L83" s="4378"/>
      <c r="M83" s="4393"/>
      <c r="N83" s="4393"/>
      <c r="O83" s="4393"/>
      <c r="P83" s="4378"/>
      <c r="Q83" s="4378"/>
      <c r="R83" s="5180"/>
      <c r="S83" s="3303"/>
      <c r="T83" s="1891"/>
      <c r="U83" s="1849"/>
      <c r="V83" s="1883"/>
      <c r="W83" s="1864"/>
      <c r="X83" s="1824"/>
      <c r="Y83" s="1870"/>
      <c r="Z83" s="1870"/>
      <c r="AA83" s="1870"/>
      <c r="AB83" s="1871"/>
      <c r="AC83" s="1824"/>
      <c r="AD83" s="3200"/>
      <c r="AE83" s="3200"/>
      <c r="AF83" s="4521"/>
    </row>
    <row r="84" spans="1:32" ht="30.75" customHeight="1" thickBot="1">
      <c r="A84" s="4564"/>
      <c r="B84" s="4408"/>
      <c r="C84" s="4405"/>
      <c r="D84" s="4379"/>
      <c r="E84" s="4379"/>
      <c r="F84" s="4379"/>
      <c r="G84" s="4379"/>
      <c r="H84" s="4379"/>
      <c r="I84" s="4379"/>
      <c r="J84" s="4379"/>
      <c r="K84" s="4379"/>
      <c r="L84" s="4379"/>
      <c r="M84" s="4394"/>
      <c r="N84" s="4394"/>
      <c r="O84" s="4394"/>
      <c r="P84" s="4379"/>
      <c r="Q84" s="4379"/>
      <c r="R84" s="5201"/>
      <c r="S84" s="3860"/>
      <c r="T84" s="3791"/>
      <c r="U84" s="3875"/>
      <c r="V84" s="3792"/>
      <c r="W84" s="3793"/>
      <c r="X84" s="3794"/>
      <c r="Y84" s="3795"/>
      <c r="Z84" s="3795"/>
      <c r="AA84" s="3795"/>
      <c r="AB84" s="3796"/>
      <c r="AC84" s="3794"/>
      <c r="AD84" s="3797"/>
      <c r="AE84" s="3797"/>
      <c r="AF84" s="4536"/>
    </row>
    <row r="85" spans="1:32" ht="22.5" customHeight="1" thickBot="1">
      <c r="A85" s="4564"/>
      <c r="B85" s="4479"/>
      <c r="C85" s="3781"/>
      <c r="D85" s="3780"/>
      <c r="E85" s="3780"/>
      <c r="F85" s="3780"/>
      <c r="G85" s="3780"/>
      <c r="H85" s="3780"/>
      <c r="I85" s="3780"/>
      <c r="J85" s="3780"/>
      <c r="K85" s="3780"/>
      <c r="L85" s="3780"/>
      <c r="M85" s="3653"/>
      <c r="N85" s="3653"/>
      <c r="O85" s="3653"/>
      <c r="P85" s="3780"/>
      <c r="Q85" s="3780"/>
      <c r="R85" s="3850"/>
      <c r="S85" s="5195" t="s">
        <v>1274</v>
      </c>
      <c r="T85" s="5196"/>
      <c r="U85" s="5196"/>
      <c r="V85" s="5196"/>
      <c r="W85" s="5196"/>
      <c r="X85" s="5196"/>
      <c r="Y85" s="5196"/>
      <c r="Z85" s="5197"/>
      <c r="AA85" s="3782" t="s">
        <v>340</v>
      </c>
      <c r="AB85" s="3624">
        <f>SUM(AB35:AB84)</f>
        <v>0</v>
      </c>
      <c r="AC85" s="5198"/>
      <c r="AD85" s="5111"/>
      <c r="AE85" s="5111"/>
      <c r="AF85" s="4717"/>
    </row>
    <row r="86" spans="1:32" ht="32.25" customHeight="1">
      <c r="A86" s="4564"/>
      <c r="B86" s="4571" t="s">
        <v>1275</v>
      </c>
      <c r="C86" s="5212" t="s">
        <v>235</v>
      </c>
      <c r="D86" s="4916" t="s">
        <v>236</v>
      </c>
      <c r="E86" s="4916" t="s">
        <v>237</v>
      </c>
      <c r="F86" s="4916" t="s">
        <v>326</v>
      </c>
      <c r="G86" s="5182" t="s">
        <v>239</v>
      </c>
      <c r="H86" s="4916" t="s">
        <v>240</v>
      </c>
      <c r="I86" s="4916" t="s">
        <v>257</v>
      </c>
      <c r="J86" s="4931" t="s">
        <v>5603</v>
      </c>
      <c r="K86" s="4916" t="s">
        <v>1276</v>
      </c>
      <c r="L86" s="5214" t="s">
        <v>1277</v>
      </c>
      <c r="M86" s="5215">
        <v>700</v>
      </c>
      <c r="N86" s="5215">
        <v>1500</v>
      </c>
      <c r="O86" s="5215">
        <v>1800</v>
      </c>
      <c r="P86" s="4931" t="s">
        <v>5664</v>
      </c>
      <c r="Q86" s="4524" t="s">
        <v>5712</v>
      </c>
      <c r="R86" s="5203" t="s">
        <v>1278</v>
      </c>
      <c r="S86" s="3862" t="s">
        <v>11</v>
      </c>
      <c r="T86" s="3798">
        <v>530204</v>
      </c>
      <c r="U86" s="3877"/>
      <c r="V86" s="3799" t="s">
        <v>26</v>
      </c>
      <c r="W86" s="3665"/>
      <c r="X86" s="3667"/>
      <c r="Y86" s="3668"/>
      <c r="Z86" s="3668"/>
      <c r="AA86" s="3668"/>
      <c r="AB86" s="3786">
        <f>AA87</f>
        <v>30.004800000000003</v>
      </c>
      <c r="AC86" s="3800"/>
      <c r="AD86" s="3800"/>
      <c r="AE86" s="3800"/>
      <c r="AF86" s="5216" t="s">
        <v>5588</v>
      </c>
    </row>
    <row r="87" spans="1:32" ht="32.25" customHeight="1">
      <c r="A87" s="4564"/>
      <c r="B87" s="4408"/>
      <c r="C87" s="4404"/>
      <c r="D87" s="4378"/>
      <c r="E87" s="4378"/>
      <c r="F87" s="4378"/>
      <c r="G87" s="4378"/>
      <c r="H87" s="4378"/>
      <c r="I87" s="4378"/>
      <c r="J87" s="4378"/>
      <c r="K87" s="4378"/>
      <c r="L87" s="4378"/>
      <c r="M87" s="4894"/>
      <c r="N87" s="4894"/>
      <c r="O87" s="4894"/>
      <c r="P87" s="4378"/>
      <c r="Q87" s="4378"/>
      <c r="R87" s="5180"/>
      <c r="S87" s="3863"/>
      <c r="T87" s="3802"/>
      <c r="U87" s="3878">
        <v>838200112</v>
      </c>
      <c r="V87" s="3803" t="s">
        <v>1279</v>
      </c>
      <c r="W87" s="1864">
        <v>1</v>
      </c>
      <c r="X87" s="1824" t="s">
        <v>1280</v>
      </c>
      <c r="Y87" s="1870">
        <v>26.79</v>
      </c>
      <c r="Z87" s="1870">
        <f>+W87*Y87</f>
        <v>26.79</v>
      </c>
      <c r="AA87" s="1870">
        <f>+Z87*1.12</f>
        <v>30.004800000000003</v>
      </c>
      <c r="AB87" s="2436"/>
      <c r="AC87" s="1825"/>
      <c r="AD87" s="1826" t="s">
        <v>251</v>
      </c>
      <c r="AE87" s="1826"/>
      <c r="AF87" s="5185"/>
    </row>
    <row r="88" spans="1:32" ht="32.25" customHeight="1">
      <c r="A88" s="4564"/>
      <c r="B88" s="4408"/>
      <c r="C88" s="4404"/>
      <c r="D88" s="4378"/>
      <c r="E88" s="4378"/>
      <c r="F88" s="4378"/>
      <c r="G88" s="4378"/>
      <c r="H88" s="4378"/>
      <c r="I88" s="4378"/>
      <c r="J88" s="4378"/>
      <c r="K88" s="4378"/>
      <c r="L88" s="4378"/>
      <c r="M88" s="4894"/>
      <c r="N88" s="4894"/>
      <c r="O88" s="4894"/>
      <c r="P88" s="4378"/>
      <c r="Q88" s="4378"/>
      <c r="R88" s="5180"/>
      <c r="S88" s="3863" t="s">
        <v>11</v>
      </c>
      <c r="T88" s="1891">
        <v>531407</v>
      </c>
      <c r="U88" s="1849"/>
      <c r="V88" s="3801" t="s">
        <v>20</v>
      </c>
      <c r="W88" s="1864"/>
      <c r="X88" s="3790"/>
      <c r="Y88" s="3214"/>
      <c r="Z88" s="1870"/>
      <c r="AA88" s="1870"/>
      <c r="AB88" s="1871">
        <f>AA89</f>
        <v>537.6</v>
      </c>
      <c r="AC88" s="1824"/>
      <c r="AD88" s="1824"/>
      <c r="AE88" s="1824"/>
      <c r="AF88" s="5185"/>
    </row>
    <row r="89" spans="1:32" ht="32.25" customHeight="1">
      <c r="A89" s="4564"/>
      <c r="B89" s="4408"/>
      <c r="C89" s="4404"/>
      <c r="D89" s="4378"/>
      <c r="E89" s="4378"/>
      <c r="F89" s="4378"/>
      <c r="G89" s="4378"/>
      <c r="H89" s="4378"/>
      <c r="I89" s="4378"/>
      <c r="J89" s="4378"/>
      <c r="K89" s="4378"/>
      <c r="L89" s="4378"/>
      <c r="M89" s="4894"/>
      <c r="N89" s="4894"/>
      <c r="O89" s="4894"/>
      <c r="P89" s="4378"/>
      <c r="Q89" s="4378"/>
      <c r="R89" s="5180"/>
      <c r="S89" s="3303"/>
      <c r="T89" s="3802"/>
      <c r="U89" s="1849">
        <v>461220011</v>
      </c>
      <c r="V89" s="3804" t="s">
        <v>421</v>
      </c>
      <c r="W89" s="3189">
        <v>6</v>
      </c>
      <c r="X89" s="1824" t="s">
        <v>269</v>
      </c>
      <c r="Y89" s="3214">
        <v>80</v>
      </c>
      <c r="Z89" s="1870">
        <f>Y89*W89</f>
        <v>480</v>
      </c>
      <c r="AA89" s="1870">
        <f>+Z89*1.12</f>
        <v>537.6</v>
      </c>
      <c r="AB89" s="2436"/>
      <c r="AC89" s="1825"/>
      <c r="AD89" s="1826" t="s">
        <v>251</v>
      </c>
      <c r="AE89" s="3200"/>
      <c r="AF89" s="5185"/>
    </row>
    <row r="90" spans="1:32" ht="32.25" customHeight="1">
      <c r="A90" s="4564"/>
      <c r="B90" s="4408"/>
      <c r="C90" s="4404"/>
      <c r="D90" s="4378"/>
      <c r="E90" s="4378"/>
      <c r="F90" s="4378"/>
      <c r="G90" s="4378"/>
      <c r="H90" s="4378"/>
      <c r="I90" s="4378"/>
      <c r="J90" s="4378"/>
      <c r="K90" s="4378"/>
      <c r="L90" s="4378"/>
      <c r="M90" s="4894"/>
      <c r="N90" s="4894"/>
      <c r="O90" s="4894"/>
      <c r="P90" s="4378"/>
      <c r="Q90" s="4378"/>
      <c r="R90" s="5180"/>
      <c r="S90" s="3863" t="s">
        <v>11</v>
      </c>
      <c r="T90" s="1891">
        <v>570203</v>
      </c>
      <c r="U90" s="1849"/>
      <c r="V90" s="3801" t="s">
        <v>147</v>
      </c>
      <c r="W90" s="1864"/>
      <c r="X90" s="3790"/>
      <c r="Y90" s="3214"/>
      <c r="Z90" s="1870"/>
      <c r="AA90" s="1870"/>
      <c r="AB90" s="1871">
        <f>AA91+9.04</f>
        <v>159.04</v>
      </c>
      <c r="AC90" s="3218"/>
      <c r="AD90" s="3218"/>
      <c r="AE90" s="3218"/>
      <c r="AF90" s="5185"/>
    </row>
    <row r="91" spans="1:32" ht="32.25" customHeight="1">
      <c r="A91" s="4564"/>
      <c r="B91" s="4408"/>
      <c r="C91" s="4404"/>
      <c r="D91" s="4378"/>
      <c r="E91" s="4378"/>
      <c r="F91" s="4378"/>
      <c r="G91" s="4378"/>
      <c r="H91" s="4378"/>
      <c r="I91" s="4378"/>
      <c r="J91" s="4378"/>
      <c r="K91" s="4378"/>
      <c r="L91" s="4378"/>
      <c r="M91" s="4894"/>
      <c r="N91" s="4894"/>
      <c r="O91" s="4894"/>
      <c r="P91" s="4378"/>
      <c r="Q91" s="4378"/>
      <c r="R91" s="5180"/>
      <c r="S91" s="3864"/>
      <c r="T91" s="3802"/>
      <c r="U91" s="1849"/>
      <c r="V91" s="3803" t="s">
        <v>147</v>
      </c>
      <c r="W91" s="3189">
        <v>12</v>
      </c>
      <c r="X91" s="3218" t="s">
        <v>1281</v>
      </c>
      <c r="Y91" s="3214">
        <v>12.5</v>
      </c>
      <c r="Z91" s="1870">
        <f>Y91*W91</f>
        <v>150</v>
      </c>
      <c r="AA91" s="1870">
        <f>Z91</f>
        <v>150</v>
      </c>
      <c r="AB91" s="1871"/>
      <c r="AC91" s="1825" t="s">
        <v>251</v>
      </c>
      <c r="AD91" s="1826" t="s">
        <v>251</v>
      </c>
      <c r="AE91" s="1826" t="s">
        <v>251</v>
      </c>
      <c r="AF91" s="5185"/>
    </row>
    <row r="92" spans="1:32" ht="32.25" customHeight="1">
      <c r="A92" s="4564"/>
      <c r="B92" s="4408"/>
      <c r="C92" s="4404"/>
      <c r="D92" s="4378"/>
      <c r="E92" s="4378"/>
      <c r="F92" s="4378"/>
      <c r="G92" s="4378"/>
      <c r="H92" s="4378"/>
      <c r="I92" s="4378"/>
      <c r="J92" s="4378"/>
      <c r="K92" s="4378"/>
      <c r="L92" s="4378"/>
      <c r="M92" s="4894"/>
      <c r="N92" s="4894"/>
      <c r="O92" s="4894"/>
      <c r="P92" s="4378"/>
      <c r="Q92" s="4378"/>
      <c r="R92" s="5180"/>
      <c r="S92" s="3863" t="s">
        <v>11</v>
      </c>
      <c r="T92" s="1850">
        <v>840104</v>
      </c>
      <c r="U92" s="1849"/>
      <c r="V92" s="3805" t="s">
        <v>148</v>
      </c>
      <c r="W92" s="3189"/>
      <c r="X92" s="3790"/>
      <c r="Y92" s="3214"/>
      <c r="Z92" s="1870"/>
      <c r="AA92" s="2436"/>
      <c r="AB92" s="1871">
        <f>AA93</f>
        <v>360.00384000000003</v>
      </c>
      <c r="AC92" s="1824"/>
      <c r="AD92" s="3212"/>
      <c r="AE92" s="3200"/>
      <c r="AF92" s="5185"/>
    </row>
    <row r="93" spans="1:32" ht="32.25" customHeight="1">
      <c r="A93" s="4564"/>
      <c r="B93" s="4408"/>
      <c r="C93" s="4413"/>
      <c r="D93" s="4396"/>
      <c r="E93" s="4396"/>
      <c r="F93" s="4396"/>
      <c r="G93" s="4396"/>
      <c r="H93" s="4396"/>
      <c r="I93" s="4396"/>
      <c r="J93" s="4396"/>
      <c r="K93" s="4396"/>
      <c r="L93" s="4396"/>
      <c r="M93" s="4895"/>
      <c r="N93" s="4895"/>
      <c r="O93" s="4895"/>
      <c r="P93" s="4396"/>
      <c r="Q93" s="4396"/>
      <c r="R93" s="5194"/>
      <c r="S93" s="3304"/>
      <c r="T93" s="3821"/>
      <c r="U93" s="3271">
        <v>451300018</v>
      </c>
      <c r="V93" s="3826" t="s">
        <v>1282</v>
      </c>
      <c r="W93" s="3289">
        <v>3</v>
      </c>
      <c r="X93" s="3246" t="s">
        <v>269</v>
      </c>
      <c r="Y93" s="3245">
        <v>107.14400000000001</v>
      </c>
      <c r="Z93" s="3245">
        <f>Y93*W93</f>
        <v>321.43200000000002</v>
      </c>
      <c r="AA93" s="3245">
        <f>+Z93*1.12</f>
        <v>360.00384000000003</v>
      </c>
      <c r="AB93" s="2463"/>
      <c r="AC93" s="3155"/>
      <c r="AD93" s="3161" t="s">
        <v>251</v>
      </c>
      <c r="AE93" s="3256"/>
      <c r="AF93" s="5186"/>
    </row>
    <row r="94" spans="1:32" ht="30" customHeight="1">
      <c r="A94" s="4564"/>
      <c r="B94" s="4408"/>
      <c r="C94" s="4403" t="s">
        <v>235</v>
      </c>
      <c r="D94" s="4390" t="s">
        <v>236</v>
      </c>
      <c r="E94" s="4390" t="s">
        <v>237</v>
      </c>
      <c r="F94" s="4390" t="s">
        <v>326</v>
      </c>
      <c r="G94" s="4406" t="s">
        <v>239</v>
      </c>
      <c r="H94" s="4390" t="s">
        <v>240</v>
      </c>
      <c r="I94" s="4390" t="s">
        <v>257</v>
      </c>
      <c r="J94" s="4377" t="s">
        <v>5604</v>
      </c>
      <c r="K94" s="4390" t="s">
        <v>1283</v>
      </c>
      <c r="L94" s="4431" t="s">
        <v>1284</v>
      </c>
      <c r="M94" s="4392">
        <v>0</v>
      </c>
      <c r="N94" s="4392">
        <v>5</v>
      </c>
      <c r="O94" s="4392">
        <v>5</v>
      </c>
      <c r="P94" s="4390" t="s">
        <v>1285</v>
      </c>
      <c r="Q94" s="4391" t="s">
        <v>5713</v>
      </c>
      <c r="R94" s="5179" t="s">
        <v>1286</v>
      </c>
      <c r="S94" s="3865"/>
      <c r="T94" s="2538"/>
      <c r="U94" s="2532"/>
      <c r="V94" s="2533"/>
      <c r="W94" s="2468"/>
      <c r="X94" s="3163"/>
      <c r="Y94" s="2470"/>
      <c r="Z94" s="3252"/>
      <c r="AA94" s="3252"/>
      <c r="AB94" s="3329"/>
      <c r="AC94" s="3163"/>
      <c r="AD94" s="3163"/>
      <c r="AE94" s="2943"/>
      <c r="AF94" s="5208"/>
    </row>
    <row r="95" spans="1:32" ht="30" customHeight="1">
      <c r="A95" s="4564"/>
      <c r="B95" s="4408"/>
      <c r="C95" s="4404"/>
      <c r="D95" s="4378"/>
      <c r="E95" s="4378"/>
      <c r="F95" s="4378"/>
      <c r="G95" s="4378"/>
      <c r="H95" s="4378"/>
      <c r="I95" s="4378"/>
      <c r="J95" s="4378"/>
      <c r="K95" s="4378"/>
      <c r="L95" s="4378"/>
      <c r="M95" s="4393"/>
      <c r="N95" s="4393"/>
      <c r="O95" s="4393"/>
      <c r="P95" s="4378"/>
      <c r="Q95" s="4378"/>
      <c r="R95" s="5180"/>
      <c r="S95" s="2574"/>
      <c r="T95" s="1806"/>
      <c r="U95" s="2517"/>
      <c r="V95" s="2518"/>
      <c r="W95" s="2433"/>
      <c r="X95" s="1825" t="s">
        <v>1288</v>
      </c>
      <c r="Y95" s="2435"/>
      <c r="Z95" s="1870"/>
      <c r="AA95" s="1870"/>
      <c r="AB95" s="1871"/>
      <c r="AC95" s="1825"/>
      <c r="AD95" s="1825"/>
      <c r="AE95" s="1826"/>
      <c r="AF95" s="4521"/>
    </row>
    <row r="96" spans="1:32" ht="30" customHeight="1">
      <c r="A96" s="4564"/>
      <c r="B96" s="4408"/>
      <c r="C96" s="4404"/>
      <c r="D96" s="4378"/>
      <c r="E96" s="4378"/>
      <c r="F96" s="4378"/>
      <c r="G96" s="4378"/>
      <c r="H96" s="4378"/>
      <c r="I96" s="4378"/>
      <c r="J96" s="4378"/>
      <c r="K96" s="4378"/>
      <c r="L96" s="4378"/>
      <c r="M96" s="4393"/>
      <c r="N96" s="4393"/>
      <c r="O96" s="4393"/>
      <c r="P96" s="4378"/>
      <c r="Q96" s="4378"/>
      <c r="R96" s="5180"/>
      <c r="S96" s="2574"/>
      <c r="T96" s="1806"/>
      <c r="U96" s="2517"/>
      <c r="V96" s="2518" t="s">
        <v>1289</v>
      </c>
      <c r="W96" s="2433"/>
      <c r="X96" s="1825"/>
      <c r="Y96" s="2435"/>
      <c r="Z96" s="1870"/>
      <c r="AA96" s="1870"/>
      <c r="AB96" s="1871"/>
      <c r="AC96" s="1825"/>
      <c r="AD96" s="1825"/>
      <c r="AE96" s="1826"/>
      <c r="AF96" s="4521"/>
    </row>
    <row r="97" spans="1:32" ht="30" customHeight="1">
      <c r="A97" s="4564"/>
      <c r="B97" s="4408"/>
      <c r="C97" s="4404"/>
      <c r="D97" s="4378"/>
      <c r="E97" s="4378"/>
      <c r="F97" s="4378"/>
      <c r="G97" s="4378"/>
      <c r="H97" s="4378"/>
      <c r="I97" s="4378"/>
      <c r="J97" s="4378"/>
      <c r="K97" s="4378"/>
      <c r="L97" s="4378"/>
      <c r="M97" s="4393"/>
      <c r="N97" s="4393"/>
      <c r="O97" s="4393"/>
      <c r="P97" s="4378"/>
      <c r="Q97" s="4378"/>
      <c r="R97" s="5180"/>
      <c r="S97" s="2574"/>
      <c r="T97" s="1806"/>
      <c r="U97" s="2517"/>
      <c r="V97" s="2518"/>
      <c r="W97" s="2433"/>
      <c r="X97" s="1825"/>
      <c r="Y97" s="2435"/>
      <c r="Z97" s="1870"/>
      <c r="AA97" s="1870"/>
      <c r="AB97" s="1871"/>
      <c r="AC97" s="1825"/>
      <c r="AD97" s="1825"/>
      <c r="AE97" s="1826"/>
      <c r="AF97" s="4521"/>
    </row>
    <row r="98" spans="1:32" ht="30" customHeight="1">
      <c r="A98" s="4564"/>
      <c r="B98" s="4408"/>
      <c r="C98" s="4416"/>
      <c r="D98" s="4411"/>
      <c r="E98" s="4411"/>
      <c r="F98" s="4411"/>
      <c r="G98" s="4411"/>
      <c r="H98" s="4411"/>
      <c r="I98" s="4411"/>
      <c r="J98" s="4411"/>
      <c r="K98" s="4411"/>
      <c r="L98" s="4411"/>
      <c r="M98" s="4420"/>
      <c r="N98" s="4420"/>
      <c r="O98" s="4420"/>
      <c r="P98" s="4411"/>
      <c r="Q98" s="4411"/>
      <c r="R98" s="5181"/>
      <c r="S98" s="3866"/>
      <c r="T98" s="2548"/>
      <c r="U98" s="2530"/>
      <c r="V98" s="2531"/>
      <c r="W98" s="2483"/>
      <c r="X98" s="3150"/>
      <c r="Y98" s="2485"/>
      <c r="Z98" s="2485"/>
      <c r="AA98" s="2485"/>
      <c r="AB98" s="2486"/>
      <c r="AC98" s="3150"/>
      <c r="AD98" s="3150"/>
      <c r="AE98" s="3153"/>
      <c r="AF98" s="4522"/>
    </row>
    <row r="99" spans="1:32" ht="30.75" customHeight="1">
      <c r="A99" s="4564"/>
      <c r="B99" s="4408"/>
      <c r="C99" s="4412" t="s">
        <v>235</v>
      </c>
      <c r="D99" s="4400" t="s">
        <v>236</v>
      </c>
      <c r="E99" s="4400" t="s">
        <v>237</v>
      </c>
      <c r="F99" s="4400" t="s">
        <v>326</v>
      </c>
      <c r="G99" s="4414" t="s">
        <v>239</v>
      </c>
      <c r="H99" s="4400" t="s">
        <v>240</v>
      </c>
      <c r="I99" s="4400" t="s">
        <v>257</v>
      </c>
      <c r="J99" s="4395" t="s">
        <v>5605</v>
      </c>
      <c r="K99" s="4400" t="s">
        <v>1290</v>
      </c>
      <c r="L99" s="4418" t="s">
        <v>1291</v>
      </c>
      <c r="M99" s="4401">
        <v>12</v>
      </c>
      <c r="N99" s="4401">
        <v>12</v>
      </c>
      <c r="O99" s="4401">
        <v>12</v>
      </c>
      <c r="P99" s="4395" t="s">
        <v>5665</v>
      </c>
      <c r="Q99" s="4399" t="s">
        <v>5714</v>
      </c>
      <c r="R99" s="5183" t="s">
        <v>1292</v>
      </c>
      <c r="S99" s="2573"/>
      <c r="T99" s="2539"/>
      <c r="U99" s="2528"/>
      <c r="V99" s="2529"/>
      <c r="W99" s="3660"/>
      <c r="X99" s="3144"/>
      <c r="Y99" s="2478"/>
      <c r="Z99" s="3228"/>
      <c r="AA99" s="3228"/>
      <c r="AB99" s="3330"/>
      <c r="AC99" s="3144"/>
      <c r="AD99" s="3147"/>
      <c r="AE99" s="3147"/>
      <c r="AF99" s="5205"/>
    </row>
    <row r="100" spans="1:32" ht="30.75" customHeight="1">
      <c r="A100" s="4564"/>
      <c r="B100" s="4408"/>
      <c r="C100" s="4404"/>
      <c r="D100" s="4378"/>
      <c r="E100" s="4378"/>
      <c r="F100" s="4378"/>
      <c r="G100" s="4378"/>
      <c r="H100" s="4378"/>
      <c r="I100" s="4378"/>
      <c r="J100" s="4378"/>
      <c r="K100" s="4378"/>
      <c r="L100" s="4378"/>
      <c r="M100" s="4393"/>
      <c r="N100" s="4393"/>
      <c r="O100" s="4393"/>
      <c r="P100" s="4378"/>
      <c r="Q100" s="4378"/>
      <c r="R100" s="5180"/>
      <c r="S100" s="2574"/>
      <c r="T100" s="1806"/>
      <c r="U100" s="2517"/>
      <c r="V100" s="2518"/>
      <c r="W100" s="2433"/>
      <c r="X100" s="1825"/>
      <c r="Y100" s="2435"/>
      <c r="Z100" s="1870"/>
      <c r="AA100" s="1870"/>
      <c r="AB100" s="1871"/>
      <c r="AC100" s="1825"/>
      <c r="AD100" s="1826"/>
      <c r="AE100" s="1826"/>
      <c r="AF100" s="4521"/>
    </row>
    <row r="101" spans="1:32" ht="30.75" customHeight="1">
      <c r="A101" s="4564"/>
      <c r="B101" s="4408"/>
      <c r="C101" s="4404"/>
      <c r="D101" s="4378"/>
      <c r="E101" s="4378"/>
      <c r="F101" s="4378"/>
      <c r="G101" s="4378"/>
      <c r="H101" s="4378"/>
      <c r="I101" s="4378"/>
      <c r="J101" s="4378"/>
      <c r="K101" s="4378"/>
      <c r="L101" s="4378"/>
      <c r="M101" s="4393"/>
      <c r="N101" s="4393"/>
      <c r="O101" s="4393"/>
      <c r="P101" s="4378"/>
      <c r="Q101" s="4378"/>
      <c r="R101" s="5180"/>
      <c r="S101" s="2574"/>
      <c r="T101" s="1806"/>
      <c r="U101" s="2517"/>
      <c r="V101" s="2518"/>
      <c r="W101" s="2433"/>
      <c r="X101" s="1825"/>
      <c r="Y101" s="2435"/>
      <c r="Z101" s="1870"/>
      <c r="AA101" s="1870"/>
      <c r="AB101" s="1871"/>
      <c r="AC101" s="1825"/>
      <c r="AD101" s="1826"/>
      <c r="AE101" s="1826"/>
      <c r="AF101" s="4521"/>
    </row>
    <row r="102" spans="1:32" ht="30.75" customHeight="1">
      <c r="A102" s="4564"/>
      <c r="B102" s="4408"/>
      <c r="C102" s="4404"/>
      <c r="D102" s="4378"/>
      <c r="E102" s="4378"/>
      <c r="F102" s="4378"/>
      <c r="G102" s="4378"/>
      <c r="H102" s="4378"/>
      <c r="I102" s="4378"/>
      <c r="J102" s="4378"/>
      <c r="K102" s="4378"/>
      <c r="L102" s="4378"/>
      <c r="M102" s="4393"/>
      <c r="N102" s="4393"/>
      <c r="O102" s="4393"/>
      <c r="P102" s="4378"/>
      <c r="Q102" s="4378"/>
      <c r="R102" s="5180"/>
      <c r="S102" s="2574"/>
      <c r="T102" s="1806"/>
      <c r="U102" s="2517"/>
      <c r="V102" s="2518"/>
      <c r="W102" s="2433"/>
      <c r="X102" s="1825"/>
      <c r="Y102" s="2435"/>
      <c r="Z102" s="1870"/>
      <c r="AA102" s="1870"/>
      <c r="AB102" s="1871"/>
      <c r="AC102" s="1825"/>
      <c r="AD102" s="1826"/>
      <c r="AE102" s="1826"/>
      <c r="AF102" s="4521"/>
    </row>
    <row r="103" spans="1:32" ht="30.75" customHeight="1">
      <c r="A103" s="4564"/>
      <c r="B103" s="4408"/>
      <c r="C103" s="4413"/>
      <c r="D103" s="4396"/>
      <c r="E103" s="4396"/>
      <c r="F103" s="4396"/>
      <c r="G103" s="4396"/>
      <c r="H103" s="4396"/>
      <c r="I103" s="4396"/>
      <c r="J103" s="4396"/>
      <c r="K103" s="4396"/>
      <c r="L103" s="4396"/>
      <c r="M103" s="4402"/>
      <c r="N103" s="4402"/>
      <c r="O103" s="4402"/>
      <c r="P103" s="4396"/>
      <c r="Q103" s="4396"/>
      <c r="R103" s="5194"/>
      <c r="S103" s="3867"/>
      <c r="T103" s="2537"/>
      <c r="U103" s="2534"/>
      <c r="V103" s="2535"/>
      <c r="W103" s="2460"/>
      <c r="X103" s="3155"/>
      <c r="Y103" s="2462"/>
      <c r="Z103" s="2462"/>
      <c r="AA103" s="2462"/>
      <c r="AB103" s="2463"/>
      <c r="AC103" s="3155"/>
      <c r="AD103" s="3161"/>
      <c r="AE103" s="3161"/>
      <c r="AF103" s="4530"/>
    </row>
    <row r="104" spans="1:32" ht="29.25" customHeight="1">
      <c r="A104" s="4564"/>
      <c r="B104" s="4408"/>
      <c r="C104" s="4403" t="s">
        <v>235</v>
      </c>
      <c r="D104" s="4390" t="s">
        <v>236</v>
      </c>
      <c r="E104" s="4390" t="s">
        <v>237</v>
      </c>
      <c r="F104" s="4390" t="s">
        <v>326</v>
      </c>
      <c r="G104" s="4406" t="s">
        <v>239</v>
      </c>
      <c r="H104" s="4390" t="s">
        <v>240</v>
      </c>
      <c r="I104" s="4390" t="s">
        <v>257</v>
      </c>
      <c r="J104" s="4377" t="s">
        <v>5606</v>
      </c>
      <c r="K104" s="4390" t="s">
        <v>1293</v>
      </c>
      <c r="L104" s="4431" t="s">
        <v>1294</v>
      </c>
      <c r="M104" s="4392">
        <v>10</v>
      </c>
      <c r="N104" s="4392">
        <v>25</v>
      </c>
      <c r="O104" s="4392">
        <v>25</v>
      </c>
      <c r="P104" s="4377" t="s">
        <v>5666</v>
      </c>
      <c r="Q104" s="4391" t="s">
        <v>5715</v>
      </c>
      <c r="R104" s="5179" t="s">
        <v>1295</v>
      </c>
      <c r="S104" s="3865"/>
      <c r="T104" s="2538"/>
      <c r="U104" s="2532"/>
      <c r="V104" s="2533"/>
      <c r="W104" s="2468"/>
      <c r="X104" s="3163"/>
      <c r="Y104" s="2470"/>
      <c r="Z104" s="3252"/>
      <c r="AA104" s="3252"/>
      <c r="AB104" s="3329"/>
      <c r="AC104" s="3163"/>
      <c r="AD104" s="3166"/>
      <c r="AE104" s="3166"/>
      <c r="AF104" s="5208"/>
    </row>
    <row r="105" spans="1:32" ht="29.25" customHeight="1">
      <c r="A105" s="4564"/>
      <c r="B105" s="4408"/>
      <c r="C105" s="4404"/>
      <c r="D105" s="4378"/>
      <c r="E105" s="4378"/>
      <c r="F105" s="4378"/>
      <c r="G105" s="4378"/>
      <c r="H105" s="4378"/>
      <c r="I105" s="4378"/>
      <c r="J105" s="4378"/>
      <c r="K105" s="4378"/>
      <c r="L105" s="4378"/>
      <c r="M105" s="4393"/>
      <c r="N105" s="4393"/>
      <c r="O105" s="4393"/>
      <c r="P105" s="4378"/>
      <c r="Q105" s="4378"/>
      <c r="R105" s="5180"/>
      <c r="S105" s="2574"/>
      <c r="T105" s="1806"/>
      <c r="U105" s="2517"/>
      <c r="V105" s="2518"/>
      <c r="W105" s="2433"/>
      <c r="X105" s="1825"/>
      <c r="Y105" s="2435"/>
      <c r="Z105" s="1870"/>
      <c r="AA105" s="1870"/>
      <c r="AB105" s="1871"/>
      <c r="AC105" s="1825"/>
      <c r="AD105" s="1826"/>
      <c r="AE105" s="1826"/>
      <c r="AF105" s="4521"/>
    </row>
    <row r="106" spans="1:32" ht="29.25" customHeight="1">
      <c r="A106" s="4564"/>
      <c r="B106" s="4408"/>
      <c r="C106" s="4404"/>
      <c r="D106" s="4378"/>
      <c r="E106" s="4378"/>
      <c r="F106" s="4378"/>
      <c r="G106" s="4378"/>
      <c r="H106" s="4378"/>
      <c r="I106" s="4378"/>
      <c r="J106" s="4378"/>
      <c r="K106" s="4378"/>
      <c r="L106" s="4378"/>
      <c r="M106" s="4393"/>
      <c r="N106" s="4393"/>
      <c r="O106" s="4393"/>
      <c r="P106" s="4378"/>
      <c r="Q106" s="4378"/>
      <c r="R106" s="5180"/>
      <c r="S106" s="2574"/>
      <c r="T106" s="1806"/>
      <c r="U106" s="2517"/>
      <c r="V106" s="2518"/>
      <c r="W106" s="2433"/>
      <c r="X106" s="1825"/>
      <c r="Y106" s="2435"/>
      <c r="Z106" s="1870"/>
      <c r="AA106" s="1870"/>
      <c r="AB106" s="1871"/>
      <c r="AC106" s="1825"/>
      <c r="AD106" s="1826"/>
      <c r="AE106" s="1826"/>
      <c r="AF106" s="4521"/>
    </row>
    <row r="107" spans="1:32" ht="29.25" customHeight="1">
      <c r="A107" s="4564"/>
      <c r="B107" s="4408"/>
      <c r="C107" s="4404"/>
      <c r="D107" s="4378"/>
      <c r="E107" s="4378"/>
      <c r="F107" s="4378"/>
      <c r="G107" s="4378"/>
      <c r="H107" s="4378"/>
      <c r="I107" s="4378"/>
      <c r="J107" s="4378"/>
      <c r="K107" s="4378"/>
      <c r="L107" s="4378"/>
      <c r="M107" s="4393"/>
      <c r="N107" s="4393"/>
      <c r="O107" s="4393"/>
      <c r="P107" s="4378"/>
      <c r="Q107" s="4378"/>
      <c r="R107" s="5180"/>
      <c r="S107" s="2574"/>
      <c r="T107" s="1806"/>
      <c r="U107" s="2517"/>
      <c r="V107" s="2518"/>
      <c r="W107" s="2433"/>
      <c r="X107" s="1825"/>
      <c r="Y107" s="2435"/>
      <c r="Z107" s="1870"/>
      <c r="AA107" s="1870"/>
      <c r="AB107" s="1871"/>
      <c r="AC107" s="1825"/>
      <c r="AD107" s="1826"/>
      <c r="AE107" s="1826"/>
      <c r="AF107" s="4521"/>
    </row>
    <row r="108" spans="1:32" ht="29.25" customHeight="1">
      <c r="A108" s="4564"/>
      <c r="B108" s="4408"/>
      <c r="C108" s="4416"/>
      <c r="D108" s="4411"/>
      <c r="E108" s="4411"/>
      <c r="F108" s="4411"/>
      <c r="G108" s="4411"/>
      <c r="H108" s="4411"/>
      <c r="I108" s="4411"/>
      <c r="J108" s="4411"/>
      <c r="K108" s="4411"/>
      <c r="L108" s="4411"/>
      <c r="M108" s="4420"/>
      <c r="N108" s="4420"/>
      <c r="O108" s="4420"/>
      <c r="P108" s="4411"/>
      <c r="Q108" s="4411"/>
      <c r="R108" s="5181"/>
      <c r="S108" s="3866"/>
      <c r="T108" s="3827"/>
      <c r="U108" s="2481"/>
      <c r="V108" s="2482"/>
      <c r="W108" s="2483"/>
      <c r="X108" s="3150"/>
      <c r="Y108" s="2485"/>
      <c r="Z108" s="2485"/>
      <c r="AA108" s="2485"/>
      <c r="AB108" s="2486"/>
      <c r="AC108" s="3150"/>
      <c r="AD108" s="3153"/>
      <c r="AE108" s="3153"/>
      <c r="AF108" s="4522"/>
    </row>
    <row r="109" spans="1:32" ht="30.75" customHeight="1">
      <c r="A109" s="4564"/>
      <c r="B109" s="4408"/>
      <c r="C109" s="4412" t="s">
        <v>235</v>
      </c>
      <c r="D109" s="4400" t="s">
        <v>236</v>
      </c>
      <c r="E109" s="4400" t="s">
        <v>237</v>
      </c>
      <c r="F109" s="4400" t="s">
        <v>326</v>
      </c>
      <c r="G109" s="4414" t="s">
        <v>239</v>
      </c>
      <c r="H109" s="4400" t="s">
        <v>240</v>
      </c>
      <c r="I109" s="4400" t="s">
        <v>257</v>
      </c>
      <c r="J109" s="4395" t="s">
        <v>5607</v>
      </c>
      <c r="K109" s="4400" t="s">
        <v>1296</v>
      </c>
      <c r="L109" s="4418" t="s">
        <v>1297</v>
      </c>
      <c r="M109" s="4401">
        <v>0</v>
      </c>
      <c r="N109" s="4401">
        <v>5</v>
      </c>
      <c r="O109" s="4401">
        <v>25</v>
      </c>
      <c r="P109" s="4399" t="s">
        <v>5667</v>
      </c>
      <c r="Q109" s="4399" t="s">
        <v>5716</v>
      </c>
      <c r="R109" s="5183" t="s">
        <v>1298</v>
      </c>
      <c r="S109" s="2573"/>
      <c r="T109" s="2474"/>
      <c r="U109" s="2488"/>
      <c r="V109" s="2527"/>
      <c r="W109" s="3659"/>
      <c r="X109" s="2924"/>
      <c r="Y109" s="3145"/>
      <c r="Z109" s="3228"/>
      <c r="AA109" s="3228"/>
      <c r="AB109" s="3330"/>
      <c r="AC109" s="3144"/>
      <c r="AD109" s="3147"/>
      <c r="AE109" s="3147"/>
      <c r="AF109" s="5205"/>
    </row>
    <row r="110" spans="1:32" ht="30.75" customHeight="1">
      <c r="A110" s="4564"/>
      <c r="B110" s="4408"/>
      <c r="C110" s="4404"/>
      <c r="D110" s="4378"/>
      <c r="E110" s="4378"/>
      <c r="F110" s="4378"/>
      <c r="G110" s="4378"/>
      <c r="H110" s="4378"/>
      <c r="I110" s="4378"/>
      <c r="J110" s="4378"/>
      <c r="K110" s="4378"/>
      <c r="L110" s="4378"/>
      <c r="M110" s="4393"/>
      <c r="N110" s="4393"/>
      <c r="O110" s="4393"/>
      <c r="P110" s="4378"/>
      <c r="Q110" s="4378"/>
      <c r="R110" s="5180"/>
      <c r="S110" s="2574"/>
      <c r="T110" s="1850"/>
      <c r="U110" s="1848"/>
      <c r="V110" s="2518"/>
      <c r="W110" s="2448"/>
      <c r="X110" s="1804"/>
      <c r="Y110" s="3132"/>
      <c r="Z110" s="1870"/>
      <c r="AA110" s="1870"/>
      <c r="AB110" s="1871"/>
      <c r="AC110" s="1825"/>
      <c r="AD110" s="1826"/>
      <c r="AE110" s="1826"/>
      <c r="AF110" s="4521"/>
    </row>
    <row r="111" spans="1:32" ht="30.75" customHeight="1">
      <c r="A111" s="4564"/>
      <c r="B111" s="4408"/>
      <c r="C111" s="4404"/>
      <c r="D111" s="4378"/>
      <c r="E111" s="4378"/>
      <c r="F111" s="4378"/>
      <c r="G111" s="4378"/>
      <c r="H111" s="4378"/>
      <c r="I111" s="4378"/>
      <c r="J111" s="4378"/>
      <c r="K111" s="4378"/>
      <c r="L111" s="4378"/>
      <c r="M111" s="4393"/>
      <c r="N111" s="4393"/>
      <c r="O111" s="4393"/>
      <c r="P111" s="4378"/>
      <c r="Q111" s="4378"/>
      <c r="R111" s="5180"/>
      <c r="S111" s="2574"/>
      <c r="T111" s="1850"/>
      <c r="U111" s="1848"/>
      <c r="V111" s="2518"/>
      <c r="W111" s="2448"/>
      <c r="X111" s="1804"/>
      <c r="Y111" s="3132"/>
      <c r="Z111" s="1870"/>
      <c r="AA111" s="1870"/>
      <c r="AB111" s="1871"/>
      <c r="AC111" s="1825"/>
      <c r="AD111" s="1826"/>
      <c r="AE111" s="1826"/>
      <c r="AF111" s="4521"/>
    </row>
    <row r="112" spans="1:32" ht="30.75" customHeight="1">
      <c r="A112" s="4564"/>
      <c r="B112" s="4408"/>
      <c r="C112" s="4404"/>
      <c r="D112" s="4378"/>
      <c r="E112" s="4378"/>
      <c r="F112" s="4378"/>
      <c r="G112" s="4378"/>
      <c r="H112" s="4378"/>
      <c r="I112" s="4378"/>
      <c r="J112" s="4378"/>
      <c r="K112" s="4378"/>
      <c r="L112" s="4378"/>
      <c r="M112" s="4393"/>
      <c r="N112" s="4393"/>
      <c r="O112" s="4393"/>
      <c r="P112" s="4378"/>
      <c r="Q112" s="4378"/>
      <c r="R112" s="5180"/>
      <c r="S112" s="2574"/>
      <c r="T112" s="1850"/>
      <c r="U112" s="1848"/>
      <c r="V112" s="2432"/>
      <c r="W112" s="2433"/>
      <c r="X112" s="1825"/>
      <c r="Y112" s="2435"/>
      <c r="Z112" s="1870"/>
      <c r="AA112" s="1870"/>
      <c r="AB112" s="1871"/>
      <c r="AC112" s="1825"/>
      <c r="AD112" s="1826"/>
      <c r="AE112" s="1826"/>
      <c r="AF112" s="4521"/>
    </row>
    <row r="113" spans="1:32" ht="30.75" customHeight="1">
      <c r="A113" s="4564"/>
      <c r="B113" s="4408"/>
      <c r="C113" s="4413"/>
      <c r="D113" s="4396"/>
      <c r="E113" s="4396"/>
      <c r="F113" s="4396"/>
      <c r="G113" s="4396"/>
      <c r="H113" s="4396"/>
      <c r="I113" s="4396"/>
      <c r="J113" s="4396"/>
      <c r="K113" s="4396"/>
      <c r="L113" s="4396"/>
      <c r="M113" s="4402"/>
      <c r="N113" s="4402"/>
      <c r="O113" s="4402"/>
      <c r="P113" s="4396"/>
      <c r="Q113" s="4396"/>
      <c r="R113" s="5194"/>
      <c r="S113" s="3867"/>
      <c r="T113" s="2458"/>
      <c r="U113" s="2495"/>
      <c r="V113" s="2459"/>
      <c r="W113" s="2460"/>
      <c r="X113" s="3155"/>
      <c r="Y113" s="2462"/>
      <c r="Z113" s="2462"/>
      <c r="AA113" s="2462"/>
      <c r="AB113" s="2463"/>
      <c r="AC113" s="3155"/>
      <c r="AD113" s="3161"/>
      <c r="AE113" s="3161"/>
      <c r="AF113" s="4530"/>
    </row>
    <row r="114" spans="1:32" ht="30" customHeight="1">
      <c r="A114" s="4564"/>
      <c r="B114" s="4408"/>
      <c r="C114" s="4403" t="s">
        <v>235</v>
      </c>
      <c r="D114" s="4390" t="s">
        <v>236</v>
      </c>
      <c r="E114" s="4390" t="s">
        <v>237</v>
      </c>
      <c r="F114" s="4390" t="s">
        <v>326</v>
      </c>
      <c r="G114" s="4406" t="s">
        <v>239</v>
      </c>
      <c r="H114" s="4390" t="s">
        <v>240</v>
      </c>
      <c r="I114" s="4390" t="s">
        <v>257</v>
      </c>
      <c r="J114" s="4377" t="s">
        <v>5608</v>
      </c>
      <c r="K114" s="4390" t="s">
        <v>1299</v>
      </c>
      <c r="L114" s="4431" t="s">
        <v>1300</v>
      </c>
      <c r="M114" s="4392">
        <v>0</v>
      </c>
      <c r="N114" s="4392">
        <v>0</v>
      </c>
      <c r="O114" s="4392">
        <v>10</v>
      </c>
      <c r="P114" s="4377" t="s">
        <v>5668</v>
      </c>
      <c r="Q114" s="4391" t="s">
        <v>5717</v>
      </c>
      <c r="R114" s="5179" t="s">
        <v>1295</v>
      </c>
      <c r="S114" s="3868"/>
      <c r="T114" s="3270"/>
      <c r="U114" s="3272"/>
      <c r="V114" s="3828"/>
      <c r="W114" s="3285"/>
      <c r="X114" s="3824"/>
      <c r="Y114" s="3633"/>
      <c r="Z114" s="3252"/>
      <c r="AA114" s="2471"/>
      <c r="AB114" s="3329"/>
      <c r="AC114" s="3829"/>
      <c r="AD114" s="3829"/>
      <c r="AE114" s="3829"/>
      <c r="AF114" s="5208"/>
    </row>
    <row r="115" spans="1:32" ht="30" customHeight="1">
      <c r="A115" s="4564"/>
      <c r="B115" s="4408"/>
      <c r="C115" s="4404"/>
      <c r="D115" s="4378"/>
      <c r="E115" s="4378"/>
      <c r="F115" s="4378"/>
      <c r="G115" s="4378"/>
      <c r="H115" s="4378"/>
      <c r="I115" s="4378"/>
      <c r="J115" s="4378"/>
      <c r="K115" s="4378"/>
      <c r="L115" s="4378"/>
      <c r="M115" s="4393"/>
      <c r="N115" s="4393"/>
      <c r="O115" s="4393"/>
      <c r="P115" s="4378"/>
      <c r="Q115" s="4378"/>
      <c r="R115" s="5180"/>
      <c r="S115" s="3303"/>
      <c r="T115" s="3802"/>
      <c r="U115" s="1849"/>
      <c r="V115" s="3806"/>
      <c r="W115" s="3189"/>
      <c r="X115" s="3790"/>
      <c r="Y115" s="3214"/>
      <c r="Z115" s="1870"/>
      <c r="AA115" s="1870"/>
      <c r="AB115" s="1871"/>
      <c r="AC115" s="1824"/>
      <c r="AD115" s="1826"/>
      <c r="AE115" s="3200"/>
      <c r="AF115" s="4521"/>
    </row>
    <row r="116" spans="1:32" ht="30" customHeight="1">
      <c r="A116" s="4564"/>
      <c r="B116" s="4408"/>
      <c r="C116" s="4404"/>
      <c r="D116" s="4378"/>
      <c r="E116" s="4378"/>
      <c r="F116" s="4378"/>
      <c r="G116" s="4378"/>
      <c r="H116" s="4378"/>
      <c r="I116" s="4378"/>
      <c r="J116" s="4378"/>
      <c r="K116" s="4378"/>
      <c r="L116" s="4378"/>
      <c r="M116" s="4393"/>
      <c r="N116" s="4393"/>
      <c r="O116" s="4393"/>
      <c r="P116" s="4378"/>
      <c r="Q116" s="4378"/>
      <c r="R116" s="5180"/>
      <c r="S116" s="2574"/>
      <c r="T116" s="1850"/>
      <c r="U116" s="1848"/>
      <c r="V116" s="2432"/>
      <c r="W116" s="2433"/>
      <c r="X116" s="1825"/>
      <c r="Y116" s="2435"/>
      <c r="Z116" s="2435"/>
      <c r="AA116" s="2435"/>
      <c r="AB116" s="2436"/>
      <c r="AC116" s="1825"/>
      <c r="AD116" s="1826"/>
      <c r="AE116" s="1826"/>
      <c r="AF116" s="4521"/>
    </row>
    <row r="117" spans="1:32" ht="30" customHeight="1">
      <c r="A117" s="4564"/>
      <c r="B117" s="4408"/>
      <c r="C117" s="4404"/>
      <c r="D117" s="4378"/>
      <c r="E117" s="4378"/>
      <c r="F117" s="4378"/>
      <c r="G117" s="4378"/>
      <c r="H117" s="4378"/>
      <c r="I117" s="4378"/>
      <c r="J117" s="4378"/>
      <c r="K117" s="4378"/>
      <c r="L117" s="4378"/>
      <c r="M117" s="4393"/>
      <c r="N117" s="4393"/>
      <c r="O117" s="4393"/>
      <c r="P117" s="4378"/>
      <c r="Q117" s="4378"/>
      <c r="R117" s="5180"/>
      <c r="S117" s="2574"/>
      <c r="T117" s="1850"/>
      <c r="U117" s="1848"/>
      <c r="V117" s="2432"/>
      <c r="W117" s="2433"/>
      <c r="X117" s="1825"/>
      <c r="Y117" s="2435"/>
      <c r="Z117" s="2435"/>
      <c r="AA117" s="2435"/>
      <c r="AB117" s="2436"/>
      <c r="AC117" s="1825"/>
      <c r="AD117" s="1826"/>
      <c r="AE117" s="1826"/>
      <c r="AF117" s="4521"/>
    </row>
    <row r="118" spans="1:32" ht="30" customHeight="1">
      <c r="A118" s="4564"/>
      <c r="B118" s="4408"/>
      <c r="C118" s="4416"/>
      <c r="D118" s="4411"/>
      <c r="E118" s="4411"/>
      <c r="F118" s="4411"/>
      <c r="G118" s="4411"/>
      <c r="H118" s="4411"/>
      <c r="I118" s="4411"/>
      <c r="J118" s="4411"/>
      <c r="K118" s="4411"/>
      <c r="L118" s="4411"/>
      <c r="M118" s="4420"/>
      <c r="N118" s="4420"/>
      <c r="O118" s="4420"/>
      <c r="P118" s="4411"/>
      <c r="Q118" s="4411"/>
      <c r="R118" s="5181"/>
      <c r="S118" s="3866"/>
      <c r="T118" s="3827"/>
      <c r="U118" s="2481"/>
      <c r="V118" s="2482"/>
      <c r="W118" s="2483"/>
      <c r="X118" s="3150"/>
      <c r="Y118" s="2485"/>
      <c r="Z118" s="2485"/>
      <c r="AA118" s="2485"/>
      <c r="AB118" s="2486"/>
      <c r="AC118" s="3150"/>
      <c r="AD118" s="3153"/>
      <c r="AE118" s="3153"/>
      <c r="AF118" s="4522"/>
    </row>
    <row r="119" spans="1:32" ht="30.75" customHeight="1">
      <c r="A119" s="4564"/>
      <c r="B119" s="4408"/>
      <c r="C119" s="4412" t="s">
        <v>235</v>
      </c>
      <c r="D119" s="4400" t="s">
        <v>236</v>
      </c>
      <c r="E119" s="4400" t="s">
        <v>237</v>
      </c>
      <c r="F119" s="4400" t="s">
        <v>326</v>
      </c>
      <c r="G119" s="4414" t="s">
        <v>239</v>
      </c>
      <c r="H119" s="4400" t="s">
        <v>240</v>
      </c>
      <c r="I119" s="4400" t="s">
        <v>257</v>
      </c>
      <c r="J119" s="4395" t="s">
        <v>5609</v>
      </c>
      <c r="K119" s="4400" t="s">
        <v>1301</v>
      </c>
      <c r="L119" s="4418"/>
      <c r="M119" s="4401"/>
      <c r="N119" s="4401"/>
      <c r="O119" s="4401"/>
      <c r="P119" s="4400"/>
      <c r="Q119" s="4418"/>
      <c r="R119" s="5183"/>
      <c r="S119" s="2573"/>
      <c r="T119" s="2474"/>
      <c r="U119" s="2488"/>
      <c r="V119" s="3657"/>
      <c r="W119" s="3660"/>
      <c r="X119" s="3144"/>
      <c r="Y119" s="2478"/>
      <c r="Z119" s="3228"/>
      <c r="AA119" s="3228"/>
      <c r="AB119" s="3330"/>
      <c r="AC119" s="3144"/>
      <c r="AD119" s="2924"/>
      <c r="AE119" s="2924"/>
      <c r="AF119" s="5209" t="s">
        <v>5589</v>
      </c>
    </row>
    <row r="120" spans="1:32" ht="30.75" customHeight="1">
      <c r="A120" s="4564"/>
      <c r="B120" s="4408"/>
      <c r="C120" s="4404"/>
      <c r="D120" s="4378"/>
      <c r="E120" s="4378"/>
      <c r="F120" s="4378"/>
      <c r="G120" s="4378"/>
      <c r="H120" s="4378"/>
      <c r="I120" s="4378"/>
      <c r="J120" s="4378"/>
      <c r="K120" s="4378"/>
      <c r="L120" s="4378"/>
      <c r="M120" s="4393"/>
      <c r="N120" s="4393"/>
      <c r="O120" s="4393"/>
      <c r="P120" s="4378"/>
      <c r="Q120" s="4378"/>
      <c r="R120" s="5180"/>
      <c r="S120" s="2574"/>
      <c r="T120" s="1850"/>
      <c r="U120" s="1848"/>
      <c r="V120" s="2432"/>
      <c r="W120" s="2433"/>
      <c r="X120" s="1825"/>
      <c r="Y120" s="2435"/>
      <c r="Z120" s="1870"/>
      <c r="AA120" s="1870"/>
      <c r="AB120" s="1871"/>
      <c r="AC120" s="1825"/>
      <c r="AD120" s="1825"/>
      <c r="AE120" s="1804"/>
      <c r="AF120" s="5185"/>
    </row>
    <row r="121" spans="1:32" ht="30.75" customHeight="1">
      <c r="A121" s="4564"/>
      <c r="B121" s="4408"/>
      <c r="C121" s="4404"/>
      <c r="D121" s="4378"/>
      <c r="E121" s="4378"/>
      <c r="F121" s="4378"/>
      <c r="G121" s="4378"/>
      <c r="H121" s="4378"/>
      <c r="I121" s="4378"/>
      <c r="J121" s="4378"/>
      <c r="K121" s="4378"/>
      <c r="L121" s="4378"/>
      <c r="M121" s="4393"/>
      <c r="N121" s="4393"/>
      <c r="O121" s="4393"/>
      <c r="P121" s="4378"/>
      <c r="Q121" s="4378"/>
      <c r="R121" s="5180"/>
      <c r="S121" s="2574"/>
      <c r="T121" s="1850"/>
      <c r="U121" s="1848"/>
      <c r="V121" s="2432"/>
      <c r="W121" s="2433"/>
      <c r="X121" s="1825"/>
      <c r="Y121" s="2435"/>
      <c r="Z121" s="1870"/>
      <c r="AA121" s="1870"/>
      <c r="AB121" s="1871"/>
      <c r="AC121" s="1825"/>
      <c r="AD121" s="1825"/>
      <c r="AE121" s="1826"/>
      <c r="AF121" s="5185"/>
    </row>
    <row r="122" spans="1:32" ht="30.75" customHeight="1">
      <c r="A122" s="4564"/>
      <c r="B122" s="4408"/>
      <c r="C122" s="4404"/>
      <c r="D122" s="4378"/>
      <c r="E122" s="4378"/>
      <c r="F122" s="4378"/>
      <c r="G122" s="4378"/>
      <c r="H122" s="4378"/>
      <c r="I122" s="4378"/>
      <c r="J122" s="4378"/>
      <c r="K122" s="4378"/>
      <c r="L122" s="4378"/>
      <c r="M122" s="4393"/>
      <c r="N122" s="4393"/>
      <c r="O122" s="4393"/>
      <c r="P122" s="4378"/>
      <c r="Q122" s="4378"/>
      <c r="R122" s="5180"/>
      <c r="S122" s="2574"/>
      <c r="T122" s="1850"/>
      <c r="U122" s="1848"/>
      <c r="V122" s="2432"/>
      <c r="W122" s="2433"/>
      <c r="X122" s="1825"/>
      <c r="Y122" s="2435"/>
      <c r="Z122" s="1870"/>
      <c r="AA122" s="1870"/>
      <c r="AB122" s="1871"/>
      <c r="AC122" s="1825"/>
      <c r="AD122" s="1825"/>
      <c r="AE122" s="1826"/>
      <c r="AF122" s="5185"/>
    </row>
    <row r="123" spans="1:32" ht="30.75" customHeight="1">
      <c r="A123" s="4564"/>
      <c r="B123" s="4408"/>
      <c r="C123" s="4413"/>
      <c r="D123" s="4396"/>
      <c r="E123" s="4396"/>
      <c r="F123" s="4396"/>
      <c r="G123" s="4396"/>
      <c r="H123" s="4396"/>
      <c r="I123" s="4396"/>
      <c r="J123" s="4396"/>
      <c r="K123" s="4396"/>
      <c r="L123" s="4396"/>
      <c r="M123" s="4402"/>
      <c r="N123" s="4402"/>
      <c r="O123" s="4402"/>
      <c r="P123" s="4396"/>
      <c r="Q123" s="4396"/>
      <c r="R123" s="5194"/>
      <c r="S123" s="3867"/>
      <c r="T123" s="2458"/>
      <c r="U123" s="2495"/>
      <c r="V123" s="2459"/>
      <c r="W123" s="2460"/>
      <c r="X123" s="3155"/>
      <c r="Y123" s="2462"/>
      <c r="Z123" s="2462"/>
      <c r="AA123" s="2462"/>
      <c r="AB123" s="2463"/>
      <c r="AC123" s="3155"/>
      <c r="AD123" s="3155"/>
      <c r="AE123" s="3161"/>
      <c r="AF123" s="5186"/>
    </row>
    <row r="124" spans="1:32" ht="31.5" customHeight="1">
      <c r="A124" s="4564"/>
      <c r="B124" s="4408"/>
      <c r="C124" s="4403" t="s">
        <v>235</v>
      </c>
      <c r="D124" s="4390" t="s">
        <v>236</v>
      </c>
      <c r="E124" s="4390" t="s">
        <v>237</v>
      </c>
      <c r="F124" s="4390" t="s">
        <v>326</v>
      </c>
      <c r="G124" s="4406" t="s">
        <v>239</v>
      </c>
      <c r="H124" s="4390" t="s">
        <v>240</v>
      </c>
      <c r="I124" s="4390" t="s">
        <v>257</v>
      </c>
      <c r="J124" s="4377" t="s">
        <v>5610</v>
      </c>
      <c r="K124" s="4431" t="s">
        <v>1302</v>
      </c>
      <c r="L124" s="4431" t="s">
        <v>1303</v>
      </c>
      <c r="M124" s="4392">
        <v>80</v>
      </c>
      <c r="N124" s="4392">
        <v>120</v>
      </c>
      <c r="O124" s="4392">
        <v>200</v>
      </c>
      <c r="P124" s="4377" t="s">
        <v>5669</v>
      </c>
      <c r="Q124" s="4391" t="s">
        <v>5718</v>
      </c>
      <c r="R124" s="5179" t="s">
        <v>1304</v>
      </c>
      <c r="S124" s="3865"/>
      <c r="T124" s="2466"/>
      <c r="U124" s="2496"/>
      <c r="V124" s="3658"/>
      <c r="W124" s="2468"/>
      <c r="X124" s="3163"/>
      <c r="Y124" s="2470"/>
      <c r="Z124" s="3252"/>
      <c r="AA124" s="3252"/>
      <c r="AB124" s="3329"/>
      <c r="AC124" s="3163"/>
      <c r="AD124" s="3166"/>
      <c r="AE124" s="3166"/>
      <c r="AF124" s="5208"/>
    </row>
    <row r="125" spans="1:32" ht="31.5" customHeight="1">
      <c r="A125" s="4564"/>
      <c r="B125" s="4408"/>
      <c r="C125" s="4404"/>
      <c r="D125" s="4378"/>
      <c r="E125" s="4378"/>
      <c r="F125" s="4378"/>
      <c r="G125" s="4378"/>
      <c r="H125" s="4378"/>
      <c r="I125" s="4378"/>
      <c r="J125" s="4378"/>
      <c r="K125" s="4378"/>
      <c r="L125" s="4378"/>
      <c r="M125" s="4393"/>
      <c r="N125" s="4393"/>
      <c r="O125" s="4393"/>
      <c r="P125" s="4378"/>
      <c r="Q125" s="4378"/>
      <c r="R125" s="5180"/>
      <c r="S125" s="2574"/>
      <c r="T125" s="1850"/>
      <c r="U125" s="1848"/>
      <c r="V125" s="2432"/>
      <c r="W125" s="2433"/>
      <c r="X125" s="1825"/>
      <c r="Y125" s="2435"/>
      <c r="Z125" s="1870"/>
      <c r="AA125" s="1870"/>
      <c r="AB125" s="1871"/>
      <c r="AC125" s="1825"/>
      <c r="AD125" s="1826"/>
      <c r="AE125" s="1826"/>
      <c r="AF125" s="4521"/>
    </row>
    <row r="126" spans="1:32" ht="31.5" customHeight="1">
      <c r="A126" s="4564"/>
      <c r="B126" s="4408"/>
      <c r="C126" s="4404"/>
      <c r="D126" s="4378"/>
      <c r="E126" s="4378"/>
      <c r="F126" s="4378"/>
      <c r="G126" s="4378"/>
      <c r="H126" s="4378"/>
      <c r="I126" s="4378"/>
      <c r="J126" s="4378"/>
      <c r="K126" s="4378"/>
      <c r="L126" s="4378"/>
      <c r="M126" s="4393"/>
      <c r="N126" s="4393"/>
      <c r="O126" s="4393"/>
      <c r="P126" s="4378"/>
      <c r="Q126" s="4378"/>
      <c r="R126" s="5180"/>
      <c r="S126" s="2574"/>
      <c r="T126" s="1850"/>
      <c r="U126" s="1848"/>
      <c r="V126" s="2432"/>
      <c r="W126" s="2433"/>
      <c r="X126" s="1825"/>
      <c r="Y126" s="2435"/>
      <c r="Z126" s="1870"/>
      <c r="AA126" s="1870"/>
      <c r="AB126" s="1871"/>
      <c r="AC126" s="1825"/>
      <c r="AD126" s="1826"/>
      <c r="AE126" s="1826"/>
      <c r="AF126" s="4521"/>
    </row>
    <row r="127" spans="1:32" ht="31.5" customHeight="1">
      <c r="A127" s="4564"/>
      <c r="B127" s="4408"/>
      <c r="C127" s="4404"/>
      <c r="D127" s="4378"/>
      <c r="E127" s="4378"/>
      <c r="F127" s="4378"/>
      <c r="G127" s="4378"/>
      <c r="H127" s="4378"/>
      <c r="I127" s="4378"/>
      <c r="J127" s="4378"/>
      <c r="K127" s="4378"/>
      <c r="L127" s="4378"/>
      <c r="M127" s="4393"/>
      <c r="N127" s="4393"/>
      <c r="O127" s="4393"/>
      <c r="P127" s="4378"/>
      <c r="Q127" s="4378"/>
      <c r="R127" s="5180"/>
      <c r="S127" s="2574"/>
      <c r="T127" s="1850"/>
      <c r="U127" s="1848"/>
      <c r="V127" s="2432"/>
      <c r="W127" s="2433"/>
      <c r="X127" s="1825"/>
      <c r="Y127" s="2435"/>
      <c r="Z127" s="1870"/>
      <c r="AA127" s="1870"/>
      <c r="AB127" s="1871"/>
      <c r="AC127" s="1825"/>
      <c r="AD127" s="1826"/>
      <c r="AE127" s="1826"/>
      <c r="AF127" s="4521"/>
    </row>
    <row r="128" spans="1:32" ht="31.5" customHeight="1">
      <c r="A128" s="4564"/>
      <c r="B128" s="4408"/>
      <c r="C128" s="4416"/>
      <c r="D128" s="4411"/>
      <c r="E128" s="4411"/>
      <c r="F128" s="4411"/>
      <c r="G128" s="4411"/>
      <c r="H128" s="4411"/>
      <c r="I128" s="4411"/>
      <c r="J128" s="4411"/>
      <c r="K128" s="4411"/>
      <c r="L128" s="4411"/>
      <c r="M128" s="4420"/>
      <c r="N128" s="4420"/>
      <c r="O128" s="4420"/>
      <c r="P128" s="4411"/>
      <c r="Q128" s="4411"/>
      <c r="R128" s="5181"/>
      <c r="S128" s="3866"/>
      <c r="T128" s="3827"/>
      <c r="U128" s="2481"/>
      <c r="V128" s="2482"/>
      <c r="W128" s="2483"/>
      <c r="X128" s="3150"/>
      <c r="Y128" s="2485"/>
      <c r="Z128" s="2485"/>
      <c r="AA128" s="2485"/>
      <c r="AB128" s="2486"/>
      <c r="AC128" s="3150"/>
      <c r="AD128" s="3153"/>
      <c r="AE128" s="3153"/>
      <c r="AF128" s="4522"/>
    </row>
    <row r="129" spans="1:32" ht="30" customHeight="1">
      <c r="A129" s="4564"/>
      <c r="B129" s="4408"/>
      <c r="C129" s="4412" t="s">
        <v>235</v>
      </c>
      <c r="D129" s="4400" t="s">
        <v>236</v>
      </c>
      <c r="E129" s="4400" t="s">
        <v>237</v>
      </c>
      <c r="F129" s="4400" t="s">
        <v>326</v>
      </c>
      <c r="G129" s="4414" t="s">
        <v>239</v>
      </c>
      <c r="H129" s="4400" t="s">
        <v>240</v>
      </c>
      <c r="I129" s="4400" t="s">
        <v>257</v>
      </c>
      <c r="J129" s="4395" t="s">
        <v>5611</v>
      </c>
      <c r="K129" s="4400" t="s">
        <v>1305</v>
      </c>
      <c r="L129" s="4418" t="s">
        <v>1306</v>
      </c>
      <c r="M129" s="4401">
        <v>8</v>
      </c>
      <c r="N129" s="4401">
        <v>8</v>
      </c>
      <c r="O129" s="4401">
        <v>8</v>
      </c>
      <c r="P129" s="4395" t="s">
        <v>5670</v>
      </c>
      <c r="Q129" s="4399" t="s">
        <v>5719</v>
      </c>
      <c r="R129" s="5183" t="s">
        <v>1307</v>
      </c>
      <c r="S129" s="2573"/>
      <c r="T129" s="2474"/>
      <c r="U129" s="2488"/>
      <c r="V129" s="3657"/>
      <c r="W129" s="3660"/>
      <c r="X129" s="3144"/>
      <c r="Y129" s="2478"/>
      <c r="Z129" s="3228"/>
      <c r="AA129" s="3228"/>
      <c r="AB129" s="3330"/>
      <c r="AC129" s="3144"/>
      <c r="AD129" s="3147"/>
      <c r="AE129" s="3147"/>
      <c r="AF129" s="5205"/>
    </row>
    <row r="130" spans="1:32" ht="30" customHeight="1">
      <c r="A130" s="4564"/>
      <c r="B130" s="4408"/>
      <c r="C130" s="4404"/>
      <c r="D130" s="4378"/>
      <c r="E130" s="4378"/>
      <c r="F130" s="4378"/>
      <c r="G130" s="4378"/>
      <c r="H130" s="4378"/>
      <c r="I130" s="4378"/>
      <c r="J130" s="4378"/>
      <c r="K130" s="4378"/>
      <c r="L130" s="4378"/>
      <c r="M130" s="4393"/>
      <c r="N130" s="4393"/>
      <c r="O130" s="4393"/>
      <c r="P130" s="4378"/>
      <c r="Q130" s="4378"/>
      <c r="R130" s="5180"/>
      <c r="S130" s="2574"/>
      <c r="T130" s="1850"/>
      <c r="U130" s="1848"/>
      <c r="V130" s="2432"/>
      <c r="W130" s="2433"/>
      <c r="X130" s="1825"/>
      <c r="Y130" s="2435"/>
      <c r="Z130" s="1870"/>
      <c r="AA130" s="1870"/>
      <c r="AB130" s="1871"/>
      <c r="AC130" s="1825"/>
      <c r="AD130" s="1826"/>
      <c r="AE130" s="1826"/>
      <c r="AF130" s="4521"/>
    </row>
    <row r="131" spans="1:32" ht="30" customHeight="1">
      <c r="A131" s="4564"/>
      <c r="B131" s="4408"/>
      <c r="C131" s="4404"/>
      <c r="D131" s="4378"/>
      <c r="E131" s="4378"/>
      <c r="F131" s="4378"/>
      <c r="G131" s="4378"/>
      <c r="H131" s="4378"/>
      <c r="I131" s="4378"/>
      <c r="J131" s="4378"/>
      <c r="K131" s="4378"/>
      <c r="L131" s="4378"/>
      <c r="M131" s="4393"/>
      <c r="N131" s="4393"/>
      <c r="O131" s="4393"/>
      <c r="P131" s="4378"/>
      <c r="Q131" s="4378"/>
      <c r="R131" s="5180"/>
      <c r="S131" s="2574"/>
      <c r="T131" s="1850"/>
      <c r="U131" s="1848"/>
      <c r="V131" s="2432"/>
      <c r="W131" s="2433"/>
      <c r="X131" s="1825"/>
      <c r="Y131" s="2435"/>
      <c r="Z131" s="1870"/>
      <c r="AA131" s="1870"/>
      <c r="AB131" s="1871"/>
      <c r="AC131" s="1825"/>
      <c r="AD131" s="1826"/>
      <c r="AE131" s="1826"/>
      <c r="AF131" s="4521"/>
    </row>
    <row r="132" spans="1:32" ht="30" customHeight="1">
      <c r="A132" s="4564"/>
      <c r="B132" s="4408"/>
      <c r="C132" s="4404"/>
      <c r="D132" s="4378"/>
      <c r="E132" s="4378"/>
      <c r="F132" s="4378"/>
      <c r="G132" s="4378"/>
      <c r="H132" s="4378"/>
      <c r="I132" s="4378"/>
      <c r="J132" s="4378"/>
      <c r="K132" s="4378"/>
      <c r="L132" s="4378"/>
      <c r="M132" s="4393"/>
      <c r="N132" s="4393"/>
      <c r="O132" s="4393"/>
      <c r="P132" s="4378"/>
      <c r="Q132" s="4378"/>
      <c r="R132" s="5180"/>
      <c r="S132" s="2574"/>
      <c r="T132" s="1850"/>
      <c r="U132" s="1848"/>
      <c r="V132" s="2432"/>
      <c r="W132" s="2433"/>
      <c r="X132" s="1825"/>
      <c r="Y132" s="2435"/>
      <c r="Z132" s="1870"/>
      <c r="AA132" s="1870"/>
      <c r="AB132" s="1871"/>
      <c r="AC132" s="1825"/>
      <c r="AD132" s="1826"/>
      <c r="AE132" s="1826"/>
      <c r="AF132" s="4521"/>
    </row>
    <row r="133" spans="1:32" ht="30" customHeight="1">
      <c r="A133" s="4564"/>
      <c r="B133" s="4408"/>
      <c r="C133" s="4413"/>
      <c r="D133" s="4396"/>
      <c r="E133" s="4396"/>
      <c r="F133" s="4396"/>
      <c r="G133" s="4396"/>
      <c r="H133" s="4396"/>
      <c r="I133" s="4396"/>
      <c r="J133" s="4396"/>
      <c r="K133" s="4396"/>
      <c r="L133" s="4396"/>
      <c r="M133" s="4402"/>
      <c r="N133" s="4402"/>
      <c r="O133" s="4402"/>
      <c r="P133" s="4396"/>
      <c r="Q133" s="4396"/>
      <c r="R133" s="5194"/>
      <c r="S133" s="3867"/>
      <c r="T133" s="2458"/>
      <c r="U133" s="2495"/>
      <c r="V133" s="2459"/>
      <c r="W133" s="2460"/>
      <c r="X133" s="3155"/>
      <c r="Y133" s="2462"/>
      <c r="Z133" s="2462"/>
      <c r="AA133" s="2462"/>
      <c r="AB133" s="2463"/>
      <c r="AC133" s="3155"/>
      <c r="AD133" s="3161"/>
      <c r="AE133" s="3161"/>
      <c r="AF133" s="4530"/>
    </row>
    <row r="134" spans="1:32" ht="30" customHeight="1">
      <c r="A134" s="4564"/>
      <c r="B134" s="4408"/>
      <c r="C134" s="4403" t="s">
        <v>235</v>
      </c>
      <c r="D134" s="4390" t="s">
        <v>236</v>
      </c>
      <c r="E134" s="4390" t="s">
        <v>237</v>
      </c>
      <c r="F134" s="4390" t="s">
        <v>326</v>
      </c>
      <c r="G134" s="4406" t="s">
        <v>239</v>
      </c>
      <c r="H134" s="4390" t="s">
        <v>240</v>
      </c>
      <c r="I134" s="4390" t="s">
        <v>257</v>
      </c>
      <c r="J134" s="4377" t="s">
        <v>5612</v>
      </c>
      <c r="K134" s="4390" t="s">
        <v>338</v>
      </c>
      <c r="L134" s="4431" t="s">
        <v>1308</v>
      </c>
      <c r="M134" s="4392">
        <v>0</v>
      </c>
      <c r="N134" s="4392">
        <v>1</v>
      </c>
      <c r="O134" s="4392">
        <v>1</v>
      </c>
      <c r="P134" s="4391" t="s">
        <v>5671</v>
      </c>
      <c r="Q134" s="4391" t="s">
        <v>5720</v>
      </c>
      <c r="R134" s="5179" t="s">
        <v>1295</v>
      </c>
      <c r="S134" s="3865"/>
      <c r="T134" s="2466"/>
      <c r="U134" s="2496"/>
      <c r="V134" s="3658"/>
      <c r="W134" s="2468"/>
      <c r="X134" s="3163"/>
      <c r="Y134" s="2470"/>
      <c r="Z134" s="3252"/>
      <c r="AA134" s="3252"/>
      <c r="AB134" s="3329"/>
      <c r="AC134" s="3163"/>
      <c r="AD134" s="3166"/>
      <c r="AE134" s="3166"/>
      <c r="AF134" s="5208"/>
    </row>
    <row r="135" spans="1:32" ht="30" customHeight="1">
      <c r="A135" s="4564"/>
      <c r="B135" s="4408"/>
      <c r="C135" s="4404"/>
      <c r="D135" s="4378"/>
      <c r="E135" s="4378"/>
      <c r="F135" s="4378"/>
      <c r="G135" s="4378"/>
      <c r="H135" s="4378"/>
      <c r="I135" s="4378"/>
      <c r="J135" s="4378"/>
      <c r="K135" s="4378"/>
      <c r="L135" s="4378"/>
      <c r="M135" s="4393"/>
      <c r="N135" s="4393"/>
      <c r="O135" s="4393"/>
      <c r="P135" s="4378"/>
      <c r="Q135" s="4378"/>
      <c r="R135" s="5180"/>
      <c r="S135" s="2574"/>
      <c r="T135" s="1850"/>
      <c r="U135" s="1848"/>
      <c r="V135" s="2432"/>
      <c r="W135" s="2433"/>
      <c r="X135" s="1825"/>
      <c r="Y135" s="2435"/>
      <c r="Z135" s="1870"/>
      <c r="AA135" s="1870"/>
      <c r="AB135" s="1871"/>
      <c r="AC135" s="1825"/>
      <c r="AD135" s="1826"/>
      <c r="AE135" s="1826"/>
      <c r="AF135" s="4521"/>
    </row>
    <row r="136" spans="1:32" ht="30" customHeight="1">
      <c r="A136" s="4564"/>
      <c r="B136" s="4408"/>
      <c r="C136" s="4404"/>
      <c r="D136" s="4378"/>
      <c r="E136" s="4378"/>
      <c r="F136" s="4378"/>
      <c r="G136" s="4378"/>
      <c r="H136" s="4378"/>
      <c r="I136" s="4378"/>
      <c r="J136" s="4378"/>
      <c r="K136" s="4378"/>
      <c r="L136" s="4378"/>
      <c r="M136" s="4393"/>
      <c r="N136" s="4393"/>
      <c r="O136" s="4393"/>
      <c r="P136" s="4378"/>
      <c r="Q136" s="4378"/>
      <c r="R136" s="5180"/>
      <c r="S136" s="2574"/>
      <c r="T136" s="1850"/>
      <c r="U136" s="1848"/>
      <c r="V136" s="2432"/>
      <c r="W136" s="2433"/>
      <c r="X136" s="1825"/>
      <c r="Y136" s="2435"/>
      <c r="Z136" s="1870"/>
      <c r="AA136" s="1870"/>
      <c r="AB136" s="1871"/>
      <c r="AC136" s="1825"/>
      <c r="AD136" s="1826"/>
      <c r="AE136" s="1826"/>
      <c r="AF136" s="4521"/>
    </row>
    <row r="137" spans="1:32" ht="30" customHeight="1">
      <c r="A137" s="4564"/>
      <c r="B137" s="4408"/>
      <c r="C137" s="4404"/>
      <c r="D137" s="4378"/>
      <c r="E137" s="4378"/>
      <c r="F137" s="4378"/>
      <c r="G137" s="4378"/>
      <c r="H137" s="4378"/>
      <c r="I137" s="4378"/>
      <c r="J137" s="4378"/>
      <c r="K137" s="4378"/>
      <c r="L137" s="4378"/>
      <c r="M137" s="4393"/>
      <c r="N137" s="4393"/>
      <c r="O137" s="4393"/>
      <c r="P137" s="4378"/>
      <c r="Q137" s="4378"/>
      <c r="R137" s="5180"/>
      <c r="S137" s="2574"/>
      <c r="T137" s="1850"/>
      <c r="U137" s="1848"/>
      <c r="V137" s="2432"/>
      <c r="W137" s="2433"/>
      <c r="X137" s="1825"/>
      <c r="Y137" s="2435"/>
      <c r="Z137" s="1870"/>
      <c r="AA137" s="1870"/>
      <c r="AB137" s="1871"/>
      <c r="AC137" s="1825"/>
      <c r="AD137" s="1826"/>
      <c r="AE137" s="1826"/>
      <c r="AF137" s="4521"/>
    </row>
    <row r="138" spans="1:32" ht="30" customHeight="1">
      <c r="A138" s="4564"/>
      <c r="B138" s="4408"/>
      <c r="C138" s="4416"/>
      <c r="D138" s="4411"/>
      <c r="E138" s="4411"/>
      <c r="F138" s="4411"/>
      <c r="G138" s="4411"/>
      <c r="H138" s="4411"/>
      <c r="I138" s="4411"/>
      <c r="J138" s="4411"/>
      <c r="K138" s="4411"/>
      <c r="L138" s="4411"/>
      <c r="M138" s="4420"/>
      <c r="N138" s="4420"/>
      <c r="O138" s="4420"/>
      <c r="P138" s="4411"/>
      <c r="Q138" s="4411"/>
      <c r="R138" s="5181"/>
      <c r="S138" s="3866"/>
      <c r="T138" s="3827"/>
      <c r="U138" s="2481"/>
      <c r="V138" s="2482"/>
      <c r="W138" s="2483"/>
      <c r="X138" s="3150"/>
      <c r="Y138" s="2485"/>
      <c r="Z138" s="2485"/>
      <c r="AA138" s="2485"/>
      <c r="AB138" s="2486"/>
      <c r="AC138" s="3150"/>
      <c r="AD138" s="3153"/>
      <c r="AE138" s="3153"/>
      <c r="AF138" s="4522"/>
    </row>
    <row r="139" spans="1:32" ht="30.75" customHeight="1">
      <c r="A139" s="4564"/>
      <c r="B139" s="4408"/>
      <c r="C139" s="4412" t="s">
        <v>235</v>
      </c>
      <c r="D139" s="4400" t="s">
        <v>236</v>
      </c>
      <c r="E139" s="4400" t="s">
        <v>237</v>
      </c>
      <c r="F139" s="4400" t="s">
        <v>326</v>
      </c>
      <c r="G139" s="4414" t="s">
        <v>239</v>
      </c>
      <c r="H139" s="4400" t="s">
        <v>240</v>
      </c>
      <c r="I139" s="4400" t="s">
        <v>257</v>
      </c>
      <c r="J139" s="4395" t="s">
        <v>5613</v>
      </c>
      <c r="K139" s="4400" t="s">
        <v>371</v>
      </c>
      <c r="L139" s="4399" t="s">
        <v>5746</v>
      </c>
      <c r="M139" s="4401">
        <v>0</v>
      </c>
      <c r="N139" s="4401">
        <v>10</v>
      </c>
      <c r="O139" s="4401">
        <v>20</v>
      </c>
      <c r="P139" s="4395" t="s">
        <v>5672</v>
      </c>
      <c r="Q139" s="4399" t="s">
        <v>5721</v>
      </c>
      <c r="R139" s="5183" t="s">
        <v>1309</v>
      </c>
      <c r="S139" s="2573"/>
      <c r="T139" s="2474"/>
      <c r="U139" s="2488"/>
      <c r="V139" s="3657"/>
      <c r="W139" s="3660"/>
      <c r="X139" s="3144"/>
      <c r="Y139" s="2478"/>
      <c r="Z139" s="3228"/>
      <c r="AA139" s="3228"/>
      <c r="AB139" s="3330"/>
      <c r="AC139" s="3144"/>
      <c r="AD139" s="3147"/>
      <c r="AE139" s="3147"/>
      <c r="AF139" s="5205"/>
    </row>
    <row r="140" spans="1:32" ht="30.75" customHeight="1">
      <c r="A140" s="4564"/>
      <c r="B140" s="4408"/>
      <c r="C140" s="4404"/>
      <c r="D140" s="4378"/>
      <c r="E140" s="4378"/>
      <c r="F140" s="4378"/>
      <c r="G140" s="4378"/>
      <c r="H140" s="4378"/>
      <c r="I140" s="4378"/>
      <c r="J140" s="4378"/>
      <c r="K140" s="4378"/>
      <c r="L140" s="4378"/>
      <c r="M140" s="4393"/>
      <c r="N140" s="4393"/>
      <c r="O140" s="4393"/>
      <c r="P140" s="4378"/>
      <c r="Q140" s="4378"/>
      <c r="R140" s="5180"/>
      <c r="S140" s="2574"/>
      <c r="T140" s="1850"/>
      <c r="U140" s="1848"/>
      <c r="V140" s="2432"/>
      <c r="W140" s="2433"/>
      <c r="X140" s="1825"/>
      <c r="Y140" s="2435"/>
      <c r="Z140" s="1870"/>
      <c r="AA140" s="1870"/>
      <c r="AB140" s="1871"/>
      <c r="AC140" s="1825"/>
      <c r="AD140" s="1826"/>
      <c r="AE140" s="1826"/>
      <c r="AF140" s="4521"/>
    </row>
    <row r="141" spans="1:32" ht="30.75" customHeight="1">
      <c r="A141" s="4564"/>
      <c r="B141" s="4408"/>
      <c r="C141" s="4404"/>
      <c r="D141" s="4378"/>
      <c r="E141" s="4378"/>
      <c r="F141" s="4378"/>
      <c r="G141" s="4378"/>
      <c r="H141" s="4378"/>
      <c r="I141" s="4378"/>
      <c r="J141" s="4378"/>
      <c r="K141" s="4378"/>
      <c r="L141" s="4378"/>
      <c r="M141" s="4393"/>
      <c r="N141" s="4393"/>
      <c r="O141" s="4393"/>
      <c r="P141" s="4378"/>
      <c r="Q141" s="4378"/>
      <c r="R141" s="5180"/>
      <c r="S141" s="2574"/>
      <c r="T141" s="1850"/>
      <c r="U141" s="1848"/>
      <c r="V141" s="2432"/>
      <c r="W141" s="2433"/>
      <c r="X141" s="1825"/>
      <c r="Y141" s="2435"/>
      <c r="Z141" s="1870"/>
      <c r="AA141" s="1870"/>
      <c r="AB141" s="1871"/>
      <c r="AC141" s="1825"/>
      <c r="AD141" s="1826"/>
      <c r="AE141" s="1826"/>
      <c r="AF141" s="4521"/>
    </row>
    <row r="142" spans="1:32" ht="30.75" customHeight="1">
      <c r="A142" s="4564"/>
      <c r="B142" s="4408"/>
      <c r="C142" s="4404"/>
      <c r="D142" s="4378"/>
      <c r="E142" s="4378"/>
      <c r="F142" s="4378"/>
      <c r="G142" s="4378"/>
      <c r="H142" s="4378"/>
      <c r="I142" s="4378"/>
      <c r="J142" s="4378"/>
      <c r="K142" s="4378"/>
      <c r="L142" s="4378"/>
      <c r="M142" s="4393"/>
      <c r="N142" s="4393"/>
      <c r="O142" s="4393"/>
      <c r="P142" s="4378"/>
      <c r="Q142" s="4378"/>
      <c r="R142" s="5180"/>
      <c r="S142" s="2574"/>
      <c r="T142" s="1850"/>
      <c r="U142" s="1848"/>
      <c r="V142" s="2432"/>
      <c r="W142" s="2433"/>
      <c r="X142" s="1825"/>
      <c r="Y142" s="2435"/>
      <c r="Z142" s="1870"/>
      <c r="AA142" s="1870"/>
      <c r="AB142" s="1871"/>
      <c r="AC142" s="1825"/>
      <c r="AD142" s="1826"/>
      <c r="AE142" s="1826"/>
      <c r="AF142" s="4521"/>
    </row>
    <row r="143" spans="1:32" ht="30.75" customHeight="1" thickBot="1">
      <c r="A143" s="4564"/>
      <c r="B143" s="4408"/>
      <c r="C143" s="4405"/>
      <c r="D143" s="4379"/>
      <c r="E143" s="4379"/>
      <c r="F143" s="4379"/>
      <c r="G143" s="4379"/>
      <c r="H143" s="4379"/>
      <c r="I143" s="4379"/>
      <c r="J143" s="4379"/>
      <c r="K143" s="4379"/>
      <c r="L143" s="4379"/>
      <c r="M143" s="4394"/>
      <c r="N143" s="4394"/>
      <c r="O143" s="4394"/>
      <c r="P143" s="4379"/>
      <c r="Q143" s="4379"/>
      <c r="R143" s="5201"/>
      <c r="S143" s="2583"/>
      <c r="T143" s="3807"/>
      <c r="U143" s="2451"/>
      <c r="V143" s="2452"/>
      <c r="W143" s="2453"/>
      <c r="X143" s="3808"/>
      <c r="Y143" s="2455"/>
      <c r="Z143" s="2455"/>
      <c r="AA143" s="2455"/>
      <c r="AB143" s="2456"/>
      <c r="AC143" s="3808"/>
      <c r="AD143" s="3809"/>
      <c r="AE143" s="3809"/>
      <c r="AF143" s="4536"/>
    </row>
    <row r="144" spans="1:32" ht="22.5" customHeight="1" thickBot="1">
      <c r="A144" s="4564"/>
      <c r="B144" s="4479"/>
      <c r="C144" s="3781"/>
      <c r="D144" s="3780"/>
      <c r="E144" s="3780"/>
      <c r="F144" s="3780"/>
      <c r="G144" s="3780"/>
      <c r="H144" s="3780"/>
      <c r="I144" s="3780"/>
      <c r="J144" s="3780"/>
      <c r="K144" s="3780"/>
      <c r="L144" s="3780"/>
      <c r="M144" s="3653"/>
      <c r="N144" s="3653"/>
      <c r="O144" s="3653"/>
      <c r="P144" s="3780"/>
      <c r="Q144" s="3780"/>
      <c r="R144" s="3850"/>
      <c r="S144" s="5195" t="s">
        <v>1310</v>
      </c>
      <c r="T144" s="5196"/>
      <c r="U144" s="5196"/>
      <c r="V144" s="5196"/>
      <c r="W144" s="5196"/>
      <c r="X144" s="5196"/>
      <c r="Y144" s="5196"/>
      <c r="Z144" s="5206"/>
      <c r="AA144" s="3783" t="s">
        <v>340</v>
      </c>
      <c r="AB144" s="3784">
        <f>SUM(AB86:AB143)</f>
        <v>1086.6486400000001</v>
      </c>
      <c r="AC144" s="5207"/>
      <c r="AD144" s="5111"/>
      <c r="AE144" s="5111"/>
      <c r="AF144" s="4717"/>
    </row>
    <row r="145" spans="1:32" ht="87.75" customHeight="1">
      <c r="A145" s="4564"/>
      <c r="B145" s="4571" t="s">
        <v>1311</v>
      </c>
      <c r="C145" s="5212" t="s">
        <v>235</v>
      </c>
      <c r="D145" s="4916" t="s">
        <v>236</v>
      </c>
      <c r="E145" s="4916" t="s">
        <v>237</v>
      </c>
      <c r="F145" s="4916" t="s">
        <v>238</v>
      </c>
      <c r="G145" s="5182" t="s">
        <v>239</v>
      </c>
      <c r="H145" s="4916" t="s">
        <v>240</v>
      </c>
      <c r="I145" s="4916" t="s">
        <v>257</v>
      </c>
      <c r="J145" s="4931" t="s">
        <v>5614</v>
      </c>
      <c r="K145" s="5214" t="s">
        <v>1312</v>
      </c>
      <c r="L145" s="4916" t="s">
        <v>1313</v>
      </c>
      <c r="M145" s="5215">
        <v>2000</v>
      </c>
      <c r="N145" s="5215">
        <v>3000</v>
      </c>
      <c r="O145" s="5215">
        <v>2600</v>
      </c>
      <c r="P145" s="4931" t="s">
        <v>5673</v>
      </c>
      <c r="Q145" s="4931" t="s">
        <v>5722</v>
      </c>
      <c r="R145" s="5203" t="s">
        <v>1314</v>
      </c>
      <c r="S145" s="3861"/>
      <c r="T145" s="3785"/>
      <c r="U145" s="3876"/>
      <c r="V145" s="3666"/>
      <c r="W145" s="3665"/>
      <c r="X145" s="3667"/>
      <c r="Y145" s="3668"/>
      <c r="Z145" s="3668"/>
      <c r="AA145" s="3668"/>
      <c r="AB145" s="3786"/>
      <c r="AC145" s="3667"/>
      <c r="AD145" s="3788"/>
      <c r="AE145" s="3788"/>
      <c r="AF145" s="5210"/>
    </row>
    <row r="146" spans="1:32" ht="87.75" customHeight="1">
      <c r="A146" s="4564"/>
      <c r="B146" s="4408"/>
      <c r="C146" s="4404"/>
      <c r="D146" s="4378"/>
      <c r="E146" s="4378"/>
      <c r="F146" s="4378"/>
      <c r="G146" s="4378"/>
      <c r="H146" s="4378"/>
      <c r="I146" s="4378"/>
      <c r="J146" s="4378"/>
      <c r="K146" s="4378"/>
      <c r="L146" s="4378"/>
      <c r="M146" s="4894"/>
      <c r="N146" s="4894"/>
      <c r="O146" s="4894"/>
      <c r="P146" s="4378"/>
      <c r="Q146" s="4378"/>
      <c r="R146" s="5180"/>
      <c r="S146" s="3303"/>
      <c r="T146" s="1891"/>
      <c r="U146" s="1849"/>
      <c r="V146" s="1883"/>
      <c r="W146" s="1864"/>
      <c r="X146" s="1824"/>
      <c r="Y146" s="1870"/>
      <c r="Z146" s="1870"/>
      <c r="AA146" s="1870"/>
      <c r="AB146" s="1871"/>
      <c r="AC146" s="1824"/>
      <c r="AD146" s="3200"/>
      <c r="AE146" s="3200"/>
      <c r="AF146" s="4521"/>
    </row>
    <row r="147" spans="1:32" ht="87.75" customHeight="1">
      <c r="A147" s="4564"/>
      <c r="B147" s="4408"/>
      <c r="C147" s="4404"/>
      <c r="D147" s="4378"/>
      <c r="E147" s="4378"/>
      <c r="F147" s="4378"/>
      <c r="G147" s="4378"/>
      <c r="H147" s="4378"/>
      <c r="I147" s="4378"/>
      <c r="J147" s="4378"/>
      <c r="K147" s="4378"/>
      <c r="L147" s="4378"/>
      <c r="M147" s="4894"/>
      <c r="N147" s="4894"/>
      <c r="O147" s="4894"/>
      <c r="P147" s="4378"/>
      <c r="Q147" s="4378"/>
      <c r="R147" s="5180"/>
      <c r="S147" s="3857"/>
      <c r="T147" s="1891"/>
      <c r="U147" s="1849"/>
      <c r="V147" s="3789"/>
      <c r="W147" s="1864"/>
      <c r="X147" s="1824"/>
      <c r="Y147" s="1870"/>
      <c r="Z147" s="1870"/>
      <c r="AA147" s="1870"/>
      <c r="AB147" s="1871"/>
      <c r="AC147" s="1824"/>
      <c r="AD147" s="3200"/>
      <c r="AE147" s="3200"/>
      <c r="AF147" s="4521"/>
    </row>
    <row r="148" spans="1:32" ht="87.75" customHeight="1">
      <c r="A148" s="4564"/>
      <c r="B148" s="4408"/>
      <c r="C148" s="4404"/>
      <c r="D148" s="4378"/>
      <c r="E148" s="4378"/>
      <c r="F148" s="4378"/>
      <c r="G148" s="4378"/>
      <c r="H148" s="4378"/>
      <c r="I148" s="4378"/>
      <c r="J148" s="4378"/>
      <c r="K148" s="4378"/>
      <c r="L148" s="4378"/>
      <c r="M148" s="4894"/>
      <c r="N148" s="4894"/>
      <c r="O148" s="4894"/>
      <c r="P148" s="4378"/>
      <c r="Q148" s="4378"/>
      <c r="R148" s="5180"/>
      <c r="S148" s="3303"/>
      <c r="T148" s="1891"/>
      <c r="U148" s="1849"/>
      <c r="V148" s="1883"/>
      <c r="W148" s="1864"/>
      <c r="X148" s="1824"/>
      <c r="Y148" s="1870"/>
      <c r="Z148" s="1870"/>
      <c r="AA148" s="1870"/>
      <c r="AB148" s="1871"/>
      <c r="AC148" s="1824"/>
      <c r="AD148" s="3200"/>
      <c r="AE148" s="3200"/>
      <c r="AF148" s="4521"/>
    </row>
    <row r="149" spans="1:32" ht="87.75" customHeight="1">
      <c r="A149" s="4564"/>
      <c r="B149" s="4408"/>
      <c r="C149" s="4413"/>
      <c r="D149" s="4396"/>
      <c r="E149" s="4396"/>
      <c r="F149" s="4396"/>
      <c r="G149" s="4396"/>
      <c r="H149" s="4396"/>
      <c r="I149" s="4396"/>
      <c r="J149" s="4396"/>
      <c r="K149" s="4396"/>
      <c r="L149" s="4396"/>
      <c r="M149" s="4895"/>
      <c r="N149" s="4895"/>
      <c r="O149" s="4895"/>
      <c r="P149" s="4396"/>
      <c r="Q149" s="4396"/>
      <c r="R149" s="5194"/>
      <c r="S149" s="3304"/>
      <c r="T149" s="3821"/>
      <c r="U149" s="3271"/>
      <c r="V149" s="3822"/>
      <c r="W149" s="3254"/>
      <c r="X149" s="3246"/>
      <c r="Y149" s="3245"/>
      <c r="Z149" s="3245"/>
      <c r="AA149" s="3245"/>
      <c r="AB149" s="3823"/>
      <c r="AC149" s="3246"/>
      <c r="AD149" s="3256"/>
      <c r="AE149" s="3256"/>
      <c r="AF149" s="4530"/>
    </row>
    <row r="150" spans="1:32" ht="39" customHeight="1">
      <c r="A150" s="4564"/>
      <c r="B150" s="4408"/>
      <c r="C150" s="4403" t="s">
        <v>235</v>
      </c>
      <c r="D150" s="4390" t="s">
        <v>236</v>
      </c>
      <c r="E150" s="4390" t="s">
        <v>237</v>
      </c>
      <c r="F150" s="4390" t="s">
        <v>326</v>
      </c>
      <c r="G150" s="4406" t="s">
        <v>239</v>
      </c>
      <c r="H150" s="4390" t="s">
        <v>240</v>
      </c>
      <c r="I150" s="4390" t="s">
        <v>257</v>
      </c>
      <c r="J150" s="4377" t="s">
        <v>5615</v>
      </c>
      <c r="K150" s="4431" t="s">
        <v>1315</v>
      </c>
      <c r="L150" s="4390" t="s">
        <v>1316</v>
      </c>
      <c r="M150" s="4392">
        <v>20</v>
      </c>
      <c r="N150" s="4392">
        <v>26</v>
      </c>
      <c r="O150" s="4392">
        <v>24</v>
      </c>
      <c r="P150" s="4377" t="s">
        <v>5674</v>
      </c>
      <c r="Q150" s="4377" t="s">
        <v>5723</v>
      </c>
      <c r="R150" s="5179" t="s">
        <v>1317</v>
      </c>
      <c r="S150" s="3869" t="s">
        <v>11</v>
      </c>
      <c r="T150" s="3270">
        <v>531407</v>
      </c>
      <c r="U150" s="3272"/>
      <c r="V150" s="3662" t="s">
        <v>20</v>
      </c>
      <c r="W150" s="3663"/>
      <c r="X150" s="3259"/>
      <c r="Y150" s="3252"/>
      <c r="Z150" s="3252"/>
      <c r="AA150" s="3252"/>
      <c r="AB150" s="3329">
        <f>AA151</f>
        <v>14.502880000000001</v>
      </c>
      <c r="AC150" s="3259"/>
      <c r="AD150" s="3262"/>
      <c r="AE150" s="3262"/>
      <c r="AF150" s="5188"/>
    </row>
    <row r="151" spans="1:32" ht="39" customHeight="1">
      <c r="A151" s="4564"/>
      <c r="B151" s="4408"/>
      <c r="C151" s="4404"/>
      <c r="D151" s="4378"/>
      <c r="E151" s="4378"/>
      <c r="F151" s="4378"/>
      <c r="G151" s="4378"/>
      <c r="H151" s="4378"/>
      <c r="I151" s="4378"/>
      <c r="J151" s="4378"/>
      <c r="K151" s="4378"/>
      <c r="L151" s="4378"/>
      <c r="M151" s="4393"/>
      <c r="N151" s="4393"/>
      <c r="O151" s="4393"/>
      <c r="P151" s="4378"/>
      <c r="Q151" s="4378"/>
      <c r="R151" s="5180"/>
      <c r="S151" s="3303"/>
      <c r="T151" s="1891"/>
      <c r="U151" s="1849">
        <v>452900012</v>
      </c>
      <c r="V151" s="1883" t="s">
        <v>1318</v>
      </c>
      <c r="W151" s="1864">
        <v>1</v>
      </c>
      <c r="X151" s="1824" t="s">
        <v>269</v>
      </c>
      <c r="Y151" s="1870">
        <v>12.949</v>
      </c>
      <c r="Z151" s="1870">
        <f>+W151*Y151</f>
        <v>12.949</v>
      </c>
      <c r="AA151" s="1870">
        <f>+Z151*1.12</f>
        <v>14.502880000000001</v>
      </c>
      <c r="AB151" s="1871"/>
      <c r="AC151" s="1824"/>
      <c r="AD151" s="3200" t="s">
        <v>251</v>
      </c>
      <c r="AE151" s="3200"/>
      <c r="AF151" s="4521"/>
    </row>
    <row r="152" spans="1:32" ht="39" customHeight="1">
      <c r="A152" s="4564"/>
      <c r="B152" s="4408"/>
      <c r="C152" s="4404"/>
      <c r="D152" s="4378"/>
      <c r="E152" s="4378"/>
      <c r="F152" s="4378"/>
      <c r="G152" s="4378"/>
      <c r="H152" s="4378"/>
      <c r="I152" s="4378"/>
      <c r="J152" s="4378"/>
      <c r="K152" s="4378"/>
      <c r="L152" s="4378"/>
      <c r="M152" s="4393"/>
      <c r="N152" s="4393"/>
      <c r="O152" s="4393"/>
      <c r="P152" s="4378"/>
      <c r="Q152" s="4378"/>
      <c r="R152" s="5180"/>
      <c r="S152" s="3303"/>
      <c r="T152" s="1891"/>
      <c r="U152" s="1849"/>
      <c r="V152" s="1883"/>
      <c r="W152" s="1864"/>
      <c r="X152" s="1824"/>
      <c r="Y152" s="1870"/>
      <c r="Z152" s="1870"/>
      <c r="AA152" s="1870"/>
      <c r="AB152" s="1871"/>
      <c r="AC152" s="1824"/>
      <c r="AD152" s="3200"/>
      <c r="AE152" s="3200"/>
      <c r="AF152" s="4521"/>
    </row>
    <row r="153" spans="1:32" ht="39" customHeight="1">
      <c r="A153" s="4564"/>
      <c r="B153" s="4408"/>
      <c r="C153" s="4404"/>
      <c r="D153" s="4378"/>
      <c r="E153" s="4378"/>
      <c r="F153" s="4378"/>
      <c r="G153" s="4378"/>
      <c r="H153" s="4378"/>
      <c r="I153" s="4378"/>
      <c r="J153" s="4378"/>
      <c r="K153" s="4378"/>
      <c r="L153" s="4378"/>
      <c r="M153" s="4393"/>
      <c r="N153" s="4393"/>
      <c r="O153" s="4393"/>
      <c r="P153" s="4378"/>
      <c r="Q153" s="4378"/>
      <c r="R153" s="5180"/>
      <c r="S153" s="3303"/>
      <c r="T153" s="1891"/>
      <c r="U153" s="1849"/>
      <c r="V153" s="1883"/>
      <c r="W153" s="1864"/>
      <c r="X153" s="1824"/>
      <c r="Y153" s="1870"/>
      <c r="Z153" s="1870"/>
      <c r="AA153" s="1870"/>
      <c r="AB153" s="1871"/>
      <c r="AC153" s="1824"/>
      <c r="AD153" s="3200"/>
      <c r="AE153" s="3200"/>
      <c r="AF153" s="4521"/>
    </row>
    <row r="154" spans="1:32" ht="39" customHeight="1">
      <c r="A154" s="4564"/>
      <c r="B154" s="4408"/>
      <c r="C154" s="4416"/>
      <c r="D154" s="4411"/>
      <c r="E154" s="4411"/>
      <c r="F154" s="4411"/>
      <c r="G154" s="4411"/>
      <c r="H154" s="4411"/>
      <c r="I154" s="4411"/>
      <c r="J154" s="4411"/>
      <c r="K154" s="4411"/>
      <c r="L154" s="4411"/>
      <c r="M154" s="4420"/>
      <c r="N154" s="4420"/>
      <c r="O154" s="4420"/>
      <c r="P154" s="4411"/>
      <c r="Q154" s="4411"/>
      <c r="R154" s="5181"/>
      <c r="S154" s="3306"/>
      <c r="T154" s="3819"/>
      <c r="U154" s="3268"/>
      <c r="V154" s="3641"/>
      <c r="W154" s="3233"/>
      <c r="X154" s="3234"/>
      <c r="Y154" s="3236"/>
      <c r="Z154" s="3236"/>
      <c r="AA154" s="3236"/>
      <c r="AB154" s="3820"/>
      <c r="AC154" s="3234"/>
      <c r="AD154" s="3238"/>
      <c r="AE154" s="3238"/>
      <c r="AF154" s="4522"/>
    </row>
    <row r="155" spans="1:32" ht="48" customHeight="1">
      <c r="A155" s="4564"/>
      <c r="B155" s="4408"/>
      <c r="C155" s="4412" t="s">
        <v>235</v>
      </c>
      <c r="D155" s="4400" t="s">
        <v>236</v>
      </c>
      <c r="E155" s="4400" t="s">
        <v>237</v>
      </c>
      <c r="F155" s="4400" t="s">
        <v>238</v>
      </c>
      <c r="G155" s="4414" t="s">
        <v>239</v>
      </c>
      <c r="H155" s="4400" t="s">
        <v>240</v>
      </c>
      <c r="I155" s="4400" t="s">
        <v>257</v>
      </c>
      <c r="J155" s="4395" t="s">
        <v>5616</v>
      </c>
      <c r="K155" s="4418" t="s">
        <v>1319</v>
      </c>
      <c r="L155" s="4400" t="s">
        <v>1320</v>
      </c>
      <c r="M155" s="4401">
        <v>180</v>
      </c>
      <c r="N155" s="4401">
        <v>250</v>
      </c>
      <c r="O155" s="4401">
        <v>200</v>
      </c>
      <c r="P155" s="4395" t="s">
        <v>5675</v>
      </c>
      <c r="Q155" s="4395" t="s">
        <v>5724</v>
      </c>
      <c r="R155" s="5183" t="s">
        <v>1321</v>
      </c>
      <c r="S155" s="3870" t="s">
        <v>11</v>
      </c>
      <c r="T155" s="3071">
        <v>531407</v>
      </c>
      <c r="U155" s="3274"/>
      <c r="V155" s="3661" t="s">
        <v>20</v>
      </c>
      <c r="W155" s="3664"/>
      <c r="X155" s="3187"/>
      <c r="Y155" s="3228"/>
      <c r="Z155" s="3228"/>
      <c r="AA155" s="3228"/>
      <c r="AB155" s="3330">
        <f>AA156</f>
        <v>14.492800000000001</v>
      </c>
      <c r="AC155" s="3187"/>
      <c r="AD155" s="3230"/>
      <c r="AE155" s="3230"/>
      <c r="AF155" s="5187"/>
    </row>
    <row r="156" spans="1:32" ht="48" customHeight="1">
      <c r="A156" s="4564"/>
      <c r="B156" s="4408"/>
      <c r="C156" s="4404"/>
      <c r="D156" s="4378"/>
      <c r="E156" s="4378"/>
      <c r="F156" s="4378"/>
      <c r="G156" s="4378"/>
      <c r="H156" s="4378"/>
      <c r="I156" s="4378"/>
      <c r="J156" s="4378"/>
      <c r="K156" s="4378"/>
      <c r="L156" s="4378"/>
      <c r="M156" s="4393"/>
      <c r="N156" s="4393"/>
      <c r="O156" s="4393"/>
      <c r="P156" s="4378"/>
      <c r="Q156" s="4378"/>
      <c r="R156" s="5180"/>
      <c r="S156" s="3303"/>
      <c r="T156" s="1891"/>
      <c r="U156" s="1849">
        <v>452900012</v>
      </c>
      <c r="V156" s="1883" t="s">
        <v>1318</v>
      </c>
      <c r="W156" s="1864">
        <v>1</v>
      </c>
      <c r="X156" s="1824" t="s">
        <v>269</v>
      </c>
      <c r="Y156" s="1870">
        <v>12.94</v>
      </c>
      <c r="Z156" s="1870">
        <f>+W156*Y156</f>
        <v>12.94</v>
      </c>
      <c r="AA156" s="1870">
        <f>+Z156*1.12</f>
        <v>14.492800000000001</v>
      </c>
      <c r="AB156" s="1871"/>
      <c r="AC156" s="1824"/>
      <c r="AD156" s="3200" t="s">
        <v>251</v>
      </c>
      <c r="AE156" s="3200"/>
      <c r="AF156" s="4521"/>
    </row>
    <row r="157" spans="1:32" ht="48" customHeight="1">
      <c r="A157" s="4564"/>
      <c r="B157" s="4408"/>
      <c r="C157" s="4404"/>
      <c r="D157" s="4378"/>
      <c r="E157" s="4378"/>
      <c r="F157" s="4378"/>
      <c r="G157" s="4378"/>
      <c r="H157" s="4378"/>
      <c r="I157" s="4378"/>
      <c r="J157" s="4378"/>
      <c r="K157" s="4378"/>
      <c r="L157" s="4378"/>
      <c r="M157" s="4393"/>
      <c r="N157" s="4393"/>
      <c r="O157" s="4393"/>
      <c r="P157" s="4378"/>
      <c r="Q157" s="4378"/>
      <c r="R157" s="5180"/>
      <c r="S157" s="3303"/>
      <c r="T157" s="1891"/>
      <c r="U157" s="1849"/>
      <c r="V157" s="1883"/>
      <c r="W157" s="1864"/>
      <c r="X157" s="1824"/>
      <c r="Y157" s="1870"/>
      <c r="Z157" s="1870"/>
      <c r="AA157" s="1870"/>
      <c r="AB157" s="1871"/>
      <c r="AC157" s="1824"/>
      <c r="AD157" s="3200"/>
      <c r="AE157" s="3200"/>
      <c r="AF157" s="4521"/>
    </row>
    <row r="158" spans="1:32" ht="48" customHeight="1">
      <c r="A158" s="4564"/>
      <c r="B158" s="4408"/>
      <c r="C158" s="4404"/>
      <c r="D158" s="4378"/>
      <c r="E158" s="4378"/>
      <c r="F158" s="4378"/>
      <c r="G158" s="4378"/>
      <c r="H158" s="4378"/>
      <c r="I158" s="4378"/>
      <c r="J158" s="4378"/>
      <c r="K158" s="4378"/>
      <c r="L158" s="4378"/>
      <c r="M158" s="4393"/>
      <c r="N158" s="4393"/>
      <c r="O158" s="4393"/>
      <c r="P158" s="4378"/>
      <c r="Q158" s="4378"/>
      <c r="R158" s="5180"/>
      <c r="S158" s="3303"/>
      <c r="T158" s="1891"/>
      <c r="U158" s="1849"/>
      <c r="V158" s="1883"/>
      <c r="W158" s="1864"/>
      <c r="X158" s="1824"/>
      <c r="Y158" s="1870"/>
      <c r="Z158" s="1870"/>
      <c r="AA158" s="1870"/>
      <c r="AB158" s="1871"/>
      <c r="AC158" s="1824"/>
      <c r="AD158" s="3200"/>
      <c r="AE158" s="3200"/>
      <c r="AF158" s="4521"/>
    </row>
    <row r="159" spans="1:32" ht="48" customHeight="1">
      <c r="A159" s="4564"/>
      <c r="B159" s="4408"/>
      <c r="C159" s="4413"/>
      <c r="D159" s="4396"/>
      <c r="E159" s="4396"/>
      <c r="F159" s="4396"/>
      <c r="G159" s="4396"/>
      <c r="H159" s="4396"/>
      <c r="I159" s="4396"/>
      <c r="J159" s="4396"/>
      <c r="K159" s="4396"/>
      <c r="L159" s="4396"/>
      <c r="M159" s="4402"/>
      <c r="N159" s="4402"/>
      <c r="O159" s="4402"/>
      <c r="P159" s="4396"/>
      <c r="Q159" s="4396"/>
      <c r="R159" s="5194"/>
      <c r="S159" s="3304"/>
      <c r="T159" s="3821"/>
      <c r="U159" s="3271"/>
      <c r="V159" s="3822"/>
      <c r="W159" s="3254"/>
      <c r="X159" s="3246"/>
      <c r="Y159" s="3245"/>
      <c r="Z159" s="3245"/>
      <c r="AA159" s="3245"/>
      <c r="AB159" s="3823"/>
      <c r="AC159" s="3246"/>
      <c r="AD159" s="3256"/>
      <c r="AE159" s="3256"/>
      <c r="AF159" s="4530"/>
    </row>
    <row r="160" spans="1:32" ht="31.5" customHeight="1">
      <c r="A160" s="4564"/>
      <c r="B160" s="4408"/>
      <c r="C160" s="4403" t="s">
        <v>235</v>
      </c>
      <c r="D160" s="4390" t="s">
        <v>236</v>
      </c>
      <c r="E160" s="4390" t="s">
        <v>237</v>
      </c>
      <c r="F160" s="4390" t="s">
        <v>326</v>
      </c>
      <c r="G160" s="4406" t="s">
        <v>239</v>
      </c>
      <c r="H160" s="4390" t="s">
        <v>240</v>
      </c>
      <c r="I160" s="4390" t="s">
        <v>294</v>
      </c>
      <c r="J160" s="4377" t="s">
        <v>5617</v>
      </c>
      <c r="K160" s="4431" t="s">
        <v>1322</v>
      </c>
      <c r="L160" s="4390" t="s">
        <v>1323</v>
      </c>
      <c r="M160" s="4392">
        <v>100</v>
      </c>
      <c r="N160" s="4392">
        <v>150</v>
      </c>
      <c r="O160" s="4392">
        <v>100</v>
      </c>
      <c r="P160" s="4377" t="s">
        <v>5676</v>
      </c>
      <c r="Q160" s="4377" t="s">
        <v>5725</v>
      </c>
      <c r="R160" s="5179" t="s">
        <v>1324</v>
      </c>
      <c r="S160" s="3305"/>
      <c r="T160" s="3270"/>
      <c r="U160" s="3272"/>
      <c r="V160" s="3662"/>
      <c r="W160" s="3663"/>
      <c r="X160" s="3259"/>
      <c r="Y160" s="3252"/>
      <c r="Z160" s="3252"/>
      <c r="AA160" s="3252"/>
      <c r="AB160" s="3329"/>
      <c r="AC160" s="3259"/>
      <c r="AD160" s="3262"/>
      <c r="AE160" s="3262"/>
      <c r="AF160" s="5188"/>
    </row>
    <row r="161" spans="1:32" ht="31.5" customHeight="1">
      <c r="A161" s="4564"/>
      <c r="B161" s="4408"/>
      <c r="C161" s="4404"/>
      <c r="D161" s="4378"/>
      <c r="E161" s="4378"/>
      <c r="F161" s="4378"/>
      <c r="G161" s="4378"/>
      <c r="H161" s="4378"/>
      <c r="I161" s="4378"/>
      <c r="J161" s="4378"/>
      <c r="K161" s="4378"/>
      <c r="L161" s="4378"/>
      <c r="M161" s="4393"/>
      <c r="N161" s="4393"/>
      <c r="O161" s="4393"/>
      <c r="P161" s="4378"/>
      <c r="Q161" s="4378"/>
      <c r="R161" s="5180"/>
      <c r="S161" s="3303"/>
      <c r="T161" s="1891"/>
      <c r="U161" s="1849"/>
      <c r="V161" s="1883"/>
      <c r="W161" s="1864"/>
      <c r="X161" s="1824"/>
      <c r="Y161" s="1870"/>
      <c r="Z161" s="1870"/>
      <c r="AA161" s="1870"/>
      <c r="AB161" s="1871"/>
      <c r="AC161" s="1824"/>
      <c r="AD161" s="3200"/>
      <c r="AE161" s="3200"/>
      <c r="AF161" s="4521"/>
    </row>
    <row r="162" spans="1:32" ht="31.5" customHeight="1">
      <c r="A162" s="4564"/>
      <c r="B162" s="4408"/>
      <c r="C162" s="4404"/>
      <c r="D162" s="4378"/>
      <c r="E162" s="4378"/>
      <c r="F162" s="4378"/>
      <c r="G162" s="4378"/>
      <c r="H162" s="4378"/>
      <c r="I162" s="4378"/>
      <c r="J162" s="4378"/>
      <c r="K162" s="4378"/>
      <c r="L162" s="4378"/>
      <c r="M162" s="4393"/>
      <c r="N162" s="4393"/>
      <c r="O162" s="4393"/>
      <c r="P162" s="4378"/>
      <c r="Q162" s="4378"/>
      <c r="R162" s="5180"/>
      <c r="S162" s="3303"/>
      <c r="T162" s="1891"/>
      <c r="U162" s="1849"/>
      <c r="V162" s="1883"/>
      <c r="W162" s="1864"/>
      <c r="X162" s="1824"/>
      <c r="Y162" s="1870"/>
      <c r="Z162" s="1870"/>
      <c r="AA162" s="1870"/>
      <c r="AB162" s="1871"/>
      <c r="AC162" s="1824"/>
      <c r="AD162" s="3200"/>
      <c r="AE162" s="3200"/>
      <c r="AF162" s="4521"/>
    </row>
    <row r="163" spans="1:32" ht="31.5" customHeight="1">
      <c r="A163" s="4564"/>
      <c r="B163" s="4408"/>
      <c r="C163" s="4404"/>
      <c r="D163" s="4378"/>
      <c r="E163" s="4378"/>
      <c r="F163" s="4378"/>
      <c r="G163" s="4378"/>
      <c r="H163" s="4378"/>
      <c r="I163" s="4378"/>
      <c r="J163" s="4378"/>
      <c r="K163" s="4378"/>
      <c r="L163" s="4378"/>
      <c r="M163" s="4393"/>
      <c r="N163" s="4393"/>
      <c r="O163" s="4393"/>
      <c r="P163" s="4378"/>
      <c r="Q163" s="4378"/>
      <c r="R163" s="5180"/>
      <c r="S163" s="3303"/>
      <c r="T163" s="1891"/>
      <c r="U163" s="1849"/>
      <c r="V163" s="1883"/>
      <c r="W163" s="1864"/>
      <c r="X163" s="1824"/>
      <c r="Y163" s="1870"/>
      <c r="Z163" s="1870"/>
      <c r="AA163" s="1870"/>
      <c r="AB163" s="1871"/>
      <c r="AC163" s="1824"/>
      <c r="AD163" s="3200"/>
      <c r="AE163" s="3200"/>
      <c r="AF163" s="4521"/>
    </row>
    <row r="164" spans="1:32" ht="31.5" customHeight="1">
      <c r="A164" s="4564"/>
      <c r="B164" s="4408"/>
      <c r="C164" s="4416"/>
      <c r="D164" s="4411"/>
      <c r="E164" s="4411"/>
      <c r="F164" s="4411"/>
      <c r="G164" s="4411"/>
      <c r="H164" s="4411"/>
      <c r="I164" s="4411"/>
      <c r="J164" s="4411"/>
      <c r="K164" s="4411"/>
      <c r="L164" s="4411"/>
      <c r="M164" s="4420"/>
      <c r="N164" s="4420"/>
      <c r="O164" s="4420"/>
      <c r="P164" s="4411"/>
      <c r="Q164" s="4411"/>
      <c r="R164" s="5181"/>
      <c r="S164" s="3306"/>
      <c r="T164" s="3819"/>
      <c r="U164" s="3268"/>
      <c r="V164" s="3641"/>
      <c r="W164" s="3233"/>
      <c r="X164" s="3234"/>
      <c r="Y164" s="3236"/>
      <c r="Z164" s="3236"/>
      <c r="AA164" s="3236"/>
      <c r="AB164" s="3820"/>
      <c r="AC164" s="3234"/>
      <c r="AD164" s="3238"/>
      <c r="AE164" s="3238"/>
      <c r="AF164" s="4522"/>
    </row>
    <row r="165" spans="1:32" ht="37.5" customHeight="1">
      <c r="A165" s="4564"/>
      <c r="B165" s="4408"/>
      <c r="C165" s="4412" t="s">
        <v>235</v>
      </c>
      <c r="D165" s="4400" t="s">
        <v>236</v>
      </c>
      <c r="E165" s="4400" t="s">
        <v>237</v>
      </c>
      <c r="F165" s="4400" t="s">
        <v>238</v>
      </c>
      <c r="G165" s="4414" t="s">
        <v>239</v>
      </c>
      <c r="H165" s="4400" t="s">
        <v>240</v>
      </c>
      <c r="I165" s="4400" t="s">
        <v>294</v>
      </c>
      <c r="J165" s="4395" t="s">
        <v>5618</v>
      </c>
      <c r="K165" s="4418" t="s">
        <v>1325</v>
      </c>
      <c r="L165" s="4395" t="s">
        <v>1326</v>
      </c>
      <c r="M165" s="4401">
        <v>4</v>
      </c>
      <c r="N165" s="4401">
        <v>4</v>
      </c>
      <c r="O165" s="4401">
        <v>3</v>
      </c>
      <c r="P165" s="4395" t="s">
        <v>5677</v>
      </c>
      <c r="Q165" s="4395" t="s">
        <v>5726</v>
      </c>
      <c r="R165" s="5183" t="s">
        <v>1324</v>
      </c>
      <c r="S165" s="3115"/>
      <c r="T165" s="3071"/>
      <c r="U165" s="3274"/>
      <c r="V165" s="3661"/>
      <c r="W165" s="3664"/>
      <c r="X165" s="3187"/>
      <c r="Y165" s="3228"/>
      <c r="Z165" s="3228"/>
      <c r="AA165" s="3228"/>
      <c r="AB165" s="3330"/>
      <c r="AC165" s="3187"/>
      <c r="AD165" s="3825"/>
      <c r="AE165" s="3825"/>
      <c r="AF165" s="5187"/>
    </row>
    <row r="166" spans="1:32" ht="37.5" customHeight="1">
      <c r="A166" s="4564"/>
      <c r="B166" s="4408"/>
      <c r="C166" s="4404"/>
      <c r="D166" s="4378"/>
      <c r="E166" s="4378"/>
      <c r="F166" s="4378"/>
      <c r="G166" s="4378"/>
      <c r="H166" s="4378"/>
      <c r="I166" s="4378"/>
      <c r="J166" s="4378"/>
      <c r="K166" s="4378"/>
      <c r="L166" s="4378"/>
      <c r="M166" s="4393"/>
      <c r="N166" s="4393"/>
      <c r="O166" s="4393"/>
      <c r="P166" s="4378"/>
      <c r="Q166" s="4378"/>
      <c r="R166" s="5180"/>
      <c r="S166" s="3303"/>
      <c r="T166" s="1891"/>
      <c r="U166" s="1849"/>
      <c r="V166" s="1883"/>
      <c r="W166" s="1864"/>
      <c r="X166" s="1824"/>
      <c r="Y166" s="1870"/>
      <c r="Z166" s="1870"/>
      <c r="AA166" s="1870"/>
      <c r="AB166" s="1871"/>
      <c r="AC166" s="1824"/>
      <c r="AD166" s="1824"/>
      <c r="AE166" s="3790"/>
      <c r="AF166" s="4521"/>
    </row>
    <row r="167" spans="1:32" ht="37.5" customHeight="1">
      <c r="A167" s="4564"/>
      <c r="B167" s="4408"/>
      <c r="C167" s="4404"/>
      <c r="D167" s="4378"/>
      <c r="E167" s="4378"/>
      <c r="F167" s="4378"/>
      <c r="G167" s="4378"/>
      <c r="H167" s="4378"/>
      <c r="I167" s="4378"/>
      <c r="J167" s="4378"/>
      <c r="K167" s="4378"/>
      <c r="L167" s="4378"/>
      <c r="M167" s="4393"/>
      <c r="N167" s="4393"/>
      <c r="O167" s="4393"/>
      <c r="P167" s="4378"/>
      <c r="Q167" s="4378"/>
      <c r="R167" s="5180"/>
      <c r="S167" s="3303"/>
      <c r="T167" s="1891"/>
      <c r="U167" s="1849"/>
      <c r="V167" s="1883"/>
      <c r="W167" s="1864"/>
      <c r="X167" s="1824"/>
      <c r="Y167" s="1870"/>
      <c r="Z167" s="1870"/>
      <c r="AA167" s="1870"/>
      <c r="AB167" s="1871"/>
      <c r="AC167" s="1824"/>
      <c r="AD167" s="1824"/>
      <c r="AE167" s="3200"/>
      <c r="AF167" s="4521"/>
    </row>
    <row r="168" spans="1:32" ht="37.5" customHeight="1">
      <c r="A168" s="4564"/>
      <c r="B168" s="4408"/>
      <c r="C168" s="4404"/>
      <c r="D168" s="4378"/>
      <c r="E168" s="4378"/>
      <c r="F168" s="4378"/>
      <c r="G168" s="4378"/>
      <c r="H168" s="4378"/>
      <c r="I168" s="4378"/>
      <c r="J168" s="4378"/>
      <c r="K168" s="4378"/>
      <c r="L168" s="4378"/>
      <c r="M168" s="4393"/>
      <c r="N168" s="4393"/>
      <c r="O168" s="4393"/>
      <c r="P168" s="4378"/>
      <c r="Q168" s="4378"/>
      <c r="R168" s="5180"/>
      <c r="S168" s="3303"/>
      <c r="T168" s="1891"/>
      <c r="U168" s="1849"/>
      <c r="V168" s="1883"/>
      <c r="W168" s="1864"/>
      <c r="X168" s="1824"/>
      <c r="Y168" s="1870"/>
      <c r="Z168" s="1870"/>
      <c r="AA168" s="1870"/>
      <c r="AB168" s="1871"/>
      <c r="AC168" s="1824"/>
      <c r="AD168" s="1824"/>
      <c r="AE168" s="3200"/>
      <c r="AF168" s="4521"/>
    </row>
    <row r="169" spans="1:32" ht="37.5" customHeight="1">
      <c r="A169" s="4564"/>
      <c r="B169" s="4408"/>
      <c r="C169" s="4413"/>
      <c r="D169" s="4396"/>
      <c r="E169" s="4396"/>
      <c r="F169" s="4396"/>
      <c r="G169" s="4396"/>
      <c r="H169" s="4396"/>
      <c r="I169" s="4396"/>
      <c r="J169" s="4396"/>
      <c r="K169" s="4396"/>
      <c r="L169" s="4396"/>
      <c r="M169" s="4402"/>
      <c r="N169" s="4402"/>
      <c r="O169" s="4402"/>
      <c r="P169" s="4396"/>
      <c r="Q169" s="4396"/>
      <c r="R169" s="5194"/>
      <c r="S169" s="3304"/>
      <c r="T169" s="3821"/>
      <c r="U169" s="3271"/>
      <c r="V169" s="3822"/>
      <c r="W169" s="3254"/>
      <c r="X169" s="3246"/>
      <c r="Y169" s="3245"/>
      <c r="Z169" s="3245"/>
      <c r="AA169" s="3245"/>
      <c r="AB169" s="3823"/>
      <c r="AC169" s="3246"/>
      <c r="AD169" s="3246"/>
      <c r="AE169" s="3256"/>
      <c r="AF169" s="4530"/>
    </row>
    <row r="170" spans="1:32" ht="40.5" customHeight="1">
      <c r="A170" s="4564"/>
      <c r="B170" s="4408"/>
      <c r="C170" s="4403" t="s">
        <v>235</v>
      </c>
      <c r="D170" s="4390" t="s">
        <v>236</v>
      </c>
      <c r="E170" s="4390" t="s">
        <v>237</v>
      </c>
      <c r="F170" s="4390" t="s">
        <v>238</v>
      </c>
      <c r="G170" s="4406" t="s">
        <v>239</v>
      </c>
      <c r="H170" s="4390" t="s">
        <v>240</v>
      </c>
      <c r="I170" s="4390" t="s">
        <v>257</v>
      </c>
      <c r="J170" s="4377" t="s">
        <v>5754</v>
      </c>
      <c r="K170" s="4390" t="s">
        <v>1327</v>
      </c>
      <c r="L170" s="4377" t="s">
        <v>1328</v>
      </c>
      <c r="M170" s="4392">
        <v>4</v>
      </c>
      <c r="N170" s="4392">
        <v>4</v>
      </c>
      <c r="O170" s="4392">
        <v>3</v>
      </c>
      <c r="P170" s="4377" t="s">
        <v>5678</v>
      </c>
      <c r="Q170" s="4377" t="s">
        <v>5727</v>
      </c>
      <c r="R170" s="5179" t="s">
        <v>1329</v>
      </c>
      <c r="S170" s="3305"/>
      <c r="T170" s="3270"/>
      <c r="U170" s="3272"/>
      <c r="V170" s="3662"/>
      <c r="W170" s="3663"/>
      <c r="X170" s="3259"/>
      <c r="Y170" s="3252"/>
      <c r="Z170" s="3252"/>
      <c r="AA170" s="3252"/>
      <c r="AB170" s="3329"/>
      <c r="AC170" s="3259"/>
      <c r="AD170" s="3262"/>
      <c r="AE170" s="3262"/>
      <c r="AF170" s="5188"/>
    </row>
    <row r="171" spans="1:32" ht="40.5" customHeight="1">
      <c r="A171" s="4564"/>
      <c r="B171" s="4408"/>
      <c r="C171" s="4404"/>
      <c r="D171" s="4378"/>
      <c r="E171" s="4378"/>
      <c r="F171" s="4378"/>
      <c r="G171" s="4378"/>
      <c r="H171" s="4378"/>
      <c r="I171" s="4378"/>
      <c r="J171" s="4378"/>
      <c r="K171" s="4378"/>
      <c r="L171" s="4378"/>
      <c r="M171" s="4393"/>
      <c r="N171" s="4393"/>
      <c r="O171" s="4393"/>
      <c r="P171" s="4378"/>
      <c r="Q171" s="4378"/>
      <c r="R171" s="5180"/>
      <c r="S171" s="3303"/>
      <c r="T171" s="1891"/>
      <c r="U171" s="1849"/>
      <c r="V171" s="1883"/>
      <c r="W171" s="1864"/>
      <c r="X171" s="1824"/>
      <c r="Y171" s="1870"/>
      <c r="Z171" s="1870"/>
      <c r="AA171" s="1870"/>
      <c r="AB171" s="1871"/>
      <c r="AC171" s="1824"/>
      <c r="AD171" s="3200"/>
      <c r="AE171" s="3200"/>
      <c r="AF171" s="4521"/>
    </row>
    <row r="172" spans="1:32" ht="40.5" customHeight="1">
      <c r="A172" s="4564"/>
      <c r="B172" s="4408"/>
      <c r="C172" s="4404"/>
      <c r="D172" s="4378"/>
      <c r="E172" s="4378"/>
      <c r="F172" s="4378"/>
      <c r="G172" s="4378"/>
      <c r="H172" s="4378"/>
      <c r="I172" s="4378"/>
      <c r="J172" s="4378"/>
      <c r="K172" s="4378"/>
      <c r="L172" s="4378"/>
      <c r="M172" s="4393"/>
      <c r="N172" s="4393"/>
      <c r="O172" s="4393"/>
      <c r="P172" s="4378"/>
      <c r="Q172" s="4378"/>
      <c r="R172" s="5180"/>
      <c r="S172" s="3303"/>
      <c r="T172" s="1891"/>
      <c r="U172" s="1849"/>
      <c r="V172" s="1883"/>
      <c r="W172" s="1864"/>
      <c r="X172" s="1824"/>
      <c r="Y172" s="1870"/>
      <c r="Z172" s="1870"/>
      <c r="AA172" s="1870"/>
      <c r="AB172" s="1871"/>
      <c r="AC172" s="1824"/>
      <c r="AD172" s="3200"/>
      <c r="AE172" s="3200"/>
      <c r="AF172" s="4521"/>
    </row>
    <row r="173" spans="1:32" ht="40.5" customHeight="1">
      <c r="A173" s="4564"/>
      <c r="B173" s="4408"/>
      <c r="C173" s="4404"/>
      <c r="D173" s="4378"/>
      <c r="E173" s="4378"/>
      <c r="F173" s="4378"/>
      <c r="G173" s="4378"/>
      <c r="H173" s="4378"/>
      <c r="I173" s="4378"/>
      <c r="J173" s="4378"/>
      <c r="K173" s="4378"/>
      <c r="L173" s="4378"/>
      <c r="M173" s="4393"/>
      <c r="N173" s="4393"/>
      <c r="O173" s="4393"/>
      <c r="P173" s="4378"/>
      <c r="Q173" s="4378"/>
      <c r="R173" s="5180"/>
      <c r="S173" s="3303"/>
      <c r="T173" s="1891"/>
      <c r="U173" s="1849"/>
      <c r="V173" s="1883"/>
      <c r="W173" s="1864"/>
      <c r="X173" s="1824"/>
      <c r="Y173" s="1870"/>
      <c r="Z173" s="1870"/>
      <c r="AA173" s="1870"/>
      <c r="AB173" s="1871"/>
      <c r="AC173" s="1824"/>
      <c r="AD173" s="3200"/>
      <c r="AE173" s="3200"/>
      <c r="AF173" s="4521"/>
    </row>
    <row r="174" spans="1:32" ht="40.5" customHeight="1">
      <c r="A174" s="4564"/>
      <c r="B174" s="4408"/>
      <c r="C174" s="4416"/>
      <c r="D174" s="4411"/>
      <c r="E174" s="4411"/>
      <c r="F174" s="4411"/>
      <c r="G174" s="4411"/>
      <c r="H174" s="4411"/>
      <c r="I174" s="4411"/>
      <c r="J174" s="4411"/>
      <c r="K174" s="4411"/>
      <c r="L174" s="4411"/>
      <c r="M174" s="4420"/>
      <c r="N174" s="4420"/>
      <c r="O174" s="4420"/>
      <c r="P174" s="4411"/>
      <c r="Q174" s="4411"/>
      <c r="R174" s="5181"/>
      <c r="S174" s="3306"/>
      <c r="T174" s="3819"/>
      <c r="U174" s="3268"/>
      <c r="V174" s="3641"/>
      <c r="W174" s="3233"/>
      <c r="X174" s="3234"/>
      <c r="Y174" s="3236"/>
      <c r="Z174" s="3236"/>
      <c r="AA174" s="3236"/>
      <c r="AB174" s="3820"/>
      <c r="AC174" s="3234"/>
      <c r="AD174" s="3238"/>
      <c r="AE174" s="3238"/>
      <c r="AF174" s="4522"/>
    </row>
    <row r="175" spans="1:32" ht="41.25" customHeight="1">
      <c r="A175" s="4564"/>
      <c r="B175" s="4408"/>
      <c r="C175" s="4412" t="s">
        <v>235</v>
      </c>
      <c r="D175" s="4400" t="s">
        <v>236</v>
      </c>
      <c r="E175" s="4400" t="s">
        <v>237</v>
      </c>
      <c r="F175" s="4400" t="s">
        <v>238</v>
      </c>
      <c r="G175" s="4414" t="s">
        <v>239</v>
      </c>
      <c r="H175" s="4400" t="s">
        <v>240</v>
      </c>
      <c r="I175" s="4400" t="s">
        <v>278</v>
      </c>
      <c r="J175" s="4395" t="s">
        <v>5619</v>
      </c>
      <c r="K175" s="4418" t="s">
        <v>1330</v>
      </c>
      <c r="L175" s="4400" t="s">
        <v>1331</v>
      </c>
      <c r="M175" s="4893">
        <v>600</v>
      </c>
      <c r="N175" s="4893">
        <v>2000</v>
      </c>
      <c r="O175" s="4893">
        <v>2500</v>
      </c>
      <c r="P175" s="4395" t="s">
        <v>5679</v>
      </c>
      <c r="Q175" s="4395" t="s">
        <v>5728</v>
      </c>
      <c r="R175" s="5183" t="s">
        <v>1332</v>
      </c>
      <c r="S175" s="3870"/>
      <c r="T175" s="3071"/>
      <c r="U175" s="3274"/>
      <c r="V175" s="3661"/>
      <c r="W175" s="3664"/>
      <c r="X175" s="3187"/>
      <c r="Y175" s="3228"/>
      <c r="Z175" s="3228"/>
      <c r="AA175" s="3228"/>
      <c r="AB175" s="3330"/>
      <c r="AC175" s="3187"/>
      <c r="AD175" s="3230"/>
      <c r="AE175" s="3230"/>
      <c r="AF175" s="5187"/>
    </row>
    <row r="176" spans="1:32" ht="41.25" customHeight="1">
      <c r="A176" s="4564"/>
      <c r="B176" s="4408"/>
      <c r="C176" s="4404"/>
      <c r="D176" s="4378"/>
      <c r="E176" s="4378"/>
      <c r="F176" s="4378"/>
      <c r="G176" s="4378"/>
      <c r="H176" s="4378"/>
      <c r="I176" s="4378"/>
      <c r="J176" s="4378"/>
      <c r="K176" s="4378"/>
      <c r="L176" s="4378"/>
      <c r="M176" s="4894"/>
      <c r="N176" s="4894"/>
      <c r="O176" s="4894"/>
      <c r="P176" s="4378"/>
      <c r="Q176" s="4378"/>
      <c r="R176" s="5180"/>
      <c r="S176" s="3303"/>
      <c r="T176" s="1891"/>
      <c r="U176" s="1849"/>
      <c r="V176" s="1883"/>
      <c r="W176" s="1864"/>
      <c r="X176" s="1824"/>
      <c r="Y176" s="1870"/>
      <c r="Z176" s="1870"/>
      <c r="AA176" s="1870"/>
      <c r="AB176" s="1871"/>
      <c r="AC176" s="1824"/>
      <c r="AD176" s="3200"/>
      <c r="AE176" s="3200"/>
      <c r="AF176" s="4521"/>
    </row>
    <row r="177" spans="1:32" ht="41.25" customHeight="1">
      <c r="A177" s="4564"/>
      <c r="B177" s="4408"/>
      <c r="C177" s="4404"/>
      <c r="D177" s="4378"/>
      <c r="E177" s="4378"/>
      <c r="F177" s="4378"/>
      <c r="G177" s="4378"/>
      <c r="H177" s="4378"/>
      <c r="I177" s="4378"/>
      <c r="J177" s="4378"/>
      <c r="K177" s="4378"/>
      <c r="L177" s="4378"/>
      <c r="M177" s="4894"/>
      <c r="N177" s="4894"/>
      <c r="O177" s="4894"/>
      <c r="P177" s="4378"/>
      <c r="Q177" s="4378"/>
      <c r="R177" s="5180"/>
      <c r="S177" s="3303"/>
      <c r="T177" s="1891"/>
      <c r="U177" s="1849"/>
      <c r="V177" s="1883"/>
      <c r="W177" s="1864"/>
      <c r="X177" s="1824"/>
      <c r="Y177" s="1870"/>
      <c r="Z177" s="1870"/>
      <c r="AA177" s="1870"/>
      <c r="AB177" s="1871"/>
      <c r="AC177" s="1824"/>
      <c r="AD177" s="3200"/>
      <c r="AE177" s="3200"/>
      <c r="AF177" s="4521"/>
    </row>
    <row r="178" spans="1:32" ht="41.25" customHeight="1">
      <c r="A178" s="4564"/>
      <c r="B178" s="4408"/>
      <c r="C178" s="4404"/>
      <c r="D178" s="4378"/>
      <c r="E178" s="4378"/>
      <c r="F178" s="4378"/>
      <c r="G178" s="4378"/>
      <c r="H178" s="4378"/>
      <c r="I178" s="4378"/>
      <c r="J178" s="4378"/>
      <c r="K178" s="4378"/>
      <c r="L178" s="4378"/>
      <c r="M178" s="4894"/>
      <c r="N178" s="4894"/>
      <c r="O178" s="4894"/>
      <c r="P178" s="4378"/>
      <c r="Q178" s="4378"/>
      <c r="R178" s="5180"/>
      <c r="S178" s="3303"/>
      <c r="T178" s="1891"/>
      <c r="U178" s="1849"/>
      <c r="V178" s="1883"/>
      <c r="W178" s="1864"/>
      <c r="X178" s="1824"/>
      <c r="Y178" s="1870"/>
      <c r="Z178" s="1870"/>
      <c r="AA178" s="1870"/>
      <c r="AB178" s="1871"/>
      <c r="AC178" s="1824"/>
      <c r="AD178" s="3200"/>
      <c r="AE178" s="3200"/>
      <c r="AF178" s="4521"/>
    </row>
    <row r="179" spans="1:32" ht="41.25" customHeight="1">
      <c r="A179" s="4564"/>
      <c r="B179" s="4408"/>
      <c r="C179" s="4413"/>
      <c r="D179" s="4396"/>
      <c r="E179" s="4396"/>
      <c r="F179" s="4396"/>
      <c r="G179" s="4396"/>
      <c r="H179" s="4396"/>
      <c r="I179" s="4396"/>
      <c r="J179" s="4396"/>
      <c r="K179" s="4396"/>
      <c r="L179" s="4396"/>
      <c r="M179" s="4895"/>
      <c r="N179" s="4895"/>
      <c r="O179" s="4895"/>
      <c r="P179" s="4396"/>
      <c r="Q179" s="4396"/>
      <c r="R179" s="5194"/>
      <c r="S179" s="3304"/>
      <c r="T179" s="3821"/>
      <c r="U179" s="3271"/>
      <c r="V179" s="3822"/>
      <c r="W179" s="3254"/>
      <c r="X179" s="3246"/>
      <c r="Y179" s="3245"/>
      <c r="Z179" s="3245"/>
      <c r="AA179" s="3245"/>
      <c r="AB179" s="3823"/>
      <c r="AC179" s="3246"/>
      <c r="AD179" s="3256"/>
      <c r="AE179" s="3256"/>
      <c r="AF179" s="4530"/>
    </row>
    <row r="180" spans="1:32" ht="51" customHeight="1">
      <c r="A180" s="4564"/>
      <c r="B180" s="4408"/>
      <c r="C180" s="4403" t="s">
        <v>235</v>
      </c>
      <c r="D180" s="4390" t="s">
        <v>236</v>
      </c>
      <c r="E180" s="4390" t="s">
        <v>237</v>
      </c>
      <c r="F180" s="4390" t="s">
        <v>326</v>
      </c>
      <c r="G180" s="4406" t="s">
        <v>239</v>
      </c>
      <c r="H180" s="4390" t="s">
        <v>240</v>
      </c>
      <c r="I180" s="4390" t="s">
        <v>278</v>
      </c>
      <c r="J180" s="4377" t="s">
        <v>5620</v>
      </c>
      <c r="K180" s="4431" t="s">
        <v>1333</v>
      </c>
      <c r="L180" s="4390" t="s">
        <v>1334</v>
      </c>
      <c r="M180" s="4392">
        <v>510</v>
      </c>
      <c r="N180" s="4392">
        <v>550</v>
      </c>
      <c r="O180" s="4392">
        <v>400</v>
      </c>
      <c r="P180" s="4377" t="s">
        <v>5680</v>
      </c>
      <c r="Q180" s="4377" t="s">
        <v>5729</v>
      </c>
      <c r="R180" s="5179" t="s">
        <v>1335</v>
      </c>
      <c r="S180" s="3305"/>
      <c r="T180" s="3270"/>
      <c r="U180" s="3272"/>
      <c r="V180" s="3662"/>
      <c r="W180" s="3663"/>
      <c r="X180" s="3259"/>
      <c r="Y180" s="3252"/>
      <c r="Z180" s="3252"/>
      <c r="AA180" s="3252"/>
      <c r="AB180" s="3329"/>
      <c r="AC180" s="3259"/>
      <c r="AD180" s="3262"/>
      <c r="AE180" s="3262"/>
      <c r="AF180" s="5188"/>
    </row>
    <row r="181" spans="1:32" ht="51" customHeight="1">
      <c r="A181" s="4564"/>
      <c r="B181" s="4408"/>
      <c r="C181" s="4404"/>
      <c r="D181" s="4378"/>
      <c r="E181" s="4378"/>
      <c r="F181" s="4378"/>
      <c r="G181" s="4378"/>
      <c r="H181" s="4378"/>
      <c r="I181" s="4378"/>
      <c r="J181" s="4378"/>
      <c r="K181" s="4378"/>
      <c r="L181" s="4378"/>
      <c r="M181" s="4393"/>
      <c r="N181" s="4393"/>
      <c r="O181" s="4393"/>
      <c r="P181" s="4378"/>
      <c r="Q181" s="4378"/>
      <c r="R181" s="5180"/>
      <c r="S181" s="3303"/>
      <c r="T181" s="1891"/>
      <c r="U181" s="1849"/>
      <c r="V181" s="1883"/>
      <c r="W181" s="1864"/>
      <c r="X181" s="1824"/>
      <c r="Y181" s="1870"/>
      <c r="Z181" s="1870"/>
      <c r="AA181" s="1870"/>
      <c r="AB181" s="1871"/>
      <c r="AC181" s="1824"/>
      <c r="AD181" s="3200"/>
      <c r="AE181" s="3200"/>
      <c r="AF181" s="4521"/>
    </row>
    <row r="182" spans="1:32" ht="51" customHeight="1">
      <c r="A182" s="4564"/>
      <c r="B182" s="4408"/>
      <c r="C182" s="4404"/>
      <c r="D182" s="4378"/>
      <c r="E182" s="4378"/>
      <c r="F182" s="4378"/>
      <c r="G182" s="4378"/>
      <c r="H182" s="4378"/>
      <c r="I182" s="4378"/>
      <c r="J182" s="4378"/>
      <c r="K182" s="4378"/>
      <c r="L182" s="4378"/>
      <c r="M182" s="4393"/>
      <c r="N182" s="4393"/>
      <c r="O182" s="4393"/>
      <c r="P182" s="4378"/>
      <c r="Q182" s="4378"/>
      <c r="R182" s="5180"/>
      <c r="S182" s="3303"/>
      <c r="T182" s="1891"/>
      <c r="U182" s="1849"/>
      <c r="V182" s="1883"/>
      <c r="W182" s="1864"/>
      <c r="X182" s="1824"/>
      <c r="Y182" s="1870"/>
      <c r="Z182" s="1870"/>
      <c r="AA182" s="1870"/>
      <c r="AB182" s="1871"/>
      <c r="AC182" s="1824"/>
      <c r="AD182" s="3200"/>
      <c r="AE182" s="3200"/>
      <c r="AF182" s="4521"/>
    </row>
    <row r="183" spans="1:32" ht="51" customHeight="1">
      <c r="A183" s="4564"/>
      <c r="B183" s="4408"/>
      <c r="C183" s="4404"/>
      <c r="D183" s="4378"/>
      <c r="E183" s="4378"/>
      <c r="F183" s="4378"/>
      <c r="G183" s="4378"/>
      <c r="H183" s="4378"/>
      <c r="I183" s="4378"/>
      <c r="J183" s="4378"/>
      <c r="K183" s="4378"/>
      <c r="L183" s="4378"/>
      <c r="M183" s="4393"/>
      <c r="N183" s="4393"/>
      <c r="O183" s="4393"/>
      <c r="P183" s="4378"/>
      <c r="Q183" s="4378"/>
      <c r="R183" s="5180"/>
      <c r="S183" s="3303"/>
      <c r="T183" s="1891"/>
      <c r="U183" s="1849"/>
      <c r="V183" s="1883"/>
      <c r="W183" s="1864"/>
      <c r="X183" s="1824"/>
      <c r="Y183" s="1870"/>
      <c r="Z183" s="1870"/>
      <c r="AA183" s="1870"/>
      <c r="AB183" s="1871"/>
      <c r="AC183" s="1824"/>
      <c r="AD183" s="3200"/>
      <c r="AE183" s="3200"/>
      <c r="AF183" s="4521"/>
    </row>
    <row r="184" spans="1:32" ht="51" customHeight="1">
      <c r="A184" s="4564"/>
      <c r="B184" s="4408"/>
      <c r="C184" s="4416"/>
      <c r="D184" s="4411"/>
      <c r="E184" s="4411"/>
      <c r="F184" s="4411"/>
      <c r="G184" s="4411"/>
      <c r="H184" s="4411"/>
      <c r="I184" s="4411"/>
      <c r="J184" s="4411"/>
      <c r="K184" s="4411"/>
      <c r="L184" s="4411"/>
      <c r="M184" s="4420"/>
      <c r="N184" s="4420"/>
      <c r="O184" s="4420"/>
      <c r="P184" s="4411"/>
      <c r="Q184" s="4411"/>
      <c r="R184" s="5181"/>
      <c r="S184" s="3306"/>
      <c r="T184" s="3819"/>
      <c r="U184" s="3268"/>
      <c r="V184" s="3641"/>
      <c r="W184" s="3233"/>
      <c r="X184" s="3234"/>
      <c r="Y184" s="3236"/>
      <c r="Z184" s="3236"/>
      <c r="AA184" s="3236"/>
      <c r="AB184" s="3820"/>
      <c r="AC184" s="3234"/>
      <c r="AD184" s="3238"/>
      <c r="AE184" s="3238"/>
      <c r="AF184" s="4522"/>
    </row>
    <row r="185" spans="1:32" ht="61.5" customHeight="1">
      <c r="A185" s="4564"/>
      <c r="B185" s="4408"/>
      <c r="C185" s="4412" t="s">
        <v>235</v>
      </c>
      <c r="D185" s="4400" t="s">
        <v>236</v>
      </c>
      <c r="E185" s="4400" t="s">
        <v>237</v>
      </c>
      <c r="F185" s="4400" t="s">
        <v>238</v>
      </c>
      <c r="G185" s="4414" t="s">
        <v>239</v>
      </c>
      <c r="H185" s="4400" t="s">
        <v>240</v>
      </c>
      <c r="I185" s="4400" t="s">
        <v>294</v>
      </c>
      <c r="J185" s="4395" t="s">
        <v>5621</v>
      </c>
      <c r="K185" s="4418" t="s">
        <v>1336</v>
      </c>
      <c r="L185" s="4400" t="s">
        <v>1337</v>
      </c>
      <c r="M185" s="4401">
        <v>4</v>
      </c>
      <c r="N185" s="4401">
        <v>4</v>
      </c>
      <c r="O185" s="4401">
        <v>3</v>
      </c>
      <c r="P185" s="4395" t="s">
        <v>5681</v>
      </c>
      <c r="Q185" s="4395" t="s">
        <v>5730</v>
      </c>
      <c r="R185" s="5183" t="s">
        <v>1338</v>
      </c>
      <c r="S185" s="3870" t="s">
        <v>11</v>
      </c>
      <c r="T185" s="3071">
        <v>531407</v>
      </c>
      <c r="U185" s="3274"/>
      <c r="V185" s="3661" t="s">
        <v>20</v>
      </c>
      <c r="W185" s="3664"/>
      <c r="X185" s="3187"/>
      <c r="Y185" s="3228"/>
      <c r="Z185" s="3228"/>
      <c r="AA185" s="3228"/>
      <c r="AB185" s="3330">
        <f>AA186</f>
        <v>14.498400000000002</v>
      </c>
      <c r="AC185" s="3187"/>
      <c r="AD185" s="3230" t="s">
        <v>251</v>
      </c>
      <c r="AE185" s="3230"/>
      <c r="AF185" s="5187"/>
    </row>
    <row r="186" spans="1:32" ht="61.5" customHeight="1">
      <c r="A186" s="4564"/>
      <c r="B186" s="4408"/>
      <c r="C186" s="4404"/>
      <c r="D186" s="4378"/>
      <c r="E186" s="4378"/>
      <c r="F186" s="4378"/>
      <c r="G186" s="4378"/>
      <c r="H186" s="4378"/>
      <c r="I186" s="4378"/>
      <c r="J186" s="4378"/>
      <c r="K186" s="4378"/>
      <c r="L186" s="4378"/>
      <c r="M186" s="4393"/>
      <c r="N186" s="4393"/>
      <c r="O186" s="4393"/>
      <c r="P186" s="4378"/>
      <c r="Q186" s="4378"/>
      <c r="R186" s="5180"/>
      <c r="S186" s="3303"/>
      <c r="T186" s="1891"/>
      <c r="U186" s="1849">
        <v>452900012</v>
      </c>
      <c r="V186" s="1883" t="s">
        <v>1318</v>
      </c>
      <c r="W186" s="1864">
        <v>1</v>
      </c>
      <c r="X186" s="1824" t="s">
        <v>269</v>
      </c>
      <c r="Y186" s="1870">
        <v>12.945</v>
      </c>
      <c r="Z186" s="1870">
        <f>+W186*Y186</f>
        <v>12.945</v>
      </c>
      <c r="AA186" s="1870">
        <f>+Z186*1.12</f>
        <v>14.498400000000002</v>
      </c>
      <c r="AB186" s="1871"/>
      <c r="AC186" s="1824"/>
      <c r="AD186" s="3200"/>
      <c r="AE186" s="3200"/>
      <c r="AF186" s="4521"/>
    </row>
    <row r="187" spans="1:32" ht="61.5" customHeight="1">
      <c r="A187" s="4564"/>
      <c r="B187" s="4408"/>
      <c r="C187" s="4404"/>
      <c r="D187" s="4378"/>
      <c r="E187" s="4378"/>
      <c r="F187" s="4378"/>
      <c r="G187" s="4378"/>
      <c r="H187" s="4378"/>
      <c r="I187" s="4378"/>
      <c r="J187" s="4378"/>
      <c r="K187" s="4378"/>
      <c r="L187" s="4378"/>
      <c r="M187" s="4393"/>
      <c r="N187" s="4393"/>
      <c r="O187" s="4393"/>
      <c r="P187" s="4378"/>
      <c r="Q187" s="4378"/>
      <c r="R187" s="5180"/>
      <c r="S187" s="3303"/>
      <c r="T187" s="1891"/>
      <c r="U187" s="1849"/>
      <c r="V187" s="1883"/>
      <c r="W187" s="1864"/>
      <c r="X187" s="1824"/>
      <c r="Y187" s="1870"/>
      <c r="Z187" s="1870"/>
      <c r="AA187" s="1870"/>
      <c r="AB187" s="1871"/>
      <c r="AC187" s="1824"/>
      <c r="AD187" s="3200"/>
      <c r="AE187" s="3200"/>
      <c r="AF187" s="4521"/>
    </row>
    <row r="188" spans="1:32" ht="61.5" customHeight="1">
      <c r="A188" s="4564"/>
      <c r="B188" s="4408"/>
      <c r="C188" s="4404"/>
      <c r="D188" s="4378"/>
      <c r="E188" s="4378"/>
      <c r="F188" s="4378"/>
      <c r="G188" s="4378"/>
      <c r="H188" s="4378"/>
      <c r="I188" s="4378"/>
      <c r="J188" s="4378"/>
      <c r="K188" s="4378"/>
      <c r="L188" s="4378"/>
      <c r="M188" s="4393"/>
      <c r="N188" s="4393"/>
      <c r="O188" s="4393"/>
      <c r="P188" s="4378"/>
      <c r="Q188" s="4378"/>
      <c r="R188" s="5180"/>
      <c r="S188" s="3303"/>
      <c r="T188" s="1891"/>
      <c r="U188" s="1849"/>
      <c r="V188" s="1883"/>
      <c r="W188" s="1864"/>
      <c r="X188" s="1824"/>
      <c r="Y188" s="1870"/>
      <c r="Z188" s="1870"/>
      <c r="AA188" s="1870"/>
      <c r="AB188" s="1871"/>
      <c r="AC188" s="1824"/>
      <c r="AD188" s="3200"/>
      <c r="AE188" s="3200"/>
      <c r="AF188" s="4521"/>
    </row>
    <row r="189" spans="1:32" ht="61.5" customHeight="1">
      <c r="A189" s="4564"/>
      <c r="B189" s="4408"/>
      <c r="C189" s="4413"/>
      <c r="D189" s="4396"/>
      <c r="E189" s="4396"/>
      <c r="F189" s="4396"/>
      <c r="G189" s="4396"/>
      <c r="H189" s="4396"/>
      <c r="I189" s="4396"/>
      <c r="J189" s="4396"/>
      <c r="K189" s="4396"/>
      <c r="L189" s="4396"/>
      <c r="M189" s="4402"/>
      <c r="N189" s="4402"/>
      <c r="O189" s="4402"/>
      <c r="P189" s="4396"/>
      <c r="Q189" s="4396"/>
      <c r="R189" s="5194"/>
      <c r="S189" s="3304"/>
      <c r="T189" s="3821"/>
      <c r="U189" s="3271"/>
      <c r="V189" s="3822"/>
      <c r="W189" s="3254"/>
      <c r="X189" s="3246"/>
      <c r="Y189" s="3245"/>
      <c r="Z189" s="3245"/>
      <c r="AA189" s="3245"/>
      <c r="AB189" s="3823"/>
      <c r="AC189" s="3246"/>
      <c r="AD189" s="3256"/>
      <c r="AE189" s="3256"/>
      <c r="AF189" s="4530"/>
    </row>
    <row r="190" spans="1:32" ht="37.5" customHeight="1">
      <c r="A190" s="4564"/>
      <c r="B190" s="4408"/>
      <c r="C190" s="4403" t="s">
        <v>235</v>
      </c>
      <c r="D190" s="4390" t="s">
        <v>236</v>
      </c>
      <c r="E190" s="4390" t="s">
        <v>237</v>
      </c>
      <c r="F190" s="4390" t="s">
        <v>238</v>
      </c>
      <c r="G190" s="4406" t="s">
        <v>239</v>
      </c>
      <c r="H190" s="4390" t="s">
        <v>240</v>
      </c>
      <c r="I190" s="4390" t="s">
        <v>278</v>
      </c>
      <c r="J190" s="4906" t="s">
        <v>5622</v>
      </c>
      <c r="K190" s="4431" t="s">
        <v>1339</v>
      </c>
      <c r="L190" s="4390" t="s">
        <v>1340</v>
      </c>
      <c r="M190" s="4392">
        <v>0</v>
      </c>
      <c r="N190" s="4392">
        <v>0</v>
      </c>
      <c r="O190" s="4392">
        <v>0</v>
      </c>
      <c r="P190" s="4390" t="s">
        <v>1341</v>
      </c>
      <c r="Q190" s="4390" t="s">
        <v>1341</v>
      </c>
      <c r="R190" s="5179" t="s">
        <v>1341</v>
      </c>
      <c r="S190" s="3305"/>
      <c r="T190" s="3270"/>
      <c r="U190" s="3272"/>
      <c r="V190" s="3662"/>
      <c r="W190" s="3663"/>
      <c r="X190" s="3259"/>
      <c r="Y190" s="3252"/>
      <c r="Z190" s="3252"/>
      <c r="AA190" s="3252"/>
      <c r="AB190" s="3329"/>
      <c r="AC190" s="3259"/>
      <c r="AD190" s="3262"/>
      <c r="AE190" s="3262"/>
      <c r="AF190" s="5217" t="s">
        <v>1342</v>
      </c>
    </row>
    <row r="191" spans="1:32" ht="37.5" customHeight="1">
      <c r="A191" s="4564"/>
      <c r="B191" s="4408"/>
      <c r="C191" s="4404"/>
      <c r="D191" s="4378"/>
      <c r="E191" s="4378"/>
      <c r="F191" s="4378"/>
      <c r="G191" s="4378"/>
      <c r="H191" s="4378"/>
      <c r="I191" s="4378"/>
      <c r="J191" s="4378"/>
      <c r="K191" s="4378"/>
      <c r="L191" s="4378"/>
      <c r="M191" s="4393"/>
      <c r="N191" s="4393"/>
      <c r="O191" s="4393"/>
      <c r="P191" s="4378"/>
      <c r="Q191" s="4378"/>
      <c r="R191" s="5180"/>
      <c r="S191" s="3303"/>
      <c r="T191" s="1891"/>
      <c r="U191" s="1849"/>
      <c r="V191" s="1883"/>
      <c r="W191" s="1864"/>
      <c r="X191" s="1824"/>
      <c r="Y191" s="1870"/>
      <c r="Z191" s="1870"/>
      <c r="AA191" s="1870"/>
      <c r="AB191" s="1871"/>
      <c r="AC191" s="1824"/>
      <c r="AD191" s="3200"/>
      <c r="AE191" s="3200"/>
      <c r="AF191" s="5185"/>
    </row>
    <row r="192" spans="1:32" ht="37.5" customHeight="1">
      <c r="A192" s="4564"/>
      <c r="B192" s="4408"/>
      <c r="C192" s="4404"/>
      <c r="D192" s="4378"/>
      <c r="E192" s="4378"/>
      <c r="F192" s="4378"/>
      <c r="G192" s="4378"/>
      <c r="H192" s="4378"/>
      <c r="I192" s="4378"/>
      <c r="J192" s="4378"/>
      <c r="K192" s="4378"/>
      <c r="L192" s="4378"/>
      <c r="M192" s="4393"/>
      <c r="N192" s="4393"/>
      <c r="O192" s="4393"/>
      <c r="P192" s="4378"/>
      <c r="Q192" s="4378"/>
      <c r="R192" s="5180"/>
      <c r="S192" s="3303"/>
      <c r="T192" s="1891"/>
      <c r="U192" s="1849"/>
      <c r="V192" s="1883"/>
      <c r="W192" s="1864"/>
      <c r="X192" s="1824"/>
      <c r="Y192" s="1870"/>
      <c r="Z192" s="1870"/>
      <c r="AA192" s="1870"/>
      <c r="AB192" s="1871"/>
      <c r="AC192" s="1824"/>
      <c r="AD192" s="3200"/>
      <c r="AE192" s="3200"/>
      <c r="AF192" s="5185"/>
    </row>
    <row r="193" spans="1:32" ht="37.5" customHeight="1">
      <c r="A193" s="4564"/>
      <c r="B193" s="4408"/>
      <c r="C193" s="4404"/>
      <c r="D193" s="4378"/>
      <c r="E193" s="4378"/>
      <c r="F193" s="4378"/>
      <c r="G193" s="4378"/>
      <c r="H193" s="4378"/>
      <c r="I193" s="4378"/>
      <c r="J193" s="4378"/>
      <c r="K193" s="4378"/>
      <c r="L193" s="4378"/>
      <c r="M193" s="4393"/>
      <c r="N193" s="4393"/>
      <c r="O193" s="4393"/>
      <c r="P193" s="4378"/>
      <c r="Q193" s="4378"/>
      <c r="R193" s="5180"/>
      <c r="S193" s="3303"/>
      <c r="T193" s="1891"/>
      <c r="U193" s="1849"/>
      <c r="V193" s="1883"/>
      <c r="W193" s="1864"/>
      <c r="X193" s="1824"/>
      <c r="Y193" s="1870"/>
      <c r="Z193" s="1870"/>
      <c r="AA193" s="1870"/>
      <c r="AB193" s="1871"/>
      <c r="AC193" s="1824"/>
      <c r="AD193" s="3200"/>
      <c r="AE193" s="3200"/>
      <c r="AF193" s="5185"/>
    </row>
    <row r="194" spans="1:32" ht="37.5" customHeight="1">
      <c r="A194" s="4564"/>
      <c r="B194" s="4408"/>
      <c r="C194" s="4416"/>
      <c r="D194" s="4411"/>
      <c r="E194" s="4411"/>
      <c r="F194" s="4411"/>
      <c r="G194" s="4411"/>
      <c r="H194" s="4411"/>
      <c r="I194" s="4411"/>
      <c r="J194" s="4411"/>
      <c r="K194" s="4411"/>
      <c r="L194" s="4411"/>
      <c r="M194" s="4420"/>
      <c r="N194" s="4420"/>
      <c r="O194" s="4420"/>
      <c r="P194" s="4411"/>
      <c r="Q194" s="4411"/>
      <c r="R194" s="5181"/>
      <c r="S194" s="3306"/>
      <c r="T194" s="3819"/>
      <c r="U194" s="3268"/>
      <c r="V194" s="3641"/>
      <c r="W194" s="3233"/>
      <c r="X194" s="3234"/>
      <c r="Y194" s="3236"/>
      <c r="Z194" s="3236"/>
      <c r="AA194" s="3236"/>
      <c r="AB194" s="3820"/>
      <c r="AC194" s="3234"/>
      <c r="AD194" s="3238"/>
      <c r="AE194" s="3238"/>
      <c r="AF194" s="5193"/>
    </row>
    <row r="195" spans="1:32" ht="66.75" customHeight="1">
      <c r="A195" s="4564"/>
      <c r="B195" s="4408"/>
      <c r="C195" s="4403" t="s">
        <v>235</v>
      </c>
      <c r="D195" s="4390" t="s">
        <v>236</v>
      </c>
      <c r="E195" s="4390" t="s">
        <v>237</v>
      </c>
      <c r="F195" s="4390" t="s">
        <v>238</v>
      </c>
      <c r="G195" s="4406" t="s">
        <v>239</v>
      </c>
      <c r="H195" s="4390" t="s">
        <v>240</v>
      </c>
      <c r="I195" s="4390" t="s">
        <v>257</v>
      </c>
      <c r="J195" s="4377" t="s">
        <v>3974</v>
      </c>
      <c r="K195" s="4431" t="s">
        <v>338</v>
      </c>
      <c r="L195" s="4390" t="s">
        <v>1343</v>
      </c>
      <c r="M195" s="4392">
        <v>0</v>
      </c>
      <c r="N195" s="4392">
        <v>1</v>
      </c>
      <c r="O195" s="4392">
        <v>1</v>
      </c>
      <c r="P195" s="4377" t="s">
        <v>5682</v>
      </c>
      <c r="Q195" s="4377" t="s">
        <v>5731</v>
      </c>
      <c r="R195" s="5179" t="s">
        <v>1344</v>
      </c>
      <c r="S195" s="3305"/>
      <c r="T195" s="3270"/>
      <c r="U195" s="3272"/>
      <c r="V195" s="3662"/>
      <c r="W195" s="3663"/>
      <c r="X195" s="3259"/>
      <c r="Y195" s="3252"/>
      <c r="Z195" s="3252"/>
      <c r="AA195" s="3252"/>
      <c r="AB195" s="3329"/>
      <c r="AC195" s="3259"/>
      <c r="AD195" s="3262"/>
      <c r="AE195" s="3262"/>
      <c r="AF195" s="5188"/>
    </row>
    <row r="196" spans="1:32" ht="66.75" customHeight="1">
      <c r="A196" s="4564"/>
      <c r="B196" s="4408"/>
      <c r="C196" s="4404"/>
      <c r="D196" s="4378"/>
      <c r="E196" s="4378"/>
      <c r="F196" s="4378"/>
      <c r="G196" s="4378"/>
      <c r="H196" s="4378"/>
      <c r="I196" s="4378"/>
      <c r="J196" s="4378"/>
      <c r="K196" s="4378"/>
      <c r="L196" s="4378"/>
      <c r="M196" s="4393"/>
      <c r="N196" s="4393"/>
      <c r="O196" s="4393"/>
      <c r="P196" s="4378"/>
      <c r="Q196" s="4378"/>
      <c r="R196" s="5180"/>
      <c r="S196" s="3303"/>
      <c r="T196" s="1891"/>
      <c r="U196" s="1849"/>
      <c r="V196" s="1883"/>
      <c r="W196" s="1864"/>
      <c r="X196" s="1824"/>
      <c r="Y196" s="1870"/>
      <c r="Z196" s="1870"/>
      <c r="AA196" s="1870"/>
      <c r="AB196" s="1871"/>
      <c r="AC196" s="1824"/>
      <c r="AD196" s="3200"/>
      <c r="AE196" s="3200"/>
      <c r="AF196" s="4521"/>
    </row>
    <row r="197" spans="1:32" ht="66.75" customHeight="1">
      <c r="A197" s="4564"/>
      <c r="B197" s="4408"/>
      <c r="C197" s="4404"/>
      <c r="D197" s="4378"/>
      <c r="E197" s="4378"/>
      <c r="F197" s="4378"/>
      <c r="G197" s="4378"/>
      <c r="H197" s="4378"/>
      <c r="I197" s="4378"/>
      <c r="J197" s="4378"/>
      <c r="K197" s="4378"/>
      <c r="L197" s="4378"/>
      <c r="M197" s="4393"/>
      <c r="N197" s="4393"/>
      <c r="O197" s="4393"/>
      <c r="P197" s="4378"/>
      <c r="Q197" s="4378"/>
      <c r="R197" s="5180"/>
      <c r="S197" s="3303"/>
      <c r="T197" s="1891"/>
      <c r="U197" s="1849"/>
      <c r="V197" s="1883"/>
      <c r="W197" s="1864"/>
      <c r="X197" s="1824"/>
      <c r="Y197" s="1870"/>
      <c r="Z197" s="1870"/>
      <c r="AA197" s="1870"/>
      <c r="AB197" s="1871"/>
      <c r="AC197" s="1824"/>
      <c r="AD197" s="3200"/>
      <c r="AE197" s="3200"/>
      <c r="AF197" s="4521"/>
    </row>
    <row r="198" spans="1:32" ht="66.75" customHeight="1">
      <c r="A198" s="4564"/>
      <c r="B198" s="4408"/>
      <c r="C198" s="4404"/>
      <c r="D198" s="4378"/>
      <c r="E198" s="4378"/>
      <c r="F198" s="4378"/>
      <c r="G198" s="4378"/>
      <c r="H198" s="4378"/>
      <c r="I198" s="4378"/>
      <c r="J198" s="4378"/>
      <c r="K198" s="4378"/>
      <c r="L198" s="4378"/>
      <c r="M198" s="4393"/>
      <c r="N198" s="4393"/>
      <c r="O198" s="4393"/>
      <c r="P198" s="4378"/>
      <c r="Q198" s="4378"/>
      <c r="R198" s="5180"/>
      <c r="S198" s="3303"/>
      <c r="T198" s="1891"/>
      <c r="U198" s="1849"/>
      <c r="V198" s="1883"/>
      <c r="W198" s="1864"/>
      <c r="X198" s="1824"/>
      <c r="Y198" s="1870"/>
      <c r="Z198" s="1870"/>
      <c r="AA198" s="1870"/>
      <c r="AB198" s="1871"/>
      <c r="AC198" s="1824"/>
      <c r="AD198" s="3200"/>
      <c r="AE198" s="3200"/>
      <c r="AF198" s="4521"/>
    </row>
    <row r="199" spans="1:32" ht="66.75" customHeight="1">
      <c r="A199" s="4564"/>
      <c r="B199" s="4408"/>
      <c r="C199" s="4416"/>
      <c r="D199" s="4411"/>
      <c r="E199" s="4411"/>
      <c r="F199" s="4411"/>
      <c r="G199" s="4411"/>
      <c r="H199" s="4411"/>
      <c r="I199" s="4411"/>
      <c r="J199" s="4411"/>
      <c r="K199" s="4411"/>
      <c r="L199" s="4411"/>
      <c r="M199" s="4420"/>
      <c r="N199" s="4420"/>
      <c r="O199" s="4420"/>
      <c r="P199" s="4411"/>
      <c r="Q199" s="4411"/>
      <c r="R199" s="5181"/>
      <c r="S199" s="3306"/>
      <c r="T199" s="3819"/>
      <c r="U199" s="3268"/>
      <c r="V199" s="3641"/>
      <c r="W199" s="3233"/>
      <c r="X199" s="3234"/>
      <c r="Y199" s="3236"/>
      <c r="Z199" s="3236"/>
      <c r="AA199" s="3236"/>
      <c r="AB199" s="3820"/>
      <c r="AC199" s="3234"/>
      <c r="AD199" s="3238"/>
      <c r="AE199" s="3238"/>
      <c r="AF199" s="4522"/>
    </row>
    <row r="200" spans="1:32" ht="42" customHeight="1">
      <c r="A200" s="4564"/>
      <c r="B200" s="4408"/>
      <c r="C200" s="4412" t="s">
        <v>235</v>
      </c>
      <c r="D200" s="4400" t="s">
        <v>236</v>
      </c>
      <c r="E200" s="4400" t="s">
        <v>237</v>
      </c>
      <c r="F200" s="4400" t="s">
        <v>238</v>
      </c>
      <c r="G200" s="4414" t="s">
        <v>239</v>
      </c>
      <c r="H200" s="4400" t="s">
        <v>240</v>
      </c>
      <c r="I200" s="4400" t="s">
        <v>278</v>
      </c>
      <c r="J200" s="4395" t="s">
        <v>3975</v>
      </c>
      <c r="K200" s="4418" t="s">
        <v>371</v>
      </c>
      <c r="L200" s="4395" t="s">
        <v>1345</v>
      </c>
      <c r="M200" s="4401">
        <v>1</v>
      </c>
      <c r="N200" s="4401">
        <v>1</v>
      </c>
      <c r="O200" s="4401">
        <v>1</v>
      </c>
      <c r="P200" s="4395" t="s">
        <v>5683</v>
      </c>
      <c r="Q200" s="4395" t="s">
        <v>5732</v>
      </c>
      <c r="R200" s="5183" t="s">
        <v>1346</v>
      </c>
      <c r="S200" s="3115"/>
      <c r="T200" s="3071"/>
      <c r="U200" s="3274"/>
      <c r="V200" s="3661"/>
      <c r="W200" s="3664"/>
      <c r="X200" s="3187"/>
      <c r="Y200" s="3228"/>
      <c r="Z200" s="3228"/>
      <c r="AA200" s="3228"/>
      <c r="AB200" s="3330"/>
      <c r="AC200" s="3187"/>
      <c r="AD200" s="3230"/>
      <c r="AE200" s="3230"/>
      <c r="AF200" s="5187"/>
    </row>
    <row r="201" spans="1:32" ht="42" customHeight="1">
      <c r="A201" s="4564"/>
      <c r="B201" s="4408"/>
      <c r="C201" s="4404"/>
      <c r="D201" s="4378"/>
      <c r="E201" s="4378"/>
      <c r="F201" s="4378"/>
      <c r="G201" s="4378"/>
      <c r="H201" s="4378"/>
      <c r="I201" s="4378"/>
      <c r="J201" s="4378"/>
      <c r="K201" s="4378"/>
      <c r="L201" s="4378"/>
      <c r="M201" s="4393"/>
      <c r="N201" s="4393"/>
      <c r="O201" s="4393"/>
      <c r="P201" s="4378"/>
      <c r="Q201" s="4378"/>
      <c r="R201" s="5180"/>
      <c r="S201" s="3303"/>
      <c r="T201" s="1891"/>
      <c r="U201" s="1849"/>
      <c r="V201" s="1883"/>
      <c r="W201" s="1864"/>
      <c r="X201" s="1824"/>
      <c r="Y201" s="1870"/>
      <c r="Z201" s="1870"/>
      <c r="AA201" s="1870"/>
      <c r="AB201" s="1871"/>
      <c r="AC201" s="1824"/>
      <c r="AD201" s="3200"/>
      <c r="AE201" s="3200"/>
      <c r="AF201" s="4521"/>
    </row>
    <row r="202" spans="1:32" ht="42" customHeight="1">
      <c r="A202" s="4564"/>
      <c r="B202" s="4408"/>
      <c r="C202" s="4404"/>
      <c r="D202" s="4378"/>
      <c r="E202" s="4378"/>
      <c r="F202" s="4378"/>
      <c r="G202" s="4378"/>
      <c r="H202" s="4378"/>
      <c r="I202" s="4378"/>
      <c r="J202" s="4378"/>
      <c r="K202" s="4378"/>
      <c r="L202" s="4378"/>
      <c r="M202" s="4393"/>
      <c r="N202" s="4393"/>
      <c r="O202" s="4393"/>
      <c r="P202" s="4378"/>
      <c r="Q202" s="4378"/>
      <c r="R202" s="5180"/>
      <c r="S202" s="3303"/>
      <c r="T202" s="1891"/>
      <c r="U202" s="1849"/>
      <c r="V202" s="1883"/>
      <c r="W202" s="1864"/>
      <c r="X202" s="1824"/>
      <c r="Y202" s="1870"/>
      <c r="Z202" s="1870"/>
      <c r="AA202" s="1870"/>
      <c r="AB202" s="1871"/>
      <c r="AC202" s="1824"/>
      <c r="AD202" s="3200"/>
      <c r="AE202" s="3200"/>
      <c r="AF202" s="4521"/>
    </row>
    <row r="203" spans="1:32" ht="42" customHeight="1">
      <c r="A203" s="4564"/>
      <c r="B203" s="4408"/>
      <c r="C203" s="4404"/>
      <c r="D203" s="4378"/>
      <c r="E203" s="4378"/>
      <c r="F203" s="4378"/>
      <c r="G203" s="4378"/>
      <c r="H203" s="4378"/>
      <c r="I203" s="4378"/>
      <c r="J203" s="4378"/>
      <c r="K203" s="4378"/>
      <c r="L203" s="4378"/>
      <c r="M203" s="4393"/>
      <c r="N203" s="4393"/>
      <c r="O203" s="4393"/>
      <c r="P203" s="4378"/>
      <c r="Q203" s="4378"/>
      <c r="R203" s="5180"/>
      <c r="S203" s="3303"/>
      <c r="T203" s="1891"/>
      <c r="U203" s="1849"/>
      <c r="V203" s="1883"/>
      <c r="W203" s="1864"/>
      <c r="X203" s="1824"/>
      <c r="Y203" s="1870"/>
      <c r="Z203" s="1870"/>
      <c r="AA203" s="1870"/>
      <c r="AB203" s="1871"/>
      <c r="AC203" s="1824"/>
      <c r="AD203" s="3200"/>
      <c r="AE203" s="3200"/>
      <c r="AF203" s="4521"/>
    </row>
    <row r="204" spans="1:32" ht="42" customHeight="1" thickBot="1">
      <c r="A204" s="4564"/>
      <c r="B204" s="4408"/>
      <c r="C204" s="4405"/>
      <c r="D204" s="4379"/>
      <c r="E204" s="4379"/>
      <c r="F204" s="4379"/>
      <c r="G204" s="4379"/>
      <c r="H204" s="4379"/>
      <c r="I204" s="4379"/>
      <c r="J204" s="4379"/>
      <c r="K204" s="4379"/>
      <c r="L204" s="4379"/>
      <c r="M204" s="4394"/>
      <c r="N204" s="4394"/>
      <c r="O204" s="4394"/>
      <c r="P204" s="4379"/>
      <c r="Q204" s="4379"/>
      <c r="R204" s="5201"/>
      <c r="S204" s="3860"/>
      <c r="T204" s="3791"/>
      <c r="U204" s="3875"/>
      <c r="V204" s="3792"/>
      <c r="W204" s="3793"/>
      <c r="X204" s="3794"/>
      <c r="Y204" s="3795"/>
      <c r="Z204" s="3795"/>
      <c r="AA204" s="3795"/>
      <c r="AB204" s="3796"/>
      <c r="AC204" s="3794"/>
      <c r="AD204" s="3797"/>
      <c r="AE204" s="3797"/>
      <c r="AF204" s="4536"/>
    </row>
    <row r="205" spans="1:32" ht="22.5" customHeight="1" thickBot="1">
      <c r="A205" s="4564"/>
      <c r="B205" s="4479"/>
      <c r="C205" s="3781"/>
      <c r="D205" s="3780"/>
      <c r="E205" s="3780"/>
      <c r="F205" s="3780"/>
      <c r="G205" s="3780"/>
      <c r="H205" s="3780"/>
      <c r="I205" s="3780"/>
      <c r="J205" s="3780"/>
      <c r="K205" s="3780"/>
      <c r="L205" s="3780"/>
      <c r="M205" s="3653"/>
      <c r="N205" s="3653"/>
      <c r="O205" s="3653"/>
      <c r="P205" s="3780"/>
      <c r="Q205" s="3780"/>
      <c r="R205" s="3850"/>
      <c r="S205" s="5195" t="s">
        <v>1347</v>
      </c>
      <c r="T205" s="5196"/>
      <c r="U205" s="5196"/>
      <c r="V205" s="5196"/>
      <c r="W205" s="5196"/>
      <c r="X205" s="5196"/>
      <c r="Y205" s="5196"/>
      <c r="Z205" s="5197"/>
      <c r="AA205" s="3782" t="s">
        <v>340</v>
      </c>
      <c r="AB205" s="3624">
        <f>SUM(AB145:AB204)</f>
        <v>43.494080000000004</v>
      </c>
      <c r="AC205" s="5198"/>
      <c r="AD205" s="5111"/>
      <c r="AE205" s="5111"/>
      <c r="AF205" s="4717"/>
    </row>
    <row r="206" spans="1:32" ht="63.75" customHeight="1">
      <c r="A206" s="4564"/>
      <c r="B206" s="5213" t="s">
        <v>1348</v>
      </c>
      <c r="C206" s="5212" t="s">
        <v>235</v>
      </c>
      <c r="D206" s="4916" t="s">
        <v>236</v>
      </c>
      <c r="E206" s="4916" t="s">
        <v>237</v>
      </c>
      <c r="F206" s="4916" t="s">
        <v>326</v>
      </c>
      <c r="G206" s="5182" t="s">
        <v>239</v>
      </c>
      <c r="H206" s="4916" t="s">
        <v>240</v>
      </c>
      <c r="I206" s="4916" t="s">
        <v>294</v>
      </c>
      <c r="J206" s="4931" t="s">
        <v>5623</v>
      </c>
      <c r="K206" s="4916" t="s">
        <v>1349</v>
      </c>
      <c r="L206" s="4916" t="s">
        <v>1350</v>
      </c>
      <c r="M206" s="5204">
        <v>102</v>
      </c>
      <c r="N206" s="5204">
        <v>103</v>
      </c>
      <c r="O206" s="5204">
        <v>109</v>
      </c>
      <c r="P206" s="4931" t="s">
        <v>5684</v>
      </c>
      <c r="Q206" s="4524" t="s">
        <v>5733</v>
      </c>
      <c r="R206" s="5203" t="s">
        <v>5641</v>
      </c>
      <c r="S206" s="3861"/>
      <c r="T206" s="3785"/>
      <c r="U206" s="3876"/>
      <c r="V206" s="3666"/>
      <c r="W206" s="3665"/>
      <c r="X206" s="3667"/>
      <c r="Y206" s="3668"/>
      <c r="Z206" s="3668"/>
      <c r="AA206" s="3668"/>
      <c r="AB206" s="3786"/>
      <c r="AC206" s="3667"/>
      <c r="AD206" s="3788"/>
      <c r="AE206" s="3788"/>
      <c r="AF206" s="5210"/>
    </row>
    <row r="207" spans="1:32" ht="63.75" customHeight="1">
      <c r="A207" s="4564"/>
      <c r="B207" s="4408"/>
      <c r="C207" s="4404"/>
      <c r="D207" s="4378"/>
      <c r="E207" s="4378"/>
      <c r="F207" s="4378"/>
      <c r="G207" s="4378"/>
      <c r="H207" s="4378"/>
      <c r="I207" s="4378"/>
      <c r="J207" s="4378"/>
      <c r="K207" s="4378"/>
      <c r="L207" s="4378"/>
      <c r="M207" s="4393"/>
      <c r="N207" s="4393"/>
      <c r="O207" s="4393"/>
      <c r="P207" s="4378"/>
      <c r="Q207" s="4378"/>
      <c r="R207" s="5180"/>
      <c r="S207" s="3303"/>
      <c r="T207" s="1891"/>
      <c r="U207" s="1849"/>
      <c r="V207" s="1883"/>
      <c r="W207" s="1864"/>
      <c r="X207" s="1824"/>
      <c r="Y207" s="1870"/>
      <c r="Z207" s="1870"/>
      <c r="AA207" s="1870"/>
      <c r="AB207" s="1871"/>
      <c r="AC207" s="1824"/>
      <c r="AD207" s="3200"/>
      <c r="AE207" s="3200"/>
      <c r="AF207" s="4521"/>
    </row>
    <row r="208" spans="1:32" ht="63.75" customHeight="1">
      <c r="A208" s="4564"/>
      <c r="B208" s="4408"/>
      <c r="C208" s="4404"/>
      <c r="D208" s="4378"/>
      <c r="E208" s="4378"/>
      <c r="F208" s="4378"/>
      <c r="G208" s="4378"/>
      <c r="H208" s="4378"/>
      <c r="I208" s="4378"/>
      <c r="J208" s="4378"/>
      <c r="K208" s="4378"/>
      <c r="L208" s="4378"/>
      <c r="M208" s="4393"/>
      <c r="N208" s="4393"/>
      <c r="O208" s="4393"/>
      <c r="P208" s="4378"/>
      <c r="Q208" s="4378"/>
      <c r="R208" s="5180"/>
      <c r="S208" s="3303"/>
      <c r="T208" s="1891"/>
      <c r="U208" s="1849"/>
      <c r="V208" s="1883"/>
      <c r="W208" s="1864"/>
      <c r="X208" s="1824"/>
      <c r="Y208" s="1870"/>
      <c r="Z208" s="1870"/>
      <c r="AA208" s="1870"/>
      <c r="AB208" s="1871"/>
      <c r="AC208" s="1824"/>
      <c r="AD208" s="3200"/>
      <c r="AE208" s="3200"/>
      <c r="AF208" s="4521"/>
    </row>
    <row r="209" spans="1:32" ht="63.75" customHeight="1">
      <c r="A209" s="4564"/>
      <c r="B209" s="4408"/>
      <c r="C209" s="4404"/>
      <c r="D209" s="4378"/>
      <c r="E209" s="4378"/>
      <c r="F209" s="4378"/>
      <c r="G209" s="4378"/>
      <c r="H209" s="4378"/>
      <c r="I209" s="4378"/>
      <c r="J209" s="4378"/>
      <c r="K209" s="4378"/>
      <c r="L209" s="4378"/>
      <c r="M209" s="4393"/>
      <c r="N209" s="4393"/>
      <c r="O209" s="4393"/>
      <c r="P209" s="4378"/>
      <c r="Q209" s="4378"/>
      <c r="R209" s="5180"/>
      <c r="S209" s="3857" t="s">
        <v>11</v>
      </c>
      <c r="T209" s="1891">
        <v>531407</v>
      </c>
      <c r="U209" s="1849"/>
      <c r="V209" s="3789" t="s">
        <v>1351</v>
      </c>
      <c r="W209" s="1864"/>
      <c r="X209" s="1824"/>
      <c r="Y209" s="1870"/>
      <c r="Z209" s="1870"/>
      <c r="AA209" s="1870"/>
      <c r="AB209" s="1871">
        <f>SUM(AA210)</f>
        <v>504.00000000000006</v>
      </c>
      <c r="AC209" s="1824"/>
      <c r="AD209" s="3200"/>
      <c r="AE209" s="3200"/>
      <c r="AF209" s="4521"/>
    </row>
    <row r="210" spans="1:32" ht="63.75" customHeight="1">
      <c r="A210" s="4564"/>
      <c r="B210" s="4408"/>
      <c r="C210" s="4404"/>
      <c r="D210" s="4378"/>
      <c r="E210" s="4378"/>
      <c r="F210" s="4378"/>
      <c r="G210" s="4378"/>
      <c r="H210" s="4378"/>
      <c r="I210" s="4378"/>
      <c r="J210" s="4378"/>
      <c r="K210" s="4378"/>
      <c r="L210" s="4378"/>
      <c r="M210" s="4393"/>
      <c r="N210" s="4393"/>
      <c r="O210" s="4393"/>
      <c r="P210" s="4378"/>
      <c r="Q210" s="4378"/>
      <c r="R210" s="5180"/>
      <c r="S210" s="3303"/>
      <c r="T210" s="1891"/>
      <c r="U210" s="1849">
        <v>461220011</v>
      </c>
      <c r="V210" s="1883" t="s">
        <v>421</v>
      </c>
      <c r="W210" s="1864">
        <v>5</v>
      </c>
      <c r="X210" s="1824" t="s">
        <v>269</v>
      </c>
      <c r="Y210" s="1870">
        <v>90</v>
      </c>
      <c r="Z210" s="1870">
        <f>+W210*Y210</f>
        <v>450</v>
      </c>
      <c r="AA210" s="1870">
        <f>+Z210*1.12</f>
        <v>504.00000000000006</v>
      </c>
      <c r="AB210" s="1871"/>
      <c r="AC210" s="1824" t="s">
        <v>251</v>
      </c>
      <c r="AD210" s="3200"/>
      <c r="AE210" s="3200"/>
      <c r="AF210" s="4521"/>
    </row>
    <row r="211" spans="1:32" ht="63.75" customHeight="1">
      <c r="A211" s="4564"/>
      <c r="B211" s="4408"/>
      <c r="C211" s="4404"/>
      <c r="D211" s="4378"/>
      <c r="E211" s="4378"/>
      <c r="F211" s="4378"/>
      <c r="G211" s="4378"/>
      <c r="H211" s="4378"/>
      <c r="I211" s="4378"/>
      <c r="J211" s="4378"/>
      <c r="K211" s="4378"/>
      <c r="L211" s="4378"/>
      <c r="M211" s="4393"/>
      <c r="N211" s="4393"/>
      <c r="O211" s="4393"/>
      <c r="P211" s="4378"/>
      <c r="Q211" s="4378"/>
      <c r="R211" s="5180"/>
      <c r="S211" s="3857"/>
      <c r="T211" s="1891"/>
      <c r="U211" s="1849"/>
      <c r="V211" s="3789"/>
      <c r="W211" s="1864"/>
      <c r="X211" s="1824"/>
      <c r="Y211" s="1870"/>
      <c r="Z211" s="1870"/>
      <c r="AA211" s="1870"/>
      <c r="AB211" s="1871"/>
      <c r="AC211" s="1824"/>
      <c r="AD211" s="3200"/>
      <c r="AE211" s="3200"/>
      <c r="AF211" s="4521"/>
    </row>
    <row r="212" spans="1:32" ht="97.5" customHeight="1">
      <c r="A212" s="4564"/>
      <c r="B212" s="4408"/>
      <c r="C212" s="4413"/>
      <c r="D212" s="4396"/>
      <c r="E212" s="4396"/>
      <c r="F212" s="4396"/>
      <c r="G212" s="4396"/>
      <c r="H212" s="4396"/>
      <c r="I212" s="4396"/>
      <c r="J212" s="4396"/>
      <c r="K212" s="4396"/>
      <c r="L212" s="4396"/>
      <c r="M212" s="4402"/>
      <c r="N212" s="4402"/>
      <c r="O212" s="4402"/>
      <c r="P212" s="4396"/>
      <c r="Q212" s="4396"/>
      <c r="R212" s="5194"/>
      <c r="S212" s="3304"/>
      <c r="T212" s="3821"/>
      <c r="U212" s="3271"/>
      <c r="V212" s="3822"/>
      <c r="W212" s="3254"/>
      <c r="X212" s="3246"/>
      <c r="Y212" s="3245"/>
      <c r="Z212" s="3245"/>
      <c r="AA212" s="3245"/>
      <c r="AB212" s="3823"/>
      <c r="AC212" s="3246"/>
      <c r="AD212" s="3256"/>
      <c r="AE212" s="3256"/>
      <c r="AF212" s="4530"/>
    </row>
    <row r="213" spans="1:32" ht="62.25" customHeight="1">
      <c r="A213" s="4564"/>
      <c r="B213" s="4408"/>
      <c r="C213" s="4403" t="s">
        <v>235</v>
      </c>
      <c r="D213" s="4390" t="s">
        <v>236</v>
      </c>
      <c r="E213" s="4390" t="s">
        <v>237</v>
      </c>
      <c r="F213" s="4390" t="s">
        <v>326</v>
      </c>
      <c r="G213" s="4406" t="s">
        <v>239</v>
      </c>
      <c r="H213" s="4390" t="s">
        <v>240</v>
      </c>
      <c r="I213" s="4390" t="s">
        <v>294</v>
      </c>
      <c r="J213" s="4377" t="s">
        <v>5624</v>
      </c>
      <c r="K213" s="4390" t="s">
        <v>1352</v>
      </c>
      <c r="L213" s="4390" t="s">
        <v>1353</v>
      </c>
      <c r="M213" s="4392">
        <v>7</v>
      </c>
      <c r="N213" s="4392">
        <v>16</v>
      </c>
      <c r="O213" s="4392">
        <v>18</v>
      </c>
      <c r="P213" s="4377" t="s">
        <v>5685</v>
      </c>
      <c r="Q213" s="4391" t="s">
        <v>5734</v>
      </c>
      <c r="R213" s="5179" t="s">
        <v>5640</v>
      </c>
      <c r="S213" s="3869"/>
      <c r="T213" s="3270"/>
      <c r="U213" s="3272"/>
      <c r="V213" s="3662"/>
      <c r="W213" s="3663"/>
      <c r="X213" s="3259"/>
      <c r="Y213" s="3252"/>
      <c r="Z213" s="3252"/>
      <c r="AA213" s="3252"/>
      <c r="AB213" s="3329"/>
      <c r="AC213" s="3259"/>
      <c r="AD213" s="3824"/>
      <c r="AE213" s="3824"/>
      <c r="AF213" s="5188"/>
    </row>
    <row r="214" spans="1:32" ht="62.25" customHeight="1">
      <c r="A214" s="4564"/>
      <c r="B214" s="4408"/>
      <c r="C214" s="4404"/>
      <c r="D214" s="4378"/>
      <c r="E214" s="4378"/>
      <c r="F214" s="4378"/>
      <c r="G214" s="4378"/>
      <c r="H214" s="4378"/>
      <c r="I214" s="4378"/>
      <c r="J214" s="4378"/>
      <c r="K214" s="4378"/>
      <c r="L214" s="4378"/>
      <c r="M214" s="4393"/>
      <c r="N214" s="4393"/>
      <c r="O214" s="4393"/>
      <c r="P214" s="4378"/>
      <c r="Q214" s="4378"/>
      <c r="R214" s="5180"/>
      <c r="S214" s="3303"/>
      <c r="T214" s="1891"/>
      <c r="U214" s="1849"/>
      <c r="V214" s="1883"/>
      <c r="W214" s="1864"/>
      <c r="X214" s="1824"/>
      <c r="Y214" s="1870"/>
      <c r="Z214" s="1870"/>
      <c r="AA214" s="1870"/>
      <c r="AB214" s="1871"/>
      <c r="AC214" s="1824"/>
      <c r="AD214" s="1824"/>
      <c r="AE214" s="3790"/>
      <c r="AF214" s="4521"/>
    </row>
    <row r="215" spans="1:32" ht="62.25" customHeight="1">
      <c r="A215" s="4564"/>
      <c r="B215" s="4408"/>
      <c r="C215" s="4404"/>
      <c r="D215" s="4378"/>
      <c r="E215" s="4378"/>
      <c r="F215" s="4378"/>
      <c r="G215" s="4378"/>
      <c r="H215" s="4378"/>
      <c r="I215" s="4378"/>
      <c r="J215" s="4378"/>
      <c r="K215" s="4378"/>
      <c r="L215" s="4378"/>
      <c r="M215" s="4393"/>
      <c r="N215" s="4393"/>
      <c r="O215" s="4393"/>
      <c r="P215" s="4378"/>
      <c r="Q215" s="4378"/>
      <c r="R215" s="5180"/>
      <c r="S215" s="3303"/>
      <c r="T215" s="1891"/>
      <c r="U215" s="1849"/>
      <c r="V215" s="1883"/>
      <c r="W215" s="1864"/>
      <c r="X215" s="1824"/>
      <c r="Y215" s="1870"/>
      <c r="Z215" s="1870"/>
      <c r="AA215" s="1870"/>
      <c r="AB215" s="1871"/>
      <c r="AC215" s="1824"/>
      <c r="AD215" s="1824"/>
      <c r="AE215" s="3200"/>
      <c r="AF215" s="4521"/>
    </row>
    <row r="216" spans="1:32" ht="62.25" customHeight="1">
      <c r="A216" s="4564"/>
      <c r="B216" s="4408"/>
      <c r="C216" s="4404"/>
      <c r="D216" s="4378"/>
      <c r="E216" s="4378"/>
      <c r="F216" s="4378"/>
      <c r="G216" s="4378"/>
      <c r="H216" s="4378"/>
      <c r="I216" s="4378"/>
      <c r="J216" s="4378"/>
      <c r="K216" s="4378"/>
      <c r="L216" s="4378"/>
      <c r="M216" s="4393"/>
      <c r="N216" s="4393"/>
      <c r="O216" s="4393"/>
      <c r="P216" s="4378"/>
      <c r="Q216" s="4378"/>
      <c r="R216" s="5180"/>
      <c r="S216" s="3857"/>
      <c r="T216" s="1891"/>
      <c r="U216" s="1849"/>
      <c r="V216" s="3789"/>
      <c r="W216" s="1864"/>
      <c r="X216" s="1824"/>
      <c r="Y216" s="1870"/>
      <c r="Z216" s="1870"/>
      <c r="AA216" s="1870"/>
      <c r="AB216" s="1871"/>
      <c r="AC216" s="1824"/>
      <c r="AD216" s="1824"/>
      <c r="AE216" s="3200"/>
      <c r="AF216" s="4521"/>
    </row>
    <row r="217" spans="1:32" ht="62.25" customHeight="1">
      <c r="A217" s="4564"/>
      <c r="B217" s="4408"/>
      <c r="C217" s="4416"/>
      <c r="D217" s="4411"/>
      <c r="E217" s="4411"/>
      <c r="F217" s="4411"/>
      <c r="G217" s="4411"/>
      <c r="H217" s="4411"/>
      <c r="I217" s="4411"/>
      <c r="J217" s="4411"/>
      <c r="K217" s="4411"/>
      <c r="L217" s="4411"/>
      <c r="M217" s="4420"/>
      <c r="N217" s="4420"/>
      <c r="O217" s="4420"/>
      <c r="P217" s="4411"/>
      <c r="Q217" s="4411"/>
      <c r="R217" s="5181"/>
      <c r="S217" s="3306"/>
      <c r="T217" s="3819"/>
      <c r="U217" s="3268"/>
      <c r="V217" s="3641"/>
      <c r="W217" s="3233"/>
      <c r="X217" s="3234"/>
      <c r="Y217" s="3236"/>
      <c r="Z217" s="3236"/>
      <c r="AA217" s="3236"/>
      <c r="AB217" s="3820"/>
      <c r="AC217" s="3234"/>
      <c r="AD217" s="3234"/>
      <c r="AE217" s="3238"/>
      <c r="AF217" s="4522"/>
    </row>
    <row r="218" spans="1:32" ht="88.5" customHeight="1">
      <c r="A218" s="4564"/>
      <c r="B218" s="4408"/>
      <c r="C218" s="4412" t="s">
        <v>235</v>
      </c>
      <c r="D218" s="4400" t="s">
        <v>236</v>
      </c>
      <c r="E218" s="4400" t="s">
        <v>237</v>
      </c>
      <c r="F218" s="4400" t="s">
        <v>326</v>
      </c>
      <c r="G218" s="4414" t="s">
        <v>239</v>
      </c>
      <c r="H218" s="4400" t="s">
        <v>240</v>
      </c>
      <c r="I218" s="4400" t="s">
        <v>294</v>
      </c>
      <c r="J218" s="4395" t="s">
        <v>5625</v>
      </c>
      <c r="K218" s="4400" t="s">
        <v>1354</v>
      </c>
      <c r="L218" s="4400" t="s">
        <v>1355</v>
      </c>
      <c r="M218" s="4401">
        <v>10</v>
      </c>
      <c r="N218" s="4401">
        <v>10</v>
      </c>
      <c r="O218" s="4401">
        <v>10</v>
      </c>
      <c r="P218" s="4395" t="s">
        <v>5686</v>
      </c>
      <c r="Q218" s="4399" t="s">
        <v>5735</v>
      </c>
      <c r="R218" s="5183" t="s">
        <v>5642</v>
      </c>
      <c r="S218" s="3870"/>
      <c r="T218" s="3071"/>
      <c r="U218" s="3274"/>
      <c r="V218" s="3661"/>
      <c r="W218" s="3664"/>
      <c r="X218" s="3187"/>
      <c r="Y218" s="3228"/>
      <c r="Z218" s="3228"/>
      <c r="AA218" s="3228"/>
      <c r="AB218" s="3330"/>
      <c r="AC218" s="3187"/>
      <c r="AD218" s="3230"/>
      <c r="AE218" s="3230"/>
      <c r="AF218" s="5187"/>
    </row>
    <row r="219" spans="1:32" ht="88.5" customHeight="1">
      <c r="A219" s="4564"/>
      <c r="B219" s="4408"/>
      <c r="C219" s="4404"/>
      <c r="D219" s="4378"/>
      <c r="E219" s="4378"/>
      <c r="F219" s="4378"/>
      <c r="G219" s="4378"/>
      <c r="H219" s="4378"/>
      <c r="I219" s="4378"/>
      <c r="J219" s="4378"/>
      <c r="K219" s="4378"/>
      <c r="L219" s="4378"/>
      <c r="M219" s="4393"/>
      <c r="N219" s="4393"/>
      <c r="O219" s="4393"/>
      <c r="P219" s="4378"/>
      <c r="Q219" s="4378"/>
      <c r="R219" s="5180"/>
      <c r="S219" s="3303"/>
      <c r="T219" s="1891"/>
      <c r="U219" s="1849"/>
      <c r="V219" s="1883"/>
      <c r="W219" s="1864"/>
      <c r="X219" s="1824"/>
      <c r="Y219" s="1870"/>
      <c r="Z219" s="1870"/>
      <c r="AA219" s="1870"/>
      <c r="AB219" s="1871"/>
      <c r="AC219" s="1824"/>
      <c r="AD219" s="3200"/>
      <c r="AE219" s="3200"/>
      <c r="AF219" s="4521"/>
    </row>
    <row r="220" spans="1:32" ht="88.5" customHeight="1">
      <c r="A220" s="4564"/>
      <c r="B220" s="4408"/>
      <c r="C220" s="4404"/>
      <c r="D220" s="4378"/>
      <c r="E220" s="4378"/>
      <c r="F220" s="4378"/>
      <c r="G220" s="4378"/>
      <c r="H220" s="4378"/>
      <c r="I220" s="4378"/>
      <c r="J220" s="4378"/>
      <c r="K220" s="4378"/>
      <c r="L220" s="4378"/>
      <c r="M220" s="4393"/>
      <c r="N220" s="4393"/>
      <c r="O220" s="4393"/>
      <c r="P220" s="4378"/>
      <c r="Q220" s="4378"/>
      <c r="R220" s="5180"/>
      <c r="S220" s="3303"/>
      <c r="T220" s="1891"/>
      <c r="U220" s="1849"/>
      <c r="V220" s="1883"/>
      <c r="W220" s="1864"/>
      <c r="X220" s="1824"/>
      <c r="Y220" s="1870"/>
      <c r="Z220" s="1870"/>
      <c r="AA220" s="1870"/>
      <c r="AB220" s="1871"/>
      <c r="AC220" s="1824"/>
      <c r="AD220" s="3200"/>
      <c r="AE220" s="3200"/>
      <c r="AF220" s="4521"/>
    </row>
    <row r="221" spans="1:32" ht="88.5" customHeight="1">
      <c r="A221" s="4564"/>
      <c r="B221" s="4408"/>
      <c r="C221" s="4404"/>
      <c r="D221" s="4378"/>
      <c r="E221" s="4378"/>
      <c r="F221" s="4378"/>
      <c r="G221" s="4378"/>
      <c r="H221" s="4378"/>
      <c r="I221" s="4378"/>
      <c r="J221" s="4378"/>
      <c r="K221" s="4378"/>
      <c r="L221" s="4378"/>
      <c r="M221" s="4393"/>
      <c r="N221" s="4393"/>
      <c r="O221" s="4393"/>
      <c r="P221" s="4378"/>
      <c r="Q221" s="4378"/>
      <c r="R221" s="5180"/>
      <c r="S221" s="3303"/>
      <c r="T221" s="1891"/>
      <c r="U221" s="1849"/>
      <c r="V221" s="1883"/>
      <c r="W221" s="1864"/>
      <c r="X221" s="1824"/>
      <c r="Y221" s="1870"/>
      <c r="Z221" s="1870"/>
      <c r="AA221" s="1870"/>
      <c r="AB221" s="1871"/>
      <c r="AC221" s="1824"/>
      <c r="AD221" s="3200"/>
      <c r="AE221" s="3200"/>
      <c r="AF221" s="4521"/>
    </row>
    <row r="222" spans="1:32" ht="88.5" customHeight="1">
      <c r="A222" s="4564"/>
      <c r="B222" s="4408"/>
      <c r="C222" s="4413"/>
      <c r="D222" s="4396"/>
      <c r="E222" s="4396"/>
      <c r="F222" s="4396"/>
      <c r="G222" s="4396"/>
      <c r="H222" s="4396"/>
      <c r="I222" s="4396"/>
      <c r="J222" s="4396"/>
      <c r="K222" s="4396"/>
      <c r="L222" s="4396"/>
      <c r="M222" s="4402"/>
      <c r="N222" s="4402"/>
      <c r="O222" s="4402"/>
      <c r="P222" s="4396"/>
      <c r="Q222" s="4396"/>
      <c r="R222" s="5194"/>
      <c r="S222" s="3304"/>
      <c r="T222" s="3821"/>
      <c r="U222" s="3271"/>
      <c r="V222" s="3822"/>
      <c r="W222" s="3254"/>
      <c r="X222" s="3246"/>
      <c r="Y222" s="3245"/>
      <c r="Z222" s="3245"/>
      <c r="AA222" s="3245"/>
      <c r="AB222" s="3823"/>
      <c r="AC222" s="3246"/>
      <c r="AD222" s="3256"/>
      <c r="AE222" s="3256"/>
      <c r="AF222" s="4530"/>
    </row>
    <row r="223" spans="1:32" ht="46.5" customHeight="1">
      <c r="A223" s="4564"/>
      <c r="B223" s="4408"/>
      <c r="C223" s="4403" t="s">
        <v>235</v>
      </c>
      <c r="D223" s="4390" t="s">
        <v>236</v>
      </c>
      <c r="E223" s="4390" t="s">
        <v>237</v>
      </c>
      <c r="F223" s="4390" t="s">
        <v>326</v>
      </c>
      <c r="G223" s="4406" t="s">
        <v>239</v>
      </c>
      <c r="H223" s="4390" t="s">
        <v>240</v>
      </c>
      <c r="I223" s="4390" t="s">
        <v>294</v>
      </c>
      <c r="J223" s="4377" t="s">
        <v>5626</v>
      </c>
      <c r="K223" s="4390" t="s">
        <v>1356</v>
      </c>
      <c r="L223" s="4390" t="s">
        <v>1357</v>
      </c>
      <c r="M223" s="4392">
        <v>40</v>
      </c>
      <c r="N223" s="4392">
        <v>40</v>
      </c>
      <c r="O223" s="4392">
        <v>40</v>
      </c>
      <c r="P223" s="4377" t="s">
        <v>5687</v>
      </c>
      <c r="Q223" s="4391" t="s">
        <v>5736</v>
      </c>
      <c r="R223" s="5179" t="s">
        <v>5643</v>
      </c>
      <c r="S223" s="3869"/>
      <c r="T223" s="3270"/>
      <c r="U223" s="3272"/>
      <c r="V223" s="3662"/>
      <c r="W223" s="3663"/>
      <c r="X223" s="3259"/>
      <c r="Y223" s="3252"/>
      <c r="Z223" s="3252"/>
      <c r="AA223" s="3252"/>
      <c r="AB223" s="3329"/>
      <c r="AC223" s="3259"/>
      <c r="AD223" s="3262"/>
      <c r="AE223" s="3262"/>
      <c r="AF223" s="5188"/>
    </row>
    <row r="224" spans="1:32" ht="46.5" customHeight="1">
      <c r="A224" s="4564"/>
      <c r="B224" s="4408"/>
      <c r="C224" s="4404"/>
      <c r="D224" s="4378"/>
      <c r="E224" s="4378"/>
      <c r="F224" s="4378"/>
      <c r="G224" s="4378"/>
      <c r="H224" s="4378"/>
      <c r="I224" s="4378"/>
      <c r="J224" s="4378"/>
      <c r="K224" s="4378"/>
      <c r="L224" s="4378"/>
      <c r="M224" s="4393"/>
      <c r="N224" s="4393"/>
      <c r="O224" s="4393"/>
      <c r="P224" s="4378"/>
      <c r="Q224" s="4378"/>
      <c r="R224" s="5180"/>
      <c r="S224" s="3303"/>
      <c r="T224" s="1891"/>
      <c r="U224" s="1849"/>
      <c r="V224" s="1883"/>
      <c r="W224" s="1864"/>
      <c r="X224" s="1824"/>
      <c r="Y224" s="1870"/>
      <c r="Z224" s="1870"/>
      <c r="AA224" s="1870"/>
      <c r="AB224" s="1871"/>
      <c r="AC224" s="1824"/>
      <c r="AD224" s="3200"/>
      <c r="AE224" s="3200"/>
      <c r="AF224" s="4521"/>
    </row>
    <row r="225" spans="1:32" ht="46.5" customHeight="1">
      <c r="A225" s="4564"/>
      <c r="B225" s="4408"/>
      <c r="C225" s="4404"/>
      <c r="D225" s="4378"/>
      <c r="E225" s="4378"/>
      <c r="F225" s="4378"/>
      <c r="G225" s="4378"/>
      <c r="H225" s="4378"/>
      <c r="I225" s="4378"/>
      <c r="J225" s="4378"/>
      <c r="K225" s="4378"/>
      <c r="L225" s="4378"/>
      <c r="M225" s="4393"/>
      <c r="N225" s="4393"/>
      <c r="O225" s="4393"/>
      <c r="P225" s="4378"/>
      <c r="Q225" s="4378"/>
      <c r="R225" s="5180"/>
      <c r="S225" s="3857"/>
      <c r="T225" s="1891"/>
      <c r="U225" s="1849"/>
      <c r="V225" s="3789"/>
      <c r="W225" s="1864"/>
      <c r="X225" s="1824"/>
      <c r="Y225" s="1870"/>
      <c r="Z225" s="1870"/>
      <c r="AA225" s="1870"/>
      <c r="AB225" s="1871"/>
      <c r="AC225" s="1824"/>
      <c r="AD225" s="3200"/>
      <c r="AE225" s="3200"/>
      <c r="AF225" s="4521"/>
    </row>
    <row r="226" spans="1:32" ht="46.5" customHeight="1">
      <c r="A226" s="4564"/>
      <c r="B226" s="4408"/>
      <c r="C226" s="4404"/>
      <c r="D226" s="4378"/>
      <c r="E226" s="4378"/>
      <c r="F226" s="4378"/>
      <c r="G226" s="4378"/>
      <c r="H226" s="4378"/>
      <c r="I226" s="4378"/>
      <c r="J226" s="4378"/>
      <c r="K226" s="4378"/>
      <c r="L226" s="4378"/>
      <c r="M226" s="4393"/>
      <c r="N226" s="4393"/>
      <c r="O226" s="4393"/>
      <c r="P226" s="4378"/>
      <c r="Q226" s="4378"/>
      <c r="R226" s="5180"/>
      <c r="S226" s="3303"/>
      <c r="T226" s="1891"/>
      <c r="U226" s="1849"/>
      <c r="V226" s="1883"/>
      <c r="W226" s="1864"/>
      <c r="X226" s="1824"/>
      <c r="Y226" s="1870"/>
      <c r="Z226" s="1870"/>
      <c r="AA226" s="1870"/>
      <c r="AB226" s="1871"/>
      <c r="AC226" s="1824"/>
      <c r="AD226" s="3200"/>
      <c r="AE226" s="3200"/>
      <c r="AF226" s="4521"/>
    </row>
    <row r="227" spans="1:32" ht="46.5" customHeight="1">
      <c r="A227" s="4564"/>
      <c r="B227" s="4408"/>
      <c r="C227" s="4416"/>
      <c r="D227" s="4411"/>
      <c r="E227" s="4411"/>
      <c r="F227" s="4411"/>
      <c r="G227" s="4411"/>
      <c r="H227" s="4411"/>
      <c r="I227" s="4411"/>
      <c r="J227" s="4411"/>
      <c r="K227" s="4411"/>
      <c r="L227" s="4411"/>
      <c r="M227" s="4420"/>
      <c r="N227" s="4420"/>
      <c r="O227" s="4420"/>
      <c r="P227" s="4411"/>
      <c r="Q227" s="4411"/>
      <c r="R227" s="5181"/>
      <c r="S227" s="3306"/>
      <c r="T227" s="3819"/>
      <c r="U227" s="3268"/>
      <c r="V227" s="3641"/>
      <c r="W227" s="3233"/>
      <c r="X227" s="3234"/>
      <c r="Y227" s="3236"/>
      <c r="Z227" s="3236"/>
      <c r="AA227" s="3236"/>
      <c r="AB227" s="3820"/>
      <c r="AC227" s="3234"/>
      <c r="AD227" s="3238"/>
      <c r="AE227" s="3238"/>
      <c r="AF227" s="4522"/>
    </row>
    <row r="228" spans="1:32" ht="48" customHeight="1">
      <c r="A228" s="4564"/>
      <c r="B228" s="4408"/>
      <c r="C228" s="4412" t="s">
        <v>235</v>
      </c>
      <c r="D228" s="4400" t="s">
        <v>236</v>
      </c>
      <c r="E228" s="4400" t="s">
        <v>237</v>
      </c>
      <c r="F228" s="4400" t="s">
        <v>326</v>
      </c>
      <c r="G228" s="4414" t="s">
        <v>239</v>
      </c>
      <c r="H228" s="4400" t="s">
        <v>240</v>
      </c>
      <c r="I228" s="4400" t="s">
        <v>294</v>
      </c>
      <c r="J228" s="4395" t="s">
        <v>5753</v>
      </c>
      <c r="K228" s="4418" t="s">
        <v>1270</v>
      </c>
      <c r="L228" s="4395" t="s">
        <v>5747</v>
      </c>
      <c r="M228" s="4401">
        <v>3</v>
      </c>
      <c r="N228" s="4401">
        <v>4</v>
      </c>
      <c r="O228" s="4401">
        <v>4</v>
      </c>
      <c r="P228" s="4395" t="s">
        <v>5688</v>
      </c>
      <c r="Q228" s="4399" t="s">
        <v>5737</v>
      </c>
      <c r="R228" s="5183" t="s">
        <v>5644</v>
      </c>
      <c r="S228" s="3870"/>
      <c r="T228" s="3071"/>
      <c r="U228" s="3274"/>
      <c r="V228" s="3661"/>
      <c r="W228" s="3664"/>
      <c r="X228" s="3187"/>
      <c r="Y228" s="3228"/>
      <c r="Z228" s="3228"/>
      <c r="AA228" s="3228"/>
      <c r="AB228" s="3330"/>
      <c r="AC228" s="3187"/>
      <c r="AD228" s="3230"/>
      <c r="AE228" s="3230"/>
      <c r="AF228" s="5187"/>
    </row>
    <row r="229" spans="1:32" ht="48" customHeight="1">
      <c r="A229" s="4564"/>
      <c r="B229" s="4408"/>
      <c r="C229" s="4404"/>
      <c r="D229" s="4378"/>
      <c r="E229" s="4378"/>
      <c r="F229" s="4378"/>
      <c r="G229" s="4378"/>
      <c r="H229" s="4378"/>
      <c r="I229" s="4378"/>
      <c r="J229" s="4378"/>
      <c r="K229" s="4378"/>
      <c r="L229" s="4378"/>
      <c r="M229" s="4393"/>
      <c r="N229" s="4393"/>
      <c r="O229" s="4393"/>
      <c r="P229" s="4378"/>
      <c r="Q229" s="4378"/>
      <c r="R229" s="5180"/>
      <c r="S229" s="3303"/>
      <c r="T229" s="1891"/>
      <c r="U229" s="1849"/>
      <c r="V229" s="1883"/>
      <c r="W229" s="1864"/>
      <c r="X229" s="1824"/>
      <c r="Y229" s="1870"/>
      <c r="Z229" s="1870"/>
      <c r="AA229" s="1870"/>
      <c r="AB229" s="1871"/>
      <c r="AC229" s="1824"/>
      <c r="AD229" s="3200"/>
      <c r="AE229" s="3200"/>
      <c r="AF229" s="4521"/>
    </row>
    <row r="230" spans="1:32" ht="48" customHeight="1">
      <c r="A230" s="4564"/>
      <c r="B230" s="4408"/>
      <c r="C230" s="4404"/>
      <c r="D230" s="4378"/>
      <c r="E230" s="4378"/>
      <c r="F230" s="4378"/>
      <c r="G230" s="4378"/>
      <c r="H230" s="4378"/>
      <c r="I230" s="4378"/>
      <c r="J230" s="4378"/>
      <c r="K230" s="4378"/>
      <c r="L230" s="4378"/>
      <c r="M230" s="4393"/>
      <c r="N230" s="4393"/>
      <c r="O230" s="4393"/>
      <c r="P230" s="4378"/>
      <c r="Q230" s="4378"/>
      <c r="R230" s="5180"/>
      <c r="S230" s="3857"/>
      <c r="T230" s="1891"/>
      <c r="U230" s="1849"/>
      <c r="V230" s="3789"/>
      <c r="W230" s="1864"/>
      <c r="X230" s="1824"/>
      <c r="Y230" s="1870"/>
      <c r="Z230" s="1870"/>
      <c r="AA230" s="1870"/>
      <c r="AB230" s="1871"/>
      <c r="AC230" s="1824"/>
      <c r="AD230" s="3200"/>
      <c r="AE230" s="3200"/>
      <c r="AF230" s="4521"/>
    </row>
    <row r="231" spans="1:32" ht="48" customHeight="1">
      <c r="A231" s="4564"/>
      <c r="B231" s="4408"/>
      <c r="C231" s="4404"/>
      <c r="D231" s="4378"/>
      <c r="E231" s="4378"/>
      <c r="F231" s="4378"/>
      <c r="G231" s="4378"/>
      <c r="H231" s="4378"/>
      <c r="I231" s="4378"/>
      <c r="J231" s="4378"/>
      <c r="K231" s="4378"/>
      <c r="L231" s="4378"/>
      <c r="M231" s="4393"/>
      <c r="N231" s="4393"/>
      <c r="O231" s="4393"/>
      <c r="P231" s="4378"/>
      <c r="Q231" s="4378"/>
      <c r="R231" s="5180"/>
      <c r="S231" s="3303"/>
      <c r="T231" s="1891"/>
      <c r="U231" s="1849"/>
      <c r="V231" s="1883"/>
      <c r="W231" s="1864"/>
      <c r="X231" s="1824"/>
      <c r="Y231" s="1870"/>
      <c r="Z231" s="1870"/>
      <c r="AA231" s="1870"/>
      <c r="AB231" s="1871"/>
      <c r="AC231" s="1824"/>
      <c r="AD231" s="3200"/>
      <c r="AE231" s="3200"/>
      <c r="AF231" s="4521"/>
    </row>
    <row r="232" spans="1:32" ht="48" customHeight="1">
      <c r="A232" s="4564"/>
      <c r="B232" s="4408"/>
      <c r="C232" s="4413"/>
      <c r="D232" s="4396"/>
      <c r="E232" s="4396"/>
      <c r="F232" s="4396"/>
      <c r="G232" s="4396"/>
      <c r="H232" s="4396"/>
      <c r="I232" s="4396"/>
      <c r="J232" s="4396"/>
      <c r="K232" s="4396"/>
      <c r="L232" s="4396"/>
      <c r="M232" s="4402"/>
      <c r="N232" s="4402"/>
      <c r="O232" s="4402"/>
      <c r="P232" s="4396"/>
      <c r="Q232" s="4396"/>
      <c r="R232" s="5194"/>
      <c r="S232" s="3304"/>
      <c r="T232" s="3821"/>
      <c r="U232" s="3271"/>
      <c r="V232" s="3822"/>
      <c r="W232" s="3254"/>
      <c r="X232" s="3246"/>
      <c r="Y232" s="3245"/>
      <c r="Z232" s="3245"/>
      <c r="AA232" s="3245"/>
      <c r="AB232" s="3823"/>
      <c r="AC232" s="3246"/>
      <c r="AD232" s="3256"/>
      <c r="AE232" s="3256"/>
      <c r="AF232" s="4530"/>
    </row>
    <row r="233" spans="1:32" ht="52.5" customHeight="1">
      <c r="A233" s="4564"/>
      <c r="B233" s="4408"/>
      <c r="C233" s="4403" t="s">
        <v>235</v>
      </c>
      <c r="D233" s="4390" t="s">
        <v>236</v>
      </c>
      <c r="E233" s="4390" t="s">
        <v>237</v>
      </c>
      <c r="F233" s="4390" t="s">
        <v>326</v>
      </c>
      <c r="G233" s="4406" t="s">
        <v>239</v>
      </c>
      <c r="H233" s="4390" t="s">
        <v>240</v>
      </c>
      <c r="I233" s="4390" t="s">
        <v>294</v>
      </c>
      <c r="J233" s="4377" t="s">
        <v>5627</v>
      </c>
      <c r="K233" s="4390" t="s">
        <v>1252</v>
      </c>
      <c r="L233" s="4390" t="s">
        <v>1358</v>
      </c>
      <c r="M233" s="4392">
        <v>0</v>
      </c>
      <c r="N233" s="4392">
        <v>1</v>
      </c>
      <c r="O233" s="4392">
        <v>1</v>
      </c>
      <c r="P233" s="4377" t="s">
        <v>5689</v>
      </c>
      <c r="Q233" s="4391" t="s">
        <v>5731</v>
      </c>
      <c r="R233" s="5179" t="s">
        <v>5645</v>
      </c>
      <c r="S233" s="3869"/>
      <c r="T233" s="3270"/>
      <c r="U233" s="3272"/>
      <c r="V233" s="3662"/>
      <c r="W233" s="3663"/>
      <c r="X233" s="3259"/>
      <c r="Y233" s="3252"/>
      <c r="Z233" s="3252"/>
      <c r="AA233" s="3252"/>
      <c r="AB233" s="3329"/>
      <c r="AC233" s="3259"/>
      <c r="AD233" s="3262"/>
      <c r="AE233" s="3262"/>
      <c r="AF233" s="5188"/>
    </row>
    <row r="234" spans="1:32" ht="52.5" customHeight="1">
      <c r="A234" s="4564"/>
      <c r="B234" s="4408"/>
      <c r="C234" s="4404"/>
      <c r="D234" s="4378"/>
      <c r="E234" s="4378"/>
      <c r="F234" s="4378"/>
      <c r="G234" s="4378"/>
      <c r="H234" s="4378"/>
      <c r="I234" s="4378"/>
      <c r="J234" s="4378"/>
      <c r="K234" s="4378"/>
      <c r="L234" s="4378"/>
      <c r="M234" s="4393"/>
      <c r="N234" s="4393"/>
      <c r="O234" s="4393"/>
      <c r="P234" s="4378"/>
      <c r="Q234" s="4378"/>
      <c r="R234" s="5180"/>
      <c r="S234" s="3303"/>
      <c r="T234" s="1891"/>
      <c r="U234" s="1849"/>
      <c r="V234" s="1883"/>
      <c r="W234" s="1864"/>
      <c r="X234" s="1824"/>
      <c r="Y234" s="1870"/>
      <c r="Z234" s="1870"/>
      <c r="AA234" s="1870"/>
      <c r="AB234" s="1871"/>
      <c r="AC234" s="1824"/>
      <c r="AD234" s="3200"/>
      <c r="AE234" s="3200"/>
      <c r="AF234" s="4521"/>
    </row>
    <row r="235" spans="1:32" ht="52.5" customHeight="1">
      <c r="A235" s="4564"/>
      <c r="B235" s="4408"/>
      <c r="C235" s="4404"/>
      <c r="D235" s="4378"/>
      <c r="E235" s="4378"/>
      <c r="F235" s="4378"/>
      <c r="G235" s="4378"/>
      <c r="H235" s="4378"/>
      <c r="I235" s="4378"/>
      <c r="J235" s="4378"/>
      <c r="K235" s="4378"/>
      <c r="L235" s="4378"/>
      <c r="M235" s="4393"/>
      <c r="N235" s="4393"/>
      <c r="O235" s="4393"/>
      <c r="P235" s="4378"/>
      <c r="Q235" s="4378"/>
      <c r="R235" s="5180"/>
      <c r="S235" s="3857"/>
      <c r="T235" s="1891"/>
      <c r="U235" s="1849"/>
      <c r="V235" s="3789"/>
      <c r="W235" s="1864"/>
      <c r="X235" s="1824"/>
      <c r="Y235" s="1870"/>
      <c r="Z235" s="1870"/>
      <c r="AA235" s="1870"/>
      <c r="AB235" s="1871"/>
      <c r="AC235" s="1824"/>
      <c r="AD235" s="3200"/>
      <c r="AE235" s="3200"/>
      <c r="AF235" s="4521"/>
    </row>
    <row r="236" spans="1:32" ht="52.5" customHeight="1">
      <c r="A236" s="4564"/>
      <c r="B236" s="4408"/>
      <c r="C236" s="4404"/>
      <c r="D236" s="4378"/>
      <c r="E236" s="4378"/>
      <c r="F236" s="4378"/>
      <c r="G236" s="4378"/>
      <c r="H236" s="4378"/>
      <c r="I236" s="4378"/>
      <c r="J236" s="4378"/>
      <c r="K236" s="4378"/>
      <c r="L236" s="4378"/>
      <c r="M236" s="4393"/>
      <c r="N236" s="4393"/>
      <c r="O236" s="4393"/>
      <c r="P236" s="4378"/>
      <c r="Q236" s="4378"/>
      <c r="R236" s="5180"/>
      <c r="S236" s="3303"/>
      <c r="T236" s="1891"/>
      <c r="U236" s="1849"/>
      <c r="V236" s="1883"/>
      <c r="W236" s="1864"/>
      <c r="X236" s="1824"/>
      <c r="Y236" s="1870"/>
      <c r="Z236" s="1870"/>
      <c r="AA236" s="1870"/>
      <c r="AB236" s="1871"/>
      <c r="AC236" s="1824"/>
      <c r="AD236" s="3200"/>
      <c r="AE236" s="3200"/>
      <c r="AF236" s="4521"/>
    </row>
    <row r="237" spans="1:32" ht="52.5" customHeight="1">
      <c r="A237" s="4564"/>
      <c r="B237" s="4408"/>
      <c r="C237" s="4416"/>
      <c r="D237" s="4411"/>
      <c r="E237" s="4411"/>
      <c r="F237" s="4411"/>
      <c r="G237" s="4411"/>
      <c r="H237" s="4411"/>
      <c r="I237" s="4411"/>
      <c r="J237" s="4411"/>
      <c r="K237" s="4411"/>
      <c r="L237" s="4411"/>
      <c r="M237" s="4420"/>
      <c r="N237" s="4420"/>
      <c r="O237" s="4420"/>
      <c r="P237" s="4411"/>
      <c r="Q237" s="4411"/>
      <c r="R237" s="5181"/>
      <c r="S237" s="3306"/>
      <c r="T237" s="3819"/>
      <c r="U237" s="3268"/>
      <c r="V237" s="3641"/>
      <c r="W237" s="3233"/>
      <c r="X237" s="3234"/>
      <c r="Y237" s="3236"/>
      <c r="Z237" s="3236"/>
      <c r="AA237" s="3236"/>
      <c r="AB237" s="3820"/>
      <c r="AC237" s="3234"/>
      <c r="AD237" s="3238"/>
      <c r="AE237" s="3238"/>
      <c r="AF237" s="4522"/>
    </row>
    <row r="238" spans="1:32" ht="55.5" customHeight="1">
      <c r="A238" s="4564"/>
      <c r="B238" s="4408"/>
      <c r="C238" s="4412" t="s">
        <v>235</v>
      </c>
      <c r="D238" s="4400" t="s">
        <v>236</v>
      </c>
      <c r="E238" s="4400" t="s">
        <v>237</v>
      </c>
      <c r="F238" s="4400" t="s">
        <v>326</v>
      </c>
      <c r="G238" s="4414" t="s">
        <v>239</v>
      </c>
      <c r="H238" s="4400" t="s">
        <v>240</v>
      </c>
      <c r="I238" s="4400" t="s">
        <v>294</v>
      </c>
      <c r="J238" s="4395" t="s">
        <v>4510</v>
      </c>
      <c r="K238" s="4400" t="s">
        <v>371</v>
      </c>
      <c r="L238" s="4400" t="s">
        <v>1360</v>
      </c>
      <c r="M238" s="4401">
        <v>6</v>
      </c>
      <c r="N238" s="4401">
        <v>6</v>
      </c>
      <c r="O238" s="4401">
        <v>6</v>
      </c>
      <c r="P238" s="4395" t="s">
        <v>5690</v>
      </c>
      <c r="Q238" s="4399" t="s">
        <v>3911</v>
      </c>
      <c r="R238" s="4897" t="s">
        <v>5641</v>
      </c>
      <c r="S238" s="3870"/>
      <c r="T238" s="3071"/>
      <c r="U238" s="3274"/>
      <c r="V238" s="3661"/>
      <c r="W238" s="3664"/>
      <c r="X238" s="3187"/>
      <c r="Y238" s="3228"/>
      <c r="Z238" s="3228"/>
      <c r="AA238" s="3228"/>
      <c r="AB238" s="3330"/>
      <c r="AC238" s="3187"/>
      <c r="AD238" s="3825"/>
      <c r="AE238" s="3825"/>
      <c r="AF238" s="5187"/>
    </row>
    <row r="239" spans="1:32" ht="55.5" customHeight="1">
      <c r="A239" s="4564"/>
      <c r="B239" s="4408"/>
      <c r="C239" s="4404"/>
      <c r="D239" s="4378"/>
      <c r="E239" s="4378"/>
      <c r="F239" s="4378"/>
      <c r="G239" s="4378"/>
      <c r="H239" s="4378"/>
      <c r="I239" s="4378"/>
      <c r="J239" s="4378"/>
      <c r="K239" s="4378"/>
      <c r="L239" s="4378"/>
      <c r="M239" s="4393"/>
      <c r="N239" s="4393"/>
      <c r="O239" s="4393"/>
      <c r="P239" s="4378"/>
      <c r="Q239" s="4378"/>
      <c r="R239" s="5180"/>
      <c r="S239" s="3303"/>
      <c r="T239" s="1891"/>
      <c r="U239" s="1849"/>
      <c r="V239" s="1883"/>
      <c r="W239" s="1864"/>
      <c r="X239" s="1824"/>
      <c r="Y239" s="1870"/>
      <c r="Z239" s="1870"/>
      <c r="AA239" s="1870"/>
      <c r="AB239" s="1871"/>
      <c r="AC239" s="1824"/>
      <c r="AD239" s="1824"/>
      <c r="AE239" s="3790"/>
      <c r="AF239" s="4521"/>
    </row>
    <row r="240" spans="1:32" ht="55.5" customHeight="1">
      <c r="A240" s="4564"/>
      <c r="B240" s="4408"/>
      <c r="C240" s="4404"/>
      <c r="D240" s="4378"/>
      <c r="E240" s="4378"/>
      <c r="F240" s="4378"/>
      <c r="G240" s="4378"/>
      <c r="H240" s="4378"/>
      <c r="I240" s="4378"/>
      <c r="J240" s="4378"/>
      <c r="K240" s="4378"/>
      <c r="L240" s="4378"/>
      <c r="M240" s="4393"/>
      <c r="N240" s="4393"/>
      <c r="O240" s="4393"/>
      <c r="P240" s="4378"/>
      <c r="Q240" s="4378"/>
      <c r="R240" s="5180"/>
      <c r="S240" s="3303"/>
      <c r="T240" s="1891"/>
      <c r="U240" s="1849"/>
      <c r="V240" s="1883"/>
      <c r="W240" s="1864"/>
      <c r="X240" s="1824"/>
      <c r="Y240" s="1870"/>
      <c r="Z240" s="1870"/>
      <c r="AA240" s="1870"/>
      <c r="AB240" s="1871"/>
      <c r="AC240" s="1824"/>
      <c r="AD240" s="1824"/>
      <c r="AE240" s="3200"/>
      <c r="AF240" s="4521"/>
    </row>
    <row r="241" spans="1:32" ht="55.5" customHeight="1">
      <c r="A241" s="4564"/>
      <c r="B241" s="4408"/>
      <c r="C241" s="4404"/>
      <c r="D241" s="4378"/>
      <c r="E241" s="4378"/>
      <c r="F241" s="4378"/>
      <c r="G241" s="4378"/>
      <c r="H241" s="4378"/>
      <c r="I241" s="4378"/>
      <c r="J241" s="4378"/>
      <c r="K241" s="4378"/>
      <c r="L241" s="4378"/>
      <c r="M241" s="4393"/>
      <c r="N241" s="4393"/>
      <c r="O241" s="4393"/>
      <c r="P241" s="4378"/>
      <c r="Q241" s="4378"/>
      <c r="R241" s="5180"/>
      <c r="S241" s="3857"/>
      <c r="T241" s="1891"/>
      <c r="U241" s="1849"/>
      <c r="V241" s="3789"/>
      <c r="W241" s="1864"/>
      <c r="X241" s="1824"/>
      <c r="Y241" s="1870"/>
      <c r="Z241" s="1870"/>
      <c r="AA241" s="1870"/>
      <c r="AB241" s="1871"/>
      <c r="AC241" s="1824"/>
      <c r="AD241" s="1824"/>
      <c r="AE241" s="3200"/>
      <c r="AF241" s="4521"/>
    </row>
    <row r="242" spans="1:32" ht="55.5" customHeight="1" thickBot="1">
      <c r="A242" s="4564"/>
      <c r="B242" s="4408"/>
      <c r="C242" s="4405"/>
      <c r="D242" s="4379"/>
      <c r="E242" s="4379"/>
      <c r="F242" s="4379"/>
      <c r="G242" s="4379"/>
      <c r="H242" s="4379"/>
      <c r="I242" s="4379"/>
      <c r="J242" s="4379"/>
      <c r="K242" s="4379"/>
      <c r="L242" s="4379"/>
      <c r="M242" s="4394"/>
      <c r="N242" s="4394"/>
      <c r="O242" s="4394"/>
      <c r="P242" s="4379"/>
      <c r="Q242" s="4379"/>
      <c r="R242" s="5201"/>
      <c r="S242" s="3860"/>
      <c r="T242" s="3791"/>
      <c r="U242" s="3875"/>
      <c r="V242" s="3792"/>
      <c r="W242" s="3793"/>
      <c r="X242" s="3794"/>
      <c r="Y242" s="3795"/>
      <c r="Z242" s="3795"/>
      <c r="AA242" s="3795"/>
      <c r="AB242" s="3796"/>
      <c r="AC242" s="3794"/>
      <c r="AD242" s="3794"/>
      <c r="AE242" s="3797"/>
      <c r="AF242" s="4536"/>
    </row>
    <row r="243" spans="1:32" ht="22.5" customHeight="1" thickBot="1">
      <c r="A243" s="4564"/>
      <c r="B243" s="4479"/>
      <c r="C243" s="3781"/>
      <c r="D243" s="3780"/>
      <c r="E243" s="3780"/>
      <c r="F243" s="3780"/>
      <c r="G243" s="3780"/>
      <c r="H243" s="3780"/>
      <c r="I243" s="3780"/>
      <c r="J243" s="3780"/>
      <c r="K243" s="3780"/>
      <c r="L243" s="3780"/>
      <c r="M243" s="3653"/>
      <c r="N243" s="3653"/>
      <c r="O243" s="3653"/>
      <c r="P243" s="3780"/>
      <c r="Q243" s="3780"/>
      <c r="R243" s="3850"/>
      <c r="S243" s="5195" t="s">
        <v>1361</v>
      </c>
      <c r="T243" s="5196"/>
      <c r="U243" s="5196"/>
      <c r="V243" s="5196"/>
      <c r="W243" s="5196"/>
      <c r="X243" s="5196"/>
      <c r="Y243" s="5196"/>
      <c r="Z243" s="5197"/>
      <c r="AA243" s="3782" t="s">
        <v>340</v>
      </c>
      <c r="AB243" s="3624">
        <f>SUM(AB206:AB242)</f>
        <v>504.00000000000006</v>
      </c>
      <c r="AC243" s="5198"/>
      <c r="AD243" s="5111"/>
      <c r="AE243" s="5111"/>
      <c r="AF243" s="4717"/>
    </row>
    <row r="244" spans="1:32" ht="21" customHeight="1">
      <c r="A244" s="4564"/>
      <c r="B244" s="4571" t="s">
        <v>1362</v>
      </c>
      <c r="C244" s="5212" t="s">
        <v>235</v>
      </c>
      <c r="D244" s="4916" t="s">
        <v>236</v>
      </c>
      <c r="E244" s="4916" t="s">
        <v>237</v>
      </c>
      <c r="F244" s="4916" t="s">
        <v>326</v>
      </c>
      <c r="G244" s="5182" t="s">
        <v>239</v>
      </c>
      <c r="H244" s="4916" t="s">
        <v>240</v>
      </c>
      <c r="I244" s="4916" t="s">
        <v>257</v>
      </c>
      <c r="J244" s="4931" t="s">
        <v>5752</v>
      </c>
      <c r="K244" s="4916" t="s">
        <v>1363</v>
      </c>
      <c r="L244" s="4916" t="s">
        <v>1364</v>
      </c>
      <c r="M244" s="4917">
        <v>0</v>
      </c>
      <c r="N244" s="4917">
        <v>0</v>
      </c>
      <c r="O244" s="4917">
        <v>1</v>
      </c>
      <c r="P244" s="4524" t="s">
        <v>5691</v>
      </c>
      <c r="Q244" s="4931" t="s">
        <v>5738</v>
      </c>
      <c r="R244" s="5203" t="s">
        <v>5646</v>
      </c>
      <c r="S244" s="3861" t="s">
        <v>11</v>
      </c>
      <c r="T244" s="3785">
        <v>531407</v>
      </c>
      <c r="U244" s="3876"/>
      <c r="V244" s="3666" t="s">
        <v>20</v>
      </c>
      <c r="W244" s="3810"/>
      <c r="X244" s="3811"/>
      <c r="Y244" s="3786"/>
      <c r="Z244" s="3786"/>
      <c r="AA244" s="3786"/>
      <c r="AB244" s="3812">
        <f>SUM(AA245)</f>
        <v>94.998400000000004</v>
      </c>
      <c r="AC244" s="3667"/>
      <c r="AD244" s="3788"/>
      <c r="AE244" s="3788"/>
      <c r="AF244" s="5189" t="s">
        <v>1365</v>
      </c>
    </row>
    <row r="245" spans="1:32" ht="21" customHeight="1">
      <c r="A245" s="4564"/>
      <c r="B245" s="4408"/>
      <c r="C245" s="4404"/>
      <c r="D245" s="4378"/>
      <c r="E245" s="4378"/>
      <c r="F245" s="4378"/>
      <c r="G245" s="4378"/>
      <c r="H245" s="4378"/>
      <c r="I245" s="4378"/>
      <c r="J245" s="4378"/>
      <c r="K245" s="4378"/>
      <c r="L245" s="4378"/>
      <c r="M245" s="4393"/>
      <c r="N245" s="4393"/>
      <c r="O245" s="4393"/>
      <c r="P245" s="4378"/>
      <c r="Q245" s="4378"/>
      <c r="R245" s="5180"/>
      <c r="S245" s="3857"/>
      <c r="T245" s="1891"/>
      <c r="U245" s="3883">
        <v>461220011</v>
      </c>
      <c r="V245" s="1883" t="s">
        <v>1366</v>
      </c>
      <c r="W245" s="1864">
        <v>1</v>
      </c>
      <c r="X245" s="1824" t="s">
        <v>269</v>
      </c>
      <c r="Y245" s="3214">
        <v>84.82</v>
      </c>
      <c r="Z245" s="3214">
        <f>+W245*Y245</f>
        <v>84.82</v>
      </c>
      <c r="AA245" s="3214">
        <f>+Z245*1.12</f>
        <v>94.998400000000004</v>
      </c>
      <c r="AB245" s="3638"/>
      <c r="AC245" s="1824" t="s">
        <v>251</v>
      </c>
      <c r="AD245" s="3200"/>
      <c r="AE245" s="3200"/>
      <c r="AF245" s="5185"/>
    </row>
    <row r="246" spans="1:32" ht="21" customHeight="1">
      <c r="A246" s="4564"/>
      <c r="B246" s="4408"/>
      <c r="C246" s="4404"/>
      <c r="D246" s="4378"/>
      <c r="E246" s="4378"/>
      <c r="F246" s="4378"/>
      <c r="G246" s="4378"/>
      <c r="H246" s="4378"/>
      <c r="I246" s="4378"/>
      <c r="J246" s="4378"/>
      <c r="K246" s="4378"/>
      <c r="L246" s="4378"/>
      <c r="M246" s="4393"/>
      <c r="N246" s="4393"/>
      <c r="O246" s="4393"/>
      <c r="P246" s="4378"/>
      <c r="Q246" s="4378"/>
      <c r="R246" s="5180"/>
      <c r="S246" s="3857" t="s">
        <v>11</v>
      </c>
      <c r="T246" s="1891">
        <v>840103</v>
      </c>
      <c r="U246" s="3879"/>
      <c r="V246" s="3813" t="s">
        <v>22</v>
      </c>
      <c r="W246" s="3814"/>
      <c r="X246" s="3815"/>
      <c r="Y246" s="1871"/>
      <c r="Z246" s="1871"/>
      <c r="AA246" s="1871"/>
      <c r="AB246" s="3638">
        <f>SUM(AA247:AA250)</f>
        <v>1079.99584</v>
      </c>
      <c r="AC246" s="3816"/>
      <c r="AD246" s="3816"/>
      <c r="AE246" s="3200"/>
      <c r="AF246" s="5185"/>
    </row>
    <row r="247" spans="1:32" ht="21" customHeight="1">
      <c r="A247" s="4564"/>
      <c r="B247" s="4408"/>
      <c r="C247" s="4404"/>
      <c r="D247" s="4378"/>
      <c r="E247" s="4378"/>
      <c r="F247" s="4378"/>
      <c r="G247" s="4378"/>
      <c r="H247" s="4378"/>
      <c r="I247" s="4378"/>
      <c r="J247" s="4378"/>
      <c r="K247" s="4378"/>
      <c r="L247" s="4378"/>
      <c r="M247" s="4393"/>
      <c r="N247" s="4393"/>
      <c r="O247" s="4393"/>
      <c r="P247" s="4378"/>
      <c r="Q247" s="4378"/>
      <c r="R247" s="5180"/>
      <c r="S247" s="3857"/>
      <c r="T247" s="1891"/>
      <c r="U247" s="3883">
        <v>381210011</v>
      </c>
      <c r="V247" s="1883" t="s">
        <v>1367</v>
      </c>
      <c r="W247" s="1864">
        <v>1</v>
      </c>
      <c r="X247" s="1824" t="s">
        <v>269</v>
      </c>
      <c r="Y247" s="3214">
        <v>232.14</v>
      </c>
      <c r="Z247" s="3214">
        <f t="shared" ref="Z247:Z250" si="3">+W247*Y247</f>
        <v>232.14</v>
      </c>
      <c r="AA247" s="3214">
        <f t="shared" ref="AA247:AA250" si="4">+Z247*1.12</f>
        <v>259.99680000000001</v>
      </c>
      <c r="AB247" s="1871"/>
      <c r="AC247" s="1824" t="s">
        <v>251</v>
      </c>
      <c r="AD247" s="3200"/>
      <c r="AE247" s="3200"/>
      <c r="AF247" s="5185"/>
    </row>
    <row r="248" spans="1:32" ht="21" customHeight="1">
      <c r="A248" s="4564"/>
      <c r="B248" s="4408"/>
      <c r="C248" s="4404"/>
      <c r="D248" s="4378"/>
      <c r="E248" s="4378"/>
      <c r="F248" s="4378"/>
      <c r="G248" s="4378"/>
      <c r="H248" s="4378"/>
      <c r="I248" s="4378"/>
      <c r="J248" s="4378"/>
      <c r="K248" s="4378"/>
      <c r="L248" s="4378"/>
      <c r="M248" s="4393"/>
      <c r="N248" s="4393"/>
      <c r="O248" s="4393"/>
      <c r="P248" s="4378"/>
      <c r="Q248" s="4378"/>
      <c r="R248" s="5180"/>
      <c r="S248" s="3857"/>
      <c r="T248" s="1891"/>
      <c r="U248" s="3883">
        <v>3812200621</v>
      </c>
      <c r="V248" s="1883" t="s">
        <v>850</v>
      </c>
      <c r="W248" s="1864">
        <v>1</v>
      </c>
      <c r="X248" s="1824" t="s">
        <v>269</v>
      </c>
      <c r="Y248" s="3214">
        <v>178.57</v>
      </c>
      <c r="Z248" s="3214">
        <f t="shared" si="3"/>
        <v>178.57</v>
      </c>
      <c r="AA248" s="3214">
        <f t="shared" si="4"/>
        <v>199.9984</v>
      </c>
      <c r="AB248" s="1871"/>
      <c r="AC248" s="1824" t="s">
        <v>251</v>
      </c>
      <c r="AD248" s="3200"/>
      <c r="AE248" s="3200"/>
      <c r="AF248" s="5185"/>
    </row>
    <row r="249" spans="1:32" ht="21" customHeight="1">
      <c r="A249" s="4564"/>
      <c r="B249" s="4408"/>
      <c r="C249" s="4404"/>
      <c r="D249" s="4378"/>
      <c r="E249" s="4378"/>
      <c r="F249" s="4378"/>
      <c r="G249" s="4378"/>
      <c r="H249" s="4378"/>
      <c r="I249" s="4378"/>
      <c r="J249" s="4378"/>
      <c r="K249" s="4378"/>
      <c r="L249" s="4378"/>
      <c r="M249" s="4393"/>
      <c r="N249" s="4393"/>
      <c r="O249" s="4393"/>
      <c r="P249" s="4378"/>
      <c r="Q249" s="4378"/>
      <c r="R249" s="5180"/>
      <c r="S249" s="3857"/>
      <c r="T249" s="1891"/>
      <c r="U249" s="3880">
        <v>381110212</v>
      </c>
      <c r="V249" s="1883" t="s">
        <v>1368</v>
      </c>
      <c r="W249" s="1864">
        <v>1</v>
      </c>
      <c r="X249" s="1824" t="s">
        <v>269</v>
      </c>
      <c r="Y249" s="3214">
        <v>232.14</v>
      </c>
      <c r="Z249" s="3214">
        <f t="shared" si="3"/>
        <v>232.14</v>
      </c>
      <c r="AA249" s="3214">
        <f t="shared" si="4"/>
        <v>259.99680000000001</v>
      </c>
      <c r="AB249" s="1871"/>
      <c r="AC249" s="1824" t="s">
        <v>251</v>
      </c>
      <c r="AD249" s="3200"/>
      <c r="AE249" s="3200"/>
      <c r="AF249" s="5185"/>
    </row>
    <row r="250" spans="1:32" ht="21" customHeight="1">
      <c r="A250" s="4564"/>
      <c r="B250" s="4408"/>
      <c r="C250" s="4413"/>
      <c r="D250" s="4396"/>
      <c r="E250" s="4396"/>
      <c r="F250" s="4396"/>
      <c r="G250" s="4396"/>
      <c r="H250" s="4396"/>
      <c r="I250" s="4396"/>
      <c r="J250" s="4396"/>
      <c r="K250" s="4396"/>
      <c r="L250" s="4396"/>
      <c r="M250" s="4402"/>
      <c r="N250" s="4402"/>
      <c r="O250" s="4402"/>
      <c r="P250" s="4396"/>
      <c r="Q250" s="4396"/>
      <c r="R250" s="5194"/>
      <c r="S250" s="3871"/>
      <c r="T250" s="3821"/>
      <c r="U250" s="3884">
        <v>3812200235</v>
      </c>
      <c r="V250" s="3822" t="s">
        <v>1369</v>
      </c>
      <c r="W250" s="3254">
        <v>1</v>
      </c>
      <c r="X250" s="3246" t="s">
        <v>269</v>
      </c>
      <c r="Y250" s="3291">
        <v>321.43200000000002</v>
      </c>
      <c r="Z250" s="3291">
        <f t="shared" si="3"/>
        <v>321.43200000000002</v>
      </c>
      <c r="AA250" s="3291">
        <f t="shared" si="4"/>
        <v>360.00384000000003</v>
      </c>
      <c r="AB250" s="3823"/>
      <c r="AC250" s="3246" t="s">
        <v>251</v>
      </c>
      <c r="AD250" s="3256"/>
      <c r="AE250" s="3256"/>
      <c r="AF250" s="5186"/>
    </row>
    <row r="251" spans="1:32" ht="37.5" customHeight="1">
      <c r="A251" s="4564"/>
      <c r="B251" s="4408"/>
      <c r="C251" s="4403" t="s">
        <v>235</v>
      </c>
      <c r="D251" s="4390" t="s">
        <v>236</v>
      </c>
      <c r="E251" s="4390" t="s">
        <v>237</v>
      </c>
      <c r="F251" s="4390" t="s">
        <v>326</v>
      </c>
      <c r="G251" s="4406" t="s">
        <v>239</v>
      </c>
      <c r="H251" s="4390" t="s">
        <v>240</v>
      </c>
      <c r="I251" s="4390" t="s">
        <v>257</v>
      </c>
      <c r="J251" s="4377" t="s">
        <v>5628</v>
      </c>
      <c r="K251" s="4390" t="s">
        <v>1370</v>
      </c>
      <c r="L251" s="4390" t="s">
        <v>1371</v>
      </c>
      <c r="M251" s="4964">
        <v>0</v>
      </c>
      <c r="N251" s="4964">
        <v>0</v>
      </c>
      <c r="O251" s="4964">
        <v>1</v>
      </c>
      <c r="P251" s="4377" t="s">
        <v>5692</v>
      </c>
      <c r="Q251" s="4377" t="s">
        <v>5739</v>
      </c>
      <c r="R251" s="5179" t="s">
        <v>5647</v>
      </c>
      <c r="S251" s="3869" t="s">
        <v>11</v>
      </c>
      <c r="T251" s="3270">
        <v>530207</v>
      </c>
      <c r="U251" s="3881"/>
      <c r="V251" s="3830" t="s">
        <v>31</v>
      </c>
      <c r="W251" s="3831"/>
      <c r="X251" s="3832"/>
      <c r="Y251" s="3329"/>
      <c r="Z251" s="3329"/>
      <c r="AA251" s="3833"/>
      <c r="AB251" s="3329">
        <f>SUM(AA252)</f>
        <v>299.99760000000003</v>
      </c>
      <c r="AC251" s="3259"/>
      <c r="AD251" s="3262"/>
      <c r="AE251" s="3262"/>
      <c r="AF251" s="5190"/>
    </row>
    <row r="252" spans="1:32" ht="37.5" customHeight="1">
      <c r="A252" s="4564"/>
      <c r="B252" s="4408"/>
      <c r="C252" s="4404"/>
      <c r="D252" s="4378"/>
      <c r="E252" s="4378"/>
      <c r="F252" s="4378"/>
      <c r="G252" s="4378"/>
      <c r="H252" s="4378"/>
      <c r="I252" s="4378"/>
      <c r="J252" s="4378"/>
      <c r="K252" s="4378"/>
      <c r="L252" s="4378"/>
      <c r="M252" s="4393"/>
      <c r="N252" s="4393"/>
      <c r="O252" s="4393"/>
      <c r="P252" s="4378"/>
      <c r="Q252" s="4378"/>
      <c r="R252" s="5180"/>
      <c r="S252" s="3857"/>
      <c r="T252" s="1891"/>
      <c r="U252" s="3883">
        <v>323000013</v>
      </c>
      <c r="V252" s="1883" t="s">
        <v>1372</v>
      </c>
      <c r="W252" s="1864">
        <v>5</v>
      </c>
      <c r="X252" s="1824" t="s">
        <v>269</v>
      </c>
      <c r="Y252" s="3214">
        <v>53.570999999999998</v>
      </c>
      <c r="Z252" s="3214">
        <f>+W252*Y252</f>
        <v>267.85500000000002</v>
      </c>
      <c r="AA252" s="3214">
        <f>(Z252*12%)+Z252</f>
        <v>299.99760000000003</v>
      </c>
      <c r="AB252" s="1871"/>
      <c r="AC252" s="1824" t="s">
        <v>251</v>
      </c>
      <c r="AD252" s="3790"/>
      <c r="AE252" s="3790"/>
      <c r="AF252" s="4521"/>
    </row>
    <row r="253" spans="1:32" ht="37.5" customHeight="1">
      <c r="A253" s="4564"/>
      <c r="B253" s="4408"/>
      <c r="C253" s="4404"/>
      <c r="D253" s="4378"/>
      <c r="E253" s="4378"/>
      <c r="F253" s="4378"/>
      <c r="G253" s="4378"/>
      <c r="H253" s="4378"/>
      <c r="I253" s="4378"/>
      <c r="J253" s="4378"/>
      <c r="K253" s="4378"/>
      <c r="L253" s="4378"/>
      <c r="M253" s="4393"/>
      <c r="N253" s="4393"/>
      <c r="O253" s="4393"/>
      <c r="P253" s="4378"/>
      <c r="Q253" s="4378"/>
      <c r="R253" s="5180"/>
      <c r="S253" s="3864"/>
      <c r="T253" s="1891"/>
      <c r="U253" s="1849"/>
      <c r="V253" s="3804"/>
      <c r="W253" s="3817"/>
      <c r="X253" s="3212"/>
      <c r="Y253" s="1870"/>
      <c r="Z253" s="1870"/>
      <c r="AA253" s="1870"/>
      <c r="AB253" s="1870"/>
      <c r="AC253" s="3212"/>
      <c r="AD253" s="1824"/>
      <c r="AE253" s="3790"/>
      <c r="AF253" s="4521"/>
    </row>
    <row r="254" spans="1:32" ht="37.5" customHeight="1">
      <c r="A254" s="4564"/>
      <c r="B254" s="4408"/>
      <c r="C254" s="4416"/>
      <c r="D254" s="4411"/>
      <c r="E254" s="4411"/>
      <c r="F254" s="4411"/>
      <c r="G254" s="4411"/>
      <c r="H254" s="4411"/>
      <c r="I254" s="4411"/>
      <c r="J254" s="4411"/>
      <c r="K254" s="4411"/>
      <c r="L254" s="4411"/>
      <c r="M254" s="4420"/>
      <c r="N254" s="4420"/>
      <c r="O254" s="4420"/>
      <c r="P254" s="4411"/>
      <c r="Q254" s="4411"/>
      <c r="R254" s="5181"/>
      <c r="S254" s="3114"/>
      <c r="T254" s="3819"/>
      <c r="U254" s="3268"/>
      <c r="V254" s="3837"/>
      <c r="W254" s="3838"/>
      <c r="X254" s="3281"/>
      <c r="Y254" s="3236"/>
      <c r="Z254" s="3236"/>
      <c r="AA254" s="3236"/>
      <c r="AB254" s="3236"/>
      <c r="AC254" s="3281"/>
      <c r="AD254" s="3234"/>
      <c r="AE254" s="3839"/>
      <c r="AF254" s="4522"/>
    </row>
    <row r="255" spans="1:32" ht="37.5" customHeight="1">
      <c r="A255" s="4564"/>
      <c r="B255" s="4408"/>
      <c r="C255" s="4412" t="s">
        <v>235</v>
      </c>
      <c r="D255" s="4400" t="s">
        <v>236</v>
      </c>
      <c r="E255" s="4400" t="s">
        <v>237</v>
      </c>
      <c r="F255" s="4400" t="s">
        <v>326</v>
      </c>
      <c r="G255" s="4414" t="s">
        <v>239</v>
      </c>
      <c r="H255" s="4400" t="s">
        <v>240</v>
      </c>
      <c r="I255" s="4400" t="s">
        <v>257</v>
      </c>
      <c r="J255" s="4399" t="s">
        <v>5751</v>
      </c>
      <c r="K255" s="4400" t="s">
        <v>1373</v>
      </c>
      <c r="L255" s="4400" t="s">
        <v>1374</v>
      </c>
      <c r="M255" s="4957">
        <v>0</v>
      </c>
      <c r="N255" s="4957">
        <v>1</v>
      </c>
      <c r="O255" s="4957">
        <v>1</v>
      </c>
      <c r="P255" s="4399" t="s">
        <v>5693</v>
      </c>
      <c r="Q255" s="4399" t="s">
        <v>5740</v>
      </c>
      <c r="R255" s="5183" t="s">
        <v>5646</v>
      </c>
      <c r="S255" s="3870"/>
      <c r="T255" s="3071"/>
      <c r="U255" s="3184"/>
      <c r="V255" s="3661"/>
      <c r="W255" s="3834"/>
      <c r="X255" s="3835"/>
      <c r="Y255" s="3330"/>
      <c r="Z255" s="3330"/>
      <c r="AA255" s="3228"/>
      <c r="AB255" s="3228"/>
      <c r="AC255" s="3836"/>
      <c r="AD255" s="3230"/>
      <c r="AE255" s="3230"/>
      <c r="AF255" s="5191" t="s">
        <v>1375</v>
      </c>
    </row>
    <row r="256" spans="1:32" ht="37.5" customHeight="1">
      <c r="A256" s="4564"/>
      <c r="B256" s="4408"/>
      <c r="C256" s="4404"/>
      <c r="D256" s="4378"/>
      <c r="E256" s="4378"/>
      <c r="F256" s="4378"/>
      <c r="G256" s="4378"/>
      <c r="H256" s="4378"/>
      <c r="I256" s="4378"/>
      <c r="J256" s="4378"/>
      <c r="K256" s="4378"/>
      <c r="L256" s="4378"/>
      <c r="M256" s="4393"/>
      <c r="N256" s="4393"/>
      <c r="O256" s="4393"/>
      <c r="P256" s="4378"/>
      <c r="Q256" s="4378"/>
      <c r="R256" s="5180"/>
      <c r="S256" s="3857"/>
      <c r="T256" s="1891"/>
      <c r="U256" s="1849"/>
      <c r="V256" s="1883"/>
      <c r="W256" s="1864"/>
      <c r="X256" s="1824"/>
      <c r="Y256" s="3214"/>
      <c r="Z256" s="3214"/>
      <c r="AA256" s="1870"/>
      <c r="AB256" s="1870"/>
      <c r="AC256" s="3818"/>
      <c r="AD256" s="3200"/>
      <c r="AE256" s="3200"/>
      <c r="AF256" s="5185"/>
    </row>
    <row r="257" spans="1:32" ht="37.5" customHeight="1">
      <c r="A257" s="4564"/>
      <c r="B257" s="4408"/>
      <c r="C257" s="4404"/>
      <c r="D257" s="4378"/>
      <c r="E257" s="4378"/>
      <c r="F257" s="4378"/>
      <c r="G257" s="4378"/>
      <c r="H257" s="4378"/>
      <c r="I257" s="4378"/>
      <c r="J257" s="4378"/>
      <c r="K257" s="4378"/>
      <c r="L257" s="4378"/>
      <c r="M257" s="4393"/>
      <c r="N257" s="4393"/>
      <c r="O257" s="4393"/>
      <c r="P257" s="4378"/>
      <c r="Q257" s="4378"/>
      <c r="R257" s="5180"/>
      <c r="S257" s="3303"/>
      <c r="T257" s="1891"/>
      <c r="U257" s="1849"/>
      <c r="V257" s="1883"/>
      <c r="W257" s="1864"/>
      <c r="X257" s="1824"/>
      <c r="Y257" s="1870"/>
      <c r="Z257" s="1870"/>
      <c r="AA257" s="1870"/>
      <c r="AB257" s="1870"/>
      <c r="AC257" s="3818"/>
      <c r="AD257" s="3200"/>
      <c r="AE257" s="3200"/>
      <c r="AF257" s="5185"/>
    </row>
    <row r="258" spans="1:32" ht="37.5" customHeight="1">
      <c r="A258" s="4564"/>
      <c r="B258" s="4408"/>
      <c r="C258" s="4413"/>
      <c r="D258" s="4396"/>
      <c r="E258" s="4396"/>
      <c r="F258" s="4396"/>
      <c r="G258" s="4396"/>
      <c r="H258" s="4396"/>
      <c r="I258" s="4396"/>
      <c r="J258" s="4396"/>
      <c r="K258" s="4396"/>
      <c r="L258" s="4396"/>
      <c r="M258" s="4402"/>
      <c r="N258" s="4402"/>
      <c r="O258" s="4402"/>
      <c r="P258" s="4396"/>
      <c r="Q258" s="4396"/>
      <c r="R258" s="5194"/>
      <c r="S258" s="3872"/>
      <c r="T258" s="3821"/>
      <c r="U258" s="3271"/>
      <c r="V258" s="3822"/>
      <c r="W258" s="3254"/>
      <c r="X258" s="3246"/>
      <c r="Y258" s="3245"/>
      <c r="Z258" s="3245"/>
      <c r="AA258" s="3245"/>
      <c r="AB258" s="3245"/>
      <c r="AC258" s="3840"/>
      <c r="AD258" s="3256"/>
      <c r="AE258" s="3256"/>
      <c r="AF258" s="5186"/>
    </row>
    <row r="259" spans="1:32" ht="30.75" customHeight="1">
      <c r="A259" s="4564"/>
      <c r="B259" s="4408"/>
      <c r="C259" s="4403" t="s">
        <v>235</v>
      </c>
      <c r="D259" s="4390" t="s">
        <v>236</v>
      </c>
      <c r="E259" s="4390" t="s">
        <v>237</v>
      </c>
      <c r="F259" s="4390" t="s">
        <v>326</v>
      </c>
      <c r="G259" s="4406" t="s">
        <v>239</v>
      </c>
      <c r="H259" s="4390" t="s">
        <v>240</v>
      </c>
      <c r="I259" s="4390" t="s">
        <v>257</v>
      </c>
      <c r="J259" s="4391" t="s">
        <v>5750</v>
      </c>
      <c r="K259" s="4390" t="s">
        <v>1376</v>
      </c>
      <c r="L259" s="4390" t="s">
        <v>1377</v>
      </c>
      <c r="M259" s="4964">
        <v>0</v>
      </c>
      <c r="N259" s="4964">
        <v>0</v>
      </c>
      <c r="O259" s="4964">
        <v>0</v>
      </c>
      <c r="P259" s="4377" t="s">
        <v>5694</v>
      </c>
      <c r="Q259" s="4377" t="s">
        <v>5741</v>
      </c>
      <c r="R259" s="5179" t="s">
        <v>5646</v>
      </c>
      <c r="S259" s="3305"/>
      <c r="T259" s="3270"/>
      <c r="U259" s="3272"/>
      <c r="V259" s="3662"/>
      <c r="W259" s="3663"/>
      <c r="X259" s="3259"/>
      <c r="Y259" s="3252"/>
      <c r="Z259" s="3252"/>
      <c r="AA259" s="3252"/>
      <c r="AB259" s="3329"/>
      <c r="AC259" s="3259"/>
      <c r="AD259" s="3262"/>
      <c r="AE259" s="3262"/>
      <c r="AF259" s="5192" t="s">
        <v>1378</v>
      </c>
    </row>
    <row r="260" spans="1:32" ht="30.75" customHeight="1">
      <c r="A260" s="4564"/>
      <c r="B260" s="4408"/>
      <c r="C260" s="4404"/>
      <c r="D260" s="4378"/>
      <c r="E260" s="4378"/>
      <c r="F260" s="4378"/>
      <c r="G260" s="4378"/>
      <c r="H260" s="4378"/>
      <c r="I260" s="4378"/>
      <c r="J260" s="4378"/>
      <c r="K260" s="4378"/>
      <c r="L260" s="4378"/>
      <c r="M260" s="4393"/>
      <c r="N260" s="4393"/>
      <c r="O260" s="4393"/>
      <c r="P260" s="4378"/>
      <c r="Q260" s="4378"/>
      <c r="R260" s="5180"/>
      <c r="S260" s="3303"/>
      <c r="T260" s="1891"/>
      <c r="U260" s="1849"/>
      <c r="V260" s="1883"/>
      <c r="W260" s="1864"/>
      <c r="X260" s="1824"/>
      <c r="Y260" s="1870"/>
      <c r="Z260" s="1870"/>
      <c r="AA260" s="1870"/>
      <c r="AB260" s="1871"/>
      <c r="AC260" s="1824"/>
      <c r="AD260" s="3200"/>
      <c r="AE260" s="3200"/>
      <c r="AF260" s="5185"/>
    </row>
    <row r="261" spans="1:32" ht="30.75" customHeight="1">
      <c r="A261" s="4564"/>
      <c r="B261" s="4408"/>
      <c r="C261" s="4404"/>
      <c r="D261" s="4378"/>
      <c r="E261" s="4378"/>
      <c r="F261" s="4378"/>
      <c r="G261" s="4378"/>
      <c r="H261" s="4378"/>
      <c r="I261" s="4378"/>
      <c r="J261" s="4378"/>
      <c r="K261" s="4378"/>
      <c r="L261" s="4378"/>
      <c r="M261" s="4393"/>
      <c r="N261" s="4393"/>
      <c r="O261" s="4393"/>
      <c r="P261" s="4378"/>
      <c r="Q261" s="4378"/>
      <c r="R261" s="5180"/>
      <c r="S261" s="3303"/>
      <c r="T261" s="1891"/>
      <c r="U261" s="1849"/>
      <c r="V261" s="1883"/>
      <c r="W261" s="1864"/>
      <c r="X261" s="1824"/>
      <c r="Y261" s="1870"/>
      <c r="Z261" s="1870"/>
      <c r="AA261" s="1870"/>
      <c r="AB261" s="1871"/>
      <c r="AC261" s="1824"/>
      <c r="AD261" s="3200"/>
      <c r="AE261" s="3200"/>
      <c r="AF261" s="5185"/>
    </row>
    <row r="262" spans="1:32" ht="30.75" customHeight="1">
      <c r="A262" s="4564"/>
      <c r="B262" s="4408"/>
      <c r="C262" s="4404"/>
      <c r="D262" s="4378"/>
      <c r="E262" s="4378"/>
      <c r="F262" s="4378"/>
      <c r="G262" s="4378"/>
      <c r="H262" s="4378"/>
      <c r="I262" s="4378"/>
      <c r="J262" s="4378"/>
      <c r="K262" s="4378"/>
      <c r="L262" s="4378"/>
      <c r="M262" s="4393"/>
      <c r="N262" s="4393"/>
      <c r="O262" s="4393"/>
      <c r="P262" s="4378"/>
      <c r="Q262" s="4378"/>
      <c r="R262" s="5180"/>
      <c r="S262" s="3303"/>
      <c r="T262" s="1891"/>
      <c r="U262" s="1849"/>
      <c r="V262" s="1883"/>
      <c r="W262" s="1864"/>
      <c r="X262" s="1824"/>
      <c r="Y262" s="1870"/>
      <c r="Z262" s="1870"/>
      <c r="AA262" s="1870"/>
      <c r="AB262" s="1871"/>
      <c r="AC262" s="1824"/>
      <c r="AD262" s="3200"/>
      <c r="AE262" s="3200"/>
      <c r="AF262" s="5185"/>
    </row>
    <row r="263" spans="1:32" ht="30.75" customHeight="1">
      <c r="A263" s="4564"/>
      <c r="B263" s="4408"/>
      <c r="C263" s="4416"/>
      <c r="D263" s="4411"/>
      <c r="E263" s="4411"/>
      <c r="F263" s="4411"/>
      <c r="G263" s="4411"/>
      <c r="H263" s="4411"/>
      <c r="I263" s="4411"/>
      <c r="J263" s="4411"/>
      <c r="K263" s="4411"/>
      <c r="L263" s="4411"/>
      <c r="M263" s="4420"/>
      <c r="N263" s="4420"/>
      <c r="O263" s="4420"/>
      <c r="P263" s="4411"/>
      <c r="Q263" s="4411"/>
      <c r="R263" s="5181"/>
      <c r="S263" s="3306"/>
      <c r="T263" s="3819"/>
      <c r="U263" s="3268"/>
      <c r="V263" s="3641"/>
      <c r="W263" s="3233"/>
      <c r="X263" s="3234"/>
      <c r="Y263" s="3236"/>
      <c r="Z263" s="3236"/>
      <c r="AA263" s="3236"/>
      <c r="AB263" s="3820"/>
      <c r="AC263" s="3234"/>
      <c r="AD263" s="3238"/>
      <c r="AE263" s="3238"/>
      <c r="AF263" s="5185"/>
    </row>
    <row r="264" spans="1:32" ht="30.75" customHeight="1">
      <c r="A264" s="4564"/>
      <c r="B264" s="4408"/>
      <c r="C264" s="4412" t="s">
        <v>235</v>
      </c>
      <c r="D264" s="4400" t="s">
        <v>236</v>
      </c>
      <c r="E264" s="4400" t="s">
        <v>237</v>
      </c>
      <c r="F264" s="4400" t="s">
        <v>326</v>
      </c>
      <c r="G264" s="4414" t="s">
        <v>239</v>
      </c>
      <c r="H264" s="4400" t="s">
        <v>240</v>
      </c>
      <c r="I264" s="4400" t="s">
        <v>257</v>
      </c>
      <c r="J264" s="4399" t="s">
        <v>5749</v>
      </c>
      <c r="K264" s="4400" t="s">
        <v>1379</v>
      </c>
      <c r="L264" s="4400" t="s">
        <v>1380</v>
      </c>
      <c r="M264" s="4957">
        <v>0</v>
      </c>
      <c r="N264" s="4957">
        <v>0</v>
      </c>
      <c r="O264" s="4957">
        <v>0</v>
      </c>
      <c r="P264" s="4395" t="s">
        <v>5695</v>
      </c>
      <c r="Q264" s="4395" t="s">
        <v>5742</v>
      </c>
      <c r="R264" s="5183" t="s">
        <v>5646</v>
      </c>
      <c r="S264" s="3115"/>
      <c r="T264" s="3071"/>
      <c r="U264" s="3274"/>
      <c r="V264" s="3656"/>
      <c r="W264" s="3664"/>
      <c r="X264" s="3187"/>
      <c r="Y264" s="3228"/>
      <c r="Z264" s="3228"/>
      <c r="AA264" s="3228"/>
      <c r="AB264" s="3330"/>
      <c r="AC264" s="3187"/>
      <c r="AD264" s="3230"/>
      <c r="AE264" s="3230"/>
      <c r="AF264" s="5185"/>
    </row>
    <row r="265" spans="1:32" ht="30.75" customHeight="1">
      <c r="A265" s="4564"/>
      <c r="B265" s="4408"/>
      <c r="C265" s="4404"/>
      <c r="D265" s="4378"/>
      <c r="E265" s="4378"/>
      <c r="F265" s="4378"/>
      <c r="G265" s="4378"/>
      <c r="H265" s="4378"/>
      <c r="I265" s="4378"/>
      <c r="J265" s="4378"/>
      <c r="K265" s="4378"/>
      <c r="L265" s="4378"/>
      <c r="M265" s="4393"/>
      <c r="N265" s="4393"/>
      <c r="O265" s="4393"/>
      <c r="P265" s="4378"/>
      <c r="Q265" s="4378"/>
      <c r="R265" s="5180"/>
      <c r="S265" s="3303"/>
      <c r="T265" s="1891"/>
      <c r="U265" s="1849"/>
      <c r="V265" s="1883"/>
      <c r="W265" s="1864"/>
      <c r="X265" s="1824"/>
      <c r="Y265" s="1870"/>
      <c r="Z265" s="1870"/>
      <c r="AA265" s="1870"/>
      <c r="AB265" s="1871"/>
      <c r="AC265" s="1824"/>
      <c r="AD265" s="3200"/>
      <c r="AE265" s="3200"/>
      <c r="AF265" s="5185"/>
    </row>
    <row r="266" spans="1:32" ht="30.75" customHeight="1">
      <c r="A266" s="4564"/>
      <c r="B266" s="4408"/>
      <c r="C266" s="4404"/>
      <c r="D266" s="4378"/>
      <c r="E266" s="4378"/>
      <c r="F266" s="4378"/>
      <c r="G266" s="4378"/>
      <c r="H266" s="4378"/>
      <c r="I266" s="4378"/>
      <c r="J266" s="4378"/>
      <c r="K266" s="4378"/>
      <c r="L266" s="4378"/>
      <c r="M266" s="4393"/>
      <c r="N266" s="4393"/>
      <c r="O266" s="4393"/>
      <c r="P266" s="4378"/>
      <c r="Q266" s="4378"/>
      <c r="R266" s="5180"/>
      <c r="S266" s="3303"/>
      <c r="T266" s="1891"/>
      <c r="U266" s="1849"/>
      <c r="V266" s="1883"/>
      <c r="W266" s="1864"/>
      <c r="X266" s="1824"/>
      <c r="Y266" s="1870"/>
      <c r="Z266" s="1870"/>
      <c r="AA266" s="1870"/>
      <c r="AB266" s="1871"/>
      <c r="AC266" s="1824"/>
      <c r="AD266" s="3200"/>
      <c r="AE266" s="3200"/>
      <c r="AF266" s="5185"/>
    </row>
    <row r="267" spans="1:32" ht="30.75" customHeight="1">
      <c r="A267" s="4564"/>
      <c r="B267" s="4408"/>
      <c r="C267" s="4404"/>
      <c r="D267" s="4378"/>
      <c r="E267" s="4378"/>
      <c r="F267" s="4378"/>
      <c r="G267" s="4378"/>
      <c r="H267" s="4378"/>
      <c r="I267" s="4378"/>
      <c r="J267" s="4378"/>
      <c r="K267" s="4378"/>
      <c r="L267" s="4378"/>
      <c r="M267" s="4393"/>
      <c r="N267" s="4393"/>
      <c r="O267" s="4393"/>
      <c r="P267" s="4378"/>
      <c r="Q267" s="4378"/>
      <c r="R267" s="5180"/>
      <c r="S267" s="3303"/>
      <c r="T267" s="1891"/>
      <c r="U267" s="1849"/>
      <c r="V267" s="1883"/>
      <c r="W267" s="1864"/>
      <c r="X267" s="1824"/>
      <c r="Y267" s="1870"/>
      <c r="Z267" s="1870"/>
      <c r="AA267" s="1870"/>
      <c r="AB267" s="1871"/>
      <c r="AC267" s="1824"/>
      <c r="AD267" s="3200"/>
      <c r="AE267" s="3200"/>
      <c r="AF267" s="5185"/>
    </row>
    <row r="268" spans="1:32" ht="30.75" customHeight="1">
      <c r="A268" s="4564"/>
      <c r="B268" s="4408"/>
      <c r="C268" s="4416"/>
      <c r="D268" s="4411"/>
      <c r="E268" s="4411"/>
      <c r="F268" s="4411"/>
      <c r="G268" s="4411"/>
      <c r="H268" s="4411"/>
      <c r="I268" s="4411"/>
      <c r="J268" s="4411"/>
      <c r="K268" s="4411"/>
      <c r="L268" s="4411"/>
      <c r="M268" s="4420"/>
      <c r="N268" s="4420"/>
      <c r="O268" s="4420"/>
      <c r="P268" s="4411"/>
      <c r="Q268" s="4411"/>
      <c r="R268" s="5181"/>
      <c r="S268" s="3306"/>
      <c r="T268" s="3819"/>
      <c r="U268" s="3268"/>
      <c r="V268" s="3641"/>
      <c r="W268" s="3233"/>
      <c r="X268" s="3234"/>
      <c r="Y268" s="3236"/>
      <c r="Z268" s="3236"/>
      <c r="AA268" s="3236"/>
      <c r="AB268" s="3820"/>
      <c r="AC268" s="3234"/>
      <c r="AD268" s="3238"/>
      <c r="AE268" s="3238"/>
      <c r="AF268" s="5193"/>
    </row>
    <row r="269" spans="1:32" ht="32.25" customHeight="1">
      <c r="A269" s="4564"/>
      <c r="B269" s="4408"/>
      <c r="C269" s="4412" t="s">
        <v>235</v>
      </c>
      <c r="D269" s="4400" t="s">
        <v>236</v>
      </c>
      <c r="E269" s="4400" t="s">
        <v>237</v>
      </c>
      <c r="F269" s="4400" t="s">
        <v>326</v>
      </c>
      <c r="G269" s="4414" t="s">
        <v>239</v>
      </c>
      <c r="H269" s="4400" t="s">
        <v>240</v>
      </c>
      <c r="I269" s="4400" t="s">
        <v>257</v>
      </c>
      <c r="J269" s="4399" t="s">
        <v>5629</v>
      </c>
      <c r="K269" s="4400" t="s">
        <v>1381</v>
      </c>
      <c r="L269" s="4400" t="s">
        <v>1382</v>
      </c>
      <c r="M269" s="4957">
        <v>0</v>
      </c>
      <c r="N269" s="4957">
        <v>0</v>
      </c>
      <c r="O269" s="4957">
        <v>0</v>
      </c>
      <c r="P269" s="4395" t="s">
        <v>5696</v>
      </c>
      <c r="Q269" s="4399" t="s">
        <v>5743</v>
      </c>
      <c r="R269" s="5183" t="s">
        <v>5646</v>
      </c>
      <c r="S269" s="3115"/>
      <c r="T269" s="3071"/>
      <c r="U269" s="3274"/>
      <c r="V269" s="3661"/>
      <c r="W269" s="3664"/>
      <c r="X269" s="3187"/>
      <c r="Y269" s="3228"/>
      <c r="Z269" s="3228"/>
      <c r="AA269" s="3228"/>
      <c r="AB269" s="3330"/>
      <c r="AC269" s="3187"/>
      <c r="AD269" s="3230"/>
      <c r="AE269" s="3230"/>
      <c r="AF269" s="5184" t="s">
        <v>1383</v>
      </c>
    </row>
    <row r="270" spans="1:32" ht="32.25" customHeight="1">
      <c r="A270" s="4564"/>
      <c r="B270" s="4408"/>
      <c r="C270" s="4404"/>
      <c r="D270" s="4378"/>
      <c r="E270" s="4378"/>
      <c r="F270" s="4378"/>
      <c r="G270" s="4378"/>
      <c r="H270" s="4378"/>
      <c r="I270" s="4378"/>
      <c r="J270" s="4378"/>
      <c r="K270" s="4378"/>
      <c r="L270" s="4378"/>
      <c r="M270" s="4393"/>
      <c r="N270" s="4393"/>
      <c r="O270" s="4393"/>
      <c r="P270" s="4378"/>
      <c r="Q270" s="4378"/>
      <c r="R270" s="5180"/>
      <c r="S270" s="3303"/>
      <c r="T270" s="1891"/>
      <c r="U270" s="1849"/>
      <c r="V270" s="1883"/>
      <c r="W270" s="1864"/>
      <c r="X270" s="1824"/>
      <c r="Y270" s="1870"/>
      <c r="Z270" s="1870"/>
      <c r="AA270" s="1870"/>
      <c r="AB270" s="1871"/>
      <c r="AC270" s="1824"/>
      <c r="AD270" s="3200"/>
      <c r="AE270" s="3200"/>
      <c r="AF270" s="5185"/>
    </row>
    <row r="271" spans="1:32" ht="32.25" customHeight="1">
      <c r="A271" s="4564"/>
      <c r="B271" s="4408"/>
      <c r="C271" s="4404"/>
      <c r="D271" s="4378"/>
      <c r="E271" s="4378"/>
      <c r="F271" s="4378"/>
      <c r="G271" s="4378"/>
      <c r="H271" s="4378"/>
      <c r="I271" s="4378"/>
      <c r="J271" s="4378"/>
      <c r="K271" s="4378"/>
      <c r="L271" s="4378"/>
      <c r="M271" s="4393"/>
      <c r="N271" s="4393"/>
      <c r="O271" s="4393"/>
      <c r="P271" s="4378"/>
      <c r="Q271" s="4378"/>
      <c r="R271" s="5180"/>
      <c r="S271" s="3303"/>
      <c r="T271" s="1891"/>
      <c r="U271" s="1849"/>
      <c r="V271" s="1883"/>
      <c r="W271" s="1864"/>
      <c r="X271" s="1824"/>
      <c r="Y271" s="1870"/>
      <c r="Z271" s="1870"/>
      <c r="AA271" s="1870"/>
      <c r="AB271" s="1871"/>
      <c r="AC271" s="1824"/>
      <c r="AD271" s="3200"/>
      <c r="AE271" s="3200"/>
      <c r="AF271" s="5185"/>
    </row>
    <row r="272" spans="1:32" ht="32.25" customHeight="1">
      <c r="A272" s="4564"/>
      <c r="B272" s="4408"/>
      <c r="C272" s="4404"/>
      <c r="D272" s="4378"/>
      <c r="E272" s="4378"/>
      <c r="F272" s="4378"/>
      <c r="G272" s="4378"/>
      <c r="H272" s="4378"/>
      <c r="I272" s="4378"/>
      <c r="J272" s="4378"/>
      <c r="K272" s="4378"/>
      <c r="L272" s="4378"/>
      <c r="M272" s="4393"/>
      <c r="N272" s="4393"/>
      <c r="O272" s="4393"/>
      <c r="P272" s="4378"/>
      <c r="Q272" s="4378"/>
      <c r="R272" s="5180"/>
      <c r="S272" s="3303"/>
      <c r="T272" s="1891"/>
      <c r="U272" s="1849"/>
      <c r="V272" s="1883"/>
      <c r="W272" s="1864"/>
      <c r="X272" s="1824"/>
      <c r="Y272" s="1870"/>
      <c r="Z272" s="1870"/>
      <c r="AA272" s="1870"/>
      <c r="AB272" s="1871"/>
      <c r="AC272" s="1824"/>
      <c r="AD272" s="3200"/>
      <c r="AE272" s="3200"/>
      <c r="AF272" s="5185"/>
    </row>
    <row r="273" spans="1:32" ht="32.25" customHeight="1">
      <c r="A273" s="4564"/>
      <c r="B273" s="4408"/>
      <c r="C273" s="4413"/>
      <c r="D273" s="4396"/>
      <c r="E273" s="4396"/>
      <c r="F273" s="4396"/>
      <c r="G273" s="4396"/>
      <c r="H273" s="4396"/>
      <c r="I273" s="4396"/>
      <c r="J273" s="4396"/>
      <c r="K273" s="4396"/>
      <c r="L273" s="4396"/>
      <c r="M273" s="4402"/>
      <c r="N273" s="4402"/>
      <c r="O273" s="4402"/>
      <c r="P273" s="4396"/>
      <c r="Q273" s="4396"/>
      <c r="R273" s="5194"/>
      <c r="S273" s="3304"/>
      <c r="T273" s="3821"/>
      <c r="U273" s="3271"/>
      <c r="V273" s="3822"/>
      <c r="W273" s="3254"/>
      <c r="X273" s="3246"/>
      <c r="Y273" s="3245"/>
      <c r="Z273" s="3245"/>
      <c r="AA273" s="3245"/>
      <c r="AB273" s="3823"/>
      <c r="AC273" s="3246"/>
      <c r="AD273" s="3256"/>
      <c r="AE273" s="3256"/>
      <c r="AF273" s="5186"/>
    </row>
    <row r="274" spans="1:32" ht="144" customHeight="1">
      <c r="A274" s="4564"/>
      <c r="B274" s="4408"/>
      <c r="C274" s="3841" t="s">
        <v>235</v>
      </c>
      <c r="D274" s="3885" t="s">
        <v>236</v>
      </c>
      <c r="E274" s="3842" t="s">
        <v>237</v>
      </c>
      <c r="F274" s="3842" t="s">
        <v>1137</v>
      </c>
      <c r="G274" s="3886" t="s">
        <v>239</v>
      </c>
      <c r="H274" s="3885" t="s">
        <v>240</v>
      </c>
      <c r="I274" s="3885" t="s">
        <v>257</v>
      </c>
      <c r="J274" s="3670" t="s">
        <v>5630</v>
      </c>
      <c r="K274" s="3842" t="s">
        <v>1384</v>
      </c>
      <c r="L274" s="3842" t="s">
        <v>1385</v>
      </c>
      <c r="M274" s="3843">
        <v>0</v>
      </c>
      <c r="N274" s="3843">
        <v>1</v>
      </c>
      <c r="O274" s="3843">
        <v>1</v>
      </c>
      <c r="P274" s="3885" t="s">
        <v>5697</v>
      </c>
      <c r="Q274" s="3885" t="s">
        <v>5744</v>
      </c>
      <c r="R274" s="3851" t="s">
        <v>5648</v>
      </c>
      <c r="S274" s="3873"/>
      <c r="T274" s="3844"/>
      <c r="U274" s="3882"/>
      <c r="V274" s="3671"/>
      <c r="W274" s="3843"/>
      <c r="X274" s="3845"/>
      <c r="Y274" s="3846"/>
      <c r="Z274" s="3846"/>
      <c r="AA274" s="3846"/>
      <c r="AB274" s="3847"/>
      <c r="AC274" s="3845"/>
      <c r="AD274" s="3848"/>
      <c r="AE274" s="3848"/>
      <c r="AF274" s="3849"/>
    </row>
    <row r="275" spans="1:32" ht="30.75" customHeight="1">
      <c r="A275" s="4564"/>
      <c r="B275" s="4408"/>
      <c r="C275" s="4412" t="s">
        <v>235</v>
      </c>
      <c r="D275" s="4400" t="s">
        <v>236</v>
      </c>
      <c r="E275" s="4400" t="s">
        <v>237</v>
      </c>
      <c r="F275" s="4400" t="s">
        <v>1137</v>
      </c>
      <c r="G275" s="4414" t="s">
        <v>239</v>
      </c>
      <c r="H275" s="4400" t="s">
        <v>240</v>
      </c>
      <c r="I275" s="4400" t="s">
        <v>257</v>
      </c>
      <c r="J275" s="4395" t="s">
        <v>5748</v>
      </c>
      <c r="K275" s="4400" t="s">
        <v>1386</v>
      </c>
      <c r="L275" s="4400" t="s">
        <v>1183</v>
      </c>
      <c r="M275" s="4401">
        <v>0</v>
      </c>
      <c r="N275" s="4401">
        <v>0</v>
      </c>
      <c r="O275" s="4401">
        <v>1</v>
      </c>
      <c r="P275" s="4395" t="s">
        <v>5698</v>
      </c>
      <c r="Q275" s="4395" t="s">
        <v>3911</v>
      </c>
      <c r="R275" s="5183" t="s">
        <v>5646</v>
      </c>
      <c r="S275" s="3115"/>
      <c r="T275" s="3071"/>
      <c r="U275" s="3274"/>
      <c r="V275" s="3656"/>
      <c r="W275" s="3664"/>
      <c r="X275" s="3187"/>
      <c r="Y275" s="3228"/>
      <c r="Z275" s="3228"/>
      <c r="AA275" s="3228"/>
      <c r="AB275" s="3330"/>
      <c r="AC275" s="3187"/>
      <c r="AD275" s="3825"/>
      <c r="AE275" s="3825"/>
      <c r="AF275" s="5187"/>
    </row>
    <row r="276" spans="1:32" ht="30.75" customHeight="1">
      <c r="A276" s="4564"/>
      <c r="B276" s="4408"/>
      <c r="C276" s="4404"/>
      <c r="D276" s="4378"/>
      <c r="E276" s="4378"/>
      <c r="F276" s="4378"/>
      <c r="G276" s="4378"/>
      <c r="H276" s="4378"/>
      <c r="I276" s="4378"/>
      <c r="J276" s="4378"/>
      <c r="K276" s="4378"/>
      <c r="L276" s="4378"/>
      <c r="M276" s="4393"/>
      <c r="N276" s="4393"/>
      <c r="O276" s="4393"/>
      <c r="P276" s="4378"/>
      <c r="Q276" s="4378"/>
      <c r="R276" s="5180"/>
      <c r="S276" s="3303"/>
      <c r="T276" s="1891"/>
      <c r="U276" s="1849"/>
      <c r="V276" s="1883"/>
      <c r="W276" s="1864"/>
      <c r="X276" s="1824"/>
      <c r="Y276" s="1870"/>
      <c r="Z276" s="1870"/>
      <c r="AA276" s="1870"/>
      <c r="AB276" s="1871"/>
      <c r="AC276" s="1824"/>
      <c r="AD276" s="1824"/>
      <c r="AE276" s="3790"/>
      <c r="AF276" s="4521"/>
    </row>
    <row r="277" spans="1:32" ht="30.75" customHeight="1">
      <c r="A277" s="4564"/>
      <c r="B277" s="4408"/>
      <c r="C277" s="4404"/>
      <c r="D277" s="4378"/>
      <c r="E277" s="4378"/>
      <c r="F277" s="4378"/>
      <c r="G277" s="4378"/>
      <c r="H277" s="4378"/>
      <c r="I277" s="4378"/>
      <c r="J277" s="4378"/>
      <c r="K277" s="4378"/>
      <c r="L277" s="4378"/>
      <c r="M277" s="4393"/>
      <c r="N277" s="4393"/>
      <c r="O277" s="4393"/>
      <c r="P277" s="4378"/>
      <c r="Q277" s="4378"/>
      <c r="R277" s="5180"/>
      <c r="S277" s="3303"/>
      <c r="T277" s="1891"/>
      <c r="U277" s="1849"/>
      <c r="V277" s="1883"/>
      <c r="W277" s="1864"/>
      <c r="X277" s="1824"/>
      <c r="Y277" s="1870"/>
      <c r="Z277" s="1870"/>
      <c r="AA277" s="1870"/>
      <c r="AB277" s="1871"/>
      <c r="AC277" s="1824"/>
      <c r="AD277" s="1824"/>
      <c r="AE277" s="3200"/>
      <c r="AF277" s="4521"/>
    </row>
    <row r="278" spans="1:32" ht="30.75" customHeight="1">
      <c r="A278" s="4564"/>
      <c r="B278" s="4408"/>
      <c r="C278" s="4404"/>
      <c r="D278" s="4378"/>
      <c r="E278" s="4378"/>
      <c r="F278" s="4378"/>
      <c r="G278" s="4378"/>
      <c r="H278" s="4378"/>
      <c r="I278" s="4378"/>
      <c r="J278" s="4378"/>
      <c r="K278" s="4378"/>
      <c r="L278" s="4378"/>
      <c r="M278" s="4393"/>
      <c r="N278" s="4393"/>
      <c r="O278" s="4393"/>
      <c r="P278" s="4378"/>
      <c r="Q278" s="4378"/>
      <c r="R278" s="5180"/>
      <c r="S278" s="3303"/>
      <c r="T278" s="1891"/>
      <c r="U278" s="1849"/>
      <c r="V278" s="1883"/>
      <c r="W278" s="1864"/>
      <c r="X278" s="1824"/>
      <c r="Y278" s="1870"/>
      <c r="Z278" s="1870"/>
      <c r="AA278" s="1870"/>
      <c r="AB278" s="1871"/>
      <c r="AC278" s="1824"/>
      <c r="AD278" s="1824"/>
      <c r="AE278" s="3200"/>
      <c r="AF278" s="4521"/>
    </row>
    <row r="279" spans="1:32" ht="30.75" customHeight="1" thickBot="1">
      <c r="A279" s="4564"/>
      <c r="B279" s="4408"/>
      <c r="C279" s="4405"/>
      <c r="D279" s="4379"/>
      <c r="E279" s="4379"/>
      <c r="F279" s="4379"/>
      <c r="G279" s="4379"/>
      <c r="H279" s="4379"/>
      <c r="I279" s="4379"/>
      <c r="J279" s="4379"/>
      <c r="K279" s="4379"/>
      <c r="L279" s="4379"/>
      <c r="M279" s="4394"/>
      <c r="N279" s="4394"/>
      <c r="O279" s="4394"/>
      <c r="P279" s="4379"/>
      <c r="Q279" s="4379"/>
      <c r="R279" s="5201"/>
      <c r="S279" s="3860"/>
      <c r="T279" s="3791"/>
      <c r="U279" s="3875"/>
      <c r="V279" s="3792"/>
      <c r="W279" s="3793"/>
      <c r="X279" s="3794"/>
      <c r="Y279" s="3795"/>
      <c r="Z279" s="3795"/>
      <c r="AA279" s="3795"/>
      <c r="AB279" s="3796"/>
      <c r="AC279" s="3794"/>
      <c r="AD279" s="3794"/>
      <c r="AE279" s="3797"/>
      <c r="AF279" s="4536"/>
    </row>
    <row r="280" spans="1:32" ht="22.5" customHeight="1" thickBot="1">
      <c r="A280" s="4564"/>
      <c r="B280" s="4479"/>
      <c r="C280" s="3779"/>
      <c r="D280" s="3649"/>
      <c r="E280" s="3649"/>
      <c r="F280" s="3649"/>
      <c r="G280" s="3649"/>
      <c r="H280" s="3649"/>
      <c r="I280" s="3649"/>
      <c r="J280" s="3649"/>
      <c r="K280" s="3649"/>
      <c r="L280" s="3649"/>
      <c r="M280" s="3649"/>
      <c r="N280" s="3649"/>
      <c r="O280" s="3649"/>
      <c r="P280" s="3649"/>
      <c r="Q280" s="3649"/>
      <c r="R280" s="3649"/>
      <c r="S280" s="4561" t="s">
        <v>1387</v>
      </c>
      <c r="T280" s="5202"/>
      <c r="U280" s="5202"/>
      <c r="V280" s="5202"/>
      <c r="W280" s="5202"/>
      <c r="X280" s="5202"/>
      <c r="Y280" s="5202"/>
      <c r="Z280" s="5202"/>
      <c r="AA280" s="2172" t="s">
        <v>340</v>
      </c>
      <c r="AB280" s="2173">
        <f>SUM(AB244:AB279)</f>
        <v>1474.9918400000001</v>
      </c>
      <c r="AC280" s="4501"/>
      <c r="AD280" s="4443"/>
      <c r="AE280" s="4443"/>
      <c r="AF280" s="4444"/>
    </row>
    <row r="281" spans="1:32" ht="22.5" customHeight="1" thickBot="1">
      <c r="A281" s="4362"/>
      <c r="B281" s="2191"/>
      <c r="C281" s="2192"/>
      <c r="D281" s="2192"/>
      <c r="E281" s="2192"/>
      <c r="F281" s="2192"/>
      <c r="G281" s="2192"/>
      <c r="H281" s="2192"/>
      <c r="I281" s="2192"/>
      <c r="J281" s="2192"/>
      <c r="K281" s="2192"/>
      <c r="L281" s="2192"/>
      <c r="M281" s="2192"/>
      <c r="N281" s="2192"/>
      <c r="O281" s="2192"/>
      <c r="P281" s="2192"/>
      <c r="Q281" s="2192"/>
      <c r="R281" s="2192"/>
      <c r="S281" s="3669" t="s">
        <v>1254</v>
      </c>
      <c r="T281" s="3669"/>
      <c r="U281" s="3669"/>
      <c r="V281" s="3669"/>
      <c r="W281" s="3669"/>
      <c r="X281" s="3669"/>
      <c r="Y281" s="3669"/>
      <c r="Z281" s="3669"/>
      <c r="AA281" s="2177" t="s">
        <v>340</v>
      </c>
      <c r="AB281" s="2178">
        <f>SUM(AB34,AB85,AB144,AB205,AB243,AB280)</f>
        <v>95814.444560000004</v>
      </c>
      <c r="AC281" s="4987"/>
      <c r="AD281" s="4316"/>
      <c r="AE281" s="4316"/>
      <c r="AF281" s="4317"/>
    </row>
    <row r="282" spans="1:32" ht="16.5" customHeight="1" thickTop="1">
      <c r="A282" s="298"/>
      <c r="B282" s="374"/>
      <c r="C282" s="12" t="s">
        <v>1388</v>
      </c>
      <c r="D282" s="298"/>
      <c r="E282" s="298"/>
      <c r="F282" s="298"/>
      <c r="G282" s="298"/>
      <c r="H282" s="298"/>
      <c r="I282" s="298"/>
      <c r="J282" s="298"/>
      <c r="K282" s="298"/>
      <c r="L282" s="298"/>
      <c r="M282" s="298"/>
      <c r="N282" s="298"/>
      <c r="O282" s="298"/>
      <c r="P282" s="298"/>
      <c r="Q282" s="298"/>
      <c r="R282" s="298"/>
      <c r="S282" s="4388" t="s">
        <v>1389</v>
      </c>
      <c r="T282" s="4150"/>
      <c r="U282" s="4150"/>
      <c r="V282" s="4150"/>
      <c r="W282" s="4150"/>
      <c r="X282" s="4150"/>
      <c r="Y282" s="4150"/>
      <c r="Z282" s="4150"/>
      <c r="AA282" s="4150"/>
      <c r="AB282" s="4150"/>
      <c r="AC282" s="4150"/>
      <c r="AD282" s="4150"/>
      <c r="AE282" s="4150"/>
      <c r="AF282" s="4150"/>
    </row>
    <row r="283" spans="1:32" ht="16.5" customHeight="1">
      <c r="A283" s="298"/>
      <c r="B283" s="374"/>
      <c r="C283" s="12" t="s">
        <v>1390</v>
      </c>
      <c r="D283" s="298"/>
      <c r="E283" s="298"/>
      <c r="F283" s="298"/>
      <c r="G283" s="298"/>
      <c r="H283" s="298"/>
      <c r="I283" s="298"/>
      <c r="J283" s="298"/>
      <c r="K283" s="298"/>
      <c r="L283" s="298"/>
      <c r="M283" s="298"/>
      <c r="N283" s="298"/>
      <c r="O283" s="298"/>
      <c r="P283" s="298"/>
      <c r="Q283" s="298"/>
      <c r="R283" s="298"/>
      <c r="S283" s="220"/>
      <c r="T283" s="221"/>
      <c r="U283" s="1884"/>
      <c r="V283" s="1884"/>
      <c r="W283" s="1884"/>
      <c r="X283" s="1884"/>
      <c r="Y283" s="1884"/>
      <c r="Z283" s="1884"/>
      <c r="AA283" s="234"/>
      <c r="AB283" s="221"/>
      <c r="AC283" s="221"/>
      <c r="AD283" s="221"/>
      <c r="AE283" s="221"/>
    </row>
    <row r="284" spans="1:32" ht="18.75">
      <c r="A284" s="298"/>
      <c r="B284" s="298"/>
      <c r="C284" s="12" t="s">
        <v>1391</v>
      </c>
      <c r="D284" s="298"/>
      <c r="E284" s="298"/>
      <c r="F284" s="298"/>
      <c r="G284" s="298"/>
      <c r="H284" s="298"/>
      <c r="I284" s="298"/>
      <c r="J284" s="298"/>
      <c r="K284" s="298"/>
      <c r="L284" s="298"/>
      <c r="M284" s="298"/>
      <c r="N284" s="298"/>
      <c r="O284" s="298"/>
      <c r="P284" s="298"/>
      <c r="Q284" s="298"/>
      <c r="R284" s="298"/>
      <c r="S284" s="220"/>
      <c r="U284" s="4222" t="s">
        <v>1242</v>
      </c>
      <c r="V284" s="4223"/>
      <c r="W284" s="4223"/>
      <c r="X284" s="4223"/>
      <c r="Y284" s="4223"/>
      <c r="Z284" s="4223"/>
      <c r="AA284" s="234"/>
      <c r="AB284" s="221"/>
      <c r="AC284" s="221"/>
      <c r="AD284" s="221"/>
      <c r="AE284" s="221"/>
    </row>
    <row r="285" spans="1:32" ht="18" customHeight="1" thickBot="1">
      <c r="A285" s="298"/>
      <c r="B285" s="298"/>
      <c r="C285" s="298"/>
      <c r="D285" s="298"/>
      <c r="E285" s="298"/>
      <c r="F285" s="298"/>
      <c r="G285" s="298"/>
      <c r="H285" s="298"/>
      <c r="I285" s="298"/>
      <c r="J285" s="298"/>
      <c r="K285" s="298"/>
      <c r="L285" s="298"/>
      <c r="M285" s="298"/>
      <c r="N285" s="298"/>
      <c r="O285" s="298"/>
      <c r="P285" s="298"/>
      <c r="Q285" s="298"/>
      <c r="R285" s="298"/>
      <c r="S285" s="220"/>
      <c r="T285" s="268"/>
      <c r="U285" s="268"/>
      <c r="V285" s="268"/>
      <c r="W285" s="268"/>
      <c r="X285" s="268"/>
      <c r="Y285" s="268"/>
      <c r="Z285" s="268"/>
      <c r="AA285" s="234"/>
      <c r="AB285" s="221"/>
      <c r="AC285" s="221"/>
      <c r="AD285" s="221"/>
      <c r="AE285" s="221"/>
    </row>
    <row r="286" spans="1:32" ht="16.5" customHeight="1" thickTop="1">
      <c r="A286" s="298"/>
      <c r="B286" s="298"/>
      <c r="C286" s="298"/>
      <c r="D286" s="298"/>
      <c r="E286" s="298"/>
      <c r="F286" s="298"/>
      <c r="G286" s="298"/>
      <c r="H286" s="298"/>
      <c r="I286" s="298"/>
      <c r="J286" s="298"/>
      <c r="K286" s="298"/>
      <c r="L286" s="298"/>
      <c r="M286" s="298"/>
      <c r="N286" s="298"/>
      <c r="O286" s="298"/>
      <c r="P286" s="298"/>
      <c r="Q286" s="649"/>
      <c r="R286" s="650"/>
      <c r="S286" s="651"/>
      <c r="T286" s="433"/>
      <c r="U286" s="2284" t="s">
        <v>4</v>
      </c>
      <c r="V286" s="2285" t="s">
        <v>344</v>
      </c>
      <c r="W286" s="2286" t="s">
        <v>6</v>
      </c>
      <c r="X286" s="2287" t="s">
        <v>345</v>
      </c>
      <c r="Y286" s="2287" t="s">
        <v>8</v>
      </c>
      <c r="Z286" s="2288" t="s">
        <v>346</v>
      </c>
      <c r="AA286" s="221"/>
      <c r="AB286" s="221"/>
      <c r="AC286" s="221"/>
      <c r="AD286" s="221"/>
      <c r="AE286" s="221"/>
    </row>
    <row r="287" spans="1:32" ht="66">
      <c r="A287" s="298"/>
      <c r="B287" s="298"/>
      <c r="C287" s="298"/>
      <c r="D287" s="298"/>
      <c r="E287" s="298"/>
      <c r="F287" s="298"/>
      <c r="G287" s="298"/>
      <c r="H287" s="298"/>
      <c r="I287" s="298"/>
      <c r="J287" s="298"/>
      <c r="K287" s="298"/>
      <c r="L287" s="298"/>
      <c r="M287" s="298"/>
      <c r="N287" s="298"/>
      <c r="O287" s="298"/>
      <c r="P287" s="298"/>
      <c r="Q287" s="652"/>
      <c r="R287" s="650"/>
      <c r="S287" s="651"/>
      <c r="U287" s="2289" t="s">
        <v>11</v>
      </c>
      <c r="V287" s="2264" t="s">
        <v>26</v>
      </c>
      <c r="W287" s="1616">
        <v>530204</v>
      </c>
      <c r="X287" s="137" t="s">
        <v>13</v>
      </c>
      <c r="Y287" s="137" t="s">
        <v>18</v>
      </c>
      <c r="Z287" s="287">
        <f>SUM(AB86)</f>
        <v>30.004800000000003</v>
      </c>
      <c r="AA287" s="221"/>
      <c r="AB287" s="221"/>
      <c r="AC287" s="221"/>
      <c r="AD287" s="221"/>
      <c r="AE287" s="221"/>
    </row>
    <row r="288" spans="1:32" ht="16.5" customHeight="1">
      <c r="A288" s="298"/>
      <c r="B288" s="298"/>
      <c r="C288" s="298"/>
      <c r="D288" s="298"/>
      <c r="E288" s="298"/>
      <c r="F288" s="298"/>
      <c r="G288" s="298"/>
      <c r="H288" s="298"/>
      <c r="I288" s="298"/>
      <c r="J288" s="298"/>
      <c r="K288" s="298"/>
      <c r="L288" s="298"/>
      <c r="M288" s="298"/>
      <c r="N288" s="298"/>
      <c r="O288" s="298"/>
      <c r="P288" s="298"/>
      <c r="Q288" s="649"/>
      <c r="R288" s="650"/>
      <c r="S288" s="653"/>
      <c r="U288" s="2289" t="s">
        <v>11</v>
      </c>
      <c r="V288" s="2290" t="s">
        <v>31</v>
      </c>
      <c r="W288" s="1616">
        <v>530207</v>
      </c>
      <c r="X288" s="137" t="s">
        <v>13</v>
      </c>
      <c r="Y288" s="137" t="s">
        <v>18</v>
      </c>
      <c r="Z288" s="287">
        <f>SUM(AB251)</f>
        <v>299.99760000000003</v>
      </c>
      <c r="AA288" s="221"/>
      <c r="AB288" s="221"/>
      <c r="AC288" s="221"/>
      <c r="AD288" s="221"/>
      <c r="AE288" s="221"/>
    </row>
    <row r="289" spans="1:31" ht="33">
      <c r="A289" s="298"/>
      <c r="B289" s="298"/>
      <c r="C289" s="298"/>
      <c r="D289" s="298"/>
      <c r="E289" s="298"/>
      <c r="F289" s="298"/>
      <c r="G289" s="298"/>
      <c r="H289" s="298"/>
      <c r="I289" s="298"/>
      <c r="J289" s="298"/>
      <c r="K289" s="298"/>
      <c r="L289" s="298"/>
      <c r="M289" s="298"/>
      <c r="N289" s="298"/>
      <c r="O289" s="298"/>
      <c r="P289" s="298"/>
      <c r="Q289" s="652"/>
      <c r="R289" s="228"/>
      <c r="S289" s="651"/>
      <c r="U289" s="2289" t="s">
        <v>11</v>
      </c>
      <c r="V289" s="2292" t="s">
        <v>32</v>
      </c>
      <c r="W289" s="1616">
        <v>530404</v>
      </c>
      <c r="X289" s="137" t="s">
        <v>13</v>
      </c>
      <c r="Y289" s="137" t="s">
        <v>14</v>
      </c>
      <c r="Z289" s="654">
        <f>SUM(AB20)</f>
        <v>92610.11</v>
      </c>
      <c r="AA289" s="221"/>
      <c r="AB289" s="221"/>
      <c r="AC289" s="221"/>
      <c r="AD289" s="221"/>
      <c r="AE289" s="221"/>
    </row>
    <row r="290" spans="1:31" ht="16.5" customHeight="1">
      <c r="A290" s="298"/>
      <c r="B290" s="298"/>
      <c r="C290" s="298"/>
      <c r="D290" s="298"/>
      <c r="E290" s="298"/>
      <c r="F290" s="298"/>
      <c r="G290" s="298"/>
      <c r="H290" s="298"/>
      <c r="I290" s="298"/>
      <c r="J290" s="298"/>
      <c r="K290" s="298"/>
      <c r="L290" s="298"/>
      <c r="M290" s="298"/>
      <c r="N290" s="298"/>
      <c r="O290" s="298"/>
      <c r="P290" s="298"/>
      <c r="Q290" s="649"/>
      <c r="R290" s="650"/>
      <c r="S290" s="651"/>
      <c r="U290" s="2289" t="s">
        <v>11</v>
      </c>
      <c r="V290" s="2292" t="s">
        <v>20</v>
      </c>
      <c r="W290" s="1616">
        <v>531407</v>
      </c>
      <c r="X290" s="137" t="s">
        <v>13</v>
      </c>
      <c r="Y290" s="137" t="s">
        <v>14</v>
      </c>
      <c r="Z290" s="287">
        <f>SUM(AB244,AB209,AB185,AB155,AB150,AB88,AB30)</f>
        <v>1275.2924800000001</v>
      </c>
      <c r="AA290" s="221"/>
      <c r="AB290" s="221"/>
      <c r="AC290" s="221"/>
      <c r="AD290" s="221"/>
      <c r="AE290" s="221"/>
    </row>
    <row r="291" spans="1:31" ht="16.5" customHeight="1">
      <c r="A291" s="298"/>
      <c r="B291" s="298"/>
      <c r="C291" s="298"/>
      <c r="D291" s="298"/>
      <c r="E291" s="298"/>
      <c r="F291" s="298"/>
      <c r="G291" s="298"/>
      <c r="H291" s="298"/>
      <c r="I291" s="298"/>
      <c r="J291" s="298"/>
      <c r="K291" s="298"/>
      <c r="L291" s="298"/>
      <c r="M291" s="298"/>
      <c r="N291" s="298"/>
      <c r="O291" s="298"/>
      <c r="P291" s="298"/>
      <c r="Q291" s="652"/>
      <c r="R291" s="650"/>
      <c r="S291" s="651"/>
      <c r="U291" s="2289" t="s">
        <v>11</v>
      </c>
      <c r="V291" s="2292" t="s">
        <v>147</v>
      </c>
      <c r="W291" s="1616">
        <v>570203</v>
      </c>
      <c r="X291" s="137" t="s">
        <v>13</v>
      </c>
      <c r="Y291" s="137" t="s">
        <v>18</v>
      </c>
      <c r="Z291" s="287">
        <f>SUM(AB90)</f>
        <v>159.04</v>
      </c>
      <c r="AA291" s="221"/>
      <c r="AB291" s="221"/>
      <c r="AC291" s="221"/>
      <c r="AD291" s="221"/>
      <c r="AE291" s="221"/>
    </row>
    <row r="292" spans="1:31" ht="16.5" customHeight="1">
      <c r="A292" s="298"/>
      <c r="B292" s="298"/>
      <c r="C292" s="298"/>
      <c r="D292" s="298"/>
      <c r="E292" s="298"/>
      <c r="F292" s="298"/>
      <c r="G292" s="298"/>
      <c r="H292" s="298"/>
      <c r="I292" s="298"/>
      <c r="J292" s="298"/>
      <c r="K292" s="298"/>
      <c r="L292" s="298"/>
      <c r="M292" s="298"/>
      <c r="N292" s="298"/>
      <c r="O292" s="298"/>
      <c r="P292" s="298"/>
      <c r="Q292" s="652"/>
      <c r="R292" s="650"/>
      <c r="S292" s="655"/>
      <c r="U292" s="2289" t="s">
        <v>11</v>
      </c>
      <c r="V292" s="2292" t="s">
        <v>1392</v>
      </c>
      <c r="W292" s="1616">
        <v>580204</v>
      </c>
      <c r="X292" s="137" t="s">
        <v>13</v>
      </c>
      <c r="Y292" s="137" t="s">
        <v>18</v>
      </c>
      <c r="Z292" s="287">
        <f>SUM(AB23)</f>
        <v>0</v>
      </c>
      <c r="AA292" s="221"/>
      <c r="AB292" s="221"/>
      <c r="AC292" s="221"/>
      <c r="AD292" s="221"/>
      <c r="AE292" s="221"/>
    </row>
    <row r="293" spans="1:31" ht="16.5" customHeight="1">
      <c r="A293" s="298"/>
      <c r="B293" s="298"/>
      <c r="C293" s="298"/>
      <c r="D293" s="298"/>
      <c r="E293" s="298"/>
      <c r="F293" s="298"/>
      <c r="G293" s="298"/>
      <c r="H293" s="298"/>
      <c r="I293" s="298"/>
      <c r="J293" s="298"/>
      <c r="K293" s="298"/>
      <c r="L293" s="298"/>
      <c r="M293" s="298"/>
      <c r="N293" s="298"/>
      <c r="O293" s="298"/>
      <c r="P293" s="298"/>
      <c r="Q293" s="649"/>
      <c r="R293" s="650"/>
      <c r="S293" s="653"/>
      <c r="U293" s="2289" t="s">
        <v>11</v>
      </c>
      <c r="V293" s="2290" t="s">
        <v>22</v>
      </c>
      <c r="W293" s="1616">
        <v>840103</v>
      </c>
      <c r="X293" s="137" t="s">
        <v>13</v>
      </c>
      <c r="Y293" s="137" t="s">
        <v>14</v>
      </c>
      <c r="Z293" s="287">
        <f>SUM(AB246)</f>
        <v>1079.99584</v>
      </c>
      <c r="AA293" s="221"/>
      <c r="AB293" s="221"/>
      <c r="AC293" s="221"/>
      <c r="AD293" s="221"/>
      <c r="AE293" s="221"/>
    </row>
    <row r="294" spans="1:31" ht="16.5" customHeight="1">
      <c r="A294" s="298"/>
      <c r="B294" s="298"/>
      <c r="C294" s="298"/>
      <c r="D294" s="298"/>
      <c r="E294" s="298"/>
      <c r="F294" s="298"/>
      <c r="G294" s="298"/>
      <c r="H294" s="298"/>
      <c r="I294" s="298"/>
      <c r="J294" s="298"/>
      <c r="K294" s="298"/>
      <c r="L294" s="298"/>
      <c r="M294" s="298"/>
      <c r="N294" s="298"/>
      <c r="O294" s="298"/>
      <c r="P294" s="298"/>
      <c r="Q294" s="656"/>
      <c r="R294" s="657"/>
      <c r="S294" s="658"/>
      <c r="U294" s="2289" t="s">
        <v>11</v>
      </c>
      <c r="V294" s="2291" t="s">
        <v>148</v>
      </c>
      <c r="W294" s="2293">
        <v>840104</v>
      </c>
      <c r="X294" s="137" t="s">
        <v>13</v>
      </c>
      <c r="Y294" s="137" t="s">
        <v>14</v>
      </c>
      <c r="Z294" s="287">
        <f>SUM(AB92)</f>
        <v>360.00384000000003</v>
      </c>
      <c r="AA294" s="221"/>
      <c r="AB294" s="221"/>
      <c r="AC294" s="221"/>
      <c r="AD294" s="221"/>
      <c r="AE294" s="221"/>
    </row>
    <row r="295" spans="1:31" ht="16.5" customHeight="1" thickBot="1">
      <c r="A295" s="298"/>
      <c r="B295" s="298"/>
      <c r="C295" s="298"/>
      <c r="D295" s="298"/>
      <c r="E295" s="298"/>
      <c r="F295" s="298"/>
      <c r="G295" s="298"/>
      <c r="H295" s="298"/>
      <c r="I295" s="298"/>
      <c r="J295" s="298"/>
      <c r="K295" s="298"/>
      <c r="L295" s="298"/>
      <c r="M295" s="298"/>
      <c r="N295" s="298"/>
      <c r="O295" s="298"/>
      <c r="P295" s="298"/>
      <c r="T295" s="662"/>
      <c r="U295" s="659"/>
      <c r="V295" s="2269" t="s">
        <v>183</v>
      </c>
      <c r="W295" s="660"/>
      <c r="X295" s="660"/>
      <c r="Y295" s="2246" t="s">
        <v>340</v>
      </c>
      <c r="Z295" s="661">
        <f>SUM(Z287:Z294)</f>
        <v>95814.444560000004</v>
      </c>
      <c r="AA295" s="221"/>
      <c r="AB295" s="221"/>
      <c r="AC295" s="221"/>
      <c r="AD295" s="221"/>
      <c r="AE295" s="221"/>
    </row>
    <row r="296" spans="1:31" ht="16.5" customHeight="1" thickTop="1">
      <c r="A296" s="298"/>
      <c r="B296" s="298"/>
      <c r="C296" s="298"/>
      <c r="D296" s="298"/>
      <c r="E296" s="298"/>
      <c r="F296" s="298"/>
      <c r="G296" s="298"/>
      <c r="H296" s="298"/>
      <c r="I296" s="298"/>
      <c r="J296" s="298"/>
      <c r="K296" s="298"/>
      <c r="L296" s="298"/>
      <c r="M296" s="298"/>
      <c r="N296" s="298"/>
      <c r="O296" s="298"/>
      <c r="P296" s="298"/>
      <c r="T296" s="268"/>
      <c r="U296" s="268"/>
      <c r="V296" s="268" t="s">
        <v>347</v>
      </c>
      <c r="W296" s="663"/>
      <c r="X296" s="268"/>
      <c r="Y296" s="268"/>
      <c r="Z296" s="268"/>
      <c r="AA296" s="221"/>
      <c r="AB296" s="221"/>
      <c r="AC296" s="221"/>
      <c r="AD296" s="221"/>
      <c r="AE296" s="221"/>
    </row>
    <row r="297" spans="1:31" ht="16.5" customHeight="1" thickBot="1">
      <c r="A297" s="298"/>
      <c r="B297" s="298"/>
      <c r="C297" s="298"/>
      <c r="D297" s="298"/>
      <c r="E297" s="298"/>
      <c r="F297" s="298"/>
      <c r="G297" s="298"/>
      <c r="H297" s="298"/>
      <c r="I297" s="298"/>
      <c r="J297" s="298"/>
      <c r="K297" s="298"/>
      <c r="L297" s="298"/>
      <c r="M297" s="298"/>
      <c r="N297" s="298"/>
      <c r="O297" s="298"/>
      <c r="P297" s="298"/>
      <c r="U297" s="268"/>
      <c r="V297" s="664"/>
      <c r="W297" s="268"/>
      <c r="X297" s="663"/>
      <c r="Y297" s="268"/>
      <c r="Z297" s="268"/>
      <c r="AA297" s="221"/>
      <c r="AB297" s="221"/>
      <c r="AC297" s="221"/>
      <c r="AD297" s="221"/>
      <c r="AE297" s="221"/>
    </row>
    <row r="298" spans="1:31" ht="16.5" customHeight="1" thickTop="1">
      <c r="A298" s="298"/>
      <c r="B298" s="298"/>
      <c r="C298" s="298"/>
      <c r="D298" s="298"/>
      <c r="E298" s="298"/>
      <c r="F298" s="298"/>
      <c r="G298" s="298"/>
      <c r="H298" s="298"/>
      <c r="I298" s="298"/>
      <c r="J298" s="298"/>
      <c r="K298" s="298"/>
      <c r="L298" s="298"/>
      <c r="M298" s="298"/>
      <c r="N298" s="298"/>
      <c r="O298" s="298"/>
      <c r="P298" s="298"/>
      <c r="U298" s="4303" t="s">
        <v>348</v>
      </c>
      <c r="V298" s="4304"/>
      <c r="W298" s="4305"/>
      <c r="X298" s="663"/>
      <c r="Y298" s="144" t="s">
        <v>349</v>
      </c>
      <c r="Z298" s="145" t="str">
        <f>IF(Z295=AB281,"OK","NO")</f>
        <v>OK</v>
      </c>
      <c r="AA298" s="221"/>
      <c r="AB298" s="221"/>
      <c r="AC298" s="221"/>
      <c r="AD298" s="221"/>
      <c r="AE298" s="221"/>
    </row>
    <row r="299" spans="1:31" ht="16.5" customHeight="1">
      <c r="A299" s="298"/>
      <c r="B299" s="298"/>
      <c r="C299" s="298"/>
      <c r="D299" s="298"/>
      <c r="E299" s="298"/>
      <c r="F299" s="298"/>
      <c r="G299" s="298"/>
      <c r="H299" s="298"/>
      <c r="I299" s="298"/>
      <c r="J299" s="298"/>
      <c r="K299" s="298"/>
      <c r="L299" s="298"/>
      <c r="M299" s="298"/>
      <c r="N299" s="298"/>
      <c r="O299" s="298"/>
      <c r="P299" s="298"/>
      <c r="U299" s="5200" t="s">
        <v>3666</v>
      </c>
      <c r="V299" s="4208"/>
      <c r="W299" s="516">
        <f>+Z287+Z288+Z291+Z292</f>
        <v>489.04240000000004</v>
      </c>
      <c r="X299" s="663"/>
      <c r="Y299" s="268"/>
      <c r="Z299" s="145" t="str">
        <f>IF(W303=AB281,"OK","NO")</f>
        <v>OK</v>
      </c>
      <c r="AA299" s="221"/>
      <c r="AB299" s="221"/>
      <c r="AC299" s="221"/>
      <c r="AD299" s="221"/>
      <c r="AE299" s="221"/>
    </row>
    <row r="300" spans="1:31" ht="16.5" customHeight="1">
      <c r="A300" s="298"/>
      <c r="B300" s="298"/>
      <c r="C300" s="298"/>
      <c r="D300" s="298"/>
      <c r="E300" s="298"/>
      <c r="F300" s="298"/>
      <c r="G300" s="298"/>
      <c r="H300" s="298"/>
      <c r="I300" s="298"/>
      <c r="J300" s="298"/>
      <c r="K300" s="298"/>
      <c r="L300" s="298"/>
      <c r="M300" s="298"/>
      <c r="N300" s="298"/>
      <c r="O300" s="298"/>
      <c r="P300" s="298"/>
      <c r="U300" s="5199" t="s">
        <v>3667</v>
      </c>
      <c r="V300" s="4201"/>
      <c r="W300" s="515">
        <v>0</v>
      </c>
      <c r="X300" s="663"/>
      <c r="Y300" s="268"/>
      <c r="Z300" s="145" t="str">
        <f>IF(W313=AB281,"OK","NO")</f>
        <v>OK</v>
      </c>
      <c r="AA300" s="221"/>
      <c r="AB300" s="221"/>
      <c r="AC300" s="221"/>
      <c r="AD300" s="221"/>
      <c r="AE300" s="221"/>
    </row>
    <row r="301" spans="1:31" ht="16.5" customHeight="1">
      <c r="A301" s="298"/>
      <c r="B301" s="298"/>
      <c r="C301" s="298"/>
      <c r="D301" s="298"/>
      <c r="E301" s="298"/>
      <c r="F301" s="298"/>
      <c r="G301" s="298"/>
      <c r="H301" s="298"/>
      <c r="I301" s="298"/>
      <c r="J301" s="298"/>
      <c r="K301" s="298"/>
      <c r="L301" s="298"/>
      <c r="M301" s="298"/>
      <c r="N301" s="298"/>
      <c r="O301" s="298"/>
      <c r="P301" s="298"/>
      <c r="U301" s="5199" t="s">
        <v>3669</v>
      </c>
      <c r="V301" s="4201"/>
      <c r="W301" s="515">
        <f>+Z289+Z290+Z293+Z294</f>
        <v>95325.402160000012</v>
      </c>
      <c r="X301" s="663"/>
      <c r="Y301" s="663"/>
      <c r="Z301" s="145" t="str">
        <f>IF(Resumen!C363=AB281,"OK","NO")</f>
        <v>OK</v>
      </c>
      <c r="AA301" s="221"/>
      <c r="AB301" s="221"/>
      <c r="AC301" s="221"/>
      <c r="AD301" s="221"/>
      <c r="AE301" s="221"/>
    </row>
    <row r="302" spans="1:31" ht="16.5" customHeight="1">
      <c r="A302" s="298"/>
      <c r="B302" s="298"/>
      <c r="C302" s="298"/>
      <c r="D302" s="298"/>
      <c r="E302" s="298"/>
      <c r="F302" s="298"/>
      <c r="G302" s="298"/>
      <c r="H302" s="298"/>
      <c r="I302" s="298"/>
      <c r="J302" s="298"/>
      <c r="K302" s="298"/>
      <c r="L302" s="298"/>
      <c r="M302" s="298"/>
      <c r="N302" s="298"/>
      <c r="O302" s="298"/>
      <c r="P302" s="298"/>
      <c r="U302" s="5199" t="s">
        <v>3668</v>
      </c>
      <c r="V302" s="4201"/>
      <c r="W302" s="517">
        <v>0</v>
      </c>
      <c r="X302" s="663"/>
      <c r="Y302" s="663"/>
      <c r="Z302" s="268"/>
      <c r="AA302" s="221"/>
      <c r="AB302" s="221"/>
      <c r="AC302" s="221"/>
      <c r="AD302" s="221"/>
      <c r="AE302" s="221"/>
    </row>
    <row r="303" spans="1:31" ht="16.5" customHeight="1">
      <c r="A303" s="298"/>
      <c r="B303" s="298"/>
      <c r="C303" s="298"/>
      <c r="D303" s="298"/>
      <c r="E303" s="298"/>
      <c r="F303" s="298"/>
      <c r="G303" s="298"/>
      <c r="H303" s="298"/>
      <c r="I303" s="298"/>
      <c r="J303" s="298"/>
      <c r="K303" s="298"/>
      <c r="L303" s="298"/>
      <c r="M303" s="298"/>
      <c r="N303" s="298"/>
      <c r="O303" s="298"/>
      <c r="P303" s="298"/>
      <c r="U303" s="4553" t="s">
        <v>183</v>
      </c>
      <c r="V303" s="4554"/>
      <c r="W303" s="1571">
        <f>SUM(W299:W302)</f>
        <v>95814.444560000018</v>
      </c>
      <c r="X303" s="663"/>
      <c r="Y303" s="663"/>
      <c r="Z303" s="268"/>
      <c r="AA303" s="221"/>
      <c r="AB303" s="221"/>
      <c r="AC303" s="221"/>
      <c r="AD303" s="221"/>
      <c r="AE303" s="221"/>
    </row>
    <row r="304" spans="1:31" ht="16.5" customHeight="1">
      <c r="A304" s="298"/>
      <c r="B304" s="298"/>
      <c r="C304" s="298"/>
      <c r="D304" s="298"/>
      <c r="E304" s="298"/>
      <c r="F304" s="298"/>
      <c r="G304" s="298"/>
      <c r="H304" s="298"/>
      <c r="I304" s="298"/>
      <c r="J304" s="298"/>
      <c r="K304" s="298"/>
      <c r="L304" s="298"/>
      <c r="M304" s="298"/>
      <c r="N304" s="298"/>
      <c r="O304" s="298"/>
      <c r="P304" s="298"/>
      <c r="U304" s="4555" t="s">
        <v>350</v>
      </c>
      <c r="V304" s="4556"/>
      <c r="W304" s="4557"/>
      <c r="X304" s="665"/>
      <c r="Y304" s="665"/>
      <c r="Z304" s="268"/>
      <c r="AA304" s="221"/>
      <c r="AB304" s="221"/>
      <c r="AC304" s="221"/>
      <c r="AD304" s="221"/>
      <c r="AE304" s="221"/>
    </row>
    <row r="305" spans="1:31" ht="16.5" customHeight="1">
      <c r="A305" s="298"/>
      <c r="B305" s="298"/>
      <c r="C305" s="298"/>
      <c r="D305" s="298"/>
      <c r="E305" s="298"/>
      <c r="F305" s="298"/>
      <c r="G305" s="298"/>
      <c r="H305" s="298"/>
      <c r="I305" s="298"/>
      <c r="J305" s="298"/>
      <c r="K305" s="298"/>
      <c r="L305" s="298"/>
      <c r="M305" s="298"/>
      <c r="N305" s="298"/>
      <c r="O305" s="298"/>
      <c r="P305" s="298"/>
      <c r="U305" s="4207" t="s">
        <v>3670</v>
      </c>
      <c r="V305" s="4208"/>
      <c r="W305" s="516">
        <v>0</v>
      </c>
      <c r="X305" s="665"/>
      <c r="Y305" s="665"/>
      <c r="Z305" s="268"/>
      <c r="AA305" s="221"/>
      <c r="AB305" s="221"/>
      <c r="AC305" s="221"/>
      <c r="AD305" s="221"/>
      <c r="AE305" s="221"/>
    </row>
    <row r="306" spans="1:31" ht="16.5" customHeight="1">
      <c r="A306" s="298"/>
      <c r="B306" s="298"/>
      <c r="C306" s="298"/>
      <c r="D306" s="298"/>
      <c r="E306" s="298"/>
      <c r="F306" s="298"/>
      <c r="G306" s="298"/>
      <c r="H306" s="298"/>
      <c r="I306" s="298"/>
      <c r="J306" s="298"/>
      <c r="K306" s="298"/>
      <c r="L306" s="298"/>
      <c r="M306" s="298"/>
      <c r="N306" s="298"/>
      <c r="O306" s="298"/>
      <c r="P306" s="298"/>
      <c r="U306" s="4209" t="s">
        <v>3671</v>
      </c>
      <c r="V306" s="4201"/>
      <c r="W306" s="515">
        <f>+Z287+Z288+Z289+Z290</f>
        <v>94215.404880000002</v>
      </c>
      <c r="X306" s="665"/>
      <c r="Y306" s="665"/>
      <c r="Z306" s="268"/>
      <c r="AA306" s="221"/>
      <c r="AB306" s="221"/>
      <c r="AC306" s="221"/>
      <c r="AD306" s="221"/>
      <c r="AE306" s="221"/>
    </row>
    <row r="307" spans="1:31" ht="16.5" customHeight="1">
      <c r="A307" s="298"/>
      <c r="B307" s="298"/>
      <c r="C307" s="298"/>
      <c r="D307" s="298"/>
      <c r="E307" s="298"/>
      <c r="F307" s="298"/>
      <c r="G307" s="298"/>
      <c r="H307" s="298"/>
      <c r="I307" s="298"/>
      <c r="J307" s="298"/>
      <c r="K307" s="298"/>
      <c r="L307" s="298"/>
      <c r="M307" s="298"/>
      <c r="N307" s="298"/>
      <c r="O307" s="298"/>
      <c r="P307" s="298"/>
      <c r="Q307" s="298"/>
      <c r="R307" s="298"/>
      <c r="S307" s="298"/>
      <c r="T307" s="298"/>
      <c r="U307" s="4209" t="s">
        <v>3672</v>
      </c>
      <c r="V307" s="4201"/>
      <c r="W307" s="515">
        <f>+Z291</f>
        <v>159.04</v>
      </c>
      <c r="X307" s="666"/>
      <c r="Y307" s="666"/>
      <c r="Z307" s="268"/>
      <c r="AA307" s="221"/>
      <c r="AB307" s="221"/>
      <c r="AC307" s="221"/>
      <c r="AD307" s="221"/>
      <c r="AE307" s="221"/>
    </row>
    <row r="308" spans="1:31" ht="16.5" customHeight="1">
      <c r="A308" s="298"/>
      <c r="B308" s="298"/>
      <c r="C308" s="298"/>
      <c r="D308" s="298"/>
      <c r="E308" s="298"/>
      <c r="F308" s="298"/>
      <c r="G308" s="298"/>
      <c r="H308" s="298"/>
      <c r="I308" s="298"/>
      <c r="J308" s="298"/>
      <c r="K308" s="298"/>
      <c r="L308" s="298"/>
      <c r="M308" s="298"/>
      <c r="N308" s="298"/>
      <c r="O308" s="298"/>
      <c r="P308" s="298"/>
      <c r="Q308" s="298"/>
      <c r="R308" s="298"/>
      <c r="S308" s="298"/>
      <c r="T308" s="298"/>
      <c r="U308" s="4209" t="s">
        <v>3673</v>
      </c>
      <c r="V308" s="4201"/>
      <c r="W308" s="515">
        <f>+Z292</f>
        <v>0</v>
      </c>
      <c r="X308" s="663"/>
      <c r="Y308" s="663"/>
      <c r="Z308" s="268"/>
      <c r="AA308" s="221"/>
      <c r="AB308" s="221"/>
      <c r="AC308" s="221"/>
      <c r="AD308" s="221"/>
      <c r="AE308" s="221"/>
    </row>
    <row r="309" spans="1:31" ht="16.5" customHeight="1">
      <c r="A309" s="298"/>
      <c r="B309" s="298"/>
      <c r="C309" s="298"/>
      <c r="D309" s="298"/>
      <c r="E309" s="298"/>
      <c r="F309" s="298"/>
      <c r="G309" s="298"/>
      <c r="H309" s="298"/>
      <c r="I309" s="298"/>
      <c r="J309" s="298"/>
      <c r="K309" s="298"/>
      <c r="L309" s="298"/>
      <c r="M309" s="298"/>
      <c r="N309" s="298"/>
      <c r="O309" s="298"/>
      <c r="P309" s="298"/>
      <c r="Q309" s="298"/>
      <c r="R309" s="298"/>
      <c r="S309" s="298"/>
      <c r="T309" s="298"/>
      <c r="U309" s="4209" t="s">
        <v>3674</v>
      </c>
      <c r="V309" s="4201"/>
      <c r="W309" s="515">
        <v>0</v>
      </c>
      <c r="X309" s="667"/>
      <c r="Y309" s="667"/>
      <c r="Z309" s="268"/>
      <c r="AA309" s="221"/>
      <c r="AB309" s="221"/>
      <c r="AC309" s="221"/>
      <c r="AD309" s="221"/>
      <c r="AE309" s="221"/>
    </row>
    <row r="310" spans="1:31" ht="16.5" customHeight="1">
      <c r="A310" s="298"/>
      <c r="B310" s="298"/>
      <c r="C310" s="298"/>
      <c r="D310" s="298"/>
      <c r="E310" s="298"/>
      <c r="F310" s="298"/>
      <c r="G310" s="298"/>
      <c r="H310" s="298"/>
      <c r="I310" s="298"/>
      <c r="J310" s="298"/>
      <c r="K310" s="298"/>
      <c r="L310" s="298"/>
      <c r="M310" s="298"/>
      <c r="N310" s="298"/>
      <c r="O310" s="298"/>
      <c r="P310" s="298"/>
      <c r="Q310" s="298"/>
      <c r="R310" s="298"/>
      <c r="S310" s="298"/>
      <c r="T310" s="298"/>
      <c r="U310" s="4209" t="s">
        <v>3675</v>
      </c>
      <c r="V310" s="4201"/>
      <c r="W310" s="515">
        <v>0</v>
      </c>
      <c r="X310" s="667"/>
      <c r="Y310" s="667"/>
      <c r="Z310" s="268"/>
      <c r="AA310" s="221"/>
      <c r="AB310" s="221"/>
      <c r="AC310" s="221"/>
      <c r="AD310" s="221"/>
      <c r="AE310" s="221"/>
    </row>
    <row r="311" spans="1:31" ht="16.5" customHeight="1">
      <c r="A311" s="298"/>
      <c r="B311" s="298"/>
      <c r="C311" s="298"/>
      <c r="D311" s="298"/>
      <c r="E311" s="298"/>
      <c r="F311" s="298"/>
      <c r="G311" s="298"/>
      <c r="H311" s="298"/>
      <c r="I311" s="298"/>
      <c r="J311" s="298"/>
      <c r="K311" s="298"/>
      <c r="L311" s="298"/>
      <c r="M311" s="298"/>
      <c r="N311" s="298"/>
      <c r="O311" s="298"/>
      <c r="P311" s="298"/>
      <c r="Q311" s="298"/>
      <c r="R311" s="298"/>
      <c r="S311" s="298"/>
      <c r="T311" s="298"/>
      <c r="U311" s="4209" t="s">
        <v>3676</v>
      </c>
      <c r="V311" s="4201"/>
      <c r="W311" s="515">
        <f>+Z293+Z294</f>
        <v>1439.9996800000001</v>
      </c>
      <c r="X311" s="667"/>
      <c r="Y311" s="667"/>
      <c r="Z311" s="268"/>
      <c r="AA311" s="221"/>
      <c r="AB311" s="221"/>
      <c r="AC311" s="221"/>
      <c r="AD311" s="221"/>
      <c r="AE311" s="221"/>
    </row>
    <row r="312" spans="1:31" ht="16.5" customHeight="1">
      <c r="A312" s="298"/>
      <c r="B312" s="298"/>
      <c r="C312" s="298"/>
      <c r="D312" s="298"/>
      <c r="E312" s="298"/>
      <c r="F312" s="298"/>
      <c r="G312" s="298"/>
      <c r="H312" s="298"/>
      <c r="I312" s="298"/>
      <c r="J312" s="298"/>
      <c r="K312" s="298"/>
      <c r="L312" s="298"/>
      <c r="M312" s="298"/>
      <c r="N312" s="298"/>
      <c r="O312" s="298"/>
      <c r="P312" s="298"/>
      <c r="Q312" s="298"/>
      <c r="R312" s="298"/>
      <c r="S312" s="298"/>
      <c r="T312" s="298"/>
      <c r="U312" s="4209" t="s">
        <v>3677</v>
      </c>
      <c r="V312" s="4201"/>
      <c r="W312" s="517">
        <v>0</v>
      </c>
      <c r="X312" s="668"/>
      <c r="Y312" s="668"/>
      <c r="Z312" s="268"/>
      <c r="AA312" s="221"/>
      <c r="AB312" s="234"/>
      <c r="AC312" s="221"/>
      <c r="AD312" s="221"/>
      <c r="AE312" s="221"/>
    </row>
    <row r="313" spans="1:31" ht="16.5" customHeight="1" thickBot="1">
      <c r="A313" s="298"/>
      <c r="B313" s="298"/>
      <c r="C313" s="298"/>
      <c r="D313" s="298"/>
      <c r="E313" s="298"/>
      <c r="F313" s="298"/>
      <c r="G313" s="298"/>
      <c r="H313" s="298"/>
      <c r="I313" s="298"/>
      <c r="J313" s="298"/>
      <c r="K313" s="298"/>
      <c r="L313" s="298"/>
      <c r="M313" s="298"/>
      <c r="N313" s="298"/>
      <c r="O313" s="298"/>
      <c r="P313" s="298"/>
      <c r="Q313" s="298"/>
      <c r="R313" s="298"/>
      <c r="S313" s="298"/>
      <c r="T313" s="298"/>
      <c r="U313" s="4295" t="s">
        <v>183</v>
      </c>
      <c r="V313" s="4296"/>
      <c r="W313" s="1572">
        <f>SUM(W305:W312)</f>
        <v>95814.444559999989</v>
      </c>
      <c r="X313" s="666"/>
      <c r="Y313" s="666"/>
      <c r="Z313" s="268"/>
      <c r="AA313" s="221"/>
      <c r="AB313" s="234"/>
      <c r="AC313" s="221"/>
      <c r="AD313" s="221"/>
      <c r="AE313" s="221"/>
    </row>
    <row r="314" spans="1:31" ht="16.5" customHeight="1" thickTop="1">
      <c r="A314" s="298"/>
      <c r="B314" s="298"/>
      <c r="C314" s="298"/>
      <c r="D314" s="298"/>
      <c r="E314" s="298"/>
      <c r="F314" s="298"/>
      <c r="G314" s="298"/>
      <c r="H314" s="298"/>
      <c r="I314" s="298"/>
      <c r="J314" s="298"/>
      <c r="K314" s="298"/>
      <c r="L314" s="298"/>
      <c r="M314" s="298"/>
      <c r="N314" s="298"/>
      <c r="O314" s="298"/>
      <c r="P314" s="298"/>
      <c r="Q314" s="298"/>
      <c r="R314" s="298"/>
      <c r="S314" s="298"/>
      <c r="T314" s="298"/>
      <c r="U314" s="268"/>
      <c r="V314" s="268"/>
      <c r="W314" s="666"/>
      <c r="X314" s="666"/>
      <c r="Y314" s="268"/>
      <c r="Z314" s="268"/>
      <c r="AA314" s="221"/>
      <c r="AB314" s="234"/>
      <c r="AC314" s="221"/>
      <c r="AD314" s="221"/>
      <c r="AE314" s="221"/>
    </row>
    <row r="315" spans="1:31" ht="16.5" customHeight="1">
      <c r="A315" s="298"/>
      <c r="B315" s="298"/>
      <c r="C315" s="298"/>
      <c r="D315" s="298"/>
      <c r="E315" s="298"/>
      <c r="F315" s="298"/>
      <c r="G315" s="298"/>
      <c r="H315" s="298"/>
      <c r="I315" s="298"/>
      <c r="J315" s="298"/>
      <c r="K315" s="298"/>
      <c r="L315" s="298"/>
      <c r="M315" s="298"/>
      <c r="N315" s="298"/>
      <c r="O315" s="298"/>
      <c r="P315" s="298"/>
      <c r="Q315" s="298"/>
      <c r="R315" s="298"/>
      <c r="S315" s="298"/>
      <c r="T315" s="298"/>
      <c r="U315" s="268"/>
      <c r="V315" s="268"/>
      <c r="W315" s="668"/>
      <c r="X315" s="668"/>
      <c r="Y315" s="268"/>
      <c r="Z315" s="268"/>
      <c r="AA315" s="221"/>
      <c r="AB315" s="234"/>
      <c r="AC315" s="221"/>
      <c r="AD315" s="221"/>
      <c r="AE315" s="221"/>
    </row>
    <row r="316" spans="1:31" ht="15.75" customHeight="1">
      <c r="AA316" s="268"/>
    </row>
  </sheetData>
  <mergeCells count="948">
    <mergeCell ref="L134:L138"/>
    <mergeCell ref="M134:M138"/>
    <mergeCell ref="N134:N138"/>
    <mergeCell ref="O134:O138"/>
    <mergeCell ref="P134:P138"/>
    <mergeCell ref="Q134:Q138"/>
    <mergeCell ref="R134:R138"/>
    <mergeCell ref="F134:F138"/>
    <mergeCell ref="G134:G138"/>
    <mergeCell ref="H134:H138"/>
    <mergeCell ref="I134:I138"/>
    <mergeCell ref="J134:J138"/>
    <mergeCell ref="K134:K138"/>
    <mergeCell ref="J139:J143"/>
    <mergeCell ref="R145:R149"/>
    <mergeCell ref="C145:C149"/>
    <mergeCell ref="D145:D149"/>
    <mergeCell ref="E150:E154"/>
    <mergeCell ref="F150:F154"/>
    <mergeCell ref="G150:G154"/>
    <mergeCell ref="H150:H154"/>
    <mergeCell ref="I150:I154"/>
    <mergeCell ref="J150:J154"/>
    <mergeCell ref="K150:K154"/>
    <mergeCell ref="C150:C154"/>
    <mergeCell ref="D150:D154"/>
    <mergeCell ref="L139:L143"/>
    <mergeCell ref="M139:M143"/>
    <mergeCell ref="K145:K149"/>
    <mergeCell ref="L145:L149"/>
    <mergeCell ref="M145:M149"/>
    <mergeCell ref="N145:N149"/>
    <mergeCell ref="O145:O149"/>
    <mergeCell ref="P145:P149"/>
    <mergeCell ref="Q145:Q149"/>
    <mergeCell ref="K139:K143"/>
    <mergeCell ref="O175:O179"/>
    <mergeCell ref="P175:P179"/>
    <mergeCell ref="Q175:Q179"/>
    <mergeCell ref="R175:R179"/>
    <mergeCell ref="N180:N184"/>
    <mergeCell ref="O180:O184"/>
    <mergeCell ref="P180:P184"/>
    <mergeCell ref="Q180:Q184"/>
    <mergeCell ref="R180:R184"/>
    <mergeCell ref="S205:Z205"/>
    <mergeCell ref="AC205:AF205"/>
    <mergeCell ref="L165:L169"/>
    <mergeCell ref="M165:M169"/>
    <mergeCell ref="N165:N169"/>
    <mergeCell ref="O165:O169"/>
    <mergeCell ref="P165:P169"/>
    <mergeCell ref="L200:L204"/>
    <mergeCell ref="M200:M204"/>
    <mergeCell ref="N200:N204"/>
    <mergeCell ref="O200:O204"/>
    <mergeCell ref="P200:P204"/>
    <mergeCell ref="Q200:Q204"/>
    <mergeCell ref="R200:R204"/>
    <mergeCell ref="Q165:Q169"/>
    <mergeCell ref="R165:R169"/>
    <mergeCell ref="N170:N174"/>
    <mergeCell ref="O170:O174"/>
    <mergeCell ref="P170:P174"/>
    <mergeCell ref="Q170:Q174"/>
    <mergeCell ref="R170:R174"/>
    <mergeCell ref="L175:L179"/>
    <mergeCell ref="M175:M179"/>
    <mergeCell ref="N175:N179"/>
    <mergeCell ref="AF206:AF212"/>
    <mergeCell ref="AF213:AF217"/>
    <mergeCell ref="AF218:AF222"/>
    <mergeCell ref="AF223:AF227"/>
    <mergeCell ref="AF145:AF149"/>
    <mergeCell ref="AF150:AF154"/>
    <mergeCell ref="AF155:AF159"/>
    <mergeCell ref="AF160:AF164"/>
    <mergeCell ref="AF165:AF169"/>
    <mergeCell ref="AF170:AF174"/>
    <mergeCell ref="AF175:AF179"/>
    <mergeCell ref="AF180:AF184"/>
    <mergeCell ref="AF185:AF189"/>
    <mergeCell ref="AF190:AF194"/>
    <mergeCell ref="AF195:AF199"/>
    <mergeCell ref="AF200:AF204"/>
    <mergeCell ref="L80:L84"/>
    <mergeCell ref="M80:M84"/>
    <mergeCell ref="N80:N84"/>
    <mergeCell ref="O80:O84"/>
    <mergeCell ref="P80:P84"/>
    <mergeCell ref="Q80:Q84"/>
    <mergeCell ref="AF80:AF84"/>
    <mergeCell ref="L86:L93"/>
    <mergeCell ref="M86:M93"/>
    <mergeCell ref="N86:N93"/>
    <mergeCell ref="O86:O93"/>
    <mergeCell ref="P86:P93"/>
    <mergeCell ref="Q86:Q93"/>
    <mergeCell ref="R80:R84"/>
    <mergeCell ref="S85:Z85"/>
    <mergeCell ref="AC85:AF85"/>
    <mergeCell ref="R86:R93"/>
    <mergeCell ref="AF86:AF93"/>
    <mergeCell ref="E80:E84"/>
    <mergeCell ref="F80:F84"/>
    <mergeCell ref="G80:G84"/>
    <mergeCell ref="H80:H84"/>
    <mergeCell ref="I80:I84"/>
    <mergeCell ref="J80:J84"/>
    <mergeCell ref="K80:K84"/>
    <mergeCell ref="E86:E93"/>
    <mergeCell ref="F86:F93"/>
    <mergeCell ref="G86:G93"/>
    <mergeCell ref="H86:H93"/>
    <mergeCell ref="I86:I93"/>
    <mergeCell ref="J86:J93"/>
    <mergeCell ref="K86:K93"/>
    <mergeCell ref="E94:E98"/>
    <mergeCell ref="F94:F98"/>
    <mergeCell ref="G94:G98"/>
    <mergeCell ref="H94:H98"/>
    <mergeCell ref="I94:I98"/>
    <mergeCell ref="E165:E169"/>
    <mergeCell ref="F165:F169"/>
    <mergeCell ref="G165:G169"/>
    <mergeCell ref="H165:H169"/>
    <mergeCell ref="I165:I169"/>
    <mergeCell ref="E134:E138"/>
    <mergeCell ref="E145:E149"/>
    <mergeCell ref="F145:F149"/>
    <mergeCell ref="G145:G149"/>
    <mergeCell ref="H145:H149"/>
    <mergeCell ref="I145:I149"/>
    <mergeCell ref="E139:E143"/>
    <mergeCell ref="F139:F143"/>
    <mergeCell ref="G139:G143"/>
    <mergeCell ref="H139:H143"/>
    <mergeCell ref="I139:I143"/>
    <mergeCell ref="J165:J169"/>
    <mergeCell ref="K165:K169"/>
    <mergeCell ref="L170:L174"/>
    <mergeCell ref="M170:M174"/>
    <mergeCell ref="E170:E174"/>
    <mergeCell ref="F170:F174"/>
    <mergeCell ref="G170:G174"/>
    <mergeCell ref="H170:H174"/>
    <mergeCell ref="I170:I174"/>
    <mergeCell ref="J170:J174"/>
    <mergeCell ref="K170:K174"/>
    <mergeCell ref="E175:E179"/>
    <mergeCell ref="F175:F179"/>
    <mergeCell ref="G175:G179"/>
    <mergeCell ref="H175:H179"/>
    <mergeCell ref="I175:I179"/>
    <mergeCell ref="J175:J179"/>
    <mergeCell ref="K175:K179"/>
    <mergeCell ref="L180:L184"/>
    <mergeCell ref="M180:M184"/>
    <mergeCell ref="E180:E184"/>
    <mergeCell ref="F180:F184"/>
    <mergeCell ref="G180:G184"/>
    <mergeCell ref="H180:H184"/>
    <mergeCell ref="I180:I184"/>
    <mergeCell ref="J180:J184"/>
    <mergeCell ref="K180:K184"/>
    <mergeCell ref="E200:E204"/>
    <mergeCell ref="N195:N199"/>
    <mergeCell ref="P185:P189"/>
    <mergeCell ref="Q185:Q189"/>
    <mergeCell ref="R185:R189"/>
    <mergeCell ref="E185:E189"/>
    <mergeCell ref="F185:F189"/>
    <mergeCell ref="G185:G189"/>
    <mergeCell ref="H185:H189"/>
    <mergeCell ref="I185:I189"/>
    <mergeCell ref="J185:J189"/>
    <mergeCell ref="K185:K189"/>
    <mergeCell ref="F200:F204"/>
    <mergeCell ref="G200:G204"/>
    <mergeCell ref="H200:H204"/>
    <mergeCell ref="I200:I204"/>
    <mergeCell ref="J200:J204"/>
    <mergeCell ref="K200:K204"/>
    <mergeCell ref="L185:L189"/>
    <mergeCell ref="M185:M189"/>
    <mergeCell ref="N185:N189"/>
    <mergeCell ref="O185:O189"/>
    <mergeCell ref="L190:L194"/>
    <mergeCell ref="M190:M194"/>
    <mergeCell ref="N190:N194"/>
    <mergeCell ref="O190:O194"/>
    <mergeCell ref="P190:P194"/>
    <mergeCell ref="Q190:Q194"/>
    <mergeCell ref="R190:R194"/>
    <mergeCell ref="E190:E194"/>
    <mergeCell ref="F190:F194"/>
    <mergeCell ref="G190:G194"/>
    <mergeCell ref="H190:H194"/>
    <mergeCell ref="I190:I194"/>
    <mergeCell ref="J190:J194"/>
    <mergeCell ref="K190:K194"/>
    <mergeCell ref="E15:E19"/>
    <mergeCell ref="F15:F19"/>
    <mergeCell ref="G15:G19"/>
    <mergeCell ref="H15:H19"/>
    <mergeCell ref="I15:I19"/>
    <mergeCell ref="J15:J19"/>
    <mergeCell ref="K15:K19"/>
    <mergeCell ref="AF30:AF33"/>
    <mergeCell ref="AF35:AF39"/>
    <mergeCell ref="J20:J24"/>
    <mergeCell ref="K20:K24"/>
    <mergeCell ref="E30:E33"/>
    <mergeCell ref="F30:F33"/>
    <mergeCell ref="G30:G33"/>
    <mergeCell ref="H30:H33"/>
    <mergeCell ref="I30:I33"/>
    <mergeCell ref="J30:J33"/>
    <mergeCell ref="K30:K33"/>
    <mergeCell ref="L35:L39"/>
    <mergeCell ref="M35:M39"/>
    <mergeCell ref="N35:N39"/>
    <mergeCell ref="O35:O39"/>
    <mergeCell ref="P35:P39"/>
    <mergeCell ref="Q35:Q39"/>
    <mergeCell ref="AF40:AF44"/>
    <mergeCell ref="AF45:AF49"/>
    <mergeCell ref="AF50:AF54"/>
    <mergeCell ref="L15:L19"/>
    <mergeCell ref="M15:M19"/>
    <mergeCell ref="AF15:AF19"/>
    <mergeCell ref="AF20:AF24"/>
    <mergeCell ref="AF25:AF29"/>
    <mergeCell ref="S34:Z34"/>
    <mergeCell ref="AC34:AF34"/>
    <mergeCell ref="N25:N29"/>
    <mergeCell ref="O25:O29"/>
    <mergeCell ref="P25:P29"/>
    <mergeCell ref="Q25:Q29"/>
    <mergeCell ref="R25:R29"/>
    <mergeCell ref="L30:L33"/>
    <mergeCell ref="M30:M33"/>
    <mergeCell ref="N30:N33"/>
    <mergeCell ref="O30:O33"/>
    <mergeCell ref="P30:P33"/>
    <mergeCell ref="Q30:Q33"/>
    <mergeCell ref="R30:R33"/>
    <mergeCell ref="L50:L54"/>
    <mergeCell ref="M50:M54"/>
    <mergeCell ref="L25:L29"/>
    <mergeCell ref="M25:M29"/>
    <mergeCell ref="E25:E29"/>
    <mergeCell ref="F25:F29"/>
    <mergeCell ref="G25:G29"/>
    <mergeCell ref="H25:H29"/>
    <mergeCell ref="I25:I29"/>
    <mergeCell ref="J25:J29"/>
    <mergeCell ref="K25:K29"/>
    <mergeCell ref="H50:H54"/>
    <mergeCell ref="I50:I54"/>
    <mergeCell ref="J50:J54"/>
    <mergeCell ref="K50:K54"/>
    <mergeCell ref="E20:E24"/>
    <mergeCell ref="F20:F24"/>
    <mergeCell ref="G20:G24"/>
    <mergeCell ref="H20:H24"/>
    <mergeCell ref="I20:I24"/>
    <mergeCell ref="C45:C49"/>
    <mergeCell ref="D45:D49"/>
    <mergeCell ref="C50:C54"/>
    <mergeCell ref="D50:D54"/>
    <mergeCell ref="N40:N44"/>
    <mergeCell ref="O40:O44"/>
    <mergeCell ref="P40:P44"/>
    <mergeCell ref="Q40:Q44"/>
    <mergeCell ref="R40:R44"/>
    <mergeCell ref="E40:E44"/>
    <mergeCell ref="F40:F44"/>
    <mergeCell ref="G40:G44"/>
    <mergeCell ref="H40:H44"/>
    <mergeCell ref="I40:I44"/>
    <mergeCell ref="J40:J44"/>
    <mergeCell ref="K40:K44"/>
    <mergeCell ref="N50:N54"/>
    <mergeCell ref="O50:O54"/>
    <mergeCell ref="P50:P54"/>
    <mergeCell ref="Q50:Q54"/>
    <mergeCell ref="R50:R54"/>
    <mergeCell ref="E50:E54"/>
    <mergeCell ref="F50:F54"/>
    <mergeCell ref="G50:G54"/>
    <mergeCell ref="O75:O79"/>
    <mergeCell ref="P75:P79"/>
    <mergeCell ref="Q75:Q79"/>
    <mergeCell ref="R75:R79"/>
    <mergeCell ref="AF75:AF79"/>
    <mergeCell ref="E75:E79"/>
    <mergeCell ref="F75:F79"/>
    <mergeCell ref="G75:G79"/>
    <mergeCell ref="H75:H79"/>
    <mergeCell ref="I75:I79"/>
    <mergeCell ref="J75:J79"/>
    <mergeCell ref="K75:K79"/>
    <mergeCell ref="Q60:Q64"/>
    <mergeCell ref="R60:R64"/>
    <mergeCell ref="AF60:AF64"/>
    <mergeCell ref="J60:J64"/>
    <mergeCell ref="K60:K64"/>
    <mergeCell ref="L60:L64"/>
    <mergeCell ref="M60:M64"/>
    <mergeCell ref="N60:N64"/>
    <mergeCell ref="O60:O64"/>
    <mergeCell ref="P60:P64"/>
    <mergeCell ref="Q65:Q69"/>
    <mergeCell ref="R65:R69"/>
    <mergeCell ref="AF65:AF69"/>
    <mergeCell ref="E65:E69"/>
    <mergeCell ref="F65:F69"/>
    <mergeCell ref="G65:G69"/>
    <mergeCell ref="H65:H69"/>
    <mergeCell ref="I65:I69"/>
    <mergeCell ref="J65:J69"/>
    <mergeCell ref="K65:K69"/>
    <mergeCell ref="Q70:Q74"/>
    <mergeCell ref="R70:R74"/>
    <mergeCell ref="AF70:AF74"/>
    <mergeCell ref="E70:E74"/>
    <mergeCell ref="F70:F74"/>
    <mergeCell ref="G70:G74"/>
    <mergeCell ref="H70:H74"/>
    <mergeCell ref="I70:I74"/>
    <mergeCell ref="J70:J74"/>
    <mergeCell ref="K70:K74"/>
    <mergeCell ref="C9:C14"/>
    <mergeCell ref="C35:C39"/>
    <mergeCell ref="C65:C69"/>
    <mergeCell ref="D65:D69"/>
    <mergeCell ref="C70:C74"/>
    <mergeCell ref="D70:D74"/>
    <mergeCell ref="C75:C79"/>
    <mergeCell ref="D75:D79"/>
    <mergeCell ref="C80:C84"/>
    <mergeCell ref="D80:D84"/>
    <mergeCell ref="C55:C59"/>
    <mergeCell ref="D55:D59"/>
    <mergeCell ref="C60:C64"/>
    <mergeCell ref="D60:D64"/>
    <mergeCell ref="C15:C19"/>
    <mergeCell ref="C20:C24"/>
    <mergeCell ref="D20:D24"/>
    <mergeCell ref="C25:C29"/>
    <mergeCell ref="D25:D29"/>
    <mergeCell ref="C30:C33"/>
    <mergeCell ref="D30:D33"/>
    <mergeCell ref="D35:D39"/>
    <mergeCell ref="C40:C44"/>
    <mergeCell ref="D40:D44"/>
    <mergeCell ref="B86:B144"/>
    <mergeCell ref="C86:C93"/>
    <mergeCell ref="C94:C98"/>
    <mergeCell ref="C99:C103"/>
    <mergeCell ref="C104:C108"/>
    <mergeCell ref="C109:C113"/>
    <mergeCell ref="C114:C118"/>
    <mergeCell ref="C139:C143"/>
    <mergeCell ref="D86:D93"/>
    <mergeCell ref="D94:D98"/>
    <mergeCell ref="D99:D103"/>
    <mergeCell ref="D104:D108"/>
    <mergeCell ref="D109:D113"/>
    <mergeCell ref="D114:D118"/>
    <mergeCell ref="C119:C123"/>
    <mergeCell ref="C124:C128"/>
    <mergeCell ref="D119:D123"/>
    <mergeCell ref="D124:D128"/>
    <mergeCell ref="D129:D133"/>
    <mergeCell ref="D134:D138"/>
    <mergeCell ref="C155:C159"/>
    <mergeCell ref="D155:D159"/>
    <mergeCell ref="C160:C164"/>
    <mergeCell ref="D160:D164"/>
    <mergeCell ref="C129:C133"/>
    <mergeCell ref="C134:C138"/>
    <mergeCell ref="C165:C169"/>
    <mergeCell ref="D165:D169"/>
    <mergeCell ref="C170:C174"/>
    <mergeCell ref="D170:D174"/>
    <mergeCell ref="C175:C179"/>
    <mergeCell ref="D175:D179"/>
    <mergeCell ref="C180:C184"/>
    <mergeCell ref="D180:D184"/>
    <mergeCell ref="C185:C189"/>
    <mergeCell ref="D185:D189"/>
    <mergeCell ref="C190:C194"/>
    <mergeCell ref="D190:D194"/>
    <mergeCell ref="C264:C268"/>
    <mergeCell ref="C269:C273"/>
    <mergeCell ref="C195:C199"/>
    <mergeCell ref="D195:D199"/>
    <mergeCell ref="C200:C204"/>
    <mergeCell ref="D200:D204"/>
    <mergeCell ref="B206:B243"/>
    <mergeCell ref="C206:C212"/>
    <mergeCell ref="C213:C217"/>
    <mergeCell ref="C218:C222"/>
    <mergeCell ref="C223:C227"/>
    <mergeCell ref="D206:D212"/>
    <mergeCell ref="D213:D217"/>
    <mergeCell ref="D218:D222"/>
    <mergeCell ref="D223:D227"/>
    <mergeCell ref="D264:D268"/>
    <mergeCell ref="D269:D273"/>
    <mergeCell ref="E223:E227"/>
    <mergeCell ref="F223:F227"/>
    <mergeCell ref="G223:G227"/>
    <mergeCell ref="H223:H227"/>
    <mergeCell ref="I223:I227"/>
    <mergeCell ref="J223:J227"/>
    <mergeCell ref="K223:K227"/>
    <mergeCell ref="E228:E232"/>
    <mergeCell ref="E9:E14"/>
    <mergeCell ref="F9:F14"/>
    <mergeCell ref="G9:G14"/>
    <mergeCell ref="H9:H14"/>
    <mergeCell ref="I9:I14"/>
    <mergeCell ref="F228:F232"/>
    <mergeCell ref="G228:G232"/>
    <mergeCell ref="H228:H232"/>
    <mergeCell ref="I228:I232"/>
    <mergeCell ref="J228:J232"/>
    <mergeCell ref="K228:K232"/>
    <mergeCell ref="E60:E64"/>
    <mergeCell ref="F60:F64"/>
    <mergeCell ref="G60:G64"/>
    <mergeCell ref="H60:H64"/>
    <mergeCell ref="I60:I64"/>
    <mergeCell ref="B35:B85"/>
    <mergeCell ref="B145:B205"/>
    <mergeCell ref="C275:C279"/>
    <mergeCell ref="D275:D279"/>
    <mergeCell ref="A9:A281"/>
    <mergeCell ref="B9:B34"/>
    <mergeCell ref="D9:D14"/>
    <mergeCell ref="D15:D19"/>
    <mergeCell ref="D139:D143"/>
    <mergeCell ref="C228:C232"/>
    <mergeCell ref="D228:D232"/>
    <mergeCell ref="C233:C237"/>
    <mergeCell ref="D233:D237"/>
    <mergeCell ref="C238:C242"/>
    <mergeCell ref="D238:D242"/>
    <mergeCell ref="B244:B280"/>
    <mergeCell ref="C244:C250"/>
    <mergeCell ref="C251:C254"/>
    <mergeCell ref="C255:C258"/>
    <mergeCell ref="C259:C263"/>
    <mergeCell ref="D244:D250"/>
    <mergeCell ref="D251:D254"/>
    <mergeCell ref="D255:D258"/>
    <mergeCell ref="D259:D263"/>
    <mergeCell ref="N15:N19"/>
    <mergeCell ref="O15:O19"/>
    <mergeCell ref="P15:P19"/>
    <mergeCell ref="L195:L199"/>
    <mergeCell ref="M195:M199"/>
    <mergeCell ref="L70:L74"/>
    <mergeCell ref="M70:M74"/>
    <mergeCell ref="N70:N74"/>
    <mergeCell ref="O70:O74"/>
    <mergeCell ref="P70:P74"/>
    <mergeCell ref="L65:L69"/>
    <mergeCell ref="M65:M69"/>
    <mergeCell ref="N65:N69"/>
    <mergeCell ref="O65:O69"/>
    <mergeCell ref="P65:P69"/>
    <mergeCell ref="L75:L79"/>
    <mergeCell ref="M75:M79"/>
    <mergeCell ref="N75:N79"/>
    <mergeCell ref="L55:L59"/>
    <mergeCell ref="M55:M59"/>
    <mergeCell ref="N55:N59"/>
    <mergeCell ref="O55:O59"/>
    <mergeCell ref="P55:P59"/>
    <mergeCell ref="L109:L113"/>
    <mergeCell ref="Q20:Q24"/>
    <mergeCell ref="R20:R24"/>
    <mergeCell ref="L20:L24"/>
    <mergeCell ref="M20:M24"/>
    <mergeCell ref="N20:N24"/>
    <mergeCell ref="O20:O24"/>
    <mergeCell ref="P20:P24"/>
    <mergeCell ref="A1:AF1"/>
    <mergeCell ref="A2:AF2"/>
    <mergeCell ref="A3:AF3"/>
    <mergeCell ref="A4:AF4"/>
    <mergeCell ref="Q9:Q14"/>
    <mergeCell ref="R9:R14"/>
    <mergeCell ref="AF9:AF14"/>
    <mergeCell ref="J9:J14"/>
    <mergeCell ref="K9:K14"/>
    <mergeCell ref="L9:L14"/>
    <mergeCell ref="M9:M14"/>
    <mergeCell ref="N9:N14"/>
    <mergeCell ref="O9:O14"/>
    <mergeCell ref="P9:P14"/>
    <mergeCell ref="Q15:Q19"/>
    <mergeCell ref="R15:R19"/>
    <mergeCell ref="A6:B8"/>
    <mergeCell ref="R35:R39"/>
    <mergeCell ref="E35:E39"/>
    <mergeCell ref="F35:F39"/>
    <mergeCell ref="G35:G39"/>
    <mergeCell ref="H35:H39"/>
    <mergeCell ref="I35:I39"/>
    <mergeCell ref="J35:J39"/>
    <mergeCell ref="K35:K39"/>
    <mergeCell ref="L45:L49"/>
    <mergeCell ref="M45:M49"/>
    <mergeCell ref="N45:N49"/>
    <mergeCell ref="O45:O49"/>
    <mergeCell ref="P45:P49"/>
    <mergeCell ref="Q45:Q49"/>
    <mergeCell ref="R45:R49"/>
    <mergeCell ref="E45:E49"/>
    <mergeCell ref="F45:F49"/>
    <mergeCell ref="G45:G49"/>
    <mergeCell ref="H45:H49"/>
    <mergeCell ref="I45:I49"/>
    <mergeCell ref="J45:J49"/>
    <mergeCell ref="K45:K49"/>
    <mergeCell ref="L40:L44"/>
    <mergeCell ref="M40:M44"/>
    <mergeCell ref="Q55:Q59"/>
    <mergeCell ref="R55:R59"/>
    <mergeCell ref="AF55:AF59"/>
    <mergeCell ref="E55:E59"/>
    <mergeCell ref="F55:F59"/>
    <mergeCell ref="G55:G59"/>
    <mergeCell ref="H55:H59"/>
    <mergeCell ref="I55:I59"/>
    <mergeCell ref="J55:J59"/>
    <mergeCell ref="K55:K59"/>
    <mergeCell ref="M109:M113"/>
    <mergeCell ref="N109:N113"/>
    <mergeCell ref="O109:O113"/>
    <mergeCell ref="P109:P113"/>
    <mergeCell ref="Q109:Q113"/>
    <mergeCell ref="R109:R113"/>
    <mergeCell ref="E109:E113"/>
    <mergeCell ref="F109:F113"/>
    <mergeCell ref="G109:G113"/>
    <mergeCell ref="H109:H113"/>
    <mergeCell ref="I109:I113"/>
    <mergeCell ref="J109:J113"/>
    <mergeCell ref="K109:K113"/>
    <mergeCell ref="N114:N118"/>
    <mergeCell ref="O114:O118"/>
    <mergeCell ref="P114:P118"/>
    <mergeCell ref="Q114:Q118"/>
    <mergeCell ref="R114:R118"/>
    <mergeCell ref="E114:E118"/>
    <mergeCell ref="F114:F118"/>
    <mergeCell ref="G114:G118"/>
    <mergeCell ref="H114:H118"/>
    <mergeCell ref="I114:I118"/>
    <mergeCell ref="J114:J118"/>
    <mergeCell ref="K114:K118"/>
    <mergeCell ref="L114:L118"/>
    <mergeCell ref="M114:M118"/>
    <mergeCell ref="N119:N123"/>
    <mergeCell ref="O119:O123"/>
    <mergeCell ref="P119:P123"/>
    <mergeCell ref="Q119:Q123"/>
    <mergeCell ref="R119:R123"/>
    <mergeCell ref="E119:E123"/>
    <mergeCell ref="F119:F123"/>
    <mergeCell ref="G119:G123"/>
    <mergeCell ref="H119:H123"/>
    <mergeCell ref="I119:I123"/>
    <mergeCell ref="J119:J123"/>
    <mergeCell ref="K119:K123"/>
    <mergeCell ref="L119:L123"/>
    <mergeCell ref="M119:M123"/>
    <mergeCell ref="N124:N128"/>
    <mergeCell ref="O124:O128"/>
    <mergeCell ref="P124:P128"/>
    <mergeCell ref="Q124:Q128"/>
    <mergeCell ref="R124:R128"/>
    <mergeCell ref="E124:E128"/>
    <mergeCell ref="F124:F128"/>
    <mergeCell ref="G124:G128"/>
    <mergeCell ref="H124:H128"/>
    <mergeCell ref="I124:I128"/>
    <mergeCell ref="J124:J128"/>
    <mergeCell ref="K124:K128"/>
    <mergeCell ref="L124:L128"/>
    <mergeCell ref="M124:M128"/>
    <mergeCell ref="Q94:Q98"/>
    <mergeCell ref="R94:R98"/>
    <mergeCell ref="J94:J98"/>
    <mergeCell ref="K94:K98"/>
    <mergeCell ref="L94:L98"/>
    <mergeCell ref="M94:M98"/>
    <mergeCell ref="N94:N98"/>
    <mergeCell ref="O94:O98"/>
    <mergeCell ref="P94:P98"/>
    <mergeCell ref="L99:L103"/>
    <mergeCell ref="M99:M103"/>
    <mergeCell ref="N99:N103"/>
    <mergeCell ref="O99:O103"/>
    <mergeCell ref="P99:P103"/>
    <mergeCell ref="Q99:Q103"/>
    <mergeCell ref="R99:R103"/>
    <mergeCell ref="E99:E103"/>
    <mergeCell ref="F99:F103"/>
    <mergeCell ref="G99:G103"/>
    <mergeCell ref="H99:H103"/>
    <mergeCell ref="I99:I103"/>
    <mergeCell ref="J99:J103"/>
    <mergeCell ref="K99:K103"/>
    <mergeCell ref="N104:N108"/>
    <mergeCell ref="O104:O108"/>
    <mergeCell ref="P104:P108"/>
    <mergeCell ref="Q104:Q108"/>
    <mergeCell ref="R104:R108"/>
    <mergeCell ref="E104:E108"/>
    <mergeCell ref="F104:F108"/>
    <mergeCell ref="G104:G108"/>
    <mergeCell ref="H104:H108"/>
    <mergeCell ref="I104:I108"/>
    <mergeCell ref="J104:J108"/>
    <mergeCell ref="K104:K108"/>
    <mergeCell ref="L104:L108"/>
    <mergeCell ref="M104:M108"/>
    <mergeCell ref="AF94:AF98"/>
    <mergeCell ref="AF99:AF103"/>
    <mergeCell ref="AF104:AF108"/>
    <mergeCell ref="AF109:AF113"/>
    <mergeCell ref="AF114:AF118"/>
    <mergeCell ref="AF119:AF123"/>
    <mergeCell ref="AF124:AF128"/>
    <mergeCell ref="AF129:AF133"/>
    <mergeCell ref="AF134:AF138"/>
    <mergeCell ref="AF139:AF143"/>
    <mergeCell ref="S144:Z144"/>
    <mergeCell ref="AC144:AF144"/>
    <mergeCell ref="L155:L159"/>
    <mergeCell ref="M155:M159"/>
    <mergeCell ref="N155:N159"/>
    <mergeCell ref="O155:O159"/>
    <mergeCell ref="P155:P159"/>
    <mergeCell ref="Q155:Q159"/>
    <mergeCell ref="R155:R159"/>
    <mergeCell ref="N139:N143"/>
    <mergeCell ref="O139:O143"/>
    <mergeCell ref="P139:P143"/>
    <mergeCell ref="Q139:Q143"/>
    <mergeCell ref="R139:R143"/>
    <mergeCell ref="P150:P154"/>
    <mergeCell ref="Q150:Q154"/>
    <mergeCell ref="R150:R154"/>
    <mergeCell ref="L150:L154"/>
    <mergeCell ref="M150:M154"/>
    <mergeCell ref="N129:N133"/>
    <mergeCell ref="O129:O133"/>
    <mergeCell ref="P129:P133"/>
    <mergeCell ref="Q129:Q133"/>
    <mergeCell ref="R129:R133"/>
    <mergeCell ref="N150:N154"/>
    <mergeCell ref="O150:O154"/>
    <mergeCell ref="E155:E159"/>
    <mergeCell ref="F155:F159"/>
    <mergeCell ref="G155:G159"/>
    <mergeCell ref="H155:H159"/>
    <mergeCell ref="I155:I159"/>
    <mergeCell ref="J155:J159"/>
    <mergeCell ref="K155:K159"/>
    <mergeCell ref="L129:L133"/>
    <mergeCell ref="M129:M133"/>
    <mergeCell ref="E129:E133"/>
    <mergeCell ref="F129:F133"/>
    <mergeCell ref="G129:G133"/>
    <mergeCell ref="H129:H133"/>
    <mergeCell ref="I129:I133"/>
    <mergeCell ref="J129:J133"/>
    <mergeCell ref="K129:K133"/>
    <mergeCell ref="J145:J149"/>
    <mergeCell ref="L160:L164"/>
    <mergeCell ref="M160:M164"/>
    <mergeCell ref="N160:N164"/>
    <mergeCell ref="O160:O164"/>
    <mergeCell ref="P160:P164"/>
    <mergeCell ref="Q160:Q164"/>
    <mergeCell ref="R160:R164"/>
    <mergeCell ref="E160:E164"/>
    <mergeCell ref="F160:F164"/>
    <mergeCell ref="G160:G164"/>
    <mergeCell ref="H160:H164"/>
    <mergeCell ref="I160:I164"/>
    <mergeCell ref="J160:J164"/>
    <mergeCell ref="K160:K164"/>
    <mergeCell ref="E269:E273"/>
    <mergeCell ref="F269:F273"/>
    <mergeCell ref="G269:G273"/>
    <mergeCell ref="H269:H273"/>
    <mergeCell ref="I269:I273"/>
    <mergeCell ref="J269:J273"/>
    <mergeCell ref="K269:K273"/>
    <mergeCell ref="L269:L273"/>
    <mergeCell ref="M269:M273"/>
    <mergeCell ref="O195:O199"/>
    <mergeCell ref="P195:P199"/>
    <mergeCell ref="Q195:Q199"/>
    <mergeCell ref="R195:R199"/>
    <mergeCell ref="E195:E199"/>
    <mergeCell ref="F195:F199"/>
    <mergeCell ref="G195:G199"/>
    <mergeCell ref="H195:H199"/>
    <mergeCell ref="I195:I199"/>
    <mergeCell ref="J195:J199"/>
    <mergeCell ref="K195:K199"/>
    <mergeCell ref="L206:L212"/>
    <mergeCell ref="M206:M212"/>
    <mergeCell ref="N206:N212"/>
    <mergeCell ref="O206:O212"/>
    <mergeCell ref="P206:P212"/>
    <mergeCell ref="Q206:Q212"/>
    <mergeCell ref="R206:R212"/>
    <mergeCell ref="E206:E212"/>
    <mergeCell ref="F206:F212"/>
    <mergeCell ref="G206:G212"/>
    <mergeCell ref="H206:H212"/>
    <mergeCell ref="I206:I212"/>
    <mergeCell ref="J206:J212"/>
    <mergeCell ref="K206:K212"/>
    <mergeCell ref="L213:L217"/>
    <mergeCell ref="M213:M217"/>
    <mergeCell ref="N213:N217"/>
    <mergeCell ref="L218:L222"/>
    <mergeCell ref="M218:M222"/>
    <mergeCell ref="N218:N222"/>
    <mergeCell ref="R213:R217"/>
    <mergeCell ref="E213:E217"/>
    <mergeCell ref="F213:F217"/>
    <mergeCell ref="G213:G217"/>
    <mergeCell ref="H213:H217"/>
    <mergeCell ref="I213:I217"/>
    <mergeCell ref="J213:J217"/>
    <mergeCell ref="K213:K217"/>
    <mergeCell ref="O213:O217"/>
    <mergeCell ref="P213:P217"/>
    <mergeCell ref="R218:R222"/>
    <mergeCell ref="E218:E222"/>
    <mergeCell ref="F218:F222"/>
    <mergeCell ref="G218:G222"/>
    <mergeCell ref="H218:H222"/>
    <mergeCell ref="I218:I222"/>
    <mergeCell ref="J218:J222"/>
    <mergeCell ref="K218:K222"/>
    <mergeCell ref="R269:R273"/>
    <mergeCell ref="N269:N273"/>
    <mergeCell ref="Q275:Q279"/>
    <mergeCell ref="R275:R279"/>
    <mergeCell ref="S280:Z280"/>
    <mergeCell ref="R251:R254"/>
    <mergeCell ref="Q213:Q217"/>
    <mergeCell ref="O218:O222"/>
    <mergeCell ref="P218:P222"/>
    <mergeCell ref="Q218:Q222"/>
    <mergeCell ref="R223:R227"/>
    <mergeCell ref="R233:R237"/>
    <mergeCell ref="N238:N242"/>
    <mergeCell ref="O238:O242"/>
    <mergeCell ref="P238:P242"/>
    <mergeCell ref="Q238:Q242"/>
    <mergeCell ref="R238:R242"/>
    <mergeCell ref="N244:N250"/>
    <mergeCell ref="O244:O250"/>
    <mergeCell ref="P244:P250"/>
    <mergeCell ref="Q244:Q250"/>
    <mergeCell ref="R244:R250"/>
    <mergeCell ref="R255:R258"/>
    <mergeCell ref="P259:P263"/>
    <mergeCell ref="L223:L227"/>
    <mergeCell ref="M223:M227"/>
    <mergeCell ref="N223:N227"/>
    <mergeCell ref="O223:O227"/>
    <mergeCell ref="P223:P227"/>
    <mergeCell ref="Q223:Q227"/>
    <mergeCell ref="F275:F279"/>
    <mergeCell ref="G275:G279"/>
    <mergeCell ref="H275:H279"/>
    <mergeCell ref="I275:I279"/>
    <mergeCell ref="J275:J279"/>
    <mergeCell ref="K275:K279"/>
    <mergeCell ref="Q251:Q254"/>
    <mergeCell ref="L255:L258"/>
    <mergeCell ref="M255:M258"/>
    <mergeCell ref="N255:N258"/>
    <mergeCell ref="O255:O258"/>
    <mergeCell ref="P255:P258"/>
    <mergeCell ref="Q255:Q258"/>
    <mergeCell ref="N251:N254"/>
    <mergeCell ref="O251:O254"/>
    <mergeCell ref="P251:P254"/>
    <mergeCell ref="N259:N263"/>
    <mergeCell ref="O259:O263"/>
    <mergeCell ref="U312:V312"/>
    <mergeCell ref="U313:V313"/>
    <mergeCell ref="U303:V303"/>
    <mergeCell ref="U304:W304"/>
    <mergeCell ref="U305:V305"/>
    <mergeCell ref="U306:V306"/>
    <mergeCell ref="U307:V307"/>
    <mergeCell ref="U308:V308"/>
    <mergeCell ref="U309:V309"/>
    <mergeCell ref="U301:V301"/>
    <mergeCell ref="U302:V302"/>
    <mergeCell ref="U310:V310"/>
    <mergeCell ref="U311:V311"/>
    <mergeCell ref="L275:L279"/>
    <mergeCell ref="M275:M279"/>
    <mergeCell ref="N275:N279"/>
    <mergeCell ref="O275:O279"/>
    <mergeCell ref="P275:P279"/>
    <mergeCell ref="U298:W298"/>
    <mergeCell ref="U299:V299"/>
    <mergeCell ref="U300:V300"/>
    <mergeCell ref="AF228:AF232"/>
    <mergeCell ref="AF233:AF237"/>
    <mergeCell ref="AF238:AF242"/>
    <mergeCell ref="AF244:AF250"/>
    <mergeCell ref="AF251:AF254"/>
    <mergeCell ref="AF255:AF258"/>
    <mergeCell ref="AF259:AF268"/>
    <mergeCell ref="L228:L232"/>
    <mergeCell ref="M228:M232"/>
    <mergeCell ref="N228:N232"/>
    <mergeCell ref="O228:O232"/>
    <mergeCell ref="P228:P232"/>
    <mergeCell ref="Q228:Q232"/>
    <mergeCell ref="R228:R232"/>
    <mergeCell ref="O233:O237"/>
    <mergeCell ref="P233:P237"/>
    <mergeCell ref="Q233:Q237"/>
    <mergeCell ref="S243:Z243"/>
    <mergeCell ref="AC243:AF243"/>
    <mergeCell ref="L233:L237"/>
    <mergeCell ref="M233:M237"/>
    <mergeCell ref="N233:N237"/>
    <mergeCell ref="L244:L250"/>
    <mergeCell ref="M244:M250"/>
    <mergeCell ref="AC280:AF280"/>
    <mergeCell ref="AC281:AF281"/>
    <mergeCell ref="S282:AF282"/>
    <mergeCell ref="U284:Z284"/>
    <mergeCell ref="E264:E268"/>
    <mergeCell ref="F264:F268"/>
    <mergeCell ref="G264:G268"/>
    <mergeCell ref="H264:H268"/>
    <mergeCell ref="I264:I268"/>
    <mergeCell ref="J264:J268"/>
    <mergeCell ref="K264:K268"/>
    <mergeCell ref="L264:L268"/>
    <mergeCell ref="M264:M268"/>
    <mergeCell ref="N264:N268"/>
    <mergeCell ref="O264:O268"/>
    <mergeCell ref="P264:P268"/>
    <mergeCell ref="Q264:Q268"/>
    <mergeCell ref="R264:R268"/>
    <mergeCell ref="AF269:AF273"/>
    <mergeCell ref="AF275:AF279"/>
    <mergeCell ref="E275:E279"/>
    <mergeCell ref="O269:O273"/>
    <mergeCell ref="P269:P273"/>
    <mergeCell ref="Q269:Q273"/>
    <mergeCell ref="E233:E237"/>
    <mergeCell ref="F233:F237"/>
    <mergeCell ref="G233:G237"/>
    <mergeCell ref="H233:H237"/>
    <mergeCell ref="I233:I237"/>
    <mergeCell ref="J233:J237"/>
    <mergeCell ref="K233:K237"/>
    <mergeCell ref="L238:L242"/>
    <mergeCell ref="M238:M242"/>
    <mergeCell ref="E238:E242"/>
    <mergeCell ref="F238:F242"/>
    <mergeCell ref="G238:G242"/>
    <mergeCell ref="H238:H242"/>
    <mergeCell ref="I238:I242"/>
    <mergeCell ref="J238:J242"/>
    <mergeCell ref="K238:K242"/>
    <mergeCell ref="E244:E250"/>
    <mergeCell ref="F244:F250"/>
    <mergeCell ref="G244:G250"/>
    <mergeCell ref="H244:H250"/>
    <mergeCell ref="I244:I250"/>
    <mergeCell ref="J244:J250"/>
    <mergeCell ref="K244:K250"/>
    <mergeCell ref="L251:L254"/>
    <mergeCell ref="M251:M254"/>
    <mergeCell ref="E251:E254"/>
    <mergeCell ref="F251:F254"/>
    <mergeCell ref="G251:G254"/>
    <mergeCell ref="H251:H254"/>
    <mergeCell ref="I251:I254"/>
    <mergeCell ref="J251:J254"/>
    <mergeCell ref="K251:K254"/>
    <mergeCell ref="E255:E258"/>
    <mergeCell ref="F255:F258"/>
    <mergeCell ref="G255:G258"/>
    <mergeCell ref="H255:H258"/>
    <mergeCell ref="I255:I258"/>
    <mergeCell ref="J255:J258"/>
    <mergeCell ref="K255:K258"/>
    <mergeCell ref="L259:L263"/>
    <mergeCell ref="M259:M263"/>
    <mergeCell ref="Q259:Q263"/>
    <mergeCell ref="R259:R263"/>
    <mergeCell ref="E259:E263"/>
    <mergeCell ref="F259:F263"/>
    <mergeCell ref="G259:G263"/>
    <mergeCell ref="H259:H263"/>
    <mergeCell ref="I259:I263"/>
    <mergeCell ref="J259:J263"/>
    <mergeCell ref="K259:K263"/>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3">
    <dataValidation type="list" allowBlank="1" showErrorMessage="1" sqref="F9 F15 F20 F25 F30 F35 F40 F45 F50 F55 F60 F65 F70 F75 F80 F86 F94 F99 F104 F109 F114 F119 F124 F129 F134 F139 F145 F150 F155 F160 F165 F170 F175 F180 F185 F190 F195 F200 F206 F213 F218 F223 F228 F233 F238 F244 F251 F255 F259 F264 F269 F274:F275">
      <formula1>INDIRECT($E9)</formula1>
    </dataValidation>
    <dataValidation type="list" allowBlank="1" showErrorMessage="1" sqref="E9 E15 E20 E25 E30 E35 E40 E45 E50 E55 E60 E65 E70 E75 E80 E86 E94 E99 E104 E109 E114 E119 E124 E129 E134 E139 E145 E150 E155 E160 E165 E170 E175 E180 E185 E190 E195 E200 E206 E213 E218 E223 E228 E233 E238 E244 E251 E255 E259 E264 E269 E274:E275">
      <formula1>INDIRECT($G9)</formula1>
    </dataValidation>
    <dataValidation type="decimal" allowBlank="1" showInputMessage="1" showErrorMessage="1" prompt="DPLAN - Sólo debe ingresar valores, NO porcentajes." sqref="M15:O15 M20:O20 M25:O25 M30:O30 M40:O40 M45:O45 M50:O50 M55:O55 M65:O65 M70:O70 M75:O75 M80:O80 M94:O94 M99:O99 M104:O104 M109:O109 M119:O119 M124:O124 M129:O129 M134:O134 M139:O139 M145:O145 M150:O150 M155:O155 M165:O165 M170:O170 M175:O175 M180:O180 M185:O185 M190:O190 M195:O195 M200:O200 M213:O213 M218:O218 M223:O223 M228:O228 M238:O238 M251:O251 M255:O255 M259:O259 M264:O264 M275:O275">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&amp;"Cambria,Cursiva"&amp;12&amp;K0070C0Administración Central&amp;C&amp;"Century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C15:D15 C20:D20 C25:D25 C30:D30</xm:sqref>
        </x14:dataValidation>
        <x14:dataValidation type="list" allowBlank="1" showErrorMessage="1">
          <x14:formula1>
            <xm:f>(PEDI!#REF!)</xm:f>
          </x14:formula1>
          <xm:sqref>H9 H15 H20 H25 H30</xm:sqref>
        </x14:dataValidation>
        <x14:dataValidation type="list" allowBlank="1" showErrorMessage="1">
          <x14:formula1>
            <xm:f>PEDI!#REF!</xm:f>
          </x14:formula1>
          <xm:sqref>G9 G15 G20 G25 G30</xm:sqref>
        </x14:dataValidation>
        <x14:dataValidation type="list" allowBlank="1" showErrorMessage="1">
          <x14:formula1>
            <xm:f>INDIRECT('Estrategias DAFO'!#REF!)</xm:f>
          </x14:formula1>
          <xm:sqref>I9 I15 I20 I25 I30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J392"/>
  <sheetViews>
    <sheetView showGridLines="0" topLeftCell="Q1" zoomScaleNormal="100" workbookViewId="0">
      <selection activeCell="U44" sqref="U44"/>
    </sheetView>
  </sheetViews>
  <sheetFormatPr baseColWidth="10" defaultColWidth="12.5703125" defaultRowHeight="15.75" customHeight="1"/>
  <cols>
    <col min="1" max="2" width="5" customWidth="1"/>
    <col min="3" max="11" width="22.42578125" customWidth="1"/>
    <col min="12" max="12" width="24.140625" customWidth="1"/>
    <col min="13" max="15" width="8.7109375" customWidth="1"/>
    <col min="16" max="16" width="30.7109375" customWidth="1"/>
    <col min="17" max="18" width="22.42578125" customWidth="1"/>
    <col min="19" max="19" width="23.7109375" customWidth="1"/>
    <col min="20" max="20" width="13.5703125" customWidth="1"/>
    <col min="21" max="21" width="24.85546875" customWidth="1"/>
    <col min="22" max="22" width="44.85546875" customWidth="1"/>
    <col min="23" max="23" width="13.7109375" customWidth="1"/>
    <col min="24" max="24" width="12.42578125" customWidth="1"/>
    <col min="25" max="25" width="12.140625" customWidth="1"/>
    <col min="26" max="26" width="13.7109375" customWidth="1"/>
    <col min="27" max="27" width="12.140625" customWidth="1"/>
    <col min="28" max="28" width="15.7109375" customWidth="1"/>
    <col min="29" max="31" width="7.7109375" customWidth="1"/>
    <col min="32" max="32" width="19.7109375" customWidth="1"/>
    <col min="33" max="36" width="10.85546875" customWidth="1"/>
  </cols>
  <sheetData>
    <row r="1" spans="1:36" ht="42"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c r="AG1" s="669"/>
      <c r="AH1" s="669"/>
      <c r="AI1" s="669"/>
      <c r="AJ1" s="669"/>
    </row>
    <row r="2" spans="1:36"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c r="AG2" s="1"/>
      <c r="AH2" s="1"/>
      <c r="AI2" s="1"/>
      <c r="AJ2" s="1"/>
    </row>
    <row r="3" spans="1:36" ht="30.75">
      <c r="A3" s="4254" t="s">
        <v>1393</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c r="AG3" s="1"/>
      <c r="AH3" s="1"/>
      <c r="AI3" s="1"/>
      <c r="AJ3" s="1"/>
    </row>
    <row r="4" spans="1:36"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c r="AG4" s="1"/>
      <c r="AH4" s="1"/>
      <c r="AI4" s="1"/>
      <c r="AJ4" s="1"/>
    </row>
    <row r="5" spans="1:36" ht="16.5" customHeight="1" thickBo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row>
    <row r="6" spans="1:36"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6"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6"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6" ht="65.25" customHeight="1">
      <c r="A9" s="4669" t="s">
        <v>1393</v>
      </c>
      <c r="B9" s="4407" t="s">
        <v>1393</v>
      </c>
      <c r="C9" s="5057" t="s">
        <v>235</v>
      </c>
      <c r="D9" s="5068" t="s">
        <v>236</v>
      </c>
      <c r="E9" s="5068" t="s">
        <v>237</v>
      </c>
      <c r="F9" s="5068" t="s">
        <v>326</v>
      </c>
      <c r="G9" s="5098" t="s">
        <v>239</v>
      </c>
      <c r="H9" s="5068" t="s">
        <v>240</v>
      </c>
      <c r="I9" s="5068" t="s">
        <v>294</v>
      </c>
      <c r="J9" s="5068" t="s">
        <v>5965</v>
      </c>
      <c r="K9" s="5068" t="s">
        <v>5964</v>
      </c>
      <c r="L9" s="5068" t="s">
        <v>5893</v>
      </c>
      <c r="M9" s="5250">
        <v>1</v>
      </c>
      <c r="N9" s="5250">
        <v>1</v>
      </c>
      <c r="O9" s="5250">
        <v>2</v>
      </c>
      <c r="P9" s="5068" t="s">
        <v>5796</v>
      </c>
      <c r="Q9" s="5068" t="s">
        <v>5845</v>
      </c>
      <c r="R9" s="5251" t="s">
        <v>5764</v>
      </c>
      <c r="S9" s="3942"/>
      <c r="T9" s="3717"/>
      <c r="U9" s="3717"/>
      <c r="V9" s="3533"/>
      <c r="W9" s="2629"/>
      <c r="X9" s="3545"/>
      <c r="Y9" s="3903"/>
      <c r="Z9" s="3904"/>
      <c r="AA9" s="3904"/>
      <c r="AB9" s="3904"/>
      <c r="AC9" s="577"/>
      <c r="AD9" s="320"/>
      <c r="AE9" s="320"/>
      <c r="AF9" s="5277"/>
      <c r="AG9" s="221"/>
      <c r="AH9" s="221"/>
      <c r="AI9" s="221"/>
      <c r="AJ9" s="221"/>
    </row>
    <row r="10" spans="1:36" ht="65.25" customHeight="1">
      <c r="A10" s="4564"/>
      <c r="B10" s="4570"/>
      <c r="C10" s="5058"/>
      <c r="D10" s="5063"/>
      <c r="E10" s="5063"/>
      <c r="F10" s="5063"/>
      <c r="G10" s="5063"/>
      <c r="H10" s="5063"/>
      <c r="I10" s="5063"/>
      <c r="J10" s="5063"/>
      <c r="K10" s="5063"/>
      <c r="L10" s="5063"/>
      <c r="M10" s="5243"/>
      <c r="N10" s="5243"/>
      <c r="O10" s="5243"/>
      <c r="P10" s="4996"/>
      <c r="Q10" s="4996"/>
      <c r="R10" s="5027"/>
      <c r="S10" s="3943"/>
      <c r="T10" s="3719"/>
      <c r="U10" s="3718"/>
      <c r="V10" s="2681"/>
      <c r="W10" s="2630"/>
      <c r="X10" s="3921"/>
      <c r="Y10" s="3905"/>
      <c r="Z10" s="3905"/>
      <c r="AA10" s="3905"/>
      <c r="AB10" s="3906"/>
      <c r="AC10" s="532"/>
      <c r="AD10" s="533"/>
      <c r="AE10" s="533"/>
      <c r="AF10" s="5264"/>
      <c r="AG10" s="221"/>
      <c r="AH10" s="221"/>
      <c r="AI10" s="221"/>
      <c r="AJ10" s="221"/>
    </row>
    <row r="11" spans="1:36" ht="65.25" customHeight="1">
      <c r="A11" s="4564"/>
      <c r="B11" s="4570"/>
      <c r="C11" s="5058"/>
      <c r="D11" s="5063"/>
      <c r="E11" s="5063"/>
      <c r="F11" s="5063"/>
      <c r="G11" s="5063"/>
      <c r="H11" s="5063"/>
      <c r="I11" s="5063"/>
      <c r="J11" s="5063"/>
      <c r="K11" s="5063"/>
      <c r="L11" s="5063"/>
      <c r="M11" s="5243"/>
      <c r="N11" s="5243"/>
      <c r="O11" s="5243"/>
      <c r="P11" s="4996"/>
      <c r="Q11" s="4996"/>
      <c r="R11" s="5027"/>
      <c r="S11" s="3944"/>
      <c r="T11" s="3719"/>
      <c r="U11" s="3719"/>
      <c r="V11" s="3531"/>
      <c r="W11" s="2630"/>
      <c r="X11" s="3544"/>
      <c r="Y11" s="3905"/>
      <c r="Z11" s="3905"/>
      <c r="AA11" s="3905"/>
      <c r="AB11" s="3906"/>
      <c r="AC11" s="532"/>
      <c r="AD11" s="533"/>
      <c r="AE11" s="533"/>
      <c r="AF11" s="5264"/>
      <c r="AG11" s="221"/>
      <c r="AH11" s="221"/>
      <c r="AI11" s="233"/>
      <c r="AJ11" s="221"/>
    </row>
    <row r="12" spans="1:36" ht="65.25" customHeight="1">
      <c r="A12" s="4564"/>
      <c r="B12" s="4570"/>
      <c r="C12" s="5058"/>
      <c r="D12" s="5063"/>
      <c r="E12" s="5063"/>
      <c r="F12" s="5063"/>
      <c r="G12" s="5063"/>
      <c r="H12" s="5063"/>
      <c r="I12" s="5063"/>
      <c r="J12" s="5063"/>
      <c r="K12" s="5063"/>
      <c r="L12" s="5063"/>
      <c r="M12" s="5243"/>
      <c r="N12" s="5243"/>
      <c r="O12" s="5243"/>
      <c r="P12" s="4996"/>
      <c r="Q12" s="4996"/>
      <c r="R12" s="5027"/>
      <c r="S12" s="3943"/>
      <c r="T12" s="3719"/>
      <c r="U12" s="3718"/>
      <c r="V12" s="2681"/>
      <c r="W12" s="2630"/>
      <c r="X12" s="3921"/>
      <c r="Y12" s="3905"/>
      <c r="Z12" s="3905"/>
      <c r="AA12" s="3905"/>
      <c r="AB12" s="3906"/>
      <c r="AC12" s="532"/>
      <c r="AD12" s="533"/>
      <c r="AE12" s="533"/>
      <c r="AF12" s="5264"/>
      <c r="AG12" s="221"/>
      <c r="AH12" s="221"/>
      <c r="AI12" s="221"/>
      <c r="AJ12" s="221"/>
    </row>
    <row r="13" spans="1:36" ht="65.25" customHeight="1">
      <c r="A13" s="4564"/>
      <c r="B13" s="4570"/>
      <c r="C13" s="5058"/>
      <c r="D13" s="5063"/>
      <c r="E13" s="5063"/>
      <c r="F13" s="5063"/>
      <c r="G13" s="5063"/>
      <c r="H13" s="5063"/>
      <c r="I13" s="5063"/>
      <c r="J13" s="5063"/>
      <c r="K13" s="5063"/>
      <c r="L13" s="5063"/>
      <c r="M13" s="5243"/>
      <c r="N13" s="5243"/>
      <c r="O13" s="5243"/>
      <c r="P13" s="4996"/>
      <c r="Q13" s="4996"/>
      <c r="R13" s="5027"/>
      <c r="S13" s="3949"/>
      <c r="T13" s="3733"/>
      <c r="U13" s="3720"/>
      <c r="V13" s="2682"/>
      <c r="W13" s="2631"/>
      <c r="X13" s="3996"/>
      <c r="Y13" s="3911"/>
      <c r="Z13" s="3911"/>
      <c r="AA13" s="3911"/>
      <c r="AB13" s="3912"/>
      <c r="AC13" s="575"/>
      <c r="AD13" s="321"/>
      <c r="AE13" s="321"/>
      <c r="AF13" s="5264"/>
      <c r="AG13" s="221"/>
      <c r="AH13" s="221"/>
      <c r="AI13" s="221"/>
      <c r="AJ13" s="221"/>
    </row>
    <row r="14" spans="1:36" ht="21" customHeight="1">
      <c r="A14" s="4564"/>
      <c r="B14" s="4570"/>
      <c r="C14" s="5059" t="s">
        <v>235</v>
      </c>
      <c r="D14" s="5064" t="s">
        <v>236</v>
      </c>
      <c r="E14" s="5064" t="s">
        <v>237</v>
      </c>
      <c r="F14" s="5064" t="s">
        <v>326</v>
      </c>
      <c r="G14" s="5076" t="s">
        <v>239</v>
      </c>
      <c r="H14" s="5064" t="s">
        <v>240</v>
      </c>
      <c r="I14" s="5064" t="s">
        <v>294</v>
      </c>
      <c r="J14" s="5064" t="s">
        <v>5966</v>
      </c>
      <c r="K14" s="5064" t="s">
        <v>5963</v>
      </c>
      <c r="L14" s="5064" t="s">
        <v>5894</v>
      </c>
      <c r="M14" s="5173">
        <v>1</v>
      </c>
      <c r="N14" s="5173">
        <v>1</v>
      </c>
      <c r="O14" s="5173">
        <v>1</v>
      </c>
      <c r="P14" s="5064" t="s">
        <v>5797</v>
      </c>
      <c r="Q14" s="5064" t="s">
        <v>5846</v>
      </c>
      <c r="R14" s="5123" t="s">
        <v>5764</v>
      </c>
      <c r="S14" s="3997" t="s">
        <v>11</v>
      </c>
      <c r="T14" s="3721">
        <v>530101</v>
      </c>
      <c r="U14" s="3721"/>
      <c r="V14" s="3575" t="s">
        <v>150</v>
      </c>
      <c r="W14" s="3576"/>
      <c r="X14" s="3577"/>
      <c r="Y14" s="3998"/>
      <c r="Z14" s="3998"/>
      <c r="AA14" s="3998"/>
      <c r="AB14" s="3999">
        <f>SUM(AA15:AA16)</f>
        <v>61600.000000000007</v>
      </c>
      <c r="AC14" s="3580"/>
      <c r="AD14" s="3582"/>
      <c r="AE14" s="3582"/>
      <c r="AF14" s="5266" t="s">
        <v>1394</v>
      </c>
      <c r="AG14" s="221"/>
      <c r="AH14" s="221"/>
      <c r="AI14" s="221"/>
      <c r="AJ14" s="221"/>
    </row>
    <row r="15" spans="1:36" ht="21" customHeight="1">
      <c r="A15" s="4564"/>
      <c r="B15" s="4570"/>
      <c r="C15" s="5058"/>
      <c r="D15" s="5063"/>
      <c r="E15" s="5063"/>
      <c r="F15" s="5063"/>
      <c r="G15" s="5063"/>
      <c r="H15" s="5063"/>
      <c r="I15" s="5063"/>
      <c r="J15" s="5063"/>
      <c r="K15" s="5063"/>
      <c r="L15" s="5063"/>
      <c r="M15" s="5243"/>
      <c r="N15" s="5243"/>
      <c r="O15" s="5243"/>
      <c r="P15" s="4996"/>
      <c r="Q15" s="4996"/>
      <c r="R15" s="5027"/>
      <c r="S15" s="3943"/>
      <c r="T15" s="3719"/>
      <c r="U15" s="3381"/>
      <c r="V15" s="2681" t="s">
        <v>1395</v>
      </c>
      <c r="W15" s="2630">
        <v>1</v>
      </c>
      <c r="X15" s="3544" t="s">
        <v>250</v>
      </c>
      <c r="Y15" s="3905">
        <v>55000</v>
      </c>
      <c r="Z15" s="3905">
        <f t="shared" ref="Z15" si="0">+W15*Y15</f>
        <v>55000</v>
      </c>
      <c r="AA15" s="3905">
        <f t="shared" ref="AA15" si="1">+Z15*1.12</f>
        <v>61600.000000000007</v>
      </c>
      <c r="AB15" s="3906"/>
      <c r="AC15" s="532" t="s">
        <v>251</v>
      </c>
      <c r="AD15" s="533" t="s">
        <v>251</v>
      </c>
      <c r="AE15" s="533" t="s">
        <v>251</v>
      </c>
      <c r="AF15" s="5264"/>
      <c r="AG15" s="233"/>
      <c r="AH15" s="221"/>
      <c r="AI15" s="221"/>
      <c r="AJ15" s="221"/>
    </row>
    <row r="16" spans="1:36" ht="21" customHeight="1">
      <c r="A16" s="4564"/>
      <c r="B16" s="4570"/>
      <c r="C16" s="5058"/>
      <c r="D16" s="5063"/>
      <c r="E16" s="5063"/>
      <c r="F16" s="5063"/>
      <c r="G16" s="5063"/>
      <c r="H16" s="5063"/>
      <c r="I16" s="5063"/>
      <c r="J16" s="5063"/>
      <c r="K16" s="5063"/>
      <c r="L16" s="5063"/>
      <c r="M16" s="5243"/>
      <c r="N16" s="5243"/>
      <c r="O16" s="5243"/>
      <c r="P16" s="4996"/>
      <c r="Q16" s="4996"/>
      <c r="R16" s="5027"/>
      <c r="S16" s="3944"/>
      <c r="T16" s="3719"/>
      <c r="U16" s="3719"/>
      <c r="V16" s="3531"/>
      <c r="W16" s="2630"/>
      <c r="X16" s="3544"/>
      <c r="Y16" s="3905"/>
      <c r="Z16" s="3905"/>
      <c r="AA16" s="3905"/>
      <c r="AB16" s="3906"/>
      <c r="AC16" s="532"/>
      <c r="AD16" s="533"/>
      <c r="AE16" s="533"/>
      <c r="AF16" s="5264"/>
      <c r="AG16" s="233"/>
      <c r="AH16" s="221"/>
      <c r="AI16" s="221"/>
      <c r="AJ16" s="221"/>
    </row>
    <row r="17" spans="1:36" ht="21" customHeight="1">
      <c r="A17" s="4564"/>
      <c r="B17" s="4570"/>
      <c r="C17" s="5058"/>
      <c r="D17" s="5063"/>
      <c r="E17" s="5063"/>
      <c r="F17" s="5063"/>
      <c r="G17" s="5063"/>
      <c r="H17" s="5063"/>
      <c r="I17" s="5063"/>
      <c r="J17" s="5063"/>
      <c r="K17" s="5063"/>
      <c r="L17" s="5063"/>
      <c r="M17" s="5243"/>
      <c r="N17" s="5243"/>
      <c r="O17" s="5243"/>
      <c r="P17" s="4996"/>
      <c r="Q17" s="4996"/>
      <c r="R17" s="5027"/>
      <c r="S17" s="3944"/>
      <c r="T17" s="3719"/>
      <c r="U17" s="3719"/>
      <c r="V17" s="3531"/>
      <c r="W17" s="2630"/>
      <c r="X17" s="3544"/>
      <c r="Y17" s="3905"/>
      <c r="Z17" s="3905"/>
      <c r="AA17" s="3905"/>
      <c r="AB17" s="3906"/>
      <c r="AC17" s="532"/>
      <c r="AD17" s="533"/>
      <c r="AE17" s="533"/>
      <c r="AF17" s="5264"/>
      <c r="AG17" s="233"/>
      <c r="AH17" s="221"/>
      <c r="AI17" s="221"/>
      <c r="AJ17" s="221"/>
    </row>
    <row r="18" spans="1:36" ht="21" customHeight="1">
      <c r="A18" s="4564"/>
      <c r="B18" s="4570"/>
      <c r="C18" s="5058"/>
      <c r="D18" s="5063"/>
      <c r="E18" s="5063"/>
      <c r="F18" s="5063"/>
      <c r="G18" s="5063"/>
      <c r="H18" s="5063"/>
      <c r="I18" s="5063"/>
      <c r="J18" s="5063"/>
      <c r="K18" s="5063"/>
      <c r="L18" s="5063"/>
      <c r="M18" s="5243"/>
      <c r="N18" s="5243"/>
      <c r="O18" s="5243"/>
      <c r="P18" s="4996"/>
      <c r="Q18" s="4996"/>
      <c r="R18" s="5027"/>
      <c r="S18" s="3946" t="s">
        <v>11</v>
      </c>
      <c r="T18" s="3719">
        <v>530104</v>
      </c>
      <c r="U18" s="3719"/>
      <c r="V18" s="3531" t="s">
        <v>151</v>
      </c>
      <c r="W18" s="2630"/>
      <c r="X18" s="3544"/>
      <c r="Y18" s="3905"/>
      <c r="Z18" s="3905"/>
      <c r="AA18" s="3905"/>
      <c r="AB18" s="3907">
        <f>SUM(AA19:AA20)</f>
        <v>200000</v>
      </c>
      <c r="AC18" s="532"/>
      <c r="AD18" s="533"/>
      <c r="AE18" s="533"/>
      <c r="AF18" s="5264"/>
      <c r="AG18" s="233"/>
      <c r="AH18" s="221"/>
      <c r="AI18" s="221"/>
      <c r="AJ18" s="221"/>
    </row>
    <row r="19" spans="1:36" ht="21" customHeight="1">
      <c r="A19" s="4564"/>
      <c r="B19" s="4570"/>
      <c r="C19" s="5058"/>
      <c r="D19" s="5063"/>
      <c r="E19" s="5063"/>
      <c r="F19" s="5063"/>
      <c r="G19" s="5063"/>
      <c r="H19" s="5063"/>
      <c r="I19" s="5063"/>
      <c r="J19" s="5063"/>
      <c r="K19" s="5063"/>
      <c r="L19" s="5063"/>
      <c r="M19" s="5243"/>
      <c r="N19" s="5243"/>
      <c r="O19" s="5243"/>
      <c r="P19" s="4996"/>
      <c r="Q19" s="4996"/>
      <c r="R19" s="5027"/>
      <c r="S19" s="3943"/>
      <c r="T19" s="3719"/>
      <c r="U19" s="3718"/>
      <c r="V19" s="2681" t="s">
        <v>1396</v>
      </c>
      <c r="W19" s="2630">
        <v>1</v>
      </c>
      <c r="X19" s="3544" t="s">
        <v>250</v>
      </c>
      <c r="Y19" s="3905">
        <f>200000/1.12</f>
        <v>178571.42857142855</v>
      </c>
      <c r="Z19" s="3905">
        <f t="shared" ref="Z19" si="2">+W19*Y19</f>
        <v>178571.42857142855</v>
      </c>
      <c r="AA19" s="3905">
        <f t="shared" ref="AA19" si="3">+Z19*1.12</f>
        <v>200000</v>
      </c>
      <c r="AB19" s="3907"/>
      <c r="AC19" s="532" t="s">
        <v>251</v>
      </c>
      <c r="AD19" s="533" t="s">
        <v>251</v>
      </c>
      <c r="AE19" s="533" t="s">
        <v>251</v>
      </c>
      <c r="AF19" s="5264"/>
      <c r="AG19" s="221"/>
      <c r="AH19" s="221"/>
      <c r="AI19" s="221"/>
      <c r="AJ19" s="221"/>
    </row>
    <row r="20" spans="1:36" ht="21" customHeight="1">
      <c r="A20" s="4564"/>
      <c r="B20" s="4570"/>
      <c r="C20" s="5058"/>
      <c r="D20" s="5063"/>
      <c r="E20" s="5063"/>
      <c r="F20" s="5063"/>
      <c r="G20" s="5063"/>
      <c r="H20" s="5063"/>
      <c r="I20" s="5063"/>
      <c r="J20" s="5063"/>
      <c r="K20" s="5063"/>
      <c r="L20" s="5063"/>
      <c r="M20" s="5243"/>
      <c r="N20" s="5243"/>
      <c r="O20" s="5243"/>
      <c r="P20" s="4996"/>
      <c r="Q20" s="4996"/>
      <c r="R20" s="5027"/>
      <c r="S20" s="3944"/>
      <c r="T20" s="3719"/>
      <c r="U20" s="3719"/>
      <c r="V20" s="3531"/>
      <c r="W20" s="3925"/>
      <c r="X20" s="3922"/>
      <c r="Y20" s="3906"/>
      <c r="Z20" s="3905"/>
      <c r="AA20" s="3905"/>
      <c r="AB20" s="3907"/>
      <c r="AC20" s="532"/>
      <c r="AD20" s="533"/>
      <c r="AE20" s="533"/>
      <c r="AF20" s="5264"/>
      <c r="AG20" s="221"/>
      <c r="AH20" s="221"/>
      <c r="AI20" s="221"/>
      <c r="AJ20" s="221"/>
    </row>
    <row r="21" spans="1:36" ht="21" customHeight="1">
      <c r="A21" s="4564"/>
      <c r="B21" s="4570"/>
      <c r="C21" s="5058"/>
      <c r="D21" s="5063"/>
      <c r="E21" s="5063"/>
      <c r="F21" s="5063"/>
      <c r="G21" s="5063"/>
      <c r="H21" s="5063"/>
      <c r="I21" s="5063"/>
      <c r="J21" s="5063"/>
      <c r="K21" s="5063"/>
      <c r="L21" s="5063"/>
      <c r="M21" s="5243"/>
      <c r="N21" s="5243"/>
      <c r="O21" s="5243"/>
      <c r="P21" s="4996"/>
      <c r="Q21" s="4996"/>
      <c r="R21" s="5027"/>
      <c r="S21" s="3944"/>
      <c r="T21" s="3719"/>
      <c r="U21" s="3719"/>
      <c r="V21" s="3531" t="s">
        <v>347</v>
      </c>
      <c r="W21" s="3925"/>
      <c r="X21" s="3922"/>
      <c r="Y21" s="3906"/>
      <c r="Z21" s="3906"/>
      <c r="AA21" s="3906"/>
      <c r="AB21" s="3907"/>
      <c r="AC21" s="532"/>
      <c r="AD21" s="533"/>
      <c r="AE21" s="533"/>
      <c r="AF21" s="5264"/>
      <c r="AG21" s="221"/>
      <c r="AH21" s="221"/>
      <c r="AI21" s="221"/>
      <c r="AJ21" s="221"/>
    </row>
    <row r="22" spans="1:36" ht="21" customHeight="1">
      <c r="A22" s="4564"/>
      <c r="B22" s="4570"/>
      <c r="C22" s="5058"/>
      <c r="D22" s="5063"/>
      <c r="E22" s="5063"/>
      <c r="F22" s="5063"/>
      <c r="G22" s="5063"/>
      <c r="H22" s="5063"/>
      <c r="I22" s="5063"/>
      <c r="J22" s="5063"/>
      <c r="K22" s="5063"/>
      <c r="L22" s="5063"/>
      <c r="M22" s="5243"/>
      <c r="N22" s="5243"/>
      <c r="O22" s="5243"/>
      <c r="P22" s="4996"/>
      <c r="Q22" s="4996"/>
      <c r="R22" s="5027"/>
      <c r="S22" s="3946" t="s">
        <v>11</v>
      </c>
      <c r="T22" s="3719">
        <v>530105</v>
      </c>
      <c r="U22" s="3719"/>
      <c r="V22" s="3531" t="s">
        <v>43</v>
      </c>
      <c r="W22" s="3925"/>
      <c r="X22" s="3922"/>
      <c r="Y22" s="3906"/>
      <c r="Z22" s="3906"/>
      <c r="AA22" s="3906"/>
      <c r="AB22" s="3907">
        <f>SUM(AA23:AA24)</f>
        <v>30000</v>
      </c>
      <c r="AC22" s="532"/>
      <c r="AD22" s="533"/>
      <c r="AE22" s="533"/>
      <c r="AF22" s="5264"/>
      <c r="AG22" s="221"/>
      <c r="AH22" s="221"/>
      <c r="AI22" s="221"/>
      <c r="AJ22" s="221"/>
    </row>
    <row r="23" spans="1:36" ht="21" customHeight="1">
      <c r="A23" s="4564"/>
      <c r="B23" s="4570"/>
      <c r="C23" s="5058"/>
      <c r="D23" s="5063"/>
      <c r="E23" s="5063"/>
      <c r="F23" s="5063"/>
      <c r="G23" s="5063"/>
      <c r="H23" s="5063"/>
      <c r="I23" s="5063"/>
      <c r="J23" s="5063"/>
      <c r="K23" s="5063"/>
      <c r="L23" s="5063"/>
      <c r="M23" s="5243"/>
      <c r="N23" s="5243"/>
      <c r="O23" s="5243"/>
      <c r="P23" s="4996"/>
      <c r="Q23" s="4996"/>
      <c r="R23" s="5027"/>
      <c r="S23" s="3943"/>
      <c r="T23" s="3719"/>
      <c r="U23" s="3718"/>
      <c r="V23" s="2681" t="s">
        <v>1397</v>
      </c>
      <c r="W23" s="2630">
        <v>1</v>
      </c>
      <c r="X23" s="3544" t="s">
        <v>250</v>
      </c>
      <c r="Y23" s="3905">
        <f>30000/1.12</f>
        <v>26785.714285714283</v>
      </c>
      <c r="Z23" s="3905">
        <f t="shared" ref="Z23" si="4">+W23*Y23</f>
        <v>26785.714285714283</v>
      </c>
      <c r="AA23" s="3905">
        <f t="shared" ref="AA23" si="5">+Z23*1.12</f>
        <v>30000</v>
      </c>
      <c r="AB23" s="3907"/>
      <c r="AC23" s="532" t="s">
        <v>251</v>
      </c>
      <c r="AD23" s="533" t="s">
        <v>251</v>
      </c>
      <c r="AE23" s="533" t="s">
        <v>251</v>
      </c>
      <c r="AF23" s="5264"/>
      <c r="AG23" s="221"/>
      <c r="AH23" s="221"/>
      <c r="AI23" s="221"/>
      <c r="AJ23" s="221"/>
    </row>
    <row r="24" spans="1:36" ht="21" customHeight="1">
      <c r="A24" s="4564"/>
      <c r="B24" s="4570"/>
      <c r="C24" s="5058"/>
      <c r="D24" s="5063"/>
      <c r="E24" s="5063"/>
      <c r="F24" s="5063"/>
      <c r="G24" s="5063"/>
      <c r="H24" s="5063"/>
      <c r="I24" s="5063"/>
      <c r="J24" s="5063"/>
      <c r="K24" s="5063"/>
      <c r="L24" s="5063"/>
      <c r="M24" s="5243"/>
      <c r="N24" s="5243"/>
      <c r="O24" s="5243"/>
      <c r="P24" s="4996"/>
      <c r="Q24" s="4996"/>
      <c r="R24" s="5027"/>
      <c r="S24" s="3943"/>
      <c r="T24" s="3719"/>
      <c r="U24" s="3718"/>
      <c r="V24" s="2681"/>
      <c r="W24" s="2630"/>
      <c r="X24" s="3544"/>
      <c r="Y24" s="3905"/>
      <c r="Z24" s="3905"/>
      <c r="AA24" s="3905"/>
      <c r="AB24" s="3906"/>
      <c r="AC24" s="539"/>
      <c r="AD24" s="541"/>
      <c r="AE24" s="541"/>
      <c r="AF24" s="5264"/>
      <c r="AG24" s="221"/>
      <c r="AH24" s="221"/>
      <c r="AI24" s="221"/>
      <c r="AJ24" s="221"/>
    </row>
    <row r="25" spans="1:36" ht="21" customHeight="1">
      <c r="A25" s="4564"/>
      <c r="B25" s="4570"/>
      <c r="C25" s="5060"/>
      <c r="D25" s="5065"/>
      <c r="E25" s="5065"/>
      <c r="F25" s="5065"/>
      <c r="G25" s="5065"/>
      <c r="H25" s="5065"/>
      <c r="I25" s="5065"/>
      <c r="J25" s="5065"/>
      <c r="K25" s="5065"/>
      <c r="L25" s="5065"/>
      <c r="M25" s="5245"/>
      <c r="N25" s="5245"/>
      <c r="O25" s="5245"/>
      <c r="P25" s="5000"/>
      <c r="Q25" s="5000"/>
      <c r="R25" s="5249"/>
      <c r="S25" s="3993"/>
      <c r="T25" s="3729"/>
      <c r="U25" s="1779"/>
      <c r="V25" s="2686"/>
      <c r="W25" s="1781"/>
      <c r="X25" s="3571"/>
      <c r="Y25" s="3994"/>
      <c r="Z25" s="3994"/>
      <c r="AA25" s="3994"/>
      <c r="AB25" s="3995"/>
      <c r="AC25" s="2669"/>
      <c r="AD25" s="2670"/>
      <c r="AE25" s="2670"/>
      <c r="AF25" s="5265"/>
      <c r="AG25" s="221"/>
      <c r="AH25" s="221"/>
      <c r="AI25" s="221"/>
      <c r="AJ25" s="221"/>
    </row>
    <row r="26" spans="1:36" ht="49.5" customHeight="1">
      <c r="A26" s="4564"/>
      <c r="B26" s="4570"/>
      <c r="C26" s="5061" t="s">
        <v>235</v>
      </c>
      <c r="D26" s="5062" t="s">
        <v>236</v>
      </c>
      <c r="E26" s="5062" t="s">
        <v>237</v>
      </c>
      <c r="F26" s="5062" t="s">
        <v>326</v>
      </c>
      <c r="G26" s="5069" t="s">
        <v>239</v>
      </c>
      <c r="H26" s="5062" t="s">
        <v>240</v>
      </c>
      <c r="I26" s="5062" t="s">
        <v>294</v>
      </c>
      <c r="J26" s="5062" t="s">
        <v>5967</v>
      </c>
      <c r="K26" s="5062" t="s">
        <v>5962</v>
      </c>
      <c r="L26" s="5062" t="s">
        <v>5895</v>
      </c>
      <c r="M26" s="4998">
        <v>1</v>
      </c>
      <c r="N26" s="4998">
        <v>1</v>
      </c>
      <c r="O26" s="4998">
        <v>1</v>
      </c>
      <c r="P26" s="5062" t="s">
        <v>5798</v>
      </c>
      <c r="Q26" s="5062" t="s">
        <v>5847</v>
      </c>
      <c r="R26" s="5124" t="s">
        <v>5764</v>
      </c>
      <c r="S26" s="3990" t="s">
        <v>11</v>
      </c>
      <c r="T26" s="3725">
        <v>570102</v>
      </c>
      <c r="U26" s="3725"/>
      <c r="V26" s="3530" t="s">
        <v>68</v>
      </c>
      <c r="W26" s="3688"/>
      <c r="X26" s="3991"/>
      <c r="Y26" s="3992"/>
      <c r="Z26" s="3992"/>
      <c r="AA26" s="3992"/>
      <c r="AB26" s="3992">
        <f>SUM(AA27:AA28)+42.68</f>
        <v>49163.640000000007</v>
      </c>
      <c r="AC26" s="1967"/>
      <c r="AD26" s="1971"/>
      <c r="AE26" s="1971"/>
      <c r="AF26" s="5263" t="s">
        <v>1398</v>
      </c>
      <c r="AG26" s="221"/>
      <c r="AH26" s="221"/>
      <c r="AI26" s="221"/>
      <c r="AJ26" s="221"/>
    </row>
    <row r="27" spans="1:36" ht="48" customHeight="1">
      <c r="A27" s="4564"/>
      <c r="B27" s="4570"/>
      <c r="C27" s="5058"/>
      <c r="D27" s="5063"/>
      <c r="E27" s="5063"/>
      <c r="F27" s="5063"/>
      <c r="G27" s="5063"/>
      <c r="H27" s="5063"/>
      <c r="I27" s="5063"/>
      <c r="J27" s="5063"/>
      <c r="K27" s="5063"/>
      <c r="L27" s="5063"/>
      <c r="M27" s="5243"/>
      <c r="N27" s="5243"/>
      <c r="O27" s="5243"/>
      <c r="P27" s="4996"/>
      <c r="Q27" s="4996"/>
      <c r="R27" s="5027"/>
      <c r="S27" s="3943"/>
      <c r="T27" s="3719"/>
      <c r="U27" s="3718"/>
      <c r="V27" s="2681" t="s">
        <v>1399</v>
      </c>
      <c r="W27" s="2630">
        <v>1</v>
      </c>
      <c r="X27" s="3544" t="s">
        <v>250</v>
      </c>
      <c r="Y27" s="3905">
        <f>44000-142</f>
        <v>43858</v>
      </c>
      <c r="Z27" s="3905">
        <f t="shared" ref="Z27" si="6">+W27*Y27</f>
        <v>43858</v>
      </c>
      <c r="AA27" s="3905">
        <f t="shared" ref="AA27" si="7">+Z27*1.12</f>
        <v>49120.960000000006</v>
      </c>
      <c r="AB27" s="3906"/>
      <c r="AC27" s="532" t="s">
        <v>251</v>
      </c>
      <c r="AD27" s="533"/>
      <c r="AE27" s="533"/>
      <c r="AF27" s="5264"/>
      <c r="AG27" s="221"/>
      <c r="AH27" s="221"/>
      <c r="AI27" s="221"/>
      <c r="AJ27" s="221"/>
    </row>
    <row r="28" spans="1:36" ht="48" customHeight="1">
      <c r="A28" s="4564"/>
      <c r="B28" s="4570"/>
      <c r="C28" s="5058"/>
      <c r="D28" s="5063"/>
      <c r="E28" s="5063"/>
      <c r="F28" s="5063"/>
      <c r="G28" s="5063"/>
      <c r="H28" s="5063"/>
      <c r="I28" s="5063"/>
      <c r="J28" s="5063"/>
      <c r="K28" s="5063"/>
      <c r="L28" s="5063"/>
      <c r="M28" s="5243"/>
      <c r="N28" s="5243"/>
      <c r="O28" s="5243"/>
      <c r="P28" s="4996"/>
      <c r="Q28" s="4996"/>
      <c r="R28" s="5027"/>
      <c r="S28" s="3943"/>
      <c r="T28" s="3719"/>
      <c r="U28" s="3718"/>
      <c r="V28" s="2681"/>
      <c r="W28" s="2630"/>
      <c r="X28" s="3544"/>
      <c r="Y28" s="3905"/>
      <c r="Z28" s="3905"/>
      <c r="AA28" s="3905"/>
      <c r="AB28" s="3906"/>
      <c r="AC28" s="539"/>
      <c r="AD28" s="533"/>
      <c r="AE28" s="533"/>
      <c r="AF28" s="5264"/>
      <c r="AG28" s="221"/>
      <c r="AH28" s="221"/>
      <c r="AI28" s="221"/>
      <c r="AJ28" s="221"/>
    </row>
    <row r="29" spans="1:36" ht="48" customHeight="1">
      <c r="A29" s="4564"/>
      <c r="B29" s="4570"/>
      <c r="C29" s="5058"/>
      <c r="D29" s="5063"/>
      <c r="E29" s="5063"/>
      <c r="F29" s="5063"/>
      <c r="G29" s="5063"/>
      <c r="H29" s="5063"/>
      <c r="I29" s="5063"/>
      <c r="J29" s="5063"/>
      <c r="K29" s="5063"/>
      <c r="L29" s="5063"/>
      <c r="M29" s="5243"/>
      <c r="N29" s="5243"/>
      <c r="O29" s="5243"/>
      <c r="P29" s="4996"/>
      <c r="Q29" s="4996"/>
      <c r="R29" s="5027"/>
      <c r="S29" s="3952"/>
      <c r="T29" s="3733"/>
      <c r="U29" s="3733"/>
      <c r="V29" s="3538"/>
      <c r="W29" s="4000"/>
      <c r="X29" s="4001"/>
      <c r="Y29" s="3912"/>
      <c r="Z29" s="3912"/>
      <c r="AA29" s="3912"/>
      <c r="AB29" s="3912"/>
      <c r="AC29" s="575"/>
      <c r="AD29" s="321"/>
      <c r="AE29" s="321"/>
      <c r="AF29" s="5264"/>
      <c r="AG29" s="221"/>
      <c r="AH29" s="221"/>
      <c r="AI29" s="221"/>
      <c r="AJ29" s="221"/>
    </row>
    <row r="30" spans="1:36" ht="31.5" customHeight="1">
      <c r="A30" s="4564"/>
      <c r="B30" s="4570"/>
      <c r="C30" s="5059" t="s">
        <v>235</v>
      </c>
      <c r="D30" s="5064" t="s">
        <v>236</v>
      </c>
      <c r="E30" s="5064" t="s">
        <v>237</v>
      </c>
      <c r="F30" s="5064" t="s">
        <v>326</v>
      </c>
      <c r="G30" s="5076" t="s">
        <v>239</v>
      </c>
      <c r="H30" s="5064" t="s">
        <v>240</v>
      </c>
      <c r="I30" s="5064" t="s">
        <v>294</v>
      </c>
      <c r="J30" s="5064" t="s">
        <v>5968</v>
      </c>
      <c r="K30" s="5064" t="s">
        <v>5961</v>
      </c>
      <c r="L30" s="5260" t="s">
        <v>1287</v>
      </c>
      <c r="M30" s="5173">
        <v>0</v>
      </c>
      <c r="N30" s="5173">
        <v>0</v>
      </c>
      <c r="O30" s="5173">
        <v>0</v>
      </c>
      <c r="P30" s="5254" t="s">
        <v>1287</v>
      </c>
      <c r="Q30" s="5254" t="s">
        <v>1287</v>
      </c>
      <c r="R30" s="5257" t="s">
        <v>1287</v>
      </c>
      <c r="S30" s="4002"/>
      <c r="T30" s="3721"/>
      <c r="U30" s="3723"/>
      <c r="V30" s="3614"/>
      <c r="W30" s="3576"/>
      <c r="X30" s="3577"/>
      <c r="Y30" s="3998"/>
      <c r="Z30" s="4003"/>
      <c r="AA30" s="4003"/>
      <c r="AB30" s="4003"/>
      <c r="AC30" s="3580"/>
      <c r="AD30" s="3582"/>
      <c r="AE30" s="3582"/>
      <c r="AF30" s="5093" t="s">
        <v>1400</v>
      </c>
      <c r="AG30" s="221"/>
      <c r="AH30" s="221"/>
      <c r="AI30" s="221"/>
      <c r="AJ30" s="221"/>
    </row>
    <row r="31" spans="1:36" ht="31.5" customHeight="1">
      <c r="A31" s="4564"/>
      <c r="B31" s="4570"/>
      <c r="C31" s="5058"/>
      <c r="D31" s="5063"/>
      <c r="E31" s="5063"/>
      <c r="F31" s="5063"/>
      <c r="G31" s="5063"/>
      <c r="H31" s="5063"/>
      <c r="I31" s="5063"/>
      <c r="J31" s="5063"/>
      <c r="K31" s="5063"/>
      <c r="L31" s="5261"/>
      <c r="M31" s="5243"/>
      <c r="N31" s="5243"/>
      <c r="O31" s="5243"/>
      <c r="P31" s="5255"/>
      <c r="Q31" s="5255"/>
      <c r="R31" s="5258"/>
      <c r="S31" s="3943"/>
      <c r="T31" s="3719"/>
      <c r="U31" s="3718"/>
      <c r="V31" s="2681"/>
      <c r="W31" s="2630"/>
      <c r="X31" s="3544"/>
      <c r="Y31" s="3905"/>
      <c r="Z31" s="3905"/>
      <c r="AA31" s="3905"/>
      <c r="AB31" s="3906"/>
      <c r="AC31" s="532"/>
      <c r="AD31" s="533"/>
      <c r="AE31" s="533"/>
      <c r="AF31" s="5264"/>
      <c r="AG31" s="221"/>
      <c r="AH31" s="233"/>
      <c r="AI31" s="221"/>
      <c r="AJ31" s="221"/>
    </row>
    <row r="32" spans="1:36" ht="31.5" customHeight="1">
      <c r="A32" s="4564"/>
      <c r="B32" s="4570"/>
      <c r="C32" s="5058"/>
      <c r="D32" s="5063"/>
      <c r="E32" s="5063"/>
      <c r="F32" s="5063"/>
      <c r="G32" s="5063"/>
      <c r="H32" s="5063"/>
      <c r="I32" s="5063"/>
      <c r="J32" s="5063"/>
      <c r="K32" s="5063"/>
      <c r="L32" s="5261"/>
      <c r="M32" s="5243"/>
      <c r="N32" s="5243"/>
      <c r="O32" s="5243"/>
      <c r="P32" s="5255"/>
      <c r="Q32" s="5255"/>
      <c r="R32" s="5258"/>
      <c r="S32" s="3943"/>
      <c r="T32" s="3719"/>
      <c r="U32" s="3718"/>
      <c r="V32" s="2681"/>
      <c r="W32" s="2630"/>
      <c r="X32" s="3544"/>
      <c r="Y32" s="3905"/>
      <c r="Z32" s="3905"/>
      <c r="AA32" s="3905"/>
      <c r="AB32" s="3906"/>
      <c r="AC32" s="532"/>
      <c r="AD32" s="533"/>
      <c r="AE32" s="533"/>
      <c r="AF32" s="5264"/>
      <c r="AG32" s="221"/>
      <c r="AH32" s="221"/>
      <c r="AI32" s="221"/>
      <c r="AJ32" s="221"/>
    </row>
    <row r="33" spans="1:36" ht="31.5" customHeight="1">
      <c r="A33" s="4564"/>
      <c r="B33" s="4570"/>
      <c r="C33" s="5058"/>
      <c r="D33" s="5063"/>
      <c r="E33" s="5063"/>
      <c r="F33" s="5063"/>
      <c r="G33" s="5063"/>
      <c r="H33" s="5063"/>
      <c r="I33" s="5063"/>
      <c r="J33" s="5063"/>
      <c r="K33" s="5063"/>
      <c r="L33" s="5261"/>
      <c r="M33" s="5243"/>
      <c r="N33" s="5243"/>
      <c r="O33" s="5243"/>
      <c r="P33" s="5255"/>
      <c r="Q33" s="5255"/>
      <c r="R33" s="5258"/>
      <c r="S33" s="3944"/>
      <c r="T33" s="3719"/>
      <c r="U33" s="3719"/>
      <c r="V33" s="2681"/>
      <c r="W33" s="2630"/>
      <c r="X33" s="3544"/>
      <c r="Y33" s="3905"/>
      <c r="Z33" s="3905"/>
      <c r="AA33" s="3905"/>
      <c r="AB33" s="3906"/>
      <c r="AC33" s="532"/>
      <c r="AD33" s="533"/>
      <c r="AE33" s="533"/>
      <c r="AF33" s="5264"/>
      <c r="AG33" s="221"/>
      <c r="AH33" s="221"/>
      <c r="AI33" s="221"/>
      <c r="AJ33" s="221"/>
    </row>
    <row r="34" spans="1:36" ht="31.5" customHeight="1">
      <c r="A34" s="4564"/>
      <c r="B34" s="4570"/>
      <c r="C34" s="5060"/>
      <c r="D34" s="5065"/>
      <c r="E34" s="5065"/>
      <c r="F34" s="5065"/>
      <c r="G34" s="5065"/>
      <c r="H34" s="5065"/>
      <c r="I34" s="5065"/>
      <c r="J34" s="5065"/>
      <c r="K34" s="5065"/>
      <c r="L34" s="5262"/>
      <c r="M34" s="5245"/>
      <c r="N34" s="5245"/>
      <c r="O34" s="5245"/>
      <c r="P34" s="5256"/>
      <c r="Q34" s="5256"/>
      <c r="R34" s="5259"/>
      <c r="S34" s="3993"/>
      <c r="T34" s="3729"/>
      <c r="U34" s="1779"/>
      <c r="V34" s="2686"/>
      <c r="W34" s="1781"/>
      <c r="X34" s="3571"/>
      <c r="Y34" s="3994"/>
      <c r="Z34" s="3994"/>
      <c r="AA34" s="3994"/>
      <c r="AB34" s="3995"/>
      <c r="AC34" s="1782"/>
      <c r="AD34" s="3572"/>
      <c r="AE34" s="3572"/>
      <c r="AF34" s="5265"/>
      <c r="AG34" s="221"/>
      <c r="AH34" s="221"/>
      <c r="AI34" s="221"/>
      <c r="AJ34" s="221"/>
    </row>
    <row r="35" spans="1:36" ht="25.5" customHeight="1">
      <c r="A35" s="4564"/>
      <c r="B35" s="4570"/>
      <c r="C35" s="5061" t="s">
        <v>235</v>
      </c>
      <c r="D35" s="5062" t="s">
        <v>236</v>
      </c>
      <c r="E35" s="5062" t="s">
        <v>237</v>
      </c>
      <c r="F35" s="5062" t="s">
        <v>326</v>
      </c>
      <c r="G35" s="5069" t="s">
        <v>239</v>
      </c>
      <c r="H35" s="5062" t="s">
        <v>240</v>
      </c>
      <c r="I35" s="5062" t="s">
        <v>294</v>
      </c>
      <c r="J35" s="5062" t="s">
        <v>5969</v>
      </c>
      <c r="K35" s="5062" t="s">
        <v>5960</v>
      </c>
      <c r="L35" s="5062" t="s">
        <v>5896</v>
      </c>
      <c r="M35" s="4998">
        <v>1</v>
      </c>
      <c r="N35" s="4998">
        <v>1</v>
      </c>
      <c r="O35" s="4998">
        <v>1</v>
      </c>
      <c r="P35" s="5062" t="s">
        <v>5799</v>
      </c>
      <c r="Q35" s="5062" t="s">
        <v>5848</v>
      </c>
      <c r="R35" s="5124" t="s">
        <v>5765</v>
      </c>
      <c r="S35" s="3990" t="s">
        <v>11</v>
      </c>
      <c r="T35" s="3725">
        <v>530804</v>
      </c>
      <c r="U35" s="3725"/>
      <c r="V35" s="3530" t="s">
        <v>152</v>
      </c>
      <c r="W35" s="2633"/>
      <c r="X35" s="3547"/>
      <c r="Y35" s="4004"/>
      <c r="Z35" s="4004"/>
      <c r="AA35" s="4004"/>
      <c r="AB35" s="3992">
        <f>SUM(AA36:AA41)</f>
        <v>16800</v>
      </c>
      <c r="AC35" s="1967"/>
      <c r="AD35" s="1971"/>
      <c r="AE35" s="1971"/>
      <c r="AF35" s="5263" t="s">
        <v>5756</v>
      </c>
      <c r="AG35" s="221"/>
      <c r="AH35" s="221"/>
      <c r="AI35" s="221"/>
      <c r="AJ35" s="221"/>
    </row>
    <row r="36" spans="1:36" ht="25.5" customHeight="1">
      <c r="A36" s="4564"/>
      <c r="B36" s="4570"/>
      <c r="C36" s="5058"/>
      <c r="D36" s="5063"/>
      <c r="E36" s="5063"/>
      <c r="F36" s="5063"/>
      <c r="G36" s="5063"/>
      <c r="H36" s="5063"/>
      <c r="I36" s="5063"/>
      <c r="J36" s="5063"/>
      <c r="K36" s="5063"/>
      <c r="L36" s="5063"/>
      <c r="M36" s="5243"/>
      <c r="N36" s="5243"/>
      <c r="O36" s="5243"/>
      <c r="P36" s="4996"/>
      <c r="Q36" s="4996"/>
      <c r="R36" s="5027"/>
      <c r="S36" s="3943"/>
      <c r="T36" s="3719"/>
      <c r="U36" s="3718">
        <v>321290418</v>
      </c>
      <c r="V36" s="2683" t="s">
        <v>5757</v>
      </c>
      <c r="W36" s="2630">
        <v>1</v>
      </c>
      <c r="X36" s="3921" t="s">
        <v>1401</v>
      </c>
      <c r="Y36" s="3905">
        <v>15000</v>
      </c>
      <c r="Z36" s="3905">
        <f>+W36*Y36</f>
        <v>15000</v>
      </c>
      <c r="AA36" s="3905">
        <f>+Z36*1.12</f>
        <v>16800</v>
      </c>
      <c r="AB36" s="3906"/>
      <c r="AC36" s="532"/>
      <c r="AD36" s="533" t="s">
        <v>251</v>
      </c>
      <c r="AE36" s="533"/>
      <c r="AF36" s="5264"/>
      <c r="AG36" s="221"/>
      <c r="AH36" s="221"/>
      <c r="AI36" s="221"/>
      <c r="AJ36" s="221"/>
    </row>
    <row r="37" spans="1:36" ht="25.5" customHeight="1">
      <c r="A37" s="4564"/>
      <c r="B37" s="4570"/>
      <c r="C37" s="5058"/>
      <c r="D37" s="5063"/>
      <c r="E37" s="5063"/>
      <c r="F37" s="5063"/>
      <c r="G37" s="5063"/>
      <c r="H37" s="5063"/>
      <c r="I37" s="5063"/>
      <c r="J37" s="5063"/>
      <c r="K37" s="5063"/>
      <c r="L37" s="5063"/>
      <c r="M37" s="5243"/>
      <c r="N37" s="5243"/>
      <c r="O37" s="5243"/>
      <c r="P37" s="4996"/>
      <c r="Q37" s="4996"/>
      <c r="R37" s="5027"/>
      <c r="S37" s="3944"/>
      <c r="T37" s="3719"/>
      <c r="U37" s="3719"/>
      <c r="V37" s="3531"/>
      <c r="W37" s="2630"/>
      <c r="X37" s="3544"/>
      <c r="Y37" s="3905"/>
      <c r="Z37" s="3905"/>
      <c r="AA37" s="3905"/>
      <c r="AB37" s="3906"/>
      <c r="AC37" s="532"/>
      <c r="AD37" s="533"/>
      <c r="AE37" s="533"/>
      <c r="AF37" s="5264"/>
      <c r="AG37" s="221"/>
      <c r="AH37" s="221"/>
      <c r="AI37" s="221"/>
      <c r="AJ37" s="221"/>
    </row>
    <row r="38" spans="1:36" ht="25.5" customHeight="1">
      <c r="A38" s="4564"/>
      <c r="B38" s="4570"/>
      <c r="C38" s="5058"/>
      <c r="D38" s="5063"/>
      <c r="E38" s="5063"/>
      <c r="F38" s="5063"/>
      <c r="G38" s="5063"/>
      <c r="H38" s="5063"/>
      <c r="I38" s="5063"/>
      <c r="J38" s="5063"/>
      <c r="K38" s="5063"/>
      <c r="L38" s="5063"/>
      <c r="M38" s="5243"/>
      <c r="N38" s="5243"/>
      <c r="O38" s="5243"/>
      <c r="P38" s="4996"/>
      <c r="Q38" s="4996"/>
      <c r="R38" s="5027"/>
      <c r="S38" s="3944"/>
      <c r="T38" s="3719"/>
      <c r="U38" s="3719"/>
      <c r="V38" s="3531"/>
      <c r="W38" s="2630"/>
      <c r="X38" s="3544"/>
      <c r="Y38" s="3905"/>
      <c r="Z38" s="3905"/>
      <c r="AA38" s="3905"/>
      <c r="AB38" s="3906"/>
      <c r="AC38" s="532"/>
      <c r="AD38" s="533"/>
      <c r="AE38" s="533"/>
      <c r="AF38" s="5264"/>
      <c r="AG38" s="221"/>
      <c r="AH38" s="221"/>
      <c r="AI38" s="221"/>
      <c r="AJ38" s="221"/>
    </row>
    <row r="39" spans="1:36" ht="25.5" customHeight="1">
      <c r="A39" s="4564"/>
      <c r="B39" s="4570"/>
      <c r="C39" s="5058"/>
      <c r="D39" s="5063"/>
      <c r="E39" s="5063"/>
      <c r="F39" s="5063"/>
      <c r="G39" s="5063"/>
      <c r="H39" s="5063"/>
      <c r="I39" s="5063"/>
      <c r="J39" s="5063"/>
      <c r="K39" s="5063"/>
      <c r="L39" s="5063"/>
      <c r="M39" s="5243"/>
      <c r="N39" s="5243"/>
      <c r="O39" s="5243"/>
      <c r="P39" s="4996"/>
      <c r="Q39" s="4996"/>
      <c r="R39" s="5027"/>
      <c r="S39" s="3944"/>
      <c r="T39" s="3719"/>
      <c r="U39" s="3719"/>
      <c r="V39" s="3531"/>
      <c r="W39" s="2630"/>
      <c r="X39" s="3544"/>
      <c r="Y39" s="3905"/>
      <c r="Z39" s="3905"/>
      <c r="AA39" s="3905"/>
      <c r="AB39" s="3906"/>
      <c r="AC39" s="532"/>
      <c r="AD39" s="533"/>
      <c r="AE39" s="533"/>
      <c r="AF39" s="5264"/>
      <c r="AG39" s="221"/>
      <c r="AH39" s="221"/>
      <c r="AI39" s="221"/>
      <c r="AJ39" s="221"/>
    </row>
    <row r="40" spans="1:36" ht="25.5" customHeight="1">
      <c r="A40" s="4564"/>
      <c r="B40" s="4570"/>
      <c r="C40" s="5058"/>
      <c r="D40" s="5063"/>
      <c r="E40" s="5063"/>
      <c r="F40" s="5063"/>
      <c r="G40" s="5063"/>
      <c r="H40" s="5063"/>
      <c r="I40" s="5063"/>
      <c r="J40" s="5063"/>
      <c r="K40" s="5063"/>
      <c r="L40" s="5063"/>
      <c r="M40" s="5243"/>
      <c r="N40" s="5243"/>
      <c r="O40" s="5243"/>
      <c r="P40" s="4996"/>
      <c r="Q40" s="4996"/>
      <c r="R40" s="5027"/>
      <c r="S40" s="3944"/>
      <c r="T40" s="3719"/>
      <c r="U40" s="3719"/>
      <c r="V40" s="3531"/>
      <c r="W40" s="2630"/>
      <c r="X40" s="3544"/>
      <c r="Y40" s="3905"/>
      <c r="Z40" s="3905"/>
      <c r="AA40" s="3905"/>
      <c r="AB40" s="3906"/>
      <c r="AC40" s="532"/>
      <c r="AD40" s="533"/>
      <c r="AE40" s="533"/>
      <c r="AF40" s="5264"/>
      <c r="AG40" s="221"/>
      <c r="AH40" s="221"/>
      <c r="AI40" s="221"/>
      <c r="AJ40" s="221"/>
    </row>
    <row r="41" spans="1:36" ht="25.5" customHeight="1">
      <c r="A41" s="4564"/>
      <c r="B41" s="4570"/>
      <c r="C41" s="5058"/>
      <c r="D41" s="5063"/>
      <c r="E41" s="5063"/>
      <c r="F41" s="5063"/>
      <c r="G41" s="5063"/>
      <c r="H41" s="5063"/>
      <c r="I41" s="5063"/>
      <c r="J41" s="5063"/>
      <c r="K41" s="5063"/>
      <c r="L41" s="5063"/>
      <c r="M41" s="5243"/>
      <c r="N41" s="5243"/>
      <c r="O41" s="5243"/>
      <c r="P41" s="4996"/>
      <c r="Q41" s="4996"/>
      <c r="R41" s="5027"/>
      <c r="S41" s="3944"/>
      <c r="T41" s="3719"/>
      <c r="U41" s="3719"/>
      <c r="V41" s="3531"/>
      <c r="W41" s="2630"/>
      <c r="X41" s="3544"/>
      <c r="Y41" s="3905"/>
      <c r="Z41" s="3905"/>
      <c r="AA41" s="3905"/>
      <c r="AB41" s="3906"/>
      <c r="AC41" s="532"/>
      <c r="AD41" s="533"/>
      <c r="AE41" s="533"/>
      <c r="AF41" s="5264"/>
      <c r="AG41" s="221"/>
      <c r="AH41" s="221"/>
      <c r="AI41" s="221"/>
      <c r="AJ41" s="221"/>
    </row>
    <row r="42" spans="1:36" ht="25.5" customHeight="1">
      <c r="A42" s="4564"/>
      <c r="B42" s="4570"/>
      <c r="C42" s="5058"/>
      <c r="D42" s="5063"/>
      <c r="E42" s="5063"/>
      <c r="F42" s="5063"/>
      <c r="G42" s="5063"/>
      <c r="H42" s="5063"/>
      <c r="I42" s="5063"/>
      <c r="J42" s="5063"/>
      <c r="K42" s="5063"/>
      <c r="L42" s="5063"/>
      <c r="M42" s="5243"/>
      <c r="N42" s="5243"/>
      <c r="O42" s="5243"/>
      <c r="P42" s="4996"/>
      <c r="Q42" s="4996"/>
      <c r="R42" s="5027"/>
      <c r="S42" s="3944"/>
      <c r="T42" s="3719"/>
      <c r="U42" s="3719"/>
      <c r="V42" s="3531"/>
      <c r="W42" s="2630"/>
      <c r="X42" s="3544"/>
      <c r="Y42" s="3905"/>
      <c r="Z42" s="3905"/>
      <c r="AA42" s="3905"/>
      <c r="AB42" s="3906"/>
      <c r="AC42" s="532"/>
      <c r="AD42" s="533"/>
      <c r="AE42" s="533"/>
      <c r="AF42" s="5264"/>
      <c r="AG42" s="221"/>
      <c r="AH42" s="221"/>
      <c r="AI42" s="221"/>
      <c r="AJ42" s="221"/>
    </row>
    <row r="43" spans="1:36" ht="25.5" customHeight="1">
      <c r="A43" s="4564"/>
      <c r="B43" s="4570"/>
      <c r="C43" s="5058"/>
      <c r="D43" s="5063"/>
      <c r="E43" s="5063"/>
      <c r="F43" s="5063"/>
      <c r="G43" s="5063"/>
      <c r="H43" s="5063"/>
      <c r="I43" s="5063"/>
      <c r="J43" s="5063"/>
      <c r="K43" s="5063"/>
      <c r="L43" s="5063"/>
      <c r="M43" s="5243"/>
      <c r="N43" s="5243"/>
      <c r="O43" s="5243"/>
      <c r="P43" s="4996"/>
      <c r="Q43" s="4996"/>
      <c r="R43" s="5027"/>
      <c r="S43" s="3946" t="s">
        <v>11</v>
      </c>
      <c r="T43" s="3719">
        <v>530805</v>
      </c>
      <c r="U43" s="3719"/>
      <c r="V43" s="3531" t="s">
        <v>91</v>
      </c>
      <c r="W43" s="2630"/>
      <c r="X43" s="3544"/>
      <c r="Y43" s="3905"/>
      <c r="Z43" s="3905"/>
      <c r="AA43" s="3905"/>
      <c r="AB43" s="3906">
        <f>SUM(AA44:AA49)</f>
        <v>14560.000000000002</v>
      </c>
      <c r="AC43" s="532"/>
      <c r="AD43" s="533"/>
      <c r="AE43" s="533"/>
      <c r="AF43" s="5264"/>
      <c r="AG43" s="221"/>
      <c r="AH43" s="221"/>
      <c r="AI43" s="221"/>
      <c r="AJ43" s="221"/>
    </row>
    <row r="44" spans="1:36" ht="25.5" customHeight="1">
      <c r="A44" s="4564"/>
      <c r="B44" s="4570"/>
      <c r="C44" s="5058"/>
      <c r="D44" s="5063"/>
      <c r="E44" s="5063"/>
      <c r="F44" s="5063"/>
      <c r="G44" s="5063"/>
      <c r="H44" s="5063"/>
      <c r="I44" s="5063"/>
      <c r="J44" s="5063"/>
      <c r="K44" s="5063"/>
      <c r="L44" s="5063"/>
      <c r="M44" s="5243"/>
      <c r="N44" s="5243"/>
      <c r="O44" s="5243"/>
      <c r="P44" s="4996"/>
      <c r="Q44" s="4996"/>
      <c r="R44" s="5027"/>
      <c r="S44" s="3943"/>
      <c r="T44" s="3719"/>
      <c r="U44" s="3718">
        <v>321930012</v>
      </c>
      <c r="V44" s="2683" t="s">
        <v>5758</v>
      </c>
      <c r="W44" s="2630">
        <v>1</v>
      </c>
      <c r="X44" s="3921" t="s">
        <v>1401</v>
      </c>
      <c r="Y44" s="3905">
        <v>13000</v>
      </c>
      <c r="Z44" s="3905">
        <f>+W44*Y44</f>
        <v>13000</v>
      </c>
      <c r="AA44" s="3905">
        <f>+Z44*1.12</f>
        <v>14560.000000000002</v>
      </c>
      <c r="AB44" s="3906"/>
      <c r="AC44" s="532"/>
      <c r="AD44" s="533" t="s">
        <v>251</v>
      </c>
      <c r="AE44" s="533"/>
      <c r="AF44" s="5264"/>
      <c r="AG44" s="221"/>
      <c r="AH44" s="221"/>
      <c r="AI44" s="221"/>
      <c r="AJ44" s="221"/>
    </row>
    <row r="45" spans="1:36" ht="25.5" customHeight="1">
      <c r="A45" s="4564"/>
      <c r="B45" s="4570"/>
      <c r="C45" s="5058"/>
      <c r="D45" s="5063"/>
      <c r="E45" s="5063"/>
      <c r="F45" s="5063"/>
      <c r="G45" s="5063"/>
      <c r="H45" s="5063"/>
      <c r="I45" s="5063"/>
      <c r="J45" s="5063"/>
      <c r="K45" s="5063"/>
      <c r="L45" s="5063"/>
      <c r="M45" s="5243"/>
      <c r="N45" s="5243"/>
      <c r="O45" s="5243"/>
      <c r="P45" s="4996"/>
      <c r="Q45" s="4996"/>
      <c r="R45" s="5027"/>
      <c r="S45" s="3944"/>
      <c r="T45" s="3719"/>
      <c r="U45" s="3719"/>
      <c r="V45" s="3531"/>
      <c r="W45" s="2630"/>
      <c r="X45" s="3544"/>
      <c r="Y45" s="3905"/>
      <c r="Z45" s="3905"/>
      <c r="AA45" s="3905"/>
      <c r="AB45" s="3906"/>
      <c r="AC45" s="532"/>
      <c r="AD45" s="533"/>
      <c r="AE45" s="533"/>
      <c r="AF45" s="5264"/>
      <c r="AG45" s="221"/>
      <c r="AH45" s="221"/>
      <c r="AI45" s="221"/>
      <c r="AJ45" s="221"/>
    </row>
    <row r="46" spans="1:36" ht="25.5" customHeight="1">
      <c r="A46" s="4564"/>
      <c r="B46" s="4570"/>
      <c r="C46" s="5058"/>
      <c r="D46" s="5063"/>
      <c r="E46" s="5063"/>
      <c r="F46" s="5063"/>
      <c r="G46" s="5063"/>
      <c r="H46" s="5063"/>
      <c r="I46" s="5063"/>
      <c r="J46" s="5063"/>
      <c r="K46" s="5063"/>
      <c r="L46" s="5063"/>
      <c r="M46" s="5243"/>
      <c r="N46" s="5243"/>
      <c r="O46" s="5243"/>
      <c r="P46" s="4996"/>
      <c r="Q46" s="4996"/>
      <c r="R46" s="5027"/>
      <c r="S46" s="3944"/>
      <c r="T46" s="3719"/>
      <c r="U46" s="3719"/>
      <c r="V46" s="3531"/>
      <c r="W46" s="2630"/>
      <c r="X46" s="3544"/>
      <c r="Y46" s="3905"/>
      <c r="Z46" s="3905"/>
      <c r="AA46" s="3905"/>
      <c r="AB46" s="3906"/>
      <c r="AC46" s="532"/>
      <c r="AD46" s="533"/>
      <c r="AE46" s="533"/>
      <c r="AF46" s="5264"/>
      <c r="AG46" s="221"/>
      <c r="AH46" s="221"/>
      <c r="AI46" s="221"/>
      <c r="AJ46" s="221"/>
    </row>
    <row r="47" spans="1:36" ht="25.5" customHeight="1">
      <c r="A47" s="4564"/>
      <c r="B47" s="4570"/>
      <c r="C47" s="5058"/>
      <c r="D47" s="5063"/>
      <c r="E47" s="5063"/>
      <c r="F47" s="5063"/>
      <c r="G47" s="5063"/>
      <c r="H47" s="5063"/>
      <c r="I47" s="5063"/>
      <c r="J47" s="5063"/>
      <c r="K47" s="5063"/>
      <c r="L47" s="5063"/>
      <c r="M47" s="5243"/>
      <c r="N47" s="5243"/>
      <c r="O47" s="5243"/>
      <c r="P47" s="4996"/>
      <c r="Q47" s="4996"/>
      <c r="R47" s="5027"/>
      <c r="S47" s="3944"/>
      <c r="T47" s="3719"/>
      <c r="U47" s="3719"/>
      <c r="V47" s="3531"/>
      <c r="W47" s="2630"/>
      <c r="X47" s="3544"/>
      <c r="Y47" s="3905"/>
      <c r="Z47" s="3905"/>
      <c r="AA47" s="3905"/>
      <c r="AB47" s="3906"/>
      <c r="AC47" s="532"/>
      <c r="AD47" s="533"/>
      <c r="AE47" s="533"/>
      <c r="AF47" s="5264"/>
      <c r="AG47" s="221"/>
      <c r="AH47" s="221"/>
      <c r="AI47" s="221"/>
      <c r="AJ47" s="221"/>
    </row>
    <row r="48" spans="1:36" ht="25.5" customHeight="1">
      <c r="A48" s="4564"/>
      <c r="B48" s="4570"/>
      <c r="C48" s="5058"/>
      <c r="D48" s="5063"/>
      <c r="E48" s="5063"/>
      <c r="F48" s="5063"/>
      <c r="G48" s="5063"/>
      <c r="H48" s="5063"/>
      <c r="I48" s="5063"/>
      <c r="J48" s="5063"/>
      <c r="K48" s="5063"/>
      <c r="L48" s="5063"/>
      <c r="M48" s="5243"/>
      <c r="N48" s="5243"/>
      <c r="O48" s="5243"/>
      <c r="P48" s="4996"/>
      <c r="Q48" s="4996"/>
      <c r="R48" s="5027"/>
      <c r="S48" s="3944"/>
      <c r="T48" s="3719"/>
      <c r="U48" s="3719"/>
      <c r="V48" s="3531"/>
      <c r="W48" s="2630"/>
      <c r="X48" s="3544"/>
      <c r="Y48" s="3905"/>
      <c r="Z48" s="3905"/>
      <c r="AA48" s="3905"/>
      <c r="AB48" s="3906"/>
      <c r="AC48" s="532"/>
      <c r="AD48" s="533"/>
      <c r="AE48" s="533"/>
      <c r="AF48" s="5264"/>
      <c r="AG48" s="221"/>
      <c r="AH48" s="221"/>
      <c r="AI48" s="221"/>
      <c r="AJ48" s="221"/>
    </row>
    <row r="49" spans="1:36" ht="25.5" customHeight="1">
      <c r="A49" s="4564"/>
      <c r="B49" s="4570"/>
      <c r="C49" s="5058"/>
      <c r="D49" s="5063"/>
      <c r="E49" s="5063"/>
      <c r="F49" s="5063"/>
      <c r="G49" s="5063"/>
      <c r="H49" s="5063"/>
      <c r="I49" s="5063"/>
      <c r="J49" s="5063"/>
      <c r="K49" s="5063"/>
      <c r="L49" s="5063"/>
      <c r="M49" s="5243"/>
      <c r="N49" s="5243"/>
      <c r="O49" s="5243"/>
      <c r="P49" s="4996"/>
      <c r="Q49" s="4996"/>
      <c r="R49" s="5027"/>
      <c r="S49" s="3944"/>
      <c r="T49" s="3719"/>
      <c r="U49" s="3719"/>
      <c r="V49" s="3531"/>
      <c r="W49" s="2630"/>
      <c r="X49" s="3544"/>
      <c r="Y49" s="3905"/>
      <c r="Z49" s="3905"/>
      <c r="AA49" s="3905"/>
      <c r="AB49" s="3906"/>
      <c r="AC49" s="532"/>
      <c r="AD49" s="533"/>
      <c r="AE49" s="533"/>
      <c r="AF49" s="5264"/>
      <c r="AG49" s="221"/>
      <c r="AH49" s="221"/>
      <c r="AI49" s="221"/>
      <c r="AJ49" s="221"/>
    </row>
    <row r="50" spans="1:36" ht="25.5" customHeight="1">
      <c r="A50" s="4564"/>
      <c r="B50" s="4570"/>
      <c r="C50" s="5058"/>
      <c r="D50" s="5063"/>
      <c r="E50" s="5063"/>
      <c r="F50" s="5063"/>
      <c r="G50" s="5063"/>
      <c r="H50" s="5063"/>
      <c r="I50" s="5063"/>
      <c r="J50" s="5063"/>
      <c r="K50" s="5063"/>
      <c r="L50" s="5063"/>
      <c r="M50" s="5243"/>
      <c r="N50" s="5243"/>
      <c r="O50" s="5243"/>
      <c r="P50" s="4996"/>
      <c r="Q50" s="4996"/>
      <c r="R50" s="5027"/>
      <c r="S50" s="3944"/>
      <c r="T50" s="3719"/>
      <c r="U50" s="3719"/>
      <c r="V50" s="3531"/>
      <c r="W50" s="2630"/>
      <c r="X50" s="3544"/>
      <c r="Y50" s="3905"/>
      <c r="Z50" s="3905"/>
      <c r="AA50" s="3905"/>
      <c r="AB50" s="3906"/>
      <c r="AC50" s="532"/>
      <c r="AD50" s="533"/>
      <c r="AE50" s="533"/>
      <c r="AF50" s="5264"/>
      <c r="AG50" s="221"/>
      <c r="AH50" s="221"/>
      <c r="AI50" s="221"/>
      <c r="AJ50" s="221"/>
    </row>
    <row r="51" spans="1:36" ht="25.5" customHeight="1">
      <c r="A51" s="4564"/>
      <c r="B51" s="4570"/>
      <c r="C51" s="5058"/>
      <c r="D51" s="5063"/>
      <c r="E51" s="5063"/>
      <c r="F51" s="5063"/>
      <c r="G51" s="5063"/>
      <c r="H51" s="5063"/>
      <c r="I51" s="5063"/>
      <c r="J51" s="5063"/>
      <c r="K51" s="5063"/>
      <c r="L51" s="5063"/>
      <c r="M51" s="5243"/>
      <c r="N51" s="5243"/>
      <c r="O51" s="5243"/>
      <c r="P51" s="4996"/>
      <c r="Q51" s="4996"/>
      <c r="R51" s="5027"/>
      <c r="S51" s="3946" t="s">
        <v>11</v>
      </c>
      <c r="T51" s="3719">
        <v>530807</v>
      </c>
      <c r="U51" s="3719"/>
      <c r="V51" s="3531" t="s">
        <v>44</v>
      </c>
      <c r="W51" s="2630"/>
      <c r="X51" s="3544"/>
      <c r="Y51" s="3905"/>
      <c r="Z51" s="3905"/>
      <c r="AA51" s="3905"/>
      <c r="AB51" s="3906">
        <f>SUM(AA52:AA56)</f>
        <v>22400.000000000004</v>
      </c>
      <c r="AC51" s="532"/>
      <c r="AD51" s="533"/>
      <c r="AE51" s="533"/>
      <c r="AF51" s="5264"/>
      <c r="AG51" s="221"/>
      <c r="AH51" s="221"/>
      <c r="AI51" s="221"/>
      <c r="AJ51" s="221"/>
    </row>
    <row r="52" spans="1:36" ht="25.5" customHeight="1">
      <c r="A52" s="4564"/>
      <c r="B52" s="4570"/>
      <c r="C52" s="5058"/>
      <c r="D52" s="5063"/>
      <c r="E52" s="5063"/>
      <c r="F52" s="5063"/>
      <c r="G52" s="5063"/>
      <c r="H52" s="5063"/>
      <c r="I52" s="5063"/>
      <c r="J52" s="5063"/>
      <c r="K52" s="5063"/>
      <c r="L52" s="5063"/>
      <c r="M52" s="5243"/>
      <c r="N52" s="5243"/>
      <c r="O52" s="5243"/>
      <c r="P52" s="4996"/>
      <c r="Q52" s="4996"/>
      <c r="R52" s="5027"/>
      <c r="S52" s="3943"/>
      <c r="T52" s="3719"/>
      <c r="U52" s="3718">
        <v>389120145</v>
      </c>
      <c r="V52" s="2683" t="s">
        <v>5759</v>
      </c>
      <c r="W52" s="2630">
        <v>1</v>
      </c>
      <c r="X52" s="3921" t="s">
        <v>1401</v>
      </c>
      <c r="Y52" s="3905">
        <v>20000</v>
      </c>
      <c r="Z52" s="3905">
        <f>+W52*Y52</f>
        <v>20000</v>
      </c>
      <c r="AA52" s="3905">
        <f>+Z52*1.12</f>
        <v>22400.000000000004</v>
      </c>
      <c r="AB52" s="3906"/>
      <c r="AC52" s="532"/>
      <c r="AD52" s="533" t="s">
        <v>251</v>
      </c>
      <c r="AE52" s="533"/>
      <c r="AF52" s="5264"/>
      <c r="AG52" s="221"/>
      <c r="AH52" s="221"/>
      <c r="AI52" s="221"/>
      <c r="AJ52" s="221"/>
    </row>
    <row r="53" spans="1:36" ht="25.5" customHeight="1">
      <c r="A53" s="4564"/>
      <c r="B53" s="4570"/>
      <c r="C53" s="5058"/>
      <c r="D53" s="5063"/>
      <c r="E53" s="5063"/>
      <c r="F53" s="5063"/>
      <c r="G53" s="5063"/>
      <c r="H53" s="5063"/>
      <c r="I53" s="5063"/>
      <c r="J53" s="5063"/>
      <c r="K53" s="5063"/>
      <c r="L53" s="5063"/>
      <c r="M53" s="5243"/>
      <c r="N53" s="5243"/>
      <c r="O53" s="5243"/>
      <c r="P53" s="4996"/>
      <c r="Q53" s="4996"/>
      <c r="R53" s="5027"/>
      <c r="S53" s="3943"/>
      <c r="T53" s="3719"/>
      <c r="U53" s="3718"/>
      <c r="V53" s="2681"/>
      <c r="W53" s="2630"/>
      <c r="X53" s="3921"/>
      <c r="Y53" s="3905"/>
      <c r="Z53" s="3905"/>
      <c r="AA53" s="3905"/>
      <c r="AB53" s="3906"/>
      <c r="AC53" s="532"/>
      <c r="AD53" s="541"/>
      <c r="AE53" s="533"/>
      <c r="AF53" s="5264"/>
      <c r="AG53" s="221"/>
      <c r="AH53" s="221"/>
      <c r="AI53" s="221"/>
      <c r="AJ53" s="221"/>
    </row>
    <row r="54" spans="1:36" ht="25.5" customHeight="1">
      <c r="A54" s="4564"/>
      <c r="B54" s="4570"/>
      <c r="C54" s="5058"/>
      <c r="D54" s="5063"/>
      <c r="E54" s="5063"/>
      <c r="F54" s="5063"/>
      <c r="G54" s="5063"/>
      <c r="H54" s="5063"/>
      <c r="I54" s="5063"/>
      <c r="J54" s="5063"/>
      <c r="K54" s="5063"/>
      <c r="L54" s="5063"/>
      <c r="M54" s="5243"/>
      <c r="N54" s="5243"/>
      <c r="O54" s="5243"/>
      <c r="P54" s="4996"/>
      <c r="Q54" s="4996"/>
      <c r="R54" s="5027"/>
      <c r="S54" s="3943"/>
      <c r="T54" s="3719"/>
      <c r="U54" s="3718"/>
      <c r="V54" s="2681"/>
      <c r="W54" s="2630"/>
      <c r="X54" s="3921"/>
      <c r="Y54" s="3905"/>
      <c r="Z54" s="3905"/>
      <c r="AA54" s="3905"/>
      <c r="AB54" s="3906"/>
      <c r="AC54" s="532"/>
      <c r="AD54" s="541"/>
      <c r="AE54" s="533"/>
      <c r="AF54" s="5264"/>
      <c r="AG54" s="221"/>
      <c r="AH54" s="221"/>
      <c r="AI54" s="221"/>
      <c r="AJ54" s="221"/>
    </row>
    <row r="55" spans="1:36" ht="25.5" customHeight="1">
      <c r="A55" s="4564"/>
      <c r="B55" s="4570"/>
      <c r="C55" s="5058"/>
      <c r="D55" s="5063"/>
      <c r="E55" s="5063"/>
      <c r="F55" s="5063"/>
      <c r="G55" s="5063"/>
      <c r="H55" s="5063"/>
      <c r="I55" s="5063"/>
      <c r="J55" s="5063"/>
      <c r="K55" s="5063"/>
      <c r="L55" s="5063"/>
      <c r="M55" s="5243"/>
      <c r="N55" s="5243"/>
      <c r="O55" s="5243"/>
      <c r="P55" s="4996"/>
      <c r="Q55" s="4996"/>
      <c r="R55" s="5027"/>
      <c r="S55" s="3943"/>
      <c r="T55" s="3719"/>
      <c r="U55" s="3718"/>
      <c r="V55" s="2681"/>
      <c r="W55" s="2630"/>
      <c r="X55" s="3921"/>
      <c r="Y55" s="3905"/>
      <c r="Z55" s="3905"/>
      <c r="AA55" s="3905"/>
      <c r="AB55" s="3906"/>
      <c r="AC55" s="532"/>
      <c r="AD55" s="541"/>
      <c r="AE55" s="533"/>
      <c r="AF55" s="5264"/>
      <c r="AG55" s="221"/>
      <c r="AH55" s="221"/>
      <c r="AI55" s="221"/>
      <c r="AJ55" s="221"/>
    </row>
    <row r="56" spans="1:36" ht="25.5" customHeight="1">
      <c r="A56" s="4564"/>
      <c r="B56" s="4570"/>
      <c r="C56" s="5058"/>
      <c r="D56" s="5063"/>
      <c r="E56" s="5063"/>
      <c r="F56" s="5063"/>
      <c r="G56" s="5063"/>
      <c r="H56" s="5063"/>
      <c r="I56" s="5063"/>
      <c r="J56" s="5063"/>
      <c r="K56" s="5063"/>
      <c r="L56" s="5063"/>
      <c r="M56" s="5243"/>
      <c r="N56" s="5243"/>
      <c r="O56" s="5243"/>
      <c r="P56" s="4996"/>
      <c r="Q56" s="4996"/>
      <c r="R56" s="5027"/>
      <c r="S56" s="3943"/>
      <c r="T56" s="3719"/>
      <c r="U56" s="3718"/>
      <c r="V56" s="2681"/>
      <c r="W56" s="2630"/>
      <c r="X56" s="3921"/>
      <c r="Y56" s="3905"/>
      <c r="Z56" s="3905"/>
      <c r="AA56" s="3905"/>
      <c r="AB56" s="3906"/>
      <c r="AC56" s="532"/>
      <c r="AD56" s="541"/>
      <c r="AE56" s="533"/>
      <c r="AF56" s="5264"/>
      <c r="AG56" s="221"/>
      <c r="AH56" s="221"/>
      <c r="AI56" s="221"/>
      <c r="AJ56" s="221"/>
    </row>
    <row r="57" spans="1:36" ht="25.5" customHeight="1">
      <c r="A57" s="4564"/>
      <c r="B57" s="4570"/>
      <c r="C57" s="5058"/>
      <c r="D57" s="5063"/>
      <c r="E57" s="5063"/>
      <c r="F57" s="5063"/>
      <c r="G57" s="5063"/>
      <c r="H57" s="5063"/>
      <c r="I57" s="5063"/>
      <c r="J57" s="5063"/>
      <c r="K57" s="5063"/>
      <c r="L57" s="5063"/>
      <c r="M57" s="5243"/>
      <c r="N57" s="5243"/>
      <c r="O57" s="5243"/>
      <c r="P57" s="4996"/>
      <c r="Q57" s="4996"/>
      <c r="R57" s="5027"/>
      <c r="S57" s="3949"/>
      <c r="T57" s="3733"/>
      <c r="U57" s="3720" t="s">
        <v>1287</v>
      </c>
      <c r="V57" s="2682"/>
      <c r="W57" s="2631"/>
      <c r="X57" s="3996"/>
      <c r="Y57" s="3911"/>
      <c r="Z57" s="3911"/>
      <c r="AA57" s="3911"/>
      <c r="AB57" s="3912"/>
      <c r="AC57" s="575"/>
      <c r="AD57" s="326"/>
      <c r="AE57" s="321"/>
      <c r="AF57" s="5264"/>
      <c r="AG57" s="221"/>
      <c r="AH57" s="221"/>
      <c r="AI57" s="221"/>
      <c r="AJ57" s="221"/>
    </row>
    <row r="58" spans="1:36" ht="43.5" customHeight="1">
      <c r="A58" s="4564"/>
      <c r="B58" s="4570"/>
      <c r="C58" s="5059" t="s">
        <v>235</v>
      </c>
      <c r="D58" s="5064" t="s">
        <v>236</v>
      </c>
      <c r="E58" s="5064" t="s">
        <v>237</v>
      </c>
      <c r="F58" s="5064" t="s">
        <v>326</v>
      </c>
      <c r="G58" s="5076" t="s">
        <v>239</v>
      </c>
      <c r="H58" s="5064" t="s">
        <v>240</v>
      </c>
      <c r="I58" s="5064" t="s">
        <v>294</v>
      </c>
      <c r="J58" s="5064" t="s">
        <v>5970</v>
      </c>
      <c r="K58" s="5064" t="s">
        <v>5959</v>
      </c>
      <c r="L58" s="5064" t="s">
        <v>5897</v>
      </c>
      <c r="M58" s="5173">
        <v>100</v>
      </c>
      <c r="N58" s="5173">
        <v>100</v>
      </c>
      <c r="O58" s="5173">
        <v>100</v>
      </c>
      <c r="P58" s="5064" t="s">
        <v>5800</v>
      </c>
      <c r="Q58" s="5064" t="s">
        <v>5849</v>
      </c>
      <c r="R58" s="5123" t="s">
        <v>5766</v>
      </c>
      <c r="S58" s="3997" t="s">
        <v>11</v>
      </c>
      <c r="T58" s="3721">
        <v>531407</v>
      </c>
      <c r="U58" s="3721"/>
      <c r="V58" s="3575" t="s">
        <v>20</v>
      </c>
      <c r="W58" s="3576"/>
      <c r="X58" s="3577"/>
      <c r="Y58" s="3998"/>
      <c r="Z58" s="3998"/>
      <c r="AA58" s="3998"/>
      <c r="AB58" s="4003">
        <f>SUM(AA59:AA61)</f>
        <v>996.80000000000007</v>
      </c>
      <c r="AC58" s="3580"/>
      <c r="AD58" s="3582"/>
      <c r="AE58" s="3582"/>
      <c r="AF58" s="5266" t="s">
        <v>1402</v>
      </c>
      <c r="AG58" s="221"/>
      <c r="AH58" s="221"/>
      <c r="AI58" s="221"/>
      <c r="AJ58" s="221"/>
    </row>
    <row r="59" spans="1:36" ht="43.5" customHeight="1">
      <c r="A59" s="4564"/>
      <c r="B59" s="4570"/>
      <c r="C59" s="5058"/>
      <c r="D59" s="5063"/>
      <c r="E59" s="5063"/>
      <c r="F59" s="5063"/>
      <c r="G59" s="5063"/>
      <c r="H59" s="5063"/>
      <c r="I59" s="5063"/>
      <c r="J59" s="5063"/>
      <c r="K59" s="5063"/>
      <c r="L59" s="5063"/>
      <c r="M59" s="5243"/>
      <c r="N59" s="5243"/>
      <c r="O59" s="5243"/>
      <c r="P59" s="5020"/>
      <c r="Q59" s="4996"/>
      <c r="R59" s="5027"/>
      <c r="S59" s="3943"/>
      <c r="T59" s="3719"/>
      <c r="U59" s="3718">
        <v>461220011</v>
      </c>
      <c r="V59" s="2681" t="s">
        <v>421</v>
      </c>
      <c r="W59" s="2630">
        <v>4</v>
      </c>
      <c r="X59" s="3544" t="s">
        <v>269</v>
      </c>
      <c r="Y59" s="3905">
        <v>89</v>
      </c>
      <c r="Z59" s="3905">
        <f t="shared" ref="Z59:Z61" si="8">+W59*Y59</f>
        <v>356</v>
      </c>
      <c r="AA59" s="3905">
        <f t="shared" ref="AA59:AA61" si="9">+Z59*1.12</f>
        <v>398.72</v>
      </c>
      <c r="AB59" s="3906"/>
      <c r="AC59" s="532"/>
      <c r="AD59" s="533" t="s">
        <v>251</v>
      </c>
      <c r="AE59" s="533"/>
      <c r="AF59" s="5264"/>
      <c r="AG59" s="221"/>
      <c r="AH59" s="221"/>
      <c r="AI59" s="221"/>
      <c r="AJ59" s="221"/>
    </row>
    <row r="60" spans="1:36" ht="43.5" customHeight="1">
      <c r="A60" s="4564"/>
      <c r="B60" s="4570"/>
      <c r="C60" s="5058"/>
      <c r="D60" s="5063"/>
      <c r="E60" s="5063"/>
      <c r="F60" s="5063"/>
      <c r="G60" s="5063"/>
      <c r="H60" s="5063"/>
      <c r="I60" s="5063"/>
      <c r="J60" s="5063"/>
      <c r="K60" s="5063"/>
      <c r="L60" s="5063"/>
      <c r="M60" s="5243"/>
      <c r="N60" s="5243"/>
      <c r="O60" s="5243"/>
      <c r="P60" s="5020"/>
      <c r="Q60" s="4996"/>
      <c r="R60" s="5027"/>
      <c r="S60" s="3943"/>
      <c r="T60" s="3719"/>
      <c r="U60" s="3718">
        <v>452900019</v>
      </c>
      <c r="V60" s="2681" t="s">
        <v>1403</v>
      </c>
      <c r="W60" s="2630">
        <v>1</v>
      </c>
      <c r="X60" s="3544" t="s">
        <v>269</v>
      </c>
      <c r="Y60" s="3905">
        <v>89</v>
      </c>
      <c r="Z60" s="3905">
        <f t="shared" si="8"/>
        <v>89</v>
      </c>
      <c r="AA60" s="3905">
        <f t="shared" si="9"/>
        <v>99.68</v>
      </c>
      <c r="AB60" s="3906"/>
      <c r="AC60" s="532"/>
      <c r="AD60" s="533" t="s">
        <v>251</v>
      </c>
      <c r="AE60" s="533"/>
      <c r="AF60" s="5264"/>
      <c r="AG60" s="221"/>
      <c r="AH60" s="221"/>
      <c r="AI60" s="221"/>
      <c r="AJ60" s="221"/>
    </row>
    <row r="61" spans="1:36" ht="43.5" customHeight="1">
      <c r="A61" s="4564"/>
      <c r="B61" s="4570"/>
      <c r="C61" s="5058"/>
      <c r="D61" s="5063"/>
      <c r="E61" s="5063"/>
      <c r="F61" s="5063"/>
      <c r="G61" s="5063"/>
      <c r="H61" s="5063"/>
      <c r="I61" s="5063"/>
      <c r="J61" s="5063"/>
      <c r="K61" s="5063"/>
      <c r="L61" s="5063"/>
      <c r="M61" s="5243"/>
      <c r="N61" s="5243"/>
      <c r="O61" s="5243"/>
      <c r="P61" s="5020"/>
      <c r="Q61" s="4996"/>
      <c r="R61" s="5027"/>
      <c r="S61" s="3943"/>
      <c r="T61" s="3719"/>
      <c r="U61" s="3718">
        <v>472200113</v>
      </c>
      <c r="V61" s="2681" t="s">
        <v>1404</v>
      </c>
      <c r="W61" s="2630">
        <v>5</v>
      </c>
      <c r="X61" s="3544" t="s">
        <v>269</v>
      </c>
      <c r="Y61" s="3905">
        <v>89</v>
      </c>
      <c r="Z61" s="3905">
        <f t="shared" si="8"/>
        <v>445</v>
      </c>
      <c r="AA61" s="3905">
        <f t="shared" si="9"/>
        <v>498.40000000000003</v>
      </c>
      <c r="AB61" s="3906"/>
      <c r="AC61" s="532"/>
      <c r="AD61" s="533" t="s">
        <v>251</v>
      </c>
      <c r="AE61" s="533"/>
      <c r="AF61" s="5264"/>
      <c r="AG61" s="221"/>
      <c r="AH61" s="221"/>
      <c r="AI61" s="221"/>
      <c r="AJ61" s="221"/>
    </row>
    <row r="62" spans="1:36" ht="43.5" customHeight="1">
      <c r="A62" s="4564"/>
      <c r="B62" s="4570"/>
      <c r="C62" s="5060"/>
      <c r="D62" s="5065"/>
      <c r="E62" s="5065"/>
      <c r="F62" s="5065"/>
      <c r="G62" s="5065"/>
      <c r="H62" s="5065"/>
      <c r="I62" s="5065"/>
      <c r="J62" s="5065"/>
      <c r="K62" s="5065"/>
      <c r="L62" s="5065"/>
      <c r="M62" s="5245"/>
      <c r="N62" s="5245"/>
      <c r="O62" s="5245"/>
      <c r="P62" s="5268"/>
      <c r="Q62" s="5000"/>
      <c r="R62" s="5249"/>
      <c r="S62" s="3993"/>
      <c r="T62" s="3729"/>
      <c r="U62" s="1779"/>
      <c r="V62" s="2686"/>
      <c r="W62" s="1781"/>
      <c r="X62" s="3571"/>
      <c r="Y62" s="3994"/>
      <c r="Z62" s="3994"/>
      <c r="AA62" s="3994"/>
      <c r="AB62" s="3995"/>
      <c r="AC62" s="1782"/>
      <c r="AD62" s="3572"/>
      <c r="AE62" s="3572"/>
      <c r="AF62" s="5265"/>
      <c r="AG62" s="221"/>
      <c r="AH62" s="221"/>
      <c r="AI62" s="221"/>
      <c r="AJ62" s="221"/>
    </row>
    <row r="63" spans="1:36" ht="66.75" customHeight="1">
      <c r="A63" s="4564"/>
      <c r="B63" s="4570"/>
      <c r="C63" s="5061" t="s">
        <v>235</v>
      </c>
      <c r="D63" s="5062" t="s">
        <v>236</v>
      </c>
      <c r="E63" s="5062" t="s">
        <v>237</v>
      </c>
      <c r="F63" s="5062" t="s">
        <v>326</v>
      </c>
      <c r="G63" s="5069" t="s">
        <v>239</v>
      </c>
      <c r="H63" s="5062" t="s">
        <v>240</v>
      </c>
      <c r="I63" s="5062" t="s">
        <v>294</v>
      </c>
      <c r="J63" s="5062" t="s">
        <v>5971</v>
      </c>
      <c r="K63" s="5062" t="s">
        <v>5958</v>
      </c>
      <c r="L63" s="5062" t="s">
        <v>5898</v>
      </c>
      <c r="M63" s="4998">
        <v>1</v>
      </c>
      <c r="N63" s="4998">
        <v>1</v>
      </c>
      <c r="O63" s="4998">
        <v>1</v>
      </c>
      <c r="P63" s="5062" t="s">
        <v>5801</v>
      </c>
      <c r="Q63" s="5062" t="s">
        <v>5850</v>
      </c>
      <c r="R63" s="5124" t="s">
        <v>5767</v>
      </c>
      <c r="S63" s="3990"/>
      <c r="T63" s="3380"/>
      <c r="U63" s="3380"/>
      <c r="V63" s="3501"/>
      <c r="W63" s="3405"/>
      <c r="X63" s="4005"/>
      <c r="Y63" s="4006"/>
      <c r="Z63" s="3992"/>
      <c r="AA63" s="3992"/>
      <c r="AB63" s="3992"/>
      <c r="AC63" s="1969"/>
      <c r="AD63" s="1970"/>
      <c r="AE63" s="1970"/>
      <c r="AF63" s="5269"/>
      <c r="AG63" s="221"/>
      <c r="AH63" s="221"/>
      <c r="AI63" s="221"/>
      <c r="AJ63" s="221"/>
    </row>
    <row r="64" spans="1:36" ht="66.75" customHeight="1">
      <c r="A64" s="4564"/>
      <c r="B64" s="4570"/>
      <c r="C64" s="5058"/>
      <c r="D64" s="5063"/>
      <c r="E64" s="5063"/>
      <c r="F64" s="5063"/>
      <c r="G64" s="5063"/>
      <c r="H64" s="5063"/>
      <c r="I64" s="5063"/>
      <c r="J64" s="5063"/>
      <c r="K64" s="5063"/>
      <c r="L64" s="5063"/>
      <c r="M64" s="5243"/>
      <c r="N64" s="5243"/>
      <c r="O64" s="5243"/>
      <c r="P64" s="5020"/>
      <c r="Q64" s="4996"/>
      <c r="R64" s="5027"/>
      <c r="S64" s="3947"/>
      <c r="T64" s="3485"/>
      <c r="U64" s="3381"/>
      <c r="V64" s="3502"/>
      <c r="W64" s="3406"/>
      <c r="X64" s="3492"/>
      <c r="Y64" s="3908"/>
      <c r="Z64" s="3905"/>
      <c r="AA64" s="3905"/>
      <c r="AB64" s="3906"/>
      <c r="AC64" s="539"/>
      <c r="AD64" s="541"/>
      <c r="AE64" s="541"/>
      <c r="AF64" s="5264"/>
      <c r="AG64" s="221"/>
      <c r="AH64" s="221"/>
      <c r="AI64" s="221"/>
      <c r="AJ64" s="221"/>
    </row>
    <row r="65" spans="1:36" ht="66.75" customHeight="1">
      <c r="A65" s="4564"/>
      <c r="B65" s="4570"/>
      <c r="C65" s="5058"/>
      <c r="D65" s="5063"/>
      <c r="E65" s="5063"/>
      <c r="F65" s="5063"/>
      <c r="G65" s="5063"/>
      <c r="H65" s="5063"/>
      <c r="I65" s="5063"/>
      <c r="J65" s="5063"/>
      <c r="K65" s="5063"/>
      <c r="L65" s="5063"/>
      <c r="M65" s="5243"/>
      <c r="N65" s="5243"/>
      <c r="O65" s="5243"/>
      <c r="P65" s="5020"/>
      <c r="Q65" s="4996"/>
      <c r="R65" s="5027"/>
      <c r="S65" s="3947"/>
      <c r="T65" s="3485"/>
      <c r="U65" s="3381"/>
      <c r="V65" s="3502"/>
      <c r="W65" s="3406"/>
      <c r="X65" s="3492"/>
      <c r="Y65" s="3908"/>
      <c r="Z65" s="3905"/>
      <c r="AA65" s="3905"/>
      <c r="AB65" s="3906"/>
      <c r="AC65" s="539"/>
      <c r="AD65" s="541"/>
      <c r="AE65" s="541"/>
      <c r="AF65" s="5264"/>
      <c r="AG65" s="221"/>
      <c r="AH65" s="221"/>
      <c r="AI65" s="221"/>
      <c r="AJ65" s="221"/>
    </row>
    <row r="66" spans="1:36" ht="66.75" customHeight="1">
      <c r="A66" s="4564"/>
      <c r="B66" s="4570"/>
      <c r="C66" s="5058"/>
      <c r="D66" s="5063"/>
      <c r="E66" s="5063"/>
      <c r="F66" s="5063"/>
      <c r="G66" s="5063"/>
      <c r="H66" s="5063"/>
      <c r="I66" s="5063"/>
      <c r="J66" s="5063"/>
      <c r="K66" s="5063"/>
      <c r="L66" s="5063"/>
      <c r="M66" s="5243"/>
      <c r="N66" s="5243"/>
      <c r="O66" s="5243"/>
      <c r="P66" s="5020"/>
      <c r="Q66" s="4996"/>
      <c r="R66" s="5027"/>
      <c r="S66" s="3951"/>
      <c r="T66" s="3941"/>
      <c r="U66" s="3940"/>
      <c r="V66" s="3510"/>
      <c r="W66" s="3616"/>
      <c r="X66" s="3617"/>
      <c r="Y66" s="3913"/>
      <c r="Z66" s="3913"/>
      <c r="AA66" s="3913"/>
      <c r="AB66" s="3914"/>
      <c r="AC66" s="325"/>
      <c r="AD66" s="326"/>
      <c r="AE66" s="326"/>
      <c r="AF66" s="5264"/>
      <c r="AG66" s="221"/>
      <c r="AH66" s="221"/>
      <c r="AI66" s="221"/>
      <c r="AJ66" s="221"/>
    </row>
    <row r="67" spans="1:36" ht="73.5" customHeight="1">
      <c r="A67" s="4564"/>
      <c r="B67" s="4570"/>
      <c r="C67" s="5059" t="s">
        <v>235</v>
      </c>
      <c r="D67" s="5064" t="s">
        <v>236</v>
      </c>
      <c r="E67" s="5064" t="s">
        <v>237</v>
      </c>
      <c r="F67" s="5064" t="s">
        <v>326</v>
      </c>
      <c r="G67" s="5076" t="s">
        <v>239</v>
      </c>
      <c r="H67" s="5064" t="s">
        <v>240</v>
      </c>
      <c r="I67" s="5064" t="s">
        <v>294</v>
      </c>
      <c r="J67" s="5064" t="s">
        <v>5972</v>
      </c>
      <c r="K67" s="5064" t="s">
        <v>5957</v>
      </c>
      <c r="L67" s="5064" t="s">
        <v>5899</v>
      </c>
      <c r="M67" s="5173">
        <v>0</v>
      </c>
      <c r="N67" s="5173">
        <v>1</v>
      </c>
      <c r="O67" s="5173">
        <v>0</v>
      </c>
      <c r="P67" s="5064" t="s">
        <v>5802</v>
      </c>
      <c r="Q67" s="5064" t="s">
        <v>5851</v>
      </c>
      <c r="R67" s="5123" t="s">
        <v>5768</v>
      </c>
      <c r="S67" s="3997" t="s">
        <v>11</v>
      </c>
      <c r="T67" s="3721">
        <v>570201</v>
      </c>
      <c r="U67" s="3721"/>
      <c r="V67" s="3575" t="s">
        <v>48</v>
      </c>
      <c r="W67" s="3576"/>
      <c r="X67" s="3577"/>
      <c r="Y67" s="3998"/>
      <c r="Z67" s="3998"/>
      <c r="AA67" s="3998"/>
      <c r="AB67" s="4003">
        <f>SUM(AA68:AA69)</f>
        <v>110320.00000000001</v>
      </c>
      <c r="AC67" s="3580"/>
      <c r="AD67" s="3582"/>
      <c r="AE67" s="3582"/>
      <c r="AF67" s="5266" t="s">
        <v>1405</v>
      </c>
      <c r="AG67" s="221"/>
      <c r="AH67" s="221"/>
      <c r="AI67" s="221"/>
      <c r="AJ67" s="221"/>
    </row>
    <row r="68" spans="1:36" ht="73.5" customHeight="1">
      <c r="A68" s="4564"/>
      <c r="B68" s="4570"/>
      <c r="C68" s="5058"/>
      <c r="D68" s="5063"/>
      <c r="E68" s="5063"/>
      <c r="F68" s="5063"/>
      <c r="G68" s="5063"/>
      <c r="H68" s="5063"/>
      <c r="I68" s="5063"/>
      <c r="J68" s="5063"/>
      <c r="K68" s="5063"/>
      <c r="L68" s="5063"/>
      <c r="M68" s="5243"/>
      <c r="N68" s="5243"/>
      <c r="O68" s="5243"/>
      <c r="P68" s="4996"/>
      <c r="Q68" s="4996"/>
      <c r="R68" s="5027"/>
      <c r="S68" s="3943"/>
      <c r="T68" s="3719"/>
      <c r="U68" s="3718">
        <v>4476000112</v>
      </c>
      <c r="V68" s="2681" t="s">
        <v>1406</v>
      </c>
      <c r="W68" s="2630">
        <v>1</v>
      </c>
      <c r="X68" s="3544" t="s">
        <v>250</v>
      </c>
      <c r="Y68" s="3905">
        <v>98500</v>
      </c>
      <c r="Z68" s="3905">
        <f t="shared" ref="Z68" si="10">+W68*Y68</f>
        <v>98500</v>
      </c>
      <c r="AA68" s="3905">
        <f t="shared" ref="AA68" si="11">+Z68*1.12</f>
        <v>110320.00000000001</v>
      </c>
      <c r="AB68" s="3906"/>
      <c r="AC68" s="532"/>
      <c r="AD68" s="533" t="s">
        <v>251</v>
      </c>
      <c r="AE68" s="534" t="s">
        <v>251</v>
      </c>
      <c r="AF68" s="5264"/>
      <c r="AG68" s="221"/>
      <c r="AH68" s="221"/>
      <c r="AI68" s="221"/>
      <c r="AJ68" s="221"/>
    </row>
    <row r="69" spans="1:36" ht="73.5" customHeight="1">
      <c r="A69" s="4564"/>
      <c r="B69" s="4570"/>
      <c r="C69" s="5058"/>
      <c r="D69" s="5063"/>
      <c r="E69" s="5063"/>
      <c r="F69" s="5063"/>
      <c r="G69" s="5063"/>
      <c r="H69" s="5063"/>
      <c r="I69" s="5063"/>
      <c r="J69" s="5063"/>
      <c r="K69" s="5063"/>
      <c r="L69" s="5063"/>
      <c r="M69" s="5243"/>
      <c r="N69" s="5243"/>
      <c r="O69" s="5243"/>
      <c r="P69" s="4996"/>
      <c r="Q69" s="4996"/>
      <c r="R69" s="5027"/>
      <c r="S69" s="3943"/>
      <c r="T69" s="3719"/>
      <c r="U69" s="3718"/>
      <c r="V69" s="2681"/>
      <c r="W69" s="2630"/>
      <c r="X69" s="3544"/>
      <c r="Y69" s="3905"/>
      <c r="Z69" s="3905"/>
      <c r="AA69" s="3905"/>
      <c r="AB69" s="3906"/>
      <c r="AC69" s="532"/>
      <c r="AD69" s="533"/>
      <c r="AE69" s="533"/>
      <c r="AF69" s="5264"/>
      <c r="AG69" s="221"/>
      <c r="AH69" s="221"/>
      <c r="AI69" s="221"/>
      <c r="AJ69" s="221"/>
    </row>
    <row r="70" spans="1:36" ht="73.5" customHeight="1">
      <c r="A70" s="4564"/>
      <c r="B70" s="4570"/>
      <c r="C70" s="5060"/>
      <c r="D70" s="5065"/>
      <c r="E70" s="5065"/>
      <c r="F70" s="5065"/>
      <c r="G70" s="5065"/>
      <c r="H70" s="5065"/>
      <c r="I70" s="5065"/>
      <c r="J70" s="5065"/>
      <c r="K70" s="5065"/>
      <c r="L70" s="5065"/>
      <c r="M70" s="5245"/>
      <c r="N70" s="5245"/>
      <c r="O70" s="5245"/>
      <c r="P70" s="5000"/>
      <c r="Q70" s="5000"/>
      <c r="R70" s="5249"/>
      <c r="S70" s="3993"/>
      <c r="T70" s="3729"/>
      <c r="U70" s="1779"/>
      <c r="V70" s="2686"/>
      <c r="W70" s="1781"/>
      <c r="X70" s="3571"/>
      <c r="Y70" s="3994"/>
      <c r="Z70" s="3994"/>
      <c r="AA70" s="3994"/>
      <c r="AB70" s="3995"/>
      <c r="AC70" s="1782"/>
      <c r="AD70" s="3572"/>
      <c r="AE70" s="3572"/>
      <c r="AF70" s="5265"/>
      <c r="AG70" s="221"/>
      <c r="AH70" s="221"/>
      <c r="AI70" s="221"/>
      <c r="AJ70" s="221"/>
    </row>
    <row r="71" spans="1:36" ht="61.5" customHeight="1">
      <c r="A71" s="4564"/>
      <c r="B71" s="4570"/>
      <c r="C71" s="5061" t="s">
        <v>235</v>
      </c>
      <c r="D71" s="5062" t="s">
        <v>236</v>
      </c>
      <c r="E71" s="5062" t="s">
        <v>237</v>
      </c>
      <c r="F71" s="5062" t="s">
        <v>326</v>
      </c>
      <c r="G71" s="5069" t="s">
        <v>239</v>
      </c>
      <c r="H71" s="5062" t="s">
        <v>240</v>
      </c>
      <c r="I71" s="5062" t="s">
        <v>294</v>
      </c>
      <c r="J71" s="5062" t="s">
        <v>5973</v>
      </c>
      <c r="K71" s="5062" t="s">
        <v>5956</v>
      </c>
      <c r="L71" s="5062" t="s">
        <v>5900</v>
      </c>
      <c r="M71" s="4998">
        <v>1</v>
      </c>
      <c r="N71" s="4998">
        <v>1</v>
      </c>
      <c r="O71" s="4998">
        <v>1</v>
      </c>
      <c r="P71" s="5062" t="s">
        <v>5803</v>
      </c>
      <c r="Q71" s="5062" t="s">
        <v>5852</v>
      </c>
      <c r="R71" s="5124" t="s">
        <v>5769</v>
      </c>
      <c r="S71" s="3990" t="s">
        <v>11</v>
      </c>
      <c r="T71" s="3725">
        <v>530405</v>
      </c>
      <c r="U71" s="3725"/>
      <c r="V71" s="3530" t="s">
        <v>153</v>
      </c>
      <c r="W71" s="3688"/>
      <c r="X71" s="3991"/>
      <c r="Y71" s="3992"/>
      <c r="Z71" s="3992"/>
      <c r="AA71" s="3992"/>
      <c r="AB71" s="3992">
        <f>SUM(AA72:AA73)</f>
        <v>56000.000000000007</v>
      </c>
      <c r="AC71" s="1967"/>
      <c r="AD71" s="1971"/>
      <c r="AE71" s="1971"/>
      <c r="AF71" s="5263" t="s">
        <v>1407</v>
      </c>
      <c r="AG71" s="221"/>
      <c r="AH71" s="221"/>
      <c r="AI71" s="221"/>
      <c r="AJ71" s="221"/>
    </row>
    <row r="72" spans="1:36" ht="61.5" customHeight="1">
      <c r="A72" s="4564"/>
      <c r="B72" s="4570"/>
      <c r="C72" s="5058"/>
      <c r="D72" s="5063"/>
      <c r="E72" s="5063"/>
      <c r="F72" s="5063"/>
      <c r="G72" s="5063"/>
      <c r="H72" s="5063"/>
      <c r="I72" s="5063"/>
      <c r="J72" s="5063"/>
      <c r="K72" s="5063"/>
      <c r="L72" s="5063"/>
      <c r="M72" s="5243"/>
      <c r="N72" s="5243"/>
      <c r="O72" s="5243"/>
      <c r="P72" s="4996"/>
      <c r="Q72" s="4996"/>
      <c r="R72" s="5027"/>
      <c r="S72" s="3943"/>
      <c r="T72" s="3719"/>
      <c r="U72" s="3718">
        <v>871410018</v>
      </c>
      <c r="V72" s="2681" t="s">
        <v>1408</v>
      </c>
      <c r="W72" s="2630">
        <v>1</v>
      </c>
      <c r="X72" s="3544" t="s">
        <v>250</v>
      </c>
      <c r="Y72" s="3905">
        <f>50000</f>
        <v>50000</v>
      </c>
      <c r="Z72" s="3905">
        <f t="shared" ref="Z72" si="12">+W72*Y72</f>
        <v>50000</v>
      </c>
      <c r="AA72" s="3905">
        <f t="shared" ref="AA72" si="13">+Z72*1.12</f>
        <v>56000.000000000007</v>
      </c>
      <c r="AB72" s="3906"/>
      <c r="AC72" s="532"/>
      <c r="AD72" s="533" t="s">
        <v>251</v>
      </c>
      <c r="AE72" s="533"/>
      <c r="AF72" s="5264"/>
      <c r="AG72" s="221"/>
      <c r="AH72" s="221"/>
      <c r="AI72" s="221"/>
      <c r="AJ72" s="221"/>
    </row>
    <row r="73" spans="1:36" ht="61.5" customHeight="1">
      <c r="A73" s="4564"/>
      <c r="B73" s="4570"/>
      <c r="C73" s="5058"/>
      <c r="D73" s="5063"/>
      <c r="E73" s="5063"/>
      <c r="F73" s="5063"/>
      <c r="G73" s="5063"/>
      <c r="H73" s="5063"/>
      <c r="I73" s="5063"/>
      <c r="J73" s="5063"/>
      <c r="K73" s="5063"/>
      <c r="L73" s="5063"/>
      <c r="M73" s="5243"/>
      <c r="N73" s="5243"/>
      <c r="O73" s="5243"/>
      <c r="P73" s="4996"/>
      <c r="Q73" s="4996"/>
      <c r="R73" s="5027"/>
      <c r="S73" s="3944"/>
      <c r="T73" s="3719"/>
      <c r="U73" s="3719"/>
      <c r="V73" s="3531"/>
      <c r="W73" s="3925"/>
      <c r="X73" s="3922"/>
      <c r="Y73" s="3906"/>
      <c r="Z73" s="3905"/>
      <c r="AA73" s="3905"/>
      <c r="AB73" s="3906"/>
      <c r="AC73" s="532"/>
      <c r="AD73" s="533"/>
      <c r="AE73" s="533"/>
      <c r="AF73" s="5264"/>
      <c r="AG73" s="221"/>
      <c r="AH73" s="221"/>
      <c r="AI73" s="221"/>
      <c r="AJ73" s="221"/>
    </row>
    <row r="74" spans="1:36" ht="61.5" customHeight="1">
      <c r="A74" s="4564"/>
      <c r="B74" s="4570"/>
      <c r="C74" s="5058"/>
      <c r="D74" s="5063"/>
      <c r="E74" s="5063"/>
      <c r="F74" s="5063"/>
      <c r="G74" s="5063"/>
      <c r="H74" s="5063"/>
      <c r="I74" s="5063"/>
      <c r="J74" s="5063"/>
      <c r="K74" s="5063"/>
      <c r="L74" s="5063"/>
      <c r="M74" s="5243"/>
      <c r="N74" s="5243"/>
      <c r="O74" s="5243"/>
      <c r="P74" s="4996"/>
      <c r="Q74" s="4996"/>
      <c r="R74" s="5027"/>
      <c r="S74" s="3944"/>
      <c r="T74" s="3719"/>
      <c r="U74" s="3719"/>
      <c r="V74" s="3531"/>
      <c r="W74" s="3925"/>
      <c r="X74" s="3922"/>
      <c r="Y74" s="3906"/>
      <c r="Z74" s="3906"/>
      <c r="AA74" s="3905"/>
      <c r="AB74" s="3906"/>
      <c r="AC74" s="532"/>
      <c r="AD74" s="533"/>
      <c r="AE74" s="533"/>
      <c r="AF74" s="5264"/>
      <c r="AG74" s="221"/>
      <c r="AH74" s="221"/>
      <c r="AI74" s="221"/>
      <c r="AJ74" s="221"/>
    </row>
    <row r="75" spans="1:36" ht="61.5" customHeight="1">
      <c r="A75" s="4564"/>
      <c r="B75" s="4570"/>
      <c r="C75" s="5058"/>
      <c r="D75" s="5063"/>
      <c r="E75" s="5063"/>
      <c r="F75" s="5063"/>
      <c r="G75" s="5063"/>
      <c r="H75" s="5063"/>
      <c r="I75" s="5063"/>
      <c r="J75" s="5063"/>
      <c r="K75" s="5063"/>
      <c r="L75" s="5063"/>
      <c r="M75" s="5243"/>
      <c r="N75" s="5243"/>
      <c r="O75" s="5243"/>
      <c r="P75" s="4996"/>
      <c r="Q75" s="4996"/>
      <c r="R75" s="5027"/>
      <c r="S75" s="3946" t="s">
        <v>11</v>
      </c>
      <c r="T75" s="3719">
        <v>530803</v>
      </c>
      <c r="U75" s="3719"/>
      <c r="V75" s="3531" t="s">
        <v>154</v>
      </c>
      <c r="W75" s="3925"/>
      <c r="X75" s="3922"/>
      <c r="Y75" s="3906"/>
      <c r="Z75" s="3906"/>
      <c r="AA75" s="3905"/>
      <c r="AB75" s="3906">
        <f>SUM(AA76:AA77)</f>
        <v>47040.000000000007</v>
      </c>
      <c r="AC75" s="532"/>
      <c r="AD75" s="533"/>
      <c r="AE75" s="533"/>
      <c r="AF75" s="5264"/>
      <c r="AG75" s="221"/>
      <c r="AH75" s="221"/>
      <c r="AI75" s="221"/>
      <c r="AJ75" s="221"/>
    </row>
    <row r="76" spans="1:36" ht="61.5" customHeight="1">
      <c r="A76" s="4564"/>
      <c r="B76" s="4570"/>
      <c r="C76" s="5058"/>
      <c r="D76" s="5063"/>
      <c r="E76" s="5063"/>
      <c r="F76" s="5063"/>
      <c r="G76" s="5063"/>
      <c r="H76" s="5063"/>
      <c r="I76" s="5063"/>
      <c r="J76" s="5063"/>
      <c r="K76" s="5063"/>
      <c r="L76" s="5063"/>
      <c r="M76" s="5243"/>
      <c r="N76" s="5243"/>
      <c r="O76" s="5243"/>
      <c r="P76" s="4996"/>
      <c r="Q76" s="4996"/>
      <c r="R76" s="5027"/>
      <c r="S76" s="3943"/>
      <c r="T76" s="3719"/>
      <c r="U76" s="3718">
        <v>333100011</v>
      </c>
      <c r="V76" s="2681" t="s">
        <v>1409</v>
      </c>
      <c r="W76" s="2630">
        <v>1</v>
      </c>
      <c r="X76" s="3544" t="s">
        <v>250</v>
      </c>
      <c r="Y76" s="3905">
        <v>42000</v>
      </c>
      <c r="Z76" s="3905">
        <f t="shared" ref="Z76" si="14">+W76*Y76</f>
        <v>42000</v>
      </c>
      <c r="AA76" s="3905">
        <f t="shared" ref="AA76" si="15">+Z76*1.12</f>
        <v>47040.000000000007</v>
      </c>
      <c r="AB76" s="3906"/>
      <c r="AC76" s="532" t="s">
        <v>251</v>
      </c>
      <c r="AD76" s="533" t="s">
        <v>251</v>
      </c>
      <c r="AE76" s="533" t="s">
        <v>251</v>
      </c>
      <c r="AF76" s="5264"/>
      <c r="AG76" s="221"/>
      <c r="AH76" s="221"/>
      <c r="AI76" s="221"/>
      <c r="AJ76" s="221"/>
    </row>
    <row r="77" spans="1:36" ht="61.5" customHeight="1">
      <c r="A77" s="4564"/>
      <c r="B77" s="4570"/>
      <c r="C77" s="5058"/>
      <c r="D77" s="5063"/>
      <c r="E77" s="5063"/>
      <c r="F77" s="5063"/>
      <c r="G77" s="5063"/>
      <c r="H77" s="5063"/>
      <c r="I77" s="5063"/>
      <c r="J77" s="5063"/>
      <c r="K77" s="5063"/>
      <c r="L77" s="5063"/>
      <c r="M77" s="5243"/>
      <c r="N77" s="5243"/>
      <c r="O77" s="5243"/>
      <c r="P77" s="4996"/>
      <c r="Q77" s="4996"/>
      <c r="R77" s="5027"/>
      <c r="S77" s="3943"/>
      <c r="T77" s="3719"/>
      <c r="U77" s="3718"/>
      <c r="V77" s="3502"/>
      <c r="W77" s="3406"/>
      <c r="X77" s="3492"/>
      <c r="Y77" s="3908"/>
      <c r="Z77" s="3905"/>
      <c r="AA77" s="3905"/>
      <c r="AB77" s="3907"/>
      <c r="AC77" s="539"/>
      <c r="AD77" s="541"/>
      <c r="AE77" s="541"/>
      <c r="AF77" s="5264"/>
      <c r="AG77" s="221"/>
      <c r="AH77" s="221"/>
      <c r="AI77" s="221"/>
      <c r="AJ77" s="221"/>
    </row>
    <row r="78" spans="1:36" ht="61.5" customHeight="1">
      <c r="A78" s="4564"/>
      <c r="B78" s="4570"/>
      <c r="C78" s="5058"/>
      <c r="D78" s="5063"/>
      <c r="E78" s="5063"/>
      <c r="F78" s="5063"/>
      <c r="G78" s="5063"/>
      <c r="H78" s="5063"/>
      <c r="I78" s="5063"/>
      <c r="J78" s="5063"/>
      <c r="K78" s="5063"/>
      <c r="L78" s="5063"/>
      <c r="M78" s="5243"/>
      <c r="N78" s="5243"/>
      <c r="O78" s="5243"/>
      <c r="P78" s="4996"/>
      <c r="Q78" s="4996"/>
      <c r="R78" s="5027"/>
      <c r="S78" s="3949"/>
      <c r="T78" s="3733"/>
      <c r="U78" s="3720"/>
      <c r="V78" s="3510"/>
      <c r="W78" s="3616"/>
      <c r="X78" s="3617"/>
      <c r="Y78" s="3913"/>
      <c r="Z78" s="3913"/>
      <c r="AA78" s="3913"/>
      <c r="AB78" s="3914"/>
      <c r="AC78" s="325"/>
      <c r="AD78" s="326"/>
      <c r="AE78" s="326"/>
      <c r="AF78" s="5264"/>
      <c r="AG78" s="221"/>
      <c r="AH78" s="221"/>
      <c r="AI78" s="221"/>
      <c r="AJ78" s="221"/>
    </row>
    <row r="79" spans="1:36" ht="22.5" customHeight="1">
      <c r="A79" s="4564"/>
      <c r="B79" s="4570"/>
      <c r="C79" s="5059" t="s">
        <v>235</v>
      </c>
      <c r="D79" s="5064" t="s">
        <v>236</v>
      </c>
      <c r="E79" s="5064" t="s">
        <v>237</v>
      </c>
      <c r="F79" s="5064" t="s">
        <v>326</v>
      </c>
      <c r="G79" s="5076" t="s">
        <v>239</v>
      </c>
      <c r="H79" s="5064" t="s">
        <v>240</v>
      </c>
      <c r="I79" s="5064" t="s">
        <v>294</v>
      </c>
      <c r="J79" s="5064" t="s">
        <v>5974</v>
      </c>
      <c r="K79" s="5064" t="s">
        <v>5955</v>
      </c>
      <c r="L79" s="5064" t="s">
        <v>5901</v>
      </c>
      <c r="M79" s="5173">
        <v>1</v>
      </c>
      <c r="N79" s="5173">
        <v>1</v>
      </c>
      <c r="O79" s="5173">
        <v>1</v>
      </c>
      <c r="P79" s="5064" t="s">
        <v>5804</v>
      </c>
      <c r="Q79" s="5064" t="s">
        <v>5853</v>
      </c>
      <c r="R79" s="5123" t="s">
        <v>5770</v>
      </c>
      <c r="S79" s="3997" t="s">
        <v>11</v>
      </c>
      <c r="T79" s="3721">
        <v>530208</v>
      </c>
      <c r="U79" s="3721"/>
      <c r="V79" s="3575" t="s">
        <v>155</v>
      </c>
      <c r="W79" s="3576"/>
      <c r="X79" s="3577"/>
      <c r="Y79" s="3998"/>
      <c r="Z79" s="3998"/>
      <c r="AA79" s="3998"/>
      <c r="AB79" s="4003">
        <f>SUM(AA80:AA81)</f>
        <v>142671.24000000002</v>
      </c>
      <c r="AC79" s="3580"/>
      <c r="AD79" s="3582"/>
      <c r="AE79" s="3582"/>
      <c r="AF79" s="5267" t="s">
        <v>1410</v>
      </c>
      <c r="AG79" s="221"/>
      <c r="AH79" s="221"/>
      <c r="AI79" s="221"/>
      <c r="AJ79" s="221"/>
    </row>
    <row r="80" spans="1:36" ht="22.5" customHeight="1">
      <c r="A80" s="4564"/>
      <c r="B80" s="4570"/>
      <c r="C80" s="5058"/>
      <c r="D80" s="5063"/>
      <c r="E80" s="5063"/>
      <c r="F80" s="5063"/>
      <c r="G80" s="5063"/>
      <c r="H80" s="5063"/>
      <c r="I80" s="5063"/>
      <c r="J80" s="5063"/>
      <c r="K80" s="5063"/>
      <c r="L80" s="5063"/>
      <c r="M80" s="5243"/>
      <c r="N80" s="5243"/>
      <c r="O80" s="5243"/>
      <c r="P80" s="4996"/>
      <c r="Q80" s="4996"/>
      <c r="R80" s="5027"/>
      <c r="S80" s="3943"/>
      <c r="T80" s="3719"/>
      <c r="U80" s="3718">
        <v>852500014</v>
      </c>
      <c r="V80" s="2681" t="s">
        <v>1411</v>
      </c>
      <c r="W80" s="2630">
        <v>12</v>
      </c>
      <c r="X80" s="3921" t="s">
        <v>250</v>
      </c>
      <c r="Y80" s="3905">
        <f>11889.27/1.12</f>
        <v>10615.419642857143</v>
      </c>
      <c r="Z80" s="3905">
        <f t="shared" ref="Z80" si="16">+W80*Y80</f>
        <v>127385.03571428571</v>
      </c>
      <c r="AA80" s="3905">
        <f t="shared" ref="AA80" si="17">+Z80*1.12</f>
        <v>142671.24000000002</v>
      </c>
      <c r="AB80" s="3906"/>
      <c r="AC80" s="532" t="s">
        <v>251</v>
      </c>
      <c r="AD80" s="533" t="s">
        <v>251</v>
      </c>
      <c r="AE80" s="533" t="s">
        <v>251</v>
      </c>
      <c r="AF80" s="5264"/>
      <c r="AG80" s="221"/>
      <c r="AH80" s="245"/>
      <c r="AI80" s="221"/>
      <c r="AJ80" s="221"/>
    </row>
    <row r="81" spans="1:36" ht="22.5" customHeight="1">
      <c r="A81" s="4564"/>
      <c r="B81" s="4570"/>
      <c r="C81" s="5058"/>
      <c r="D81" s="5063"/>
      <c r="E81" s="5063"/>
      <c r="F81" s="5063"/>
      <c r="G81" s="5063"/>
      <c r="H81" s="5063"/>
      <c r="I81" s="5063"/>
      <c r="J81" s="5063"/>
      <c r="K81" s="5063"/>
      <c r="L81" s="5063"/>
      <c r="M81" s="5243"/>
      <c r="N81" s="5243"/>
      <c r="O81" s="5243"/>
      <c r="P81" s="4996"/>
      <c r="Q81" s="4996"/>
      <c r="R81" s="5027"/>
      <c r="S81" s="3944"/>
      <c r="T81" s="3719"/>
      <c r="U81" s="3718"/>
      <c r="V81" s="3531"/>
      <c r="W81" s="2630"/>
      <c r="X81" s="3544"/>
      <c r="Y81" s="3905"/>
      <c r="Z81" s="3905"/>
      <c r="AA81" s="3905"/>
      <c r="AB81" s="3906"/>
      <c r="AC81" s="532"/>
      <c r="AD81" s="533"/>
      <c r="AE81" s="533"/>
      <c r="AF81" s="5264"/>
      <c r="AG81" s="221"/>
      <c r="AH81" s="245"/>
      <c r="AI81" s="221"/>
      <c r="AJ81" s="221"/>
    </row>
    <row r="82" spans="1:36" ht="22.5" customHeight="1">
      <c r="A82" s="4564"/>
      <c r="B82" s="4570"/>
      <c r="C82" s="5058"/>
      <c r="D82" s="5063"/>
      <c r="E82" s="5063"/>
      <c r="F82" s="5063"/>
      <c r="G82" s="5063"/>
      <c r="H82" s="5063"/>
      <c r="I82" s="5063"/>
      <c r="J82" s="5063"/>
      <c r="K82" s="5063"/>
      <c r="L82" s="5063"/>
      <c r="M82" s="5243"/>
      <c r="N82" s="5243"/>
      <c r="O82" s="5243"/>
      <c r="P82" s="4996"/>
      <c r="Q82" s="4996"/>
      <c r="R82" s="5027"/>
      <c r="S82" s="3944"/>
      <c r="T82" s="3719"/>
      <c r="U82" s="3718"/>
      <c r="V82" s="3531"/>
      <c r="W82" s="2630"/>
      <c r="X82" s="3544"/>
      <c r="Y82" s="3905"/>
      <c r="Z82" s="3905"/>
      <c r="AA82" s="3905"/>
      <c r="AB82" s="3906"/>
      <c r="AC82" s="532"/>
      <c r="AD82" s="533"/>
      <c r="AE82" s="533"/>
      <c r="AF82" s="5264"/>
      <c r="AG82" s="221"/>
      <c r="AH82" s="245"/>
      <c r="AI82" s="221"/>
      <c r="AJ82" s="221"/>
    </row>
    <row r="83" spans="1:36" ht="28.5" customHeight="1">
      <c r="A83" s="4564"/>
      <c r="B83" s="4570"/>
      <c r="C83" s="5058"/>
      <c r="D83" s="5063"/>
      <c r="E83" s="5063"/>
      <c r="F83" s="5063"/>
      <c r="G83" s="5063"/>
      <c r="H83" s="5063"/>
      <c r="I83" s="5063"/>
      <c r="J83" s="5063"/>
      <c r="K83" s="5063"/>
      <c r="L83" s="5063"/>
      <c r="M83" s="5243"/>
      <c r="N83" s="5243"/>
      <c r="O83" s="5243"/>
      <c r="P83" s="4996"/>
      <c r="Q83" s="4996"/>
      <c r="R83" s="5027"/>
      <c r="S83" s="3946" t="s">
        <v>11</v>
      </c>
      <c r="T83" s="3719">
        <v>570102</v>
      </c>
      <c r="U83" s="3718"/>
      <c r="V83" s="3531" t="s">
        <v>68</v>
      </c>
      <c r="W83" s="2630"/>
      <c r="X83" s="3544"/>
      <c r="Y83" s="3905"/>
      <c r="Z83" s="3905"/>
      <c r="AA83" s="3905"/>
      <c r="AB83" s="3906">
        <f>SUM(AA84:AA85)</f>
        <v>949.98400000000004</v>
      </c>
      <c r="AC83" s="532"/>
      <c r="AD83" s="533"/>
      <c r="AE83" s="533"/>
      <c r="AF83" s="5264"/>
      <c r="AG83" s="221"/>
      <c r="AH83" s="245"/>
      <c r="AI83" s="221"/>
      <c r="AJ83" s="221"/>
    </row>
    <row r="84" spans="1:36" ht="25.5" customHeight="1">
      <c r="A84" s="4564"/>
      <c r="B84" s="4570"/>
      <c r="C84" s="5058"/>
      <c r="D84" s="5063"/>
      <c r="E84" s="5063"/>
      <c r="F84" s="5063"/>
      <c r="G84" s="5063"/>
      <c r="H84" s="5063"/>
      <c r="I84" s="5063"/>
      <c r="J84" s="5063"/>
      <c r="K84" s="5063"/>
      <c r="L84" s="5063"/>
      <c r="M84" s="5243"/>
      <c r="N84" s="5243"/>
      <c r="O84" s="5243"/>
      <c r="P84" s="4996"/>
      <c r="Q84" s="4996"/>
      <c r="R84" s="5027"/>
      <c r="S84" s="3943"/>
      <c r="T84" s="3719"/>
      <c r="U84" s="3718"/>
      <c r="V84" s="2681" t="s">
        <v>1412</v>
      </c>
      <c r="W84" s="2630">
        <v>5</v>
      </c>
      <c r="X84" s="3544" t="s">
        <v>269</v>
      </c>
      <c r="Y84" s="3905">
        <v>169.64</v>
      </c>
      <c r="Z84" s="3905">
        <f t="shared" ref="Z84" si="18">+W84*Y84</f>
        <v>848.19999999999993</v>
      </c>
      <c r="AA84" s="3905">
        <f t="shared" ref="AA84" si="19">+Z84*1.12</f>
        <v>949.98400000000004</v>
      </c>
      <c r="AB84" s="3906"/>
      <c r="AC84" s="532"/>
      <c r="AD84" s="533" t="s">
        <v>251</v>
      </c>
      <c r="AE84" s="533"/>
      <c r="AF84" s="5264"/>
      <c r="AG84" s="221"/>
      <c r="AH84" s="221"/>
      <c r="AI84" s="221"/>
      <c r="AJ84" s="221"/>
    </row>
    <row r="85" spans="1:36" ht="22.5" customHeight="1">
      <c r="A85" s="4564"/>
      <c r="B85" s="4570"/>
      <c r="C85" s="5058"/>
      <c r="D85" s="5063"/>
      <c r="E85" s="5063"/>
      <c r="F85" s="5063"/>
      <c r="G85" s="5063"/>
      <c r="H85" s="5063"/>
      <c r="I85" s="5063"/>
      <c r="J85" s="5063"/>
      <c r="K85" s="5063"/>
      <c r="L85" s="5063"/>
      <c r="M85" s="5243"/>
      <c r="N85" s="5243"/>
      <c r="O85" s="5243"/>
      <c r="P85" s="4996"/>
      <c r="Q85" s="4996"/>
      <c r="R85" s="5027"/>
      <c r="S85" s="3944"/>
      <c r="T85" s="3719"/>
      <c r="U85" s="3718"/>
      <c r="V85" s="3531"/>
      <c r="W85" s="2630"/>
      <c r="X85" s="3544"/>
      <c r="Y85" s="3905"/>
      <c r="Z85" s="3905"/>
      <c r="AA85" s="3905"/>
      <c r="AB85" s="3906"/>
      <c r="AC85" s="532"/>
      <c r="AD85" s="533"/>
      <c r="AE85" s="533"/>
      <c r="AF85" s="5264"/>
      <c r="AG85" s="233"/>
      <c r="AH85" s="221"/>
      <c r="AI85" s="221"/>
      <c r="AJ85" s="221"/>
    </row>
    <row r="86" spans="1:36" ht="22.5" customHeight="1">
      <c r="A86" s="4564"/>
      <c r="B86" s="4570"/>
      <c r="C86" s="5058"/>
      <c r="D86" s="5063"/>
      <c r="E86" s="5063"/>
      <c r="F86" s="5063"/>
      <c r="G86" s="5063"/>
      <c r="H86" s="5063"/>
      <c r="I86" s="5063"/>
      <c r="J86" s="5063"/>
      <c r="K86" s="5063"/>
      <c r="L86" s="5063"/>
      <c r="M86" s="5243"/>
      <c r="N86" s="5243"/>
      <c r="O86" s="5243"/>
      <c r="P86" s="4996"/>
      <c r="Q86" s="4996"/>
      <c r="R86" s="5027"/>
      <c r="S86" s="3944"/>
      <c r="T86" s="3719"/>
      <c r="U86" s="3718"/>
      <c r="V86" s="3531"/>
      <c r="W86" s="2630"/>
      <c r="X86" s="3544"/>
      <c r="Y86" s="3905"/>
      <c r="Z86" s="3905"/>
      <c r="AA86" s="3905"/>
      <c r="AB86" s="3906"/>
      <c r="AC86" s="532"/>
      <c r="AD86" s="533"/>
      <c r="AE86" s="533"/>
      <c r="AF86" s="5264"/>
      <c r="AG86" s="233"/>
      <c r="AH86" s="221"/>
      <c r="AI86" s="221"/>
      <c r="AJ86" s="221"/>
    </row>
    <row r="87" spans="1:36" ht="22.5" customHeight="1">
      <c r="A87" s="4564"/>
      <c r="B87" s="4570"/>
      <c r="C87" s="5058"/>
      <c r="D87" s="5063"/>
      <c r="E87" s="5063"/>
      <c r="F87" s="5063"/>
      <c r="G87" s="5063"/>
      <c r="H87" s="5063"/>
      <c r="I87" s="5063"/>
      <c r="J87" s="5063"/>
      <c r="K87" s="5063"/>
      <c r="L87" s="5063"/>
      <c r="M87" s="5243"/>
      <c r="N87" s="5243"/>
      <c r="O87" s="5243"/>
      <c r="P87" s="4996"/>
      <c r="Q87" s="4996"/>
      <c r="R87" s="5027"/>
      <c r="S87" s="3946" t="s">
        <v>11</v>
      </c>
      <c r="T87" s="3719">
        <v>531002</v>
      </c>
      <c r="U87" s="3718"/>
      <c r="V87" s="3531" t="s">
        <v>156</v>
      </c>
      <c r="W87" s="2630"/>
      <c r="X87" s="3544"/>
      <c r="Y87" s="3905"/>
      <c r="Z87" s="3905"/>
      <c r="AA87" s="3905"/>
      <c r="AB87" s="3906">
        <f>AA88+AA89</f>
        <v>2340.5984000000003</v>
      </c>
      <c r="AC87" s="532"/>
      <c r="AD87" s="533"/>
      <c r="AE87" s="533"/>
      <c r="AF87" s="5264"/>
      <c r="AG87" s="221"/>
      <c r="AH87" s="221"/>
      <c r="AI87" s="221"/>
      <c r="AJ87" s="221"/>
    </row>
    <row r="88" spans="1:36" ht="22.5" customHeight="1">
      <c r="A88" s="4564"/>
      <c r="B88" s="4570"/>
      <c r="C88" s="5058"/>
      <c r="D88" s="5063"/>
      <c r="E88" s="5063"/>
      <c r="F88" s="5063"/>
      <c r="G88" s="5063"/>
      <c r="H88" s="5063"/>
      <c r="I88" s="5063"/>
      <c r="J88" s="5063"/>
      <c r="K88" s="5063"/>
      <c r="L88" s="5063"/>
      <c r="M88" s="5243"/>
      <c r="N88" s="5243"/>
      <c r="O88" s="5243"/>
      <c r="P88" s="4996"/>
      <c r="Q88" s="4996"/>
      <c r="R88" s="5027"/>
      <c r="S88" s="3943"/>
      <c r="T88" s="3719"/>
      <c r="U88" s="3718">
        <v>447400111</v>
      </c>
      <c r="V88" s="2681" t="s">
        <v>5760</v>
      </c>
      <c r="W88" s="2630">
        <v>29</v>
      </c>
      <c r="X88" s="3544" t="s">
        <v>522</v>
      </c>
      <c r="Y88" s="3905">
        <v>53.58</v>
      </c>
      <c r="Z88" s="3905">
        <f t="shared" ref="Z88:Z89" si="20">+W88*Y88</f>
        <v>1553.82</v>
      </c>
      <c r="AA88" s="3905">
        <f t="shared" ref="AA88:AA89" si="21">+Z88*1.12</f>
        <v>1740.2784000000001</v>
      </c>
      <c r="AB88" s="3906"/>
      <c r="AC88" s="532"/>
      <c r="AD88" s="533" t="s">
        <v>251</v>
      </c>
      <c r="AE88" s="533"/>
      <c r="AF88" s="5264"/>
      <c r="AG88" s="221"/>
      <c r="AH88" s="233"/>
      <c r="AI88" s="221"/>
      <c r="AJ88" s="221"/>
    </row>
    <row r="89" spans="1:36" ht="22.5" customHeight="1">
      <c r="A89" s="4564"/>
      <c r="B89" s="4570"/>
      <c r="C89" s="5058"/>
      <c r="D89" s="5063"/>
      <c r="E89" s="5063"/>
      <c r="F89" s="5063"/>
      <c r="G89" s="5063"/>
      <c r="H89" s="5063"/>
      <c r="I89" s="5063"/>
      <c r="J89" s="5063"/>
      <c r="K89" s="5063"/>
      <c r="L89" s="5063"/>
      <c r="M89" s="5243"/>
      <c r="N89" s="5243"/>
      <c r="O89" s="5243"/>
      <c r="P89" s="4996"/>
      <c r="Q89" s="4996"/>
      <c r="R89" s="5027"/>
      <c r="S89" s="3943"/>
      <c r="T89" s="3719"/>
      <c r="U89" s="3718">
        <v>447400111</v>
      </c>
      <c r="V89" s="2681" t="s">
        <v>5761</v>
      </c>
      <c r="W89" s="2630">
        <v>4</v>
      </c>
      <c r="X89" s="3544" t="s">
        <v>522</v>
      </c>
      <c r="Y89" s="3905">
        <v>134</v>
      </c>
      <c r="Z89" s="3905">
        <f t="shared" si="20"/>
        <v>536</v>
      </c>
      <c r="AA89" s="3905">
        <f t="shared" si="21"/>
        <v>600.32000000000005</v>
      </c>
      <c r="AB89" s="3906"/>
      <c r="AC89" s="532"/>
      <c r="AD89" s="533" t="s">
        <v>251</v>
      </c>
      <c r="AE89" s="533"/>
      <c r="AF89" s="5264"/>
      <c r="AG89" s="221"/>
      <c r="AH89" s="221"/>
      <c r="AI89" s="221"/>
      <c r="AJ89" s="221"/>
    </row>
    <row r="90" spans="1:36" ht="22.5" customHeight="1">
      <c r="A90" s="4564"/>
      <c r="B90" s="4570"/>
      <c r="C90" s="5058"/>
      <c r="D90" s="5063"/>
      <c r="E90" s="5063"/>
      <c r="F90" s="5063"/>
      <c r="G90" s="5063"/>
      <c r="H90" s="5063"/>
      <c r="I90" s="5063"/>
      <c r="J90" s="5063"/>
      <c r="K90" s="5063"/>
      <c r="L90" s="5063"/>
      <c r="M90" s="5243"/>
      <c r="N90" s="5243"/>
      <c r="O90" s="5243"/>
      <c r="P90" s="4996"/>
      <c r="Q90" s="4996"/>
      <c r="R90" s="5027"/>
      <c r="S90" s="3944"/>
      <c r="T90" s="3719"/>
      <c r="U90" s="3718"/>
      <c r="V90" s="3531"/>
      <c r="W90" s="2630"/>
      <c r="X90" s="3544"/>
      <c r="Y90" s="3905"/>
      <c r="Z90" s="3905"/>
      <c r="AA90" s="3905"/>
      <c r="AB90" s="3906"/>
      <c r="AC90" s="532"/>
      <c r="AD90" s="533"/>
      <c r="AE90" s="533"/>
      <c r="AF90" s="5264"/>
      <c r="AG90" s="221"/>
      <c r="AH90" s="221"/>
      <c r="AI90" s="221"/>
      <c r="AJ90" s="221"/>
    </row>
    <row r="91" spans="1:36" ht="22.5" customHeight="1">
      <c r="A91" s="4564"/>
      <c r="B91" s="4570"/>
      <c r="C91" s="5058"/>
      <c r="D91" s="5063"/>
      <c r="E91" s="5063"/>
      <c r="F91" s="5063"/>
      <c r="G91" s="5063"/>
      <c r="H91" s="5063"/>
      <c r="I91" s="5063"/>
      <c r="J91" s="5063"/>
      <c r="K91" s="5063"/>
      <c r="L91" s="5063"/>
      <c r="M91" s="5243"/>
      <c r="N91" s="5243"/>
      <c r="O91" s="5243"/>
      <c r="P91" s="4996"/>
      <c r="Q91" s="4996"/>
      <c r="R91" s="5027"/>
      <c r="S91" s="3946" t="s">
        <v>11</v>
      </c>
      <c r="T91" s="3719">
        <v>531404</v>
      </c>
      <c r="U91" s="3718"/>
      <c r="V91" s="3531" t="s">
        <v>24</v>
      </c>
      <c r="W91" s="2630"/>
      <c r="X91" s="3544"/>
      <c r="Y91" s="3905"/>
      <c r="Z91" s="3905"/>
      <c r="AA91" s="3905"/>
      <c r="AB91" s="3906">
        <f>SUM(AA92:AA93)</f>
        <v>750.22080000000005</v>
      </c>
      <c r="AC91" s="532"/>
      <c r="AD91" s="533"/>
      <c r="AE91" s="533"/>
      <c r="AF91" s="5264"/>
      <c r="AG91" s="221"/>
      <c r="AH91" s="221"/>
      <c r="AI91" s="221"/>
      <c r="AJ91" s="221"/>
    </row>
    <row r="92" spans="1:36" ht="22.5" customHeight="1">
      <c r="A92" s="4564"/>
      <c r="B92" s="4570"/>
      <c r="C92" s="5058"/>
      <c r="D92" s="5063"/>
      <c r="E92" s="5063"/>
      <c r="F92" s="5063"/>
      <c r="G92" s="5063"/>
      <c r="H92" s="5063"/>
      <c r="I92" s="5063"/>
      <c r="J92" s="5063"/>
      <c r="K92" s="5063"/>
      <c r="L92" s="5063"/>
      <c r="M92" s="5243"/>
      <c r="N92" s="5243"/>
      <c r="O92" s="5243"/>
      <c r="P92" s="4996"/>
      <c r="Q92" s="4996"/>
      <c r="R92" s="5027"/>
      <c r="S92" s="3943"/>
      <c r="T92" s="3719"/>
      <c r="U92" s="3718">
        <v>3627012110</v>
      </c>
      <c r="V92" s="2681" t="s">
        <v>1413</v>
      </c>
      <c r="W92" s="2630">
        <v>24</v>
      </c>
      <c r="X92" s="3544" t="s">
        <v>269</v>
      </c>
      <c r="Y92" s="3905">
        <v>27.91</v>
      </c>
      <c r="Z92" s="3905">
        <f t="shared" ref="Z92" si="22">+W92*Y92</f>
        <v>669.84</v>
      </c>
      <c r="AA92" s="3905">
        <f t="shared" ref="AA92" si="23">+Z92*1.12</f>
        <v>750.22080000000005</v>
      </c>
      <c r="AB92" s="3906"/>
      <c r="AC92" s="532"/>
      <c r="AD92" s="533" t="s">
        <v>251</v>
      </c>
      <c r="AE92" s="533"/>
      <c r="AF92" s="5264"/>
      <c r="AG92" s="221"/>
      <c r="AH92" s="233"/>
      <c r="AI92" s="221"/>
      <c r="AJ92" s="221"/>
    </row>
    <row r="93" spans="1:36" ht="22.5" customHeight="1">
      <c r="A93" s="4564"/>
      <c r="B93" s="4570"/>
      <c r="C93" s="5058"/>
      <c r="D93" s="5063"/>
      <c r="E93" s="5063"/>
      <c r="F93" s="5063"/>
      <c r="G93" s="5063"/>
      <c r="H93" s="5063"/>
      <c r="I93" s="5063"/>
      <c r="J93" s="5063"/>
      <c r="K93" s="5063"/>
      <c r="L93" s="5063"/>
      <c r="M93" s="5243"/>
      <c r="N93" s="5243"/>
      <c r="O93" s="5243"/>
      <c r="P93" s="4996"/>
      <c r="Q93" s="4996"/>
      <c r="R93" s="5027"/>
      <c r="S93" s="3943"/>
      <c r="T93" s="3719"/>
      <c r="U93" s="3718"/>
      <c r="V93" s="2681"/>
      <c r="W93" s="2630"/>
      <c r="X93" s="3544"/>
      <c r="Y93" s="3905"/>
      <c r="Z93" s="3905"/>
      <c r="AA93" s="3905"/>
      <c r="AB93" s="3906"/>
      <c r="AC93" s="532"/>
      <c r="AD93" s="541"/>
      <c r="AE93" s="533"/>
      <c r="AF93" s="5264"/>
      <c r="AG93" s="221"/>
      <c r="AH93" s="233"/>
      <c r="AI93" s="221"/>
      <c r="AJ93" s="221"/>
    </row>
    <row r="94" spans="1:36" ht="22.5" customHeight="1">
      <c r="A94" s="4564"/>
      <c r="B94" s="4570"/>
      <c r="C94" s="5060"/>
      <c r="D94" s="5065"/>
      <c r="E94" s="5065"/>
      <c r="F94" s="5065"/>
      <c r="G94" s="5065"/>
      <c r="H94" s="5065"/>
      <c r="I94" s="5065"/>
      <c r="J94" s="5065"/>
      <c r="K94" s="5065"/>
      <c r="L94" s="5065"/>
      <c r="M94" s="5245"/>
      <c r="N94" s="5245"/>
      <c r="O94" s="5245"/>
      <c r="P94" s="5000"/>
      <c r="Q94" s="5000"/>
      <c r="R94" s="5249"/>
      <c r="S94" s="3993"/>
      <c r="T94" s="3729"/>
      <c r="U94" s="1779" t="s">
        <v>1287</v>
      </c>
      <c r="V94" s="2686"/>
      <c r="W94" s="1781"/>
      <c r="X94" s="3571"/>
      <c r="Y94" s="3994"/>
      <c r="Z94" s="3994"/>
      <c r="AA94" s="3994"/>
      <c r="AB94" s="3995"/>
      <c r="AC94" s="1782"/>
      <c r="AD94" s="2670"/>
      <c r="AE94" s="3572"/>
      <c r="AF94" s="5265"/>
      <c r="AG94" s="221"/>
      <c r="AH94" s="233"/>
      <c r="AI94" s="221"/>
      <c r="AJ94" s="221"/>
    </row>
    <row r="95" spans="1:36" ht="180" customHeight="1">
      <c r="A95" s="4564"/>
      <c r="B95" s="4570"/>
      <c r="C95" s="5061" t="s">
        <v>235</v>
      </c>
      <c r="D95" s="5062" t="s">
        <v>236</v>
      </c>
      <c r="E95" s="5062" t="s">
        <v>237</v>
      </c>
      <c r="F95" s="5062" t="s">
        <v>326</v>
      </c>
      <c r="G95" s="5069" t="s">
        <v>239</v>
      </c>
      <c r="H95" s="5062" t="s">
        <v>240</v>
      </c>
      <c r="I95" s="5062" t="s">
        <v>294</v>
      </c>
      <c r="J95" s="5062" t="s">
        <v>5975</v>
      </c>
      <c r="K95" s="5062" t="s">
        <v>5954</v>
      </c>
      <c r="L95" s="5062" t="s">
        <v>5902</v>
      </c>
      <c r="M95" s="4998">
        <v>2</v>
      </c>
      <c r="N95" s="4998">
        <v>2</v>
      </c>
      <c r="O95" s="4998">
        <v>2</v>
      </c>
      <c r="P95" s="5062" t="s">
        <v>5805</v>
      </c>
      <c r="Q95" s="5062" t="s">
        <v>5854</v>
      </c>
      <c r="R95" s="5124" t="s">
        <v>5771</v>
      </c>
      <c r="S95" s="4007"/>
      <c r="T95" s="3725"/>
      <c r="U95" s="3725"/>
      <c r="V95" s="3530"/>
      <c r="W95" s="2633"/>
      <c r="X95" s="3547"/>
      <c r="Y95" s="4004"/>
      <c r="Z95" s="3992"/>
      <c r="AA95" s="3992"/>
      <c r="AB95" s="3992"/>
      <c r="AC95" s="1967"/>
      <c r="AD95" s="1971"/>
      <c r="AE95" s="1971"/>
      <c r="AF95" s="5263" t="s">
        <v>1414</v>
      </c>
      <c r="AG95" s="221"/>
      <c r="AH95" s="221"/>
      <c r="AI95" s="221"/>
      <c r="AJ95" s="221"/>
    </row>
    <row r="96" spans="1:36" ht="180" customHeight="1">
      <c r="A96" s="4564"/>
      <c r="B96" s="4570"/>
      <c r="C96" s="5058"/>
      <c r="D96" s="5063"/>
      <c r="E96" s="5063"/>
      <c r="F96" s="5063"/>
      <c r="G96" s="5063"/>
      <c r="H96" s="5063"/>
      <c r="I96" s="5063"/>
      <c r="J96" s="5063"/>
      <c r="K96" s="5063"/>
      <c r="L96" s="5063"/>
      <c r="M96" s="5243"/>
      <c r="N96" s="5243"/>
      <c r="O96" s="5243"/>
      <c r="P96" s="4996"/>
      <c r="Q96" s="4996"/>
      <c r="R96" s="5027"/>
      <c r="S96" s="3943"/>
      <c r="T96" s="3719"/>
      <c r="U96" s="3718"/>
      <c r="V96" s="2681"/>
      <c r="W96" s="2630"/>
      <c r="X96" s="3544"/>
      <c r="Y96" s="3905"/>
      <c r="Z96" s="3905"/>
      <c r="AA96" s="3905"/>
      <c r="AB96" s="3906"/>
      <c r="AC96" s="532"/>
      <c r="AD96" s="533"/>
      <c r="AE96" s="533"/>
      <c r="AF96" s="5264"/>
      <c r="AG96" s="221"/>
      <c r="AH96" s="221"/>
      <c r="AI96" s="221"/>
      <c r="AJ96" s="221"/>
    </row>
    <row r="97" spans="1:36" ht="180" customHeight="1">
      <c r="A97" s="4564"/>
      <c r="B97" s="4570"/>
      <c r="C97" s="5058"/>
      <c r="D97" s="5063"/>
      <c r="E97" s="5063"/>
      <c r="F97" s="5063"/>
      <c r="G97" s="5063"/>
      <c r="H97" s="5063"/>
      <c r="I97" s="5063"/>
      <c r="J97" s="5063"/>
      <c r="K97" s="5063"/>
      <c r="L97" s="5063"/>
      <c r="M97" s="5243"/>
      <c r="N97" s="5243"/>
      <c r="O97" s="5243"/>
      <c r="P97" s="4996"/>
      <c r="Q97" s="4996"/>
      <c r="R97" s="5027"/>
      <c r="S97" s="3943"/>
      <c r="T97" s="3719"/>
      <c r="U97" s="3718"/>
      <c r="V97" s="2681"/>
      <c r="W97" s="2630"/>
      <c r="X97" s="3544"/>
      <c r="Y97" s="3905"/>
      <c r="Z97" s="3905"/>
      <c r="AA97" s="3905"/>
      <c r="AB97" s="3906"/>
      <c r="AC97" s="532"/>
      <c r="AD97" s="533"/>
      <c r="AE97" s="533"/>
      <c r="AF97" s="5264"/>
      <c r="AG97" s="221"/>
      <c r="AH97" s="221"/>
      <c r="AI97" s="221"/>
      <c r="AJ97" s="221"/>
    </row>
    <row r="98" spans="1:36" ht="180" customHeight="1">
      <c r="A98" s="4564"/>
      <c r="B98" s="4570"/>
      <c r="C98" s="5058"/>
      <c r="D98" s="5063"/>
      <c r="E98" s="5063"/>
      <c r="F98" s="5063"/>
      <c r="G98" s="5063"/>
      <c r="H98" s="5063"/>
      <c r="I98" s="5063"/>
      <c r="J98" s="5063"/>
      <c r="K98" s="5063"/>
      <c r="L98" s="5063"/>
      <c r="M98" s="5243"/>
      <c r="N98" s="5243"/>
      <c r="O98" s="5243"/>
      <c r="P98" s="4996"/>
      <c r="Q98" s="4996"/>
      <c r="R98" s="5027"/>
      <c r="S98" s="3949"/>
      <c r="T98" s="3733"/>
      <c r="U98" s="3720"/>
      <c r="V98" s="2682"/>
      <c r="W98" s="2631"/>
      <c r="X98" s="3548"/>
      <c r="Y98" s="3911"/>
      <c r="Z98" s="3911"/>
      <c r="AA98" s="3911"/>
      <c r="AB98" s="3912"/>
      <c r="AC98" s="575"/>
      <c r="AD98" s="321"/>
      <c r="AE98" s="321"/>
      <c r="AF98" s="5264"/>
      <c r="AG98" s="221"/>
      <c r="AH98" s="221"/>
      <c r="AI98" s="221"/>
      <c r="AJ98" s="221"/>
    </row>
    <row r="99" spans="1:36" ht="37.5" customHeight="1">
      <c r="A99" s="4564"/>
      <c r="B99" s="4570"/>
      <c r="C99" s="5059" t="s">
        <v>235</v>
      </c>
      <c r="D99" s="5064" t="s">
        <v>236</v>
      </c>
      <c r="E99" s="5064" t="s">
        <v>237</v>
      </c>
      <c r="F99" s="5064" t="s">
        <v>326</v>
      </c>
      <c r="G99" s="5076" t="s">
        <v>239</v>
      </c>
      <c r="H99" s="5064" t="s">
        <v>240</v>
      </c>
      <c r="I99" s="5064" t="s">
        <v>294</v>
      </c>
      <c r="J99" s="5064" t="s">
        <v>5976</v>
      </c>
      <c r="K99" s="5064" t="s">
        <v>5953</v>
      </c>
      <c r="L99" s="5064" t="s">
        <v>5903</v>
      </c>
      <c r="M99" s="5173">
        <v>1</v>
      </c>
      <c r="N99" s="5173">
        <v>1</v>
      </c>
      <c r="O99" s="5173">
        <v>1</v>
      </c>
      <c r="P99" s="5064" t="s">
        <v>5806</v>
      </c>
      <c r="Q99" s="5064" t="s">
        <v>5855</v>
      </c>
      <c r="R99" s="5123" t="s">
        <v>5772</v>
      </c>
      <c r="S99" s="3997" t="s">
        <v>11</v>
      </c>
      <c r="T99" s="3721">
        <v>530813</v>
      </c>
      <c r="U99" s="3721"/>
      <c r="V99" s="3575" t="s">
        <v>157</v>
      </c>
      <c r="W99" s="3576"/>
      <c r="X99" s="3577"/>
      <c r="Y99" s="3998"/>
      <c r="Z99" s="3998"/>
      <c r="AA99" s="3998"/>
      <c r="AB99" s="4003">
        <f>SUM(AA100:AA102)</f>
        <v>398.72</v>
      </c>
      <c r="AC99" s="3580"/>
      <c r="AD99" s="3582"/>
      <c r="AE99" s="3582"/>
      <c r="AF99" s="5266" t="s">
        <v>1415</v>
      </c>
      <c r="AG99" s="221"/>
      <c r="AH99" s="221"/>
      <c r="AI99" s="221"/>
      <c r="AJ99" s="221"/>
    </row>
    <row r="100" spans="1:36" ht="37.5" customHeight="1">
      <c r="A100" s="4564"/>
      <c r="B100" s="4570"/>
      <c r="C100" s="5058"/>
      <c r="D100" s="5063"/>
      <c r="E100" s="5063"/>
      <c r="F100" s="5063"/>
      <c r="G100" s="5063"/>
      <c r="H100" s="5063"/>
      <c r="I100" s="5063"/>
      <c r="J100" s="5063"/>
      <c r="K100" s="5063"/>
      <c r="L100" s="5063"/>
      <c r="M100" s="5243"/>
      <c r="N100" s="5243"/>
      <c r="O100" s="5243"/>
      <c r="P100" s="4996"/>
      <c r="Q100" s="4996"/>
      <c r="R100" s="5027"/>
      <c r="S100" s="3943"/>
      <c r="T100" s="3719"/>
      <c r="U100" s="3718">
        <v>452900019</v>
      </c>
      <c r="V100" s="2681" t="s">
        <v>1416</v>
      </c>
      <c r="W100" s="2630">
        <v>4</v>
      </c>
      <c r="X100" s="3544" t="s">
        <v>269</v>
      </c>
      <c r="Y100" s="3905">
        <v>89</v>
      </c>
      <c r="Z100" s="3905">
        <f t="shared" ref="Z100" si="24">+W100*Y100</f>
        <v>356</v>
      </c>
      <c r="AA100" s="3905">
        <f t="shared" ref="AA100" si="25">+Z100*1.12</f>
        <v>398.72</v>
      </c>
      <c r="AB100" s="3906"/>
      <c r="AC100" s="532"/>
      <c r="AD100" s="533" t="s">
        <v>251</v>
      </c>
      <c r="AE100" s="533"/>
      <c r="AF100" s="5264"/>
      <c r="AG100" s="221"/>
      <c r="AH100" s="221"/>
      <c r="AI100" s="221"/>
      <c r="AJ100" s="221"/>
    </row>
    <row r="101" spans="1:36" ht="37.5" customHeight="1">
      <c r="A101" s="4564"/>
      <c r="B101" s="4570"/>
      <c r="C101" s="5058"/>
      <c r="D101" s="5063"/>
      <c r="E101" s="5063"/>
      <c r="F101" s="5063"/>
      <c r="G101" s="5063"/>
      <c r="H101" s="5063"/>
      <c r="I101" s="5063"/>
      <c r="J101" s="5063"/>
      <c r="K101" s="5063"/>
      <c r="L101" s="5063"/>
      <c r="M101" s="5243"/>
      <c r="N101" s="5243"/>
      <c r="O101" s="5243"/>
      <c r="P101" s="4996"/>
      <c r="Q101" s="4996"/>
      <c r="R101" s="5027"/>
      <c r="S101" s="3943"/>
      <c r="T101" s="3719"/>
      <c r="U101" s="3718"/>
      <c r="V101" s="2681"/>
      <c r="W101" s="2630"/>
      <c r="X101" s="3544"/>
      <c r="Y101" s="3905"/>
      <c r="Z101" s="3905"/>
      <c r="AA101" s="3905"/>
      <c r="AB101" s="3906"/>
      <c r="AC101" s="532"/>
      <c r="AD101" s="533"/>
      <c r="AE101" s="533"/>
      <c r="AF101" s="5264"/>
      <c r="AG101" s="221"/>
      <c r="AH101" s="221"/>
      <c r="AI101" s="221"/>
      <c r="AJ101" s="221"/>
    </row>
    <row r="102" spans="1:36" ht="37.5" customHeight="1">
      <c r="A102" s="4564"/>
      <c r="B102" s="4570"/>
      <c r="C102" s="5058"/>
      <c r="D102" s="5063"/>
      <c r="E102" s="5063"/>
      <c r="F102" s="5063"/>
      <c r="G102" s="5063"/>
      <c r="H102" s="5063"/>
      <c r="I102" s="5063"/>
      <c r="J102" s="5063"/>
      <c r="K102" s="5063"/>
      <c r="L102" s="5063"/>
      <c r="M102" s="5243"/>
      <c r="N102" s="5243"/>
      <c r="O102" s="5243"/>
      <c r="P102" s="4996"/>
      <c r="Q102" s="4996"/>
      <c r="R102" s="5027"/>
      <c r="S102" s="3943"/>
      <c r="T102" s="3719"/>
      <c r="U102" s="3718"/>
      <c r="V102" s="2681"/>
      <c r="W102" s="2630"/>
      <c r="X102" s="3544"/>
      <c r="Y102" s="3905"/>
      <c r="Z102" s="3905"/>
      <c r="AA102" s="3905"/>
      <c r="AB102" s="3906"/>
      <c r="AC102" s="532"/>
      <c r="AD102" s="533"/>
      <c r="AE102" s="533"/>
      <c r="AF102" s="5264"/>
      <c r="AG102" s="221"/>
      <c r="AH102" s="221"/>
      <c r="AI102" s="221"/>
      <c r="AJ102" s="221"/>
    </row>
    <row r="103" spans="1:36" ht="37.5" customHeight="1">
      <c r="A103" s="4564"/>
      <c r="B103" s="4570"/>
      <c r="C103" s="5060"/>
      <c r="D103" s="5065"/>
      <c r="E103" s="5065"/>
      <c r="F103" s="5065"/>
      <c r="G103" s="5065"/>
      <c r="H103" s="5065"/>
      <c r="I103" s="5065"/>
      <c r="J103" s="5065"/>
      <c r="K103" s="5065"/>
      <c r="L103" s="5065"/>
      <c r="M103" s="5245"/>
      <c r="N103" s="5245"/>
      <c r="O103" s="5245"/>
      <c r="P103" s="5000"/>
      <c r="Q103" s="5000"/>
      <c r="R103" s="5249"/>
      <c r="S103" s="3993"/>
      <c r="T103" s="3729"/>
      <c r="U103" s="1779"/>
      <c r="V103" s="2686"/>
      <c r="W103" s="1781"/>
      <c r="X103" s="3571"/>
      <c r="Y103" s="3994"/>
      <c r="Z103" s="3994"/>
      <c r="AA103" s="3994"/>
      <c r="AB103" s="3995"/>
      <c r="AC103" s="1782"/>
      <c r="AD103" s="3572"/>
      <c r="AE103" s="3572"/>
      <c r="AF103" s="5265"/>
      <c r="AG103" s="221"/>
      <c r="AH103" s="221"/>
      <c r="AI103" s="221"/>
      <c r="AJ103" s="221"/>
    </row>
    <row r="104" spans="1:36" ht="33" customHeight="1">
      <c r="A104" s="4564"/>
      <c r="B104" s="4570"/>
      <c r="C104" s="5061" t="s">
        <v>235</v>
      </c>
      <c r="D104" s="5062" t="s">
        <v>236</v>
      </c>
      <c r="E104" s="5062" t="s">
        <v>237</v>
      </c>
      <c r="F104" s="5062" t="s">
        <v>326</v>
      </c>
      <c r="G104" s="5069" t="s">
        <v>239</v>
      </c>
      <c r="H104" s="5062" t="s">
        <v>240</v>
      </c>
      <c r="I104" s="5062" t="s">
        <v>294</v>
      </c>
      <c r="J104" s="5062" t="s">
        <v>5977</v>
      </c>
      <c r="K104" s="5062" t="s">
        <v>5952</v>
      </c>
      <c r="L104" s="5062" t="s">
        <v>5904</v>
      </c>
      <c r="M104" s="4998">
        <v>1</v>
      </c>
      <c r="N104" s="4998">
        <v>0</v>
      </c>
      <c r="O104" s="4998">
        <v>0</v>
      </c>
      <c r="P104" s="5062" t="s">
        <v>5807</v>
      </c>
      <c r="Q104" s="5062" t="s">
        <v>5856</v>
      </c>
      <c r="R104" s="5124" t="s">
        <v>5769</v>
      </c>
      <c r="S104" s="3990" t="s">
        <v>11</v>
      </c>
      <c r="T104" s="3725">
        <v>570201</v>
      </c>
      <c r="U104" s="3725"/>
      <c r="V104" s="3530" t="s">
        <v>48</v>
      </c>
      <c r="W104" s="2633"/>
      <c r="X104" s="3547"/>
      <c r="Y104" s="4004"/>
      <c r="Z104" s="4004"/>
      <c r="AA104" s="4004"/>
      <c r="AB104" s="3992">
        <f>SUM(AA105:AA106)+0.41-0.004</f>
        <v>24379.446</v>
      </c>
      <c r="AC104" s="1967"/>
      <c r="AD104" s="1971"/>
      <c r="AE104" s="1971"/>
      <c r="AF104" s="5263" t="s">
        <v>1417</v>
      </c>
      <c r="AG104" s="221"/>
      <c r="AH104" s="221"/>
      <c r="AI104" s="221"/>
      <c r="AJ104" s="221"/>
    </row>
    <row r="105" spans="1:36" ht="33" customHeight="1">
      <c r="A105" s="4564"/>
      <c r="B105" s="4570"/>
      <c r="C105" s="5058"/>
      <c r="D105" s="5063"/>
      <c r="E105" s="5063"/>
      <c r="F105" s="5063"/>
      <c r="G105" s="5063"/>
      <c r="H105" s="5063"/>
      <c r="I105" s="5063"/>
      <c r="J105" s="5063"/>
      <c r="K105" s="5063"/>
      <c r="L105" s="5063"/>
      <c r="M105" s="5243"/>
      <c r="N105" s="5243"/>
      <c r="O105" s="5243"/>
      <c r="P105" s="5020"/>
      <c r="Q105" s="4996"/>
      <c r="R105" s="5027"/>
      <c r="S105" s="3943"/>
      <c r="T105" s="3719"/>
      <c r="U105" s="3718">
        <v>713310012</v>
      </c>
      <c r="V105" s="2681" t="s">
        <v>1418</v>
      </c>
      <c r="W105" s="2630">
        <v>1</v>
      </c>
      <c r="X105" s="3544" t="s">
        <v>250</v>
      </c>
      <c r="Y105" s="3905">
        <v>13000</v>
      </c>
      <c r="Z105" s="3905">
        <f t="shared" ref="Z105:Z106" si="26">+W105*Y105</f>
        <v>13000</v>
      </c>
      <c r="AA105" s="3905">
        <f t="shared" ref="AA105:AA106" si="27">+Z105*1.12</f>
        <v>14560.000000000002</v>
      </c>
      <c r="AB105" s="3906"/>
      <c r="AC105" s="532" t="s">
        <v>251</v>
      </c>
      <c r="AD105" s="534" t="s">
        <v>251</v>
      </c>
      <c r="AE105" s="534" t="s">
        <v>251</v>
      </c>
      <c r="AF105" s="5264"/>
      <c r="AG105" s="221"/>
      <c r="AH105" s="221"/>
      <c r="AI105" s="221"/>
      <c r="AJ105" s="221"/>
    </row>
    <row r="106" spans="1:36" ht="33" customHeight="1">
      <c r="A106" s="4564"/>
      <c r="B106" s="4570"/>
      <c r="C106" s="5058"/>
      <c r="D106" s="5063"/>
      <c r="E106" s="5063"/>
      <c r="F106" s="5063"/>
      <c r="G106" s="5063"/>
      <c r="H106" s="5063"/>
      <c r="I106" s="5063"/>
      <c r="J106" s="5063"/>
      <c r="K106" s="5063"/>
      <c r="L106" s="5063"/>
      <c r="M106" s="5243"/>
      <c r="N106" s="5243"/>
      <c r="O106" s="5243"/>
      <c r="P106" s="5020"/>
      <c r="Q106" s="4996"/>
      <c r="R106" s="5027"/>
      <c r="S106" s="3944"/>
      <c r="T106" s="3719"/>
      <c r="U106" s="3718">
        <v>4476000112</v>
      </c>
      <c r="V106" s="2681" t="s">
        <v>1419</v>
      </c>
      <c r="W106" s="2630">
        <v>1</v>
      </c>
      <c r="X106" s="3544" t="s">
        <v>250</v>
      </c>
      <c r="Y106" s="3905">
        <v>8767</v>
      </c>
      <c r="Z106" s="3905">
        <f t="shared" si="26"/>
        <v>8767</v>
      </c>
      <c r="AA106" s="3905">
        <f t="shared" si="27"/>
        <v>9819.0400000000009</v>
      </c>
      <c r="AB106" s="3906"/>
      <c r="AC106" s="532"/>
      <c r="AD106" s="533"/>
      <c r="AE106" s="533"/>
      <c r="AF106" s="5264"/>
      <c r="AG106" s="221"/>
      <c r="AH106" s="221"/>
      <c r="AI106" s="221"/>
      <c r="AJ106" s="221"/>
    </row>
    <row r="107" spans="1:36" ht="33" customHeight="1">
      <c r="A107" s="4564"/>
      <c r="B107" s="4570"/>
      <c r="C107" s="5058"/>
      <c r="D107" s="5063"/>
      <c r="E107" s="5063"/>
      <c r="F107" s="5063"/>
      <c r="G107" s="5063"/>
      <c r="H107" s="5063"/>
      <c r="I107" s="5063"/>
      <c r="J107" s="5063"/>
      <c r="K107" s="5063"/>
      <c r="L107" s="5063"/>
      <c r="M107" s="5243"/>
      <c r="N107" s="5243"/>
      <c r="O107" s="5243"/>
      <c r="P107" s="5020"/>
      <c r="Q107" s="4996"/>
      <c r="R107" s="5027"/>
      <c r="S107" s="3944"/>
      <c r="T107" s="3719"/>
      <c r="U107" s="3719"/>
      <c r="V107" s="3531"/>
      <c r="W107" s="3925"/>
      <c r="X107" s="3922"/>
      <c r="Y107" s="3906"/>
      <c r="Z107" s="3906"/>
      <c r="AA107" s="3905"/>
      <c r="AB107" s="3906"/>
      <c r="AC107" s="532"/>
      <c r="AD107" s="533"/>
      <c r="AE107" s="533"/>
      <c r="AF107" s="5264"/>
      <c r="AG107" s="221"/>
      <c r="AH107" s="221"/>
      <c r="AI107" s="221"/>
      <c r="AJ107" s="221"/>
    </row>
    <row r="108" spans="1:36" ht="33" customHeight="1">
      <c r="A108" s="4564"/>
      <c r="B108" s="4570"/>
      <c r="C108" s="5058"/>
      <c r="D108" s="5063"/>
      <c r="E108" s="5063"/>
      <c r="F108" s="5063"/>
      <c r="G108" s="5063"/>
      <c r="H108" s="5063"/>
      <c r="I108" s="5063"/>
      <c r="J108" s="5063"/>
      <c r="K108" s="5063"/>
      <c r="L108" s="5063"/>
      <c r="M108" s="5243"/>
      <c r="N108" s="5243"/>
      <c r="O108" s="5243"/>
      <c r="P108" s="5020"/>
      <c r="Q108" s="4996"/>
      <c r="R108" s="5027"/>
      <c r="S108" s="3946" t="s">
        <v>11</v>
      </c>
      <c r="T108" s="3719">
        <v>570102</v>
      </c>
      <c r="U108" s="3719"/>
      <c r="V108" s="3531" t="s">
        <v>68</v>
      </c>
      <c r="W108" s="2630"/>
      <c r="X108" s="3544"/>
      <c r="Y108" s="3905"/>
      <c r="Z108" s="3905"/>
      <c r="AA108" s="3905"/>
      <c r="AB108" s="3906">
        <f>SUM(AA109:AA110)</f>
        <v>5000</v>
      </c>
      <c r="AC108" s="532"/>
      <c r="AD108" s="533"/>
      <c r="AE108" s="533"/>
      <c r="AF108" s="5264"/>
      <c r="AG108" s="221"/>
      <c r="AH108" s="221"/>
      <c r="AI108" s="221"/>
      <c r="AJ108" s="221"/>
    </row>
    <row r="109" spans="1:36" ht="33" customHeight="1">
      <c r="A109" s="4564"/>
      <c r="B109" s="4570"/>
      <c r="C109" s="5058"/>
      <c r="D109" s="5063"/>
      <c r="E109" s="5063"/>
      <c r="F109" s="5063"/>
      <c r="G109" s="5063"/>
      <c r="H109" s="5063"/>
      <c r="I109" s="5063"/>
      <c r="J109" s="5063"/>
      <c r="K109" s="5063"/>
      <c r="L109" s="5063"/>
      <c r="M109" s="5243"/>
      <c r="N109" s="5243"/>
      <c r="O109" s="5243"/>
      <c r="P109" s="5020"/>
      <c r="Q109" s="4996"/>
      <c r="R109" s="5027"/>
      <c r="S109" s="3943"/>
      <c r="T109" s="3719"/>
      <c r="U109" s="3718"/>
      <c r="V109" s="2681" t="s">
        <v>1420</v>
      </c>
      <c r="W109" s="2630">
        <v>1</v>
      </c>
      <c r="X109" s="3544" t="s">
        <v>250</v>
      </c>
      <c r="Y109" s="3905">
        <f>5000/1.12</f>
        <v>4464.2857142857138</v>
      </c>
      <c r="Z109" s="3905">
        <f t="shared" ref="Z109" si="28">+W109*Y109</f>
        <v>4464.2857142857138</v>
      </c>
      <c r="AA109" s="3905">
        <f t="shared" ref="AA109" si="29">+Z109*1.12</f>
        <v>5000</v>
      </c>
      <c r="AB109" s="3906"/>
      <c r="AC109" s="532" t="s">
        <v>251</v>
      </c>
      <c r="AD109" s="533"/>
      <c r="AE109" s="533"/>
      <c r="AF109" s="5264"/>
      <c r="AG109" s="221"/>
      <c r="AH109" s="221"/>
      <c r="AI109" s="221"/>
      <c r="AJ109" s="221"/>
    </row>
    <row r="110" spans="1:36" ht="33" customHeight="1">
      <c r="A110" s="4564"/>
      <c r="B110" s="4570"/>
      <c r="C110" s="5058"/>
      <c r="D110" s="5063"/>
      <c r="E110" s="5063"/>
      <c r="F110" s="5063"/>
      <c r="G110" s="5063"/>
      <c r="H110" s="5063"/>
      <c r="I110" s="5063"/>
      <c r="J110" s="5063"/>
      <c r="K110" s="5063"/>
      <c r="L110" s="5063"/>
      <c r="M110" s="5243"/>
      <c r="N110" s="5243"/>
      <c r="O110" s="5243"/>
      <c r="P110" s="5020"/>
      <c r="Q110" s="4996"/>
      <c r="R110" s="5027"/>
      <c r="S110" s="3946"/>
      <c r="T110" s="3485"/>
      <c r="U110" s="3485"/>
      <c r="V110" s="3503"/>
      <c r="W110" s="3406"/>
      <c r="X110" s="3492"/>
      <c r="Y110" s="3908"/>
      <c r="Z110" s="3905"/>
      <c r="AA110" s="3905"/>
      <c r="AB110" s="3907"/>
      <c r="AC110" s="539"/>
      <c r="AD110" s="541"/>
      <c r="AE110" s="541"/>
      <c r="AF110" s="5264"/>
      <c r="AG110" s="673"/>
      <c r="AH110" s="674"/>
      <c r="AI110" s="674"/>
      <c r="AJ110" s="674"/>
    </row>
    <row r="111" spans="1:36" ht="33" customHeight="1">
      <c r="A111" s="4564"/>
      <c r="B111" s="4570"/>
      <c r="C111" s="5058"/>
      <c r="D111" s="5063"/>
      <c r="E111" s="5063"/>
      <c r="F111" s="5063"/>
      <c r="G111" s="5063"/>
      <c r="H111" s="5063"/>
      <c r="I111" s="5063"/>
      <c r="J111" s="5063"/>
      <c r="K111" s="5063"/>
      <c r="L111" s="5063"/>
      <c r="M111" s="5243"/>
      <c r="N111" s="5243"/>
      <c r="O111" s="5243"/>
      <c r="P111" s="5020"/>
      <c r="Q111" s="4996"/>
      <c r="R111" s="5027"/>
      <c r="S111" s="4008"/>
      <c r="T111" s="3941"/>
      <c r="U111" s="3941"/>
      <c r="V111" s="3938"/>
      <c r="W111" s="3616"/>
      <c r="X111" s="3617"/>
      <c r="Y111" s="3913"/>
      <c r="Z111" s="3913"/>
      <c r="AA111" s="3913"/>
      <c r="AB111" s="3914"/>
      <c r="AC111" s="325"/>
      <c r="AD111" s="326"/>
      <c r="AE111" s="326"/>
      <c r="AF111" s="5264"/>
      <c r="AG111" s="673"/>
      <c r="AH111" s="674"/>
      <c r="AI111" s="674"/>
      <c r="AJ111" s="674"/>
    </row>
    <row r="112" spans="1:36" ht="34.5" customHeight="1">
      <c r="A112" s="4564"/>
      <c r="B112" s="4570"/>
      <c r="C112" s="5059" t="s">
        <v>235</v>
      </c>
      <c r="D112" s="5064" t="s">
        <v>236</v>
      </c>
      <c r="E112" s="5064" t="s">
        <v>237</v>
      </c>
      <c r="F112" s="5064" t="s">
        <v>326</v>
      </c>
      <c r="G112" s="5076" t="s">
        <v>239</v>
      </c>
      <c r="H112" s="5064" t="s">
        <v>240</v>
      </c>
      <c r="I112" s="5064" t="s">
        <v>294</v>
      </c>
      <c r="J112" s="5064" t="s">
        <v>5978</v>
      </c>
      <c r="K112" s="5064" t="s">
        <v>5951</v>
      </c>
      <c r="L112" s="5260" t="s">
        <v>1287</v>
      </c>
      <c r="M112" s="5173">
        <v>0</v>
      </c>
      <c r="N112" s="5173">
        <v>0</v>
      </c>
      <c r="O112" s="5173">
        <v>0</v>
      </c>
      <c r="P112" s="5254" t="s">
        <v>1287</v>
      </c>
      <c r="Q112" s="5254" t="s">
        <v>1287</v>
      </c>
      <c r="R112" s="5257" t="s">
        <v>1287</v>
      </c>
      <c r="S112" s="4009"/>
      <c r="T112" s="3721"/>
      <c r="U112" s="3721"/>
      <c r="V112" s="3575"/>
      <c r="W112" s="3576"/>
      <c r="X112" s="3577"/>
      <c r="Y112" s="3998"/>
      <c r="Z112" s="3998"/>
      <c r="AA112" s="3998"/>
      <c r="AB112" s="4003"/>
      <c r="AC112" s="3580"/>
      <c r="AD112" s="3582"/>
      <c r="AE112" s="3582"/>
      <c r="AF112" s="5093" t="s">
        <v>1400</v>
      </c>
      <c r="AG112" s="221"/>
      <c r="AH112" s="221"/>
      <c r="AI112" s="221"/>
      <c r="AJ112" s="221"/>
    </row>
    <row r="113" spans="1:36" ht="34.5" customHeight="1">
      <c r="A113" s="4564"/>
      <c r="B113" s="4570"/>
      <c r="C113" s="5058"/>
      <c r="D113" s="5063"/>
      <c r="E113" s="5063"/>
      <c r="F113" s="5063"/>
      <c r="G113" s="5063"/>
      <c r="H113" s="5063"/>
      <c r="I113" s="5063"/>
      <c r="J113" s="5063"/>
      <c r="K113" s="5063"/>
      <c r="L113" s="5261"/>
      <c r="M113" s="5243"/>
      <c r="N113" s="5243"/>
      <c r="O113" s="5243"/>
      <c r="P113" s="5255"/>
      <c r="Q113" s="5255"/>
      <c r="R113" s="5258"/>
      <c r="S113" s="3943"/>
      <c r="T113" s="3719"/>
      <c r="U113" s="3718"/>
      <c r="V113" s="2681"/>
      <c r="W113" s="2630"/>
      <c r="X113" s="3544"/>
      <c r="Y113" s="3905"/>
      <c r="Z113" s="3906"/>
      <c r="AA113" s="3906"/>
      <c r="AB113" s="3906"/>
      <c r="AC113" s="532"/>
      <c r="AD113" s="533"/>
      <c r="AE113" s="533"/>
      <c r="AF113" s="5264"/>
      <c r="AG113" s="221"/>
      <c r="AH113" s="221"/>
      <c r="AI113" s="221"/>
      <c r="AJ113" s="221"/>
    </row>
    <row r="114" spans="1:36" ht="34.5" customHeight="1">
      <c r="A114" s="4564"/>
      <c r="B114" s="4570"/>
      <c r="C114" s="5058"/>
      <c r="D114" s="5063"/>
      <c r="E114" s="5063"/>
      <c r="F114" s="5063"/>
      <c r="G114" s="5063"/>
      <c r="H114" s="5063"/>
      <c r="I114" s="5063"/>
      <c r="J114" s="5063"/>
      <c r="K114" s="5063"/>
      <c r="L114" s="5261"/>
      <c r="M114" s="5243"/>
      <c r="N114" s="5243"/>
      <c r="O114" s="5243"/>
      <c r="P114" s="5255"/>
      <c r="Q114" s="5255"/>
      <c r="R114" s="5258"/>
      <c r="S114" s="3943"/>
      <c r="T114" s="3719"/>
      <c r="U114" s="3718"/>
      <c r="V114" s="2681"/>
      <c r="W114" s="2630"/>
      <c r="X114" s="3544"/>
      <c r="Y114" s="3905"/>
      <c r="Z114" s="3905"/>
      <c r="AA114" s="3905"/>
      <c r="AB114" s="3906"/>
      <c r="AC114" s="532"/>
      <c r="AD114" s="533"/>
      <c r="AE114" s="533"/>
      <c r="AF114" s="5264"/>
      <c r="AG114" s="221"/>
      <c r="AH114" s="221"/>
      <c r="AI114" s="221"/>
      <c r="AJ114" s="221"/>
    </row>
    <row r="115" spans="1:36" ht="34.5" customHeight="1">
      <c r="A115" s="4564"/>
      <c r="B115" s="4570"/>
      <c r="C115" s="5058"/>
      <c r="D115" s="5063"/>
      <c r="E115" s="5063"/>
      <c r="F115" s="5063"/>
      <c r="G115" s="5063"/>
      <c r="H115" s="5063"/>
      <c r="I115" s="5063"/>
      <c r="J115" s="5063"/>
      <c r="K115" s="5063"/>
      <c r="L115" s="5261"/>
      <c r="M115" s="5243"/>
      <c r="N115" s="5243"/>
      <c r="O115" s="5243"/>
      <c r="P115" s="5255"/>
      <c r="Q115" s="5255"/>
      <c r="R115" s="5258"/>
      <c r="S115" s="3943"/>
      <c r="T115" s="3719"/>
      <c r="U115" s="3718"/>
      <c r="V115" s="2681"/>
      <c r="W115" s="2630"/>
      <c r="X115" s="3544"/>
      <c r="Y115" s="3905"/>
      <c r="Z115" s="3905"/>
      <c r="AA115" s="3905"/>
      <c r="AB115" s="3906"/>
      <c r="AC115" s="532"/>
      <c r="AD115" s="533"/>
      <c r="AE115" s="533"/>
      <c r="AF115" s="5264"/>
      <c r="AG115" s="221"/>
      <c r="AH115" s="221"/>
      <c r="AI115" s="221"/>
      <c r="AJ115" s="221"/>
    </row>
    <row r="116" spans="1:36" ht="34.5" customHeight="1">
      <c r="A116" s="4564"/>
      <c r="B116" s="4570"/>
      <c r="C116" s="5060"/>
      <c r="D116" s="5065"/>
      <c r="E116" s="5065"/>
      <c r="F116" s="5065"/>
      <c r="G116" s="5065"/>
      <c r="H116" s="5065"/>
      <c r="I116" s="5065"/>
      <c r="J116" s="5065"/>
      <c r="K116" s="5065"/>
      <c r="L116" s="5262"/>
      <c r="M116" s="5245"/>
      <c r="N116" s="5245"/>
      <c r="O116" s="5245"/>
      <c r="P116" s="5256"/>
      <c r="Q116" s="5256"/>
      <c r="R116" s="5259"/>
      <c r="S116" s="3993"/>
      <c r="T116" s="3729"/>
      <c r="U116" s="1779"/>
      <c r="V116" s="2686"/>
      <c r="W116" s="1781"/>
      <c r="X116" s="3571"/>
      <c r="Y116" s="3994"/>
      <c r="Z116" s="3994"/>
      <c r="AA116" s="3994"/>
      <c r="AB116" s="3995"/>
      <c r="AC116" s="1782"/>
      <c r="AD116" s="3572"/>
      <c r="AE116" s="3572"/>
      <c r="AF116" s="5265"/>
      <c r="AG116" s="221"/>
      <c r="AH116" s="221"/>
      <c r="AI116" s="221"/>
      <c r="AJ116" s="221"/>
    </row>
    <row r="117" spans="1:36" ht="34.5" customHeight="1">
      <c r="A117" s="4564"/>
      <c r="B117" s="4570"/>
      <c r="C117" s="5061" t="s">
        <v>235</v>
      </c>
      <c r="D117" s="5062" t="s">
        <v>236</v>
      </c>
      <c r="E117" s="5062" t="s">
        <v>237</v>
      </c>
      <c r="F117" s="5062" t="s">
        <v>326</v>
      </c>
      <c r="G117" s="5069" t="s">
        <v>239</v>
      </c>
      <c r="H117" s="5062" t="s">
        <v>240</v>
      </c>
      <c r="I117" s="5062" t="s">
        <v>294</v>
      </c>
      <c r="J117" s="5062" t="s">
        <v>5979</v>
      </c>
      <c r="K117" s="5062" t="s">
        <v>5950</v>
      </c>
      <c r="L117" s="5276" t="s">
        <v>1287</v>
      </c>
      <c r="M117" s="4998">
        <v>0</v>
      </c>
      <c r="N117" s="4998">
        <v>0</v>
      </c>
      <c r="O117" s="4998">
        <v>0</v>
      </c>
      <c r="P117" s="5274" t="s">
        <v>1287</v>
      </c>
      <c r="Q117" s="5274" t="s">
        <v>1287</v>
      </c>
      <c r="R117" s="5275" t="s">
        <v>1287</v>
      </c>
      <c r="S117" s="4007"/>
      <c r="T117" s="3725"/>
      <c r="U117" s="3725"/>
      <c r="V117" s="3530"/>
      <c r="W117" s="2633"/>
      <c r="X117" s="3547"/>
      <c r="Y117" s="4004"/>
      <c r="Z117" s="3992"/>
      <c r="AA117" s="3992"/>
      <c r="AB117" s="3992"/>
      <c r="AC117" s="1967"/>
      <c r="AD117" s="1971"/>
      <c r="AE117" s="1971"/>
      <c r="AF117" s="5115" t="s">
        <v>1400</v>
      </c>
      <c r="AG117" s="221"/>
      <c r="AH117" s="221"/>
      <c r="AI117" s="221"/>
      <c r="AJ117" s="221"/>
    </row>
    <row r="118" spans="1:36" ht="34.5" customHeight="1">
      <c r="A118" s="4564"/>
      <c r="B118" s="4570"/>
      <c r="C118" s="5058"/>
      <c r="D118" s="5063"/>
      <c r="E118" s="5063"/>
      <c r="F118" s="5063"/>
      <c r="G118" s="5063"/>
      <c r="H118" s="5063"/>
      <c r="I118" s="5063"/>
      <c r="J118" s="5063"/>
      <c r="K118" s="5063"/>
      <c r="L118" s="5261"/>
      <c r="M118" s="5243"/>
      <c r="N118" s="5243"/>
      <c r="O118" s="5243"/>
      <c r="P118" s="5255"/>
      <c r="Q118" s="5255"/>
      <c r="R118" s="5258"/>
      <c r="S118" s="3943"/>
      <c r="T118" s="3719"/>
      <c r="U118" s="3718"/>
      <c r="V118" s="2681"/>
      <c r="W118" s="2630"/>
      <c r="X118" s="3544"/>
      <c r="Y118" s="3905"/>
      <c r="Z118" s="3905"/>
      <c r="AA118" s="3905"/>
      <c r="AB118" s="3906"/>
      <c r="AC118" s="532"/>
      <c r="AD118" s="533"/>
      <c r="AE118" s="533"/>
      <c r="AF118" s="5264"/>
      <c r="AG118" s="221"/>
      <c r="AH118" s="221"/>
      <c r="AI118" s="221"/>
      <c r="AJ118" s="221"/>
    </row>
    <row r="119" spans="1:36" ht="34.5" customHeight="1">
      <c r="A119" s="4564"/>
      <c r="B119" s="4570"/>
      <c r="C119" s="5058"/>
      <c r="D119" s="5063"/>
      <c r="E119" s="5063"/>
      <c r="F119" s="5063"/>
      <c r="G119" s="5063"/>
      <c r="H119" s="5063"/>
      <c r="I119" s="5063"/>
      <c r="J119" s="5063"/>
      <c r="K119" s="5063"/>
      <c r="L119" s="5261"/>
      <c r="M119" s="5243"/>
      <c r="N119" s="5243"/>
      <c r="O119" s="5243"/>
      <c r="P119" s="5255"/>
      <c r="Q119" s="5255"/>
      <c r="R119" s="5258"/>
      <c r="S119" s="3943"/>
      <c r="T119" s="3719"/>
      <c r="U119" s="3718"/>
      <c r="V119" s="2681"/>
      <c r="W119" s="2630"/>
      <c r="X119" s="3544"/>
      <c r="Y119" s="3905"/>
      <c r="Z119" s="3905"/>
      <c r="AA119" s="3905"/>
      <c r="AB119" s="3906"/>
      <c r="AC119" s="532"/>
      <c r="AD119" s="533"/>
      <c r="AE119" s="533"/>
      <c r="AF119" s="5264"/>
      <c r="AG119" s="221"/>
      <c r="AH119" s="221"/>
      <c r="AI119" s="221"/>
      <c r="AJ119" s="221"/>
    </row>
    <row r="120" spans="1:36" ht="34.5" customHeight="1">
      <c r="A120" s="4564"/>
      <c r="B120" s="4570"/>
      <c r="C120" s="5058"/>
      <c r="D120" s="5063"/>
      <c r="E120" s="5063"/>
      <c r="F120" s="5063"/>
      <c r="G120" s="5063"/>
      <c r="H120" s="5063"/>
      <c r="I120" s="5063"/>
      <c r="J120" s="5063"/>
      <c r="K120" s="5063"/>
      <c r="L120" s="5261"/>
      <c r="M120" s="5243"/>
      <c r="N120" s="5243"/>
      <c r="O120" s="5243"/>
      <c r="P120" s="5255"/>
      <c r="Q120" s="5255"/>
      <c r="R120" s="5258"/>
      <c r="S120" s="3943"/>
      <c r="T120" s="3719"/>
      <c r="U120" s="3718"/>
      <c r="V120" s="2681"/>
      <c r="W120" s="2630"/>
      <c r="X120" s="3544"/>
      <c r="Y120" s="3905"/>
      <c r="Z120" s="3905"/>
      <c r="AA120" s="3905"/>
      <c r="AB120" s="3906"/>
      <c r="AC120" s="532"/>
      <c r="AD120" s="533"/>
      <c r="AE120" s="533"/>
      <c r="AF120" s="5264"/>
      <c r="AG120" s="221"/>
      <c r="AH120" s="221"/>
      <c r="AI120" s="221"/>
      <c r="AJ120" s="221"/>
    </row>
    <row r="121" spans="1:36" ht="34.5" customHeight="1">
      <c r="A121" s="4564"/>
      <c r="B121" s="4570"/>
      <c r="C121" s="5058"/>
      <c r="D121" s="5063"/>
      <c r="E121" s="5063"/>
      <c r="F121" s="5063"/>
      <c r="G121" s="5063"/>
      <c r="H121" s="5063"/>
      <c r="I121" s="5063"/>
      <c r="J121" s="5063"/>
      <c r="K121" s="5063"/>
      <c r="L121" s="5261"/>
      <c r="M121" s="5243"/>
      <c r="N121" s="5243"/>
      <c r="O121" s="5243"/>
      <c r="P121" s="5255"/>
      <c r="Q121" s="5255"/>
      <c r="R121" s="5258"/>
      <c r="S121" s="3949"/>
      <c r="T121" s="3733"/>
      <c r="U121" s="3720"/>
      <c r="V121" s="2682"/>
      <c r="W121" s="2631"/>
      <c r="X121" s="3548"/>
      <c r="Y121" s="3911"/>
      <c r="Z121" s="3911"/>
      <c r="AA121" s="3911"/>
      <c r="AB121" s="3912"/>
      <c r="AC121" s="575"/>
      <c r="AD121" s="321"/>
      <c r="AE121" s="321"/>
      <c r="AF121" s="5264"/>
      <c r="AG121" s="221"/>
      <c r="AH121" s="221"/>
      <c r="AI121" s="221"/>
      <c r="AJ121" s="221"/>
    </row>
    <row r="122" spans="1:36" ht="34.5" customHeight="1">
      <c r="A122" s="4564"/>
      <c r="B122" s="4570"/>
      <c r="C122" s="5059" t="s">
        <v>235</v>
      </c>
      <c r="D122" s="5064" t="s">
        <v>236</v>
      </c>
      <c r="E122" s="5064" t="s">
        <v>237</v>
      </c>
      <c r="F122" s="5064" t="s">
        <v>326</v>
      </c>
      <c r="G122" s="5076" t="s">
        <v>239</v>
      </c>
      <c r="H122" s="5064" t="s">
        <v>240</v>
      </c>
      <c r="I122" s="5064" t="s">
        <v>294</v>
      </c>
      <c r="J122" s="5064" t="s">
        <v>5980</v>
      </c>
      <c r="K122" s="5064" t="s">
        <v>5949</v>
      </c>
      <c r="L122" s="5260" t="s">
        <v>1287</v>
      </c>
      <c r="M122" s="5173">
        <v>0</v>
      </c>
      <c r="N122" s="5173">
        <v>0</v>
      </c>
      <c r="O122" s="5173">
        <v>0</v>
      </c>
      <c r="P122" s="5254" t="s">
        <v>1287</v>
      </c>
      <c r="Q122" s="5254" t="s">
        <v>1287</v>
      </c>
      <c r="R122" s="5257" t="s">
        <v>1287</v>
      </c>
      <c r="S122" s="4009"/>
      <c r="T122" s="3721"/>
      <c r="U122" s="3721"/>
      <c r="V122" s="3575"/>
      <c r="W122" s="3576"/>
      <c r="X122" s="3577"/>
      <c r="Y122" s="3998"/>
      <c r="Z122" s="4003"/>
      <c r="AA122" s="4003"/>
      <c r="AB122" s="4003"/>
      <c r="AC122" s="3580"/>
      <c r="AD122" s="3582"/>
      <c r="AE122" s="3582"/>
      <c r="AF122" s="5093" t="s">
        <v>1400</v>
      </c>
      <c r="AG122" s="221"/>
      <c r="AH122" s="221"/>
      <c r="AI122" s="221"/>
      <c r="AJ122" s="221"/>
    </row>
    <row r="123" spans="1:36" ht="34.5" customHeight="1">
      <c r="A123" s="4564"/>
      <c r="B123" s="4570"/>
      <c r="C123" s="5058"/>
      <c r="D123" s="5063"/>
      <c r="E123" s="5063"/>
      <c r="F123" s="5063"/>
      <c r="G123" s="5063"/>
      <c r="H123" s="5063"/>
      <c r="I123" s="5063"/>
      <c r="J123" s="5063"/>
      <c r="K123" s="5063"/>
      <c r="L123" s="5261"/>
      <c r="M123" s="5243"/>
      <c r="N123" s="5243"/>
      <c r="O123" s="5243"/>
      <c r="P123" s="5255"/>
      <c r="Q123" s="5255"/>
      <c r="R123" s="5258"/>
      <c r="S123" s="3943"/>
      <c r="T123" s="3719"/>
      <c r="U123" s="3718"/>
      <c r="V123" s="2681"/>
      <c r="W123" s="2630"/>
      <c r="X123" s="3544"/>
      <c r="Y123" s="3905"/>
      <c r="Z123" s="3905"/>
      <c r="AA123" s="3905"/>
      <c r="AB123" s="3906"/>
      <c r="AC123" s="532"/>
      <c r="AD123" s="533"/>
      <c r="AE123" s="533"/>
      <c r="AF123" s="5264"/>
      <c r="AG123" s="221"/>
      <c r="AH123" s="221"/>
      <c r="AI123" s="221"/>
      <c r="AJ123" s="221"/>
    </row>
    <row r="124" spans="1:36" ht="34.5" customHeight="1">
      <c r="A124" s="4564"/>
      <c r="B124" s="4570"/>
      <c r="C124" s="5058"/>
      <c r="D124" s="5063"/>
      <c r="E124" s="5063"/>
      <c r="F124" s="5063"/>
      <c r="G124" s="5063"/>
      <c r="H124" s="5063"/>
      <c r="I124" s="5063"/>
      <c r="J124" s="5063"/>
      <c r="K124" s="5063"/>
      <c r="L124" s="5261"/>
      <c r="M124" s="5243"/>
      <c r="N124" s="5243"/>
      <c r="O124" s="5243"/>
      <c r="P124" s="5255"/>
      <c r="Q124" s="5255"/>
      <c r="R124" s="5258"/>
      <c r="S124" s="3943"/>
      <c r="T124" s="3719"/>
      <c r="U124" s="3718"/>
      <c r="V124" s="2681"/>
      <c r="W124" s="2630"/>
      <c r="X124" s="3544"/>
      <c r="Y124" s="3905"/>
      <c r="Z124" s="3905"/>
      <c r="AA124" s="3905"/>
      <c r="AB124" s="3906"/>
      <c r="AC124" s="532"/>
      <c r="AD124" s="533"/>
      <c r="AE124" s="533"/>
      <c r="AF124" s="5264"/>
      <c r="AG124" s="221"/>
      <c r="AH124" s="221"/>
      <c r="AI124" s="221"/>
      <c r="AJ124" s="221"/>
    </row>
    <row r="125" spans="1:36" ht="34.5" customHeight="1">
      <c r="A125" s="4564"/>
      <c r="B125" s="4570"/>
      <c r="C125" s="5058"/>
      <c r="D125" s="5063"/>
      <c r="E125" s="5063"/>
      <c r="F125" s="5063"/>
      <c r="G125" s="5063"/>
      <c r="H125" s="5063"/>
      <c r="I125" s="5063"/>
      <c r="J125" s="5063"/>
      <c r="K125" s="5063"/>
      <c r="L125" s="5261"/>
      <c r="M125" s="5243"/>
      <c r="N125" s="5243"/>
      <c r="O125" s="5243"/>
      <c r="P125" s="5255"/>
      <c r="Q125" s="5255"/>
      <c r="R125" s="5258"/>
      <c r="S125" s="3943"/>
      <c r="T125" s="3719"/>
      <c r="U125" s="3718"/>
      <c r="V125" s="2681"/>
      <c r="W125" s="2630"/>
      <c r="X125" s="3544"/>
      <c r="Y125" s="3905"/>
      <c r="Z125" s="3905"/>
      <c r="AA125" s="3905"/>
      <c r="AB125" s="3906"/>
      <c r="AC125" s="532"/>
      <c r="AD125" s="533"/>
      <c r="AE125" s="533"/>
      <c r="AF125" s="5264"/>
      <c r="AG125" s="221"/>
      <c r="AH125" s="221"/>
      <c r="AI125" s="221"/>
      <c r="AJ125" s="221"/>
    </row>
    <row r="126" spans="1:36" ht="34.5" customHeight="1">
      <c r="A126" s="4564"/>
      <c r="B126" s="4570"/>
      <c r="C126" s="5060"/>
      <c r="D126" s="5065"/>
      <c r="E126" s="5065"/>
      <c r="F126" s="5065"/>
      <c r="G126" s="5065"/>
      <c r="H126" s="5065"/>
      <c r="I126" s="5065"/>
      <c r="J126" s="5065"/>
      <c r="K126" s="5065"/>
      <c r="L126" s="5262"/>
      <c r="M126" s="5245"/>
      <c r="N126" s="5245"/>
      <c r="O126" s="5245"/>
      <c r="P126" s="5256"/>
      <c r="Q126" s="5256"/>
      <c r="R126" s="5259"/>
      <c r="S126" s="3993"/>
      <c r="T126" s="3729"/>
      <c r="U126" s="1779"/>
      <c r="V126" s="2686"/>
      <c r="W126" s="1781"/>
      <c r="X126" s="3571"/>
      <c r="Y126" s="3994"/>
      <c r="Z126" s="3994"/>
      <c r="AA126" s="3994"/>
      <c r="AB126" s="3995"/>
      <c r="AC126" s="1782"/>
      <c r="AD126" s="3572"/>
      <c r="AE126" s="3572"/>
      <c r="AF126" s="5265"/>
      <c r="AG126" s="221"/>
      <c r="AH126" s="221"/>
      <c r="AI126" s="221"/>
      <c r="AJ126" s="221"/>
    </row>
    <row r="127" spans="1:36" ht="22.5" customHeight="1">
      <c r="A127" s="4564"/>
      <c r="B127" s="4570"/>
      <c r="C127" s="5059" t="s">
        <v>235</v>
      </c>
      <c r="D127" s="5064" t="s">
        <v>236</v>
      </c>
      <c r="E127" s="5064" t="s">
        <v>237</v>
      </c>
      <c r="F127" s="5064" t="s">
        <v>326</v>
      </c>
      <c r="G127" s="5076" t="s">
        <v>239</v>
      </c>
      <c r="H127" s="5064" t="s">
        <v>240</v>
      </c>
      <c r="I127" s="5064" t="s">
        <v>257</v>
      </c>
      <c r="J127" s="5064" t="s">
        <v>5981</v>
      </c>
      <c r="K127" s="5064" t="s">
        <v>5948</v>
      </c>
      <c r="L127" s="5064" t="s">
        <v>5905</v>
      </c>
      <c r="M127" s="5173">
        <v>0</v>
      </c>
      <c r="N127" s="5173">
        <v>1</v>
      </c>
      <c r="O127" s="5173">
        <v>1</v>
      </c>
      <c r="P127" s="5064" t="s">
        <v>5808</v>
      </c>
      <c r="Q127" s="5064" t="s">
        <v>5857</v>
      </c>
      <c r="R127" s="5123" t="s">
        <v>5773</v>
      </c>
      <c r="S127" s="3997" t="s">
        <v>11</v>
      </c>
      <c r="T127" s="4011">
        <v>530301</v>
      </c>
      <c r="U127" s="4011"/>
      <c r="V127" s="4012" t="s">
        <v>79</v>
      </c>
      <c r="W127" s="3596"/>
      <c r="X127" s="3597"/>
      <c r="Y127" s="4013"/>
      <c r="Z127" s="4013"/>
      <c r="AA127" s="4013"/>
      <c r="AB127" s="3999">
        <f>SUM(AA128:AA129)</f>
        <v>6000</v>
      </c>
      <c r="AC127" s="3599"/>
      <c r="AD127" s="3600"/>
      <c r="AE127" s="3600"/>
      <c r="AF127" s="5273" t="s">
        <v>1421</v>
      </c>
      <c r="AG127" s="221"/>
      <c r="AH127" s="221"/>
      <c r="AI127" s="221"/>
      <c r="AJ127" s="221"/>
    </row>
    <row r="128" spans="1:36" ht="22.5" customHeight="1">
      <c r="A128" s="4564"/>
      <c r="B128" s="4570"/>
      <c r="C128" s="5058"/>
      <c r="D128" s="5063"/>
      <c r="E128" s="5063"/>
      <c r="F128" s="5063"/>
      <c r="G128" s="5063"/>
      <c r="H128" s="5063"/>
      <c r="I128" s="5063"/>
      <c r="J128" s="5063"/>
      <c r="K128" s="5063"/>
      <c r="L128" s="5063"/>
      <c r="M128" s="5243"/>
      <c r="N128" s="5243"/>
      <c r="O128" s="5243"/>
      <c r="P128" s="4996"/>
      <c r="Q128" s="4996"/>
      <c r="R128" s="5027"/>
      <c r="S128" s="3947"/>
      <c r="T128" s="3485"/>
      <c r="U128" s="3381">
        <v>661100011</v>
      </c>
      <c r="V128" s="3502" t="s">
        <v>1422</v>
      </c>
      <c r="W128" s="3406">
        <v>1</v>
      </c>
      <c r="X128" s="3544" t="s">
        <v>250</v>
      </c>
      <c r="Y128" s="3908">
        <f>6000/1.12</f>
        <v>5357.1428571428569</v>
      </c>
      <c r="Z128" s="3908">
        <f t="shared" ref="Z128" si="30">+W128*Y128</f>
        <v>5357.1428571428569</v>
      </c>
      <c r="AA128" s="3908">
        <f t="shared" ref="AA128" si="31">+Z128*1.12</f>
        <v>6000</v>
      </c>
      <c r="AB128" s="3907"/>
      <c r="AC128" s="539" t="s">
        <v>251</v>
      </c>
      <c r="AD128" s="541" t="s">
        <v>251</v>
      </c>
      <c r="AE128" s="541" t="s">
        <v>251</v>
      </c>
      <c r="AF128" s="5264"/>
      <c r="AG128" s="221"/>
      <c r="AH128" s="221"/>
      <c r="AI128" s="221"/>
      <c r="AJ128" s="221"/>
    </row>
    <row r="129" spans="1:36" ht="22.5" customHeight="1">
      <c r="A129" s="4564"/>
      <c r="B129" s="4570"/>
      <c r="C129" s="5058"/>
      <c r="D129" s="5063"/>
      <c r="E129" s="5063"/>
      <c r="F129" s="5063"/>
      <c r="G129" s="5063"/>
      <c r="H129" s="5063"/>
      <c r="I129" s="5063"/>
      <c r="J129" s="5063"/>
      <c r="K129" s="5063"/>
      <c r="L129" s="5063"/>
      <c r="M129" s="5243"/>
      <c r="N129" s="5243"/>
      <c r="O129" s="5243"/>
      <c r="P129" s="4996"/>
      <c r="Q129" s="4996"/>
      <c r="R129" s="5027"/>
      <c r="S129" s="3946"/>
      <c r="T129" s="3485"/>
      <c r="U129" s="3485"/>
      <c r="V129" s="3503"/>
      <c r="W129" s="3927"/>
      <c r="X129" s="3924"/>
      <c r="Y129" s="3907"/>
      <c r="Z129" s="3908"/>
      <c r="AA129" s="3908"/>
      <c r="AB129" s="3907"/>
      <c r="AC129" s="539"/>
      <c r="AD129" s="541"/>
      <c r="AE129" s="541"/>
      <c r="AF129" s="5264"/>
      <c r="AG129" s="221"/>
      <c r="AH129" s="221"/>
      <c r="AI129" s="221"/>
      <c r="AJ129" s="221"/>
    </row>
    <row r="130" spans="1:36" ht="22.5" customHeight="1">
      <c r="A130" s="4564"/>
      <c r="B130" s="4570"/>
      <c r="C130" s="5058"/>
      <c r="D130" s="5063"/>
      <c r="E130" s="5063"/>
      <c r="F130" s="5063"/>
      <c r="G130" s="5063"/>
      <c r="H130" s="5063"/>
      <c r="I130" s="5063"/>
      <c r="J130" s="5063"/>
      <c r="K130" s="5063"/>
      <c r="L130" s="5063"/>
      <c r="M130" s="5243"/>
      <c r="N130" s="5243"/>
      <c r="O130" s="5243"/>
      <c r="P130" s="4996"/>
      <c r="Q130" s="4996"/>
      <c r="R130" s="5027"/>
      <c r="S130" s="3946"/>
      <c r="T130" s="3485"/>
      <c r="U130" s="3485"/>
      <c r="V130" s="3503"/>
      <c r="W130" s="3927"/>
      <c r="X130" s="3924"/>
      <c r="Y130" s="3907"/>
      <c r="Z130" s="3907"/>
      <c r="AA130" s="3908"/>
      <c r="AB130" s="3907"/>
      <c r="AC130" s="539"/>
      <c r="AD130" s="541"/>
      <c r="AE130" s="541"/>
      <c r="AF130" s="5264"/>
      <c r="AG130" s="221"/>
      <c r="AH130" s="221"/>
      <c r="AI130" s="221"/>
      <c r="AJ130" s="221"/>
    </row>
    <row r="131" spans="1:36" ht="22.5" customHeight="1">
      <c r="A131" s="4564"/>
      <c r="B131" s="4570"/>
      <c r="C131" s="5058"/>
      <c r="D131" s="5063"/>
      <c r="E131" s="5063"/>
      <c r="F131" s="5063"/>
      <c r="G131" s="5063"/>
      <c r="H131" s="5063"/>
      <c r="I131" s="5063"/>
      <c r="J131" s="5063"/>
      <c r="K131" s="5063"/>
      <c r="L131" s="5063"/>
      <c r="M131" s="5243"/>
      <c r="N131" s="5243"/>
      <c r="O131" s="5243"/>
      <c r="P131" s="4996"/>
      <c r="Q131" s="4996"/>
      <c r="R131" s="5027"/>
      <c r="S131" s="3946" t="s">
        <v>11</v>
      </c>
      <c r="T131" s="3485">
        <v>530302</v>
      </c>
      <c r="U131" s="3485"/>
      <c r="V131" s="3503" t="s">
        <v>158</v>
      </c>
      <c r="W131" s="3927"/>
      <c r="X131" s="3924"/>
      <c r="Y131" s="3907"/>
      <c r="Z131" s="3907"/>
      <c r="AA131" s="3908"/>
      <c r="AB131" s="3907">
        <f>SUM(AA132:AA133)</f>
        <v>4000</v>
      </c>
      <c r="AC131" s="539"/>
      <c r="AD131" s="541"/>
      <c r="AE131" s="541"/>
      <c r="AF131" s="5264"/>
      <c r="AG131" s="221"/>
      <c r="AH131" s="221"/>
      <c r="AI131" s="221"/>
      <c r="AJ131" s="221"/>
    </row>
    <row r="132" spans="1:36" ht="22.5" customHeight="1">
      <c r="A132" s="4564"/>
      <c r="B132" s="4570"/>
      <c r="C132" s="5058"/>
      <c r="D132" s="5063"/>
      <c r="E132" s="5063"/>
      <c r="F132" s="5063"/>
      <c r="G132" s="5063"/>
      <c r="H132" s="5063"/>
      <c r="I132" s="5063"/>
      <c r="J132" s="5063"/>
      <c r="K132" s="5063"/>
      <c r="L132" s="5063"/>
      <c r="M132" s="5243"/>
      <c r="N132" s="5243"/>
      <c r="O132" s="5243"/>
      <c r="P132" s="4996"/>
      <c r="Q132" s="4996"/>
      <c r="R132" s="5027"/>
      <c r="S132" s="3947"/>
      <c r="T132" s="3485"/>
      <c r="U132" s="3381">
        <v>661100011</v>
      </c>
      <c r="V132" s="3502" t="s">
        <v>1423</v>
      </c>
      <c r="W132" s="3406">
        <v>1</v>
      </c>
      <c r="X132" s="3544" t="s">
        <v>250</v>
      </c>
      <c r="Y132" s="3908">
        <f>4000/1.12</f>
        <v>3571.4285714285711</v>
      </c>
      <c r="Z132" s="3908">
        <f t="shared" ref="Z132" si="32">+W132*Y132</f>
        <v>3571.4285714285711</v>
      </c>
      <c r="AA132" s="3908">
        <f t="shared" ref="AA132" si="33">+Z132*1.12</f>
        <v>4000</v>
      </c>
      <c r="AB132" s="3907"/>
      <c r="AC132" s="539" t="s">
        <v>251</v>
      </c>
      <c r="AD132" s="541" t="s">
        <v>251</v>
      </c>
      <c r="AE132" s="541" t="s">
        <v>251</v>
      </c>
      <c r="AF132" s="5264"/>
      <c r="AG132" s="221"/>
      <c r="AH132" s="221"/>
      <c r="AI132" s="221"/>
      <c r="AJ132" s="221"/>
    </row>
    <row r="133" spans="1:36" ht="22.5" customHeight="1">
      <c r="A133" s="4564"/>
      <c r="B133" s="4570"/>
      <c r="C133" s="5058"/>
      <c r="D133" s="5063"/>
      <c r="E133" s="5063"/>
      <c r="F133" s="5063"/>
      <c r="G133" s="5063"/>
      <c r="H133" s="5063"/>
      <c r="I133" s="5063"/>
      <c r="J133" s="5063"/>
      <c r="K133" s="5063"/>
      <c r="L133" s="5063"/>
      <c r="M133" s="5243"/>
      <c r="N133" s="5243"/>
      <c r="O133" s="5243"/>
      <c r="P133" s="4996"/>
      <c r="Q133" s="4996"/>
      <c r="R133" s="5027"/>
      <c r="S133" s="3946"/>
      <c r="T133" s="3485"/>
      <c r="U133" s="3485"/>
      <c r="V133" s="3503"/>
      <c r="W133" s="3927"/>
      <c r="X133" s="3492"/>
      <c r="Y133" s="3908"/>
      <c r="Z133" s="3908"/>
      <c r="AA133" s="3908"/>
      <c r="AB133" s="3907"/>
      <c r="AC133" s="539"/>
      <c r="AD133" s="541"/>
      <c r="AE133" s="541"/>
      <c r="AF133" s="5264"/>
      <c r="AG133" s="221"/>
      <c r="AH133" s="221"/>
      <c r="AI133" s="221"/>
      <c r="AJ133" s="221"/>
    </row>
    <row r="134" spans="1:36" ht="22.5" customHeight="1">
      <c r="A134" s="4564"/>
      <c r="B134" s="4570"/>
      <c r="C134" s="5058"/>
      <c r="D134" s="5063"/>
      <c r="E134" s="5063"/>
      <c r="F134" s="5063"/>
      <c r="G134" s="5063"/>
      <c r="H134" s="5063"/>
      <c r="I134" s="5063"/>
      <c r="J134" s="5063"/>
      <c r="K134" s="5063"/>
      <c r="L134" s="5063"/>
      <c r="M134" s="5243"/>
      <c r="N134" s="5243"/>
      <c r="O134" s="5243"/>
      <c r="P134" s="4996"/>
      <c r="Q134" s="4996"/>
      <c r="R134" s="5027"/>
      <c r="S134" s="3946"/>
      <c r="T134" s="3485"/>
      <c r="U134" s="3485"/>
      <c r="V134" s="3503"/>
      <c r="W134" s="3927"/>
      <c r="X134" s="3492"/>
      <c r="Y134" s="3908"/>
      <c r="Z134" s="3908"/>
      <c r="AA134" s="3908"/>
      <c r="AB134" s="3907"/>
      <c r="AC134" s="539"/>
      <c r="AD134" s="541"/>
      <c r="AE134" s="541"/>
      <c r="AF134" s="5264"/>
      <c r="AG134" s="221"/>
      <c r="AH134" s="221"/>
      <c r="AI134" s="221"/>
      <c r="AJ134" s="221"/>
    </row>
    <row r="135" spans="1:36" ht="22.5" customHeight="1">
      <c r="A135" s="4564"/>
      <c r="B135" s="4570"/>
      <c r="C135" s="5058"/>
      <c r="D135" s="5063"/>
      <c r="E135" s="5063"/>
      <c r="F135" s="5063"/>
      <c r="G135" s="5063"/>
      <c r="H135" s="5063"/>
      <c r="I135" s="5063"/>
      <c r="J135" s="5063"/>
      <c r="K135" s="5063"/>
      <c r="L135" s="5063"/>
      <c r="M135" s="5243"/>
      <c r="N135" s="5243"/>
      <c r="O135" s="5243"/>
      <c r="P135" s="4996"/>
      <c r="Q135" s="4996"/>
      <c r="R135" s="5027"/>
      <c r="S135" s="3946" t="s">
        <v>11</v>
      </c>
      <c r="T135" s="3485">
        <v>530303</v>
      </c>
      <c r="U135" s="3485"/>
      <c r="V135" s="3503" t="s">
        <v>70</v>
      </c>
      <c r="W135" s="3927"/>
      <c r="X135" s="3492"/>
      <c r="Y135" s="3908"/>
      <c r="Z135" s="3908"/>
      <c r="AA135" s="3908"/>
      <c r="AB135" s="3907">
        <f>SUM(AA136:AA137)</f>
        <v>10000</v>
      </c>
      <c r="AC135" s="539"/>
      <c r="AD135" s="541"/>
      <c r="AE135" s="541"/>
      <c r="AF135" s="5264"/>
      <c r="AG135" s="221"/>
      <c r="AH135" s="221"/>
      <c r="AI135" s="221"/>
      <c r="AJ135" s="221"/>
    </row>
    <row r="136" spans="1:36" ht="22.5" customHeight="1">
      <c r="A136" s="4564"/>
      <c r="B136" s="4570"/>
      <c r="C136" s="5058"/>
      <c r="D136" s="5063"/>
      <c r="E136" s="5063"/>
      <c r="F136" s="5063"/>
      <c r="G136" s="5063"/>
      <c r="H136" s="5063"/>
      <c r="I136" s="5063"/>
      <c r="J136" s="5063"/>
      <c r="K136" s="5063"/>
      <c r="L136" s="5063"/>
      <c r="M136" s="5243"/>
      <c r="N136" s="5243"/>
      <c r="O136" s="5243"/>
      <c r="P136" s="4996"/>
      <c r="Q136" s="4996"/>
      <c r="R136" s="5027"/>
      <c r="S136" s="3947"/>
      <c r="T136" s="3485"/>
      <c r="U136" s="3381"/>
      <c r="V136" s="3502" t="s">
        <v>70</v>
      </c>
      <c r="W136" s="3406">
        <v>1</v>
      </c>
      <c r="X136" s="3544" t="s">
        <v>250</v>
      </c>
      <c r="Y136" s="3908">
        <f>10000/1.12</f>
        <v>8928.5714285714275</v>
      </c>
      <c r="Z136" s="3908">
        <f t="shared" ref="Z136" si="34">+W136*Y136</f>
        <v>8928.5714285714275</v>
      </c>
      <c r="AA136" s="3908">
        <f t="shared" ref="AA136" si="35">+Z136*1.12</f>
        <v>10000</v>
      </c>
      <c r="AB136" s="3907"/>
      <c r="AC136" s="539" t="s">
        <v>251</v>
      </c>
      <c r="AD136" s="541" t="s">
        <v>251</v>
      </c>
      <c r="AE136" s="541" t="s">
        <v>251</v>
      </c>
      <c r="AF136" s="5264"/>
      <c r="AG136" s="221"/>
      <c r="AH136" s="221"/>
      <c r="AI136" s="221"/>
      <c r="AJ136" s="221"/>
    </row>
    <row r="137" spans="1:36" ht="22.5" customHeight="1">
      <c r="A137" s="4564"/>
      <c r="B137" s="4570"/>
      <c r="C137" s="5058"/>
      <c r="D137" s="5063"/>
      <c r="E137" s="5063"/>
      <c r="F137" s="5063"/>
      <c r="G137" s="5063"/>
      <c r="H137" s="5063"/>
      <c r="I137" s="5063"/>
      <c r="J137" s="5063"/>
      <c r="K137" s="5063"/>
      <c r="L137" s="5063"/>
      <c r="M137" s="5243"/>
      <c r="N137" s="5243"/>
      <c r="O137" s="5243"/>
      <c r="P137" s="4996"/>
      <c r="Q137" s="4996"/>
      <c r="R137" s="5027"/>
      <c r="S137" s="3947"/>
      <c r="T137" s="3485"/>
      <c r="U137" s="3381"/>
      <c r="V137" s="3502"/>
      <c r="W137" s="3406"/>
      <c r="X137" s="3492"/>
      <c r="Y137" s="3908"/>
      <c r="Z137" s="3908"/>
      <c r="AA137" s="3908"/>
      <c r="AB137" s="3907"/>
      <c r="AC137" s="539"/>
      <c r="AD137" s="541"/>
      <c r="AE137" s="541"/>
      <c r="AF137" s="5264"/>
      <c r="AG137" s="221"/>
      <c r="AH137" s="221"/>
      <c r="AI137" s="221"/>
      <c r="AJ137" s="221"/>
    </row>
    <row r="138" spans="1:36" ht="22.5" customHeight="1">
      <c r="A138" s="4564"/>
      <c r="B138" s="4570"/>
      <c r="C138" s="5060"/>
      <c r="D138" s="5065"/>
      <c r="E138" s="5065"/>
      <c r="F138" s="5065"/>
      <c r="G138" s="5065"/>
      <c r="H138" s="5065"/>
      <c r="I138" s="5065"/>
      <c r="J138" s="5065"/>
      <c r="K138" s="5065"/>
      <c r="L138" s="5065"/>
      <c r="M138" s="5245"/>
      <c r="N138" s="5245"/>
      <c r="O138" s="5245"/>
      <c r="P138" s="5000"/>
      <c r="Q138" s="5000"/>
      <c r="R138" s="5249"/>
      <c r="S138" s="4014"/>
      <c r="T138" s="4015"/>
      <c r="U138" s="4016"/>
      <c r="V138" s="3588"/>
      <c r="W138" s="3589"/>
      <c r="X138" s="3590"/>
      <c r="Y138" s="4017"/>
      <c r="Z138" s="4017"/>
      <c r="AA138" s="4017"/>
      <c r="AB138" s="4018"/>
      <c r="AC138" s="2669"/>
      <c r="AD138" s="2670"/>
      <c r="AE138" s="2670"/>
      <c r="AF138" s="5265"/>
      <c r="AG138" s="221"/>
      <c r="AH138" s="221"/>
      <c r="AI138" s="221"/>
      <c r="AJ138" s="221"/>
    </row>
    <row r="139" spans="1:36" ht="28.5" customHeight="1">
      <c r="A139" s="4564"/>
      <c r="B139" s="4570"/>
      <c r="C139" s="5061" t="s">
        <v>235</v>
      </c>
      <c r="D139" s="5062" t="s">
        <v>236</v>
      </c>
      <c r="E139" s="5062" t="s">
        <v>237</v>
      </c>
      <c r="F139" s="5062" t="s">
        <v>326</v>
      </c>
      <c r="G139" s="5069" t="s">
        <v>239</v>
      </c>
      <c r="H139" s="5062" t="s">
        <v>240</v>
      </c>
      <c r="I139" s="5062" t="s">
        <v>294</v>
      </c>
      <c r="J139" s="5062" t="s">
        <v>5982</v>
      </c>
      <c r="K139" s="5062" t="s">
        <v>5947</v>
      </c>
      <c r="L139" s="5062" t="s">
        <v>5906</v>
      </c>
      <c r="M139" s="4998">
        <v>0</v>
      </c>
      <c r="N139" s="4998">
        <v>0</v>
      </c>
      <c r="O139" s="4998">
        <v>1</v>
      </c>
      <c r="P139" s="5062" t="s">
        <v>5809</v>
      </c>
      <c r="Q139" s="5062" t="s">
        <v>5858</v>
      </c>
      <c r="R139" s="5124" t="s">
        <v>5774</v>
      </c>
      <c r="S139" s="3990"/>
      <c r="T139" s="3380"/>
      <c r="U139" s="3380"/>
      <c r="V139" s="3501"/>
      <c r="W139" s="3405"/>
      <c r="X139" s="4005"/>
      <c r="Y139" s="4006"/>
      <c r="Z139" s="4010"/>
      <c r="AA139" s="4010"/>
      <c r="AB139" s="4010"/>
      <c r="AC139" s="1969"/>
      <c r="AD139" s="1970"/>
      <c r="AE139" s="1970"/>
      <c r="AF139" s="5269" t="s">
        <v>1424</v>
      </c>
      <c r="AG139" s="221"/>
      <c r="AH139" s="221"/>
      <c r="AI139" s="221"/>
      <c r="AJ139" s="221"/>
    </row>
    <row r="140" spans="1:36" ht="28.5" customHeight="1">
      <c r="A140" s="4564"/>
      <c r="B140" s="4570"/>
      <c r="C140" s="5058"/>
      <c r="D140" s="5063"/>
      <c r="E140" s="5063"/>
      <c r="F140" s="5063"/>
      <c r="G140" s="5063"/>
      <c r="H140" s="5063"/>
      <c r="I140" s="5063"/>
      <c r="J140" s="5063"/>
      <c r="K140" s="5063"/>
      <c r="L140" s="5063"/>
      <c r="M140" s="5243"/>
      <c r="N140" s="5243"/>
      <c r="O140" s="5243"/>
      <c r="P140" s="4996"/>
      <c r="Q140" s="4996"/>
      <c r="R140" s="5027"/>
      <c r="S140" s="3947"/>
      <c r="T140" s="3485"/>
      <c r="U140" s="3381"/>
      <c r="V140" s="3502"/>
      <c r="W140" s="3406"/>
      <c r="X140" s="3492"/>
      <c r="Y140" s="3908"/>
      <c r="Z140" s="3908"/>
      <c r="AA140" s="3908"/>
      <c r="AB140" s="3907"/>
      <c r="AC140" s="539"/>
      <c r="AD140" s="541"/>
      <c r="AE140" s="541"/>
      <c r="AF140" s="5264"/>
      <c r="AG140" s="221"/>
      <c r="AH140" s="221"/>
      <c r="AI140" s="221"/>
      <c r="AJ140" s="221"/>
    </row>
    <row r="141" spans="1:36" ht="28.5" customHeight="1">
      <c r="A141" s="4564"/>
      <c r="B141" s="4570"/>
      <c r="C141" s="5058"/>
      <c r="D141" s="5063"/>
      <c r="E141" s="5063"/>
      <c r="F141" s="5063"/>
      <c r="G141" s="5063"/>
      <c r="H141" s="5063"/>
      <c r="I141" s="5063"/>
      <c r="J141" s="5063"/>
      <c r="K141" s="5063"/>
      <c r="L141" s="5063"/>
      <c r="M141" s="5243"/>
      <c r="N141" s="5243"/>
      <c r="O141" s="5243"/>
      <c r="P141" s="4996"/>
      <c r="Q141" s="4996"/>
      <c r="R141" s="5027"/>
      <c r="S141" s="3947"/>
      <c r="T141" s="3485"/>
      <c r="U141" s="3381"/>
      <c r="V141" s="3502"/>
      <c r="W141" s="3406"/>
      <c r="X141" s="3492"/>
      <c r="Y141" s="3908"/>
      <c r="Z141" s="3908"/>
      <c r="AA141" s="3908"/>
      <c r="AB141" s="3907"/>
      <c r="AC141" s="539"/>
      <c r="AD141" s="541"/>
      <c r="AE141" s="541"/>
      <c r="AF141" s="5264"/>
      <c r="AG141" s="221"/>
      <c r="AH141" s="221"/>
      <c r="AI141" s="221"/>
      <c r="AJ141" s="221"/>
    </row>
    <row r="142" spans="1:36" ht="28.5" customHeight="1">
      <c r="A142" s="4564"/>
      <c r="B142" s="4570"/>
      <c r="C142" s="5058"/>
      <c r="D142" s="5063"/>
      <c r="E142" s="5063"/>
      <c r="F142" s="5063"/>
      <c r="G142" s="5063"/>
      <c r="H142" s="5063"/>
      <c r="I142" s="5063"/>
      <c r="J142" s="5063"/>
      <c r="K142" s="5063"/>
      <c r="L142" s="5063"/>
      <c r="M142" s="5243"/>
      <c r="N142" s="5243"/>
      <c r="O142" s="5243"/>
      <c r="P142" s="4996"/>
      <c r="Q142" s="4996"/>
      <c r="R142" s="5027"/>
      <c r="S142" s="3947"/>
      <c r="T142" s="3485"/>
      <c r="U142" s="3381"/>
      <c r="V142" s="3502"/>
      <c r="W142" s="3406"/>
      <c r="X142" s="3492"/>
      <c r="Y142" s="3908"/>
      <c r="Z142" s="3908"/>
      <c r="AA142" s="3908"/>
      <c r="AB142" s="3907"/>
      <c r="AC142" s="539"/>
      <c r="AD142" s="541"/>
      <c r="AE142" s="541"/>
      <c r="AF142" s="5264"/>
      <c r="AG142" s="221"/>
      <c r="AH142" s="221"/>
      <c r="AI142" s="221"/>
      <c r="AJ142" s="221"/>
    </row>
    <row r="143" spans="1:36" ht="28.5" customHeight="1" thickBot="1">
      <c r="A143" s="4564"/>
      <c r="B143" s="4570"/>
      <c r="C143" s="5066"/>
      <c r="D143" s="5067"/>
      <c r="E143" s="5067"/>
      <c r="F143" s="5067"/>
      <c r="G143" s="5067"/>
      <c r="H143" s="5067"/>
      <c r="I143" s="5067"/>
      <c r="J143" s="5067"/>
      <c r="K143" s="5067"/>
      <c r="L143" s="5067"/>
      <c r="M143" s="5244"/>
      <c r="N143" s="5244"/>
      <c r="O143" s="5244"/>
      <c r="P143" s="5240"/>
      <c r="Q143" s="5240"/>
      <c r="R143" s="5242"/>
      <c r="S143" s="3948"/>
      <c r="T143" s="3915"/>
      <c r="U143" s="3939"/>
      <c r="V143" s="3933"/>
      <c r="W143" s="3926"/>
      <c r="X143" s="3923"/>
      <c r="Y143" s="3909"/>
      <c r="Z143" s="3909"/>
      <c r="AA143" s="3909"/>
      <c r="AB143" s="3910"/>
      <c r="AC143" s="542"/>
      <c r="AD143" s="543"/>
      <c r="AE143" s="543"/>
      <c r="AF143" s="5270"/>
      <c r="AG143" s="221"/>
      <c r="AH143" s="221"/>
      <c r="AI143" s="221"/>
      <c r="AJ143" s="221"/>
    </row>
    <row r="144" spans="1:36" ht="22.5" customHeight="1" thickBot="1">
      <c r="A144" s="4564"/>
      <c r="B144" s="4479"/>
      <c r="C144" s="5080"/>
      <c r="D144" s="4567"/>
      <c r="E144" s="4567"/>
      <c r="F144" s="4567"/>
      <c r="G144" s="4567"/>
      <c r="H144" s="4567"/>
      <c r="I144" s="4567"/>
      <c r="J144" s="4567"/>
      <c r="K144" s="4567"/>
      <c r="L144" s="4567"/>
      <c r="M144" s="4567"/>
      <c r="N144" s="4567"/>
      <c r="O144" s="4567"/>
      <c r="P144" s="4567"/>
      <c r="Q144" s="4567"/>
      <c r="R144" s="5099"/>
      <c r="S144" s="5100" t="s">
        <v>1425</v>
      </c>
      <c r="T144" s="4538"/>
      <c r="U144" s="4538"/>
      <c r="V144" s="4538"/>
      <c r="W144" s="4538"/>
      <c r="X144" s="4538"/>
      <c r="Y144" s="4538"/>
      <c r="Z144" s="4538"/>
      <c r="AA144" s="3953" t="s">
        <v>340</v>
      </c>
      <c r="AB144" s="2233">
        <f>SUM(AB9:AB143)</f>
        <v>805370.6492000001</v>
      </c>
      <c r="AC144" s="5271"/>
      <c r="AD144" s="5111"/>
      <c r="AE144" s="5111"/>
      <c r="AF144" s="4717"/>
      <c r="AG144" s="221"/>
      <c r="AH144" s="221"/>
      <c r="AI144" s="221"/>
      <c r="AJ144" s="221"/>
    </row>
    <row r="145" spans="1:36" ht="31.5" customHeight="1">
      <c r="A145" s="4564"/>
      <c r="B145" s="4571" t="s">
        <v>1426</v>
      </c>
      <c r="C145" s="5057" t="s">
        <v>235</v>
      </c>
      <c r="D145" s="5068" t="s">
        <v>236</v>
      </c>
      <c r="E145" s="5068" t="s">
        <v>237</v>
      </c>
      <c r="F145" s="5068" t="s">
        <v>238</v>
      </c>
      <c r="G145" s="5098" t="s">
        <v>239</v>
      </c>
      <c r="H145" s="5068" t="s">
        <v>240</v>
      </c>
      <c r="I145" s="5068" t="s">
        <v>257</v>
      </c>
      <c r="J145" s="5068" t="s">
        <v>5983</v>
      </c>
      <c r="K145" s="5068" t="s">
        <v>1427</v>
      </c>
      <c r="L145" s="5252" t="s">
        <v>5907</v>
      </c>
      <c r="M145" s="5250">
        <v>1</v>
      </c>
      <c r="N145" s="5250">
        <v>0</v>
      </c>
      <c r="O145" s="5250">
        <v>0</v>
      </c>
      <c r="P145" s="5068" t="s">
        <v>5810</v>
      </c>
      <c r="Q145" s="5068" t="s">
        <v>5859</v>
      </c>
      <c r="R145" s="5251" t="s">
        <v>1428</v>
      </c>
      <c r="S145" s="3942"/>
      <c r="T145" s="3717"/>
      <c r="U145" s="3717"/>
      <c r="V145" s="3715"/>
      <c r="W145" s="3928"/>
      <c r="X145" s="3898"/>
      <c r="Y145" s="3916"/>
      <c r="Z145" s="3904"/>
      <c r="AA145" s="3904"/>
      <c r="AB145" s="3904"/>
      <c r="AC145" s="577"/>
      <c r="AD145" s="320"/>
      <c r="AE145" s="320"/>
      <c r="AF145" s="4614"/>
      <c r="AG145" s="221"/>
      <c r="AH145" s="221"/>
      <c r="AI145" s="221"/>
      <c r="AJ145" s="221"/>
    </row>
    <row r="146" spans="1:36" ht="31.5" customHeight="1">
      <c r="A146" s="4564"/>
      <c r="B146" s="4570"/>
      <c r="C146" s="5058"/>
      <c r="D146" s="5063"/>
      <c r="E146" s="5063"/>
      <c r="F146" s="5063"/>
      <c r="G146" s="5063"/>
      <c r="H146" s="5063"/>
      <c r="I146" s="5063"/>
      <c r="J146" s="5063"/>
      <c r="K146" s="5063"/>
      <c r="L146" s="5063"/>
      <c r="M146" s="5243"/>
      <c r="N146" s="5243"/>
      <c r="O146" s="5243"/>
      <c r="P146" s="4996"/>
      <c r="Q146" s="4996"/>
      <c r="R146" s="5027"/>
      <c r="S146" s="3944"/>
      <c r="T146" s="3719"/>
      <c r="U146" s="3719"/>
      <c r="V146" s="3934"/>
      <c r="W146" s="3929"/>
      <c r="X146" s="3899"/>
      <c r="Y146" s="3917"/>
      <c r="Z146" s="3905"/>
      <c r="AA146" s="3905"/>
      <c r="AB146" s="3906"/>
      <c r="AC146" s="532"/>
      <c r="AD146" s="533"/>
      <c r="AE146" s="533"/>
      <c r="AF146" s="5264"/>
      <c r="AG146" s="221"/>
      <c r="AH146" s="221"/>
      <c r="AI146" s="221"/>
      <c r="AJ146" s="221"/>
    </row>
    <row r="147" spans="1:36" ht="31.5" customHeight="1">
      <c r="A147" s="4564"/>
      <c r="B147" s="4570"/>
      <c r="C147" s="5058"/>
      <c r="D147" s="5063"/>
      <c r="E147" s="5063"/>
      <c r="F147" s="5063"/>
      <c r="G147" s="5063"/>
      <c r="H147" s="5063"/>
      <c r="I147" s="5063"/>
      <c r="J147" s="5063"/>
      <c r="K147" s="5063"/>
      <c r="L147" s="5063"/>
      <c r="M147" s="5243"/>
      <c r="N147" s="5243"/>
      <c r="O147" s="5243"/>
      <c r="P147" s="4996"/>
      <c r="Q147" s="4996"/>
      <c r="R147" s="5027"/>
      <c r="S147" s="3943"/>
      <c r="T147" s="3719"/>
      <c r="U147" s="3718"/>
      <c r="V147" s="2681"/>
      <c r="W147" s="2630"/>
      <c r="X147" s="3544"/>
      <c r="Y147" s="3905"/>
      <c r="Z147" s="3905"/>
      <c r="AA147" s="3905"/>
      <c r="AB147" s="3906"/>
      <c r="AC147" s="532"/>
      <c r="AD147" s="533"/>
      <c r="AE147" s="533"/>
      <c r="AF147" s="5264"/>
      <c r="AG147" s="221"/>
      <c r="AH147" s="221"/>
      <c r="AI147" s="221"/>
      <c r="AJ147" s="221"/>
    </row>
    <row r="148" spans="1:36" ht="31.5" customHeight="1">
      <c r="A148" s="4564"/>
      <c r="B148" s="4570"/>
      <c r="C148" s="5058"/>
      <c r="D148" s="5063"/>
      <c r="E148" s="5063"/>
      <c r="F148" s="5063"/>
      <c r="G148" s="5063"/>
      <c r="H148" s="5063"/>
      <c r="I148" s="5063"/>
      <c r="J148" s="5063"/>
      <c r="K148" s="5063"/>
      <c r="L148" s="5063"/>
      <c r="M148" s="5243"/>
      <c r="N148" s="5243"/>
      <c r="O148" s="5243"/>
      <c r="P148" s="4996"/>
      <c r="Q148" s="4996"/>
      <c r="R148" s="5027"/>
      <c r="S148" s="3944"/>
      <c r="T148" s="3719"/>
      <c r="U148" s="3719"/>
      <c r="V148" s="2681"/>
      <c r="W148" s="2630"/>
      <c r="X148" s="3544"/>
      <c r="Y148" s="3905"/>
      <c r="Z148" s="3905"/>
      <c r="AA148" s="3905"/>
      <c r="AB148" s="3906"/>
      <c r="AC148" s="532"/>
      <c r="AD148" s="533"/>
      <c r="AE148" s="533"/>
      <c r="AF148" s="5264"/>
      <c r="AG148" s="221"/>
      <c r="AH148" s="221"/>
      <c r="AI148" s="221"/>
      <c r="AJ148" s="221"/>
    </row>
    <row r="149" spans="1:36" ht="31.5" customHeight="1">
      <c r="A149" s="4564"/>
      <c r="B149" s="4570"/>
      <c r="C149" s="5058"/>
      <c r="D149" s="5063"/>
      <c r="E149" s="5063"/>
      <c r="F149" s="5063"/>
      <c r="G149" s="5063"/>
      <c r="H149" s="5063"/>
      <c r="I149" s="5063"/>
      <c r="J149" s="5063"/>
      <c r="K149" s="5063"/>
      <c r="L149" s="5063"/>
      <c r="M149" s="5243"/>
      <c r="N149" s="5243"/>
      <c r="O149" s="5243"/>
      <c r="P149" s="4996"/>
      <c r="Q149" s="4996"/>
      <c r="R149" s="5027"/>
      <c r="S149" s="3949"/>
      <c r="T149" s="3733"/>
      <c r="U149" s="3720"/>
      <c r="V149" s="2682"/>
      <c r="W149" s="2631"/>
      <c r="X149" s="3548"/>
      <c r="Y149" s="3911"/>
      <c r="Z149" s="3911"/>
      <c r="AA149" s="3911"/>
      <c r="AB149" s="3912"/>
      <c r="AC149" s="575"/>
      <c r="AD149" s="321"/>
      <c r="AE149" s="321"/>
      <c r="AF149" s="5264"/>
      <c r="AG149" s="221"/>
      <c r="AH149" s="221"/>
      <c r="AI149" s="221"/>
      <c r="AJ149" s="221"/>
    </row>
    <row r="150" spans="1:36" ht="30" customHeight="1">
      <c r="A150" s="4564"/>
      <c r="B150" s="4570"/>
      <c r="C150" s="5059" t="s">
        <v>235</v>
      </c>
      <c r="D150" s="5064" t="s">
        <v>236</v>
      </c>
      <c r="E150" s="5064" t="s">
        <v>237</v>
      </c>
      <c r="F150" s="5064" t="s">
        <v>370</v>
      </c>
      <c r="G150" s="5076" t="s">
        <v>239</v>
      </c>
      <c r="H150" s="5064" t="s">
        <v>240</v>
      </c>
      <c r="I150" s="5064" t="s">
        <v>257</v>
      </c>
      <c r="J150" s="5064" t="s">
        <v>5984</v>
      </c>
      <c r="K150" s="5064" t="s">
        <v>1429</v>
      </c>
      <c r="L150" s="5064" t="s">
        <v>5908</v>
      </c>
      <c r="M150" s="5173">
        <v>30</v>
      </c>
      <c r="N150" s="5173">
        <v>50</v>
      </c>
      <c r="O150" s="5173">
        <v>20</v>
      </c>
      <c r="P150" s="4577" t="s">
        <v>5811</v>
      </c>
      <c r="Q150" s="4577" t="s">
        <v>5860</v>
      </c>
      <c r="R150" s="5123" t="s">
        <v>5775</v>
      </c>
      <c r="S150" s="4009"/>
      <c r="T150" s="3721"/>
      <c r="U150" s="3721"/>
      <c r="V150" s="3716"/>
      <c r="W150" s="4028"/>
      <c r="X150" s="4029"/>
      <c r="Y150" s="4030"/>
      <c r="Z150" s="4003"/>
      <c r="AA150" s="4003"/>
      <c r="AB150" s="4003"/>
      <c r="AC150" s="3605"/>
      <c r="AD150" s="3605"/>
      <c r="AE150" s="3605"/>
      <c r="AF150" s="5093"/>
      <c r="AG150" s="221"/>
      <c r="AH150" s="221"/>
      <c r="AI150" s="221"/>
      <c r="AJ150" s="221"/>
    </row>
    <row r="151" spans="1:36" ht="30" customHeight="1">
      <c r="A151" s="4564"/>
      <c r="B151" s="4570"/>
      <c r="C151" s="5058"/>
      <c r="D151" s="5063"/>
      <c r="E151" s="5063"/>
      <c r="F151" s="5063"/>
      <c r="G151" s="5063"/>
      <c r="H151" s="5063"/>
      <c r="I151" s="5063"/>
      <c r="J151" s="5063"/>
      <c r="K151" s="5063"/>
      <c r="L151" s="5063"/>
      <c r="M151" s="5243"/>
      <c r="N151" s="5243"/>
      <c r="O151" s="5243"/>
      <c r="P151" s="4996"/>
      <c r="Q151" s="4996"/>
      <c r="R151" s="5027"/>
      <c r="S151" s="3944"/>
      <c r="T151" s="3719"/>
      <c r="U151" s="3719"/>
      <c r="V151" s="3934"/>
      <c r="W151" s="3929"/>
      <c r="X151" s="3899"/>
      <c r="Y151" s="3917"/>
      <c r="Z151" s="3905"/>
      <c r="AA151" s="3905"/>
      <c r="AB151" s="3906"/>
      <c r="AC151" s="671"/>
      <c r="AD151" s="671"/>
      <c r="AE151" s="671"/>
      <c r="AF151" s="5264"/>
      <c r="AG151" s="221"/>
      <c r="AH151" s="221"/>
      <c r="AI151" s="221"/>
      <c r="AJ151" s="221"/>
    </row>
    <row r="152" spans="1:36" ht="30" customHeight="1">
      <c r="A152" s="4564"/>
      <c r="B152" s="4570"/>
      <c r="C152" s="5058"/>
      <c r="D152" s="5063"/>
      <c r="E152" s="5063"/>
      <c r="F152" s="5063"/>
      <c r="G152" s="5063"/>
      <c r="H152" s="5063"/>
      <c r="I152" s="5063"/>
      <c r="J152" s="5063"/>
      <c r="K152" s="5063"/>
      <c r="L152" s="5063"/>
      <c r="M152" s="5243"/>
      <c r="N152" s="5243"/>
      <c r="O152" s="5243"/>
      <c r="P152" s="4996"/>
      <c r="Q152" s="4996"/>
      <c r="R152" s="5027"/>
      <c r="S152" s="3944"/>
      <c r="T152" s="3719"/>
      <c r="U152" s="3719"/>
      <c r="V152" s="3934"/>
      <c r="W152" s="3929"/>
      <c r="X152" s="3899"/>
      <c r="Y152" s="3917"/>
      <c r="Z152" s="3905"/>
      <c r="AA152" s="3905"/>
      <c r="AB152" s="3906"/>
      <c r="AC152" s="671"/>
      <c r="AD152" s="671"/>
      <c r="AE152" s="671"/>
      <c r="AF152" s="5264"/>
      <c r="AG152" s="221"/>
      <c r="AH152" s="221"/>
      <c r="AI152" s="221"/>
      <c r="AJ152" s="221"/>
    </row>
    <row r="153" spans="1:36" ht="30" customHeight="1">
      <c r="A153" s="4564"/>
      <c r="B153" s="4570"/>
      <c r="C153" s="5058"/>
      <c r="D153" s="5063"/>
      <c r="E153" s="5063"/>
      <c r="F153" s="5063"/>
      <c r="G153" s="5063"/>
      <c r="H153" s="5063"/>
      <c r="I153" s="5063"/>
      <c r="J153" s="5063"/>
      <c r="K153" s="5063"/>
      <c r="L153" s="5063"/>
      <c r="M153" s="5243"/>
      <c r="N153" s="5243"/>
      <c r="O153" s="5243"/>
      <c r="P153" s="4996"/>
      <c r="Q153" s="4996"/>
      <c r="R153" s="5027"/>
      <c r="S153" s="3944"/>
      <c r="T153" s="3719"/>
      <c r="U153" s="3719"/>
      <c r="V153" s="3934"/>
      <c r="W153" s="3929"/>
      <c r="X153" s="3899"/>
      <c r="Y153" s="3917"/>
      <c r="Z153" s="3905"/>
      <c r="AA153" s="3905"/>
      <c r="AB153" s="3906"/>
      <c r="AC153" s="671"/>
      <c r="AD153" s="671"/>
      <c r="AE153" s="671"/>
      <c r="AF153" s="5264"/>
      <c r="AG153" s="221"/>
      <c r="AH153" s="221"/>
      <c r="AI153" s="221"/>
      <c r="AJ153" s="221"/>
    </row>
    <row r="154" spans="1:36" ht="30" customHeight="1">
      <c r="A154" s="4564"/>
      <c r="B154" s="4570"/>
      <c r="C154" s="5060"/>
      <c r="D154" s="5065"/>
      <c r="E154" s="5065"/>
      <c r="F154" s="5065"/>
      <c r="G154" s="5065"/>
      <c r="H154" s="5065"/>
      <c r="I154" s="5065"/>
      <c r="J154" s="5065"/>
      <c r="K154" s="5065"/>
      <c r="L154" s="5065"/>
      <c r="M154" s="5245"/>
      <c r="N154" s="5245"/>
      <c r="O154" s="5245"/>
      <c r="P154" s="5000"/>
      <c r="Q154" s="5000"/>
      <c r="R154" s="5249"/>
      <c r="S154" s="4022"/>
      <c r="T154" s="3729"/>
      <c r="U154" s="3729"/>
      <c r="V154" s="4023"/>
      <c r="W154" s="4024"/>
      <c r="X154" s="4025"/>
      <c r="Y154" s="4026"/>
      <c r="Z154" s="3994"/>
      <c r="AA154" s="3994"/>
      <c r="AB154" s="4026"/>
      <c r="AC154" s="4027"/>
      <c r="AD154" s="4027"/>
      <c r="AE154" s="4027"/>
      <c r="AF154" s="5265"/>
      <c r="AG154" s="221"/>
      <c r="AH154" s="221"/>
      <c r="AI154" s="221"/>
      <c r="AJ154" s="221"/>
    </row>
    <row r="155" spans="1:36" ht="31.5" customHeight="1">
      <c r="A155" s="4564"/>
      <c r="B155" s="4570"/>
      <c r="C155" s="5061" t="s">
        <v>235</v>
      </c>
      <c r="D155" s="5062" t="s">
        <v>236</v>
      </c>
      <c r="E155" s="5062" t="s">
        <v>237</v>
      </c>
      <c r="F155" s="5062" t="s">
        <v>370</v>
      </c>
      <c r="G155" s="5069" t="s">
        <v>239</v>
      </c>
      <c r="H155" s="5062" t="s">
        <v>240</v>
      </c>
      <c r="I155" s="5062" t="s">
        <v>257</v>
      </c>
      <c r="J155" s="5062" t="s">
        <v>5985</v>
      </c>
      <c r="K155" s="5062" t="s">
        <v>1430</v>
      </c>
      <c r="L155" s="5062" t="s">
        <v>5909</v>
      </c>
      <c r="M155" s="4998">
        <v>30</v>
      </c>
      <c r="N155" s="4998">
        <v>50</v>
      </c>
      <c r="O155" s="4998">
        <v>20</v>
      </c>
      <c r="P155" s="5062" t="s">
        <v>5812</v>
      </c>
      <c r="Q155" s="5062" t="s">
        <v>5861</v>
      </c>
      <c r="R155" s="5124" t="s">
        <v>5776</v>
      </c>
      <c r="S155" s="3990" t="s">
        <v>11</v>
      </c>
      <c r="T155" s="3725">
        <v>840103</v>
      </c>
      <c r="U155" s="3725"/>
      <c r="V155" s="3530" t="s">
        <v>22</v>
      </c>
      <c r="W155" s="4019"/>
      <c r="X155" s="4020"/>
      <c r="Y155" s="4021"/>
      <c r="Z155" s="4004"/>
      <c r="AA155" s="4004"/>
      <c r="AB155" s="3992">
        <f>SUM(AA156:AA158)</f>
        <v>470.40000000000003</v>
      </c>
      <c r="AC155" s="3528"/>
      <c r="AD155" s="3528"/>
      <c r="AE155" s="3528"/>
      <c r="AF155" s="5115"/>
      <c r="AG155" s="221"/>
      <c r="AH155" s="221"/>
      <c r="AI155" s="221"/>
      <c r="AJ155" s="221"/>
    </row>
    <row r="156" spans="1:36" ht="24" customHeight="1">
      <c r="A156" s="4564"/>
      <c r="B156" s="4570"/>
      <c r="C156" s="5058"/>
      <c r="D156" s="5063"/>
      <c r="E156" s="5063"/>
      <c r="F156" s="5063"/>
      <c r="G156" s="5063"/>
      <c r="H156" s="5063"/>
      <c r="I156" s="5063"/>
      <c r="J156" s="5063"/>
      <c r="K156" s="5063"/>
      <c r="L156" s="5063"/>
      <c r="M156" s="5243"/>
      <c r="N156" s="5243"/>
      <c r="O156" s="5243"/>
      <c r="P156" s="4996"/>
      <c r="Q156" s="4996"/>
      <c r="R156" s="5027"/>
      <c r="S156" s="3944"/>
      <c r="T156" s="3719"/>
      <c r="U156" s="3718">
        <v>3811100001</v>
      </c>
      <c r="V156" s="2681" t="s">
        <v>948</v>
      </c>
      <c r="W156" s="2630">
        <v>2</v>
      </c>
      <c r="X156" s="3544" t="s">
        <v>269</v>
      </c>
      <c r="Y156" s="3905">
        <v>210</v>
      </c>
      <c r="Z156" s="3905">
        <f t="shared" ref="Z156" si="36">+W156*Y156</f>
        <v>420</v>
      </c>
      <c r="AA156" s="3905">
        <f t="shared" ref="AA156" si="37">+Z156*1.12</f>
        <v>470.40000000000003</v>
      </c>
      <c r="AB156" s="3917"/>
      <c r="AC156" s="671" t="s">
        <v>251</v>
      </c>
      <c r="AD156" s="671"/>
      <c r="AE156" s="671"/>
      <c r="AF156" s="5264"/>
      <c r="AG156" s="221"/>
      <c r="AH156" s="221"/>
      <c r="AI156" s="221"/>
      <c r="AJ156" s="221"/>
    </row>
    <row r="157" spans="1:36" ht="33.75" customHeight="1">
      <c r="A157" s="4564"/>
      <c r="B157" s="4570"/>
      <c r="C157" s="5058"/>
      <c r="D157" s="5063"/>
      <c r="E157" s="5063"/>
      <c r="F157" s="5063"/>
      <c r="G157" s="5063"/>
      <c r="H157" s="5063"/>
      <c r="I157" s="5063"/>
      <c r="J157" s="5063"/>
      <c r="K157" s="5063"/>
      <c r="L157" s="5063"/>
      <c r="M157" s="5243"/>
      <c r="N157" s="5243"/>
      <c r="O157" s="5243"/>
      <c r="P157" s="4996"/>
      <c r="Q157" s="4996"/>
      <c r="R157" s="5027"/>
      <c r="S157" s="3944"/>
      <c r="T157" s="3719"/>
      <c r="U157" s="3719"/>
      <c r="V157" s="3934"/>
      <c r="W157" s="3929"/>
      <c r="X157" s="3899"/>
      <c r="Y157" s="3917"/>
      <c r="Z157" s="3905"/>
      <c r="AA157" s="3905"/>
      <c r="AB157" s="3917"/>
      <c r="AC157" s="671"/>
      <c r="AD157" s="671"/>
      <c r="AE157" s="671"/>
      <c r="AF157" s="5264"/>
      <c r="AG157" s="221"/>
      <c r="AH157" s="221"/>
      <c r="AI157" s="221"/>
      <c r="AJ157" s="221"/>
    </row>
    <row r="158" spans="1:36" ht="26.25" customHeight="1">
      <c r="A158" s="4564"/>
      <c r="B158" s="4570"/>
      <c r="C158" s="5058"/>
      <c r="D158" s="5063"/>
      <c r="E158" s="5063"/>
      <c r="F158" s="5063"/>
      <c r="G158" s="5063"/>
      <c r="H158" s="5063"/>
      <c r="I158" s="5063"/>
      <c r="J158" s="5063"/>
      <c r="K158" s="5063"/>
      <c r="L158" s="5063"/>
      <c r="M158" s="5243"/>
      <c r="N158" s="5243"/>
      <c r="O158" s="5243"/>
      <c r="P158" s="4996"/>
      <c r="Q158" s="4996"/>
      <c r="R158" s="5027"/>
      <c r="S158" s="3944"/>
      <c r="T158" s="3719"/>
      <c r="U158" s="3719"/>
      <c r="V158" s="3934"/>
      <c r="W158" s="3929"/>
      <c r="X158" s="3899"/>
      <c r="Y158" s="3917"/>
      <c r="Z158" s="3905"/>
      <c r="AA158" s="3905"/>
      <c r="AB158" s="3917"/>
      <c r="AC158" s="671"/>
      <c r="AD158" s="671"/>
      <c r="AE158" s="671"/>
      <c r="AF158" s="5264"/>
      <c r="AG158" s="221"/>
      <c r="AH158" s="221"/>
      <c r="AI158" s="221"/>
      <c r="AJ158" s="221"/>
    </row>
    <row r="159" spans="1:36" ht="54" customHeight="1">
      <c r="A159" s="4564"/>
      <c r="B159" s="4570"/>
      <c r="C159" s="5058"/>
      <c r="D159" s="5063"/>
      <c r="E159" s="5063"/>
      <c r="F159" s="5063"/>
      <c r="G159" s="5063"/>
      <c r="H159" s="5063"/>
      <c r="I159" s="5063"/>
      <c r="J159" s="5063"/>
      <c r="K159" s="5063"/>
      <c r="L159" s="5063"/>
      <c r="M159" s="5243"/>
      <c r="N159" s="5243"/>
      <c r="O159" s="5243"/>
      <c r="P159" s="4996"/>
      <c r="Q159" s="4996"/>
      <c r="R159" s="5027"/>
      <c r="S159" s="3952"/>
      <c r="T159" s="3733"/>
      <c r="U159" s="3733"/>
      <c r="V159" s="3935"/>
      <c r="W159" s="3930"/>
      <c r="X159" s="3900"/>
      <c r="Y159" s="3918"/>
      <c r="Z159" s="3918"/>
      <c r="AA159" s="3918"/>
      <c r="AB159" s="3918"/>
      <c r="AC159" s="676"/>
      <c r="AD159" s="676"/>
      <c r="AE159" s="676"/>
      <c r="AF159" s="5264"/>
      <c r="AG159" s="221"/>
      <c r="AH159" s="221"/>
      <c r="AI159" s="221"/>
      <c r="AJ159" s="221"/>
    </row>
    <row r="160" spans="1:36" ht="25.5" customHeight="1">
      <c r="A160" s="4564"/>
      <c r="B160" s="4570"/>
      <c r="C160" s="5059" t="s">
        <v>235</v>
      </c>
      <c r="D160" s="5064" t="s">
        <v>236</v>
      </c>
      <c r="E160" s="5064" t="s">
        <v>237</v>
      </c>
      <c r="F160" s="5064" t="s">
        <v>370</v>
      </c>
      <c r="G160" s="5076" t="s">
        <v>239</v>
      </c>
      <c r="H160" s="5064" t="s">
        <v>240</v>
      </c>
      <c r="I160" s="5064" t="s">
        <v>257</v>
      </c>
      <c r="J160" s="5064" t="s">
        <v>5986</v>
      </c>
      <c r="K160" s="5064" t="s">
        <v>1431</v>
      </c>
      <c r="L160" s="4577" t="s">
        <v>5910</v>
      </c>
      <c r="M160" s="5173">
        <v>3</v>
      </c>
      <c r="N160" s="5173">
        <v>3</v>
      </c>
      <c r="O160" s="5173">
        <v>3</v>
      </c>
      <c r="P160" s="5064" t="s">
        <v>5813</v>
      </c>
      <c r="Q160" s="5064" t="s">
        <v>5862</v>
      </c>
      <c r="R160" s="5123" t="s">
        <v>5777</v>
      </c>
      <c r="S160" s="4009"/>
      <c r="T160" s="3721"/>
      <c r="U160" s="3721"/>
      <c r="V160" s="3716"/>
      <c r="W160" s="4028"/>
      <c r="X160" s="4029"/>
      <c r="Y160" s="4030"/>
      <c r="Z160" s="3998"/>
      <c r="AA160" s="3998"/>
      <c r="AB160" s="4003"/>
      <c r="AC160" s="3605"/>
      <c r="AD160" s="3605"/>
      <c r="AE160" s="3605"/>
      <c r="AF160" s="5093"/>
      <c r="AG160" s="221"/>
      <c r="AH160" s="221"/>
      <c r="AI160" s="221"/>
      <c r="AJ160" s="221"/>
    </row>
    <row r="161" spans="1:36" ht="25.5" customHeight="1">
      <c r="A161" s="4564"/>
      <c r="B161" s="4570"/>
      <c r="C161" s="5058"/>
      <c r="D161" s="5063"/>
      <c r="E161" s="5063"/>
      <c r="F161" s="5063"/>
      <c r="G161" s="5063"/>
      <c r="H161" s="5063"/>
      <c r="I161" s="5063"/>
      <c r="J161" s="5063"/>
      <c r="K161" s="5063"/>
      <c r="L161" s="5063"/>
      <c r="M161" s="5243"/>
      <c r="N161" s="5243"/>
      <c r="O161" s="5243"/>
      <c r="P161" s="4996"/>
      <c r="Q161" s="4996"/>
      <c r="R161" s="5246"/>
      <c r="S161" s="3944"/>
      <c r="T161" s="3719"/>
      <c r="U161" s="3719"/>
      <c r="V161" s="3934"/>
      <c r="W161" s="3929"/>
      <c r="X161" s="3899"/>
      <c r="Y161" s="3917"/>
      <c r="Z161" s="3905"/>
      <c r="AA161" s="3905"/>
      <c r="AB161" s="3917"/>
      <c r="AC161" s="671"/>
      <c r="AD161" s="671"/>
      <c r="AE161" s="671"/>
      <c r="AF161" s="5264"/>
      <c r="AG161" s="221"/>
      <c r="AH161" s="221"/>
      <c r="AI161" s="221"/>
      <c r="AJ161" s="221"/>
    </row>
    <row r="162" spans="1:36" ht="25.5" customHeight="1">
      <c r="A162" s="4564"/>
      <c r="B162" s="4570"/>
      <c r="C162" s="5058"/>
      <c r="D162" s="5063"/>
      <c r="E162" s="5063"/>
      <c r="F162" s="5063"/>
      <c r="G162" s="5063"/>
      <c r="H162" s="5063"/>
      <c r="I162" s="5063"/>
      <c r="J162" s="5063"/>
      <c r="K162" s="5063"/>
      <c r="L162" s="5063"/>
      <c r="M162" s="5243"/>
      <c r="N162" s="5243"/>
      <c r="O162" s="5243"/>
      <c r="P162" s="4996"/>
      <c r="Q162" s="4996"/>
      <c r="R162" s="5246"/>
      <c r="S162" s="3944"/>
      <c r="T162" s="3719"/>
      <c r="U162" s="3719"/>
      <c r="V162" s="3934"/>
      <c r="W162" s="3929"/>
      <c r="X162" s="3899"/>
      <c r="Y162" s="3917"/>
      <c r="Z162" s="3905"/>
      <c r="AA162" s="3905"/>
      <c r="AB162" s="3917"/>
      <c r="AC162" s="671"/>
      <c r="AD162" s="671"/>
      <c r="AE162" s="671"/>
      <c r="AF162" s="5264"/>
      <c r="AG162" s="221"/>
      <c r="AH162" s="221"/>
      <c r="AI162" s="221"/>
      <c r="AJ162" s="221"/>
    </row>
    <row r="163" spans="1:36" ht="25.5" customHeight="1">
      <c r="A163" s="4564"/>
      <c r="B163" s="4570"/>
      <c r="C163" s="5058"/>
      <c r="D163" s="5063"/>
      <c r="E163" s="5063"/>
      <c r="F163" s="5063"/>
      <c r="G163" s="5063"/>
      <c r="H163" s="5063"/>
      <c r="I163" s="5063"/>
      <c r="J163" s="5063"/>
      <c r="K163" s="5063"/>
      <c r="L163" s="5063"/>
      <c r="M163" s="5243"/>
      <c r="N163" s="5243"/>
      <c r="O163" s="5243"/>
      <c r="P163" s="4996"/>
      <c r="Q163" s="4996"/>
      <c r="R163" s="5246"/>
      <c r="S163" s="3944"/>
      <c r="T163" s="3719"/>
      <c r="U163" s="3719"/>
      <c r="V163" s="3934"/>
      <c r="W163" s="3929"/>
      <c r="X163" s="3899"/>
      <c r="Y163" s="3917"/>
      <c r="Z163" s="3905"/>
      <c r="AA163" s="3905"/>
      <c r="AB163" s="3917"/>
      <c r="AC163" s="671"/>
      <c r="AD163" s="671"/>
      <c r="AE163" s="671"/>
      <c r="AF163" s="5264"/>
      <c r="AG163" s="221"/>
      <c r="AH163" s="221"/>
      <c r="AI163" s="221"/>
      <c r="AJ163" s="221"/>
    </row>
    <row r="164" spans="1:36" ht="25.5" customHeight="1">
      <c r="A164" s="4564"/>
      <c r="B164" s="4570"/>
      <c r="C164" s="5060"/>
      <c r="D164" s="5065"/>
      <c r="E164" s="5065"/>
      <c r="F164" s="5065"/>
      <c r="G164" s="5065"/>
      <c r="H164" s="5065"/>
      <c r="I164" s="5065"/>
      <c r="J164" s="5065"/>
      <c r="K164" s="5065"/>
      <c r="L164" s="5065"/>
      <c r="M164" s="5245"/>
      <c r="N164" s="5245"/>
      <c r="O164" s="5245"/>
      <c r="P164" s="5000"/>
      <c r="Q164" s="5000"/>
      <c r="R164" s="5247"/>
      <c r="S164" s="4022"/>
      <c r="T164" s="3729"/>
      <c r="U164" s="3729"/>
      <c r="V164" s="4023"/>
      <c r="W164" s="4024"/>
      <c r="X164" s="4025"/>
      <c r="Y164" s="4026"/>
      <c r="Z164" s="4026"/>
      <c r="AA164" s="4026"/>
      <c r="AB164" s="4026"/>
      <c r="AC164" s="4027"/>
      <c r="AD164" s="4027"/>
      <c r="AE164" s="4027"/>
      <c r="AF164" s="5265"/>
      <c r="AG164" s="221"/>
      <c r="AH164" s="221"/>
      <c r="AI164" s="221"/>
      <c r="AJ164" s="221"/>
    </row>
    <row r="165" spans="1:36" ht="25.5" customHeight="1">
      <c r="A165" s="4564"/>
      <c r="B165" s="4570"/>
      <c r="C165" s="5059" t="s">
        <v>235</v>
      </c>
      <c r="D165" s="5064" t="s">
        <v>236</v>
      </c>
      <c r="E165" s="5064" t="s">
        <v>237</v>
      </c>
      <c r="F165" s="5064" t="s">
        <v>370</v>
      </c>
      <c r="G165" s="5076" t="s">
        <v>239</v>
      </c>
      <c r="H165" s="5064" t="s">
        <v>240</v>
      </c>
      <c r="I165" s="5064" t="s">
        <v>257</v>
      </c>
      <c r="J165" s="5064" t="s">
        <v>5987</v>
      </c>
      <c r="K165" s="5064" t="s">
        <v>338</v>
      </c>
      <c r="L165" s="4577" t="s">
        <v>1358</v>
      </c>
      <c r="M165" s="5173">
        <v>0</v>
      </c>
      <c r="N165" s="5173">
        <v>1</v>
      </c>
      <c r="O165" s="5173">
        <v>1</v>
      </c>
      <c r="P165" s="5064" t="s">
        <v>5814</v>
      </c>
      <c r="Q165" s="5064" t="s">
        <v>5863</v>
      </c>
      <c r="R165" s="5123" t="s">
        <v>5778</v>
      </c>
      <c r="S165" s="4009"/>
      <c r="T165" s="3721"/>
      <c r="U165" s="3721"/>
      <c r="V165" s="3716"/>
      <c r="W165" s="4028"/>
      <c r="X165" s="4029"/>
      <c r="Y165" s="4030"/>
      <c r="Z165" s="3998"/>
      <c r="AA165" s="3998"/>
      <c r="AB165" s="4003"/>
      <c r="AC165" s="3605"/>
      <c r="AD165" s="3605"/>
      <c r="AE165" s="3605"/>
      <c r="AF165" s="5093"/>
      <c r="AG165" s="221"/>
      <c r="AH165" s="221"/>
      <c r="AI165" s="221"/>
      <c r="AJ165" s="221"/>
    </row>
    <row r="166" spans="1:36" ht="25.5" customHeight="1">
      <c r="A166" s="4564"/>
      <c r="B166" s="4570"/>
      <c r="C166" s="5058"/>
      <c r="D166" s="5063"/>
      <c r="E166" s="5063"/>
      <c r="F166" s="5063"/>
      <c r="G166" s="5063"/>
      <c r="H166" s="5063"/>
      <c r="I166" s="5063"/>
      <c r="J166" s="5063"/>
      <c r="K166" s="5063"/>
      <c r="L166" s="5063"/>
      <c r="M166" s="5243"/>
      <c r="N166" s="5243"/>
      <c r="O166" s="5243"/>
      <c r="P166" s="4996"/>
      <c r="Q166" s="4996"/>
      <c r="R166" s="5027"/>
      <c r="S166" s="3944"/>
      <c r="T166" s="3719"/>
      <c r="U166" s="3719"/>
      <c r="V166" s="3934"/>
      <c r="W166" s="3929"/>
      <c r="X166" s="3899"/>
      <c r="Y166" s="3917"/>
      <c r="Z166" s="3905"/>
      <c r="AA166" s="3905"/>
      <c r="AB166" s="3917"/>
      <c r="AC166" s="671"/>
      <c r="AD166" s="671"/>
      <c r="AE166" s="671"/>
      <c r="AF166" s="5264"/>
      <c r="AG166" s="221"/>
      <c r="AH166" s="221"/>
      <c r="AI166" s="221"/>
      <c r="AJ166" s="221"/>
    </row>
    <row r="167" spans="1:36" ht="25.5" customHeight="1">
      <c r="A167" s="4564"/>
      <c r="B167" s="4570"/>
      <c r="C167" s="5058"/>
      <c r="D167" s="5063"/>
      <c r="E167" s="5063"/>
      <c r="F167" s="5063"/>
      <c r="G167" s="5063"/>
      <c r="H167" s="5063"/>
      <c r="I167" s="5063"/>
      <c r="J167" s="5063"/>
      <c r="K167" s="5063"/>
      <c r="L167" s="5063"/>
      <c r="M167" s="5243"/>
      <c r="N167" s="5243"/>
      <c r="O167" s="5243"/>
      <c r="P167" s="4996"/>
      <c r="Q167" s="4996"/>
      <c r="R167" s="5027"/>
      <c r="S167" s="3944"/>
      <c r="T167" s="3719"/>
      <c r="U167" s="3719"/>
      <c r="V167" s="3934"/>
      <c r="W167" s="3929"/>
      <c r="X167" s="3899"/>
      <c r="Y167" s="3917"/>
      <c r="Z167" s="3905"/>
      <c r="AA167" s="3905"/>
      <c r="AB167" s="3917"/>
      <c r="AC167" s="671"/>
      <c r="AD167" s="671"/>
      <c r="AE167" s="671"/>
      <c r="AF167" s="5264"/>
      <c r="AG167" s="221"/>
      <c r="AH167" s="221"/>
      <c r="AI167" s="221"/>
      <c r="AJ167" s="221"/>
    </row>
    <row r="168" spans="1:36" ht="25.5" customHeight="1">
      <c r="A168" s="4564"/>
      <c r="B168" s="4570"/>
      <c r="C168" s="5058"/>
      <c r="D168" s="5063"/>
      <c r="E168" s="5063"/>
      <c r="F168" s="5063"/>
      <c r="G168" s="5063"/>
      <c r="H168" s="5063"/>
      <c r="I168" s="5063"/>
      <c r="J168" s="5063"/>
      <c r="K168" s="5063"/>
      <c r="L168" s="5063"/>
      <c r="M168" s="5243"/>
      <c r="N168" s="5243"/>
      <c r="O168" s="5243"/>
      <c r="P168" s="4996"/>
      <c r="Q168" s="4996"/>
      <c r="R168" s="5027"/>
      <c r="S168" s="3944"/>
      <c r="T168" s="3719"/>
      <c r="U168" s="3719"/>
      <c r="V168" s="3934"/>
      <c r="W168" s="3929"/>
      <c r="X168" s="3899"/>
      <c r="Y168" s="3917"/>
      <c r="Z168" s="3905"/>
      <c r="AA168" s="3905"/>
      <c r="AB168" s="3917"/>
      <c r="AC168" s="671"/>
      <c r="AD168" s="671"/>
      <c r="AE168" s="671"/>
      <c r="AF168" s="5264"/>
      <c r="AG168" s="221"/>
      <c r="AH168" s="221"/>
      <c r="AI168" s="221"/>
      <c r="AJ168" s="221"/>
    </row>
    <row r="169" spans="1:36" ht="25.5" customHeight="1">
      <c r="A169" s="4564"/>
      <c r="B169" s="4570"/>
      <c r="C169" s="5060"/>
      <c r="D169" s="5065"/>
      <c r="E169" s="5065"/>
      <c r="F169" s="5065"/>
      <c r="G169" s="5065"/>
      <c r="H169" s="5065"/>
      <c r="I169" s="5065"/>
      <c r="J169" s="5065"/>
      <c r="K169" s="5065"/>
      <c r="L169" s="5065"/>
      <c r="M169" s="5245"/>
      <c r="N169" s="5245"/>
      <c r="O169" s="5245"/>
      <c r="P169" s="5000"/>
      <c r="Q169" s="5000"/>
      <c r="R169" s="5249"/>
      <c r="S169" s="4022"/>
      <c r="T169" s="3729"/>
      <c r="U169" s="3729"/>
      <c r="V169" s="4023"/>
      <c r="W169" s="4024"/>
      <c r="X169" s="4025"/>
      <c r="Y169" s="4026"/>
      <c r="Z169" s="4026"/>
      <c r="AA169" s="4026"/>
      <c r="AB169" s="4026"/>
      <c r="AC169" s="4027"/>
      <c r="AD169" s="4027"/>
      <c r="AE169" s="4027"/>
      <c r="AF169" s="5265"/>
      <c r="AG169" s="221"/>
      <c r="AH169" s="221"/>
      <c r="AI169" s="221"/>
      <c r="AJ169" s="221"/>
    </row>
    <row r="170" spans="1:36" ht="27" customHeight="1">
      <c r="A170" s="4564"/>
      <c r="B170" s="4570"/>
      <c r="C170" s="5061" t="s">
        <v>235</v>
      </c>
      <c r="D170" s="5062" t="s">
        <v>236</v>
      </c>
      <c r="E170" s="5062" t="s">
        <v>237</v>
      </c>
      <c r="F170" s="5062" t="s">
        <v>370</v>
      </c>
      <c r="G170" s="5069" t="s">
        <v>239</v>
      </c>
      <c r="H170" s="5062" t="s">
        <v>240</v>
      </c>
      <c r="I170" s="5062" t="s">
        <v>257</v>
      </c>
      <c r="J170" s="5062" t="s">
        <v>5988</v>
      </c>
      <c r="K170" s="5062" t="s">
        <v>371</v>
      </c>
      <c r="L170" s="5062" t="s">
        <v>5911</v>
      </c>
      <c r="M170" s="4998">
        <v>30</v>
      </c>
      <c r="N170" s="4998">
        <v>50</v>
      </c>
      <c r="O170" s="4998">
        <v>20</v>
      </c>
      <c r="P170" s="5062" t="s">
        <v>5815</v>
      </c>
      <c r="Q170" s="5062" t="s">
        <v>5864</v>
      </c>
      <c r="R170" s="5124" t="s">
        <v>5779</v>
      </c>
      <c r="S170" s="3990"/>
      <c r="T170" s="3380"/>
      <c r="U170" s="3380"/>
      <c r="V170" s="3501"/>
      <c r="W170" s="3405"/>
      <c r="X170" s="4005"/>
      <c r="Y170" s="4006"/>
      <c r="Z170" s="4004"/>
      <c r="AA170" s="4004"/>
      <c r="AB170" s="3992"/>
      <c r="AC170" s="4031"/>
      <c r="AD170" s="4031"/>
      <c r="AE170" s="4031"/>
      <c r="AF170" s="5272"/>
      <c r="AG170" s="221"/>
      <c r="AH170" s="221"/>
      <c r="AI170" s="221"/>
      <c r="AJ170" s="221"/>
    </row>
    <row r="171" spans="1:36" ht="27" customHeight="1">
      <c r="A171" s="4564"/>
      <c r="B171" s="4570"/>
      <c r="C171" s="5058"/>
      <c r="D171" s="5063"/>
      <c r="E171" s="5063"/>
      <c r="F171" s="5063"/>
      <c r="G171" s="5063"/>
      <c r="H171" s="5063"/>
      <c r="I171" s="5063"/>
      <c r="J171" s="5063"/>
      <c r="K171" s="5063"/>
      <c r="L171" s="5063"/>
      <c r="M171" s="5243"/>
      <c r="N171" s="5243"/>
      <c r="O171" s="5243"/>
      <c r="P171" s="4996"/>
      <c r="Q171" s="4996"/>
      <c r="R171" s="5027"/>
      <c r="S171" s="3947"/>
      <c r="T171" s="3485"/>
      <c r="U171" s="3381"/>
      <c r="V171" s="3502"/>
      <c r="W171" s="3406"/>
      <c r="X171" s="3492"/>
      <c r="Y171" s="3908"/>
      <c r="Z171" s="3905"/>
      <c r="AA171" s="3905"/>
      <c r="AB171" s="3917"/>
      <c r="AC171" s="672"/>
      <c r="AD171" s="672"/>
      <c r="AE171" s="672"/>
      <c r="AF171" s="5264"/>
      <c r="AG171" s="221"/>
      <c r="AH171" s="221"/>
      <c r="AI171" s="221"/>
      <c r="AJ171" s="221"/>
    </row>
    <row r="172" spans="1:36" ht="27" customHeight="1">
      <c r="A172" s="4564"/>
      <c r="B172" s="4570"/>
      <c r="C172" s="5058"/>
      <c r="D172" s="5063"/>
      <c r="E172" s="5063"/>
      <c r="F172" s="5063"/>
      <c r="G172" s="5063"/>
      <c r="H172" s="5063"/>
      <c r="I172" s="5063"/>
      <c r="J172" s="5063"/>
      <c r="K172" s="5063"/>
      <c r="L172" s="5063"/>
      <c r="M172" s="5243"/>
      <c r="N172" s="5243"/>
      <c r="O172" s="5243"/>
      <c r="P172" s="4996"/>
      <c r="Q172" s="4996"/>
      <c r="R172" s="5027"/>
      <c r="S172" s="3946"/>
      <c r="T172" s="3485"/>
      <c r="U172" s="3485"/>
      <c r="V172" s="3936"/>
      <c r="W172" s="3931"/>
      <c r="X172" s="3901"/>
      <c r="Y172" s="3919"/>
      <c r="Z172" s="3905"/>
      <c r="AA172" s="3905"/>
      <c r="AB172" s="3917"/>
      <c r="AC172" s="672"/>
      <c r="AD172" s="672"/>
      <c r="AE172" s="672"/>
      <c r="AF172" s="5264"/>
      <c r="AG172" s="221"/>
      <c r="AH172" s="221"/>
      <c r="AI172" s="221"/>
      <c r="AJ172" s="221"/>
    </row>
    <row r="173" spans="1:36" ht="27" customHeight="1">
      <c r="A173" s="4564"/>
      <c r="B173" s="4570"/>
      <c r="C173" s="5058"/>
      <c r="D173" s="5063"/>
      <c r="E173" s="5063"/>
      <c r="F173" s="5063"/>
      <c r="G173" s="5063"/>
      <c r="H173" s="5063"/>
      <c r="I173" s="5063"/>
      <c r="J173" s="5063"/>
      <c r="K173" s="5063"/>
      <c r="L173" s="5063"/>
      <c r="M173" s="5243"/>
      <c r="N173" s="5243"/>
      <c r="O173" s="5243"/>
      <c r="P173" s="4996"/>
      <c r="Q173" s="4996"/>
      <c r="R173" s="5027"/>
      <c r="S173" s="3946"/>
      <c r="T173" s="3485"/>
      <c r="U173" s="3485"/>
      <c r="V173" s="3936"/>
      <c r="W173" s="3931"/>
      <c r="X173" s="3901"/>
      <c r="Y173" s="3919"/>
      <c r="Z173" s="3905"/>
      <c r="AA173" s="3905"/>
      <c r="AB173" s="3917"/>
      <c r="AC173" s="672"/>
      <c r="AD173" s="672"/>
      <c r="AE173" s="672"/>
      <c r="AF173" s="5264"/>
      <c r="AG173" s="221"/>
      <c r="AH173" s="221"/>
      <c r="AI173" s="221"/>
      <c r="AJ173" s="221"/>
    </row>
    <row r="174" spans="1:36" ht="27" customHeight="1" thickBot="1">
      <c r="A174" s="4564"/>
      <c r="B174" s="4570"/>
      <c r="C174" s="5066"/>
      <c r="D174" s="5067"/>
      <c r="E174" s="5067"/>
      <c r="F174" s="5067"/>
      <c r="G174" s="5067"/>
      <c r="H174" s="5067"/>
      <c r="I174" s="5067"/>
      <c r="J174" s="5067"/>
      <c r="K174" s="5067"/>
      <c r="L174" s="5067"/>
      <c r="M174" s="5244"/>
      <c r="N174" s="5244"/>
      <c r="O174" s="5244"/>
      <c r="P174" s="5240"/>
      <c r="Q174" s="5240"/>
      <c r="R174" s="5242"/>
      <c r="S174" s="3950"/>
      <c r="T174" s="3915"/>
      <c r="U174" s="3915"/>
      <c r="V174" s="3937"/>
      <c r="W174" s="3932"/>
      <c r="X174" s="3902"/>
      <c r="Y174" s="3920"/>
      <c r="Z174" s="3920"/>
      <c r="AA174" s="3920"/>
      <c r="AB174" s="3920"/>
      <c r="AC174" s="675"/>
      <c r="AD174" s="675"/>
      <c r="AE174" s="675"/>
      <c r="AF174" s="5270"/>
      <c r="AG174" s="221"/>
      <c r="AH174" s="221"/>
      <c r="AI174" s="221"/>
      <c r="AJ174" s="221"/>
    </row>
    <row r="175" spans="1:36" ht="22.5" customHeight="1" thickBot="1">
      <c r="A175" s="4564"/>
      <c r="B175" s="4479"/>
      <c r="C175" s="5080"/>
      <c r="D175" s="4567"/>
      <c r="E175" s="4567"/>
      <c r="F175" s="4567"/>
      <c r="G175" s="4567"/>
      <c r="H175" s="4567"/>
      <c r="I175" s="4567"/>
      <c r="J175" s="4567"/>
      <c r="K175" s="4567"/>
      <c r="L175" s="4567"/>
      <c r="M175" s="4567"/>
      <c r="N175" s="4567"/>
      <c r="O175" s="4567"/>
      <c r="P175" s="4567"/>
      <c r="Q175" s="4567"/>
      <c r="R175" s="5099"/>
      <c r="S175" s="5100" t="s">
        <v>1432</v>
      </c>
      <c r="T175" s="4538"/>
      <c r="U175" s="4538"/>
      <c r="V175" s="4538"/>
      <c r="W175" s="4538"/>
      <c r="X175" s="4538"/>
      <c r="Y175" s="4538"/>
      <c r="Z175" s="4538"/>
      <c r="AA175" s="2232" t="s">
        <v>340</v>
      </c>
      <c r="AB175" s="2233">
        <f>SUM(AB145:AB174)</f>
        <v>470.40000000000003</v>
      </c>
      <c r="AC175" s="4558"/>
      <c r="AD175" s="4540"/>
      <c r="AE175" s="4540"/>
      <c r="AF175" s="4541"/>
      <c r="AG175" s="221"/>
      <c r="AH175" s="221"/>
      <c r="AI175" s="221"/>
      <c r="AJ175" s="221"/>
    </row>
    <row r="176" spans="1:36" ht="40.5" customHeight="1">
      <c r="A176" s="4564"/>
      <c r="B176" s="4571" t="s">
        <v>1433</v>
      </c>
      <c r="C176" s="5057" t="s">
        <v>235</v>
      </c>
      <c r="D176" s="5068" t="s">
        <v>236</v>
      </c>
      <c r="E176" s="5068" t="s">
        <v>237</v>
      </c>
      <c r="F176" s="5068" t="s">
        <v>326</v>
      </c>
      <c r="G176" s="5098" t="s">
        <v>239</v>
      </c>
      <c r="H176" s="5068" t="s">
        <v>240</v>
      </c>
      <c r="I176" s="5068" t="s">
        <v>294</v>
      </c>
      <c r="J176" s="5068" t="s">
        <v>5989</v>
      </c>
      <c r="K176" s="5068" t="s">
        <v>1434</v>
      </c>
      <c r="L176" s="5068" t="s">
        <v>5912</v>
      </c>
      <c r="M176" s="5250">
        <v>5</v>
      </c>
      <c r="N176" s="5250">
        <v>10</v>
      </c>
      <c r="O176" s="5250">
        <v>25</v>
      </c>
      <c r="P176" s="5068" t="s">
        <v>5816</v>
      </c>
      <c r="Q176" s="5068" t="s">
        <v>5865</v>
      </c>
      <c r="R176" s="5251" t="s">
        <v>5780</v>
      </c>
      <c r="S176" s="3945" t="s">
        <v>11</v>
      </c>
      <c r="T176" s="3717">
        <v>840103</v>
      </c>
      <c r="U176" s="3717"/>
      <c r="V176" s="3533" t="s">
        <v>22</v>
      </c>
      <c r="W176" s="2629"/>
      <c r="X176" s="3545"/>
      <c r="Y176" s="3903"/>
      <c r="Z176" s="3903"/>
      <c r="AA176" s="3903"/>
      <c r="AB176" s="3904">
        <f>SUM(AA177:AA179)</f>
        <v>705.6</v>
      </c>
      <c r="AC176" s="577"/>
      <c r="AD176" s="320"/>
      <c r="AE176" s="320"/>
      <c r="AF176" s="4614"/>
      <c r="AG176" s="221"/>
      <c r="AH176" s="221"/>
      <c r="AI176" s="221"/>
      <c r="AJ176" s="221"/>
    </row>
    <row r="177" spans="1:36" ht="40.5" customHeight="1">
      <c r="A177" s="4564"/>
      <c r="B177" s="4570"/>
      <c r="C177" s="5058"/>
      <c r="D177" s="5063"/>
      <c r="E177" s="5063"/>
      <c r="F177" s="5063"/>
      <c r="G177" s="5063"/>
      <c r="H177" s="5063"/>
      <c r="I177" s="5063"/>
      <c r="J177" s="5063"/>
      <c r="K177" s="5063"/>
      <c r="L177" s="5063"/>
      <c r="M177" s="5243"/>
      <c r="N177" s="5243"/>
      <c r="O177" s="5243"/>
      <c r="P177" s="4996"/>
      <c r="Q177" s="4996"/>
      <c r="R177" s="5027"/>
      <c r="S177" s="3943"/>
      <c r="T177" s="3719"/>
      <c r="U177" s="3718">
        <v>3811100001</v>
      </c>
      <c r="V177" s="2681" t="s">
        <v>948</v>
      </c>
      <c r="W177" s="2630">
        <v>3</v>
      </c>
      <c r="X177" s="3544" t="s">
        <v>269</v>
      </c>
      <c r="Y177" s="3905">
        <v>210</v>
      </c>
      <c r="Z177" s="3905">
        <f t="shared" ref="Z177" si="38">+W177*Y177</f>
        <v>630</v>
      </c>
      <c r="AA177" s="3905">
        <f t="shared" ref="AA177" si="39">+Z177*1.12</f>
        <v>705.6</v>
      </c>
      <c r="AB177" s="3906"/>
      <c r="AC177" s="532"/>
      <c r="AD177" s="533" t="s">
        <v>251</v>
      </c>
      <c r="AE177" s="533"/>
      <c r="AF177" s="5264"/>
      <c r="AG177" s="221"/>
      <c r="AH177" s="221"/>
      <c r="AI177" s="221"/>
      <c r="AJ177" s="221"/>
    </row>
    <row r="178" spans="1:36" ht="40.5" customHeight="1">
      <c r="A178" s="4564"/>
      <c r="B178" s="4570"/>
      <c r="C178" s="5058"/>
      <c r="D178" s="5063"/>
      <c r="E178" s="5063"/>
      <c r="F178" s="5063"/>
      <c r="G178" s="5063"/>
      <c r="H178" s="5063"/>
      <c r="I178" s="5063"/>
      <c r="J178" s="5063"/>
      <c r="K178" s="5063"/>
      <c r="L178" s="5063"/>
      <c r="M178" s="5243"/>
      <c r="N178" s="5243"/>
      <c r="O178" s="5243"/>
      <c r="P178" s="4996"/>
      <c r="Q178" s="4996"/>
      <c r="R178" s="5027"/>
      <c r="S178" s="3947"/>
      <c r="T178" s="3485"/>
      <c r="U178" s="3485"/>
      <c r="V178" s="3503"/>
      <c r="W178" s="3406"/>
      <c r="X178" s="3492"/>
      <c r="Y178" s="3908"/>
      <c r="Z178" s="3905"/>
      <c r="AA178" s="3905"/>
      <c r="AB178" s="3907"/>
      <c r="AC178" s="539"/>
      <c r="AD178" s="541"/>
      <c r="AE178" s="541"/>
      <c r="AF178" s="5264"/>
      <c r="AG178" s="221"/>
      <c r="AH178" s="221"/>
      <c r="AI178" s="221"/>
      <c r="AJ178" s="221"/>
    </row>
    <row r="179" spans="1:36" ht="40.5" customHeight="1">
      <c r="A179" s="4564"/>
      <c r="B179" s="4570"/>
      <c r="C179" s="5058"/>
      <c r="D179" s="5063"/>
      <c r="E179" s="5063"/>
      <c r="F179" s="5063"/>
      <c r="G179" s="5063"/>
      <c r="H179" s="5063"/>
      <c r="I179" s="5063"/>
      <c r="J179" s="5063"/>
      <c r="K179" s="5063"/>
      <c r="L179" s="5063"/>
      <c r="M179" s="5243"/>
      <c r="N179" s="5243"/>
      <c r="O179" s="5243"/>
      <c r="P179" s="4996"/>
      <c r="Q179" s="4996"/>
      <c r="R179" s="5027"/>
      <c r="S179" s="3947"/>
      <c r="T179" s="3485"/>
      <c r="U179" s="3485"/>
      <c r="V179" s="3503"/>
      <c r="W179" s="3406"/>
      <c r="X179" s="3492"/>
      <c r="Y179" s="3908"/>
      <c r="Z179" s="3905"/>
      <c r="AA179" s="3905"/>
      <c r="AB179" s="3907"/>
      <c r="AC179" s="539"/>
      <c r="AD179" s="541"/>
      <c r="AE179" s="541"/>
      <c r="AF179" s="5264"/>
      <c r="AG179" s="221"/>
      <c r="AH179" s="221"/>
      <c r="AI179" s="221"/>
      <c r="AJ179" s="221"/>
    </row>
    <row r="180" spans="1:36" ht="40.5" customHeight="1">
      <c r="A180" s="4564"/>
      <c r="B180" s="4570"/>
      <c r="C180" s="5058"/>
      <c r="D180" s="5063"/>
      <c r="E180" s="5063"/>
      <c r="F180" s="5063"/>
      <c r="G180" s="5063"/>
      <c r="H180" s="5063"/>
      <c r="I180" s="5063"/>
      <c r="J180" s="5063"/>
      <c r="K180" s="5063"/>
      <c r="L180" s="5063"/>
      <c r="M180" s="5243"/>
      <c r="N180" s="5243"/>
      <c r="O180" s="5243"/>
      <c r="P180" s="4996"/>
      <c r="Q180" s="4996"/>
      <c r="R180" s="5027"/>
      <c r="S180" s="3951"/>
      <c r="T180" s="3941"/>
      <c r="U180" s="3941"/>
      <c r="V180" s="3938"/>
      <c r="W180" s="3616"/>
      <c r="X180" s="3617"/>
      <c r="Y180" s="3913"/>
      <c r="Z180" s="3913"/>
      <c r="AA180" s="3913"/>
      <c r="AB180" s="3914"/>
      <c r="AC180" s="325"/>
      <c r="AD180" s="326"/>
      <c r="AE180" s="326"/>
      <c r="AF180" s="5264"/>
      <c r="AG180" s="221"/>
      <c r="AH180" s="221"/>
      <c r="AI180" s="221"/>
      <c r="AJ180" s="221"/>
    </row>
    <row r="181" spans="1:36" ht="36" customHeight="1">
      <c r="A181" s="4564"/>
      <c r="B181" s="4570"/>
      <c r="C181" s="5059" t="s">
        <v>235</v>
      </c>
      <c r="D181" s="5064" t="s">
        <v>236</v>
      </c>
      <c r="E181" s="5064" t="s">
        <v>237</v>
      </c>
      <c r="F181" s="5064" t="s">
        <v>326</v>
      </c>
      <c r="G181" s="5076" t="s">
        <v>239</v>
      </c>
      <c r="H181" s="5064" t="s">
        <v>240</v>
      </c>
      <c r="I181" s="5064" t="s">
        <v>294</v>
      </c>
      <c r="J181" s="5064" t="s">
        <v>5990</v>
      </c>
      <c r="K181" s="5064" t="s">
        <v>1435</v>
      </c>
      <c r="L181" s="5064" t="s">
        <v>5913</v>
      </c>
      <c r="M181" s="5173">
        <v>25</v>
      </c>
      <c r="N181" s="5173">
        <v>50</v>
      </c>
      <c r="O181" s="5173">
        <v>100</v>
      </c>
      <c r="P181" s="5064" t="s">
        <v>5817</v>
      </c>
      <c r="Q181" s="5064" t="s">
        <v>5866</v>
      </c>
      <c r="R181" s="5248" t="s">
        <v>5781</v>
      </c>
      <c r="S181" s="4009"/>
      <c r="T181" s="3721"/>
      <c r="U181" s="3721"/>
      <c r="V181" s="3575"/>
      <c r="W181" s="3576"/>
      <c r="X181" s="3577"/>
      <c r="Y181" s="3998"/>
      <c r="Z181" s="3998"/>
      <c r="AA181" s="3998"/>
      <c r="AB181" s="4003"/>
      <c r="AC181" s="3580"/>
      <c r="AD181" s="3581"/>
      <c r="AE181" s="3581"/>
      <c r="AF181" s="5093"/>
      <c r="AG181" s="221"/>
      <c r="AH181" s="221"/>
      <c r="AI181" s="221"/>
      <c r="AJ181" s="221"/>
    </row>
    <row r="182" spans="1:36" ht="36" customHeight="1">
      <c r="A182" s="4564"/>
      <c r="B182" s="4570"/>
      <c r="C182" s="5058"/>
      <c r="D182" s="5063"/>
      <c r="E182" s="5063"/>
      <c r="F182" s="5063"/>
      <c r="G182" s="5063"/>
      <c r="H182" s="5063"/>
      <c r="I182" s="5063"/>
      <c r="J182" s="5063"/>
      <c r="K182" s="5063"/>
      <c r="L182" s="5063"/>
      <c r="M182" s="5243"/>
      <c r="N182" s="5243"/>
      <c r="O182" s="5243"/>
      <c r="P182" s="4996"/>
      <c r="Q182" s="4996"/>
      <c r="R182" s="5027"/>
      <c r="S182" s="3943"/>
      <c r="T182" s="3719"/>
      <c r="U182" s="3718"/>
      <c r="V182" s="2681"/>
      <c r="W182" s="2630"/>
      <c r="X182" s="3544"/>
      <c r="Y182" s="3905"/>
      <c r="Z182" s="3905"/>
      <c r="AA182" s="3905"/>
      <c r="AB182" s="3906"/>
      <c r="AC182" s="532"/>
      <c r="AD182" s="532"/>
      <c r="AE182" s="526"/>
      <c r="AF182" s="5264"/>
      <c r="AG182" s="221"/>
      <c r="AH182" s="221"/>
      <c r="AI182" s="221"/>
      <c r="AJ182" s="221"/>
    </row>
    <row r="183" spans="1:36" ht="36" customHeight="1">
      <c r="A183" s="4564"/>
      <c r="B183" s="4570"/>
      <c r="C183" s="5058"/>
      <c r="D183" s="5063"/>
      <c r="E183" s="5063"/>
      <c r="F183" s="5063"/>
      <c r="G183" s="5063"/>
      <c r="H183" s="5063"/>
      <c r="I183" s="5063"/>
      <c r="J183" s="5063"/>
      <c r="K183" s="5063"/>
      <c r="L183" s="5063"/>
      <c r="M183" s="5243"/>
      <c r="N183" s="5243"/>
      <c r="O183" s="5243"/>
      <c r="P183" s="4996"/>
      <c r="Q183" s="4996"/>
      <c r="R183" s="5027"/>
      <c r="S183" s="3943"/>
      <c r="T183" s="3719"/>
      <c r="U183" s="3718"/>
      <c r="V183" s="2681"/>
      <c r="W183" s="2630"/>
      <c r="X183" s="3544"/>
      <c r="Y183" s="3905"/>
      <c r="Z183" s="3905"/>
      <c r="AA183" s="3905"/>
      <c r="AB183" s="3907"/>
      <c r="AC183" s="532"/>
      <c r="AD183" s="532"/>
      <c r="AE183" s="533"/>
      <c r="AF183" s="5264"/>
      <c r="AG183" s="221"/>
      <c r="AH183" s="221"/>
      <c r="AI183" s="221"/>
      <c r="AJ183" s="221"/>
    </row>
    <row r="184" spans="1:36" ht="36" customHeight="1">
      <c r="A184" s="4564"/>
      <c r="B184" s="4570"/>
      <c r="C184" s="5058"/>
      <c r="D184" s="5063"/>
      <c r="E184" s="5063"/>
      <c r="F184" s="5063"/>
      <c r="G184" s="5063"/>
      <c r="H184" s="5063"/>
      <c r="I184" s="5063"/>
      <c r="J184" s="5063"/>
      <c r="K184" s="5063"/>
      <c r="L184" s="5063"/>
      <c r="M184" s="5243"/>
      <c r="N184" s="5243"/>
      <c r="O184" s="5243"/>
      <c r="P184" s="4996"/>
      <c r="Q184" s="4996"/>
      <c r="R184" s="5027"/>
      <c r="S184" s="3943"/>
      <c r="T184" s="3719"/>
      <c r="U184" s="3718"/>
      <c r="V184" s="2681"/>
      <c r="W184" s="2630"/>
      <c r="X184" s="3544"/>
      <c r="Y184" s="3905"/>
      <c r="Z184" s="3905"/>
      <c r="AA184" s="3905"/>
      <c r="AB184" s="3907"/>
      <c r="AC184" s="532"/>
      <c r="AD184" s="532"/>
      <c r="AE184" s="533"/>
      <c r="AF184" s="5264"/>
      <c r="AG184" s="221"/>
      <c r="AH184" s="221"/>
      <c r="AI184" s="221"/>
      <c r="AJ184" s="221"/>
    </row>
    <row r="185" spans="1:36" ht="36" customHeight="1">
      <c r="A185" s="4564"/>
      <c r="B185" s="4570"/>
      <c r="C185" s="5060"/>
      <c r="D185" s="5065"/>
      <c r="E185" s="5065"/>
      <c r="F185" s="5065"/>
      <c r="G185" s="5065"/>
      <c r="H185" s="5065"/>
      <c r="I185" s="5065"/>
      <c r="J185" s="5065"/>
      <c r="K185" s="5065"/>
      <c r="L185" s="5065"/>
      <c r="M185" s="5245"/>
      <c r="N185" s="5245"/>
      <c r="O185" s="5245"/>
      <c r="P185" s="5000"/>
      <c r="Q185" s="5000"/>
      <c r="R185" s="5249"/>
      <c r="S185" s="3993"/>
      <c r="T185" s="3729"/>
      <c r="U185" s="1779"/>
      <c r="V185" s="2686"/>
      <c r="W185" s="1781"/>
      <c r="X185" s="3571"/>
      <c r="Y185" s="3994"/>
      <c r="Z185" s="3994"/>
      <c r="AA185" s="3994"/>
      <c r="AB185" s="3995"/>
      <c r="AC185" s="1782"/>
      <c r="AD185" s="1782"/>
      <c r="AE185" s="3572"/>
      <c r="AF185" s="5265"/>
      <c r="AG185" s="221"/>
      <c r="AH185" s="221"/>
      <c r="AI185" s="221"/>
      <c r="AJ185" s="221"/>
    </row>
    <row r="186" spans="1:36" ht="36" customHeight="1">
      <c r="A186" s="4564"/>
      <c r="B186" s="4570"/>
      <c r="C186" s="5061" t="s">
        <v>235</v>
      </c>
      <c r="D186" s="5062" t="s">
        <v>236</v>
      </c>
      <c r="E186" s="5062" t="s">
        <v>237</v>
      </c>
      <c r="F186" s="5062" t="s">
        <v>326</v>
      </c>
      <c r="G186" s="5069" t="s">
        <v>239</v>
      </c>
      <c r="H186" s="5062" t="s">
        <v>240</v>
      </c>
      <c r="I186" s="5062" t="s">
        <v>294</v>
      </c>
      <c r="J186" s="5069" t="s">
        <v>5991</v>
      </c>
      <c r="K186" s="5062" t="s">
        <v>1436</v>
      </c>
      <c r="L186" s="5062" t="s">
        <v>5914</v>
      </c>
      <c r="M186" s="4998">
        <v>0</v>
      </c>
      <c r="N186" s="4998">
        <v>0</v>
      </c>
      <c r="O186" s="4998">
        <v>0</v>
      </c>
      <c r="P186" s="5062" t="s">
        <v>5818</v>
      </c>
      <c r="Q186" s="5062" t="s">
        <v>5867</v>
      </c>
      <c r="R186" s="5241" t="s">
        <v>5781</v>
      </c>
      <c r="S186" s="4007"/>
      <c r="T186" s="3725"/>
      <c r="U186" s="3725"/>
      <c r="V186" s="3530"/>
      <c r="W186" s="2633"/>
      <c r="X186" s="3547"/>
      <c r="Y186" s="4004"/>
      <c r="Z186" s="4004"/>
      <c r="AA186" s="4004"/>
      <c r="AB186" s="3992"/>
      <c r="AC186" s="1967"/>
      <c r="AD186" s="1971"/>
      <c r="AE186" s="1971"/>
      <c r="AF186" s="5115" t="s">
        <v>1437</v>
      </c>
      <c r="AG186" s="221"/>
      <c r="AH186" s="221"/>
      <c r="AI186" s="221"/>
      <c r="AJ186" s="221"/>
    </row>
    <row r="187" spans="1:36" ht="36" customHeight="1">
      <c r="A187" s="4564"/>
      <c r="B187" s="4570"/>
      <c r="C187" s="5058"/>
      <c r="D187" s="5063"/>
      <c r="E187" s="5063"/>
      <c r="F187" s="5063"/>
      <c r="G187" s="5063"/>
      <c r="H187" s="5063"/>
      <c r="I187" s="5063"/>
      <c r="J187" s="5063"/>
      <c r="K187" s="5063"/>
      <c r="L187" s="5063"/>
      <c r="M187" s="5243"/>
      <c r="N187" s="5243"/>
      <c r="O187" s="5243"/>
      <c r="P187" s="4996"/>
      <c r="Q187" s="4996"/>
      <c r="R187" s="5027"/>
      <c r="S187" s="3943"/>
      <c r="T187" s="3719"/>
      <c r="U187" s="3718"/>
      <c r="V187" s="2681"/>
      <c r="W187" s="2630"/>
      <c r="X187" s="3544"/>
      <c r="Y187" s="3905"/>
      <c r="Z187" s="3905"/>
      <c r="AA187" s="3905"/>
      <c r="AB187" s="3906"/>
      <c r="AC187" s="532"/>
      <c r="AD187" s="533"/>
      <c r="AE187" s="533"/>
      <c r="AF187" s="5264"/>
      <c r="AG187" s="221"/>
      <c r="AH187" s="221"/>
      <c r="AI187" s="221"/>
      <c r="AJ187" s="221"/>
    </row>
    <row r="188" spans="1:36" ht="36" customHeight="1">
      <c r="A188" s="4564"/>
      <c r="B188" s="4570"/>
      <c r="C188" s="5058"/>
      <c r="D188" s="5063"/>
      <c r="E188" s="5063"/>
      <c r="F188" s="5063"/>
      <c r="G188" s="5063"/>
      <c r="H188" s="5063"/>
      <c r="I188" s="5063"/>
      <c r="J188" s="5063"/>
      <c r="K188" s="5063"/>
      <c r="L188" s="5063"/>
      <c r="M188" s="5243"/>
      <c r="N188" s="5243"/>
      <c r="O188" s="5243"/>
      <c r="P188" s="4996"/>
      <c r="Q188" s="4996"/>
      <c r="R188" s="5027"/>
      <c r="S188" s="3943"/>
      <c r="T188" s="3719"/>
      <c r="U188" s="3718"/>
      <c r="V188" s="2681"/>
      <c r="W188" s="2630"/>
      <c r="X188" s="3544"/>
      <c r="Y188" s="3905"/>
      <c r="Z188" s="3905"/>
      <c r="AA188" s="3905"/>
      <c r="AB188" s="3907"/>
      <c r="AC188" s="532"/>
      <c r="AD188" s="533"/>
      <c r="AE188" s="533"/>
      <c r="AF188" s="5264"/>
      <c r="AG188" s="221"/>
      <c r="AH188" s="221"/>
      <c r="AI188" s="221"/>
      <c r="AJ188" s="221"/>
    </row>
    <row r="189" spans="1:36" ht="36" customHeight="1">
      <c r="A189" s="4564"/>
      <c r="B189" s="4570"/>
      <c r="C189" s="5058"/>
      <c r="D189" s="5063"/>
      <c r="E189" s="5063"/>
      <c r="F189" s="5063"/>
      <c r="G189" s="5063"/>
      <c r="H189" s="5063"/>
      <c r="I189" s="5063"/>
      <c r="J189" s="5063"/>
      <c r="K189" s="5063"/>
      <c r="L189" s="5063"/>
      <c r="M189" s="5243"/>
      <c r="N189" s="5243"/>
      <c r="O189" s="5243"/>
      <c r="P189" s="4996"/>
      <c r="Q189" s="4996"/>
      <c r="R189" s="5027"/>
      <c r="S189" s="3943"/>
      <c r="T189" s="3719"/>
      <c r="U189" s="3718"/>
      <c r="V189" s="2681"/>
      <c r="W189" s="2630"/>
      <c r="X189" s="3544"/>
      <c r="Y189" s="3905"/>
      <c r="Z189" s="3905"/>
      <c r="AA189" s="3905"/>
      <c r="AB189" s="3907"/>
      <c r="AC189" s="532"/>
      <c r="AD189" s="533"/>
      <c r="AE189" s="533"/>
      <c r="AF189" s="5264"/>
      <c r="AG189" s="221"/>
      <c r="AH189" s="221"/>
      <c r="AI189" s="221"/>
      <c r="AJ189" s="221"/>
    </row>
    <row r="190" spans="1:36" ht="36" customHeight="1">
      <c r="A190" s="4564"/>
      <c r="B190" s="4570"/>
      <c r="C190" s="5058"/>
      <c r="D190" s="5063"/>
      <c r="E190" s="5063"/>
      <c r="F190" s="5063"/>
      <c r="G190" s="5063"/>
      <c r="H190" s="5063"/>
      <c r="I190" s="5063"/>
      <c r="J190" s="5063"/>
      <c r="K190" s="5063"/>
      <c r="L190" s="5063"/>
      <c r="M190" s="5243"/>
      <c r="N190" s="5243"/>
      <c r="O190" s="5243"/>
      <c r="P190" s="4996"/>
      <c r="Q190" s="4996"/>
      <c r="R190" s="5027"/>
      <c r="S190" s="3949"/>
      <c r="T190" s="3733"/>
      <c r="U190" s="3720"/>
      <c r="V190" s="2682"/>
      <c r="W190" s="2631"/>
      <c r="X190" s="3548"/>
      <c r="Y190" s="3911"/>
      <c r="Z190" s="3911"/>
      <c r="AA190" s="3911"/>
      <c r="AB190" s="3912"/>
      <c r="AC190" s="575"/>
      <c r="AD190" s="321"/>
      <c r="AE190" s="321"/>
      <c r="AF190" s="5264"/>
      <c r="AG190" s="221"/>
      <c r="AH190" s="221"/>
      <c r="AI190" s="221"/>
      <c r="AJ190" s="221"/>
    </row>
    <row r="191" spans="1:36" ht="34.5" customHeight="1">
      <c r="A191" s="4564"/>
      <c r="B191" s="4570"/>
      <c r="C191" s="5059" t="s">
        <v>235</v>
      </c>
      <c r="D191" s="5064" t="s">
        <v>236</v>
      </c>
      <c r="E191" s="5064" t="s">
        <v>237</v>
      </c>
      <c r="F191" s="5064" t="s">
        <v>326</v>
      </c>
      <c r="G191" s="5076" t="s">
        <v>239</v>
      </c>
      <c r="H191" s="5064" t="s">
        <v>240</v>
      </c>
      <c r="I191" s="5064" t="s">
        <v>294</v>
      </c>
      <c r="J191" s="5064" t="s">
        <v>5992</v>
      </c>
      <c r="K191" s="5064" t="s">
        <v>1438</v>
      </c>
      <c r="L191" s="5064" t="s">
        <v>5915</v>
      </c>
      <c r="M191" s="5173">
        <v>0</v>
      </c>
      <c r="N191" s="5173">
        <v>0</v>
      </c>
      <c r="O191" s="5173">
        <v>0</v>
      </c>
      <c r="P191" s="5064" t="s">
        <v>5819</v>
      </c>
      <c r="Q191" s="5064" t="s">
        <v>5868</v>
      </c>
      <c r="R191" s="5248" t="s">
        <v>5781</v>
      </c>
      <c r="S191" s="4009"/>
      <c r="T191" s="3721"/>
      <c r="U191" s="3721"/>
      <c r="V191" s="3575"/>
      <c r="W191" s="3576"/>
      <c r="X191" s="3577"/>
      <c r="Y191" s="3998"/>
      <c r="Z191" s="3998"/>
      <c r="AA191" s="3998"/>
      <c r="AB191" s="4003"/>
      <c r="AC191" s="3580"/>
      <c r="AD191" s="3582"/>
      <c r="AE191" s="3582"/>
      <c r="AF191" s="5093" t="s">
        <v>1437</v>
      </c>
      <c r="AG191" s="221"/>
      <c r="AH191" s="221"/>
      <c r="AI191" s="221"/>
      <c r="AJ191" s="221"/>
    </row>
    <row r="192" spans="1:36" ht="34.5" customHeight="1">
      <c r="A192" s="4564"/>
      <c r="B192" s="4570"/>
      <c r="C192" s="5058"/>
      <c r="D192" s="5063"/>
      <c r="E192" s="5063"/>
      <c r="F192" s="5063"/>
      <c r="G192" s="5063"/>
      <c r="H192" s="5063"/>
      <c r="I192" s="5063"/>
      <c r="J192" s="5063"/>
      <c r="K192" s="5063"/>
      <c r="L192" s="5063"/>
      <c r="M192" s="5243"/>
      <c r="N192" s="5243"/>
      <c r="O192" s="5243"/>
      <c r="P192" s="4996"/>
      <c r="Q192" s="4996"/>
      <c r="R192" s="5027"/>
      <c r="S192" s="3943"/>
      <c r="T192" s="3719"/>
      <c r="U192" s="3718"/>
      <c r="V192" s="2681"/>
      <c r="W192" s="2630"/>
      <c r="X192" s="3544"/>
      <c r="Y192" s="3905"/>
      <c r="Z192" s="3905"/>
      <c r="AA192" s="3905"/>
      <c r="AB192" s="3906"/>
      <c r="AC192" s="532"/>
      <c r="AD192" s="533"/>
      <c r="AE192" s="533"/>
      <c r="AF192" s="5264"/>
      <c r="AG192" s="221"/>
      <c r="AH192" s="221"/>
      <c r="AI192" s="221"/>
      <c r="AJ192" s="221"/>
    </row>
    <row r="193" spans="1:36" ht="34.5" customHeight="1">
      <c r="A193" s="4564"/>
      <c r="B193" s="4570"/>
      <c r="C193" s="5058"/>
      <c r="D193" s="5063"/>
      <c r="E193" s="5063"/>
      <c r="F193" s="5063"/>
      <c r="G193" s="5063"/>
      <c r="H193" s="5063"/>
      <c r="I193" s="5063"/>
      <c r="J193" s="5063"/>
      <c r="K193" s="5063"/>
      <c r="L193" s="5063"/>
      <c r="M193" s="5243"/>
      <c r="N193" s="5243"/>
      <c r="O193" s="5243"/>
      <c r="P193" s="4996"/>
      <c r="Q193" s="4996"/>
      <c r="R193" s="5027"/>
      <c r="S193" s="3943"/>
      <c r="T193" s="3719"/>
      <c r="U193" s="3718"/>
      <c r="V193" s="2681"/>
      <c r="W193" s="2630"/>
      <c r="X193" s="3544"/>
      <c r="Y193" s="3905"/>
      <c r="Z193" s="3905"/>
      <c r="AA193" s="3905"/>
      <c r="AB193" s="3907"/>
      <c r="AC193" s="532"/>
      <c r="AD193" s="533"/>
      <c r="AE193" s="533"/>
      <c r="AF193" s="5264"/>
      <c r="AG193" s="221"/>
      <c r="AH193" s="221"/>
      <c r="AI193" s="221"/>
      <c r="AJ193" s="221"/>
    </row>
    <row r="194" spans="1:36" ht="34.5" customHeight="1">
      <c r="A194" s="4564"/>
      <c r="B194" s="4570"/>
      <c r="C194" s="5058"/>
      <c r="D194" s="5063"/>
      <c r="E194" s="5063"/>
      <c r="F194" s="5063"/>
      <c r="G194" s="5063"/>
      <c r="H194" s="5063"/>
      <c r="I194" s="5063"/>
      <c r="J194" s="5063"/>
      <c r="K194" s="5063"/>
      <c r="L194" s="5063"/>
      <c r="M194" s="5243"/>
      <c r="N194" s="5243"/>
      <c r="O194" s="5243"/>
      <c r="P194" s="4996"/>
      <c r="Q194" s="4996"/>
      <c r="R194" s="5027"/>
      <c r="S194" s="3943"/>
      <c r="T194" s="3719"/>
      <c r="U194" s="3718"/>
      <c r="V194" s="2681"/>
      <c r="W194" s="2630"/>
      <c r="X194" s="3544"/>
      <c r="Y194" s="3905"/>
      <c r="Z194" s="3905"/>
      <c r="AA194" s="3905"/>
      <c r="AB194" s="3907"/>
      <c r="AC194" s="532"/>
      <c r="AD194" s="533"/>
      <c r="AE194" s="533"/>
      <c r="AF194" s="5264"/>
      <c r="AG194" s="221"/>
      <c r="AH194" s="221"/>
      <c r="AI194" s="221"/>
      <c r="AJ194" s="221"/>
    </row>
    <row r="195" spans="1:36" ht="34.5" customHeight="1">
      <c r="A195" s="4564"/>
      <c r="B195" s="4570"/>
      <c r="C195" s="5060"/>
      <c r="D195" s="5065"/>
      <c r="E195" s="5065"/>
      <c r="F195" s="5065"/>
      <c r="G195" s="5065"/>
      <c r="H195" s="5065"/>
      <c r="I195" s="5065"/>
      <c r="J195" s="5065"/>
      <c r="K195" s="5065"/>
      <c r="L195" s="5065"/>
      <c r="M195" s="5245"/>
      <c r="N195" s="5245"/>
      <c r="O195" s="5245"/>
      <c r="P195" s="5000"/>
      <c r="Q195" s="5000"/>
      <c r="R195" s="5249"/>
      <c r="S195" s="3993"/>
      <c r="T195" s="3729"/>
      <c r="U195" s="1779"/>
      <c r="V195" s="2686"/>
      <c r="W195" s="1781"/>
      <c r="X195" s="3571"/>
      <c r="Y195" s="3994"/>
      <c r="Z195" s="3994"/>
      <c r="AA195" s="3994"/>
      <c r="AB195" s="3995"/>
      <c r="AC195" s="1782"/>
      <c r="AD195" s="3572"/>
      <c r="AE195" s="3572"/>
      <c r="AF195" s="5265"/>
      <c r="AG195" s="221"/>
      <c r="AH195" s="221"/>
      <c r="AI195" s="221"/>
      <c r="AJ195" s="221"/>
    </row>
    <row r="196" spans="1:36" ht="36" customHeight="1">
      <c r="A196" s="4564"/>
      <c r="B196" s="4570"/>
      <c r="C196" s="5061" t="s">
        <v>235</v>
      </c>
      <c r="D196" s="5062" t="s">
        <v>236</v>
      </c>
      <c r="E196" s="5062" t="s">
        <v>237</v>
      </c>
      <c r="F196" s="5062" t="s">
        <v>326</v>
      </c>
      <c r="G196" s="5069" t="s">
        <v>239</v>
      </c>
      <c r="H196" s="5062" t="s">
        <v>240</v>
      </c>
      <c r="I196" s="5062" t="s">
        <v>294</v>
      </c>
      <c r="J196" s="5062" t="s">
        <v>5993</v>
      </c>
      <c r="K196" s="5062" t="s">
        <v>1439</v>
      </c>
      <c r="L196" s="5062" t="s">
        <v>5916</v>
      </c>
      <c r="M196" s="4998">
        <v>5</v>
      </c>
      <c r="N196" s="4998">
        <v>5</v>
      </c>
      <c r="O196" s="4998">
        <v>5</v>
      </c>
      <c r="P196" s="5062" t="s">
        <v>5820</v>
      </c>
      <c r="Q196" s="5062" t="s">
        <v>5869</v>
      </c>
      <c r="R196" s="5241" t="s">
        <v>5781</v>
      </c>
      <c r="S196" s="4007"/>
      <c r="T196" s="3725"/>
      <c r="U196" s="3725"/>
      <c r="V196" s="3530"/>
      <c r="W196" s="2633"/>
      <c r="X196" s="3547"/>
      <c r="Y196" s="4004"/>
      <c r="Z196" s="4004"/>
      <c r="AA196" s="4004"/>
      <c r="AB196" s="3992"/>
      <c r="AC196" s="1967"/>
      <c r="AD196" s="1971"/>
      <c r="AE196" s="1971"/>
      <c r="AF196" s="5115"/>
      <c r="AG196" s="221"/>
      <c r="AH196" s="221"/>
      <c r="AI196" s="221"/>
      <c r="AJ196" s="221"/>
    </row>
    <row r="197" spans="1:36" ht="36" customHeight="1">
      <c r="A197" s="4564"/>
      <c r="B197" s="4570"/>
      <c r="C197" s="5058"/>
      <c r="D197" s="5063"/>
      <c r="E197" s="5063"/>
      <c r="F197" s="5063"/>
      <c r="G197" s="5063"/>
      <c r="H197" s="5063"/>
      <c r="I197" s="5063"/>
      <c r="J197" s="5063"/>
      <c r="K197" s="5063"/>
      <c r="L197" s="5063"/>
      <c r="M197" s="5243"/>
      <c r="N197" s="5243"/>
      <c r="O197" s="5243"/>
      <c r="P197" s="4996"/>
      <c r="Q197" s="4996"/>
      <c r="R197" s="5027"/>
      <c r="S197" s="3943"/>
      <c r="T197" s="3719"/>
      <c r="U197" s="3718"/>
      <c r="V197" s="2681"/>
      <c r="W197" s="2630"/>
      <c r="X197" s="3544"/>
      <c r="Y197" s="3905"/>
      <c r="Z197" s="3905"/>
      <c r="AA197" s="3905"/>
      <c r="AB197" s="3906"/>
      <c r="AC197" s="532"/>
      <c r="AD197" s="533"/>
      <c r="AE197" s="533"/>
      <c r="AF197" s="5264"/>
      <c r="AG197" s="221"/>
      <c r="AH197" s="221"/>
      <c r="AI197" s="221"/>
      <c r="AJ197" s="221"/>
    </row>
    <row r="198" spans="1:36" ht="36" customHeight="1">
      <c r="A198" s="4564"/>
      <c r="B198" s="4570"/>
      <c r="C198" s="5058"/>
      <c r="D198" s="5063"/>
      <c r="E198" s="5063"/>
      <c r="F198" s="5063"/>
      <c r="G198" s="5063"/>
      <c r="H198" s="5063"/>
      <c r="I198" s="5063"/>
      <c r="J198" s="5063"/>
      <c r="K198" s="5063"/>
      <c r="L198" s="5063"/>
      <c r="M198" s="5243"/>
      <c r="N198" s="5243"/>
      <c r="O198" s="5243"/>
      <c r="P198" s="4996"/>
      <c r="Q198" s="4996"/>
      <c r="R198" s="5027"/>
      <c r="S198" s="3943"/>
      <c r="T198" s="3719"/>
      <c r="U198" s="3718"/>
      <c r="V198" s="2681"/>
      <c r="W198" s="2630"/>
      <c r="X198" s="3544"/>
      <c r="Y198" s="3905"/>
      <c r="Z198" s="3905"/>
      <c r="AA198" s="3905"/>
      <c r="AB198" s="3907"/>
      <c r="AC198" s="532"/>
      <c r="AD198" s="533"/>
      <c r="AE198" s="533"/>
      <c r="AF198" s="5264"/>
      <c r="AG198" s="221"/>
      <c r="AH198" s="221"/>
      <c r="AI198" s="221"/>
      <c r="AJ198" s="221"/>
    </row>
    <row r="199" spans="1:36" ht="36" customHeight="1">
      <c r="A199" s="4564"/>
      <c r="B199" s="4570"/>
      <c r="C199" s="5058"/>
      <c r="D199" s="5063"/>
      <c r="E199" s="5063"/>
      <c r="F199" s="5063"/>
      <c r="G199" s="5063"/>
      <c r="H199" s="5063"/>
      <c r="I199" s="5063"/>
      <c r="J199" s="5063"/>
      <c r="K199" s="5063"/>
      <c r="L199" s="5063"/>
      <c r="M199" s="5243"/>
      <c r="N199" s="5243"/>
      <c r="O199" s="5243"/>
      <c r="P199" s="4996"/>
      <c r="Q199" s="4996"/>
      <c r="R199" s="5027"/>
      <c r="S199" s="3943"/>
      <c r="T199" s="3719"/>
      <c r="U199" s="3718"/>
      <c r="V199" s="2681"/>
      <c r="W199" s="2630"/>
      <c r="X199" s="3544"/>
      <c r="Y199" s="3905"/>
      <c r="Z199" s="3905"/>
      <c r="AA199" s="3905"/>
      <c r="AB199" s="3907"/>
      <c r="AC199" s="532"/>
      <c r="AD199" s="533"/>
      <c r="AE199" s="533"/>
      <c r="AF199" s="5264"/>
      <c r="AG199" s="221"/>
      <c r="AH199" s="221"/>
      <c r="AI199" s="221"/>
      <c r="AJ199" s="221"/>
    </row>
    <row r="200" spans="1:36" ht="36" customHeight="1">
      <c r="A200" s="4564"/>
      <c r="B200" s="4570"/>
      <c r="C200" s="5058"/>
      <c r="D200" s="5063"/>
      <c r="E200" s="5063"/>
      <c r="F200" s="5063"/>
      <c r="G200" s="5063"/>
      <c r="H200" s="5063"/>
      <c r="I200" s="5063"/>
      <c r="J200" s="5063"/>
      <c r="K200" s="5063"/>
      <c r="L200" s="5063"/>
      <c r="M200" s="5243"/>
      <c r="N200" s="5243"/>
      <c r="O200" s="5243"/>
      <c r="P200" s="4996"/>
      <c r="Q200" s="4996"/>
      <c r="R200" s="5027"/>
      <c r="S200" s="3949"/>
      <c r="T200" s="3733"/>
      <c r="U200" s="3720"/>
      <c r="V200" s="2682"/>
      <c r="W200" s="2631"/>
      <c r="X200" s="3548"/>
      <c r="Y200" s="3911"/>
      <c r="Z200" s="3911"/>
      <c r="AA200" s="3911"/>
      <c r="AB200" s="3912"/>
      <c r="AC200" s="575"/>
      <c r="AD200" s="321"/>
      <c r="AE200" s="321"/>
      <c r="AF200" s="5264"/>
      <c r="AG200" s="221"/>
      <c r="AH200" s="221"/>
      <c r="AI200" s="221"/>
      <c r="AJ200" s="221"/>
    </row>
    <row r="201" spans="1:36" ht="37.5" customHeight="1">
      <c r="A201" s="4564"/>
      <c r="B201" s="4570"/>
      <c r="C201" s="5059" t="s">
        <v>235</v>
      </c>
      <c r="D201" s="5064" t="s">
        <v>236</v>
      </c>
      <c r="E201" s="5064" t="s">
        <v>237</v>
      </c>
      <c r="F201" s="5064" t="s">
        <v>326</v>
      </c>
      <c r="G201" s="5076" t="s">
        <v>239</v>
      </c>
      <c r="H201" s="5064" t="s">
        <v>240</v>
      </c>
      <c r="I201" s="5064" t="s">
        <v>294</v>
      </c>
      <c r="J201" s="5064" t="s">
        <v>5994</v>
      </c>
      <c r="K201" s="5064" t="s">
        <v>1440</v>
      </c>
      <c r="L201" s="5064" t="s">
        <v>5917</v>
      </c>
      <c r="M201" s="5173">
        <v>0</v>
      </c>
      <c r="N201" s="5173">
        <v>0</v>
      </c>
      <c r="O201" s="5173">
        <v>6</v>
      </c>
      <c r="P201" s="5064" t="s">
        <v>5820</v>
      </c>
      <c r="Q201" s="5064" t="s">
        <v>5870</v>
      </c>
      <c r="R201" s="5248" t="s">
        <v>5781</v>
      </c>
      <c r="S201" s="4009"/>
      <c r="T201" s="3721"/>
      <c r="U201" s="3721"/>
      <c r="V201" s="3575"/>
      <c r="W201" s="3576"/>
      <c r="X201" s="3577"/>
      <c r="Y201" s="3998"/>
      <c r="Z201" s="3998"/>
      <c r="AA201" s="3998"/>
      <c r="AB201" s="4003"/>
      <c r="AC201" s="3580"/>
      <c r="AD201" s="3582"/>
      <c r="AE201" s="3582"/>
      <c r="AF201" s="5093"/>
      <c r="AG201" s="221"/>
      <c r="AH201" s="221"/>
      <c r="AI201" s="221"/>
      <c r="AJ201" s="221"/>
    </row>
    <row r="202" spans="1:36" ht="37.5" customHeight="1">
      <c r="A202" s="4564"/>
      <c r="B202" s="4570"/>
      <c r="C202" s="5058"/>
      <c r="D202" s="5063"/>
      <c r="E202" s="5063"/>
      <c r="F202" s="5063"/>
      <c r="G202" s="5063"/>
      <c r="H202" s="5063"/>
      <c r="I202" s="5063"/>
      <c r="J202" s="5063"/>
      <c r="K202" s="5063"/>
      <c r="L202" s="5063"/>
      <c r="M202" s="5243"/>
      <c r="N202" s="5243"/>
      <c r="O202" s="5243"/>
      <c r="P202" s="4996"/>
      <c r="Q202" s="4996"/>
      <c r="R202" s="5027"/>
      <c r="S202" s="3943"/>
      <c r="T202" s="3719"/>
      <c r="U202" s="3718"/>
      <c r="V202" s="2681"/>
      <c r="W202" s="2630"/>
      <c r="X202" s="3544"/>
      <c r="Y202" s="3905"/>
      <c r="Z202" s="3905"/>
      <c r="AA202" s="3905"/>
      <c r="AB202" s="3906"/>
      <c r="AC202" s="532"/>
      <c r="AD202" s="533"/>
      <c r="AE202" s="533"/>
      <c r="AF202" s="5264"/>
      <c r="AG202" s="221"/>
      <c r="AH202" s="221"/>
      <c r="AI202" s="221"/>
      <c r="AJ202" s="221"/>
    </row>
    <row r="203" spans="1:36" ht="37.5" customHeight="1">
      <c r="A203" s="4564"/>
      <c r="B203" s="4570"/>
      <c r="C203" s="5058"/>
      <c r="D203" s="5063"/>
      <c r="E203" s="5063"/>
      <c r="F203" s="5063"/>
      <c r="G203" s="5063"/>
      <c r="H203" s="5063"/>
      <c r="I203" s="5063"/>
      <c r="J203" s="5063"/>
      <c r="K203" s="5063"/>
      <c r="L203" s="5063"/>
      <c r="M203" s="5243"/>
      <c r="N203" s="5243"/>
      <c r="O203" s="5243"/>
      <c r="P203" s="4996"/>
      <c r="Q203" s="4996"/>
      <c r="R203" s="5027"/>
      <c r="S203" s="3943"/>
      <c r="T203" s="3719"/>
      <c r="U203" s="3718"/>
      <c r="V203" s="2681"/>
      <c r="W203" s="2630"/>
      <c r="X203" s="3544"/>
      <c r="Y203" s="3905"/>
      <c r="Z203" s="3905"/>
      <c r="AA203" s="3905"/>
      <c r="AB203" s="3907"/>
      <c r="AC203" s="532"/>
      <c r="AD203" s="533"/>
      <c r="AE203" s="533"/>
      <c r="AF203" s="5264"/>
      <c r="AG203" s="221"/>
      <c r="AH203" s="221"/>
      <c r="AI203" s="221"/>
      <c r="AJ203" s="221"/>
    </row>
    <row r="204" spans="1:36" ht="37.5" customHeight="1">
      <c r="A204" s="4564"/>
      <c r="B204" s="4570"/>
      <c r="C204" s="5058"/>
      <c r="D204" s="5063"/>
      <c r="E204" s="5063"/>
      <c r="F204" s="5063"/>
      <c r="G204" s="5063"/>
      <c r="H204" s="5063"/>
      <c r="I204" s="5063"/>
      <c r="J204" s="5063"/>
      <c r="K204" s="5063"/>
      <c r="L204" s="5063"/>
      <c r="M204" s="5243"/>
      <c r="N204" s="5243"/>
      <c r="O204" s="5243"/>
      <c r="P204" s="4996"/>
      <c r="Q204" s="4996"/>
      <c r="R204" s="5027"/>
      <c r="S204" s="3944"/>
      <c r="T204" s="3719"/>
      <c r="U204" s="3719"/>
      <c r="V204" s="2681"/>
      <c r="W204" s="2630"/>
      <c r="X204" s="3544"/>
      <c r="Y204" s="3905"/>
      <c r="Z204" s="3905"/>
      <c r="AA204" s="3905"/>
      <c r="AB204" s="3907"/>
      <c r="AC204" s="532"/>
      <c r="AD204" s="533"/>
      <c r="AE204" s="533"/>
      <c r="AF204" s="5264"/>
      <c r="AG204" s="221"/>
      <c r="AH204" s="221"/>
      <c r="AI204" s="221"/>
      <c r="AJ204" s="221"/>
    </row>
    <row r="205" spans="1:36" ht="37.5" customHeight="1">
      <c r="A205" s="4564"/>
      <c r="B205" s="4570"/>
      <c r="C205" s="5060"/>
      <c r="D205" s="5065"/>
      <c r="E205" s="5065"/>
      <c r="F205" s="5065"/>
      <c r="G205" s="5065"/>
      <c r="H205" s="5065"/>
      <c r="I205" s="5065"/>
      <c r="J205" s="5065"/>
      <c r="K205" s="5065"/>
      <c r="L205" s="5065"/>
      <c r="M205" s="5245"/>
      <c r="N205" s="5245"/>
      <c r="O205" s="5245"/>
      <c r="P205" s="5000"/>
      <c r="Q205" s="5000"/>
      <c r="R205" s="5249"/>
      <c r="S205" s="3993"/>
      <c r="T205" s="3729"/>
      <c r="U205" s="1779"/>
      <c r="V205" s="2686"/>
      <c r="W205" s="1781"/>
      <c r="X205" s="3571"/>
      <c r="Y205" s="3994"/>
      <c r="Z205" s="3994"/>
      <c r="AA205" s="3994"/>
      <c r="AB205" s="3995"/>
      <c r="AC205" s="1782"/>
      <c r="AD205" s="3572"/>
      <c r="AE205" s="3572"/>
      <c r="AF205" s="5265"/>
      <c r="AG205" s="221"/>
      <c r="AH205" s="221"/>
      <c r="AI205" s="221"/>
      <c r="AJ205" s="221"/>
    </row>
    <row r="206" spans="1:36" ht="36" customHeight="1">
      <c r="A206" s="4564"/>
      <c r="B206" s="4570"/>
      <c r="C206" s="5061" t="s">
        <v>235</v>
      </c>
      <c r="D206" s="5062" t="s">
        <v>236</v>
      </c>
      <c r="E206" s="5062" t="s">
        <v>237</v>
      </c>
      <c r="F206" s="5062" t="s">
        <v>326</v>
      </c>
      <c r="G206" s="5069" t="s">
        <v>239</v>
      </c>
      <c r="H206" s="5062" t="s">
        <v>240</v>
      </c>
      <c r="I206" s="5062" t="s">
        <v>294</v>
      </c>
      <c r="J206" s="5062" t="s">
        <v>5995</v>
      </c>
      <c r="K206" s="5062" t="s">
        <v>1441</v>
      </c>
      <c r="L206" s="5062" t="s">
        <v>1442</v>
      </c>
      <c r="M206" s="4998">
        <v>1</v>
      </c>
      <c r="N206" s="4998">
        <v>1</v>
      </c>
      <c r="O206" s="4998">
        <v>1</v>
      </c>
      <c r="P206" s="5062" t="s">
        <v>5821</v>
      </c>
      <c r="Q206" s="5062" t="s">
        <v>5871</v>
      </c>
      <c r="R206" s="5241" t="s">
        <v>5781</v>
      </c>
      <c r="S206" s="4032"/>
      <c r="T206" s="3071"/>
      <c r="U206" s="3071"/>
      <c r="V206" s="3961"/>
      <c r="W206" s="3963"/>
      <c r="X206" s="4033"/>
      <c r="Y206" s="4034"/>
      <c r="Z206" s="4034"/>
      <c r="AA206" s="4034"/>
      <c r="AB206" s="4035"/>
      <c r="AC206" s="3187"/>
      <c r="AD206" s="3825"/>
      <c r="AE206" s="3825"/>
      <c r="AF206" s="5209"/>
      <c r="AG206" s="221"/>
      <c r="AH206" s="221"/>
      <c r="AI206" s="221"/>
      <c r="AJ206" s="221"/>
    </row>
    <row r="207" spans="1:36" ht="36" customHeight="1">
      <c r="A207" s="4564"/>
      <c r="B207" s="4570"/>
      <c r="C207" s="5058"/>
      <c r="D207" s="5063"/>
      <c r="E207" s="5063"/>
      <c r="F207" s="5063"/>
      <c r="G207" s="5063"/>
      <c r="H207" s="5063"/>
      <c r="I207" s="5063"/>
      <c r="J207" s="5063"/>
      <c r="K207" s="5063"/>
      <c r="L207" s="5063"/>
      <c r="M207" s="5243"/>
      <c r="N207" s="5243"/>
      <c r="O207" s="5243"/>
      <c r="P207" s="4996"/>
      <c r="Q207" s="4996"/>
      <c r="R207" s="5027"/>
      <c r="S207" s="3969"/>
      <c r="T207" s="1891"/>
      <c r="U207" s="1849"/>
      <c r="V207" s="1883"/>
      <c r="W207" s="1864"/>
      <c r="X207" s="3637"/>
      <c r="Y207" s="3970"/>
      <c r="Z207" s="3970"/>
      <c r="AA207" s="3970"/>
      <c r="AB207" s="3971"/>
      <c r="AC207" s="1824"/>
      <c r="AD207" s="1824"/>
      <c r="AE207" s="3790"/>
      <c r="AF207" s="5224"/>
      <c r="AG207" s="221"/>
      <c r="AH207" s="221"/>
      <c r="AI207" s="221"/>
      <c r="AJ207" s="221"/>
    </row>
    <row r="208" spans="1:36" ht="36" customHeight="1">
      <c r="A208" s="4564"/>
      <c r="B208" s="4570"/>
      <c r="C208" s="5058"/>
      <c r="D208" s="5063"/>
      <c r="E208" s="5063"/>
      <c r="F208" s="5063"/>
      <c r="G208" s="5063"/>
      <c r="H208" s="5063"/>
      <c r="I208" s="5063"/>
      <c r="J208" s="5063"/>
      <c r="K208" s="5063"/>
      <c r="L208" s="5063"/>
      <c r="M208" s="5243"/>
      <c r="N208" s="5243"/>
      <c r="O208" s="5243"/>
      <c r="P208" s="4996"/>
      <c r="Q208" s="4996"/>
      <c r="R208" s="5027"/>
      <c r="S208" s="3969"/>
      <c r="T208" s="1891"/>
      <c r="U208" s="1849"/>
      <c r="V208" s="1883"/>
      <c r="W208" s="1864"/>
      <c r="X208" s="3637"/>
      <c r="Y208" s="3970"/>
      <c r="Z208" s="3970"/>
      <c r="AA208" s="3970"/>
      <c r="AB208" s="3972"/>
      <c r="AC208" s="1824"/>
      <c r="AD208" s="1824"/>
      <c r="AE208" s="3200"/>
      <c r="AF208" s="5224"/>
      <c r="AG208" s="221"/>
      <c r="AH208" s="221"/>
      <c r="AI208" s="221"/>
      <c r="AJ208" s="221"/>
    </row>
    <row r="209" spans="1:36" ht="36" customHeight="1">
      <c r="A209" s="4564"/>
      <c r="B209" s="4570"/>
      <c r="C209" s="5058"/>
      <c r="D209" s="5063"/>
      <c r="E209" s="5063"/>
      <c r="F209" s="5063"/>
      <c r="G209" s="5063"/>
      <c r="H209" s="5063"/>
      <c r="I209" s="5063"/>
      <c r="J209" s="5063"/>
      <c r="K209" s="5063"/>
      <c r="L209" s="5063"/>
      <c r="M209" s="5243"/>
      <c r="N209" s="5243"/>
      <c r="O209" s="5243"/>
      <c r="P209" s="4996"/>
      <c r="Q209" s="4996"/>
      <c r="R209" s="5027"/>
      <c r="S209" s="3969"/>
      <c r="T209" s="1891"/>
      <c r="U209" s="1849"/>
      <c r="V209" s="1883"/>
      <c r="W209" s="1864"/>
      <c r="X209" s="3637"/>
      <c r="Y209" s="3970"/>
      <c r="Z209" s="3970"/>
      <c r="AA209" s="3970"/>
      <c r="AB209" s="3972"/>
      <c r="AC209" s="1824"/>
      <c r="AD209" s="1824"/>
      <c r="AE209" s="3200"/>
      <c r="AF209" s="5224"/>
      <c r="AG209" s="221"/>
      <c r="AH209" s="221"/>
      <c r="AI209" s="221"/>
      <c r="AJ209" s="221"/>
    </row>
    <row r="210" spans="1:36" ht="36" customHeight="1">
      <c r="A210" s="4564"/>
      <c r="B210" s="4570"/>
      <c r="C210" s="5058"/>
      <c r="D210" s="5063"/>
      <c r="E210" s="5063"/>
      <c r="F210" s="5063"/>
      <c r="G210" s="5063"/>
      <c r="H210" s="5063"/>
      <c r="I210" s="5063"/>
      <c r="J210" s="5063"/>
      <c r="K210" s="5063"/>
      <c r="L210" s="5063"/>
      <c r="M210" s="5243"/>
      <c r="N210" s="5243"/>
      <c r="O210" s="5243"/>
      <c r="P210" s="4996"/>
      <c r="Q210" s="4996"/>
      <c r="R210" s="5027"/>
      <c r="S210" s="4036"/>
      <c r="T210" s="3821"/>
      <c r="U210" s="3271"/>
      <c r="V210" s="3822"/>
      <c r="W210" s="3254"/>
      <c r="X210" s="4037"/>
      <c r="Y210" s="4038"/>
      <c r="Z210" s="4038"/>
      <c r="AA210" s="4038"/>
      <c r="AB210" s="4039"/>
      <c r="AC210" s="3246"/>
      <c r="AD210" s="3246"/>
      <c r="AE210" s="3256"/>
      <c r="AF210" s="5227"/>
      <c r="AG210" s="221"/>
      <c r="AH210" s="221"/>
      <c r="AI210" s="221"/>
      <c r="AJ210" s="221"/>
    </row>
    <row r="211" spans="1:36" ht="27" customHeight="1">
      <c r="A211" s="4564"/>
      <c r="B211" s="4570"/>
      <c r="C211" s="5059" t="s">
        <v>235</v>
      </c>
      <c r="D211" s="5064" t="s">
        <v>236</v>
      </c>
      <c r="E211" s="5064" t="s">
        <v>237</v>
      </c>
      <c r="F211" s="5064" t="s">
        <v>326</v>
      </c>
      <c r="G211" s="5076" t="s">
        <v>239</v>
      </c>
      <c r="H211" s="5064" t="s">
        <v>240</v>
      </c>
      <c r="I211" s="5064" t="s">
        <v>257</v>
      </c>
      <c r="J211" s="5064" t="s">
        <v>4159</v>
      </c>
      <c r="K211" s="5064" t="s">
        <v>338</v>
      </c>
      <c r="L211" s="5064" t="s">
        <v>1443</v>
      </c>
      <c r="M211" s="5173">
        <v>0</v>
      </c>
      <c r="N211" s="5173">
        <v>1</v>
      </c>
      <c r="O211" s="5173">
        <v>1</v>
      </c>
      <c r="P211" s="5064" t="s">
        <v>5822</v>
      </c>
      <c r="Q211" s="5064" t="s">
        <v>5872</v>
      </c>
      <c r="R211" s="5248" t="s">
        <v>5782</v>
      </c>
      <c r="S211" s="4040"/>
      <c r="T211" s="3270"/>
      <c r="U211" s="3270"/>
      <c r="V211" s="3958"/>
      <c r="W211" s="3964"/>
      <c r="X211" s="3632"/>
      <c r="Y211" s="4041"/>
      <c r="Z211" s="4041"/>
      <c r="AA211" s="4041"/>
      <c r="AB211" s="4042"/>
      <c r="AC211" s="3259"/>
      <c r="AD211" s="3262"/>
      <c r="AE211" s="3262"/>
      <c r="AF211" s="5217"/>
      <c r="AG211" s="221"/>
      <c r="AH211" s="221"/>
      <c r="AI211" s="221"/>
      <c r="AJ211" s="221"/>
    </row>
    <row r="212" spans="1:36" ht="27" customHeight="1">
      <c r="A212" s="4564"/>
      <c r="B212" s="4570"/>
      <c r="C212" s="5058"/>
      <c r="D212" s="5063"/>
      <c r="E212" s="5063"/>
      <c r="F212" s="5063"/>
      <c r="G212" s="5063"/>
      <c r="H212" s="5063"/>
      <c r="I212" s="5063"/>
      <c r="J212" s="5063"/>
      <c r="K212" s="5063"/>
      <c r="L212" s="5063"/>
      <c r="M212" s="5243"/>
      <c r="N212" s="5243"/>
      <c r="O212" s="5243"/>
      <c r="P212" s="4996"/>
      <c r="Q212" s="4996"/>
      <c r="R212" s="5027"/>
      <c r="S212" s="3969"/>
      <c r="T212" s="1891"/>
      <c r="U212" s="1849"/>
      <c r="V212" s="1883"/>
      <c r="W212" s="1864"/>
      <c r="X212" s="3637"/>
      <c r="Y212" s="3970"/>
      <c r="Z212" s="3970"/>
      <c r="AA212" s="3970"/>
      <c r="AB212" s="3971"/>
      <c r="AC212" s="1824"/>
      <c r="AD212" s="3200"/>
      <c r="AE212" s="3200"/>
      <c r="AF212" s="5224"/>
      <c r="AG212" s="221"/>
      <c r="AH212" s="221"/>
      <c r="AI212" s="221"/>
      <c r="AJ212" s="221"/>
    </row>
    <row r="213" spans="1:36" ht="27" customHeight="1">
      <c r="A213" s="4564"/>
      <c r="B213" s="4570"/>
      <c r="C213" s="5058"/>
      <c r="D213" s="5063"/>
      <c r="E213" s="5063"/>
      <c r="F213" s="5063"/>
      <c r="G213" s="5063"/>
      <c r="H213" s="5063"/>
      <c r="I213" s="5063"/>
      <c r="J213" s="5063"/>
      <c r="K213" s="5063"/>
      <c r="L213" s="5063"/>
      <c r="M213" s="5243"/>
      <c r="N213" s="5243"/>
      <c r="O213" s="5243"/>
      <c r="P213" s="4996"/>
      <c r="Q213" s="4996"/>
      <c r="R213" s="5027"/>
      <c r="S213" s="3969"/>
      <c r="T213" s="1891"/>
      <c r="U213" s="1849"/>
      <c r="V213" s="1883"/>
      <c r="W213" s="1864"/>
      <c r="X213" s="3637"/>
      <c r="Y213" s="3970"/>
      <c r="Z213" s="3970"/>
      <c r="AA213" s="3970"/>
      <c r="AB213" s="3972"/>
      <c r="AC213" s="1824"/>
      <c r="AD213" s="3200"/>
      <c r="AE213" s="3200"/>
      <c r="AF213" s="5224"/>
      <c r="AG213" s="221"/>
      <c r="AH213" s="221"/>
      <c r="AI213" s="221"/>
      <c r="AJ213" s="221"/>
    </row>
    <row r="214" spans="1:36" ht="27" customHeight="1">
      <c r="A214" s="4564"/>
      <c r="B214" s="4570"/>
      <c r="C214" s="5058"/>
      <c r="D214" s="5063"/>
      <c r="E214" s="5063"/>
      <c r="F214" s="5063"/>
      <c r="G214" s="5063"/>
      <c r="H214" s="5063"/>
      <c r="I214" s="5063"/>
      <c r="J214" s="5063"/>
      <c r="K214" s="5063"/>
      <c r="L214" s="5063"/>
      <c r="M214" s="5243"/>
      <c r="N214" s="5243"/>
      <c r="O214" s="5243"/>
      <c r="P214" s="4996"/>
      <c r="Q214" s="4996"/>
      <c r="R214" s="5027"/>
      <c r="S214" s="3969"/>
      <c r="T214" s="1891"/>
      <c r="U214" s="1849"/>
      <c r="V214" s="1883"/>
      <c r="W214" s="1864"/>
      <c r="X214" s="3637"/>
      <c r="Y214" s="3970"/>
      <c r="Z214" s="3970"/>
      <c r="AA214" s="3970"/>
      <c r="AB214" s="3972"/>
      <c r="AC214" s="1824"/>
      <c r="AD214" s="3200"/>
      <c r="AE214" s="3200"/>
      <c r="AF214" s="5224"/>
      <c r="AG214" s="221"/>
      <c r="AH214" s="221"/>
      <c r="AI214" s="221"/>
      <c r="AJ214" s="221"/>
    </row>
    <row r="215" spans="1:36" ht="27" customHeight="1">
      <c r="A215" s="4564"/>
      <c r="B215" s="4570"/>
      <c r="C215" s="5060"/>
      <c r="D215" s="5065"/>
      <c r="E215" s="5065"/>
      <c r="F215" s="5065"/>
      <c r="G215" s="5065"/>
      <c r="H215" s="5065"/>
      <c r="I215" s="5065"/>
      <c r="J215" s="5065"/>
      <c r="K215" s="5065"/>
      <c r="L215" s="5065"/>
      <c r="M215" s="5245"/>
      <c r="N215" s="5245"/>
      <c r="O215" s="5245"/>
      <c r="P215" s="5000"/>
      <c r="Q215" s="5000"/>
      <c r="R215" s="5249"/>
      <c r="S215" s="4043"/>
      <c r="T215" s="3819"/>
      <c r="U215" s="3268"/>
      <c r="V215" s="3641"/>
      <c r="W215" s="3233"/>
      <c r="X215" s="3642"/>
      <c r="Y215" s="4044"/>
      <c r="Z215" s="4044"/>
      <c r="AA215" s="4044"/>
      <c r="AB215" s="4045"/>
      <c r="AC215" s="3234"/>
      <c r="AD215" s="3238"/>
      <c r="AE215" s="3238"/>
      <c r="AF215" s="5225"/>
      <c r="AG215" s="221"/>
      <c r="AH215" s="221"/>
      <c r="AI215" s="221"/>
      <c r="AJ215" s="221"/>
    </row>
    <row r="216" spans="1:36" ht="27" customHeight="1">
      <c r="A216" s="4564"/>
      <c r="B216" s="4570"/>
      <c r="C216" s="5061" t="s">
        <v>235</v>
      </c>
      <c r="D216" s="5062" t="s">
        <v>236</v>
      </c>
      <c r="E216" s="5062" t="s">
        <v>237</v>
      </c>
      <c r="F216" s="5062" t="s">
        <v>326</v>
      </c>
      <c r="G216" s="5069" t="s">
        <v>239</v>
      </c>
      <c r="H216" s="5062" t="s">
        <v>240</v>
      </c>
      <c r="I216" s="5062" t="s">
        <v>294</v>
      </c>
      <c r="J216" s="5062" t="s">
        <v>5575</v>
      </c>
      <c r="K216" s="5062" t="s">
        <v>371</v>
      </c>
      <c r="L216" s="5062" t="s">
        <v>5918</v>
      </c>
      <c r="M216" s="4998">
        <v>0</v>
      </c>
      <c r="N216" s="4998">
        <v>0</v>
      </c>
      <c r="O216" s="4998">
        <v>1</v>
      </c>
      <c r="P216" s="5062" t="s">
        <v>5823</v>
      </c>
      <c r="Q216" s="5062" t="s">
        <v>5873</v>
      </c>
      <c r="R216" s="5241" t="s">
        <v>5783</v>
      </c>
      <c r="S216" s="4032"/>
      <c r="T216" s="3071"/>
      <c r="U216" s="3071"/>
      <c r="V216" s="3961"/>
      <c r="W216" s="3963"/>
      <c r="X216" s="4033"/>
      <c r="Y216" s="4034"/>
      <c r="Z216" s="4034"/>
      <c r="AA216" s="4034"/>
      <c r="AB216" s="4035"/>
      <c r="AC216" s="3187"/>
      <c r="AD216" s="3230"/>
      <c r="AE216" s="3230"/>
      <c r="AF216" s="5209"/>
      <c r="AG216" s="221"/>
      <c r="AH216" s="221"/>
      <c r="AI216" s="221"/>
      <c r="AJ216" s="221"/>
    </row>
    <row r="217" spans="1:36" ht="27" customHeight="1">
      <c r="A217" s="4564"/>
      <c r="B217" s="4570"/>
      <c r="C217" s="5058"/>
      <c r="D217" s="5063"/>
      <c r="E217" s="5063"/>
      <c r="F217" s="5063"/>
      <c r="G217" s="5063"/>
      <c r="H217" s="5063"/>
      <c r="I217" s="5063"/>
      <c r="J217" s="5063"/>
      <c r="K217" s="5063"/>
      <c r="L217" s="5063"/>
      <c r="M217" s="5243"/>
      <c r="N217" s="5243"/>
      <c r="O217" s="5243"/>
      <c r="P217" s="4996"/>
      <c r="Q217" s="4996"/>
      <c r="R217" s="5027"/>
      <c r="S217" s="3969"/>
      <c r="T217" s="1891"/>
      <c r="U217" s="1849"/>
      <c r="V217" s="1883"/>
      <c r="W217" s="1864"/>
      <c r="X217" s="3637"/>
      <c r="Y217" s="3970"/>
      <c r="Z217" s="3970"/>
      <c r="AA217" s="3970"/>
      <c r="AB217" s="3971"/>
      <c r="AC217" s="1824"/>
      <c r="AD217" s="3200"/>
      <c r="AE217" s="3200"/>
      <c r="AF217" s="5224"/>
      <c r="AG217" s="221"/>
      <c r="AH217" s="221"/>
      <c r="AI217" s="221"/>
      <c r="AJ217" s="221"/>
    </row>
    <row r="218" spans="1:36" ht="27" customHeight="1">
      <c r="A218" s="4564"/>
      <c r="B218" s="4570"/>
      <c r="C218" s="5058"/>
      <c r="D218" s="5063"/>
      <c r="E218" s="5063"/>
      <c r="F218" s="5063"/>
      <c r="G218" s="5063"/>
      <c r="H218" s="5063"/>
      <c r="I218" s="5063"/>
      <c r="J218" s="5063"/>
      <c r="K218" s="5063"/>
      <c r="L218" s="5063"/>
      <c r="M218" s="5243"/>
      <c r="N218" s="5243"/>
      <c r="O218" s="5243"/>
      <c r="P218" s="4996"/>
      <c r="Q218" s="4996"/>
      <c r="R218" s="5027"/>
      <c r="S218" s="3969"/>
      <c r="T218" s="1891"/>
      <c r="U218" s="1849"/>
      <c r="V218" s="1883"/>
      <c r="W218" s="1864"/>
      <c r="X218" s="3637"/>
      <c r="Y218" s="3970"/>
      <c r="Z218" s="3970"/>
      <c r="AA218" s="3970"/>
      <c r="AB218" s="3972"/>
      <c r="AC218" s="1824"/>
      <c r="AD218" s="3200"/>
      <c r="AE218" s="3200"/>
      <c r="AF218" s="5224"/>
      <c r="AG218" s="221"/>
      <c r="AH218" s="221"/>
      <c r="AI218" s="221"/>
      <c r="AJ218" s="221"/>
    </row>
    <row r="219" spans="1:36" ht="27" customHeight="1">
      <c r="A219" s="4564"/>
      <c r="B219" s="4570"/>
      <c r="C219" s="5058"/>
      <c r="D219" s="5063"/>
      <c r="E219" s="5063"/>
      <c r="F219" s="5063"/>
      <c r="G219" s="5063"/>
      <c r="H219" s="5063"/>
      <c r="I219" s="5063"/>
      <c r="J219" s="5063"/>
      <c r="K219" s="5063"/>
      <c r="L219" s="5063"/>
      <c r="M219" s="5243"/>
      <c r="N219" s="5243"/>
      <c r="O219" s="5243"/>
      <c r="P219" s="4996"/>
      <c r="Q219" s="4996"/>
      <c r="R219" s="5027"/>
      <c r="S219" s="3969"/>
      <c r="T219" s="1891"/>
      <c r="U219" s="1849"/>
      <c r="V219" s="1883"/>
      <c r="W219" s="1864"/>
      <c r="X219" s="3637"/>
      <c r="Y219" s="3970"/>
      <c r="Z219" s="3970"/>
      <c r="AA219" s="3970"/>
      <c r="AB219" s="3972"/>
      <c r="AC219" s="1824"/>
      <c r="AD219" s="3200"/>
      <c r="AE219" s="3200"/>
      <c r="AF219" s="5224"/>
      <c r="AG219" s="221"/>
      <c r="AH219" s="221"/>
      <c r="AI219" s="221"/>
      <c r="AJ219" s="221"/>
    </row>
    <row r="220" spans="1:36" ht="27" customHeight="1" thickBot="1">
      <c r="A220" s="4564"/>
      <c r="B220" s="4570"/>
      <c r="C220" s="5066"/>
      <c r="D220" s="5067"/>
      <c r="E220" s="5067"/>
      <c r="F220" s="5067"/>
      <c r="G220" s="5067"/>
      <c r="H220" s="5067"/>
      <c r="I220" s="5067"/>
      <c r="J220" s="5067"/>
      <c r="K220" s="5067"/>
      <c r="L220" s="5067"/>
      <c r="M220" s="5244"/>
      <c r="N220" s="5244"/>
      <c r="O220" s="5244"/>
      <c r="P220" s="5240"/>
      <c r="Q220" s="5240"/>
      <c r="R220" s="5242"/>
      <c r="S220" s="3974"/>
      <c r="T220" s="3791"/>
      <c r="U220" s="3875"/>
      <c r="V220" s="3792"/>
      <c r="W220" s="3793"/>
      <c r="X220" s="3975"/>
      <c r="Y220" s="3976"/>
      <c r="Z220" s="3976"/>
      <c r="AA220" s="3976"/>
      <c r="AB220" s="3977"/>
      <c r="AC220" s="3794"/>
      <c r="AD220" s="3797"/>
      <c r="AE220" s="3797"/>
      <c r="AF220" s="5232"/>
      <c r="AG220" s="221"/>
      <c r="AH220" s="221"/>
      <c r="AI220" s="221"/>
      <c r="AJ220" s="221"/>
    </row>
    <row r="221" spans="1:36" ht="22.5" customHeight="1" thickBot="1">
      <c r="A221" s="4564"/>
      <c r="B221" s="4479"/>
      <c r="C221" s="5080"/>
      <c r="D221" s="4567"/>
      <c r="E221" s="4567"/>
      <c r="F221" s="4567"/>
      <c r="G221" s="4567"/>
      <c r="H221" s="4567"/>
      <c r="I221" s="4567"/>
      <c r="J221" s="4567"/>
      <c r="K221" s="4567"/>
      <c r="L221" s="4567"/>
      <c r="M221" s="4567"/>
      <c r="N221" s="4567"/>
      <c r="O221" s="4567"/>
      <c r="P221" s="4567"/>
      <c r="Q221" s="4567"/>
      <c r="R221" s="5099"/>
      <c r="S221" s="5100" t="s">
        <v>1444</v>
      </c>
      <c r="T221" s="4538"/>
      <c r="U221" s="4538"/>
      <c r="V221" s="4538"/>
      <c r="W221" s="4538"/>
      <c r="X221" s="4538"/>
      <c r="Y221" s="4538"/>
      <c r="Z221" s="4538"/>
      <c r="AA221" s="2232" t="s">
        <v>340</v>
      </c>
      <c r="AB221" s="2233">
        <f>SUM(AB176:AB220)</f>
        <v>705.6</v>
      </c>
      <c r="AC221" s="4558"/>
      <c r="AD221" s="4540"/>
      <c r="AE221" s="4540"/>
      <c r="AF221" s="4541"/>
      <c r="AG221" s="221"/>
      <c r="AH221" s="221"/>
      <c r="AI221" s="221"/>
      <c r="AJ221" s="221"/>
    </row>
    <row r="222" spans="1:36" ht="99" customHeight="1">
      <c r="A222" s="4564"/>
      <c r="B222" s="4571" t="s">
        <v>1445</v>
      </c>
      <c r="C222" s="5237" t="s">
        <v>235</v>
      </c>
      <c r="D222" s="4931" t="s">
        <v>236</v>
      </c>
      <c r="E222" s="4931" t="s">
        <v>237</v>
      </c>
      <c r="F222" s="4931" t="s">
        <v>370</v>
      </c>
      <c r="G222" s="4932" t="s">
        <v>239</v>
      </c>
      <c r="H222" s="4931" t="s">
        <v>240</v>
      </c>
      <c r="I222" s="4931" t="s">
        <v>257</v>
      </c>
      <c r="J222" s="4931" t="s">
        <v>5996</v>
      </c>
      <c r="K222" s="4931" t="s">
        <v>1446</v>
      </c>
      <c r="L222" s="4931" t="s">
        <v>5919</v>
      </c>
      <c r="M222" s="5204">
        <v>20</v>
      </c>
      <c r="N222" s="5204">
        <v>20</v>
      </c>
      <c r="O222" s="5204">
        <v>30</v>
      </c>
      <c r="P222" s="4931" t="s">
        <v>5824</v>
      </c>
      <c r="Q222" s="4931" t="s">
        <v>5874</v>
      </c>
      <c r="R222" s="5203" t="s">
        <v>5784</v>
      </c>
      <c r="S222" s="3965"/>
      <c r="T222" s="3785"/>
      <c r="U222" s="3785"/>
      <c r="V222" s="3962"/>
      <c r="W222" s="3959"/>
      <c r="X222" s="3966"/>
      <c r="Y222" s="3967"/>
      <c r="Z222" s="3967"/>
      <c r="AA222" s="3967"/>
      <c r="AB222" s="3967"/>
      <c r="AC222" s="3978"/>
      <c r="AD222" s="3788"/>
      <c r="AE222" s="3788"/>
      <c r="AF222" s="5216"/>
      <c r="AG222" s="221"/>
      <c r="AH222" s="221"/>
      <c r="AI222" s="221"/>
      <c r="AJ222" s="221"/>
    </row>
    <row r="223" spans="1:36" ht="99" customHeight="1">
      <c r="A223" s="4564"/>
      <c r="B223" s="4570"/>
      <c r="C223" s="4545"/>
      <c r="D223" s="4514"/>
      <c r="E223" s="4514"/>
      <c r="F223" s="4514"/>
      <c r="G223" s="4514"/>
      <c r="H223" s="4514"/>
      <c r="I223" s="4514"/>
      <c r="J223" s="4514"/>
      <c r="K223" s="4514"/>
      <c r="L223" s="4514"/>
      <c r="M223" s="4901"/>
      <c r="N223" s="4901"/>
      <c r="O223" s="4901"/>
      <c r="P223" s="4378"/>
      <c r="Q223" s="4378"/>
      <c r="R223" s="5180"/>
      <c r="S223" s="3986"/>
      <c r="T223" s="1891"/>
      <c r="U223" s="1891"/>
      <c r="V223" s="1883"/>
      <c r="W223" s="1864"/>
      <c r="X223" s="3637"/>
      <c r="Y223" s="3970"/>
      <c r="Z223" s="3970"/>
      <c r="AA223" s="3970"/>
      <c r="AB223" s="3970"/>
      <c r="AC223" s="3818"/>
      <c r="AD223" s="3200"/>
      <c r="AE223" s="3200"/>
      <c r="AF223" s="5224"/>
      <c r="AG223" s="221"/>
      <c r="AH223" s="221"/>
      <c r="AI223" s="221"/>
      <c r="AJ223" s="221"/>
    </row>
    <row r="224" spans="1:36" ht="99" customHeight="1">
      <c r="A224" s="4564"/>
      <c r="B224" s="4570"/>
      <c r="C224" s="4545"/>
      <c r="D224" s="4514"/>
      <c r="E224" s="4514"/>
      <c r="F224" s="4514"/>
      <c r="G224" s="4514"/>
      <c r="H224" s="4514"/>
      <c r="I224" s="4514"/>
      <c r="J224" s="4514"/>
      <c r="K224" s="4514"/>
      <c r="L224" s="4514"/>
      <c r="M224" s="4901"/>
      <c r="N224" s="4901"/>
      <c r="O224" s="4901"/>
      <c r="P224" s="4378"/>
      <c r="Q224" s="4378"/>
      <c r="R224" s="5180"/>
      <c r="S224" s="3973"/>
      <c r="T224" s="1891"/>
      <c r="U224" s="1891"/>
      <c r="V224" s="3789"/>
      <c r="W224" s="1864"/>
      <c r="X224" s="3637"/>
      <c r="Y224" s="3970"/>
      <c r="Z224" s="3970"/>
      <c r="AA224" s="3970"/>
      <c r="AB224" s="3970"/>
      <c r="AC224" s="3979"/>
      <c r="AD224" s="3200"/>
      <c r="AE224" s="3200"/>
      <c r="AF224" s="5224"/>
      <c r="AG224" s="221"/>
      <c r="AH224" s="221"/>
      <c r="AI224" s="221"/>
      <c r="AJ224" s="221"/>
    </row>
    <row r="225" spans="1:36" ht="99" customHeight="1">
      <c r="A225" s="4564"/>
      <c r="B225" s="4570"/>
      <c r="C225" s="4545"/>
      <c r="D225" s="4514"/>
      <c r="E225" s="4514"/>
      <c r="F225" s="4514"/>
      <c r="G225" s="4514"/>
      <c r="H225" s="4514"/>
      <c r="I225" s="4514"/>
      <c r="J225" s="4514"/>
      <c r="K225" s="4514"/>
      <c r="L225" s="4514"/>
      <c r="M225" s="4901"/>
      <c r="N225" s="4901"/>
      <c r="O225" s="4901"/>
      <c r="P225" s="4378"/>
      <c r="Q225" s="4378"/>
      <c r="R225" s="5180"/>
      <c r="S225" s="3973"/>
      <c r="T225" s="1891"/>
      <c r="U225" s="3980"/>
      <c r="V225" s="1883"/>
      <c r="W225" s="1864"/>
      <c r="X225" s="3637"/>
      <c r="Y225" s="3970"/>
      <c r="Z225" s="3970"/>
      <c r="AA225" s="3970"/>
      <c r="AB225" s="3970"/>
      <c r="AC225" s="3979"/>
      <c r="AD225" s="3200"/>
      <c r="AE225" s="3200"/>
      <c r="AF225" s="5224"/>
      <c r="AG225" s="221"/>
      <c r="AH225" s="221"/>
      <c r="AI225" s="221"/>
      <c r="AJ225" s="221"/>
    </row>
    <row r="226" spans="1:36" ht="99" customHeight="1">
      <c r="A226" s="4564"/>
      <c r="B226" s="4570"/>
      <c r="C226" s="4566"/>
      <c r="D226" s="4525"/>
      <c r="E226" s="4525"/>
      <c r="F226" s="4525"/>
      <c r="G226" s="4525"/>
      <c r="H226" s="4525"/>
      <c r="I226" s="4525"/>
      <c r="J226" s="4525"/>
      <c r="K226" s="4525"/>
      <c r="L226" s="4525"/>
      <c r="M226" s="4902"/>
      <c r="N226" s="4902"/>
      <c r="O226" s="4902"/>
      <c r="P226" s="4396"/>
      <c r="Q226" s="4396"/>
      <c r="R226" s="5194"/>
      <c r="S226" s="4047"/>
      <c r="T226" s="3821"/>
      <c r="U226" s="3821"/>
      <c r="V226" s="3822"/>
      <c r="W226" s="3254"/>
      <c r="X226" s="4037"/>
      <c r="Y226" s="4038"/>
      <c r="Z226" s="4038"/>
      <c r="AA226" s="4038"/>
      <c r="AB226" s="4039"/>
      <c r="AC226" s="3246"/>
      <c r="AD226" s="3256"/>
      <c r="AE226" s="3256"/>
      <c r="AF226" s="5227"/>
      <c r="AG226" s="221"/>
      <c r="AH226" s="221"/>
      <c r="AI226" s="221"/>
      <c r="AJ226" s="221"/>
    </row>
    <row r="227" spans="1:36" ht="33" customHeight="1">
      <c r="A227" s="4564"/>
      <c r="B227" s="4570"/>
      <c r="C227" s="5239" t="s">
        <v>235</v>
      </c>
      <c r="D227" s="4377" t="s">
        <v>236</v>
      </c>
      <c r="E227" s="4377" t="s">
        <v>237</v>
      </c>
      <c r="F227" s="4377" t="s">
        <v>370</v>
      </c>
      <c r="G227" s="4906" t="s">
        <v>239</v>
      </c>
      <c r="H227" s="4377" t="s">
        <v>240</v>
      </c>
      <c r="I227" s="4377" t="s">
        <v>257</v>
      </c>
      <c r="J227" s="4377" t="s">
        <v>5997</v>
      </c>
      <c r="K227" s="4377" t="s">
        <v>1447</v>
      </c>
      <c r="L227" s="4377" t="s">
        <v>5920</v>
      </c>
      <c r="M227" s="4392">
        <v>0</v>
      </c>
      <c r="N227" s="4392">
        <v>0</v>
      </c>
      <c r="O227" s="4392">
        <v>1</v>
      </c>
      <c r="P227" s="4377" t="s">
        <v>5825</v>
      </c>
      <c r="Q227" s="4377" t="s">
        <v>5875</v>
      </c>
      <c r="R227" s="5179" t="s">
        <v>5785</v>
      </c>
      <c r="S227" s="4040"/>
      <c r="T227" s="3270"/>
      <c r="U227" s="3270"/>
      <c r="V227" s="3958"/>
      <c r="W227" s="3964"/>
      <c r="X227" s="3632"/>
      <c r="Y227" s="4041"/>
      <c r="Z227" s="4041"/>
      <c r="AA227" s="4041"/>
      <c r="AB227" s="4042"/>
      <c r="AC227" s="3259"/>
      <c r="AD227" s="3262"/>
      <c r="AE227" s="3262"/>
      <c r="AF227" s="5217"/>
      <c r="AG227" s="221"/>
      <c r="AH227" s="221"/>
      <c r="AI227" s="221"/>
      <c r="AJ227" s="221"/>
    </row>
    <row r="228" spans="1:36" ht="33" customHeight="1">
      <c r="A228" s="4564"/>
      <c r="B228" s="4570"/>
      <c r="C228" s="4545"/>
      <c r="D228" s="4514"/>
      <c r="E228" s="4514"/>
      <c r="F228" s="4514"/>
      <c r="G228" s="4514"/>
      <c r="H228" s="4514"/>
      <c r="I228" s="4514"/>
      <c r="J228" s="4514"/>
      <c r="K228" s="4514"/>
      <c r="L228" s="4514"/>
      <c r="M228" s="4901"/>
      <c r="N228" s="4901"/>
      <c r="O228" s="4901"/>
      <c r="P228" s="4378"/>
      <c r="Q228" s="4378"/>
      <c r="R228" s="5180"/>
      <c r="S228" s="3969"/>
      <c r="T228" s="1891"/>
      <c r="U228" s="1849"/>
      <c r="V228" s="1883"/>
      <c r="W228" s="1864"/>
      <c r="X228" s="3637"/>
      <c r="Y228" s="3970"/>
      <c r="Z228" s="3970"/>
      <c r="AA228" s="3970"/>
      <c r="AB228" s="3971"/>
      <c r="AC228" s="1824"/>
      <c r="AD228" s="3200"/>
      <c r="AE228" s="3200"/>
      <c r="AF228" s="5224"/>
      <c r="AG228" s="221"/>
      <c r="AH228" s="221"/>
      <c r="AI228" s="221"/>
      <c r="AJ228" s="221"/>
    </row>
    <row r="229" spans="1:36" ht="33" customHeight="1">
      <c r="A229" s="4564"/>
      <c r="B229" s="4570"/>
      <c r="C229" s="4545"/>
      <c r="D229" s="4514"/>
      <c r="E229" s="4514"/>
      <c r="F229" s="4514"/>
      <c r="G229" s="4514"/>
      <c r="H229" s="4514"/>
      <c r="I229" s="4514"/>
      <c r="J229" s="4514"/>
      <c r="K229" s="4514"/>
      <c r="L229" s="4514"/>
      <c r="M229" s="4901"/>
      <c r="N229" s="4901"/>
      <c r="O229" s="4901"/>
      <c r="P229" s="4378"/>
      <c r="Q229" s="4378"/>
      <c r="R229" s="5180"/>
      <c r="S229" s="3969"/>
      <c r="T229" s="1891"/>
      <c r="U229" s="1849"/>
      <c r="V229" s="1883"/>
      <c r="W229" s="1864"/>
      <c r="X229" s="3637"/>
      <c r="Y229" s="3970"/>
      <c r="Z229" s="3970"/>
      <c r="AA229" s="3970"/>
      <c r="AB229" s="3972"/>
      <c r="AC229" s="1824"/>
      <c r="AD229" s="3200"/>
      <c r="AE229" s="3200"/>
      <c r="AF229" s="5224"/>
      <c r="AG229" s="221"/>
      <c r="AH229" s="221"/>
      <c r="AI229" s="221"/>
      <c r="AJ229" s="221"/>
    </row>
    <row r="230" spans="1:36" ht="33" customHeight="1">
      <c r="A230" s="4564"/>
      <c r="B230" s="4570"/>
      <c r="C230" s="4545"/>
      <c r="D230" s="4514"/>
      <c r="E230" s="4514"/>
      <c r="F230" s="4514"/>
      <c r="G230" s="4514"/>
      <c r="H230" s="4514"/>
      <c r="I230" s="4514"/>
      <c r="J230" s="4514"/>
      <c r="K230" s="4514"/>
      <c r="L230" s="4514"/>
      <c r="M230" s="4901"/>
      <c r="N230" s="4901"/>
      <c r="O230" s="4901"/>
      <c r="P230" s="4378"/>
      <c r="Q230" s="4378"/>
      <c r="R230" s="5180"/>
      <c r="S230" s="3969"/>
      <c r="T230" s="1891"/>
      <c r="U230" s="1849"/>
      <c r="V230" s="1883"/>
      <c r="W230" s="1864"/>
      <c r="X230" s="3637"/>
      <c r="Y230" s="3970"/>
      <c r="Z230" s="3970"/>
      <c r="AA230" s="3970"/>
      <c r="AB230" s="3972"/>
      <c r="AC230" s="1824"/>
      <c r="AD230" s="3200"/>
      <c r="AE230" s="3200"/>
      <c r="AF230" s="5224"/>
      <c r="AG230" s="221"/>
      <c r="AH230" s="221"/>
      <c r="AI230" s="221"/>
      <c r="AJ230" s="221"/>
    </row>
    <row r="231" spans="1:36" ht="33" customHeight="1">
      <c r="A231" s="4564"/>
      <c r="B231" s="4570"/>
      <c r="C231" s="4573"/>
      <c r="D231" s="4515"/>
      <c r="E231" s="4515"/>
      <c r="F231" s="4515"/>
      <c r="G231" s="4515"/>
      <c r="H231" s="4515"/>
      <c r="I231" s="4515"/>
      <c r="J231" s="4515"/>
      <c r="K231" s="4515"/>
      <c r="L231" s="4515"/>
      <c r="M231" s="5222"/>
      <c r="N231" s="5222"/>
      <c r="O231" s="5222"/>
      <c r="P231" s="4411"/>
      <c r="Q231" s="4411"/>
      <c r="R231" s="5181"/>
      <c r="S231" s="4043"/>
      <c r="T231" s="3819"/>
      <c r="U231" s="3268"/>
      <c r="V231" s="3641"/>
      <c r="W231" s="3233"/>
      <c r="X231" s="3642"/>
      <c r="Y231" s="4044"/>
      <c r="Z231" s="4044"/>
      <c r="AA231" s="4044"/>
      <c r="AB231" s="4045"/>
      <c r="AC231" s="3234"/>
      <c r="AD231" s="3238"/>
      <c r="AE231" s="3238"/>
      <c r="AF231" s="5225"/>
      <c r="AG231" s="221"/>
      <c r="AH231" s="221"/>
      <c r="AI231" s="221"/>
      <c r="AJ231" s="221"/>
    </row>
    <row r="232" spans="1:36" ht="24" customHeight="1">
      <c r="A232" s="4564"/>
      <c r="B232" s="4570"/>
      <c r="C232" s="5236" t="s">
        <v>235</v>
      </c>
      <c r="D232" s="4395" t="s">
        <v>236</v>
      </c>
      <c r="E232" s="4395" t="s">
        <v>237</v>
      </c>
      <c r="F232" s="4395" t="s">
        <v>370</v>
      </c>
      <c r="G232" s="4930" t="s">
        <v>239</v>
      </c>
      <c r="H232" s="4395" t="s">
        <v>240</v>
      </c>
      <c r="I232" s="4395" t="s">
        <v>257</v>
      </c>
      <c r="J232" s="4395" t="s">
        <v>5998</v>
      </c>
      <c r="K232" s="4395" t="s">
        <v>1448</v>
      </c>
      <c r="L232" s="4395" t="s">
        <v>5921</v>
      </c>
      <c r="M232" s="4401">
        <v>8</v>
      </c>
      <c r="N232" s="4401">
        <v>8</v>
      </c>
      <c r="O232" s="4401">
        <v>12</v>
      </c>
      <c r="P232" s="4395" t="s">
        <v>5826</v>
      </c>
      <c r="Q232" s="4395" t="s">
        <v>5876</v>
      </c>
      <c r="R232" s="5183" t="s">
        <v>5784</v>
      </c>
      <c r="S232" s="4046" t="s">
        <v>11</v>
      </c>
      <c r="T232" s="3071">
        <v>840104</v>
      </c>
      <c r="U232" s="3071"/>
      <c r="V232" s="3961" t="s">
        <v>24</v>
      </c>
      <c r="W232" s="3963"/>
      <c r="X232" s="4033"/>
      <c r="Y232" s="4034"/>
      <c r="Z232" s="4034"/>
      <c r="AA232" s="4034"/>
      <c r="AB232" s="4035">
        <f>SUM(AA233:AA234)</f>
        <v>2000.0064000000002</v>
      </c>
      <c r="AC232" s="3187"/>
      <c r="AD232" s="3230"/>
      <c r="AE232" s="3230"/>
      <c r="AF232" s="5209"/>
      <c r="AG232" s="221"/>
      <c r="AH232" s="221"/>
      <c r="AI232" s="221"/>
      <c r="AJ232" s="221"/>
    </row>
    <row r="233" spans="1:36" ht="24" customHeight="1">
      <c r="A233" s="4564"/>
      <c r="B233" s="4570"/>
      <c r="C233" s="4545"/>
      <c r="D233" s="4514"/>
      <c r="E233" s="4514"/>
      <c r="F233" s="4514"/>
      <c r="G233" s="4514"/>
      <c r="H233" s="4514"/>
      <c r="I233" s="4514"/>
      <c r="J233" s="4514"/>
      <c r="K233" s="4514"/>
      <c r="L233" s="4514"/>
      <c r="M233" s="4901"/>
      <c r="N233" s="4901"/>
      <c r="O233" s="4901"/>
      <c r="P233" s="4378"/>
      <c r="Q233" s="4378"/>
      <c r="R233" s="5180"/>
      <c r="S233" s="3973"/>
      <c r="T233" s="1891"/>
      <c r="U233" s="1849">
        <v>435500011</v>
      </c>
      <c r="V233" s="1883" t="s">
        <v>1449</v>
      </c>
      <c r="W233" s="1864">
        <v>1</v>
      </c>
      <c r="X233" s="3637" t="s">
        <v>269</v>
      </c>
      <c r="Y233" s="3970">
        <v>1785.72</v>
      </c>
      <c r="Z233" s="3970">
        <f t="shared" ref="Z233" si="40">+W233*Y233</f>
        <v>1785.72</v>
      </c>
      <c r="AA233" s="3970">
        <f t="shared" ref="AA233" si="41">+Z233*1.12</f>
        <v>2000.0064000000002</v>
      </c>
      <c r="AB233" s="3971"/>
      <c r="AC233" s="1824"/>
      <c r="AD233" s="3200" t="s">
        <v>251</v>
      </c>
      <c r="AE233" s="3200"/>
      <c r="AF233" s="5224"/>
      <c r="AG233" s="221"/>
      <c r="AH233" s="221"/>
      <c r="AI233" s="221"/>
      <c r="AJ233" s="221"/>
    </row>
    <row r="234" spans="1:36" ht="24" customHeight="1">
      <c r="A234" s="4564"/>
      <c r="B234" s="4570"/>
      <c r="C234" s="4545"/>
      <c r="D234" s="4514"/>
      <c r="E234" s="4514"/>
      <c r="F234" s="4514"/>
      <c r="G234" s="4514"/>
      <c r="H234" s="4514"/>
      <c r="I234" s="4514"/>
      <c r="J234" s="4514"/>
      <c r="K234" s="4514"/>
      <c r="L234" s="4514"/>
      <c r="M234" s="4901"/>
      <c r="N234" s="4901"/>
      <c r="O234" s="4901"/>
      <c r="P234" s="4378"/>
      <c r="Q234" s="4378"/>
      <c r="R234" s="5180"/>
      <c r="S234" s="3973"/>
      <c r="T234" s="1891"/>
      <c r="U234" s="1849"/>
      <c r="V234" s="3789"/>
      <c r="W234" s="1864"/>
      <c r="X234" s="3637"/>
      <c r="Y234" s="3970"/>
      <c r="Z234" s="3970"/>
      <c r="AA234" s="3970"/>
      <c r="AB234" s="3971"/>
      <c r="AC234" s="1824"/>
      <c r="AD234" s="3200"/>
      <c r="AE234" s="3200"/>
      <c r="AF234" s="5224"/>
      <c r="AG234" s="221"/>
      <c r="AH234" s="221"/>
      <c r="AI234" s="221"/>
      <c r="AJ234" s="221"/>
    </row>
    <row r="235" spans="1:36" ht="24" customHeight="1">
      <c r="A235" s="4564"/>
      <c r="B235" s="4570"/>
      <c r="C235" s="4545"/>
      <c r="D235" s="4514"/>
      <c r="E235" s="4514"/>
      <c r="F235" s="4514"/>
      <c r="G235" s="4514"/>
      <c r="H235" s="4514"/>
      <c r="I235" s="4514"/>
      <c r="J235" s="4514"/>
      <c r="K235" s="4514"/>
      <c r="L235" s="4514"/>
      <c r="M235" s="4901"/>
      <c r="N235" s="4901"/>
      <c r="O235" s="4901"/>
      <c r="P235" s="4378"/>
      <c r="Q235" s="4378"/>
      <c r="R235" s="5180"/>
      <c r="S235" s="3973"/>
      <c r="T235" s="1891"/>
      <c r="U235" s="1849"/>
      <c r="V235" s="3789"/>
      <c r="W235" s="1864"/>
      <c r="X235" s="3637"/>
      <c r="Y235" s="3970"/>
      <c r="Z235" s="3970"/>
      <c r="AA235" s="3970"/>
      <c r="AB235" s="3971"/>
      <c r="AC235" s="1824"/>
      <c r="AD235" s="3200"/>
      <c r="AE235" s="3200"/>
      <c r="AF235" s="5224"/>
      <c r="AG235" s="221"/>
      <c r="AH235" s="221"/>
      <c r="AI235" s="221"/>
      <c r="AJ235" s="221"/>
    </row>
    <row r="236" spans="1:36" ht="45" customHeight="1">
      <c r="A236" s="4564"/>
      <c r="B236" s="4570"/>
      <c r="C236" s="4545"/>
      <c r="D236" s="4514"/>
      <c r="E236" s="4514"/>
      <c r="F236" s="4514"/>
      <c r="G236" s="4514"/>
      <c r="H236" s="4514"/>
      <c r="I236" s="4514"/>
      <c r="J236" s="4514"/>
      <c r="K236" s="4514"/>
      <c r="L236" s="4514"/>
      <c r="M236" s="4901"/>
      <c r="N236" s="4901"/>
      <c r="O236" s="4901"/>
      <c r="P236" s="4378"/>
      <c r="Q236" s="4378"/>
      <c r="R236" s="5180"/>
      <c r="S236" s="3987" t="s">
        <v>11</v>
      </c>
      <c r="T236" s="1891">
        <v>530811</v>
      </c>
      <c r="U236" s="1849"/>
      <c r="V236" s="3789" t="s">
        <v>83</v>
      </c>
      <c r="W236" s="1864"/>
      <c r="X236" s="3637"/>
      <c r="Y236" s="3970"/>
      <c r="Z236" s="3970"/>
      <c r="AA236" s="3970"/>
      <c r="AB236" s="3971">
        <f>SUM(AA237:AA238)</f>
        <v>24.64</v>
      </c>
      <c r="AC236" s="1824"/>
      <c r="AD236" s="3200"/>
      <c r="AE236" s="3200"/>
      <c r="AF236" s="5224"/>
      <c r="AG236" s="221"/>
      <c r="AH236" s="221"/>
      <c r="AI236" s="221"/>
      <c r="AJ236" s="221"/>
    </row>
    <row r="237" spans="1:36" ht="24" customHeight="1">
      <c r="A237" s="4564"/>
      <c r="B237" s="4570"/>
      <c r="C237" s="4545"/>
      <c r="D237" s="4514"/>
      <c r="E237" s="4514"/>
      <c r="F237" s="4514"/>
      <c r="G237" s="4514"/>
      <c r="H237" s="4514"/>
      <c r="I237" s="4514"/>
      <c r="J237" s="4514"/>
      <c r="K237" s="4514"/>
      <c r="L237" s="4514"/>
      <c r="M237" s="4901"/>
      <c r="N237" s="4901"/>
      <c r="O237" s="4901"/>
      <c r="P237" s="4378"/>
      <c r="Q237" s="4378"/>
      <c r="R237" s="5180"/>
      <c r="S237" s="3973"/>
      <c r="T237" s="1891"/>
      <c r="U237" s="3981" t="s">
        <v>1450</v>
      </c>
      <c r="V237" s="1883" t="s">
        <v>5762</v>
      </c>
      <c r="W237" s="1864">
        <v>2</v>
      </c>
      <c r="X237" s="3637" t="s">
        <v>1006</v>
      </c>
      <c r="Y237" s="3970">
        <v>11</v>
      </c>
      <c r="Z237" s="3970">
        <f t="shared" ref="Z237" si="42">+W237*Y237</f>
        <v>22</v>
      </c>
      <c r="AA237" s="3970">
        <f t="shared" ref="AA237" si="43">+Z237*1.12</f>
        <v>24.64</v>
      </c>
      <c r="AB237" s="3971"/>
      <c r="AC237" s="1824"/>
      <c r="AD237" s="3200" t="s">
        <v>251</v>
      </c>
      <c r="AE237" s="3200"/>
      <c r="AF237" s="5224"/>
      <c r="AG237" s="221"/>
      <c r="AH237" s="221"/>
      <c r="AI237" s="221"/>
      <c r="AJ237" s="221"/>
    </row>
    <row r="238" spans="1:36" ht="24" customHeight="1">
      <c r="A238" s="4564"/>
      <c r="B238" s="4570"/>
      <c r="C238" s="4545"/>
      <c r="D238" s="4514"/>
      <c r="E238" s="4514"/>
      <c r="F238" s="4514"/>
      <c r="G238" s="4514"/>
      <c r="H238" s="4514"/>
      <c r="I238" s="4514"/>
      <c r="J238" s="4514"/>
      <c r="K238" s="4514"/>
      <c r="L238" s="4514"/>
      <c r="M238" s="4901"/>
      <c r="N238" s="4901"/>
      <c r="O238" s="4901"/>
      <c r="P238" s="4378"/>
      <c r="Q238" s="4378"/>
      <c r="R238" s="5180"/>
      <c r="S238" s="3969"/>
      <c r="T238" s="1891"/>
      <c r="U238" s="1849"/>
      <c r="V238" s="1883"/>
      <c r="W238" s="1864"/>
      <c r="X238" s="3637"/>
      <c r="Y238" s="3970"/>
      <c r="Z238" s="3970"/>
      <c r="AA238" s="3970"/>
      <c r="AB238" s="3971"/>
      <c r="AC238" s="1824"/>
      <c r="AD238" s="3200"/>
      <c r="AE238" s="3200"/>
      <c r="AF238" s="5224"/>
      <c r="AG238" s="221"/>
      <c r="AH238" s="221"/>
      <c r="AI238" s="221"/>
      <c r="AJ238" s="221"/>
    </row>
    <row r="239" spans="1:36" ht="24" customHeight="1">
      <c r="A239" s="4564"/>
      <c r="B239" s="4570"/>
      <c r="C239" s="4566"/>
      <c r="D239" s="4525"/>
      <c r="E239" s="4525"/>
      <c r="F239" s="4525"/>
      <c r="G239" s="4525"/>
      <c r="H239" s="4525"/>
      <c r="I239" s="4525"/>
      <c r="J239" s="4525"/>
      <c r="K239" s="4525"/>
      <c r="L239" s="4525"/>
      <c r="M239" s="4902"/>
      <c r="N239" s="4902"/>
      <c r="O239" s="4902"/>
      <c r="P239" s="4396"/>
      <c r="Q239" s="4396"/>
      <c r="R239" s="5194"/>
      <c r="S239" s="4036"/>
      <c r="T239" s="3821"/>
      <c r="U239" s="3271"/>
      <c r="V239" s="3822"/>
      <c r="W239" s="3254"/>
      <c r="X239" s="4037"/>
      <c r="Y239" s="4038"/>
      <c r="Z239" s="4038"/>
      <c r="AA239" s="4038"/>
      <c r="AB239" s="4039"/>
      <c r="AC239" s="3246"/>
      <c r="AD239" s="3256"/>
      <c r="AE239" s="3256"/>
      <c r="AF239" s="5227"/>
      <c r="AG239" s="221"/>
      <c r="AH239" s="221"/>
      <c r="AI239" s="221"/>
      <c r="AJ239" s="221"/>
    </row>
    <row r="240" spans="1:36" ht="34.5" customHeight="1">
      <c r="A240" s="4564"/>
      <c r="B240" s="4570"/>
      <c r="C240" s="5239" t="s">
        <v>235</v>
      </c>
      <c r="D240" s="4377" t="s">
        <v>236</v>
      </c>
      <c r="E240" s="4377" t="s">
        <v>237</v>
      </c>
      <c r="F240" s="4377" t="s">
        <v>370</v>
      </c>
      <c r="G240" s="4906" t="s">
        <v>239</v>
      </c>
      <c r="H240" s="4377" t="s">
        <v>240</v>
      </c>
      <c r="I240" s="4377" t="s">
        <v>257</v>
      </c>
      <c r="J240" s="4377" t="s">
        <v>5999</v>
      </c>
      <c r="K240" s="4377" t="s">
        <v>1451</v>
      </c>
      <c r="L240" s="4377" t="s">
        <v>5922</v>
      </c>
      <c r="M240" s="4392">
        <v>0</v>
      </c>
      <c r="N240" s="4392">
        <v>0</v>
      </c>
      <c r="O240" s="4392">
        <v>1</v>
      </c>
      <c r="P240" s="4377" t="s">
        <v>5827</v>
      </c>
      <c r="Q240" s="4377" t="s">
        <v>5877</v>
      </c>
      <c r="R240" s="4903" t="s">
        <v>5784</v>
      </c>
      <c r="S240" s="4040"/>
      <c r="T240" s="3270"/>
      <c r="U240" s="3270"/>
      <c r="V240" s="3958"/>
      <c r="W240" s="3964"/>
      <c r="X240" s="3632"/>
      <c r="Y240" s="4041"/>
      <c r="Z240" s="4041"/>
      <c r="AA240" s="4041"/>
      <c r="AB240" s="4042"/>
      <c r="AC240" s="3259"/>
      <c r="AD240" s="3262"/>
      <c r="AE240" s="3262"/>
      <c r="AF240" s="5217"/>
      <c r="AG240" s="221"/>
      <c r="AH240" s="221"/>
      <c r="AI240" s="221"/>
      <c r="AJ240" s="221"/>
    </row>
    <row r="241" spans="1:36" ht="34.5" customHeight="1">
      <c r="A241" s="4564"/>
      <c r="B241" s="4570"/>
      <c r="C241" s="4545"/>
      <c r="D241" s="4514"/>
      <c r="E241" s="4514"/>
      <c r="F241" s="4514"/>
      <c r="G241" s="4514"/>
      <c r="H241" s="4514"/>
      <c r="I241" s="4514"/>
      <c r="J241" s="4514"/>
      <c r="K241" s="4514"/>
      <c r="L241" s="4514"/>
      <c r="M241" s="4901"/>
      <c r="N241" s="4901"/>
      <c r="O241" s="4901"/>
      <c r="P241" s="4378"/>
      <c r="Q241" s="4378"/>
      <c r="R241" s="5230"/>
      <c r="S241" s="3969"/>
      <c r="T241" s="1891"/>
      <c r="U241" s="1849"/>
      <c r="V241" s="1883"/>
      <c r="W241" s="1864"/>
      <c r="X241" s="3637"/>
      <c r="Y241" s="3970"/>
      <c r="Z241" s="3970"/>
      <c r="AA241" s="3970"/>
      <c r="AB241" s="3971"/>
      <c r="AC241" s="1824"/>
      <c r="AD241" s="3200"/>
      <c r="AE241" s="3200"/>
      <c r="AF241" s="5224"/>
      <c r="AG241" s="221"/>
      <c r="AH241" s="221"/>
      <c r="AI241" s="221"/>
      <c r="AJ241" s="221"/>
    </row>
    <row r="242" spans="1:36" ht="34.5" customHeight="1">
      <c r="A242" s="4564"/>
      <c r="B242" s="4570"/>
      <c r="C242" s="4545"/>
      <c r="D242" s="4514"/>
      <c r="E242" s="4514"/>
      <c r="F242" s="4514"/>
      <c r="G242" s="4514"/>
      <c r="H242" s="4514"/>
      <c r="I242" s="4514"/>
      <c r="J242" s="4514"/>
      <c r="K242" s="4514"/>
      <c r="L242" s="4514"/>
      <c r="M242" s="4901"/>
      <c r="N242" s="4901"/>
      <c r="O242" s="4901"/>
      <c r="P242" s="4378"/>
      <c r="Q242" s="4378"/>
      <c r="R242" s="5230"/>
      <c r="S242" s="3969"/>
      <c r="T242" s="1891"/>
      <c r="U242" s="1849"/>
      <c r="V242" s="1883"/>
      <c r="W242" s="1864"/>
      <c r="X242" s="3637"/>
      <c r="Y242" s="3970"/>
      <c r="Z242" s="3970"/>
      <c r="AA242" s="3970"/>
      <c r="AB242" s="3972"/>
      <c r="AC242" s="1824"/>
      <c r="AD242" s="3200"/>
      <c r="AE242" s="3200"/>
      <c r="AF242" s="5224"/>
      <c r="AG242" s="221"/>
      <c r="AH242" s="221"/>
      <c r="AI242" s="221"/>
      <c r="AJ242" s="221"/>
    </row>
    <row r="243" spans="1:36" ht="34.5" customHeight="1">
      <c r="A243" s="4564"/>
      <c r="B243" s="4570"/>
      <c r="C243" s="4545"/>
      <c r="D243" s="4514"/>
      <c r="E243" s="4514"/>
      <c r="F243" s="4514"/>
      <c r="G243" s="4514"/>
      <c r="H243" s="4514"/>
      <c r="I243" s="4514"/>
      <c r="J243" s="4514"/>
      <c r="K243" s="4514"/>
      <c r="L243" s="4514"/>
      <c r="M243" s="4901"/>
      <c r="N243" s="4901"/>
      <c r="O243" s="4901"/>
      <c r="P243" s="4378"/>
      <c r="Q243" s="4378"/>
      <c r="R243" s="5230"/>
      <c r="S243" s="3973"/>
      <c r="T243" s="1891"/>
      <c r="U243" s="1891"/>
      <c r="V243" s="1883"/>
      <c r="W243" s="1864"/>
      <c r="X243" s="3637"/>
      <c r="Y243" s="3970"/>
      <c r="Z243" s="3970"/>
      <c r="AA243" s="3970"/>
      <c r="AB243" s="3972"/>
      <c r="AC243" s="1824"/>
      <c r="AD243" s="3200"/>
      <c r="AE243" s="3200"/>
      <c r="AF243" s="5224"/>
      <c r="AG243" s="221"/>
      <c r="AH243" s="221"/>
      <c r="AI243" s="221"/>
      <c r="AJ243" s="221"/>
    </row>
    <row r="244" spans="1:36" ht="34.5" customHeight="1">
      <c r="A244" s="4564"/>
      <c r="B244" s="4570"/>
      <c r="C244" s="4573"/>
      <c r="D244" s="4515"/>
      <c r="E244" s="4515"/>
      <c r="F244" s="4515"/>
      <c r="G244" s="4515"/>
      <c r="H244" s="4515"/>
      <c r="I244" s="4515"/>
      <c r="J244" s="4515"/>
      <c r="K244" s="4515"/>
      <c r="L244" s="4515"/>
      <c r="M244" s="5222"/>
      <c r="N244" s="5222"/>
      <c r="O244" s="5222"/>
      <c r="P244" s="4411"/>
      <c r="Q244" s="4411"/>
      <c r="R244" s="5231"/>
      <c r="S244" s="4043"/>
      <c r="T244" s="3819"/>
      <c r="U244" s="3268"/>
      <c r="V244" s="3641"/>
      <c r="W244" s="3233"/>
      <c r="X244" s="3642"/>
      <c r="Y244" s="4044"/>
      <c r="Z244" s="4044"/>
      <c r="AA244" s="4044"/>
      <c r="AB244" s="4045"/>
      <c r="AC244" s="3234"/>
      <c r="AD244" s="3238"/>
      <c r="AE244" s="3238"/>
      <c r="AF244" s="5225"/>
      <c r="AG244" s="221"/>
      <c r="AH244" s="221"/>
      <c r="AI244" s="221"/>
      <c r="AJ244" s="221"/>
    </row>
    <row r="245" spans="1:36" ht="35.25" customHeight="1">
      <c r="A245" s="4564"/>
      <c r="B245" s="4570"/>
      <c r="C245" s="5236" t="s">
        <v>235</v>
      </c>
      <c r="D245" s="4395" t="s">
        <v>236</v>
      </c>
      <c r="E245" s="4395" t="s">
        <v>237</v>
      </c>
      <c r="F245" s="4395" t="s">
        <v>370</v>
      </c>
      <c r="G245" s="4930" t="s">
        <v>239</v>
      </c>
      <c r="H245" s="4395" t="s">
        <v>240</v>
      </c>
      <c r="I245" s="4395" t="s">
        <v>257</v>
      </c>
      <c r="J245" s="4395" t="s">
        <v>6000</v>
      </c>
      <c r="K245" s="4395" t="s">
        <v>1452</v>
      </c>
      <c r="L245" s="4395" t="s">
        <v>5923</v>
      </c>
      <c r="M245" s="4401">
        <v>0</v>
      </c>
      <c r="N245" s="4401">
        <v>1</v>
      </c>
      <c r="O245" s="4401">
        <v>0</v>
      </c>
      <c r="P245" s="4395" t="s">
        <v>5828</v>
      </c>
      <c r="Q245" s="4395" t="s">
        <v>5878</v>
      </c>
      <c r="R245" s="4897" t="s">
        <v>5785</v>
      </c>
      <c r="S245" s="4032"/>
      <c r="T245" s="3071"/>
      <c r="U245" s="3071"/>
      <c r="V245" s="3961"/>
      <c r="W245" s="3963"/>
      <c r="X245" s="4033"/>
      <c r="Y245" s="4034"/>
      <c r="Z245" s="4034"/>
      <c r="AA245" s="4034"/>
      <c r="AB245" s="4035"/>
      <c r="AC245" s="3187"/>
      <c r="AD245" s="3825"/>
      <c r="AE245" s="3825"/>
      <c r="AF245" s="5209"/>
      <c r="AG245" s="221"/>
      <c r="AH245" s="221"/>
      <c r="AI245" s="221"/>
      <c r="AJ245" s="221"/>
    </row>
    <row r="246" spans="1:36" ht="35.25" customHeight="1">
      <c r="A246" s="4564"/>
      <c r="B246" s="4570"/>
      <c r="C246" s="4545"/>
      <c r="D246" s="4514"/>
      <c r="E246" s="4514"/>
      <c r="F246" s="4514"/>
      <c r="G246" s="4514"/>
      <c r="H246" s="4514"/>
      <c r="I246" s="4514"/>
      <c r="J246" s="4514"/>
      <c r="K246" s="4514"/>
      <c r="L246" s="4514"/>
      <c r="M246" s="4901"/>
      <c r="N246" s="4901"/>
      <c r="O246" s="4901"/>
      <c r="P246" s="4378"/>
      <c r="Q246" s="4378"/>
      <c r="R246" s="5180"/>
      <c r="S246" s="3969"/>
      <c r="T246" s="1891"/>
      <c r="U246" s="1849"/>
      <c r="V246" s="1883"/>
      <c r="W246" s="1864"/>
      <c r="X246" s="3637"/>
      <c r="Y246" s="3970"/>
      <c r="Z246" s="3970"/>
      <c r="AA246" s="3970"/>
      <c r="AB246" s="3971"/>
      <c r="AC246" s="1824"/>
      <c r="AD246" s="1824"/>
      <c r="AE246" s="3790"/>
      <c r="AF246" s="5224"/>
      <c r="AG246" s="221"/>
      <c r="AH246" s="221"/>
      <c r="AI246" s="221"/>
      <c r="AJ246" s="221"/>
    </row>
    <row r="247" spans="1:36" ht="35.25" customHeight="1">
      <c r="A247" s="4564"/>
      <c r="B247" s="4570"/>
      <c r="C247" s="4545"/>
      <c r="D247" s="4514"/>
      <c r="E247" s="4514"/>
      <c r="F247" s="4514"/>
      <c r="G247" s="4514"/>
      <c r="H247" s="4514"/>
      <c r="I247" s="4514"/>
      <c r="J247" s="4514"/>
      <c r="K247" s="4514"/>
      <c r="L247" s="4514"/>
      <c r="M247" s="4901"/>
      <c r="N247" s="4901"/>
      <c r="O247" s="4901"/>
      <c r="P247" s="4378"/>
      <c r="Q247" s="4378"/>
      <c r="R247" s="5180"/>
      <c r="S247" s="3969"/>
      <c r="T247" s="1891"/>
      <c r="U247" s="1849"/>
      <c r="V247" s="1883"/>
      <c r="W247" s="1864"/>
      <c r="X247" s="3637"/>
      <c r="Y247" s="3970"/>
      <c r="Z247" s="3970"/>
      <c r="AA247" s="3970"/>
      <c r="AB247" s="3972"/>
      <c r="AC247" s="1824"/>
      <c r="AD247" s="1824"/>
      <c r="AE247" s="3200"/>
      <c r="AF247" s="5224"/>
      <c r="AG247" s="221"/>
      <c r="AH247" s="221"/>
      <c r="AI247" s="221"/>
      <c r="AJ247" s="221"/>
    </row>
    <row r="248" spans="1:36" ht="35.25" customHeight="1">
      <c r="A248" s="4564"/>
      <c r="B248" s="4570"/>
      <c r="C248" s="4545"/>
      <c r="D248" s="4514"/>
      <c r="E248" s="4514"/>
      <c r="F248" s="4514"/>
      <c r="G248" s="4514"/>
      <c r="H248" s="4514"/>
      <c r="I248" s="4514"/>
      <c r="J248" s="4514"/>
      <c r="K248" s="4514"/>
      <c r="L248" s="4514"/>
      <c r="M248" s="4901"/>
      <c r="N248" s="4901"/>
      <c r="O248" s="4901"/>
      <c r="P248" s="4378"/>
      <c r="Q248" s="4378"/>
      <c r="R248" s="5180"/>
      <c r="S248" s="3969"/>
      <c r="T248" s="1891"/>
      <c r="U248" s="1849"/>
      <c r="V248" s="1883"/>
      <c r="W248" s="1864"/>
      <c r="X248" s="3637"/>
      <c r="Y248" s="3970"/>
      <c r="Z248" s="3970"/>
      <c r="AA248" s="3970"/>
      <c r="AB248" s="3972"/>
      <c r="AC248" s="1824"/>
      <c r="AD248" s="1824"/>
      <c r="AE248" s="3200"/>
      <c r="AF248" s="5224"/>
      <c r="AG248" s="221"/>
      <c r="AH248" s="221"/>
      <c r="AI248" s="221"/>
      <c r="AJ248" s="221"/>
    </row>
    <row r="249" spans="1:36" ht="35.25" customHeight="1">
      <c r="A249" s="4564"/>
      <c r="B249" s="4570"/>
      <c r="C249" s="4566"/>
      <c r="D249" s="4525"/>
      <c r="E249" s="4525"/>
      <c r="F249" s="4525"/>
      <c r="G249" s="4525"/>
      <c r="H249" s="4525"/>
      <c r="I249" s="4525"/>
      <c r="J249" s="4525"/>
      <c r="K249" s="4525"/>
      <c r="L249" s="4525"/>
      <c r="M249" s="4902"/>
      <c r="N249" s="4902"/>
      <c r="O249" s="4902"/>
      <c r="P249" s="4396"/>
      <c r="Q249" s="4396"/>
      <c r="R249" s="5194"/>
      <c r="S249" s="4036"/>
      <c r="T249" s="3821"/>
      <c r="U249" s="3271"/>
      <c r="V249" s="3822"/>
      <c r="W249" s="3254"/>
      <c r="X249" s="4037"/>
      <c r="Y249" s="4038"/>
      <c r="Z249" s="4038"/>
      <c r="AA249" s="4038"/>
      <c r="AB249" s="4039"/>
      <c r="AC249" s="3246"/>
      <c r="AD249" s="3246"/>
      <c r="AE249" s="3256"/>
      <c r="AF249" s="5227"/>
      <c r="AG249" s="221"/>
      <c r="AH249" s="221"/>
      <c r="AI249" s="221"/>
      <c r="AJ249" s="221"/>
    </row>
    <row r="250" spans="1:36" ht="23.25" customHeight="1">
      <c r="A250" s="4564"/>
      <c r="B250" s="4570"/>
      <c r="C250" s="5239" t="s">
        <v>235</v>
      </c>
      <c r="D250" s="4377" t="s">
        <v>236</v>
      </c>
      <c r="E250" s="4377" t="s">
        <v>237</v>
      </c>
      <c r="F250" s="4377" t="s">
        <v>370</v>
      </c>
      <c r="G250" s="4906" t="s">
        <v>239</v>
      </c>
      <c r="H250" s="4377" t="s">
        <v>240</v>
      </c>
      <c r="I250" s="4377" t="s">
        <v>257</v>
      </c>
      <c r="J250" s="4377" t="s">
        <v>6001</v>
      </c>
      <c r="K250" s="4377" t="s">
        <v>1453</v>
      </c>
      <c r="L250" s="4377" t="s">
        <v>5924</v>
      </c>
      <c r="M250" s="4392">
        <v>20</v>
      </c>
      <c r="N250" s="4392">
        <v>20</v>
      </c>
      <c r="O250" s="4392">
        <v>30</v>
      </c>
      <c r="P250" s="4377" t="s">
        <v>5829</v>
      </c>
      <c r="Q250" s="4377" t="s">
        <v>5879</v>
      </c>
      <c r="R250" s="4903" t="s">
        <v>5786</v>
      </c>
      <c r="S250" s="4040"/>
      <c r="T250" s="3270"/>
      <c r="U250" s="3270"/>
      <c r="V250" s="3958"/>
      <c r="W250" s="3964"/>
      <c r="X250" s="3632"/>
      <c r="Y250" s="4041"/>
      <c r="Z250" s="4041"/>
      <c r="AA250" s="4041"/>
      <c r="AB250" s="4042"/>
      <c r="AC250" s="3259"/>
      <c r="AD250" s="3262"/>
      <c r="AE250" s="3262"/>
      <c r="AF250" s="5217"/>
      <c r="AG250" s="221"/>
      <c r="AH250" s="221"/>
      <c r="AI250" s="221"/>
      <c r="AJ250" s="221"/>
    </row>
    <row r="251" spans="1:36" ht="23.25" customHeight="1">
      <c r="A251" s="4564"/>
      <c r="B251" s="4570"/>
      <c r="C251" s="4545"/>
      <c r="D251" s="4514"/>
      <c r="E251" s="4514"/>
      <c r="F251" s="4514"/>
      <c r="G251" s="4514"/>
      <c r="H251" s="4514"/>
      <c r="I251" s="4514"/>
      <c r="J251" s="4514"/>
      <c r="K251" s="4514"/>
      <c r="L251" s="4514"/>
      <c r="M251" s="4901"/>
      <c r="N251" s="4901"/>
      <c r="O251" s="4901"/>
      <c r="P251" s="4378"/>
      <c r="Q251" s="4378"/>
      <c r="R251" s="5180"/>
      <c r="S251" s="3969"/>
      <c r="T251" s="1891"/>
      <c r="U251" s="1849"/>
      <c r="V251" s="1883"/>
      <c r="W251" s="1864"/>
      <c r="X251" s="3637"/>
      <c r="Y251" s="3970"/>
      <c r="Z251" s="3970"/>
      <c r="AA251" s="3970"/>
      <c r="AB251" s="3971"/>
      <c r="AC251" s="1824"/>
      <c r="AD251" s="3200"/>
      <c r="AE251" s="3200"/>
      <c r="AF251" s="5224"/>
      <c r="AG251" s="221"/>
      <c r="AH251" s="221"/>
      <c r="AI251" s="221"/>
      <c r="AJ251" s="221"/>
    </row>
    <row r="252" spans="1:36" ht="23.25" customHeight="1">
      <c r="A252" s="4564"/>
      <c r="B252" s="4570"/>
      <c r="C252" s="4545"/>
      <c r="D252" s="4514"/>
      <c r="E252" s="4514"/>
      <c r="F252" s="4514"/>
      <c r="G252" s="4514"/>
      <c r="H252" s="4514"/>
      <c r="I252" s="4514"/>
      <c r="J252" s="4514"/>
      <c r="K252" s="4514"/>
      <c r="L252" s="4514"/>
      <c r="M252" s="4901"/>
      <c r="N252" s="4901"/>
      <c r="O252" s="4901"/>
      <c r="P252" s="4378"/>
      <c r="Q252" s="4378"/>
      <c r="R252" s="5180"/>
      <c r="S252" s="3969"/>
      <c r="T252" s="1891"/>
      <c r="U252" s="1849"/>
      <c r="V252" s="1883"/>
      <c r="W252" s="1864"/>
      <c r="X252" s="3637"/>
      <c r="Y252" s="3970"/>
      <c r="Z252" s="3970"/>
      <c r="AA252" s="3970"/>
      <c r="AB252" s="3972"/>
      <c r="AC252" s="1824"/>
      <c r="AD252" s="3200"/>
      <c r="AE252" s="3200"/>
      <c r="AF252" s="5224"/>
      <c r="AG252" s="221"/>
      <c r="AH252" s="221"/>
      <c r="AI252" s="221"/>
      <c r="AJ252" s="221"/>
    </row>
    <row r="253" spans="1:36" ht="23.25" customHeight="1">
      <c r="A253" s="4564"/>
      <c r="B253" s="4570"/>
      <c r="C253" s="4545"/>
      <c r="D253" s="4514"/>
      <c r="E253" s="4514"/>
      <c r="F253" s="4514"/>
      <c r="G253" s="4514"/>
      <c r="H253" s="4514"/>
      <c r="I253" s="4514"/>
      <c r="J253" s="4514"/>
      <c r="K253" s="4514"/>
      <c r="L253" s="4514"/>
      <c r="M253" s="4901"/>
      <c r="N253" s="4901"/>
      <c r="O253" s="4901"/>
      <c r="P253" s="4378"/>
      <c r="Q253" s="4378"/>
      <c r="R253" s="5180"/>
      <c r="S253" s="3969"/>
      <c r="T253" s="1891"/>
      <c r="U253" s="1849"/>
      <c r="V253" s="1883"/>
      <c r="W253" s="1864"/>
      <c r="X253" s="3637"/>
      <c r="Y253" s="3970"/>
      <c r="Z253" s="3970"/>
      <c r="AA253" s="3970"/>
      <c r="AB253" s="3972"/>
      <c r="AC253" s="1824"/>
      <c r="AD253" s="3200"/>
      <c r="AE253" s="3200"/>
      <c r="AF253" s="5224"/>
      <c r="AG253" s="221"/>
      <c r="AH253" s="221"/>
      <c r="AI253" s="221"/>
      <c r="AJ253" s="221"/>
    </row>
    <row r="254" spans="1:36" ht="23.25" customHeight="1">
      <c r="A254" s="4564"/>
      <c r="B254" s="4570"/>
      <c r="C254" s="4573"/>
      <c r="D254" s="4515"/>
      <c r="E254" s="4515"/>
      <c r="F254" s="4515"/>
      <c r="G254" s="4515"/>
      <c r="H254" s="4515"/>
      <c r="I254" s="4515"/>
      <c r="J254" s="4515"/>
      <c r="K254" s="4515"/>
      <c r="L254" s="4515"/>
      <c r="M254" s="5222"/>
      <c r="N254" s="5222"/>
      <c r="O254" s="5222"/>
      <c r="P254" s="4411"/>
      <c r="Q254" s="4411"/>
      <c r="R254" s="5181"/>
      <c r="S254" s="4043"/>
      <c r="T254" s="3819"/>
      <c r="U254" s="3268"/>
      <c r="V254" s="3641"/>
      <c r="W254" s="3233"/>
      <c r="X254" s="3642"/>
      <c r="Y254" s="4044"/>
      <c r="Z254" s="4044"/>
      <c r="AA254" s="4044"/>
      <c r="AB254" s="4045"/>
      <c r="AC254" s="3234"/>
      <c r="AD254" s="3238"/>
      <c r="AE254" s="3238"/>
      <c r="AF254" s="5225"/>
      <c r="AG254" s="221"/>
      <c r="AH254" s="221"/>
      <c r="AI254" s="221"/>
      <c r="AJ254" s="221"/>
    </row>
    <row r="255" spans="1:36" ht="26.25" customHeight="1">
      <c r="A255" s="4564"/>
      <c r="B255" s="4570"/>
      <c r="C255" s="5236" t="s">
        <v>235</v>
      </c>
      <c r="D255" s="4395" t="s">
        <v>236</v>
      </c>
      <c r="E255" s="4395" t="s">
        <v>237</v>
      </c>
      <c r="F255" s="4395" t="s">
        <v>370</v>
      </c>
      <c r="G255" s="4930" t="s">
        <v>239</v>
      </c>
      <c r="H255" s="4395" t="s">
        <v>240</v>
      </c>
      <c r="I255" s="4395" t="s">
        <v>257</v>
      </c>
      <c r="J255" s="4395" t="s">
        <v>6002</v>
      </c>
      <c r="K255" s="4395" t="s">
        <v>1454</v>
      </c>
      <c r="L255" s="4395" t="s">
        <v>5925</v>
      </c>
      <c r="M255" s="4401">
        <v>0</v>
      </c>
      <c r="N255" s="4401">
        <v>0</v>
      </c>
      <c r="O255" s="4401">
        <v>2</v>
      </c>
      <c r="P255" s="4395" t="s">
        <v>5830</v>
      </c>
      <c r="Q255" s="4395" t="s">
        <v>5880</v>
      </c>
      <c r="R255" s="4897" t="s">
        <v>5785</v>
      </c>
      <c r="S255" s="4032"/>
      <c r="T255" s="3071"/>
      <c r="U255" s="3071"/>
      <c r="V255" s="3961"/>
      <c r="W255" s="3963"/>
      <c r="X255" s="4033"/>
      <c r="Y255" s="4034"/>
      <c r="Z255" s="4034"/>
      <c r="AA255" s="4034"/>
      <c r="AB255" s="4035"/>
      <c r="AC255" s="3187"/>
      <c r="AD255" s="3230"/>
      <c r="AE255" s="3230"/>
      <c r="AF255" s="5209"/>
      <c r="AG255" s="221"/>
      <c r="AH255" s="221"/>
      <c r="AI255" s="221"/>
      <c r="AJ255" s="221"/>
    </row>
    <row r="256" spans="1:36" ht="26.25" customHeight="1">
      <c r="A256" s="4564"/>
      <c r="B256" s="4570"/>
      <c r="C256" s="4545"/>
      <c r="D256" s="4514"/>
      <c r="E256" s="4514"/>
      <c r="F256" s="4514"/>
      <c r="G256" s="4514"/>
      <c r="H256" s="4514"/>
      <c r="I256" s="4514"/>
      <c r="J256" s="4514"/>
      <c r="K256" s="4514"/>
      <c r="L256" s="4514"/>
      <c r="M256" s="4901"/>
      <c r="N256" s="4901"/>
      <c r="O256" s="4901"/>
      <c r="P256" s="4378"/>
      <c r="Q256" s="4378"/>
      <c r="R256" s="5180"/>
      <c r="S256" s="3969"/>
      <c r="T256" s="1891"/>
      <c r="U256" s="1849"/>
      <c r="V256" s="1883"/>
      <c r="W256" s="1864"/>
      <c r="X256" s="3637"/>
      <c r="Y256" s="3970"/>
      <c r="Z256" s="3970"/>
      <c r="AA256" s="3970"/>
      <c r="AB256" s="3971"/>
      <c r="AC256" s="1824"/>
      <c r="AD256" s="3200"/>
      <c r="AE256" s="3200"/>
      <c r="AF256" s="5224"/>
      <c r="AG256" s="221"/>
      <c r="AH256" s="221"/>
      <c r="AI256" s="221"/>
      <c r="AJ256" s="221"/>
    </row>
    <row r="257" spans="1:36" ht="26.25" customHeight="1">
      <c r="A257" s="4564"/>
      <c r="B257" s="4570"/>
      <c r="C257" s="4545"/>
      <c r="D257" s="4514"/>
      <c r="E257" s="4514"/>
      <c r="F257" s="4514"/>
      <c r="G257" s="4514"/>
      <c r="H257" s="4514"/>
      <c r="I257" s="4514"/>
      <c r="J257" s="4514"/>
      <c r="K257" s="4514"/>
      <c r="L257" s="4514"/>
      <c r="M257" s="4901"/>
      <c r="N257" s="4901"/>
      <c r="O257" s="4901"/>
      <c r="P257" s="4378"/>
      <c r="Q257" s="4378"/>
      <c r="R257" s="5180"/>
      <c r="S257" s="3969"/>
      <c r="T257" s="1891"/>
      <c r="U257" s="1849"/>
      <c r="V257" s="1883"/>
      <c r="W257" s="1864"/>
      <c r="X257" s="3637"/>
      <c r="Y257" s="3970"/>
      <c r="Z257" s="3970"/>
      <c r="AA257" s="3970"/>
      <c r="AB257" s="3972"/>
      <c r="AC257" s="1824"/>
      <c r="AD257" s="3200"/>
      <c r="AE257" s="3200"/>
      <c r="AF257" s="5224"/>
      <c r="AG257" s="221"/>
      <c r="AH257" s="221"/>
      <c r="AI257" s="221"/>
      <c r="AJ257" s="221"/>
    </row>
    <row r="258" spans="1:36" ht="26.25" customHeight="1">
      <c r="A258" s="4564"/>
      <c r="B258" s="4570"/>
      <c r="C258" s="4545"/>
      <c r="D258" s="4514"/>
      <c r="E258" s="4514"/>
      <c r="F258" s="4514"/>
      <c r="G258" s="4514"/>
      <c r="H258" s="4514"/>
      <c r="I258" s="4514"/>
      <c r="J258" s="4514"/>
      <c r="K258" s="4514"/>
      <c r="L258" s="4514"/>
      <c r="M258" s="4901"/>
      <c r="N258" s="4901"/>
      <c r="O258" s="4901"/>
      <c r="P258" s="4378"/>
      <c r="Q258" s="4378"/>
      <c r="R258" s="5180"/>
      <c r="S258" s="3969"/>
      <c r="T258" s="1891"/>
      <c r="U258" s="1849"/>
      <c r="V258" s="1883"/>
      <c r="W258" s="1864"/>
      <c r="X258" s="3637"/>
      <c r="Y258" s="3970"/>
      <c r="Z258" s="3970"/>
      <c r="AA258" s="3970"/>
      <c r="AB258" s="3972"/>
      <c r="AC258" s="1824"/>
      <c r="AD258" s="3200"/>
      <c r="AE258" s="3200"/>
      <c r="AF258" s="5224"/>
      <c r="AG258" s="221"/>
      <c r="AH258" s="221"/>
      <c r="AI258" s="221"/>
      <c r="AJ258" s="221"/>
    </row>
    <row r="259" spans="1:36" ht="26.25" customHeight="1">
      <c r="A259" s="4564"/>
      <c r="B259" s="4570"/>
      <c r="C259" s="4566"/>
      <c r="D259" s="4525"/>
      <c r="E259" s="4525"/>
      <c r="F259" s="4525"/>
      <c r="G259" s="4525"/>
      <c r="H259" s="4525"/>
      <c r="I259" s="4525"/>
      <c r="J259" s="4525"/>
      <c r="K259" s="4525"/>
      <c r="L259" s="4525"/>
      <c r="M259" s="4902"/>
      <c r="N259" s="4902"/>
      <c r="O259" s="4902"/>
      <c r="P259" s="4396"/>
      <c r="Q259" s="4396"/>
      <c r="R259" s="5194"/>
      <c r="S259" s="4036"/>
      <c r="T259" s="3821"/>
      <c r="U259" s="3271"/>
      <c r="V259" s="3822"/>
      <c r="W259" s="3254"/>
      <c r="X259" s="4037"/>
      <c r="Y259" s="4038"/>
      <c r="Z259" s="4038"/>
      <c r="AA259" s="4038"/>
      <c r="AB259" s="4039"/>
      <c r="AC259" s="3246"/>
      <c r="AD259" s="3256"/>
      <c r="AE259" s="3256"/>
      <c r="AF259" s="5227"/>
      <c r="AG259" s="221"/>
      <c r="AH259" s="221"/>
      <c r="AI259" s="221"/>
      <c r="AJ259" s="221"/>
    </row>
    <row r="260" spans="1:36" ht="25.5" customHeight="1">
      <c r="A260" s="4564"/>
      <c r="B260" s="4570"/>
      <c r="C260" s="5239" t="s">
        <v>235</v>
      </c>
      <c r="D260" s="4377" t="s">
        <v>236</v>
      </c>
      <c r="E260" s="4377" t="s">
        <v>237</v>
      </c>
      <c r="F260" s="4377" t="s">
        <v>370</v>
      </c>
      <c r="G260" s="4906" t="s">
        <v>239</v>
      </c>
      <c r="H260" s="4377" t="s">
        <v>240</v>
      </c>
      <c r="I260" s="4377" t="s">
        <v>257</v>
      </c>
      <c r="J260" s="4377" t="s">
        <v>4159</v>
      </c>
      <c r="K260" s="4377" t="s">
        <v>338</v>
      </c>
      <c r="L260" s="4377" t="s">
        <v>5926</v>
      </c>
      <c r="M260" s="4392">
        <v>0</v>
      </c>
      <c r="N260" s="4392">
        <v>1</v>
      </c>
      <c r="O260" s="4392">
        <v>1</v>
      </c>
      <c r="P260" s="4377" t="s">
        <v>5831</v>
      </c>
      <c r="Q260" s="4377" t="s">
        <v>5857</v>
      </c>
      <c r="R260" s="4903" t="s">
        <v>5787</v>
      </c>
      <c r="S260" s="4040"/>
      <c r="T260" s="3270"/>
      <c r="U260" s="3270"/>
      <c r="V260" s="3958"/>
      <c r="W260" s="3964"/>
      <c r="X260" s="3632"/>
      <c r="Y260" s="4041"/>
      <c r="Z260" s="4041"/>
      <c r="AA260" s="4041"/>
      <c r="AB260" s="4042"/>
      <c r="AC260" s="3259"/>
      <c r="AD260" s="3262"/>
      <c r="AE260" s="3262"/>
      <c r="AF260" s="5217"/>
      <c r="AG260" s="221"/>
      <c r="AH260" s="221"/>
      <c r="AI260" s="221"/>
      <c r="AJ260" s="221"/>
    </row>
    <row r="261" spans="1:36" ht="25.5" customHeight="1">
      <c r="A261" s="4564"/>
      <c r="B261" s="4570"/>
      <c r="C261" s="4545"/>
      <c r="D261" s="4514"/>
      <c r="E261" s="4514"/>
      <c r="F261" s="4514"/>
      <c r="G261" s="4514"/>
      <c r="H261" s="4514"/>
      <c r="I261" s="4514"/>
      <c r="J261" s="4514"/>
      <c r="K261" s="4514"/>
      <c r="L261" s="4514"/>
      <c r="M261" s="4901"/>
      <c r="N261" s="4901"/>
      <c r="O261" s="4901"/>
      <c r="P261" s="4378"/>
      <c r="Q261" s="4378"/>
      <c r="R261" s="5180"/>
      <c r="S261" s="3969"/>
      <c r="T261" s="1891"/>
      <c r="U261" s="1849"/>
      <c r="V261" s="1883"/>
      <c r="W261" s="1864"/>
      <c r="X261" s="3637"/>
      <c r="Y261" s="3970"/>
      <c r="Z261" s="3970"/>
      <c r="AA261" s="3970"/>
      <c r="AB261" s="3971"/>
      <c r="AC261" s="1824"/>
      <c r="AD261" s="3200"/>
      <c r="AE261" s="3200"/>
      <c r="AF261" s="5224"/>
      <c r="AG261" s="221"/>
      <c r="AH261" s="221"/>
      <c r="AI261" s="221"/>
      <c r="AJ261" s="221"/>
    </row>
    <row r="262" spans="1:36" ht="25.5" customHeight="1">
      <c r="A262" s="4564"/>
      <c r="B262" s="4570"/>
      <c r="C262" s="4545"/>
      <c r="D262" s="4514"/>
      <c r="E262" s="4514"/>
      <c r="F262" s="4514"/>
      <c r="G262" s="4514"/>
      <c r="H262" s="4514"/>
      <c r="I262" s="4514"/>
      <c r="J262" s="4514"/>
      <c r="K262" s="4514"/>
      <c r="L262" s="4514"/>
      <c r="M262" s="4901"/>
      <c r="N262" s="4901"/>
      <c r="O262" s="4901"/>
      <c r="P262" s="4378"/>
      <c r="Q262" s="4378"/>
      <c r="R262" s="5180"/>
      <c r="S262" s="3969"/>
      <c r="T262" s="1891"/>
      <c r="U262" s="1849"/>
      <c r="V262" s="1883"/>
      <c r="W262" s="1864"/>
      <c r="X262" s="3637"/>
      <c r="Y262" s="3970"/>
      <c r="Z262" s="3970"/>
      <c r="AA262" s="3970"/>
      <c r="AB262" s="3972"/>
      <c r="AC262" s="1824"/>
      <c r="AD262" s="3200"/>
      <c r="AE262" s="3200"/>
      <c r="AF262" s="5224"/>
      <c r="AG262" s="221"/>
      <c r="AH262" s="221"/>
      <c r="AI262" s="221"/>
      <c r="AJ262" s="221"/>
    </row>
    <row r="263" spans="1:36" ht="25.5" customHeight="1">
      <c r="A263" s="4564"/>
      <c r="B263" s="4570"/>
      <c r="C263" s="4545"/>
      <c r="D263" s="4514"/>
      <c r="E263" s="4514"/>
      <c r="F263" s="4514"/>
      <c r="G263" s="4514"/>
      <c r="H263" s="4514"/>
      <c r="I263" s="4514"/>
      <c r="J263" s="4514"/>
      <c r="K263" s="4514"/>
      <c r="L263" s="4514"/>
      <c r="M263" s="4901"/>
      <c r="N263" s="4901"/>
      <c r="O263" s="4901"/>
      <c r="P263" s="4378"/>
      <c r="Q263" s="4378"/>
      <c r="R263" s="5180"/>
      <c r="S263" s="3969"/>
      <c r="T263" s="1891"/>
      <c r="U263" s="1849"/>
      <c r="V263" s="1883"/>
      <c r="W263" s="1864"/>
      <c r="X263" s="3637"/>
      <c r="Y263" s="3970"/>
      <c r="Z263" s="3970"/>
      <c r="AA263" s="3970"/>
      <c r="AB263" s="3972"/>
      <c r="AC263" s="1824"/>
      <c r="AD263" s="3200"/>
      <c r="AE263" s="3200"/>
      <c r="AF263" s="5224"/>
      <c r="AG263" s="221"/>
      <c r="AH263" s="221"/>
      <c r="AI263" s="221"/>
      <c r="AJ263" s="221"/>
    </row>
    <row r="264" spans="1:36" ht="25.5" customHeight="1">
      <c r="A264" s="4564"/>
      <c r="B264" s="4570"/>
      <c r="C264" s="4573"/>
      <c r="D264" s="4515"/>
      <c r="E264" s="4515"/>
      <c r="F264" s="4515"/>
      <c r="G264" s="4515"/>
      <c r="H264" s="4515"/>
      <c r="I264" s="4515"/>
      <c r="J264" s="4515"/>
      <c r="K264" s="4515"/>
      <c r="L264" s="4515"/>
      <c r="M264" s="5222"/>
      <c r="N264" s="5222"/>
      <c r="O264" s="5222"/>
      <c r="P264" s="4411"/>
      <c r="Q264" s="4411"/>
      <c r="R264" s="5181"/>
      <c r="S264" s="4043"/>
      <c r="T264" s="3819"/>
      <c r="U264" s="3268"/>
      <c r="V264" s="3641"/>
      <c r="W264" s="3233"/>
      <c r="X264" s="3642"/>
      <c r="Y264" s="4044"/>
      <c r="Z264" s="4044"/>
      <c r="AA264" s="4044"/>
      <c r="AB264" s="4045"/>
      <c r="AC264" s="3234"/>
      <c r="AD264" s="3238"/>
      <c r="AE264" s="3238"/>
      <c r="AF264" s="5225"/>
      <c r="AG264" s="221"/>
      <c r="AH264" s="221"/>
      <c r="AI264" s="221"/>
      <c r="AJ264" s="221"/>
    </row>
    <row r="265" spans="1:36" ht="26.25" customHeight="1">
      <c r="A265" s="4564"/>
      <c r="B265" s="4570"/>
      <c r="C265" s="5236" t="s">
        <v>235</v>
      </c>
      <c r="D265" s="4395" t="s">
        <v>236</v>
      </c>
      <c r="E265" s="4395" t="s">
        <v>237</v>
      </c>
      <c r="F265" s="4395" t="s">
        <v>370</v>
      </c>
      <c r="G265" s="4930" t="s">
        <v>239</v>
      </c>
      <c r="H265" s="4395" t="s">
        <v>240</v>
      </c>
      <c r="I265" s="4395" t="s">
        <v>257</v>
      </c>
      <c r="J265" s="4395" t="s">
        <v>5575</v>
      </c>
      <c r="K265" s="4395" t="s">
        <v>371</v>
      </c>
      <c r="L265" s="4395" t="s">
        <v>5927</v>
      </c>
      <c r="M265" s="4401">
        <v>0</v>
      </c>
      <c r="N265" s="4401">
        <v>0</v>
      </c>
      <c r="O265" s="4401">
        <v>1</v>
      </c>
      <c r="P265" s="4395" t="s">
        <v>5832</v>
      </c>
      <c r="Q265" s="4395" t="s">
        <v>5881</v>
      </c>
      <c r="R265" s="4897" t="s">
        <v>5788</v>
      </c>
      <c r="S265" s="4032"/>
      <c r="T265" s="3071"/>
      <c r="U265" s="3071"/>
      <c r="V265" s="3961"/>
      <c r="W265" s="3963"/>
      <c r="X265" s="4033"/>
      <c r="Y265" s="4034"/>
      <c r="Z265" s="4034"/>
      <c r="AA265" s="4034"/>
      <c r="AB265" s="4035"/>
      <c r="AC265" s="3187"/>
      <c r="AD265" s="3230"/>
      <c r="AE265" s="3230"/>
      <c r="AF265" s="5209"/>
      <c r="AG265" s="221"/>
      <c r="AH265" s="221"/>
      <c r="AI265" s="221"/>
      <c r="AJ265" s="221"/>
    </row>
    <row r="266" spans="1:36" ht="26.25" customHeight="1">
      <c r="A266" s="4564"/>
      <c r="B266" s="4570"/>
      <c r="C266" s="4545"/>
      <c r="D266" s="4514"/>
      <c r="E266" s="4514"/>
      <c r="F266" s="4514"/>
      <c r="G266" s="4514"/>
      <c r="H266" s="4514"/>
      <c r="I266" s="4514"/>
      <c r="J266" s="4514"/>
      <c r="K266" s="4514"/>
      <c r="L266" s="4514"/>
      <c r="M266" s="4901"/>
      <c r="N266" s="4901"/>
      <c r="O266" s="4901"/>
      <c r="P266" s="4378"/>
      <c r="Q266" s="4378"/>
      <c r="R266" s="5180"/>
      <c r="S266" s="3969"/>
      <c r="T266" s="1891"/>
      <c r="U266" s="1849"/>
      <c r="V266" s="1883"/>
      <c r="W266" s="1864"/>
      <c r="X266" s="3637"/>
      <c r="Y266" s="3970"/>
      <c r="Z266" s="3970"/>
      <c r="AA266" s="3970"/>
      <c r="AB266" s="3971"/>
      <c r="AC266" s="1824"/>
      <c r="AD266" s="3200"/>
      <c r="AE266" s="3200"/>
      <c r="AF266" s="5224"/>
      <c r="AG266" s="221"/>
      <c r="AH266" s="221"/>
      <c r="AI266" s="221"/>
      <c r="AJ266" s="221"/>
    </row>
    <row r="267" spans="1:36" ht="26.25" customHeight="1">
      <c r="A267" s="4564"/>
      <c r="B267" s="4570"/>
      <c r="C267" s="4545"/>
      <c r="D267" s="4514"/>
      <c r="E267" s="4514"/>
      <c r="F267" s="4514"/>
      <c r="G267" s="4514"/>
      <c r="H267" s="4514"/>
      <c r="I267" s="4514"/>
      <c r="J267" s="4514"/>
      <c r="K267" s="4514"/>
      <c r="L267" s="4514"/>
      <c r="M267" s="4901"/>
      <c r="N267" s="4901"/>
      <c r="O267" s="4901"/>
      <c r="P267" s="4378"/>
      <c r="Q267" s="4378"/>
      <c r="R267" s="5180"/>
      <c r="S267" s="3969"/>
      <c r="T267" s="1891"/>
      <c r="U267" s="1849"/>
      <c r="V267" s="1883"/>
      <c r="W267" s="1864"/>
      <c r="X267" s="3637"/>
      <c r="Y267" s="3970"/>
      <c r="Z267" s="3970"/>
      <c r="AA267" s="3970"/>
      <c r="AB267" s="3972"/>
      <c r="AC267" s="1824"/>
      <c r="AD267" s="3200"/>
      <c r="AE267" s="3200"/>
      <c r="AF267" s="5224"/>
      <c r="AG267" s="221"/>
      <c r="AH267" s="221"/>
      <c r="AI267" s="221"/>
      <c r="AJ267" s="221"/>
    </row>
    <row r="268" spans="1:36" ht="26.25" customHeight="1">
      <c r="A268" s="4564"/>
      <c r="B268" s="4570"/>
      <c r="C268" s="4545"/>
      <c r="D268" s="4514"/>
      <c r="E268" s="4514"/>
      <c r="F268" s="4514"/>
      <c r="G268" s="4514"/>
      <c r="H268" s="4514"/>
      <c r="I268" s="4514"/>
      <c r="J268" s="4514"/>
      <c r="K268" s="4514"/>
      <c r="L268" s="4514"/>
      <c r="M268" s="4901"/>
      <c r="N268" s="4901"/>
      <c r="O268" s="4901"/>
      <c r="P268" s="4378"/>
      <c r="Q268" s="4378"/>
      <c r="R268" s="5180"/>
      <c r="S268" s="3969"/>
      <c r="T268" s="1891"/>
      <c r="U268" s="1849"/>
      <c r="V268" s="1883"/>
      <c r="W268" s="1864"/>
      <c r="X268" s="3637"/>
      <c r="Y268" s="3970"/>
      <c r="Z268" s="3970"/>
      <c r="AA268" s="3970"/>
      <c r="AB268" s="3972"/>
      <c r="AC268" s="1824"/>
      <c r="AD268" s="3200"/>
      <c r="AE268" s="3200"/>
      <c r="AF268" s="5224"/>
      <c r="AG268" s="221"/>
      <c r="AH268" s="221"/>
      <c r="AI268" s="221"/>
      <c r="AJ268" s="221"/>
    </row>
    <row r="269" spans="1:36" ht="26.25" customHeight="1" thickBot="1">
      <c r="A269" s="4564"/>
      <c r="B269" s="4570"/>
      <c r="C269" s="4546"/>
      <c r="D269" s="4532"/>
      <c r="E269" s="4532"/>
      <c r="F269" s="4532"/>
      <c r="G269" s="4532"/>
      <c r="H269" s="4532"/>
      <c r="I269" s="4532"/>
      <c r="J269" s="4532"/>
      <c r="K269" s="4532"/>
      <c r="L269" s="4532"/>
      <c r="M269" s="5235"/>
      <c r="N269" s="5235"/>
      <c r="O269" s="5235"/>
      <c r="P269" s="4379"/>
      <c r="Q269" s="4379"/>
      <c r="R269" s="5201"/>
      <c r="S269" s="3974"/>
      <c r="T269" s="3791"/>
      <c r="U269" s="3875"/>
      <c r="V269" s="3792"/>
      <c r="W269" s="3793"/>
      <c r="X269" s="3975"/>
      <c r="Y269" s="3976"/>
      <c r="Z269" s="3976"/>
      <c r="AA269" s="3976"/>
      <c r="AB269" s="3977"/>
      <c r="AC269" s="3794"/>
      <c r="AD269" s="3797"/>
      <c r="AE269" s="3797"/>
      <c r="AF269" s="5232"/>
      <c r="AG269" s="221"/>
      <c r="AH269" s="221"/>
      <c r="AI269" s="221"/>
      <c r="AJ269" s="221"/>
    </row>
    <row r="270" spans="1:36" ht="22.5" customHeight="1" thickBot="1">
      <c r="A270" s="4564"/>
      <c r="B270" s="4479"/>
      <c r="C270" s="5080"/>
      <c r="D270" s="4567"/>
      <c r="E270" s="4567"/>
      <c r="F270" s="4567"/>
      <c r="G270" s="4567"/>
      <c r="H270" s="4567"/>
      <c r="I270" s="4567"/>
      <c r="J270" s="4567"/>
      <c r="K270" s="4567"/>
      <c r="L270" s="4567"/>
      <c r="M270" s="4567"/>
      <c r="N270" s="4567"/>
      <c r="O270" s="4567"/>
      <c r="P270" s="4567"/>
      <c r="Q270" s="4567"/>
      <c r="R270" s="4540"/>
      <c r="S270" s="5100" t="s">
        <v>1455</v>
      </c>
      <c r="T270" s="4538"/>
      <c r="U270" s="4538"/>
      <c r="V270" s="4538"/>
      <c r="W270" s="4538"/>
      <c r="X270" s="4538"/>
      <c r="Y270" s="4538"/>
      <c r="Z270" s="4538"/>
      <c r="AA270" s="2232" t="s">
        <v>340</v>
      </c>
      <c r="AB270" s="2233">
        <f>SUM(AB222:AB269)</f>
        <v>2024.6464000000003</v>
      </c>
      <c r="AC270" s="4558"/>
      <c r="AD270" s="4540"/>
      <c r="AE270" s="4540"/>
      <c r="AF270" s="4541"/>
      <c r="AG270" s="221"/>
      <c r="AH270" s="221"/>
      <c r="AI270" s="221"/>
      <c r="AJ270" s="221"/>
    </row>
    <row r="271" spans="1:36" ht="42.75" customHeight="1">
      <c r="A271" s="4564"/>
      <c r="B271" s="4571" t="s">
        <v>1456</v>
      </c>
      <c r="C271" s="5237" t="s">
        <v>235</v>
      </c>
      <c r="D271" s="4931" t="s">
        <v>236</v>
      </c>
      <c r="E271" s="4931" t="s">
        <v>237</v>
      </c>
      <c r="F271" s="4931" t="s">
        <v>360</v>
      </c>
      <c r="G271" s="4932" t="s">
        <v>239</v>
      </c>
      <c r="H271" s="4931" t="s">
        <v>240</v>
      </c>
      <c r="I271" s="4931" t="s">
        <v>257</v>
      </c>
      <c r="J271" s="4931" t="s">
        <v>6003</v>
      </c>
      <c r="K271" s="4524" t="s">
        <v>5946</v>
      </c>
      <c r="L271" s="4931" t="s">
        <v>1457</v>
      </c>
      <c r="M271" s="5204">
        <v>1</v>
      </c>
      <c r="N271" s="5204">
        <v>1</v>
      </c>
      <c r="O271" s="5204">
        <v>1</v>
      </c>
      <c r="P271" s="4931" t="s">
        <v>5833</v>
      </c>
      <c r="Q271" s="4931" t="s">
        <v>5882</v>
      </c>
      <c r="R271" s="4925" t="s">
        <v>5789</v>
      </c>
      <c r="S271" s="3988" t="s">
        <v>11</v>
      </c>
      <c r="T271" s="3785">
        <v>530402</v>
      </c>
      <c r="U271" s="3785"/>
      <c r="V271" s="3962" t="s">
        <v>16</v>
      </c>
      <c r="W271" s="3959"/>
      <c r="X271" s="3966"/>
      <c r="Y271" s="3967"/>
      <c r="Z271" s="3967"/>
      <c r="AA271" s="3967"/>
      <c r="AB271" s="3968">
        <f>SUM(AA272:AA274)</f>
        <v>70560</v>
      </c>
      <c r="AC271" s="3960"/>
      <c r="AD271" s="3788"/>
      <c r="AE271" s="3788"/>
      <c r="AF271" s="5216"/>
      <c r="AG271" s="221"/>
      <c r="AH271" s="221"/>
      <c r="AI271" s="221"/>
      <c r="AJ271" s="221"/>
    </row>
    <row r="272" spans="1:36" ht="42.75" customHeight="1">
      <c r="A272" s="4564"/>
      <c r="B272" s="4570"/>
      <c r="C272" s="4545"/>
      <c r="D272" s="4514"/>
      <c r="E272" s="4514"/>
      <c r="F272" s="4514"/>
      <c r="G272" s="4514"/>
      <c r="H272" s="4514"/>
      <c r="I272" s="4514"/>
      <c r="J272" s="4514"/>
      <c r="K272" s="4514"/>
      <c r="L272" s="4514"/>
      <c r="M272" s="4901"/>
      <c r="N272" s="4901"/>
      <c r="O272" s="4901"/>
      <c r="P272" s="4378"/>
      <c r="Q272" s="4378"/>
      <c r="R272" s="5180"/>
      <c r="S272" s="3969"/>
      <c r="T272" s="1891"/>
      <c r="U272" s="1849">
        <v>543410111</v>
      </c>
      <c r="V272" s="1883" t="s">
        <v>1458</v>
      </c>
      <c r="W272" s="1864">
        <v>1</v>
      </c>
      <c r="X272" s="3637" t="s">
        <v>250</v>
      </c>
      <c r="Y272" s="3970">
        <v>63000</v>
      </c>
      <c r="Z272" s="3970">
        <f t="shared" ref="Z272" si="44">+W272*Y272</f>
        <v>63000</v>
      </c>
      <c r="AA272" s="3970">
        <f t="shared" ref="AA272" si="45">+Z272*1.12</f>
        <v>70560</v>
      </c>
      <c r="AB272" s="3971"/>
      <c r="AC272" s="1824" t="s">
        <v>251</v>
      </c>
      <c r="AD272" s="3200" t="s">
        <v>251</v>
      </c>
      <c r="AE272" s="3200" t="s">
        <v>251</v>
      </c>
      <c r="AF272" s="5224"/>
      <c r="AG272" s="221"/>
      <c r="AH272" s="221"/>
      <c r="AI272" s="221"/>
      <c r="AJ272" s="221"/>
    </row>
    <row r="273" spans="1:36" ht="42.75" customHeight="1">
      <c r="A273" s="4564"/>
      <c r="B273" s="4570"/>
      <c r="C273" s="4545"/>
      <c r="D273" s="4514"/>
      <c r="E273" s="4514"/>
      <c r="F273" s="4514"/>
      <c r="G273" s="4514"/>
      <c r="H273" s="4514"/>
      <c r="I273" s="4514"/>
      <c r="J273" s="4514"/>
      <c r="K273" s="4514"/>
      <c r="L273" s="4514"/>
      <c r="M273" s="4901"/>
      <c r="N273" s="4901"/>
      <c r="O273" s="4901"/>
      <c r="P273" s="4378"/>
      <c r="Q273" s="4378"/>
      <c r="R273" s="5180"/>
      <c r="S273" s="3969"/>
      <c r="T273" s="1891"/>
      <c r="U273" s="1849"/>
      <c r="V273" s="1883"/>
      <c r="W273" s="1864"/>
      <c r="X273" s="3637"/>
      <c r="Y273" s="3970"/>
      <c r="Z273" s="3970"/>
      <c r="AA273" s="3970"/>
      <c r="AB273" s="3971"/>
      <c r="AC273" s="1824"/>
      <c r="AD273" s="3200"/>
      <c r="AE273" s="3200"/>
      <c r="AF273" s="5224"/>
      <c r="AG273" s="221"/>
      <c r="AH273" s="221"/>
      <c r="AI273" s="221"/>
      <c r="AJ273" s="221"/>
    </row>
    <row r="274" spans="1:36" ht="54.75" customHeight="1">
      <c r="A274" s="4564"/>
      <c r="B274" s="4570"/>
      <c r="C274" s="4545"/>
      <c r="D274" s="4514"/>
      <c r="E274" s="4514"/>
      <c r="F274" s="4514"/>
      <c r="G274" s="4514"/>
      <c r="H274" s="4514"/>
      <c r="I274" s="4514"/>
      <c r="J274" s="4514"/>
      <c r="K274" s="4514"/>
      <c r="L274" s="4514"/>
      <c r="M274" s="4901"/>
      <c r="N274" s="4901"/>
      <c r="O274" s="4901"/>
      <c r="P274" s="4378"/>
      <c r="Q274" s="4378"/>
      <c r="R274" s="5180"/>
      <c r="S274" s="3973"/>
      <c r="T274" s="1891"/>
      <c r="U274" s="1891"/>
      <c r="V274" s="1883"/>
      <c r="W274" s="1864"/>
      <c r="X274" s="3637"/>
      <c r="Y274" s="3970"/>
      <c r="Z274" s="3970"/>
      <c r="AA274" s="3970"/>
      <c r="AB274" s="3971"/>
      <c r="AC274" s="1824"/>
      <c r="AD274" s="3200"/>
      <c r="AE274" s="3200"/>
      <c r="AF274" s="5224"/>
      <c r="AG274" s="221"/>
      <c r="AH274" s="221"/>
      <c r="AI274" s="221"/>
      <c r="AJ274" s="221"/>
    </row>
    <row r="275" spans="1:36" ht="67.5" customHeight="1">
      <c r="A275" s="4564"/>
      <c r="B275" s="4570"/>
      <c r="C275" s="4566"/>
      <c r="D275" s="4525"/>
      <c r="E275" s="4525"/>
      <c r="F275" s="4525"/>
      <c r="G275" s="4525"/>
      <c r="H275" s="4525"/>
      <c r="I275" s="4525"/>
      <c r="J275" s="4525"/>
      <c r="K275" s="4525"/>
      <c r="L275" s="4525"/>
      <c r="M275" s="4902"/>
      <c r="N275" s="4902"/>
      <c r="O275" s="4902"/>
      <c r="P275" s="4396"/>
      <c r="Q275" s="4396"/>
      <c r="R275" s="5194"/>
      <c r="S275" s="4036"/>
      <c r="T275" s="3821"/>
      <c r="U275" s="3271"/>
      <c r="V275" s="3822"/>
      <c r="W275" s="3254"/>
      <c r="X275" s="4037"/>
      <c r="Y275" s="4038"/>
      <c r="Z275" s="4038"/>
      <c r="AA275" s="4038"/>
      <c r="AB275" s="4039"/>
      <c r="AC275" s="3246"/>
      <c r="AD275" s="3256"/>
      <c r="AE275" s="3256"/>
      <c r="AF275" s="5227"/>
      <c r="AG275" s="221"/>
      <c r="AH275" s="221"/>
      <c r="AI275" s="221"/>
      <c r="AJ275" s="221"/>
    </row>
    <row r="276" spans="1:36" ht="28.5" customHeight="1">
      <c r="A276" s="4564"/>
      <c r="B276" s="4570"/>
      <c r="C276" s="5239" t="s">
        <v>235</v>
      </c>
      <c r="D276" s="4377" t="s">
        <v>236</v>
      </c>
      <c r="E276" s="4377" t="s">
        <v>237</v>
      </c>
      <c r="F276" s="4377" t="s">
        <v>360</v>
      </c>
      <c r="G276" s="4906" t="s">
        <v>239</v>
      </c>
      <c r="H276" s="4377" t="s">
        <v>240</v>
      </c>
      <c r="I276" s="4377" t="s">
        <v>257</v>
      </c>
      <c r="J276" s="4377" t="s">
        <v>6004</v>
      </c>
      <c r="K276" s="4391" t="s">
        <v>5945</v>
      </c>
      <c r="L276" s="4377" t="s">
        <v>1459</v>
      </c>
      <c r="M276" s="4392">
        <v>1</v>
      </c>
      <c r="N276" s="4392">
        <v>1</v>
      </c>
      <c r="O276" s="4392">
        <v>1</v>
      </c>
      <c r="P276" s="4377" t="s">
        <v>5834</v>
      </c>
      <c r="Q276" s="4377" t="s">
        <v>5883</v>
      </c>
      <c r="R276" s="4903" t="s">
        <v>5790</v>
      </c>
      <c r="S276" s="4051" t="s">
        <v>11</v>
      </c>
      <c r="T276" s="3270">
        <v>840104</v>
      </c>
      <c r="U276" s="3270"/>
      <c r="V276" s="3958" t="s">
        <v>24</v>
      </c>
      <c r="W276" s="3964"/>
      <c r="X276" s="3632"/>
      <c r="Y276" s="4041"/>
      <c r="Z276" s="4041"/>
      <c r="AA276" s="4041"/>
      <c r="AB276" s="4042">
        <f>SUM(AA277:AA279)</f>
        <v>2016.0000000000002</v>
      </c>
      <c r="AC276" s="3259"/>
      <c r="AD276" s="3824"/>
      <c r="AE276" s="3824"/>
      <c r="AF276" s="5217"/>
      <c r="AG276" s="221"/>
      <c r="AH276" s="221"/>
      <c r="AI276" s="221"/>
      <c r="AJ276" s="221"/>
    </row>
    <row r="277" spans="1:36" ht="28.5" customHeight="1">
      <c r="A277" s="4564"/>
      <c r="B277" s="4570"/>
      <c r="C277" s="4545"/>
      <c r="D277" s="4514"/>
      <c r="E277" s="4514"/>
      <c r="F277" s="4514"/>
      <c r="G277" s="4514"/>
      <c r="H277" s="4514"/>
      <c r="I277" s="4514"/>
      <c r="J277" s="4514"/>
      <c r="K277" s="4514"/>
      <c r="L277" s="4514"/>
      <c r="M277" s="4901"/>
      <c r="N277" s="4901"/>
      <c r="O277" s="4901"/>
      <c r="P277" s="4378"/>
      <c r="Q277" s="4378"/>
      <c r="R277" s="5180"/>
      <c r="S277" s="3969"/>
      <c r="T277" s="1891"/>
      <c r="U277" s="1849">
        <v>4315100114</v>
      </c>
      <c r="V277" s="1883" t="s">
        <v>1460</v>
      </c>
      <c r="W277" s="1864">
        <v>1</v>
      </c>
      <c r="X277" s="3637" t="s">
        <v>269</v>
      </c>
      <c r="Y277" s="3970">
        <v>1800</v>
      </c>
      <c r="Z277" s="3970">
        <f t="shared" ref="Z277" si="46">+W277*Y277</f>
        <v>1800</v>
      </c>
      <c r="AA277" s="3970">
        <f t="shared" ref="AA277" si="47">+Z277*1.12</f>
        <v>2016.0000000000002</v>
      </c>
      <c r="AB277" s="3971"/>
      <c r="AC277" s="1824"/>
      <c r="AD277" s="1824" t="s">
        <v>251</v>
      </c>
      <c r="AE277" s="3790"/>
      <c r="AF277" s="5224"/>
      <c r="AG277" s="221"/>
      <c r="AH277" s="221"/>
      <c r="AI277" s="221"/>
      <c r="AJ277" s="221"/>
    </row>
    <row r="278" spans="1:36" ht="28.5" customHeight="1">
      <c r="A278" s="4564"/>
      <c r="B278" s="4570"/>
      <c r="C278" s="4545"/>
      <c r="D278" s="4514"/>
      <c r="E278" s="4514"/>
      <c r="F278" s="4514"/>
      <c r="G278" s="4514"/>
      <c r="H278" s="4514"/>
      <c r="I278" s="4514"/>
      <c r="J278" s="4514"/>
      <c r="K278" s="4514"/>
      <c r="L278" s="4514"/>
      <c r="M278" s="4901"/>
      <c r="N278" s="4901"/>
      <c r="O278" s="4901"/>
      <c r="P278" s="4378"/>
      <c r="Q278" s="4378"/>
      <c r="R278" s="5180"/>
      <c r="S278" s="3969"/>
      <c r="T278" s="1891"/>
      <c r="U278" s="1849"/>
      <c r="V278" s="1883"/>
      <c r="W278" s="1864"/>
      <c r="X278" s="3637"/>
      <c r="Y278" s="3970"/>
      <c r="Z278" s="3970"/>
      <c r="AA278" s="3970"/>
      <c r="AB278" s="3971"/>
      <c r="AC278" s="1824"/>
      <c r="AD278" s="1824"/>
      <c r="AE278" s="3200"/>
      <c r="AF278" s="5224"/>
      <c r="AG278" s="221"/>
      <c r="AH278" s="221"/>
      <c r="AI278" s="221"/>
      <c r="AJ278" s="221"/>
    </row>
    <row r="279" spans="1:36" ht="28.5" customHeight="1">
      <c r="A279" s="4564"/>
      <c r="B279" s="4570"/>
      <c r="C279" s="4545"/>
      <c r="D279" s="4514"/>
      <c r="E279" s="4514"/>
      <c r="F279" s="4514"/>
      <c r="G279" s="4514"/>
      <c r="H279" s="4514"/>
      <c r="I279" s="4514"/>
      <c r="J279" s="4514"/>
      <c r="K279" s="4514"/>
      <c r="L279" s="4514"/>
      <c r="M279" s="4901"/>
      <c r="N279" s="4901"/>
      <c r="O279" s="4901"/>
      <c r="P279" s="4378"/>
      <c r="Q279" s="4378"/>
      <c r="R279" s="5180"/>
      <c r="S279" s="3969"/>
      <c r="T279" s="1891"/>
      <c r="U279" s="1849"/>
      <c r="V279" s="1883"/>
      <c r="W279" s="1864"/>
      <c r="X279" s="3637"/>
      <c r="Y279" s="3970"/>
      <c r="Z279" s="3970"/>
      <c r="AA279" s="3970"/>
      <c r="AB279" s="3971"/>
      <c r="AC279" s="1824"/>
      <c r="AD279" s="1824"/>
      <c r="AE279" s="3200"/>
      <c r="AF279" s="5224"/>
      <c r="AG279" s="221"/>
      <c r="AH279" s="221"/>
      <c r="AI279" s="221"/>
      <c r="AJ279" s="221"/>
    </row>
    <row r="280" spans="1:36" ht="28.5" customHeight="1">
      <c r="A280" s="4564"/>
      <c r="B280" s="4570"/>
      <c r="C280" s="4573"/>
      <c r="D280" s="4515"/>
      <c r="E280" s="4515"/>
      <c r="F280" s="4515"/>
      <c r="G280" s="4515"/>
      <c r="H280" s="4515"/>
      <c r="I280" s="4515"/>
      <c r="J280" s="4515"/>
      <c r="K280" s="4515"/>
      <c r="L280" s="4515"/>
      <c r="M280" s="5222"/>
      <c r="N280" s="5222"/>
      <c r="O280" s="5222"/>
      <c r="P280" s="4411"/>
      <c r="Q280" s="4411"/>
      <c r="R280" s="5181"/>
      <c r="S280" s="4043"/>
      <c r="T280" s="3819"/>
      <c r="U280" s="3268"/>
      <c r="V280" s="3641"/>
      <c r="W280" s="3233"/>
      <c r="X280" s="3642"/>
      <c r="Y280" s="4044"/>
      <c r="Z280" s="4044"/>
      <c r="AA280" s="4044"/>
      <c r="AB280" s="4045"/>
      <c r="AC280" s="3234"/>
      <c r="AD280" s="3234"/>
      <c r="AE280" s="3238"/>
      <c r="AF280" s="5225"/>
      <c r="AG280" s="221"/>
      <c r="AH280" s="221"/>
      <c r="AI280" s="221"/>
      <c r="AJ280" s="221"/>
    </row>
    <row r="281" spans="1:36" ht="30" customHeight="1">
      <c r="A281" s="4564"/>
      <c r="B281" s="4570"/>
      <c r="C281" s="5236" t="s">
        <v>235</v>
      </c>
      <c r="D281" s="4395" t="s">
        <v>236</v>
      </c>
      <c r="E281" s="4395" t="s">
        <v>237</v>
      </c>
      <c r="F281" s="4395" t="s">
        <v>360</v>
      </c>
      <c r="G281" s="4930" t="s">
        <v>239</v>
      </c>
      <c r="H281" s="4395" t="s">
        <v>240</v>
      </c>
      <c r="I281" s="4395" t="s">
        <v>257</v>
      </c>
      <c r="J281" s="4395" t="s">
        <v>6005</v>
      </c>
      <c r="K281" s="4399" t="s">
        <v>5944</v>
      </c>
      <c r="L281" s="4395" t="s">
        <v>1461</v>
      </c>
      <c r="M281" s="4401">
        <v>1</v>
      </c>
      <c r="N281" s="4401">
        <v>1</v>
      </c>
      <c r="O281" s="4401">
        <v>1</v>
      </c>
      <c r="P281" s="4395" t="s">
        <v>5835</v>
      </c>
      <c r="Q281" s="4395" t="s">
        <v>5884</v>
      </c>
      <c r="R281" s="4897" t="s">
        <v>5791</v>
      </c>
      <c r="S281" s="4046" t="s">
        <v>11</v>
      </c>
      <c r="T281" s="3071">
        <v>530404</v>
      </c>
      <c r="U281" s="3071"/>
      <c r="V281" s="3961" t="s">
        <v>1462</v>
      </c>
      <c r="W281" s="3963"/>
      <c r="X281" s="4033"/>
      <c r="Y281" s="4034"/>
      <c r="Z281" s="4034"/>
      <c r="AA281" s="4034"/>
      <c r="AB281" s="4035">
        <f>SUM(AA282:AA287)</f>
        <v>25500.003199999999</v>
      </c>
      <c r="AC281" s="3187"/>
      <c r="AD281" s="3230"/>
      <c r="AE281" s="3230"/>
      <c r="AF281" s="5209"/>
      <c r="AG281" s="221"/>
      <c r="AH281" s="221"/>
      <c r="AI281" s="221"/>
      <c r="AJ281" s="221"/>
    </row>
    <row r="282" spans="1:36" ht="30" customHeight="1">
      <c r="A282" s="4564"/>
      <c r="B282" s="4570"/>
      <c r="C282" s="4545"/>
      <c r="D282" s="4514"/>
      <c r="E282" s="4514"/>
      <c r="F282" s="4514"/>
      <c r="G282" s="4514"/>
      <c r="H282" s="4514"/>
      <c r="I282" s="4514"/>
      <c r="J282" s="4514"/>
      <c r="K282" s="4514"/>
      <c r="L282" s="4514"/>
      <c r="M282" s="4901"/>
      <c r="N282" s="4901"/>
      <c r="O282" s="4901"/>
      <c r="P282" s="4378"/>
      <c r="Q282" s="4378"/>
      <c r="R282" s="5180"/>
      <c r="S282" s="3969"/>
      <c r="T282" s="1891"/>
      <c r="U282" s="1849">
        <v>871591612</v>
      </c>
      <c r="V282" s="1883" t="s">
        <v>1463</v>
      </c>
      <c r="W282" s="1864">
        <v>1</v>
      </c>
      <c r="X282" s="3637" t="s">
        <v>250</v>
      </c>
      <c r="Y282" s="3970">
        <f>16000/1.12</f>
        <v>14285.714285714284</v>
      </c>
      <c r="Z282" s="3970">
        <f t="shared" ref="Z282:Z284" si="48">+W282*Y282</f>
        <v>14285.714285714284</v>
      </c>
      <c r="AA282" s="3970">
        <f t="shared" ref="AA282:AA284" si="49">+Z282*1.12</f>
        <v>16000</v>
      </c>
      <c r="AB282" s="3971"/>
      <c r="AC282" s="1824"/>
      <c r="AD282" s="3200" t="s">
        <v>251</v>
      </c>
      <c r="AE282" s="3200"/>
      <c r="AF282" s="5224"/>
      <c r="AG282" s="221"/>
      <c r="AH282" s="221"/>
      <c r="AI282" s="221"/>
      <c r="AJ282" s="221"/>
    </row>
    <row r="283" spans="1:36" ht="30" customHeight="1">
      <c r="A283" s="4564"/>
      <c r="B283" s="4570"/>
      <c r="C283" s="4545"/>
      <c r="D283" s="4514"/>
      <c r="E283" s="4514"/>
      <c r="F283" s="4514"/>
      <c r="G283" s="4514"/>
      <c r="H283" s="4514"/>
      <c r="I283" s="4514"/>
      <c r="J283" s="4514"/>
      <c r="K283" s="4514"/>
      <c r="L283" s="4514"/>
      <c r="M283" s="4901"/>
      <c r="N283" s="4901"/>
      <c r="O283" s="4901"/>
      <c r="P283" s="4378"/>
      <c r="Q283" s="4378"/>
      <c r="R283" s="5180"/>
      <c r="S283" s="3969"/>
      <c r="T283" s="1891"/>
      <c r="U283" s="1849">
        <v>543410111</v>
      </c>
      <c r="V283" s="1883" t="s">
        <v>1464</v>
      </c>
      <c r="W283" s="1864">
        <v>1</v>
      </c>
      <c r="X283" s="3637" t="s">
        <v>250</v>
      </c>
      <c r="Y283" s="3970">
        <f>9200/1.12</f>
        <v>8214.2857142857138</v>
      </c>
      <c r="Z283" s="3970">
        <f t="shared" si="48"/>
        <v>8214.2857142857138</v>
      </c>
      <c r="AA283" s="3970">
        <f t="shared" si="49"/>
        <v>9200</v>
      </c>
      <c r="AB283" s="3971"/>
      <c r="AC283" s="1824"/>
      <c r="AD283" s="3200" t="s">
        <v>251</v>
      </c>
      <c r="AE283" s="3200"/>
      <c r="AF283" s="5224"/>
      <c r="AG283" s="221"/>
      <c r="AH283" s="221"/>
      <c r="AI283" s="221"/>
      <c r="AJ283" s="221"/>
    </row>
    <row r="284" spans="1:36" ht="30" customHeight="1">
      <c r="A284" s="4564"/>
      <c r="B284" s="4570"/>
      <c r="C284" s="4545"/>
      <c r="D284" s="4514"/>
      <c r="E284" s="4514"/>
      <c r="F284" s="4514"/>
      <c r="G284" s="4514"/>
      <c r="H284" s="4514"/>
      <c r="I284" s="4514"/>
      <c r="J284" s="4514"/>
      <c r="K284" s="4514"/>
      <c r="L284" s="4514"/>
      <c r="M284" s="4901"/>
      <c r="N284" s="4901"/>
      <c r="O284" s="4901"/>
      <c r="P284" s="4378"/>
      <c r="Q284" s="4378"/>
      <c r="R284" s="5180"/>
      <c r="S284" s="3969"/>
      <c r="T284" s="1891"/>
      <c r="U284" s="1849">
        <v>859901911</v>
      </c>
      <c r="V284" s="3803" t="s">
        <v>1465</v>
      </c>
      <c r="W284" s="1864">
        <v>2</v>
      </c>
      <c r="X284" s="3637" t="s">
        <v>269</v>
      </c>
      <c r="Y284" s="3970">
        <v>133.93</v>
      </c>
      <c r="Z284" s="3970">
        <f t="shared" si="48"/>
        <v>267.86</v>
      </c>
      <c r="AA284" s="3970">
        <f t="shared" si="49"/>
        <v>300.00320000000005</v>
      </c>
      <c r="AB284" s="3972"/>
      <c r="AC284" s="1825"/>
      <c r="AD284" s="1826"/>
      <c r="AE284" s="1826" t="s">
        <v>251</v>
      </c>
      <c r="AF284" s="5224"/>
      <c r="AG284" s="221"/>
      <c r="AH284" s="221"/>
      <c r="AI284" s="221"/>
      <c r="AJ284" s="221"/>
    </row>
    <row r="285" spans="1:36" ht="30" customHeight="1">
      <c r="A285" s="4564"/>
      <c r="B285" s="4570"/>
      <c r="C285" s="4545"/>
      <c r="D285" s="4514"/>
      <c r="E285" s="4514"/>
      <c r="F285" s="4514"/>
      <c r="G285" s="4514"/>
      <c r="H285" s="4514"/>
      <c r="I285" s="4514"/>
      <c r="J285" s="4514"/>
      <c r="K285" s="4514"/>
      <c r="L285" s="4514"/>
      <c r="M285" s="4901"/>
      <c r="N285" s="4901"/>
      <c r="O285" s="4901"/>
      <c r="P285" s="4378"/>
      <c r="Q285" s="4378"/>
      <c r="R285" s="5180"/>
      <c r="S285" s="3969"/>
      <c r="T285" s="1891"/>
      <c r="U285" s="1849"/>
      <c r="V285" s="1883"/>
      <c r="W285" s="1864"/>
      <c r="X285" s="3637"/>
      <c r="Y285" s="3970"/>
      <c r="Z285" s="3970"/>
      <c r="AA285" s="3970"/>
      <c r="AB285" s="3971"/>
      <c r="AC285" s="1824"/>
      <c r="AD285" s="3200"/>
      <c r="AE285" s="3200"/>
      <c r="AF285" s="5224"/>
      <c r="AG285" s="221"/>
      <c r="AH285" s="221"/>
      <c r="AI285" s="221"/>
      <c r="AJ285" s="221"/>
    </row>
    <row r="286" spans="1:36" ht="30" customHeight="1">
      <c r="A286" s="4564"/>
      <c r="B286" s="4570"/>
      <c r="C286" s="4545"/>
      <c r="D286" s="4514"/>
      <c r="E286" s="4514"/>
      <c r="F286" s="4514"/>
      <c r="G286" s="4514"/>
      <c r="H286" s="4514"/>
      <c r="I286" s="4514"/>
      <c r="J286" s="4514"/>
      <c r="K286" s="4514"/>
      <c r="L286" s="4514"/>
      <c r="M286" s="4901"/>
      <c r="N286" s="4901"/>
      <c r="O286" s="4901"/>
      <c r="P286" s="4378"/>
      <c r="Q286" s="4378"/>
      <c r="R286" s="5180"/>
      <c r="S286" s="3969"/>
      <c r="T286" s="1891"/>
      <c r="U286" s="1849"/>
      <c r="V286" s="1883"/>
      <c r="W286" s="1864"/>
      <c r="X286" s="3637"/>
      <c r="Y286" s="3970"/>
      <c r="Z286" s="3970"/>
      <c r="AA286" s="3970"/>
      <c r="AB286" s="3971"/>
      <c r="AC286" s="1824"/>
      <c r="AD286" s="3200"/>
      <c r="AE286" s="3200"/>
      <c r="AF286" s="5224"/>
      <c r="AG286" s="221"/>
      <c r="AH286" s="221"/>
      <c r="AI286" s="221"/>
      <c r="AJ286" s="221"/>
    </row>
    <row r="287" spans="1:36" ht="30" customHeight="1">
      <c r="A287" s="4564"/>
      <c r="B287" s="4570"/>
      <c r="C287" s="4545"/>
      <c r="D287" s="4514"/>
      <c r="E287" s="4514"/>
      <c r="F287" s="4514"/>
      <c r="G287" s="4514"/>
      <c r="H287" s="4514"/>
      <c r="I287" s="4514"/>
      <c r="J287" s="4514"/>
      <c r="K287" s="4514"/>
      <c r="L287" s="4514"/>
      <c r="M287" s="4901"/>
      <c r="N287" s="4901"/>
      <c r="O287" s="4901"/>
      <c r="P287" s="4378"/>
      <c r="Q287" s="4378"/>
      <c r="R287" s="5180"/>
      <c r="S287" s="3969"/>
      <c r="T287" s="1891"/>
      <c r="U287" s="1849"/>
      <c r="V287" s="1883"/>
      <c r="W287" s="1864"/>
      <c r="X287" s="3637"/>
      <c r="Y287" s="3970"/>
      <c r="Z287" s="3970"/>
      <c r="AA287" s="3970"/>
      <c r="AB287" s="3971"/>
      <c r="AC287" s="1824"/>
      <c r="AD287" s="3200"/>
      <c r="AE287" s="3200"/>
      <c r="AF287" s="5224"/>
      <c r="AG287" s="221"/>
      <c r="AH287" s="221"/>
      <c r="AI287" s="221"/>
      <c r="AJ287" s="221"/>
    </row>
    <row r="288" spans="1:36" ht="30" customHeight="1">
      <c r="A288" s="4564"/>
      <c r="B288" s="4570"/>
      <c r="C288" s="4566"/>
      <c r="D288" s="4525"/>
      <c r="E288" s="4525"/>
      <c r="F288" s="4525"/>
      <c r="G288" s="4525"/>
      <c r="H288" s="4525"/>
      <c r="I288" s="4525"/>
      <c r="J288" s="4525"/>
      <c r="K288" s="4525"/>
      <c r="L288" s="4525"/>
      <c r="M288" s="4902"/>
      <c r="N288" s="4902"/>
      <c r="O288" s="4902"/>
      <c r="P288" s="4396"/>
      <c r="Q288" s="4396"/>
      <c r="R288" s="5194"/>
      <c r="S288" s="4036"/>
      <c r="T288" s="3821"/>
      <c r="U288" s="3271"/>
      <c r="V288" s="3822"/>
      <c r="W288" s="3254"/>
      <c r="X288" s="4037"/>
      <c r="Y288" s="4038"/>
      <c r="Z288" s="4038"/>
      <c r="AA288" s="4038"/>
      <c r="AB288" s="4039"/>
      <c r="AC288" s="3246"/>
      <c r="AD288" s="3256"/>
      <c r="AE288" s="3256"/>
      <c r="AF288" s="5227"/>
      <c r="AG288" s="221"/>
      <c r="AH288" s="221"/>
      <c r="AI288" s="221"/>
      <c r="AJ288" s="221"/>
    </row>
    <row r="289" spans="1:36" ht="51" customHeight="1">
      <c r="A289" s="4564"/>
      <c r="B289" s="4570"/>
      <c r="C289" s="5239" t="s">
        <v>235</v>
      </c>
      <c r="D289" s="4377" t="s">
        <v>236</v>
      </c>
      <c r="E289" s="4377" t="s">
        <v>237</v>
      </c>
      <c r="F289" s="4377" t="s">
        <v>360</v>
      </c>
      <c r="G289" s="4906" t="s">
        <v>239</v>
      </c>
      <c r="H289" s="4377" t="s">
        <v>240</v>
      </c>
      <c r="I289" s="4377" t="s">
        <v>257</v>
      </c>
      <c r="J289" s="4377" t="s">
        <v>6006</v>
      </c>
      <c r="K289" s="4391" t="s">
        <v>5943</v>
      </c>
      <c r="L289" s="4377" t="s">
        <v>5928</v>
      </c>
      <c r="M289" s="4392">
        <v>1</v>
      </c>
      <c r="N289" s="4392">
        <v>1</v>
      </c>
      <c r="O289" s="4392">
        <v>1</v>
      </c>
      <c r="P289" s="4377" t="s">
        <v>5836</v>
      </c>
      <c r="Q289" s="4377" t="s">
        <v>5885</v>
      </c>
      <c r="R289" s="4903" t="s">
        <v>5792</v>
      </c>
      <c r="S289" s="4051" t="s">
        <v>11</v>
      </c>
      <c r="T289" s="3270">
        <v>530811</v>
      </c>
      <c r="U289" s="3270"/>
      <c r="V289" s="3958" t="s">
        <v>83</v>
      </c>
      <c r="W289" s="3964"/>
      <c r="X289" s="3632"/>
      <c r="Y289" s="4041"/>
      <c r="Z289" s="4041"/>
      <c r="AA289" s="4041"/>
      <c r="AB289" s="4042">
        <f>SUM(AA290:AA292)</f>
        <v>20000</v>
      </c>
      <c r="AC289" s="3259"/>
      <c r="AD289" s="3262"/>
      <c r="AE289" s="3262"/>
      <c r="AF289" s="5217"/>
      <c r="AG289" s="221"/>
      <c r="AH289" s="221"/>
      <c r="AI289" s="221"/>
      <c r="AJ289" s="221"/>
    </row>
    <row r="290" spans="1:36" ht="31.5" customHeight="1">
      <c r="A290" s="4564"/>
      <c r="B290" s="4570"/>
      <c r="C290" s="4545"/>
      <c r="D290" s="4514"/>
      <c r="E290" s="4514"/>
      <c r="F290" s="4514"/>
      <c r="G290" s="4514"/>
      <c r="H290" s="4514"/>
      <c r="I290" s="4514"/>
      <c r="J290" s="4514"/>
      <c r="K290" s="4514"/>
      <c r="L290" s="4514"/>
      <c r="M290" s="4901"/>
      <c r="N290" s="4901"/>
      <c r="O290" s="4901"/>
      <c r="P290" s="5228"/>
      <c r="Q290" s="5228"/>
      <c r="R290" s="5230"/>
      <c r="S290" s="3969"/>
      <c r="T290" s="1891"/>
      <c r="U290" s="1849">
        <v>429410016</v>
      </c>
      <c r="V290" s="1883" t="s">
        <v>1466</v>
      </c>
      <c r="W290" s="1864">
        <v>1</v>
      </c>
      <c r="X290" s="3637" t="s">
        <v>269</v>
      </c>
      <c r="Y290" s="3970">
        <f>20000/1.12</f>
        <v>17857.142857142855</v>
      </c>
      <c r="Z290" s="3970">
        <f t="shared" ref="Z290" si="50">+W290*Y290</f>
        <v>17857.142857142855</v>
      </c>
      <c r="AA290" s="3970">
        <f t="shared" ref="AA290" si="51">+Z290*1.12</f>
        <v>20000</v>
      </c>
      <c r="AB290" s="3971"/>
      <c r="AC290" s="1824"/>
      <c r="AD290" s="3200" t="s">
        <v>251</v>
      </c>
      <c r="AE290" s="3200"/>
      <c r="AF290" s="5224"/>
      <c r="AG290" s="221"/>
      <c r="AH290" s="221"/>
      <c r="AI290" s="221"/>
      <c r="AJ290" s="221"/>
    </row>
    <row r="291" spans="1:36" ht="31.5" customHeight="1">
      <c r="A291" s="4564"/>
      <c r="B291" s="4570"/>
      <c r="C291" s="4545"/>
      <c r="D291" s="4514"/>
      <c r="E291" s="4514"/>
      <c r="F291" s="4514"/>
      <c r="G291" s="4514"/>
      <c r="H291" s="4514"/>
      <c r="I291" s="4514"/>
      <c r="J291" s="4514"/>
      <c r="K291" s="4514"/>
      <c r="L291" s="4514"/>
      <c r="M291" s="4901"/>
      <c r="N291" s="4901"/>
      <c r="O291" s="4901"/>
      <c r="P291" s="5228"/>
      <c r="Q291" s="5228"/>
      <c r="R291" s="5230"/>
      <c r="S291" s="3969"/>
      <c r="T291" s="1891"/>
      <c r="U291" s="1849"/>
      <c r="V291" s="1883"/>
      <c r="W291" s="1864"/>
      <c r="X291" s="3637"/>
      <c r="Y291" s="3970"/>
      <c r="Z291" s="3970"/>
      <c r="AA291" s="3970"/>
      <c r="AB291" s="3971"/>
      <c r="AC291" s="1824"/>
      <c r="AD291" s="3200"/>
      <c r="AE291" s="3200"/>
      <c r="AF291" s="5224"/>
      <c r="AG291" s="221"/>
      <c r="AH291" s="221"/>
      <c r="AI291" s="221"/>
      <c r="AJ291" s="221"/>
    </row>
    <row r="292" spans="1:36" ht="31.5" customHeight="1">
      <c r="A292" s="4564"/>
      <c r="B292" s="4570"/>
      <c r="C292" s="4545"/>
      <c r="D292" s="4514"/>
      <c r="E292" s="4514"/>
      <c r="F292" s="4514"/>
      <c r="G292" s="4514"/>
      <c r="H292" s="4514"/>
      <c r="I292" s="4514"/>
      <c r="J292" s="4514"/>
      <c r="K292" s="4514"/>
      <c r="L292" s="4514"/>
      <c r="M292" s="4901"/>
      <c r="N292" s="4901"/>
      <c r="O292" s="4901"/>
      <c r="P292" s="5228"/>
      <c r="Q292" s="5228"/>
      <c r="R292" s="5230"/>
      <c r="S292" s="3969"/>
      <c r="T292" s="1891"/>
      <c r="U292" s="1849"/>
      <c r="V292" s="1883"/>
      <c r="W292" s="1864"/>
      <c r="X292" s="3637"/>
      <c r="Y292" s="3970"/>
      <c r="Z292" s="3970"/>
      <c r="AA292" s="3970"/>
      <c r="AB292" s="3971"/>
      <c r="AC292" s="1824"/>
      <c r="AD292" s="3200"/>
      <c r="AE292" s="3200"/>
      <c r="AF292" s="5224"/>
      <c r="AG292" s="221"/>
      <c r="AH292" s="221"/>
      <c r="AI292" s="221"/>
      <c r="AJ292" s="221"/>
    </row>
    <row r="293" spans="1:36" ht="31.5" customHeight="1">
      <c r="A293" s="4564"/>
      <c r="B293" s="4570"/>
      <c r="C293" s="4573"/>
      <c r="D293" s="4515"/>
      <c r="E293" s="4515"/>
      <c r="F293" s="4515"/>
      <c r="G293" s="4515"/>
      <c r="H293" s="4515"/>
      <c r="I293" s="4515"/>
      <c r="J293" s="4515"/>
      <c r="K293" s="4515"/>
      <c r="L293" s="4515"/>
      <c r="M293" s="5222"/>
      <c r="N293" s="5222"/>
      <c r="O293" s="5222"/>
      <c r="P293" s="5229"/>
      <c r="Q293" s="5229"/>
      <c r="R293" s="5231"/>
      <c r="S293" s="4043"/>
      <c r="T293" s="3819"/>
      <c r="U293" s="3268"/>
      <c r="V293" s="3641"/>
      <c r="W293" s="3233"/>
      <c r="X293" s="3642"/>
      <c r="Y293" s="4044"/>
      <c r="Z293" s="4044"/>
      <c r="AA293" s="4044"/>
      <c r="AB293" s="4045"/>
      <c r="AC293" s="3234"/>
      <c r="AD293" s="3238"/>
      <c r="AE293" s="3238"/>
      <c r="AF293" s="5225"/>
      <c r="AG293" s="221"/>
      <c r="AH293" s="221"/>
      <c r="AI293" s="221"/>
      <c r="AJ293" s="221"/>
    </row>
    <row r="294" spans="1:36" ht="27" customHeight="1">
      <c r="A294" s="4564"/>
      <c r="B294" s="4570"/>
      <c r="C294" s="5236" t="s">
        <v>235</v>
      </c>
      <c r="D294" s="4395" t="s">
        <v>236</v>
      </c>
      <c r="E294" s="4395" t="s">
        <v>237</v>
      </c>
      <c r="F294" s="4395" t="s">
        <v>360</v>
      </c>
      <c r="G294" s="4930" t="s">
        <v>239</v>
      </c>
      <c r="H294" s="4395" t="s">
        <v>240</v>
      </c>
      <c r="I294" s="4395" t="s">
        <v>257</v>
      </c>
      <c r="J294" s="4395" t="s">
        <v>6007</v>
      </c>
      <c r="K294" s="4399" t="s">
        <v>5942</v>
      </c>
      <c r="L294" s="4395" t="s">
        <v>5929</v>
      </c>
      <c r="M294" s="4401">
        <v>1</v>
      </c>
      <c r="N294" s="4401">
        <v>1</v>
      </c>
      <c r="O294" s="4401">
        <v>1</v>
      </c>
      <c r="P294" s="4395" t="s">
        <v>5837</v>
      </c>
      <c r="Q294" s="4395" t="s">
        <v>5886</v>
      </c>
      <c r="R294" s="4897" t="s">
        <v>5791</v>
      </c>
      <c r="S294" s="4046" t="s">
        <v>11</v>
      </c>
      <c r="T294" s="3071">
        <v>530813</v>
      </c>
      <c r="U294" s="3071"/>
      <c r="V294" s="3961" t="s">
        <v>157</v>
      </c>
      <c r="W294" s="3963"/>
      <c r="X294" s="4033"/>
      <c r="Y294" s="4034"/>
      <c r="Z294" s="4034"/>
      <c r="AA294" s="4034"/>
      <c r="AB294" s="4035">
        <f>SUM(AA295:AA297)</f>
        <v>2500</v>
      </c>
      <c r="AC294" s="3187"/>
      <c r="AD294" s="3230"/>
      <c r="AE294" s="3230"/>
      <c r="AF294" s="5209"/>
      <c r="AG294" s="221"/>
      <c r="AH294" s="221"/>
      <c r="AI294" s="221"/>
      <c r="AJ294" s="221"/>
    </row>
    <row r="295" spans="1:36" ht="27" customHeight="1">
      <c r="A295" s="4564"/>
      <c r="B295" s="4570"/>
      <c r="C295" s="4545"/>
      <c r="D295" s="4514"/>
      <c r="E295" s="4514"/>
      <c r="F295" s="4514"/>
      <c r="G295" s="4514"/>
      <c r="H295" s="4514"/>
      <c r="I295" s="4514"/>
      <c r="J295" s="4514"/>
      <c r="K295" s="4514"/>
      <c r="L295" s="4514"/>
      <c r="M295" s="4901"/>
      <c r="N295" s="4901"/>
      <c r="O295" s="4901"/>
      <c r="P295" s="4378"/>
      <c r="Q295" s="4378"/>
      <c r="R295" s="5180"/>
      <c r="S295" s="3969"/>
      <c r="T295" s="1891"/>
      <c r="U295" s="1849">
        <v>446403014</v>
      </c>
      <c r="V295" s="1883" t="s">
        <v>1467</v>
      </c>
      <c r="W295" s="1864">
        <v>1</v>
      </c>
      <c r="X295" s="3637" t="s">
        <v>269</v>
      </c>
      <c r="Y295" s="3970">
        <f>2500/1.12</f>
        <v>2232.1428571428569</v>
      </c>
      <c r="Z295" s="3970">
        <f t="shared" ref="Z295" si="52">+W295*Y295</f>
        <v>2232.1428571428569</v>
      </c>
      <c r="AA295" s="3970">
        <f t="shared" ref="AA295" si="53">+Z295*1.12</f>
        <v>2500</v>
      </c>
      <c r="AB295" s="3971"/>
      <c r="AC295" s="1824"/>
      <c r="AD295" s="3200" t="s">
        <v>251</v>
      </c>
      <c r="AE295" s="3200"/>
      <c r="AF295" s="5224"/>
      <c r="AG295" s="221"/>
      <c r="AH295" s="221"/>
      <c r="AI295" s="221"/>
      <c r="AJ295" s="221"/>
    </row>
    <row r="296" spans="1:36" ht="27" customHeight="1">
      <c r="A296" s="4564"/>
      <c r="B296" s="4570"/>
      <c r="C296" s="4545"/>
      <c r="D296" s="4514"/>
      <c r="E296" s="4514"/>
      <c r="F296" s="4514"/>
      <c r="G296" s="4514"/>
      <c r="H296" s="4514"/>
      <c r="I296" s="4514"/>
      <c r="J296" s="4514"/>
      <c r="K296" s="4514"/>
      <c r="L296" s="4514"/>
      <c r="M296" s="4901"/>
      <c r="N296" s="4901"/>
      <c r="O296" s="4901"/>
      <c r="P296" s="4378"/>
      <c r="Q296" s="4378"/>
      <c r="R296" s="5180"/>
      <c r="S296" s="3969"/>
      <c r="T296" s="1891"/>
      <c r="U296" s="1849"/>
      <c r="V296" s="1883"/>
      <c r="W296" s="1864"/>
      <c r="X296" s="3637"/>
      <c r="Y296" s="3970"/>
      <c r="Z296" s="3970"/>
      <c r="AA296" s="3970"/>
      <c r="AB296" s="3971"/>
      <c r="AC296" s="1824"/>
      <c r="AD296" s="3200"/>
      <c r="AE296" s="3200"/>
      <c r="AF296" s="5224"/>
      <c r="AG296" s="221"/>
      <c r="AH296" s="221"/>
      <c r="AI296" s="221"/>
      <c r="AJ296" s="221"/>
    </row>
    <row r="297" spans="1:36" ht="27" customHeight="1">
      <c r="A297" s="4564"/>
      <c r="B297" s="4570"/>
      <c r="C297" s="4545"/>
      <c r="D297" s="4514"/>
      <c r="E297" s="4514"/>
      <c r="F297" s="4514"/>
      <c r="G297" s="4514"/>
      <c r="H297" s="4514"/>
      <c r="I297" s="4514"/>
      <c r="J297" s="4514"/>
      <c r="K297" s="4514"/>
      <c r="L297" s="4514"/>
      <c r="M297" s="4901"/>
      <c r="N297" s="4901"/>
      <c r="O297" s="4901"/>
      <c r="P297" s="4378"/>
      <c r="Q297" s="4378"/>
      <c r="R297" s="5180"/>
      <c r="S297" s="3969"/>
      <c r="T297" s="1891"/>
      <c r="U297" s="1849"/>
      <c r="V297" s="1883"/>
      <c r="W297" s="1864"/>
      <c r="X297" s="3637"/>
      <c r="Y297" s="3970"/>
      <c r="Z297" s="3970"/>
      <c r="AA297" s="3970"/>
      <c r="AB297" s="3971"/>
      <c r="AC297" s="1824"/>
      <c r="AD297" s="3200"/>
      <c r="AE297" s="3200"/>
      <c r="AF297" s="5224"/>
      <c r="AG297" s="221"/>
      <c r="AH297" s="221"/>
      <c r="AI297" s="221"/>
      <c r="AJ297" s="221"/>
    </row>
    <row r="298" spans="1:36" ht="27" customHeight="1">
      <c r="A298" s="4564"/>
      <c r="B298" s="4570"/>
      <c r="C298" s="4566"/>
      <c r="D298" s="4525"/>
      <c r="E298" s="4525"/>
      <c r="F298" s="4525"/>
      <c r="G298" s="4525"/>
      <c r="H298" s="4525"/>
      <c r="I298" s="4525"/>
      <c r="J298" s="4525"/>
      <c r="K298" s="4525"/>
      <c r="L298" s="4525"/>
      <c r="M298" s="4902"/>
      <c r="N298" s="4902"/>
      <c r="O298" s="4902"/>
      <c r="P298" s="4396"/>
      <c r="Q298" s="4396"/>
      <c r="R298" s="5194"/>
      <c r="S298" s="4036"/>
      <c r="T298" s="3821"/>
      <c r="U298" s="3271"/>
      <c r="V298" s="3822"/>
      <c r="W298" s="3254"/>
      <c r="X298" s="4037"/>
      <c r="Y298" s="4038"/>
      <c r="Z298" s="4038"/>
      <c r="AA298" s="4038"/>
      <c r="AB298" s="4039"/>
      <c r="AC298" s="3246"/>
      <c r="AD298" s="3256"/>
      <c r="AE298" s="3256"/>
      <c r="AF298" s="5227"/>
      <c r="AG298" s="221"/>
      <c r="AH298" s="221"/>
      <c r="AI298" s="221"/>
      <c r="AJ298" s="221"/>
    </row>
    <row r="299" spans="1:36" ht="37.5" customHeight="1">
      <c r="A299" s="4564"/>
      <c r="B299" s="4570"/>
      <c r="C299" s="5239" t="s">
        <v>235</v>
      </c>
      <c r="D299" s="4377" t="s">
        <v>236</v>
      </c>
      <c r="E299" s="4377" t="s">
        <v>237</v>
      </c>
      <c r="F299" s="4377" t="s">
        <v>360</v>
      </c>
      <c r="G299" s="4906" t="s">
        <v>239</v>
      </c>
      <c r="H299" s="4377" t="s">
        <v>240</v>
      </c>
      <c r="I299" s="4377" t="s">
        <v>257</v>
      </c>
      <c r="J299" s="4377" t="s">
        <v>6008</v>
      </c>
      <c r="K299" s="4391" t="s">
        <v>5941</v>
      </c>
      <c r="L299" s="4377" t="s">
        <v>5930</v>
      </c>
      <c r="M299" s="4392">
        <v>1</v>
      </c>
      <c r="N299" s="4392">
        <v>1</v>
      </c>
      <c r="O299" s="4392">
        <v>1</v>
      </c>
      <c r="P299" s="4377" t="s">
        <v>5838</v>
      </c>
      <c r="Q299" s="4377" t="s">
        <v>5887</v>
      </c>
      <c r="R299" s="4903" t="s">
        <v>5791</v>
      </c>
      <c r="S299" s="4051" t="s">
        <v>11</v>
      </c>
      <c r="T299" s="3270">
        <v>531601</v>
      </c>
      <c r="U299" s="3270"/>
      <c r="V299" s="3958" t="s">
        <v>1468</v>
      </c>
      <c r="W299" s="3964"/>
      <c r="X299" s="3632"/>
      <c r="Y299" s="4041"/>
      <c r="Z299" s="4041"/>
      <c r="AA299" s="4041"/>
      <c r="AB299" s="4042">
        <f>SUM(AA300:AA302)</f>
        <v>3599.9999999999995</v>
      </c>
      <c r="AC299" s="3259"/>
      <c r="AD299" s="3262"/>
      <c r="AE299" s="3262"/>
      <c r="AF299" s="5217"/>
      <c r="AG299" s="221"/>
      <c r="AH299" s="221"/>
      <c r="AI299" s="221"/>
      <c r="AJ299" s="221"/>
    </row>
    <row r="300" spans="1:36" ht="37.5" customHeight="1">
      <c r="A300" s="4564"/>
      <c r="B300" s="4570"/>
      <c r="C300" s="4545"/>
      <c r="D300" s="4514"/>
      <c r="E300" s="4514"/>
      <c r="F300" s="4514"/>
      <c r="G300" s="4514"/>
      <c r="H300" s="4514"/>
      <c r="I300" s="4514"/>
      <c r="J300" s="4514"/>
      <c r="K300" s="4514"/>
      <c r="L300" s="4514"/>
      <c r="M300" s="4901"/>
      <c r="N300" s="4901"/>
      <c r="O300" s="4901"/>
      <c r="P300" s="4378"/>
      <c r="Q300" s="4378"/>
      <c r="R300" s="5180"/>
      <c r="S300" s="3969"/>
      <c r="T300" s="1891"/>
      <c r="U300" s="1849">
        <v>351100212</v>
      </c>
      <c r="V300" s="1883" t="s">
        <v>5763</v>
      </c>
      <c r="W300" s="1864">
        <v>12</v>
      </c>
      <c r="X300" s="3637" t="s">
        <v>269</v>
      </c>
      <c r="Y300" s="3970">
        <f>300/1.12</f>
        <v>267.85714285714283</v>
      </c>
      <c r="Z300" s="3970">
        <f t="shared" ref="Z300" si="54">+W300*Y300</f>
        <v>3214.2857142857138</v>
      </c>
      <c r="AA300" s="3970">
        <f t="shared" ref="AA300" si="55">+Z300*1.12</f>
        <v>3599.9999999999995</v>
      </c>
      <c r="AB300" s="3971"/>
      <c r="AC300" s="1824" t="s">
        <v>251</v>
      </c>
      <c r="AD300" s="3200" t="s">
        <v>251</v>
      </c>
      <c r="AE300" s="3200" t="s">
        <v>251</v>
      </c>
      <c r="AF300" s="5224"/>
      <c r="AG300" s="221"/>
      <c r="AH300" s="221"/>
      <c r="AI300" s="221"/>
      <c r="AJ300" s="221"/>
    </row>
    <row r="301" spans="1:36" ht="28.5" customHeight="1">
      <c r="A301" s="4564"/>
      <c r="B301" s="4570"/>
      <c r="C301" s="4545"/>
      <c r="D301" s="4514"/>
      <c r="E301" s="4514"/>
      <c r="F301" s="4514"/>
      <c r="G301" s="4514"/>
      <c r="H301" s="4514"/>
      <c r="I301" s="4514"/>
      <c r="J301" s="4514"/>
      <c r="K301" s="4514"/>
      <c r="L301" s="4514"/>
      <c r="M301" s="4901"/>
      <c r="N301" s="4901"/>
      <c r="O301" s="4901"/>
      <c r="P301" s="4378"/>
      <c r="Q301" s="4378"/>
      <c r="R301" s="5180"/>
      <c r="S301" s="3969"/>
      <c r="T301" s="1891"/>
      <c r="U301" s="1849"/>
      <c r="V301" s="1883"/>
      <c r="W301" s="1864"/>
      <c r="X301" s="3637"/>
      <c r="Y301" s="3970"/>
      <c r="Z301" s="3970"/>
      <c r="AA301" s="3970"/>
      <c r="AB301" s="3971"/>
      <c r="AC301" s="1824"/>
      <c r="AD301" s="3200"/>
      <c r="AE301" s="3200"/>
      <c r="AF301" s="5224"/>
      <c r="AG301" s="221"/>
      <c r="AH301" s="221"/>
      <c r="AI301" s="221"/>
      <c r="AJ301" s="221"/>
    </row>
    <row r="302" spans="1:36" ht="28.5" customHeight="1">
      <c r="A302" s="4564"/>
      <c r="B302" s="4570"/>
      <c r="C302" s="4545"/>
      <c r="D302" s="4514"/>
      <c r="E302" s="4514"/>
      <c r="F302" s="4514"/>
      <c r="G302" s="4514"/>
      <c r="H302" s="4514"/>
      <c r="I302" s="4514"/>
      <c r="J302" s="4514"/>
      <c r="K302" s="4514"/>
      <c r="L302" s="4514"/>
      <c r="M302" s="4901"/>
      <c r="N302" s="4901"/>
      <c r="O302" s="4901"/>
      <c r="P302" s="4378"/>
      <c r="Q302" s="4378"/>
      <c r="R302" s="5180"/>
      <c r="S302" s="3973"/>
      <c r="T302" s="1891"/>
      <c r="U302" s="1891"/>
      <c r="V302" s="1883"/>
      <c r="W302" s="1864"/>
      <c r="X302" s="3637"/>
      <c r="Y302" s="3970"/>
      <c r="Z302" s="3970"/>
      <c r="AA302" s="3970"/>
      <c r="AB302" s="3971"/>
      <c r="AC302" s="1824"/>
      <c r="AD302" s="3200"/>
      <c r="AE302" s="3200"/>
      <c r="AF302" s="5224"/>
      <c r="AG302" s="221"/>
      <c r="AH302" s="221"/>
      <c r="AI302" s="221"/>
      <c r="AJ302" s="221"/>
    </row>
    <row r="303" spans="1:36" ht="28.5" customHeight="1">
      <c r="A303" s="4564"/>
      <c r="B303" s="4570"/>
      <c r="C303" s="4573"/>
      <c r="D303" s="4515"/>
      <c r="E303" s="4515"/>
      <c r="F303" s="4515"/>
      <c r="G303" s="4515"/>
      <c r="H303" s="4515"/>
      <c r="I303" s="4515"/>
      <c r="J303" s="4515"/>
      <c r="K303" s="4515"/>
      <c r="L303" s="4515"/>
      <c r="M303" s="5222"/>
      <c r="N303" s="5222"/>
      <c r="O303" s="5222"/>
      <c r="P303" s="4411"/>
      <c r="Q303" s="4411"/>
      <c r="R303" s="5181"/>
      <c r="S303" s="4043"/>
      <c r="T303" s="3819"/>
      <c r="U303" s="3268"/>
      <c r="V303" s="3641"/>
      <c r="W303" s="3233"/>
      <c r="X303" s="3642"/>
      <c r="Y303" s="4044"/>
      <c r="Z303" s="4044"/>
      <c r="AA303" s="4044"/>
      <c r="AB303" s="4045"/>
      <c r="AC303" s="3234"/>
      <c r="AD303" s="3238"/>
      <c r="AE303" s="3238"/>
      <c r="AF303" s="5225"/>
      <c r="AG303" s="221"/>
      <c r="AH303" s="221"/>
      <c r="AI303" s="221"/>
      <c r="AJ303" s="221"/>
    </row>
    <row r="304" spans="1:36" ht="28.5" customHeight="1">
      <c r="A304" s="4564"/>
      <c r="B304" s="4570"/>
      <c r="C304" s="5236" t="s">
        <v>235</v>
      </c>
      <c r="D304" s="4395" t="s">
        <v>236</v>
      </c>
      <c r="E304" s="4395" t="s">
        <v>237</v>
      </c>
      <c r="F304" s="4395" t="s">
        <v>360</v>
      </c>
      <c r="G304" s="4930" t="s">
        <v>239</v>
      </c>
      <c r="H304" s="4395" t="s">
        <v>240</v>
      </c>
      <c r="I304" s="4395" t="s">
        <v>257</v>
      </c>
      <c r="J304" s="4395" t="s">
        <v>6009</v>
      </c>
      <c r="K304" s="4399" t="s">
        <v>5940</v>
      </c>
      <c r="L304" s="4395" t="s">
        <v>5931</v>
      </c>
      <c r="M304" s="4401">
        <v>1</v>
      </c>
      <c r="N304" s="4401">
        <v>1</v>
      </c>
      <c r="O304" s="4401">
        <v>1</v>
      </c>
      <c r="P304" s="4395" t="s">
        <v>5839</v>
      </c>
      <c r="Q304" s="4395" t="s">
        <v>5888</v>
      </c>
      <c r="R304" s="4897" t="s">
        <v>5793</v>
      </c>
      <c r="S304" s="4046"/>
      <c r="T304" s="2474"/>
      <c r="U304" s="2474"/>
      <c r="V304" s="3956"/>
      <c r="W304" s="3957"/>
      <c r="X304" s="2477"/>
      <c r="Y304" s="4055"/>
      <c r="Z304" s="4034"/>
      <c r="AA304" s="4034"/>
      <c r="AB304" s="4035"/>
      <c r="AC304" s="3144"/>
      <c r="AD304" s="2924"/>
      <c r="AE304" s="2924"/>
      <c r="AF304" s="5209"/>
      <c r="AG304" s="221"/>
      <c r="AH304" s="221"/>
      <c r="AI304" s="221"/>
      <c r="AJ304" s="221"/>
    </row>
    <row r="305" spans="1:36" ht="28.5" customHeight="1">
      <c r="A305" s="4564"/>
      <c r="B305" s="4570"/>
      <c r="C305" s="4545"/>
      <c r="D305" s="4514"/>
      <c r="E305" s="4514"/>
      <c r="F305" s="4514"/>
      <c r="G305" s="4514"/>
      <c r="H305" s="4514"/>
      <c r="I305" s="4514"/>
      <c r="J305" s="4514"/>
      <c r="K305" s="4514"/>
      <c r="L305" s="4514"/>
      <c r="M305" s="4901"/>
      <c r="N305" s="4901"/>
      <c r="O305" s="4901"/>
      <c r="P305" s="5228"/>
      <c r="Q305" s="5228"/>
      <c r="R305" s="5230"/>
      <c r="S305" s="3989"/>
      <c r="T305" s="1850"/>
      <c r="U305" s="1848"/>
      <c r="V305" s="2432"/>
      <c r="W305" s="2433"/>
      <c r="X305" s="2434"/>
      <c r="Y305" s="3982"/>
      <c r="Z305" s="3970"/>
      <c r="AA305" s="3970"/>
      <c r="AB305" s="3971"/>
      <c r="AC305" s="1825"/>
      <c r="AD305" s="1825"/>
      <c r="AE305" s="1804"/>
      <c r="AF305" s="5224"/>
      <c r="AG305" s="221"/>
      <c r="AH305" s="221"/>
      <c r="AI305" s="221"/>
      <c r="AJ305" s="221"/>
    </row>
    <row r="306" spans="1:36" ht="28.5" customHeight="1">
      <c r="A306" s="4564"/>
      <c r="B306" s="4570"/>
      <c r="C306" s="4545"/>
      <c r="D306" s="4514"/>
      <c r="E306" s="4514"/>
      <c r="F306" s="4514"/>
      <c r="G306" s="4514"/>
      <c r="H306" s="4514"/>
      <c r="I306" s="4514"/>
      <c r="J306" s="4514"/>
      <c r="K306" s="4514"/>
      <c r="L306" s="4514"/>
      <c r="M306" s="4901"/>
      <c r="N306" s="4901"/>
      <c r="O306" s="4901"/>
      <c r="P306" s="5228"/>
      <c r="Q306" s="5228"/>
      <c r="R306" s="5230"/>
      <c r="S306" s="3989"/>
      <c r="T306" s="1850"/>
      <c r="U306" s="1848"/>
      <c r="V306" s="2432"/>
      <c r="W306" s="2433"/>
      <c r="X306" s="2434"/>
      <c r="Y306" s="3982"/>
      <c r="Z306" s="3970"/>
      <c r="AA306" s="3970"/>
      <c r="AB306" s="3971"/>
      <c r="AC306" s="1825"/>
      <c r="AD306" s="1825"/>
      <c r="AE306" s="1826"/>
      <c r="AF306" s="5224"/>
      <c r="AG306" s="221"/>
      <c r="AH306" s="221"/>
      <c r="AI306" s="221"/>
      <c r="AJ306" s="221"/>
    </row>
    <row r="307" spans="1:36" ht="28.5" customHeight="1">
      <c r="A307" s="4564"/>
      <c r="B307" s="4570"/>
      <c r="C307" s="4545"/>
      <c r="D307" s="4514"/>
      <c r="E307" s="4514"/>
      <c r="F307" s="4514"/>
      <c r="G307" s="4514"/>
      <c r="H307" s="4514"/>
      <c r="I307" s="4514"/>
      <c r="J307" s="4514"/>
      <c r="K307" s="4514"/>
      <c r="L307" s="4514"/>
      <c r="M307" s="4901"/>
      <c r="N307" s="4901"/>
      <c r="O307" s="4901"/>
      <c r="P307" s="5228"/>
      <c r="Q307" s="5228"/>
      <c r="R307" s="5230"/>
      <c r="S307" s="3969"/>
      <c r="T307" s="1891"/>
      <c r="U307" s="1849"/>
      <c r="V307" s="1883"/>
      <c r="W307" s="1864"/>
      <c r="X307" s="3637"/>
      <c r="Y307" s="3970"/>
      <c r="Z307" s="3970"/>
      <c r="AA307" s="3970"/>
      <c r="AB307" s="3971"/>
      <c r="AC307" s="1824"/>
      <c r="AD307" s="1824"/>
      <c r="AE307" s="3200"/>
      <c r="AF307" s="5224"/>
      <c r="AG307" s="221"/>
      <c r="AH307" s="221"/>
      <c r="AI307" s="221"/>
      <c r="AJ307" s="221"/>
    </row>
    <row r="308" spans="1:36" ht="28.5" customHeight="1">
      <c r="A308" s="4564"/>
      <c r="B308" s="4570"/>
      <c r="C308" s="4566"/>
      <c r="D308" s="4525"/>
      <c r="E308" s="4525"/>
      <c r="F308" s="4525"/>
      <c r="G308" s="4525"/>
      <c r="H308" s="4525"/>
      <c r="I308" s="4525"/>
      <c r="J308" s="4525"/>
      <c r="K308" s="4525"/>
      <c r="L308" s="4525"/>
      <c r="M308" s="4902"/>
      <c r="N308" s="4902"/>
      <c r="O308" s="4902"/>
      <c r="P308" s="5238"/>
      <c r="Q308" s="5238"/>
      <c r="R308" s="5253"/>
      <c r="S308" s="4036"/>
      <c r="T308" s="3821"/>
      <c r="U308" s="3271"/>
      <c r="V308" s="3822"/>
      <c r="W308" s="3254"/>
      <c r="X308" s="4037"/>
      <c r="Y308" s="4038"/>
      <c r="Z308" s="4038"/>
      <c r="AA308" s="4038"/>
      <c r="AB308" s="4039"/>
      <c r="AC308" s="3246"/>
      <c r="AD308" s="3246"/>
      <c r="AE308" s="3256"/>
      <c r="AF308" s="5227"/>
      <c r="AG308" s="221"/>
      <c r="AH308" s="221"/>
      <c r="AI308" s="221"/>
      <c r="AJ308" s="221"/>
    </row>
    <row r="309" spans="1:36" ht="25.5" customHeight="1">
      <c r="A309" s="4564"/>
      <c r="B309" s="4570"/>
      <c r="C309" s="5239" t="s">
        <v>235</v>
      </c>
      <c r="D309" s="4377" t="s">
        <v>236</v>
      </c>
      <c r="E309" s="4377" t="s">
        <v>244</v>
      </c>
      <c r="F309" s="4377" t="s">
        <v>430</v>
      </c>
      <c r="G309" s="4906" t="s">
        <v>239</v>
      </c>
      <c r="H309" s="4377" t="s">
        <v>240</v>
      </c>
      <c r="I309" s="4377" t="s">
        <v>257</v>
      </c>
      <c r="J309" s="4377" t="s">
        <v>6010</v>
      </c>
      <c r="K309" s="4377" t="s">
        <v>5939</v>
      </c>
      <c r="L309" s="4377" t="s">
        <v>5932</v>
      </c>
      <c r="M309" s="4516">
        <v>1</v>
      </c>
      <c r="N309" s="4516">
        <v>1</v>
      </c>
      <c r="O309" s="4516">
        <v>1</v>
      </c>
      <c r="P309" s="4391" t="s">
        <v>5840</v>
      </c>
      <c r="Q309" s="4377" t="s">
        <v>5889</v>
      </c>
      <c r="R309" s="4903" t="s">
        <v>5794</v>
      </c>
      <c r="S309" s="4040"/>
      <c r="T309" s="3270"/>
      <c r="U309" s="3270"/>
      <c r="V309" s="3958"/>
      <c r="W309" s="3964"/>
      <c r="X309" s="3632"/>
      <c r="Y309" s="4041"/>
      <c r="Z309" s="4041"/>
      <c r="AA309" s="4041"/>
      <c r="AB309" s="4042"/>
      <c r="AC309" s="3259"/>
      <c r="AD309" s="3262"/>
      <c r="AE309" s="3262"/>
      <c r="AF309" s="5217"/>
      <c r="AG309" s="221"/>
      <c r="AH309" s="221"/>
      <c r="AI309" s="221"/>
      <c r="AJ309" s="221"/>
    </row>
    <row r="310" spans="1:36" ht="25.5" customHeight="1">
      <c r="A310" s="4564"/>
      <c r="B310" s="4570"/>
      <c r="C310" s="4545"/>
      <c r="D310" s="4514"/>
      <c r="E310" s="4514"/>
      <c r="F310" s="4514"/>
      <c r="G310" s="4514"/>
      <c r="H310" s="4514"/>
      <c r="I310" s="4514"/>
      <c r="J310" s="4514"/>
      <c r="K310" s="4514"/>
      <c r="L310" s="4514"/>
      <c r="M310" s="4901"/>
      <c r="N310" s="4901"/>
      <c r="O310" s="4901"/>
      <c r="P310" s="4378"/>
      <c r="Q310" s="4378"/>
      <c r="R310" s="5180"/>
      <c r="S310" s="3969"/>
      <c r="T310" s="1891"/>
      <c r="U310" s="1849"/>
      <c r="V310" s="1883"/>
      <c r="W310" s="1864"/>
      <c r="X310" s="3637"/>
      <c r="Y310" s="3970"/>
      <c r="Z310" s="3970"/>
      <c r="AA310" s="3970"/>
      <c r="AB310" s="3971"/>
      <c r="AC310" s="1824"/>
      <c r="AD310" s="3200"/>
      <c r="AE310" s="3200"/>
      <c r="AF310" s="5224"/>
      <c r="AG310" s="221"/>
      <c r="AH310" s="221"/>
      <c r="AI310" s="221"/>
      <c r="AJ310" s="221"/>
    </row>
    <row r="311" spans="1:36" ht="25.5" customHeight="1">
      <c r="A311" s="4564"/>
      <c r="B311" s="4570"/>
      <c r="C311" s="4545"/>
      <c r="D311" s="4514"/>
      <c r="E311" s="4514"/>
      <c r="F311" s="4514"/>
      <c r="G311" s="4514"/>
      <c r="H311" s="4514"/>
      <c r="I311" s="4514"/>
      <c r="J311" s="4514"/>
      <c r="K311" s="4514"/>
      <c r="L311" s="4514"/>
      <c r="M311" s="4901"/>
      <c r="N311" s="4901"/>
      <c r="O311" s="4901"/>
      <c r="P311" s="4378"/>
      <c r="Q311" s="4378"/>
      <c r="R311" s="5180"/>
      <c r="S311" s="3969"/>
      <c r="T311" s="1891"/>
      <c r="U311" s="1849"/>
      <c r="V311" s="1883"/>
      <c r="W311" s="1864"/>
      <c r="X311" s="3637"/>
      <c r="Y311" s="3970"/>
      <c r="Z311" s="3970"/>
      <c r="AA311" s="3970"/>
      <c r="AB311" s="3971"/>
      <c r="AC311" s="1824"/>
      <c r="AD311" s="3200"/>
      <c r="AE311" s="3200"/>
      <c r="AF311" s="5224"/>
      <c r="AG311" s="221"/>
      <c r="AH311" s="221"/>
      <c r="AI311" s="221"/>
      <c r="AJ311" s="221"/>
    </row>
    <row r="312" spans="1:36" ht="25.5" customHeight="1">
      <c r="A312" s="4564"/>
      <c r="B312" s="4570"/>
      <c r="C312" s="4545"/>
      <c r="D312" s="4514"/>
      <c r="E312" s="4514"/>
      <c r="F312" s="4514"/>
      <c r="G312" s="4514"/>
      <c r="H312" s="4514"/>
      <c r="I312" s="4514"/>
      <c r="J312" s="4514"/>
      <c r="K312" s="4514"/>
      <c r="L312" s="4514"/>
      <c r="M312" s="4901"/>
      <c r="N312" s="4901"/>
      <c r="O312" s="4901"/>
      <c r="P312" s="4378"/>
      <c r="Q312" s="4378"/>
      <c r="R312" s="5180"/>
      <c r="S312" s="3969"/>
      <c r="T312" s="1891"/>
      <c r="U312" s="1849"/>
      <c r="V312" s="1883"/>
      <c r="W312" s="1864"/>
      <c r="X312" s="3637"/>
      <c r="Y312" s="3970"/>
      <c r="Z312" s="3970"/>
      <c r="AA312" s="3970"/>
      <c r="AB312" s="3971"/>
      <c r="AC312" s="1824"/>
      <c r="AD312" s="3200"/>
      <c r="AE312" s="3200"/>
      <c r="AF312" s="5224"/>
      <c r="AG312" s="221"/>
      <c r="AH312" s="221"/>
      <c r="AI312" s="221"/>
      <c r="AJ312" s="221"/>
    </row>
    <row r="313" spans="1:36" ht="25.5" customHeight="1">
      <c r="A313" s="4564"/>
      <c r="B313" s="4570"/>
      <c r="C313" s="4573"/>
      <c r="D313" s="4515"/>
      <c r="E313" s="4515"/>
      <c r="F313" s="4515"/>
      <c r="G313" s="4515"/>
      <c r="H313" s="4515"/>
      <c r="I313" s="4515"/>
      <c r="J313" s="4515"/>
      <c r="K313" s="4515"/>
      <c r="L313" s="4515"/>
      <c r="M313" s="5222"/>
      <c r="N313" s="5222"/>
      <c r="O313" s="5222"/>
      <c r="P313" s="4411"/>
      <c r="Q313" s="4411"/>
      <c r="R313" s="5181"/>
      <c r="S313" s="4043"/>
      <c r="T313" s="3819"/>
      <c r="U313" s="3268"/>
      <c r="V313" s="3641"/>
      <c r="W313" s="3233"/>
      <c r="X313" s="3642"/>
      <c r="Y313" s="4044"/>
      <c r="Z313" s="4044"/>
      <c r="AA313" s="4044"/>
      <c r="AB313" s="4045"/>
      <c r="AC313" s="3234"/>
      <c r="AD313" s="3238"/>
      <c r="AE313" s="3238"/>
      <c r="AF313" s="5225"/>
      <c r="AG313" s="221"/>
      <c r="AH313" s="221"/>
      <c r="AI313" s="221"/>
      <c r="AJ313" s="221"/>
    </row>
    <row r="314" spans="1:36" ht="18" customHeight="1">
      <c r="A314" s="4564"/>
      <c r="B314" s="4570"/>
      <c r="C314" s="5236" t="s">
        <v>235</v>
      </c>
      <c r="D314" s="4395" t="s">
        <v>236</v>
      </c>
      <c r="E314" s="4395" t="s">
        <v>244</v>
      </c>
      <c r="F314" s="4395" t="s">
        <v>430</v>
      </c>
      <c r="G314" s="4930" t="s">
        <v>239</v>
      </c>
      <c r="H314" s="4395" t="s">
        <v>240</v>
      </c>
      <c r="I314" s="4395" t="s">
        <v>257</v>
      </c>
      <c r="J314" s="4395" t="s">
        <v>6011</v>
      </c>
      <c r="K314" s="4395" t="s">
        <v>5938</v>
      </c>
      <c r="L314" s="4395" t="s">
        <v>5933</v>
      </c>
      <c r="M314" s="4401">
        <v>1</v>
      </c>
      <c r="N314" s="4401">
        <v>1</v>
      </c>
      <c r="O314" s="4401">
        <v>1</v>
      </c>
      <c r="P314" s="4395" t="s">
        <v>5841</v>
      </c>
      <c r="Q314" s="4395" t="s">
        <v>5890</v>
      </c>
      <c r="R314" s="4897" t="s">
        <v>5795</v>
      </c>
      <c r="S314" s="4032"/>
      <c r="T314" s="3071"/>
      <c r="U314" s="3265"/>
      <c r="V314" s="3955"/>
      <c r="W314" s="3963"/>
      <c r="X314" s="4056"/>
      <c r="Y314" s="4034"/>
      <c r="Z314" s="4034"/>
      <c r="AA314" s="4034"/>
      <c r="AB314" s="4035"/>
      <c r="AC314" s="3230"/>
      <c r="AD314" s="3230"/>
      <c r="AE314" s="4057"/>
      <c r="AF314" s="5226"/>
      <c r="AG314" s="221"/>
      <c r="AH314" s="221"/>
      <c r="AI314" s="221"/>
      <c r="AJ314" s="221"/>
    </row>
    <row r="315" spans="1:36" ht="18" customHeight="1">
      <c r="A315" s="4564"/>
      <c r="B315" s="4570"/>
      <c r="C315" s="4545"/>
      <c r="D315" s="4514"/>
      <c r="E315" s="4514"/>
      <c r="F315" s="4514"/>
      <c r="G315" s="4514"/>
      <c r="H315" s="4514"/>
      <c r="I315" s="4514"/>
      <c r="J315" s="4514"/>
      <c r="K315" s="4514"/>
      <c r="L315" s="4514"/>
      <c r="M315" s="4901"/>
      <c r="N315" s="4901"/>
      <c r="O315" s="4901"/>
      <c r="P315" s="4378"/>
      <c r="Q315" s="4378"/>
      <c r="R315" s="5180"/>
      <c r="S315" s="3969"/>
      <c r="T315" s="1891"/>
      <c r="U315" s="3188"/>
      <c r="V315" s="1883"/>
      <c r="W315" s="1864"/>
      <c r="X315" s="3983"/>
      <c r="Y315" s="3970"/>
      <c r="Z315" s="3970"/>
      <c r="AA315" s="3970"/>
      <c r="AB315" s="3971"/>
      <c r="AC315" s="3200"/>
      <c r="AD315" s="3200"/>
      <c r="AE315" s="3984"/>
      <c r="AF315" s="5224"/>
      <c r="AG315" s="221"/>
      <c r="AH315" s="221"/>
      <c r="AI315" s="221"/>
      <c r="AJ315" s="221"/>
    </row>
    <row r="316" spans="1:36" ht="18" customHeight="1">
      <c r="A316" s="4564"/>
      <c r="B316" s="4570"/>
      <c r="C316" s="4545"/>
      <c r="D316" s="4514"/>
      <c r="E316" s="4514"/>
      <c r="F316" s="4514"/>
      <c r="G316" s="4514"/>
      <c r="H316" s="4514"/>
      <c r="I316" s="4514"/>
      <c r="J316" s="4514"/>
      <c r="K316" s="4514"/>
      <c r="L316" s="4514"/>
      <c r="M316" s="4901"/>
      <c r="N316" s="4901"/>
      <c r="O316" s="4901"/>
      <c r="P316" s="4378"/>
      <c r="Q316" s="4378"/>
      <c r="R316" s="5180"/>
      <c r="S316" s="3969"/>
      <c r="T316" s="1891"/>
      <c r="U316" s="3188"/>
      <c r="V316" s="1883"/>
      <c r="W316" s="1864"/>
      <c r="X316" s="3983"/>
      <c r="Y316" s="3970"/>
      <c r="Z316" s="3970"/>
      <c r="AA316" s="3970"/>
      <c r="AB316" s="3971"/>
      <c r="AC316" s="3200"/>
      <c r="AD316" s="3200"/>
      <c r="AE316" s="3984"/>
      <c r="AF316" s="5224"/>
      <c r="AG316" s="221"/>
      <c r="AH316" s="221"/>
      <c r="AI316" s="221"/>
      <c r="AJ316" s="221"/>
    </row>
    <row r="317" spans="1:36" ht="18" customHeight="1">
      <c r="A317" s="4564"/>
      <c r="B317" s="4570"/>
      <c r="C317" s="4545"/>
      <c r="D317" s="4514"/>
      <c r="E317" s="4514"/>
      <c r="F317" s="4514"/>
      <c r="G317" s="4514"/>
      <c r="H317" s="4514"/>
      <c r="I317" s="4514"/>
      <c r="J317" s="4514"/>
      <c r="K317" s="4514"/>
      <c r="L317" s="4514"/>
      <c r="M317" s="4901"/>
      <c r="N317" s="4901"/>
      <c r="O317" s="4901"/>
      <c r="P317" s="4378"/>
      <c r="Q317" s="4378"/>
      <c r="R317" s="5180"/>
      <c r="S317" s="3969"/>
      <c r="T317" s="1891"/>
      <c r="U317" s="3188"/>
      <c r="V317" s="1883"/>
      <c r="W317" s="1864"/>
      <c r="X317" s="3983"/>
      <c r="Y317" s="3970"/>
      <c r="Z317" s="3970"/>
      <c r="AA317" s="3970"/>
      <c r="AB317" s="3971"/>
      <c r="AC317" s="3200"/>
      <c r="AD317" s="3200"/>
      <c r="AE317" s="3984"/>
      <c r="AF317" s="5224"/>
      <c r="AG317" s="221"/>
      <c r="AH317" s="221"/>
      <c r="AI317" s="221"/>
      <c r="AJ317" s="221"/>
    </row>
    <row r="318" spans="1:36" ht="18" customHeight="1">
      <c r="A318" s="4564"/>
      <c r="B318" s="4570"/>
      <c r="C318" s="4545"/>
      <c r="D318" s="4514"/>
      <c r="E318" s="4514"/>
      <c r="F318" s="4514"/>
      <c r="G318" s="4514"/>
      <c r="H318" s="4514"/>
      <c r="I318" s="4514"/>
      <c r="J318" s="4514"/>
      <c r="K318" s="4514"/>
      <c r="L318" s="4514"/>
      <c r="M318" s="4901"/>
      <c r="N318" s="4901"/>
      <c r="O318" s="4901"/>
      <c r="P318" s="4378"/>
      <c r="Q318" s="4378"/>
      <c r="R318" s="5180"/>
      <c r="S318" s="3969"/>
      <c r="T318" s="1891"/>
      <c r="U318" s="3188"/>
      <c r="V318" s="1883"/>
      <c r="W318" s="1864"/>
      <c r="X318" s="3983"/>
      <c r="Y318" s="3970"/>
      <c r="Z318" s="3970"/>
      <c r="AA318" s="3971"/>
      <c r="AB318" s="3985"/>
      <c r="AC318" s="3200"/>
      <c r="AD318" s="3200"/>
      <c r="AE318" s="3984"/>
      <c r="AF318" s="5224"/>
      <c r="AG318" s="221"/>
      <c r="AH318" s="221"/>
      <c r="AI318" s="221"/>
      <c r="AJ318" s="221"/>
    </row>
    <row r="319" spans="1:36" ht="32.25" customHeight="1">
      <c r="A319" s="4564"/>
      <c r="B319" s="4570"/>
      <c r="C319" s="4566"/>
      <c r="D319" s="4525"/>
      <c r="E319" s="4525"/>
      <c r="F319" s="4525"/>
      <c r="G319" s="4525"/>
      <c r="H319" s="4525"/>
      <c r="I319" s="4525"/>
      <c r="J319" s="4525"/>
      <c r="K319" s="4525"/>
      <c r="L319" s="4525"/>
      <c r="M319" s="4902"/>
      <c r="N319" s="4902"/>
      <c r="O319" s="4902"/>
      <c r="P319" s="4396"/>
      <c r="Q319" s="4396"/>
      <c r="R319" s="5194"/>
      <c r="S319" s="4036"/>
      <c r="T319" s="3821"/>
      <c r="U319" s="3240"/>
      <c r="V319" s="3822"/>
      <c r="W319" s="3254"/>
      <c r="X319" s="4048"/>
      <c r="Y319" s="4038"/>
      <c r="Z319" s="4038"/>
      <c r="AA319" s="4039"/>
      <c r="AB319" s="4049"/>
      <c r="AC319" s="3256"/>
      <c r="AD319" s="3256"/>
      <c r="AE319" s="4050"/>
      <c r="AF319" s="5227"/>
      <c r="AG319" s="221"/>
      <c r="AH319" s="221"/>
      <c r="AI319" s="221"/>
      <c r="AJ319" s="221"/>
    </row>
    <row r="320" spans="1:36" ht="18" customHeight="1">
      <c r="A320" s="4564"/>
      <c r="B320" s="4570"/>
      <c r="C320" s="5239" t="s">
        <v>235</v>
      </c>
      <c r="D320" s="4377" t="s">
        <v>236</v>
      </c>
      <c r="E320" s="4377" t="s">
        <v>244</v>
      </c>
      <c r="F320" s="4377" t="s">
        <v>430</v>
      </c>
      <c r="G320" s="4906" t="s">
        <v>239</v>
      </c>
      <c r="H320" s="4377" t="s">
        <v>240</v>
      </c>
      <c r="I320" s="4377" t="s">
        <v>257</v>
      </c>
      <c r="J320" s="4906" t="s">
        <v>6012</v>
      </c>
      <c r="K320" s="4377" t="s">
        <v>5937</v>
      </c>
      <c r="L320" s="4377" t="s">
        <v>5934</v>
      </c>
      <c r="M320" s="4392">
        <v>0</v>
      </c>
      <c r="N320" s="4392">
        <v>0</v>
      </c>
      <c r="O320" s="4392">
        <v>1</v>
      </c>
      <c r="P320" s="4377" t="s">
        <v>5842</v>
      </c>
      <c r="Q320" s="4377" t="s">
        <v>5891</v>
      </c>
      <c r="R320" s="4903" t="s">
        <v>5795</v>
      </c>
      <c r="S320" s="4040"/>
      <c r="T320" s="3270"/>
      <c r="U320" s="4052"/>
      <c r="V320" s="3954"/>
      <c r="W320" s="3964"/>
      <c r="X320" s="4053"/>
      <c r="Y320" s="4041"/>
      <c r="Z320" s="4041"/>
      <c r="AA320" s="4041"/>
      <c r="AB320" s="4042"/>
      <c r="AC320" s="3262"/>
      <c r="AD320" s="3262"/>
      <c r="AE320" s="4054"/>
      <c r="AF320" s="5223"/>
      <c r="AG320" s="221"/>
      <c r="AH320" s="221"/>
      <c r="AI320" s="221"/>
      <c r="AJ320" s="221"/>
    </row>
    <row r="321" spans="1:36" ht="18" customHeight="1">
      <c r="A321" s="4564"/>
      <c r="B321" s="4570"/>
      <c r="C321" s="4545"/>
      <c r="D321" s="4514"/>
      <c r="E321" s="4514"/>
      <c r="F321" s="4514"/>
      <c r="G321" s="4514"/>
      <c r="H321" s="4514"/>
      <c r="I321" s="4514"/>
      <c r="J321" s="4514"/>
      <c r="K321" s="4514"/>
      <c r="L321" s="4514"/>
      <c r="M321" s="4901"/>
      <c r="N321" s="4901"/>
      <c r="O321" s="4901"/>
      <c r="P321" s="4378"/>
      <c r="Q321" s="4378"/>
      <c r="R321" s="5180"/>
      <c r="S321" s="3969"/>
      <c r="T321" s="1891"/>
      <c r="U321" s="3188"/>
      <c r="V321" s="1883"/>
      <c r="W321" s="1864"/>
      <c r="X321" s="3983"/>
      <c r="Y321" s="3970"/>
      <c r="Z321" s="3970"/>
      <c r="AA321" s="3970"/>
      <c r="AB321" s="3971"/>
      <c r="AC321" s="3200"/>
      <c r="AD321" s="3200"/>
      <c r="AE321" s="3984"/>
      <c r="AF321" s="5224"/>
      <c r="AG321" s="221"/>
      <c r="AH321" s="221"/>
      <c r="AI321" s="221"/>
      <c r="AJ321" s="221"/>
    </row>
    <row r="322" spans="1:36" ht="18" customHeight="1">
      <c r="A322" s="4564"/>
      <c r="B322" s="4570"/>
      <c r="C322" s="4545"/>
      <c r="D322" s="4514"/>
      <c r="E322" s="4514"/>
      <c r="F322" s="4514"/>
      <c r="G322" s="4514"/>
      <c r="H322" s="4514"/>
      <c r="I322" s="4514"/>
      <c r="J322" s="4514"/>
      <c r="K322" s="4514"/>
      <c r="L322" s="4514"/>
      <c r="M322" s="4901"/>
      <c r="N322" s="4901"/>
      <c r="O322" s="4901"/>
      <c r="P322" s="4378"/>
      <c r="Q322" s="4378"/>
      <c r="R322" s="5180"/>
      <c r="S322" s="3969"/>
      <c r="T322" s="1891"/>
      <c r="U322" s="3188"/>
      <c r="V322" s="1883"/>
      <c r="W322" s="1864"/>
      <c r="X322" s="3983"/>
      <c r="Y322" s="3970"/>
      <c r="Z322" s="3970"/>
      <c r="AA322" s="3970"/>
      <c r="AB322" s="3971"/>
      <c r="AC322" s="3200"/>
      <c r="AD322" s="3200"/>
      <c r="AE322" s="3984"/>
      <c r="AF322" s="5224"/>
      <c r="AG322" s="221"/>
      <c r="AH322" s="221"/>
      <c r="AI322" s="221"/>
      <c r="AJ322" s="221"/>
    </row>
    <row r="323" spans="1:36" ht="18" customHeight="1">
      <c r="A323" s="4564"/>
      <c r="B323" s="4570"/>
      <c r="C323" s="4545"/>
      <c r="D323" s="4514"/>
      <c r="E323" s="4514"/>
      <c r="F323" s="4514"/>
      <c r="G323" s="4514"/>
      <c r="H323" s="4514"/>
      <c r="I323" s="4514"/>
      <c r="J323" s="4514"/>
      <c r="K323" s="4514"/>
      <c r="L323" s="4514"/>
      <c r="M323" s="4901"/>
      <c r="N323" s="4901"/>
      <c r="O323" s="4901"/>
      <c r="P323" s="4378"/>
      <c r="Q323" s="4378"/>
      <c r="R323" s="5180"/>
      <c r="S323" s="3969"/>
      <c r="T323" s="1891"/>
      <c r="U323" s="3188"/>
      <c r="V323" s="1883"/>
      <c r="W323" s="1864"/>
      <c r="X323" s="3983"/>
      <c r="Y323" s="3970"/>
      <c r="Z323" s="3970"/>
      <c r="AA323" s="3970"/>
      <c r="AB323" s="3971"/>
      <c r="AC323" s="3200"/>
      <c r="AD323" s="3200"/>
      <c r="AE323" s="3984"/>
      <c r="AF323" s="5224"/>
      <c r="AG323" s="221"/>
      <c r="AH323" s="221"/>
      <c r="AI323" s="221"/>
      <c r="AJ323" s="221"/>
    </row>
    <row r="324" spans="1:36" ht="18" customHeight="1">
      <c r="A324" s="4564"/>
      <c r="B324" s="4570"/>
      <c r="C324" s="4545"/>
      <c r="D324" s="4514"/>
      <c r="E324" s="4514"/>
      <c r="F324" s="4514"/>
      <c r="G324" s="4514"/>
      <c r="H324" s="4514"/>
      <c r="I324" s="4514"/>
      <c r="J324" s="4514"/>
      <c r="K324" s="4514"/>
      <c r="L324" s="4514"/>
      <c r="M324" s="4901"/>
      <c r="N324" s="4901"/>
      <c r="O324" s="4901"/>
      <c r="P324" s="4378"/>
      <c r="Q324" s="4378"/>
      <c r="R324" s="5180"/>
      <c r="S324" s="3969"/>
      <c r="T324" s="1891"/>
      <c r="U324" s="3188"/>
      <c r="V324" s="1883"/>
      <c r="W324" s="1864"/>
      <c r="X324" s="3983"/>
      <c r="Y324" s="3970"/>
      <c r="Z324" s="3970"/>
      <c r="AA324" s="3971"/>
      <c r="AB324" s="3985"/>
      <c r="AC324" s="3200"/>
      <c r="AD324" s="3200"/>
      <c r="AE324" s="3984"/>
      <c r="AF324" s="5224"/>
      <c r="AG324" s="221"/>
      <c r="AH324" s="221"/>
      <c r="AI324" s="221"/>
      <c r="AJ324" s="221"/>
    </row>
    <row r="325" spans="1:36" ht="18" customHeight="1">
      <c r="A325" s="4564"/>
      <c r="B325" s="4570"/>
      <c r="C325" s="4573"/>
      <c r="D325" s="4515"/>
      <c r="E325" s="4515"/>
      <c r="F325" s="4515"/>
      <c r="G325" s="4515"/>
      <c r="H325" s="4515"/>
      <c r="I325" s="4515"/>
      <c r="J325" s="4515"/>
      <c r="K325" s="4515"/>
      <c r="L325" s="4515"/>
      <c r="M325" s="5222"/>
      <c r="N325" s="5222"/>
      <c r="O325" s="5222"/>
      <c r="P325" s="4411"/>
      <c r="Q325" s="4411"/>
      <c r="R325" s="5181"/>
      <c r="S325" s="4043"/>
      <c r="T325" s="3819"/>
      <c r="U325" s="4058"/>
      <c r="V325" s="3641"/>
      <c r="W325" s="3233"/>
      <c r="X325" s="4059"/>
      <c r="Y325" s="4044"/>
      <c r="Z325" s="4044"/>
      <c r="AA325" s="4045"/>
      <c r="AB325" s="4060"/>
      <c r="AC325" s="3238"/>
      <c r="AD325" s="3238"/>
      <c r="AE325" s="4061"/>
      <c r="AF325" s="5225"/>
      <c r="AG325" s="221"/>
      <c r="AH325" s="221"/>
      <c r="AI325" s="221"/>
      <c r="AJ325" s="221"/>
    </row>
    <row r="326" spans="1:36" ht="18" customHeight="1">
      <c r="A326" s="4564"/>
      <c r="B326" s="4570"/>
      <c r="C326" s="5239" t="s">
        <v>235</v>
      </c>
      <c r="D326" s="4377" t="s">
        <v>236</v>
      </c>
      <c r="E326" s="4377" t="s">
        <v>244</v>
      </c>
      <c r="F326" s="4377" t="s">
        <v>430</v>
      </c>
      <c r="G326" s="4906" t="s">
        <v>239</v>
      </c>
      <c r="H326" s="4377" t="s">
        <v>240</v>
      </c>
      <c r="I326" s="4377" t="s">
        <v>257</v>
      </c>
      <c r="J326" s="4906" t="s">
        <v>6013</v>
      </c>
      <c r="K326" s="4377" t="s">
        <v>338</v>
      </c>
      <c r="L326" s="4377" t="s">
        <v>5935</v>
      </c>
      <c r="M326" s="4392">
        <v>0</v>
      </c>
      <c r="N326" s="4392">
        <v>1</v>
      </c>
      <c r="O326" s="4392">
        <v>1</v>
      </c>
      <c r="P326" s="4377" t="s">
        <v>5843</v>
      </c>
      <c r="Q326" s="4377" t="s">
        <v>5892</v>
      </c>
      <c r="R326" s="4903" t="s">
        <v>5790</v>
      </c>
      <c r="S326" s="4040"/>
      <c r="T326" s="3270"/>
      <c r="U326" s="4052"/>
      <c r="V326" s="3954"/>
      <c r="W326" s="3964"/>
      <c r="X326" s="4053"/>
      <c r="Y326" s="4041"/>
      <c r="Z326" s="4041"/>
      <c r="AA326" s="4041"/>
      <c r="AB326" s="4042"/>
      <c r="AC326" s="3262"/>
      <c r="AD326" s="3262"/>
      <c r="AE326" s="3286"/>
      <c r="AF326" s="5223"/>
      <c r="AG326" s="221"/>
      <c r="AH326" s="221"/>
      <c r="AI326" s="221"/>
      <c r="AJ326" s="221"/>
    </row>
    <row r="327" spans="1:36" ht="18" customHeight="1">
      <c r="A327" s="4564"/>
      <c r="B327" s="4570"/>
      <c r="C327" s="4545"/>
      <c r="D327" s="4514"/>
      <c r="E327" s="4514"/>
      <c r="F327" s="4514"/>
      <c r="G327" s="4514"/>
      <c r="H327" s="4514"/>
      <c r="I327" s="4514"/>
      <c r="J327" s="4514"/>
      <c r="K327" s="4514"/>
      <c r="L327" s="4514"/>
      <c r="M327" s="4901"/>
      <c r="N327" s="4901"/>
      <c r="O327" s="4901"/>
      <c r="P327" s="4378"/>
      <c r="Q327" s="4378"/>
      <c r="R327" s="5180"/>
      <c r="S327" s="3969"/>
      <c r="T327" s="1891"/>
      <c r="U327" s="3188"/>
      <c r="V327" s="1883"/>
      <c r="W327" s="1864"/>
      <c r="X327" s="3983"/>
      <c r="Y327" s="3970"/>
      <c r="Z327" s="3970"/>
      <c r="AA327" s="3970"/>
      <c r="AB327" s="3971"/>
      <c r="AC327" s="3200"/>
      <c r="AD327" s="3200"/>
      <c r="AE327" s="3212"/>
      <c r="AF327" s="5224"/>
      <c r="AG327" s="221"/>
      <c r="AH327" s="221"/>
      <c r="AI327" s="221"/>
      <c r="AJ327" s="221"/>
    </row>
    <row r="328" spans="1:36" ht="18" customHeight="1">
      <c r="A328" s="4564"/>
      <c r="B328" s="4570"/>
      <c r="C328" s="4545"/>
      <c r="D328" s="4514"/>
      <c r="E328" s="4514"/>
      <c r="F328" s="4514"/>
      <c r="G328" s="4514"/>
      <c r="H328" s="4514"/>
      <c r="I328" s="4514"/>
      <c r="J328" s="4514"/>
      <c r="K328" s="4514"/>
      <c r="L328" s="4514"/>
      <c r="M328" s="4901"/>
      <c r="N328" s="4901"/>
      <c r="O328" s="4901"/>
      <c r="P328" s="4378"/>
      <c r="Q328" s="4378"/>
      <c r="R328" s="5180"/>
      <c r="S328" s="3969"/>
      <c r="T328" s="1891"/>
      <c r="U328" s="3188"/>
      <c r="V328" s="1883"/>
      <c r="W328" s="1864"/>
      <c r="X328" s="3983"/>
      <c r="Y328" s="3970"/>
      <c r="Z328" s="3970"/>
      <c r="AA328" s="3970"/>
      <c r="AB328" s="3971"/>
      <c r="AC328" s="3200"/>
      <c r="AD328" s="3200"/>
      <c r="AE328" s="3212"/>
      <c r="AF328" s="5224"/>
      <c r="AG328" s="221"/>
      <c r="AH328" s="221"/>
      <c r="AI328" s="221"/>
      <c r="AJ328" s="221"/>
    </row>
    <row r="329" spans="1:36" ht="18" customHeight="1">
      <c r="A329" s="4564"/>
      <c r="B329" s="4570"/>
      <c r="C329" s="4545"/>
      <c r="D329" s="4514"/>
      <c r="E329" s="4514"/>
      <c r="F329" s="4514"/>
      <c r="G329" s="4514"/>
      <c r="H329" s="4514"/>
      <c r="I329" s="4514"/>
      <c r="J329" s="4514"/>
      <c r="K329" s="4514"/>
      <c r="L329" s="4514"/>
      <c r="M329" s="4901"/>
      <c r="N329" s="4901"/>
      <c r="O329" s="4901"/>
      <c r="P329" s="4378"/>
      <c r="Q329" s="4378"/>
      <c r="R329" s="5180"/>
      <c r="S329" s="3969"/>
      <c r="T329" s="1891"/>
      <c r="U329" s="3188"/>
      <c r="V329" s="1883"/>
      <c r="W329" s="1864"/>
      <c r="X329" s="3983"/>
      <c r="Y329" s="3970"/>
      <c r="Z329" s="3970"/>
      <c r="AA329" s="3970"/>
      <c r="AB329" s="3971"/>
      <c r="AC329" s="3200"/>
      <c r="AD329" s="3200"/>
      <c r="AE329" s="3212"/>
      <c r="AF329" s="5224"/>
      <c r="AG329" s="221"/>
      <c r="AH329" s="221"/>
      <c r="AI329" s="221"/>
      <c r="AJ329" s="221"/>
    </row>
    <row r="330" spans="1:36" ht="18" customHeight="1">
      <c r="A330" s="4564"/>
      <c r="B330" s="4570"/>
      <c r="C330" s="4545"/>
      <c r="D330" s="4514"/>
      <c r="E330" s="4514"/>
      <c r="F330" s="4514"/>
      <c r="G330" s="4514"/>
      <c r="H330" s="4514"/>
      <c r="I330" s="4514"/>
      <c r="J330" s="4514"/>
      <c r="K330" s="4514"/>
      <c r="L330" s="4514"/>
      <c r="M330" s="4901"/>
      <c r="N330" s="4901"/>
      <c r="O330" s="4901"/>
      <c r="P330" s="4378"/>
      <c r="Q330" s="4378"/>
      <c r="R330" s="5180"/>
      <c r="S330" s="3969"/>
      <c r="T330" s="1891"/>
      <c r="U330" s="3188"/>
      <c r="V330" s="1883"/>
      <c r="W330" s="1864"/>
      <c r="X330" s="3983"/>
      <c r="Y330" s="3970"/>
      <c r="Z330" s="3970"/>
      <c r="AA330" s="3971"/>
      <c r="AB330" s="3985"/>
      <c r="AC330" s="3200"/>
      <c r="AD330" s="3200"/>
      <c r="AE330" s="3212"/>
      <c r="AF330" s="5224"/>
      <c r="AG330" s="221"/>
      <c r="AH330" s="221"/>
      <c r="AI330" s="221"/>
      <c r="AJ330" s="221"/>
    </row>
    <row r="331" spans="1:36" ht="18" customHeight="1">
      <c r="A331" s="4564"/>
      <c r="B331" s="4570"/>
      <c r="C331" s="4573"/>
      <c r="D331" s="4515"/>
      <c r="E331" s="4515"/>
      <c r="F331" s="4515"/>
      <c r="G331" s="4515"/>
      <c r="H331" s="4515"/>
      <c r="I331" s="4515"/>
      <c r="J331" s="4515"/>
      <c r="K331" s="4515"/>
      <c r="L331" s="4515"/>
      <c r="M331" s="5222"/>
      <c r="N331" s="5222"/>
      <c r="O331" s="5222"/>
      <c r="P331" s="4411"/>
      <c r="Q331" s="4411"/>
      <c r="R331" s="5181"/>
      <c r="S331" s="4043"/>
      <c r="T331" s="3819"/>
      <c r="U331" s="4058"/>
      <c r="V331" s="3641"/>
      <c r="W331" s="3233"/>
      <c r="X331" s="4059"/>
      <c r="Y331" s="4044"/>
      <c r="Z331" s="4044"/>
      <c r="AA331" s="4045"/>
      <c r="AB331" s="4060"/>
      <c r="AC331" s="3238"/>
      <c r="AD331" s="3238"/>
      <c r="AE331" s="3281"/>
      <c r="AF331" s="5225"/>
      <c r="AG331" s="221"/>
      <c r="AH331" s="221"/>
      <c r="AI331" s="221"/>
      <c r="AJ331" s="221"/>
    </row>
    <row r="332" spans="1:36" ht="18" customHeight="1">
      <c r="A332" s="4564"/>
      <c r="B332" s="4570"/>
      <c r="C332" s="5236" t="s">
        <v>235</v>
      </c>
      <c r="D332" s="4395" t="s">
        <v>236</v>
      </c>
      <c r="E332" s="4395" t="s">
        <v>244</v>
      </c>
      <c r="F332" s="4395" t="s">
        <v>430</v>
      </c>
      <c r="G332" s="4930" t="s">
        <v>239</v>
      </c>
      <c r="H332" s="4395" t="s">
        <v>240</v>
      </c>
      <c r="I332" s="4395" t="s">
        <v>257</v>
      </c>
      <c r="J332" s="4395" t="s">
        <v>4151</v>
      </c>
      <c r="K332" s="4395" t="s">
        <v>371</v>
      </c>
      <c r="L332" s="4395" t="s">
        <v>5936</v>
      </c>
      <c r="M332" s="4401">
        <v>4</v>
      </c>
      <c r="N332" s="4401">
        <v>4</v>
      </c>
      <c r="O332" s="4401">
        <v>4</v>
      </c>
      <c r="P332" s="4395" t="s">
        <v>5844</v>
      </c>
      <c r="Q332" s="4395" t="s">
        <v>3839</v>
      </c>
      <c r="R332" s="4897" t="s">
        <v>5795</v>
      </c>
      <c r="S332" s="4032"/>
      <c r="T332" s="3071"/>
      <c r="U332" s="3071"/>
      <c r="V332" s="3961"/>
      <c r="W332" s="3963"/>
      <c r="X332" s="4033"/>
      <c r="Y332" s="4034"/>
      <c r="Z332" s="4034"/>
      <c r="AA332" s="4034"/>
      <c r="AB332" s="4035"/>
      <c r="AC332" s="3187"/>
      <c r="AD332" s="3230"/>
      <c r="AE332" s="3230"/>
      <c r="AF332" s="5209"/>
      <c r="AG332" s="221"/>
      <c r="AH332" s="221"/>
      <c r="AI332" s="221"/>
      <c r="AJ332" s="221"/>
    </row>
    <row r="333" spans="1:36" ht="18" customHeight="1">
      <c r="A333" s="4564"/>
      <c r="B333" s="4570"/>
      <c r="C333" s="4545"/>
      <c r="D333" s="4514"/>
      <c r="E333" s="4514"/>
      <c r="F333" s="4514"/>
      <c r="G333" s="4514"/>
      <c r="H333" s="4514"/>
      <c r="I333" s="4514"/>
      <c r="J333" s="4514"/>
      <c r="K333" s="4514"/>
      <c r="L333" s="4514"/>
      <c r="M333" s="4901"/>
      <c r="N333" s="4901"/>
      <c r="O333" s="4901"/>
      <c r="P333" s="4378"/>
      <c r="Q333" s="4378"/>
      <c r="R333" s="5180"/>
      <c r="S333" s="3969"/>
      <c r="T333" s="1891"/>
      <c r="U333" s="1849"/>
      <c r="V333" s="1883"/>
      <c r="W333" s="1864"/>
      <c r="X333" s="3637"/>
      <c r="Y333" s="3970"/>
      <c r="Z333" s="3970"/>
      <c r="AA333" s="3970"/>
      <c r="AB333" s="3971"/>
      <c r="AC333" s="1824"/>
      <c r="AD333" s="3200"/>
      <c r="AE333" s="3200"/>
      <c r="AF333" s="5224"/>
      <c r="AG333" s="221"/>
      <c r="AH333" s="221"/>
      <c r="AI333" s="221"/>
      <c r="AJ333" s="221"/>
    </row>
    <row r="334" spans="1:36" ht="18" customHeight="1">
      <c r="A334" s="4564"/>
      <c r="B334" s="4570"/>
      <c r="C334" s="4545"/>
      <c r="D334" s="4514"/>
      <c r="E334" s="4514"/>
      <c r="F334" s="4514"/>
      <c r="G334" s="4514"/>
      <c r="H334" s="4514"/>
      <c r="I334" s="4514"/>
      <c r="J334" s="4514"/>
      <c r="K334" s="4514"/>
      <c r="L334" s="4514"/>
      <c r="M334" s="4901"/>
      <c r="N334" s="4901"/>
      <c r="O334" s="4901"/>
      <c r="P334" s="4378"/>
      <c r="Q334" s="4378"/>
      <c r="R334" s="5180"/>
      <c r="S334" s="3969"/>
      <c r="T334" s="1891"/>
      <c r="U334" s="1849"/>
      <c r="V334" s="1883"/>
      <c r="W334" s="1864"/>
      <c r="X334" s="3637"/>
      <c r="Y334" s="3970"/>
      <c r="Z334" s="3970"/>
      <c r="AA334" s="3970"/>
      <c r="AB334" s="3971"/>
      <c r="AC334" s="1824"/>
      <c r="AD334" s="3200"/>
      <c r="AE334" s="3200"/>
      <c r="AF334" s="5224"/>
      <c r="AG334" s="221"/>
      <c r="AH334" s="221"/>
      <c r="AI334" s="221"/>
      <c r="AJ334" s="221"/>
    </row>
    <row r="335" spans="1:36" ht="18" customHeight="1">
      <c r="A335" s="4564"/>
      <c r="B335" s="4570"/>
      <c r="C335" s="4545"/>
      <c r="D335" s="4514"/>
      <c r="E335" s="4514"/>
      <c r="F335" s="4514"/>
      <c r="G335" s="4514"/>
      <c r="H335" s="4514"/>
      <c r="I335" s="4514"/>
      <c r="J335" s="4514"/>
      <c r="K335" s="4514"/>
      <c r="L335" s="4514"/>
      <c r="M335" s="4901"/>
      <c r="N335" s="4901"/>
      <c r="O335" s="4901"/>
      <c r="P335" s="4378"/>
      <c r="Q335" s="4378"/>
      <c r="R335" s="5180"/>
      <c r="S335" s="3969"/>
      <c r="T335" s="1891"/>
      <c r="U335" s="1849"/>
      <c r="V335" s="1883"/>
      <c r="W335" s="1864"/>
      <c r="X335" s="3637"/>
      <c r="Y335" s="3970"/>
      <c r="Z335" s="3970"/>
      <c r="AA335" s="3970"/>
      <c r="AB335" s="3971"/>
      <c r="AC335" s="1824"/>
      <c r="AD335" s="3200"/>
      <c r="AE335" s="3200"/>
      <c r="AF335" s="5224"/>
      <c r="AG335" s="221"/>
      <c r="AH335" s="221"/>
      <c r="AI335" s="221"/>
      <c r="AJ335" s="221"/>
    </row>
    <row r="336" spans="1:36" ht="18" customHeight="1">
      <c r="A336" s="4564"/>
      <c r="B336" s="4570"/>
      <c r="C336" s="4545"/>
      <c r="D336" s="4514"/>
      <c r="E336" s="4514"/>
      <c r="F336" s="4514"/>
      <c r="G336" s="4514"/>
      <c r="H336" s="4514"/>
      <c r="I336" s="4514"/>
      <c r="J336" s="4514"/>
      <c r="K336" s="4514"/>
      <c r="L336" s="4514"/>
      <c r="M336" s="4901"/>
      <c r="N336" s="4901"/>
      <c r="O336" s="4901"/>
      <c r="P336" s="4378"/>
      <c r="Q336" s="4378"/>
      <c r="R336" s="5180"/>
      <c r="S336" s="3969"/>
      <c r="T336" s="1891"/>
      <c r="U336" s="1849"/>
      <c r="V336" s="1883"/>
      <c r="W336" s="1864"/>
      <c r="X336" s="3637"/>
      <c r="Y336" s="3970"/>
      <c r="Z336" s="3970"/>
      <c r="AA336" s="3970"/>
      <c r="AB336" s="3971"/>
      <c r="AC336" s="1824"/>
      <c r="AD336" s="3200"/>
      <c r="AE336" s="3200"/>
      <c r="AF336" s="5224"/>
      <c r="AG336" s="221"/>
      <c r="AH336" s="221"/>
      <c r="AI336" s="221"/>
      <c r="AJ336" s="221"/>
    </row>
    <row r="337" spans="1:36" ht="18" customHeight="1" thickBot="1">
      <c r="A337" s="4564"/>
      <c r="B337" s="4570"/>
      <c r="C337" s="4546"/>
      <c r="D337" s="4532"/>
      <c r="E337" s="4532"/>
      <c r="F337" s="4532"/>
      <c r="G337" s="4532"/>
      <c r="H337" s="4532"/>
      <c r="I337" s="4532"/>
      <c r="J337" s="4532"/>
      <c r="K337" s="4532"/>
      <c r="L337" s="4532"/>
      <c r="M337" s="5235"/>
      <c r="N337" s="5235"/>
      <c r="O337" s="5235"/>
      <c r="P337" s="4379"/>
      <c r="Q337" s="4379"/>
      <c r="R337" s="5201"/>
      <c r="S337" s="3974"/>
      <c r="T337" s="3791"/>
      <c r="U337" s="3875"/>
      <c r="V337" s="3792"/>
      <c r="W337" s="3793"/>
      <c r="X337" s="3975"/>
      <c r="Y337" s="3976"/>
      <c r="Z337" s="3976"/>
      <c r="AA337" s="3976"/>
      <c r="AB337" s="3977"/>
      <c r="AC337" s="3794"/>
      <c r="AD337" s="3797"/>
      <c r="AE337" s="3797"/>
      <c r="AF337" s="5232"/>
      <c r="AG337" s="221"/>
      <c r="AH337" s="221"/>
      <c r="AI337" s="221"/>
      <c r="AJ337" s="221"/>
    </row>
    <row r="338" spans="1:36" ht="22.5" customHeight="1" thickBot="1">
      <c r="A338" s="4564"/>
      <c r="B338" s="4479"/>
      <c r="C338" s="4569"/>
      <c r="D338" s="4540"/>
      <c r="E338" s="4540"/>
      <c r="F338" s="4540"/>
      <c r="G338" s="4540"/>
      <c r="H338" s="4540"/>
      <c r="I338" s="4540"/>
      <c r="J338" s="4540"/>
      <c r="K338" s="4540"/>
      <c r="L338" s="4540"/>
      <c r="M338" s="4540"/>
      <c r="N338" s="4540"/>
      <c r="O338" s="4540"/>
      <c r="P338" s="4540"/>
      <c r="Q338" s="4540"/>
      <c r="R338" s="4540"/>
      <c r="S338" s="4561" t="s">
        <v>1469</v>
      </c>
      <c r="T338" s="4562"/>
      <c r="U338" s="4562"/>
      <c r="V338" s="4562"/>
      <c r="W338" s="4562"/>
      <c r="X338" s="4562"/>
      <c r="Y338" s="4562"/>
      <c r="Z338" s="4562"/>
      <c r="AA338" s="2232" t="s">
        <v>340</v>
      </c>
      <c r="AB338" s="2233">
        <f>SUM(AB271:AB337)+0.0032</f>
        <v>124176.00640000001</v>
      </c>
      <c r="AC338" s="5233"/>
      <c r="AD338" s="4443"/>
      <c r="AE338" s="4443"/>
      <c r="AF338" s="4444"/>
      <c r="AG338" s="221"/>
      <c r="AH338" s="221"/>
      <c r="AI338" s="221"/>
      <c r="AJ338" s="221"/>
    </row>
    <row r="339" spans="1:36" ht="23.25" customHeight="1" thickBot="1">
      <c r="A339" s="4362"/>
      <c r="B339" s="2191"/>
      <c r="C339" s="2192"/>
      <c r="D339" s="2192"/>
      <c r="E339" s="2192"/>
      <c r="F339" s="2192"/>
      <c r="G339" s="2192"/>
      <c r="H339" s="2192"/>
      <c r="I339" s="2192"/>
      <c r="J339" s="2192"/>
      <c r="K339" s="2192"/>
      <c r="L339" s="2192"/>
      <c r="M339" s="2192"/>
      <c r="N339" s="2192"/>
      <c r="O339" s="2192"/>
      <c r="P339" s="2192"/>
      <c r="Q339" s="2192"/>
      <c r="R339" s="2192"/>
      <c r="S339" s="5054" t="s">
        <v>1425</v>
      </c>
      <c r="T339" s="5054"/>
      <c r="U339" s="5054"/>
      <c r="V339" s="5054"/>
      <c r="W339" s="5054"/>
      <c r="X339" s="5054"/>
      <c r="Y339" s="5054"/>
      <c r="Z339" s="5054"/>
      <c r="AA339" s="2177" t="s">
        <v>340</v>
      </c>
      <c r="AB339" s="3895">
        <f>SUM(AB144,AB175,AB221,AB270,AB338)</f>
        <v>932747.30200000014</v>
      </c>
      <c r="AC339" s="5234"/>
      <c r="AD339" s="4316"/>
      <c r="AE339" s="4316"/>
      <c r="AF339" s="4317"/>
      <c r="AG339" s="221"/>
      <c r="AH339" s="221"/>
      <c r="AI339" s="221"/>
      <c r="AJ339" s="221"/>
    </row>
    <row r="340" spans="1:36" ht="17.25" thickTop="1">
      <c r="A340" s="221"/>
      <c r="B340" s="12"/>
      <c r="C340" s="679" t="s">
        <v>442</v>
      </c>
      <c r="D340" s="680" t="s">
        <v>1470</v>
      </c>
      <c r="E340" s="486"/>
      <c r="F340" s="221"/>
      <c r="G340" s="221"/>
      <c r="H340" s="221"/>
      <c r="I340" s="221"/>
      <c r="J340" s="221"/>
      <c r="K340" s="221"/>
      <c r="L340" s="221"/>
      <c r="M340" s="221"/>
      <c r="N340" s="221"/>
      <c r="O340" s="221"/>
      <c r="P340" s="221"/>
      <c r="Q340" s="221"/>
      <c r="R340" s="221"/>
      <c r="S340" s="4388" t="s">
        <v>1471</v>
      </c>
      <c r="T340" s="4150"/>
      <c r="U340" s="4150"/>
      <c r="V340" s="4150"/>
      <c r="W340" s="4150"/>
      <c r="X340" s="4150"/>
      <c r="Y340" s="4150"/>
      <c r="Z340" s="4150"/>
      <c r="AA340" s="4150"/>
      <c r="AB340" s="4150"/>
      <c r="AC340" s="4150"/>
      <c r="AD340" s="4150"/>
      <c r="AE340" s="4150"/>
      <c r="AF340" s="4150"/>
      <c r="AG340" s="221"/>
      <c r="AH340" s="221"/>
      <c r="AI340" s="221"/>
      <c r="AJ340" s="221"/>
    </row>
    <row r="341" spans="1:36" ht="16.5">
      <c r="A341" s="221"/>
      <c r="B341" s="12"/>
      <c r="C341" s="681" t="s">
        <v>1472</v>
      </c>
      <c r="D341" s="682" t="s">
        <v>1473</v>
      </c>
      <c r="E341" s="683"/>
      <c r="F341" s="221"/>
      <c r="G341" s="221"/>
      <c r="H341" s="221"/>
      <c r="I341" s="221"/>
      <c r="J341" s="221"/>
      <c r="K341" s="221"/>
      <c r="L341" s="221"/>
      <c r="M341" s="221"/>
      <c r="N341" s="221"/>
      <c r="O341" s="221"/>
      <c r="P341" s="221"/>
      <c r="Q341" s="221"/>
      <c r="R341" s="221"/>
      <c r="S341" s="221"/>
      <c r="T341" s="221"/>
      <c r="U341" s="1884"/>
      <c r="V341" s="1884"/>
      <c r="W341" s="1884"/>
      <c r="X341" s="1884"/>
      <c r="Y341" s="1884"/>
      <c r="Z341" s="1884"/>
      <c r="AA341" s="234"/>
      <c r="AB341" s="221"/>
      <c r="AC341" s="221"/>
      <c r="AD341" s="221"/>
      <c r="AE341" s="221"/>
      <c r="AF341" s="221"/>
      <c r="AG341" s="221"/>
      <c r="AH341" s="221"/>
      <c r="AI341" s="221"/>
    </row>
    <row r="342" spans="1:36" ht="18">
      <c r="A342" s="221"/>
      <c r="B342" s="221"/>
      <c r="C342" s="681" t="s">
        <v>444</v>
      </c>
      <c r="D342" s="682" t="s">
        <v>1474</v>
      </c>
      <c r="E342" s="683"/>
      <c r="F342" s="221"/>
      <c r="G342" s="221"/>
      <c r="H342" s="221"/>
      <c r="I342" s="221"/>
      <c r="J342" s="221"/>
      <c r="K342" s="221"/>
      <c r="L342" s="221"/>
      <c r="M342" s="221"/>
      <c r="N342" s="221"/>
      <c r="O342" s="221"/>
      <c r="P342" s="221"/>
      <c r="Q342" s="221"/>
      <c r="R342" s="221"/>
      <c r="S342" s="221"/>
      <c r="U342" s="4222" t="s">
        <v>1242</v>
      </c>
      <c r="V342" s="4223"/>
      <c r="W342" s="4223"/>
      <c r="X342" s="4223"/>
      <c r="Y342" s="4223"/>
      <c r="Z342" s="4223"/>
      <c r="AA342" s="425"/>
      <c r="AB342" s="425"/>
      <c r="AC342" s="425"/>
      <c r="AD342" s="425"/>
      <c r="AE342" s="425"/>
      <c r="AF342" s="684"/>
      <c r="AG342" s="221"/>
      <c r="AH342" s="221"/>
      <c r="AI342" s="221"/>
    </row>
    <row r="343" spans="1:36" ht="16.5" customHeight="1" thickBot="1">
      <c r="A343" s="221"/>
      <c r="B343" s="221"/>
      <c r="C343" s="221"/>
      <c r="D343" s="221"/>
      <c r="E343" s="221"/>
      <c r="F343" s="221"/>
      <c r="G343" s="221"/>
      <c r="H343" s="221"/>
      <c r="I343" s="221"/>
      <c r="J343" s="221"/>
      <c r="K343" s="221"/>
      <c r="L343" s="221"/>
      <c r="M343" s="221"/>
      <c r="N343" s="221"/>
      <c r="O343" s="221"/>
      <c r="P343" s="221"/>
      <c r="Q343" s="221"/>
      <c r="R343" s="221"/>
      <c r="S343" s="261"/>
      <c r="T343" s="268"/>
      <c r="U343" s="268"/>
      <c r="V343" s="268"/>
      <c r="W343" s="268"/>
      <c r="X343" s="268"/>
      <c r="Y343" s="268"/>
      <c r="Z343" s="268"/>
      <c r="AA343" s="221"/>
      <c r="AB343" s="221"/>
      <c r="AC343" s="221"/>
      <c r="AD343" s="221"/>
      <c r="AE343" s="221"/>
      <c r="AF343" s="221"/>
      <c r="AG343" s="221"/>
      <c r="AH343" s="221"/>
      <c r="AI343" s="221"/>
    </row>
    <row r="344" spans="1:36" ht="16.5" customHeight="1" thickTop="1" thickBot="1">
      <c r="A344" s="221"/>
      <c r="B344" s="221"/>
      <c r="C344" s="221"/>
      <c r="D344" s="221"/>
      <c r="E344" s="221"/>
      <c r="F344" s="221"/>
      <c r="G344" s="221"/>
      <c r="H344" s="221"/>
      <c r="I344" s="221"/>
      <c r="J344" s="221"/>
      <c r="K344" s="221"/>
      <c r="L344" s="221"/>
      <c r="M344" s="221"/>
      <c r="N344" s="221"/>
      <c r="O344" s="221"/>
      <c r="P344" s="221"/>
      <c r="Q344" s="221"/>
      <c r="R344" s="221"/>
      <c r="S344" s="221"/>
      <c r="T344" s="135"/>
      <c r="U344" s="2296" t="s">
        <v>4</v>
      </c>
      <c r="V344" s="2285" t="s">
        <v>344</v>
      </c>
      <c r="W344" s="2286" t="s">
        <v>6</v>
      </c>
      <c r="X344" s="2287" t="s">
        <v>345</v>
      </c>
      <c r="Y344" s="2287" t="s">
        <v>8</v>
      </c>
      <c r="Z344" s="2297" t="s">
        <v>346</v>
      </c>
      <c r="AA344" s="685"/>
      <c r="AB344" s="221"/>
      <c r="AC344" s="221"/>
      <c r="AD344" s="221"/>
      <c r="AE344" s="221"/>
      <c r="AF344" s="221"/>
      <c r="AG344" s="221"/>
      <c r="AH344" s="221"/>
      <c r="AI344" s="221"/>
    </row>
    <row r="345" spans="1:36" ht="16.5" customHeight="1">
      <c r="A345" s="298"/>
      <c r="B345" s="298"/>
      <c r="C345" s="298"/>
      <c r="D345" s="298"/>
      <c r="E345" s="298"/>
      <c r="F345" s="298"/>
      <c r="G345" s="298"/>
      <c r="H345" s="298"/>
      <c r="I345" s="298"/>
      <c r="J345" s="298"/>
      <c r="K345" s="298"/>
      <c r="L345" s="298"/>
      <c r="M345" s="298"/>
      <c r="N345" s="298"/>
      <c r="O345" s="298"/>
      <c r="P345" s="298"/>
      <c r="Q345" s="686"/>
      <c r="R345" s="657"/>
      <c r="S345" s="687"/>
      <c r="U345" s="2299" t="s">
        <v>11</v>
      </c>
      <c r="V345" s="2300" t="s">
        <v>150</v>
      </c>
      <c r="W345" s="2304">
        <v>530101</v>
      </c>
      <c r="X345" s="2305" t="s">
        <v>13</v>
      </c>
      <c r="Y345" s="2305" t="s">
        <v>14</v>
      </c>
      <c r="Z345" s="2311">
        <f>SUM(AB14)</f>
        <v>61600.000000000007</v>
      </c>
      <c r="AA345" s="688"/>
      <c r="AB345" s="298"/>
      <c r="AC345" s="298"/>
      <c r="AD345" s="298"/>
      <c r="AE345" s="298"/>
      <c r="AF345" s="298"/>
      <c r="AG345" s="298"/>
      <c r="AH345" s="298"/>
      <c r="AI345" s="298"/>
    </row>
    <row r="346" spans="1:36" ht="16.5" customHeight="1">
      <c r="A346" s="298"/>
      <c r="B346" s="298"/>
      <c r="C346" s="298"/>
      <c r="D346" s="298"/>
      <c r="E346" s="298"/>
      <c r="F346" s="298"/>
      <c r="G346" s="298"/>
      <c r="H346" s="298"/>
      <c r="I346" s="298"/>
      <c r="J346" s="298"/>
      <c r="K346" s="298"/>
      <c r="L346" s="298"/>
      <c r="M346" s="298"/>
      <c r="N346" s="298"/>
      <c r="O346" s="298"/>
      <c r="P346" s="298"/>
      <c r="Q346" s="686"/>
      <c r="R346" s="657"/>
      <c r="S346" s="687"/>
      <c r="U346" s="2301" t="s">
        <v>11</v>
      </c>
      <c r="V346" s="2302" t="s">
        <v>151</v>
      </c>
      <c r="W346" s="2306">
        <v>530104</v>
      </c>
      <c r="X346" s="2307" t="s">
        <v>13</v>
      </c>
      <c r="Y346" s="2307" t="s">
        <v>14</v>
      </c>
      <c r="Z346" s="2312">
        <f>SUM(AB18)</f>
        <v>200000</v>
      </c>
      <c r="AA346" s="688"/>
      <c r="AB346" s="298"/>
      <c r="AC346" s="298"/>
      <c r="AD346" s="298"/>
      <c r="AE346" s="298"/>
      <c r="AF346" s="298"/>
      <c r="AG346" s="298"/>
      <c r="AH346" s="298"/>
      <c r="AI346" s="298"/>
    </row>
    <row r="347" spans="1:36" ht="16.5" customHeight="1">
      <c r="A347" s="298"/>
      <c r="B347" s="298"/>
      <c r="C347" s="298"/>
      <c r="D347" s="298"/>
      <c r="E347" s="298"/>
      <c r="F347" s="298"/>
      <c r="G347" s="298"/>
      <c r="H347" s="298"/>
      <c r="I347" s="298"/>
      <c r="J347" s="298"/>
      <c r="K347" s="298"/>
      <c r="L347" s="298"/>
      <c r="M347" s="298"/>
      <c r="N347" s="298"/>
      <c r="O347" s="298"/>
      <c r="P347" s="298"/>
      <c r="Q347" s="686"/>
      <c r="R347" s="657"/>
      <c r="S347" s="687"/>
      <c r="U347" s="2301" t="s">
        <v>11</v>
      </c>
      <c r="V347" s="2302" t="s">
        <v>43</v>
      </c>
      <c r="W347" s="2306">
        <v>530105</v>
      </c>
      <c r="X347" s="2307" t="s">
        <v>13</v>
      </c>
      <c r="Y347" s="2307" t="s">
        <v>14</v>
      </c>
      <c r="Z347" s="2312">
        <f>SUM(AB22)</f>
        <v>30000</v>
      </c>
      <c r="AA347" s="688"/>
      <c r="AB347" s="298"/>
      <c r="AC347" s="298"/>
      <c r="AD347" s="298"/>
      <c r="AE347" s="298"/>
      <c r="AF347" s="298"/>
      <c r="AG347" s="298"/>
      <c r="AH347" s="298"/>
      <c r="AI347" s="298"/>
    </row>
    <row r="348" spans="1:36" ht="33">
      <c r="A348" s="221"/>
      <c r="B348" s="221"/>
      <c r="C348" s="221"/>
      <c r="D348" s="221"/>
      <c r="E348" s="221"/>
      <c r="F348" s="221"/>
      <c r="G348" s="221"/>
      <c r="H348" s="221"/>
      <c r="I348" s="221"/>
      <c r="J348" s="221"/>
      <c r="K348" s="221"/>
      <c r="L348" s="221"/>
      <c r="M348" s="221"/>
      <c r="N348" s="221"/>
      <c r="O348" s="221"/>
      <c r="P348" s="221"/>
      <c r="Q348" s="244"/>
      <c r="R348" s="650"/>
      <c r="S348" s="226"/>
      <c r="T348" s="135"/>
      <c r="U348" s="2298" t="s">
        <v>11</v>
      </c>
      <c r="V348" s="1618" t="s">
        <v>68</v>
      </c>
      <c r="W348" s="1616">
        <v>570102</v>
      </c>
      <c r="X348" s="1568" t="s">
        <v>13</v>
      </c>
      <c r="Y348" s="1568" t="s">
        <v>30</v>
      </c>
      <c r="Z348" s="1619">
        <f>SUM(AB26)</f>
        <v>49163.640000000007</v>
      </c>
      <c r="AA348" s="688"/>
      <c r="AB348" s="221"/>
      <c r="AC348" s="221"/>
      <c r="AD348" s="221"/>
      <c r="AE348" s="221"/>
      <c r="AF348" s="221"/>
      <c r="AG348" s="221"/>
      <c r="AH348" s="221"/>
      <c r="AI348" s="221"/>
    </row>
    <row r="349" spans="1:36" ht="16.5" customHeight="1">
      <c r="A349" s="298"/>
      <c r="B349" s="298"/>
      <c r="C349" s="298"/>
      <c r="D349" s="298"/>
      <c r="E349" s="298"/>
      <c r="F349" s="298"/>
      <c r="G349" s="298"/>
      <c r="H349" s="298"/>
      <c r="I349" s="298"/>
      <c r="J349" s="298"/>
      <c r="K349" s="298"/>
      <c r="L349" s="298"/>
      <c r="M349" s="298"/>
      <c r="N349" s="298"/>
      <c r="O349" s="298"/>
      <c r="P349" s="298"/>
      <c r="Q349" s="686"/>
      <c r="R349" s="657"/>
      <c r="S349" s="687"/>
      <c r="U349" s="2301" t="s">
        <v>11</v>
      </c>
      <c r="V349" s="2302" t="s">
        <v>152</v>
      </c>
      <c r="W349" s="2306">
        <v>530804</v>
      </c>
      <c r="X349" s="2307" t="s">
        <v>13</v>
      </c>
      <c r="Y349" s="2307" t="s">
        <v>30</v>
      </c>
      <c r="Z349" s="2312">
        <f>SUM(AB35)</f>
        <v>16800</v>
      </c>
      <c r="AA349" s="688"/>
      <c r="AB349" s="298"/>
      <c r="AC349" s="298"/>
      <c r="AD349" s="298"/>
      <c r="AE349" s="298"/>
      <c r="AF349" s="298"/>
      <c r="AG349" s="298"/>
      <c r="AH349" s="298"/>
      <c r="AI349" s="298"/>
    </row>
    <row r="350" spans="1:36" ht="16.5" customHeight="1">
      <c r="A350" s="298"/>
      <c r="B350" s="298"/>
      <c r="C350" s="298"/>
      <c r="D350" s="298"/>
      <c r="E350" s="298"/>
      <c r="F350" s="298"/>
      <c r="G350" s="298"/>
      <c r="H350" s="298"/>
      <c r="I350" s="298"/>
      <c r="J350" s="298"/>
      <c r="K350" s="298"/>
      <c r="L350" s="298"/>
      <c r="M350" s="298"/>
      <c r="N350" s="298"/>
      <c r="O350" s="298"/>
      <c r="P350" s="298"/>
      <c r="Q350" s="686"/>
      <c r="R350" s="657"/>
      <c r="S350" s="687"/>
      <c r="U350" s="2301" t="s">
        <v>11</v>
      </c>
      <c r="V350" s="2302" t="s">
        <v>91</v>
      </c>
      <c r="W350" s="2306">
        <v>530805</v>
      </c>
      <c r="X350" s="2307" t="s">
        <v>13</v>
      </c>
      <c r="Y350" s="2307" t="s">
        <v>30</v>
      </c>
      <c r="Z350" s="2312">
        <f>SUM(AB43)</f>
        <v>14560.000000000002</v>
      </c>
      <c r="AA350" s="688"/>
      <c r="AB350" s="298"/>
      <c r="AC350" s="298"/>
      <c r="AD350" s="298"/>
      <c r="AE350" s="298"/>
      <c r="AF350" s="298"/>
      <c r="AG350" s="298"/>
      <c r="AH350" s="298"/>
      <c r="AI350" s="298"/>
    </row>
    <row r="351" spans="1:36" ht="33">
      <c r="A351" s="298"/>
      <c r="B351" s="298"/>
      <c r="C351" s="298"/>
      <c r="D351" s="298"/>
      <c r="E351" s="298"/>
      <c r="F351" s="298"/>
      <c r="G351" s="298"/>
      <c r="H351" s="298"/>
      <c r="I351" s="298"/>
      <c r="J351" s="298"/>
      <c r="K351" s="298"/>
      <c r="L351" s="298"/>
      <c r="M351" s="298"/>
      <c r="N351" s="298"/>
      <c r="O351" s="298"/>
      <c r="P351" s="298"/>
      <c r="Q351" s="686"/>
      <c r="R351" s="657"/>
      <c r="S351" s="687"/>
      <c r="U351" s="2301" t="s">
        <v>11</v>
      </c>
      <c r="V351" s="2302" t="s">
        <v>44</v>
      </c>
      <c r="W351" s="2306">
        <v>530807</v>
      </c>
      <c r="X351" s="2307" t="s">
        <v>13</v>
      </c>
      <c r="Y351" s="2307" t="s">
        <v>30</v>
      </c>
      <c r="Z351" s="2312">
        <f>SUM(AB51)</f>
        <v>22400.000000000004</v>
      </c>
      <c r="AA351" s="689"/>
      <c r="AB351" s="298"/>
      <c r="AC351" s="298"/>
      <c r="AD351" s="298"/>
      <c r="AE351" s="298"/>
      <c r="AF351" s="298"/>
      <c r="AG351" s="298"/>
      <c r="AH351" s="298"/>
      <c r="AI351" s="298"/>
    </row>
    <row r="352" spans="1:36" ht="16.5" customHeight="1">
      <c r="A352" s="298"/>
      <c r="B352" s="298"/>
      <c r="C352" s="298"/>
      <c r="D352" s="298"/>
      <c r="E352" s="298"/>
      <c r="F352" s="298"/>
      <c r="G352" s="298"/>
      <c r="H352" s="298"/>
      <c r="I352" s="298"/>
      <c r="J352" s="298"/>
      <c r="K352" s="298"/>
      <c r="L352" s="298"/>
      <c r="M352" s="298"/>
      <c r="N352" s="298"/>
      <c r="O352" s="298"/>
      <c r="P352" s="298"/>
      <c r="Q352" s="686"/>
      <c r="R352" s="657"/>
      <c r="S352" s="687"/>
      <c r="U352" s="2301" t="s">
        <v>11</v>
      </c>
      <c r="V352" s="2302" t="s">
        <v>20</v>
      </c>
      <c r="W352" s="2306">
        <v>531407</v>
      </c>
      <c r="X352" s="2307" t="s">
        <v>13</v>
      </c>
      <c r="Y352" s="2307" t="s">
        <v>18</v>
      </c>
      <c r="Z352" s="2312">
        <f>SUM(AB58)</f>
        <v>996.80000000000007</v>
      </c>
      <c r="AA352" s="688"/>
      <c r="AB352" s="298"/>
      <c r="AC352" s="298"/>
      <c r="AD352" s="298"/>
      <c r="AE352" s="298"/>
      <c r="AF352" s="298"/>
      <c r="AG352" s="298"/>
      <c r="AH352" s="298"/>
      <c r="AI352" s="298"/>
    </row>
    <row r="353" spans="1:35" ht="16.5" customHeight="1">
      <c r="A353" s="221"/>
      <c r="B353" s="221"/>
      <c r="C353" s="221"/>
      <c r="D353" s="221"/>
      <c r="E353" s="221"/>
      <c r="F353" s="221"/>
      <c r="G353" s="221"/>
      <c r="H353" s="221"/>
      <c r="I353" s="221"/>
      <c r="J353" s="221"/>
      <c r="K353" s="221"/>
      <c r="L353" s="221"/>
      <c r="M353" s="221"/>
      <c r="N353" s="221"/>
      <c r="O353" s="221"/>
      <c r="P353" s="221"/>
      <c r="Q353" s="244"/>
      <c r="R353" s="650"/>
      <c r="S353" s="226"/>
      <c r="T353" s="135"/>
      <c r="U353" s="2298" t="s">
        <v>11</v>
      </c>
      <c r="V353" s="1618" t="s">
        <v>48</v>
      </c>
      <c r="W353" s="1616">
        <v>570201</v>
      </c>
      <c r="X353" s="1568" t="s">
        <v>13</v>
      </c>
      <c r="Y353" s="1568" t="s">
        <v>30</v>
      </c>
      <c r="Z353" s="1619">
        <f>SUM(AB67)</f>
        <v>110320.00000000001</v>
      </c>
      <c r="AA353" s="688"/>
      <c r="AB353" s="221"/>
      <c r="AC353" s="221"/>
      <c r="AD353" s="221"/>
      <c r="AE353" s="221"/>
      <c r="AF353" s="221"/>
      <c r="AG353" s="221"/>
      <c r="AH353" s="221"/>
      <c r="AI353" s="221"/>
    </row>
    <row r="354" spans="1:35" ht="16.5" customHeight="1">
      <c r="A354" s="221"/>
      <c r="B354" s="221"/>
      <c r="C354" s="221"/>
      <c r="D354" s="221"/>
      <c r="E354" s="221"/>
      <c r="F354" s="221"/>
      <c r="G354" s="221"/>
      <c r="H354" s="221"/>
      <c r="I354" s="221"/>
      <c r="J354" s="221"/>
      <c r="K354" s="221"/>
      <c r="L354" s="221"/>
      <c r="M354" s="221"/>
      <c r="N354" s="221"/>
      <c r="O354" s="221"/>
      <c r="P354" s="221"/>
      <c r="Q354" s="244"/>
      <c r="R354" s="650"/>
      <c r="S354" s="226"/>
      <c r="T354" s="135"/>
      <c r="U354" s="2298" t="s">
        <v>11</v>
      </c>
      <c r="V354" s="1618" t="s">
        <v>48</v>
      </c>
      <c r="W354" s="1616">
        <v>570201</v>
      </c>
      <c r="X354" s="1568" t="s">
        <v>13</v>
      </c>
      <c r="Y354" s="1568" t="s">
        <v>14</v>
      </c>
      <c r="Z354" s="1619">
        <f>SUM(AB104)</f>
        <v>24379.446</v>
      </c>
      <c r="AA354" s="688"/>
      <c r="AB354" s="221"/>
      <c r="AC354" s="221"/>
      <c r="AD354" s="221"/>
      <c r="AE354" s="221"/>
      <c r="AF354" s="221"/>
      <c r="AG354" s="221"/>
      <c r="AH354" s="221"/>
      <c r="AI354" s="221"/>
    </row>
    <row r="355" spans="1:35" ht="33">
      <c r="A355" s="298"/>
      <c r="B355" s="298"/>
      <c r="C355" s="298"/>
      <c r="D355" s="298"/>
      <c r="E355" s="298"/>
      <c r="F355" s="298"/>
      <c r="G355" s="298"/>
      <c r="H355" s="298"/>
      <c r="I355" s="298"/>
      <c r="J355" s="298"/>
      <c r="K355" s="298"/>
      <c r="L355" s="298"/>
      <c r="M355" s="298"/>
      <c r="N355" s="298"/>
      <c r="O355" s="298"/>
      <c r="P355" s="298"/>
      <c r="Q355" s="686"/>
      <c r="R355" s="657"/>
      <c r="S355" s="687"/>
      <c r="U355" s="2301" t="s">
        <v>11</v>
      </c>
      <c r="V355" s="2302" t="s">
        <v>153</v>
      </c>
      <c r="W355" s="2306">
        <v>530405</v>
      </c>
      <c r="X355" s="2307" t="s">
        <v>13</v>
      </c>
      <c r="Y355" s="2307" t="s">
        <v>18</v>
      </c>
      <c r="Z355" s="2312">
        <f>SUM(AB71)</f>
        <v>56000.000000000007</v>
      </c>
      <c r="AA355" s="688"/>
      <c r="AB355" s="298"/>
      <c r="AC355" s="298"/>
      <c r="AD355" s="298"/>
      <c r="AE355" s="298"/>
      <c r="AF355" s="298"/>
      <c r="AG355" s="298"/>
      <c r="AH355" s="298"/>
      <c r="AI355" s="298"/>
    </row>
    <row r="356" spans="1:35" ht="16.5" customHeight="1">
      <c r="A356" s="298"/>
      <c r="B356" s="298"/>
      <c r="C356" s="298"/>
      <c r="D356" s="298"/>
      <c r="E356" s="298"/>
      <c r="F356" s="298"/>
      <c r="G356" s="298"/>
      <c r="H356" s="298"/>
      <c r="I356" s="298"/>
      <c r="J356" s="298"/>
      <c r="K356" s="298"/>
      <c r="L356" s="298"/>
      <c r="M356" s="298"/>
      <c r="N356" s="298"/>
      <c r="O356" s="298"/>
      <c r="P356" s="298"/>
      <c r="Q356" s="686"/>
      <c r="R356" s="657"/>
      <c r="S356" s="687"/>
      <c r="U356" s="2301" t="s">
        <v>11</v>
      </c>
      <c r="V356" s="2302" t="s">
        <v>154</v>
      </c>
      <c r="W356" s="2306">
        <v>530803</v>
      </c>
      <c r="X356" s="2307" t="s">
        <v>13</v>
      </c>
      <c r="Y356" s="2307" t="s">
        <v>18</v>
      </c>
      <c r="Z356" s="2312">
        <f>SUM(AB75)</f>
        <v>47040.000000000007</v>
      </c>
      <c r="AA356" s="688"/>
      <c r="AB356" s="298"/>
      <c r="AC356" s="298"/>
      <c r="AD356" s="298"/>
      <c r="AE356" s="298"/>
      <c r="AF356" s="298"/>
      <c r="AG356" s="298"/>
      <c r="AH356" s="298"/>
      <c r="AI356" s="298"/>
    </row>
    <row r="357" spans="1:35" ht="16.5" customHeight="1">
      <c r="A357" s="298"/>
      <c r="B357" s="298"/>
      <c r="C357" s="298"/>
      <c r="D357" s="298"/>
      <c r="E357" s="298"/>
      <c r="F357" s="298"/>
      <c r="G357" s="298"/>
      <c r="H357" s="298"/>
      <c r="I357" s="298"/>
      <c r="J357" s="298"/>
      <c r="K357" s="298"/>
      <c r="L357" s="298"/>
      <c r="M357" s="298"/>
      <c r="N357" s="298"/>
      <c r="O357" s="298"/>
      <c r="P357" s="298"/>
      <c r="Q357" s="686"/>
      <c r="R357" s="657"/>
      <c r="S357" s="687"/>
      <c r="U357" s="2301" t="s">
        <v>11</v>
      </c>
      <c r="V357" s="2302" t="s">
        <v>155</v>
      </c>
      <c r="W357" s="2306">
        <v>530208</v>
      </c>
      <c r="X357" s="2307" t="s">
        <v>13</v>
      </c>
      <c r="Y357" s="2307" t="s">
        <v>18</v>
      </c>
      <c r="Z357" s="2312">
        <f>SUM(AB79)</f>
        <v>142671.24000000002</v>
      </c>
      <c r="AA357" s="688"/>
      <c r="AB357" s="298"/>
      <c r="AC357" s="298"/>
      <c r="AD357" s="298"/>
      <c r="AE357" s="298"/>
      <c r="AF357" s="298"/>
      <c r="AG357" s="298"/>
      <c r="AH357" s="298"/>
      <c r="AI357" s="298"/>
    </row>
    <row r="358" spans="1:35" ht="33">
      <c r="A358" s="221"/>
      <c r="B358" s="221"/>
      <c r="C358" s="221"/>
      <c r="D358" s="221"/>
      <c r="E358" s="221"/>
      <c r="F358" s="221"/>
      <c r="G358" s="221"/>
      <c r="H358" s="221"/>
      <c r="I358" s="221"/>
      <c r="J358" s="221"/>
      <c r="K358" s="221"/>
      <c r="L358" s="221"/>
      <c r="M358" s="221"/>
      <c r="N358" s="221"/>
      <c r="O358" s="221"/>
      <c r="P358" s="221"/>
      <c r="Q358" s="244"/>
      <c r="R358" s="650"/>
      <c r="S358" s="226"/>
      <c r="T358" s="135"/>
      <c r="U358" s="2298" t="s">
        <v>11</v>
      </c>
      <c r="V358" s="1618" t="s">
        <v>68</v>
      </c>
      <c r="W358" s="1616">
        <v>570102</v>
      </c>
      <c r="X358" s="1568" t="s">
        <v>13</v>
      </c>
      <c r="Y358" s="1568" t="s">
        <v>14</v>
      </c>
      <c r="Z358" s="1619">
        <f>SUM(AB83,AB108)</f>
        <v>5949.9840000000004</v>
      </c>
      <c r="AA358" s="688"/>
      <c r="AB358" s="221"/>
      <c r="AC358" s="221"/>
      <c r="AD358" s="221"/>
      <c r="AE358" s="221"/>
      <c r="AF358" s="221"/>
      <c r="AG358" s="221"/>
      <c r="AH358" s="221"/>
      <c r="AI358" s="221"/>
    </row>
    <row r="359" spans="1:35" ht="16.5" customHeight="1">
      <c r="A359" s="298"/>
      <c r="B359" s="298"/>
      <c r="C359" s="298"/>
      <c r="D359" s="298"/>
      <c r="E359" s="298"/>
      <c r="F359" s="298"/>
      <c r="G359" s="298"/>
      <c r="H359" s="298"/>
      <c r="I359" s="298"/>
      <c r="J359" s="298"/>
      <c r="K359" s="298"/>
      <c r="L359" s="298"/>
      <c r="M359" s="298"/>
      <c r="N359" s="298"/>
      <c r="O359" s="298"/>
      <c r="P359" s="298"/>
      <c r="Q359" s="686"/>
      <c r="R359" s="657"/>
      <c r="S359" s="687"/>
      <c r="U359" s="2301" t="s">
        <v>11</v>
      </c>
      <c r="V359" s="2302" t="s">
        <v>156</v>
      </c>
      <c r="W359" s="2306">
        <v>531002</v>
      </c>
      <c r="X359" s="2307" t="s">
        <v>13</v>
      </c>
      <c r="Y359" s="2307" t="s">
        <v>18</v>
      </c>
      <c r="Z359" s="2312">
        <f>SUM(AB87)</f>
        <v>2340.5984000000003</v>
      </c>
      <c r="AA359" s="688"/>
      <c r="AB359" s="298"/>
      <c r="AC359" s="298"/>
      <c r="AD359" s="298"/>
      <c r="AE359" s="298"/>
      <c r="AF359" s="298"/>
      <c r="AG359" s="298"/>
      <c r="AH359" s="298"/>
      <c r="AI359" s="298"/>
    </row>
    <row r="360" spans="1:35" ht="16.5" customHeight="1">
      <c r="A360" s="298"/>
      <c r="B360" s="298"/>
      <c r="C360" s="298"/>
      <c r="D360" s="298"/>
      <c r="E360" s="298"/>
      <c r="F360" s="298"/>
      <c r="G360" s="298"/>
      <c r="H360" s="298"/>
      <c r="I360" s="298"/>
      <c r="J360" s="298"/>
      <c r="K360" s="298"/>
      <c r="L360" s="298"/>
      <c r="M360" s="298"/>
      <c r="N360" s="298"/>
      <c r="O360" s="298"/>
      <c r="P360" s="298"/>
      <c r="Q360" s="686"/>
      <c r="R360" s="657"/>
      <c r="S360" s="687"/>
      <c r="U360" s="2301" t="s">
        <v>11</v>
      </c>
      <c r="V360" s="2302" t="s">
        <v>24</v>
      </c>
      <c r="W360" s="2306">
        <v>531404</v>
      </c>
      <c r="X360" s="2307" t="s">
        <v>13</v>
      </c>
      <c r="Y360" s="2307" t="s">
        <v>14</v>
      </c>
      <c r="Z360" s="2312">
        <f>SUM(AB91)</f>
        <v>750.22080000000005</v>
      </c>
      <c r="AA360" s="688"/>
      <c r="AB360" s="298"/>
      <c r="AC360" s="298"/>
      <c r="AD360" s="298"/>
      <c r="AE360" s="298"/>
      <c r="AF360" s="298"/>
      <c r="AG360" s="298"/>
      <c r="AH360" s="298"/>
      <c r="AI360" s="298"/>
    </row>
    <row r="361" spans="1:35" ht="16.5" customHeight="1">
      <c r="A361" s="298"/>
      <c r="B361" s="298"/>
      <c r="C361" s="298"/>
      <c r="D361" s="298"/>
      <c r="E361" s="298"/>
      <c r="F361" s="298"/>
      <c r="G361" s="298"/>
      <c r="H361" s="298"/>
      <c r="I361" s="298"/>
      <c r="J361" s="298"/>
      <c r="K361" s="298"/>
      <c r="L361" s="298"/>
      <c r="M361" s="298"/>
      <c r="N361" s="298"/>
      <c r="O361" s="298"/>
      <c r="P361" s="298"/>
      <c r="Q361" s="686"/>
      <c r="R361" s="657"/>
      <c r="S361" s="687"/>
      <c r="U361" s="2301" t="s">
        <v>11</v>
      </c>
      <c r="V361" s="2302" t="s">
        <v>157</v>
      </c>
      <c r="W361" s="2306">
        <v>530813</v>
      </c>
      <c r="X361" s="2307" t="s">
        <v>13</v>
      </c>
      <c r="Y361" s="2307" t="s">
        <v>14</v>
      </c>
      <c r="Z361" s="2312">
        <f>SUM(AB99,AB294)</f>
        <v>2898.7200000000003</v>
      </c>
      <c r="AA361" s="688"/>
      <c r="AB361" s="298"/>
      <c r="AC361" s="298"/>
      <c r="AD361" s="298"/>
      <c r="AE361" s="298"/>
      <c r="AF361" s="298"/>
      <c r="AG361" s="298"/>
      <c r="AH361" s="298"/>
      <c r="AI361" s="298"/>
    </row>
    <row r="362" spans="1:35" ht="16.5" customHeight="1">
      <c r="A362" s="298"/>
      <c r="B362" s="298"/>
      <c r="C362" s="298"/>
      <c r="D362" s="298"/>
      <c r="E362" s="298"/>
      <c r="F362" s="298"/>
      <c r="G362" s="298"/>
      <c r="H362" s="298"/>
      <c r="I362" s="298"/>
      <c r="J362" s="298"/>
      <c r="K362" s="298"/>
      <c r="L362" s="298"/>
      <c r="M362" s="298"/>
      <c r="N362" s="298"/>
      <c r="O362" s="298"/>
      <c r="P362" s="298"/>
      <c r="Q362" s="686"/>
      <c r="R362" s="657"/>
      <c r="S362" s="687"/>
      <c r="U362" s="2301" t="s">
        <v>11</v>
      </c>
      <c r="V362" s="2302" t="s">
        <v>79</v>
      </c>
      <c r="W362" s="2306">
        <v>530301</v>
      </c>
      <c r="X362" s="2307" t="s">
        <v>13</v>
      </c>
      <c r="Y362" s="2307" t="s">
        <v>30</v>
      </c>
      <c r="Z362" s="2312">
        <f>SUM(AB127)</f>
        <v>6000</v>
      </c>
      <c r="AA362" s="688"/>
      <c r="AB362" s="298"/>
      <c r="AC362" s="298"/>
      <c r="AD362" s="298"/>
      <c r="AE362" s="298"/>
      <c r="AF362" s="298"/>
      <c r="AG362" s="298"/>
      <c r="AH362" s="298"/>
      <c r="AI362" s="298"/>
    </row>
    <row r="363" spans="1:35" ht="16.5" customHeight="1">
      <c r="A363" s="298"/>
      <c r="B363" s="298"/>
      <c r="C363" s="298"/>
      <c r="D363" s="298"/>
      <c r="E363" s="298"/>
      <c r="F363" s="298"/>
      <c r="G363" s="298"/>
      <c r="H363" s="298"/>
      <c r="I363" s="298"/>
      <c r="J363" s="298"/>
      <c r="K363" s="298"/>
      <c r="L363" s="298"/>
      <c r="M363" s="298"/>
      <c r="N363" s="298"/>
      <c r="O363" s="298"/>
      <c r="P363" s="298"/>
      <c r="Q363" s="686"/>
      <c r="R363" s="657"/>
      <c r="S363" s="687"/>
      <c r="U363" s="2301" t="s">
        <v>11</v>
      </c>
      <c r="V363" s="2302" t="s">
        <v>158</v>
      </c>
      <c r="W363" s="2306">
        <v>530302</v>
      </c>
      <c r="X363" s="2307" t="s">
        <v>13</v>
      </c>
      <c r="Y363" s="2307" t="s">
        <v>30</v>
      </c>
      <c r="Z363" s="2312">
        <f>SUM(AB131)</f>
        <v>4000</v>
      </c>
      <c r="AA363" s="688"/>
      <c r="AB363" s="298"/>
      <c r="AC363" s="298"/>
      <c r="AD363" s="298"/>
      <c r="AE363" s="298"/>
      <c r="AF363" s="298"/>
      <c r="AG363" s="298"/>
      <c r="AH363" s="298"/>
      <c r="AI363" s="298"/>
    </row>
    <row r="364" spans="1:35" ht="16.5" customHeight="1">
      <c r="A364" s="298"/>
      <c r="B364" s="298"/>
      <c r="C364" s="298"/>
      <c r="D364" s="298"/>
      <c r="E364" s="298"/>
      <c r="F364" s="298"/>
      <c r="G364" s="298"/>
      <c r="H364" s="298"/>
      <c r="I364" s="298"/>
      <c r="J364" s="298"/>
      <c r="K364" s="298"/>
      <c r="L364" s="298"/>
      <c r="M364" s="298"/>
      <c r="N364" s="298"/>
      <c r="O364" s="298"/>
      <c r="P364" s="298"/>
      <c r="Q364" s="686"/>
      <c r="R364" s="657"/>
      <c r="S364" s="687"/>
      <c r="U364" s="2301" t="s">
        <v>11</v>
      </c>
      <c r="V364" s="2302" t="s">
        <v>70</v>
      </c>
      <c r="W364" s="2306">
        <v>530303</v>
      </c>
      <c r="X364" s="2307" t="s">
        <v>13</v>
      </c>
      <c r="Y364" s="2307" t="s">
        <v>30</v>
      </c>
      <c r="Z364" s="2312">
        <f>SUM(AB135)</f>
        <v>10000</v>
      </c>
      <c r="AA364" s="688"/>
      <c r="AB364" s="298"/>
      <c r="AC364" s="298"/>
      <c r="AD364" s="298"/>
      <c r="AE364" s="298"/>
      <c r="AF364" s="298"/>
      <c r="AG364" s="298"/>
      <c r="AH364" s="298"/>
      <c r="AI364" s="298"/>
    </row>
    <row r="365" spans="1:35" ht="16.5" customHeight="1">
      <c r="A365" s="298"/>
      <c r="B365" s="298"/>
      <c r="C365" s="298"/>
      <c r="D365" s="298"/>
      <c r="E365" s="298"/>
      <c r="F365" s="298"/>
      <c r="G365" s="298"/>
      <c r="H365" s="298"/>
      <c r="I365" s="298"/>
      <c r="J365" s="298"/>
      <c r="K365" s="298"/>
      <c r="L365" s="298"/>
      <c r="M365" s="298"/>
      <c r="N365" s="298"/>
      <c r="O365" s="298"/>
      <c r="P365" s="298"/>
      <c r="Q365" s="686"/>
      <c r="R365" s="657"/>
      <c r="S365" s="687"/>
      <c r="U365" s="2298" t="s">
        <v>11</v>
      </c>
      <c r="V365" s="1618" t="s">
        <v>22</v>
      </c>
      <c r="W365" s="1616">
        <v>840103</v>
      </c>
      <c r="X365" s="1568" t="s">
        <v>13</v>
      </c>
      <c r="Y365" s="1568" t="s">
        <v>14</v>
      </c>
      <c r="Z365" s="1619">
        <f>SUM(AB155,AB176)</f>
        <v>1176</v>
      </c>
      <c r="AA365" s="688"/>
      <c r="AB365" s="298"/>
      <c r="AC365" s="298"/>
      <c r="AD365" s="298"/>
      <c r="AE365" s="298"/>
      <c r="AF365" s="298"/>
      <c r="AG365" s="298"/>
      <c r="AH365" s="298"/>
      <c r="AI365" s="298"/>
    </row>
    <row r="366" spans="1:35" ht="33">
      <c r="A366" s="298"/>
      <c r="B366" s="298"/>
      <c r="C366" s="298"/>
      <c r="D366" s="298"/>
      <c r="E366" s="298"/>
      <c r="F366" s="298"/>
      <c r="G366" s="298"/>
      <c r="H366" s="298"/>
      <c r="I366" s="298"/>
      <c r="J366" s="298"/>
      <c r="K366" s="298"/>
      <c r="L366" s="298"/>
      <c r="M366" s="298"/>
      <c r="N366" s="298"/>
      <c r="O366" s="298"/>
      <c r="P366" s="298"/>
      <c r="Q366" s="686"/>
      <c r="R366" s="657"/>
      <c r="S366" s="658"/>
      <c r="U366" s="3896" t="s">
        <v>39</v>
      </c>
      <c r="V366" s="2292" t="s">
        <v>24</v>
      </c>
      <c r="W366" s="1616">
        <v>840104</v>
      </c>
      <c r="X366" s="1568" t="s">
        <v>13</v>
      </c>
      <c r="Y366" s="1568" t="s">
        <v>14</v>
      </c>
      <c r="Z366" s="1619">
        <f>SUM(AB232,AB276)</f>
        <v>4016.0064000000002</v>
      </c>
      <c r="AA366" s="688"/>
      <c r="AB366" s="298"/>
      <c r="AC366" s="298"/>
      <c r="AD366" s="298"/>
      <c r="AE366" s="298"/>
      <c r="AF366" s="298"/>
      <c r="AG366" s="298"/>
      <c r="AH366" s="298"/>
      <c r="AI366" s="298"/>
    </row>
    <row r="367" spans="1:35" ht="51.75" customHeight="1">
      <c r="A367" s="298"/>
      <c r="B367" s="298"/>
      <c r="C367" s="298"/>
      <c r="D367" s="298"/>
      <c r="E367" s="298"/>
      <c r="F367" s="298"/>
      <c r="G367" s="298"/>
      <c r="H367" s="298"/>
      <c r="I367" s="298"/>
      <c r="J367" s="298"/>
      <c r="K367" s="298"/>
      <c r="L367" s="298"/>
      <c r="M367" s="298"/>
      <c r="N367" s="298"/>
      <c r="O367" s="298"/>
      <c r="P367" s="298"/>
      <c r="Q367" s="686"/>
      <c r="R367" s="657"/>
      <c r="S367" s="687"/>
      <c r="U367" s="2301" t="s">
        <v>11</v>
      </c>
      <c r="V367" s="2302" t="s">
        <v>83</v>
      </c>
      <c r="W367" s="2306">
        <v>530811</v>
      </c>
      <c r="X367" s="2307" t="s">
        <v>13</v>
      </c>
      <c r="Y367" s="2307" t="s">
        <v>14</v>
      </c>
      <c r="Z367" s="2312">
        <f>SUM(AB236,AB289)</f>
        <v>20024.64</v>
      </c>
      <c r="AA367" s="688"/>
      <c r="AB367" s="298"/>
      <c r="AC367" s="298"/>
      <c r="AD367" s="298"/>
      <c r="AE367" s="298"/>
      <c r="AF367" s="298"/>
      <c r="AG367" s="298"/>
      <c r="AH367" s="298"/>
      <c r="AI367" s="298"/>
    </row>
    <row r="368" spans="1:35" ht="16.5" customHeight="1">
      <c r="A368" s="298"/>
      <c r="B368" s="298"/>
      <c r="C368" s="298"/>
      <c r="D368" s="298"/>
      <c r="E368" s="298"/>
      <c r="F368" s="298"/>
      <c r="G368" s="298"/>
      <c r="H368" s="298"/>
      <c r="I368" s="298"/>
      <c r="J368" s="298"/>
      <c r="K368" s="298"/>
      <c r="L368" s="298"/>
      <c r="M368" s="298"/>
      <c r="N368" s="298"/>
      <c r="O368" s="298"/>
      <c r="P368" s="298"/>
      <c r="Q368" s="686"/>
      <c r="R368" s="657"/>
      <c r="S368" s="658"/>
      <c r="U368" s="2301" t="s">
        <v>11</v>
      </c>
      <c r="V368" s="2302" t="s">
        <v>16</v>
      </c>
      <c r="W368" s="2306">
        <v>530402</v>
      </c>
      <c r="X368" s="2307" t="s">
        <v>13</v>
      </c>
      <c r="Y368" s="2307" t="s">
        <v>18</v>
      </c>
      <c r="Z368" s="2312">
        <f>SUM(AB271)</f>
        <v>70560</v>
      </c>
      <c r="AA368" s="688"/>
      <c r="AB368" s="298"/>
      <c r="AC368" s="298"/>
      <c r="AD368" s="298"/>
      <c r="AE368" s="298"/>
      <c r="AF368" s="298"/>
      <c r="AG368" s="298"/>
      <c r="AH368" s="298"/>
      <c r="AI368" s="298"/>
    </row>
    <row r="369" spans="1:35" ht="33">
      <c r="A369" s="298"/>
      <c r="B369" s="298"/>
      <c r="C369" s="298"/>
      <c r="D369" s="298"/>
      <c r="E369" s="298"/>
      <c r="F369" s="298"/>
      <c r="G369" s="298"/>
      <c r="H369" s="298"/>
      <c r="I369" s="298"/>
      <c r="J369" s="298"/>
      <c r="K369" s="298"/>
      <c r="L369" s="298"/>
      <c r="M369" s="298"/>
      <c r="N369" s="298"/>
      <c r="O369" s="298"/>
      <c r="P369" s="298"/>
      <c r="Q369" s="686"/>
      <c r="R369" s="657"/>
      <c r="S369" s="658"/>
      <c r="U369" s="2301" t="s">
        <v>11</v>
      </c>
      <c r="V369" s="2302" t="s">
        <v>1462</v>
      </c>
      <c r="W369" s="2306">
        <v>530404</v>
      </c>
      <c r="X369" s="2307" t="s">
        <v>13</v>
      </c>
      <c r="Y369" s="2307" t="s">
        <v>18</v>
      </c>
      <c r="Z369" s="2312">
        <f>SUM(AB281)-9200</f>
        <v>16300.003199999999</v>
      </c>
      <c r="AA369" s="688"/>
      <c r="AB369" s="298"/>
      <c r="AC369" s="298"/>
      <c r="AD369" s="298"/>
      <c r="AE369" s="298"/>
      <c r="AF369" s="298"/>
      <c r="AG369" s="298"/>
      <c r="AH369" s="298"/>
      <c r="AI369" s="298"/>
    </row>
    <row r="370" spans="1:35" ht="33">
      <c r="A370" s="298"/>
      <c r="B370" s="298"/>
      <c r="C370" s="298"/>
      <c r="D370" s="298"/>
      <c r="E370" s="298"/>
      <c r="F370" s="298"/>
      <c r="G370" s="298"/>
      <c r="H370" s="298"/>
      <c r="I370" s="298"/>
      <c r="J370" s="298"/>
      <c r="K370" s="298"/>
      <c r="L370" s="298"/>
      <c r="M370" s="298"/>
      <c r="N370" s="298"/>
      <c r="O370" s="298"/>
      <c r="P370" s="298"/>
      <c r="Q370" s="686"/>
      <c r="R370" s="657"/>
      <c r="S370" s="658"/>
      <c r="U370" s="3897" t="s">
        <v>39</v>
      </c>
      <c r="V370" s="2302" t="s">
        <v>1462</v>
      </c>
      <c r="W370" s="2306">
        <v>530404</v>
      </c>
      <c r="X370" s="2307" t="s">
        <v>13</v>
      </c>
      <c r="Y370" s="2307" t="s">
        <v>18</v>
      </c>
      <c r="Z370" s="2312">
        <f>SUM(AB281)-16300</f>
        <v>9200.0031999999992</v>
      </c>
      <c r="AA370" s="298"/>
      <c r="AB370" s="298"/>
      <c r="AC370" s="298"/>
      <c r="AD370" s="298"/>
      <c r="AE370" s="298"/>
      <c r="AF370" s="298"/>
      <c r="AG370" s="298"/>
      <c r="AH370" s="298"/>
      <c r="AI370" s="298"/>
    </row>
    <row r="371" spans="1:35" ht="16.5" customHeight="1" thickBot="1">
      <c r="A371" s="298"/>
      <c r="B371" s="298"/>
      <c r="C371" s="298"/>
      <c r="D371" s="298"/>
      <c r="E371" s="298"/>
      <c r="F371" s="298"/>
      <c r="G371" s="298"/>
      <c r="H371" s="298"/>
      <c r="I371" s="298"/>
      <c r="J371" s="298"/>
      <c r="K371" s="298"/>
      <c r="L371" s="298"/>
      <c r="M371" s="298"/>
      <c r="N371" s="298"/>
      <c r="O371" s="298"/>
      <c r="P371" s="298"/>
      <c r="Q371" s="686"/>
      <c r="R371" s="657"/>
      <c r="S371" s="658"/>
      <c r="U371" s="2303" t="s">
        <v>11</v>
      </c>
      <c r="V371" s="2314" t="s">
        <v>3931</v>
      </c>
      <c r="W371" s="2308">
        <v>531601</v>
      </c>
      <c r="X371" s="2309" t="s">
        <v>13</v>
      </c>
      <c r="Y371" s="2309" t="s">
        <v>30</v>
      </c>
      <c r="Z371" s="2313">
        <f>SUM(AB299)</f>
        <v>3599.9999999999995</v>
      </c>
      <c r="AA371" s="298"/>
      <c r="AB371" s="298"/>
      <c r="AC371" s="298"/>
      <c r="AD371" s="298"/>
      <c r="AE371" s="298"/>
      <c r="AF371" s="298"/>
      <c r="AG371" s="298"/>
      <c r="AH371" s="298"/>
      <c r="AI371" s="298"/>
    </row>
    <row r="372" spans="1:35" ht="16.5" customHeight="1" thickBot="1">
      <c r="A372" s="221"/>
      <c r="B372" s="221"/>
      <c r="C372" s="221"/>
      <c r="D372" s="221"/>
      <c r="E372" s="221"/>
      <c r="F372" s="221"/>
      <c r="G372" s="221"/>
      <c r="H372" s="221"/>
      <c r="I372" s="221"/>
      <c r="J372" s="221"/>
      <c r="K372" s="221"/>
      <c r="L372" s="221"/>
      <c r="M372" s="221"/>
      <c r="N372" s="221"/>
      <c r="O372" s="221"/>
      <c r="P372" s="221"/>
      <c r="Q372" s="225"/>
      <c r="R372" s="225"/>
      <c r="S372" s="225"/>
      <c r="T372" s="692"/>
      <c r="U372" s="690"/>
      <c r="V372" s="2269" t="s">
        <v>183</v>
      </c>
      <c r="W372" s="691"/>
      <c r="X372" s="691"/>
      <c r="Y372" s="2246" t="s">
        <v>340</v>
      </c>
      <c r="Z372" s="2310">
        <f>SUM(Z345:Z371)</f>
        <v>932747.30200000014</v>
      </c>
      <c r="AA372" s="221"/>
      <c r="AB372" s="221"/>
      <c r="AC372" s="221"/>
      <c r="AD372" s="221"/>
      <c r="AE372" s="221"/>
      <c r="AF372" s="221"/>
      <c r="AG372" s="221"/>
      <c r="AH372" s="221"/>
      <c r="AI372" s="221"/>
    </row>
    <row r="373" spans="1:35" ht="16.5" customHeight="1" thickTop="1">
      <c r="A373" s="221"/>
      <c r="B373" s="221"/>
      <c r="C373" s="221"/>
      <c r="D373" s="221"/>
      <c r="E373" s="221"/>
      <c r="F373" s="221"/>
      <c r="G373" s="221"/>
      <c r="H373" s="221"/>
      <c r="I373" s="221"/>
      <c r="J373" s="221"/>
      <c r="K373" s="221"/>
      <c r="L373" s="221"/>
      <c r="M373" s="221"/>
      <c r="N373" s="221"/>
      <c r="O373" s="221"/>
      <c r="P373" s="221"/>
      <c r="Q373" s="221"/>
      <c r="R373" s="221"/>
      <c r="S373" s="221"/>
      <c r="T373" s="221"/>
      <c r="U373" s="222"/>
      <c r="V373" s="550"/>
      <c r="W373" s="693"/>
      <c r="X373" s="221"/>
      <c r="Y373" s="221"/>
      <c r="Z373" s="694"/>
      <c r="AA373" s="221"/>
      <c r="AB373" s="221"/>
      <c r="AC373" s="221"/>
      <c r="AD373" s="221"/>
      <c r="AE373" s="221"/>
      <c r="AF373" s="221"/>
      <c r="AG373" s="221"/>
      <c r="AH373" s="221"/>
      <c r="AI373" s="221"/>
    </row>
    <row r="374" spans="1:35" ht="17.25" customHeight="1">
      <c r="A374" s="221"/>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34"/>
      <c r="AA374" s="221"/>
      <c r="AB374" s="221"/>
      <c r="AC374" s="221"/>
      <c r="AD374" s="221"/>
      <c r="AE374" s="221"/>
      <c r="AF374" s="221"/>
      <c r="AG374" s="221"/>
      <c r="AH374" s="221"/>
      <c r="AI374" s="221"/>
    </row>
    <row r="375" spans="1:35" ht="16.5" customHeight="1" thickBot="1">
      <c r="A375" s="221"/>
      <c r="B375" s="221"/>
      <c r="C375" s="221"/>
      <c r="D375" s="221"/>
      <c r="E375" s="221"/>
      <c r="F375" s="221"/>
      <c r="G375" s="221"/>
      <c r="H375" s="221"/>
      <c r="I375" s="221"/>
      <c r="J375" s="221"/>
      <c r="K375" s="221"/>
      <c r="L375" s="221"/>
      <c r="M375" s="221"/>
      <c r="N375" s="221"/>
      <c r="O375" s="221"/>
      <c r="P375" s="221"/>
      <c r="Q375" s="221"/>
      <c r="R375" s="221"/>
      <c r="S375" s="221"/>
      <c r="T375" s="221"/>
      <c r="U375" s="1"/>
      <c r="V375" s="1"/>
      <c r="W375" s="1"/>
      <c r="X375" s="1"/>
      <c r="Y375" s="1"/>
      <c r="Z375" s="1"/>
      <c r="AA375" s="1"/>
      <c r="AB375" s="1"/>
      <c r="AC375" s="221"/>
      <c r="AD375" s="221"/>
      <c r="AE375" s="221"/>
      <c r="AF375" s="221"/>
      <c r="AG375" s="221"/>
      <c r="AH375" s="221"/>
      <c r="AI375" s="221"/>
    </row>
    <row r="376" spans="1:35" ht="20.25" customHeight="1" thickTop="1">
      <c r="A376" s="221"/>
      <c r="B376" s="221"/>
      <c r="C376" s="221"/>
      <c r="D376" s="221"/>
      <c r="E376" s="221"/>
      <c r="F376" s="221"/>
      <c r="G376" s="221"/>
      <c r="H376" s="221"/>
      <c r="I376" s="221"/>
      <c r="J376" s="221"/>
      <c r="K376" s="221"/>
      <c r="L376" s="221"/>
      <c r="M376" s="221"/>
      <c r="N376" s="221"/>
      <c r="O376" s="221"/>
      <c r="P376" s="221"/>
      <c r="Q376" s="221"/>
      <c r="R376" s="221"/>
      <c r="S376" s="221"/>
      <c r="T376" s="221"/>
      <c r="U376" s="4303" t="s">
        <v>348</v>
      </c>
      <c r="V376" s="4304"/>
      <c r="W376" s="4305"/>
      <c r="X376" s="1"/>
      <c r="Y376" s="144" t="s">
        <v>349</v>
      </c>
      <c r="Z376" s="145" t="str">
        <f>IF(Z372=AB339,"OK","NO")</f>
        <v>OK</v>
      </c>
      <c r="AA376" s="1"/>
      <c r="AB376" s="1"/>
      <c r="AC376" s="586"/>
      <c r="AD376" s="586"/>
      <c r="AE376" s="221"/>
      <c r="AF376" s="221"/>
      <c r="AG376" s="221"/>
      <c r="AH376" s="221"/>
      <c r="AI376" s="221"/>
    </row>
    <row r="377" spans="1:35" ht="20.25" customHeight="1">
      <c r="A377" s="221"/>
      <c r="B377" s="221"/>
      <c r="C377" s="221"/>
      <c r="D377" s="221"/>
      <c r="E377" s="221"/>
      <c r="F377" s="221"/>
      <c r="G377" s="221"/>
      <c r="H377" s="221"/>
      <c r="I377" s="221"/>
      <c r="J377" s="221"/>
      <c r="K377" s="221"/>
      <c r="L377" s="221"/>
      <c r="M377" s="221"/>
      <c r="N377" s="221"/>
      <c r="O377" s="221"/>
      <c r="P377" s="221"/>
      <c r="Q377" s="221"/>
      <c r="R377" s="221"/>
      <c r="S377" s="221"/>
      <c r="T377" s="221"/>
      <c r="U377" s="4635" t="s">
        <v>3666</v>
      </c>
      <c r="V377" s="4636"/>
      <c r="W377" s="2379">
        <f>SUM(Z352,Z355,Z356,Z357,Z359,Z368,Z369,Z370)</f>
        <v>345108.64480000001</v>
      </c>
      <c r="X377" s="695"/>
      <c r="Y377" s="1"/>
      <c r="Z377" s="145" t="str">
        <f>IF(W381=AB339,"OK","NO")</f>
        <v>OK</v>
      </c>
      <c r="AA377" s="1"/>
      <c r="AB377" s="1"/>
      <c r="AC377" s="586"/>
      <c r="AD377" s="586"/>
      <c r="AE377" s="221"/>
      <c r="AF377" s="221"/>
      <c r="AG377" s="221"/>
      <c r="AH377" s="221"/>
      <c r="AI377" s="221"/>
    </row>
    <row r="378" spans="1:35" ht="20.25" customHeight="1">
      <c r="A378" s="221"/>
      <c r="B378" s="221"/>
      <c r="C378" s="221"/>
      <c r="D378" s="221"/>
      <c r="E378" s="221"/>
      <c r="F378" s="221"/>
      <c r="G378" s="221"/>
      <c r="H378" s="221"/>
      <c r="I378" s="221"/>
      <c r="J378" s="221"/>
      <c r="K378" s="221"/>
      <c r="L378" s="221"/>
      <c r="M378" s="221"/>
      <c r="N378" s="221"/>
      <c r="O378" s="221"/>
      <c r="P378" s="221"/>
      <c r="Q378" s="221"/>
      <c r="R378" s="221"/>
      <c r="S378" s="221"/>
      <c r="T378" s="221"/>
      <c r="U378" s="4637" t="s">
        <v>3667</v>
      </c>
      <c r="V378" s="4638"/>
      <c r="W378" s="2380">
        <f>SUM(Z348,Z349,Z350,Z351,Z353,Z362,Z363,Z364,Z371)</f>
        <v>236843.64</v>
      </c>
      <c r="X378" s="695"/>
      <c r="Y378" s="1"/>
      <c r="Z378" s="145" t="str">
        <f>IF(W391=AB339,"OK","NO")</f>
        <v>OK</v>
      </c>
      <c r="AA378" s="1"/>
      <c r="AB378" s="1"/>
      <c r="AC378" s="685"/>
      <c r="AD378" s="685"/>
      <c r="AE378" s="221"/>
      <c r="AF378" s="221"/>
      <c r="AG378" s="221"/>
      <c r="AH378" s="221"/>
      <c r="AI378" s="221"/>
    </row>
    <row r="379" spans="1:35" ht="20.25" customHeight="1">
      <c r="A379" s="221"/>
      <c r="B379" s="221"/>
      <c r="C379" s="221"/>
      <c r="D379" s="221"/>
      <c r="E379" s="221"/>
      <c r="F379" s="221"/>
      <c r="G379" s="221"/>
      <c r="H379" s="221"/>
      <c r="I379" s="221"/>
      <c r="J379" s="221"/>
      <c r="K379" s="221"/>
      <c r="L379" s="221"/>
      <c r="M379" s="221"/>
      <c r="N379" s="221"/>
      <c r="O379" s="221"/>
      <c r="P379" s="221"/>
      <c r="Q379" s="221"/>
      <c r="R379" s="221"/>
      <c r="S379" s="221"/>
      <c r="T379" s="221"/>
      <c r="U379" s="4637" t="s">
        <v>3669</v>
      </c>
      <c r="V379" s="4638"/>
      <c r="W379" s="2380">
        <f>SUM(Z354,Z358,Z360,Z361,Z365,Z366,Z367,Z345,Z346,Z347)</f>
        <v>350795.0172</v>
      </c>
      <c r="X379" s="695"/>
      <c r="Y379" s="695"/>
      <c r="Z379" s="145" t="str">
        <f>IF(Resumen!C364=AB339,"OK","NO")</f>
        <v>OK</v>
      </c>
      <c r="AA379" s="696"/>
      <c r="AB379" s="696"/>
      <c r="AC379" s="697"/>
      <c r="AD379" s="697"/>
      <c r="AE379" s="221"/>
      <c r="AF379" s="221"/>
      <c r="AG379" s="221"/>
      <c r="AH379" s="221"/>
      <c r="AI379" s="221"/>
    </row>
    <row r="380" spans="1:35" ht="20.25" customHeight="1">
      <c r="A380" s="221"/>
      <c r="B380" s="221"/>
      <c r="C380" s="221"/>
      <c r="D380" s="221"/>
      <c r="E380" s="221"/>
      <c r="F380" s="221"/>
      <c r="G380" s="221"/>
      <c r="H380" s="221"/>
      <c r="I380" s="221"/>
      <c r="J380" s="221"/>
      <c r="K380" s="221"/>
      <c r="L380" s="221"/>
      <c r="M380" s="221"/>
      <c r="N380" s="221"/>
      <c r="O380" s="221"/>
      <c r="P380" s="221"/>
      <c r="Q380" s="221"/>
      <c r="R380" s="221"/>
      <c r="S380" s="221"/>
      <c r="T380" s="221"/>
      <c r="U380" s="4637" t="s">
        <v>3668</v>
      </c>
      <c r="V380" s="4638"/>
      <c r="W380" s="2381">
        <v>0</v>
      </c>
      <c r="X380" s="695"/>
      <c r="Y380" s="695"/>
      <c r="Z380" s="1"/>
      <c r="AA380" s="696"/>
      <c r="AB380" s="696"/>
      <c r="AC380" s="697"/>
      <c r="AD380" s="697"/>
      <c r="AE380" s="221"/>
      <c r="AF380" s="221"/>
      <c r="AG380" s="221"/>
      <c r="AH380" s="221"/>
      <c r="AI380" s="221"/>
    </row>
    <row r="381" spans="1:35" ht="20.25" customHeight="1">
      <c r="A381" s="221"/>
      <c r="B381" s="221"/>
      <c r="C381" s="221"/>
      <c r="D381" s="221"/>
      <c r="E381" s="221"/>
      <c r="F381" s="221"/>
      <c r="G381" s="221"/>
      <c r="H381" s="221"/>
      <c r="I381" s="221"/>
      <c r="J381" s="221"/>
      <c r="K381" s="221"/>
      <c r="L381" s="221"/>
      <c r="M381" s="221"/>
      <c r="N381" s="221"/>
      <c r="O381" s="221"/>
      <c r="P381" s="221"/>
      <c r="Q381" s="221"/>
      <c r="R381" s="221"/>
      <c r="S381" s="221"/>
      <c r="T381" s="221"/>
      <c r="U381" s="5220" t="s">
        <v>183</v>
      </c>
      <c r="V381" s="5221"/>
      <c r="W381" s="2267">
        <f>SUM(W377:W380)</f>
        <v>932747.30200000003</v>
      </c>
      <c r="X381" s="695"/>
      <c r="Y381" s="695"/>
      <c r="Z381" s="1"/>
      <c r="AA381" s="696"/>
      <c r="AB381" s="696"/>
      <c r="AC381" s="697"/>
      <c r="AD381" s="697"/>
      <c r="AE381" s="221"/>
      <c r="AF381" s="221"/>
      <c r="AG381" s="221"/>
      <c r="AH381" s="221"/>
      <c r="AI381" s="221"/>
    </row>
    <row r="382" spans="1:35" ht="20.25" customHeight="1">
      <c r="A382" s="221"/>
      <c r="B382" s="221"/>
      <c r="C382" s="221"/>
      <c r="D382" s="221"/>
      <c r="E382" s="221"/>
      <c r="F382" s="221"/>
      <c r="G382" s="221"/>
      <c r="H382" s="221"/>
      <c r="I382" s="221"/>
      <c r="J382" s="221"/>
      <c r="K382" s="221"/>
      <c r="L382" s="221"/>
      <c r="M382" s="221"/>
      <c r="N382" s="221"/>
      <c r="O382" s="221"/>
      <c r="P382" s="221"/>
      <c r="Q382" s="221"/>
      <c r="R382" s="221"/>
      <c r="S382" s="221"/>
      <c r="T382" s="221"/>
      <c r="U382" s="4555" t="s">
        <v>350</v>
      </c>
      <c r="V382" s="4556"/>
      <c r="W382" s="4557"/>
      <c r="X382" s="698"/>
      <c r="Y382" s="698"/>
      <c r="Z382" s="1"/>
      <c r="AA382" s="696"/>
      <c r="AB382" s="696"/>
      <c r="AC382" s="697"/>
      <c r="AD382" s="697"/>
      <c r="AE382" s="221"/>
      <c r="AF382" s="221"/>
      <c r="AG382" s="221"/>
      <c r="AH382" s="221"/>
      <c r="AI382" s="221"/>
    </row>
    <row r="383" spans="1:35" ht="20.25" customHeight="1">
      <c r="A383" s="221"/>
      <c r="B383" s="221"/>
      <c r="C383" s="221"/>
      <c r="D383" s="221"/>
      <c r="E383" s="221"/>
      <c r="F383" s="221"/>
      <c r="G383" s="221"/>
      <c r="H383" s="221"/>
      <c r="I383" s="221"/>
      <c r="J383" s="221"/>
      <c r="K383" s="221"/>
      <c r="L383" s="221"/>
      <c r="M383" s="221"/>
      <c r="N383" s="221"/>
      <c r="O383" s="221"/>
      <c r="P383" s="221"/>
      <c r="Q383" s="221"/>
      <c r="R383" s="221"/>
      <c r="S383" s="221"/>
      <c r="T383" s="221"/>
      <c r="U383" s="4655" t="s">
        <v>3670</v>
      </c>
      <c r="V383" s="4636"/>
      <c r="W383" s="2379">
        <v>0</v>
      </c>
      <c r="X383" s="698"/>
      <c r="Y383" s="698"/>
      <c r="Z383" s="1"/>
      <c r="AA383" s="696"/>
      <c r="AB383" s="696"/>
      <c r="AC383" s="697"/>
      <c r="AD383" s="697"/>
      <c r="AE383" s="221"/>
      <c r="AF383" s="221"/>
      <c r="AG383" s="221"/>
      <c r="AH383" s="221"/>
      <c r="AI383" s="221"/>
    </row>
    <row r="384" spans="1:35" ht="20.25" customHeight="1">
      <c r="A384" s="221"/>
      <c r="B384" s="221"/>
      <c r="C384" s="221"/>
      <c r="D384" s="221"/>
      <c r="E384" s="221"/>
      <c r="F384" s="221"/>
      <c r="G384" s="221"/>
      <c r="H384" s="221"/>
      <c r="I384" s="221"/>
      <c r="J384" s="221"/>
      <c r="K384" s="221"/>
      <c r="L384" s="221"/>
      <c r="M384" s="221"/>
      <c r="N384" s="221"/>
      <c r="O384" s="221"/>
      <c r="P384" s="221"/>
      <c r="Q384" s="221"/>
      <c r="R384" s="221"/>
      <c r="S384" s="221"/>
      <c r="T384" s="221"/>
      <c r="U384" s="4639" t="s">
        <v>3671</v>
      </c>
      <c r="V384" s="4638"/>
      <c r="W384" s="2380">
        <f>SUM(Z345,Z346,Z347,Z349,Z350,Z351,Z352,Z355,Z356,Z357,Z359,Z360,Z361,Z362,Z363,Z364,Z367,Z368,Z369,Z371,Z370)</f>
        <v>737742.22560000012</v>
      </c>
      <c r="X384" s="698"/>
      <c r="Y384" s="698"/>
      <c r="Z384" s="1"/>
      <c r="AA384" s="696"/>
      <c r="AB384" s="696"/>
      <c r="AC384" s="697"/>
      <c r="AD384" s="697"/>
      <c r="AE384" s="221"/>
      <c r="AF384" s="221"/>
      <c r="AG384" s="221"/>
      <c r="AH384" s="221"/>
      <c r="AI384" s="221"/>
    </row>
    <row r="385" spans="1:35" ht="20.25" customHeight="1">
      <c r="A385" s="221"/>
      <c r="B385" s="221"/>
      <c r="C385" s="221"/>
      <c r="D385" s="221"/>
      <c r="E385" s="221"/>
      <c r="F385" s="221"/>
      <c r="G385" s="221"/>
      <c r="H385" s="221"/>
      <c r="I385" s="221"/>
      <c r="J385" s="221"/>
      <c r="K385" s="221"/>
      <c r="L385" s="221"/>
      <c r="M385" s="221"/>
      <c r="N385" s="221"/>
      <c r="O385" s="221"/>
      <c r="P385" s="221"/>
      <c r="Q385" s="221"/>
      <c r="R385" s="221"/>
      <c r="S385" s="221"/>
      <c r="T385" s="221"/>
      <c r="U385" s="4639" t="s">
        <v>3672</v>
      </c>
      <c r="V385" s="4638"/>
      <c r="W385" s="2380">
        <f>SUM(Z348,Z353,Z354,Z358)</f>
        <v>189813.07</v>
      </c>
      <c r="X385" s="699"/>
      <c r="Y385" s="699"/>
      <c r="Z385" s="1"/>
      <c r="AA385" s="696"/>
      <c r="AB385" s="696"/>
      <c r="AC385" s="697"/>
      <c r="AD385" s="697"/>
      <c r="AE385" s="221"/>
      <c r="AF385" s="221"/>
      <c r="AG385" s="221"/>
      <c r="AH385" s="221"/>
      <c r="AI385" s="221"/>
    </row>
    <row r="386" spans="1:35" ht="20.25" customHeight="1">
      <c r="A386" s="221"/>
      <c r="B386" s="221"/>
      <c r="C386" s="221"/>
      <c r="D386" s="221"/>
      <c r="E386" s="221"/>
      <c r="F386" s="221"/>
      <c r="G386" s="221"/>
      <c r="H386" s="221"/>
      <c r="I386" s="221"/>
      <c r="J386" s="221"/>
      <c r="K386" s="221"/>
      <c r="L386" s="221"/>
      <c r="M386" s="221"/>
      <c r="N386" s="221"/>
      <c r="O386" s="221"/>
      <c r="P386" s="221"/>
      <c r="Q386" s="221"/>
      <c r="R386" s="221"/>
      <c r="S386" s="221"/>
      <c r="T386" s="221"/>
      <c r="U386" s="4639" t="s">
        <v>3673</v>
      </c>
      <c r="V386" s="4638"/>
      <c r="W386" s="2380">
        <v>0</v>
      </c>
      <c r="X386" s="695"/>
      <c r="Y386" s="695"/>
      <c r="Z386" s="1"/>
      <c r="AA386" s="696"/>
      <c r="AB386" s="696"/>
      <c r="AC386" s="697"/>
      <c r="AD386" s="697"/>
      <c r="AE386" s="221"/>
      <c r="AF386" s="221"/>
      <c r="AG386" s="221"/>
      <c r="AH386" s="221"/>
      <c r="AI386" s="221"/>
    </row>
    <row r="387" spans="1:35" ht="20.25" customHeight="1">
      <c r="A387" s="221"/>
      <c r="B387" s="221"/>
      <c r="C387" s="221"/>
      <c r="D387" s="221"/>
      <c r="E387" s="221"/>
      <c r="F387" s="221"/>
      <c r="G387" s="221"/>
      <c r="H387" s="221"/>
      <c r="I387" s="221"/>
      <c r="J387" s="221"/>
      <c r="K387" s="221"/>
      <c r="L387" s="221"/>
      <c r="M387" s="221"/>
      <c r="N387" s="221"/>
      <c r="O387" s="221"/>
      <c r="P387" s="221"/>
      <c r="Q387" s="221"/>
      <c r="R387" s="221"/>
      <c r="S387" s="221"/>
      <c r="T387" s="221"/>
      <c r="U387" s="4639" t="s">
        <v>3674</v>
      </c>
      <c r="V387" s="4638"/>
      <c r="W387" s="2380">
        <v>0</v>
      </c>
      <c r="X387" s="700"/>
      <c r="Y387" s="700"/>
      <c r="Z387" s="1"/>
      <c r="AA387" s="696"/>
      <c r="AB387" s="696"/>
      <c r="AC387" s="697"/>
      <c r="AD387" s="697"/>
      <c r="AE387" s="221"/>
      <c r="AF387" s="221"/>
      <c r="AG387" s="221"/>
      <c r="AH387" s="221"/>
      <c r="AI387" s="221"/>
    </row>
    <row r="388" spans="1:35" ht="20.25" customHeight="1">
      <c r="A388" s="221"/>
      <c r="B388" s="221"/>
      <c r="C388" s="221"/>
      <c r="D388" s="221"/>
      <c r="E388" s="221"/>
      <c r="F388" s="221"/>
      <c r="G388" s="221"/>
      <c r="H388" s="221"/>
      <c r="I388" s="221"/>
      <c r="J388" s="221"/>
      <c r="K388" s="221"/>
      <c r="L388" s="221"/>
      <c r="M388" s="221"/>
      <c r="N388" s="221"/>
      <c r="O388" s="221"/>
      <c r="P388" s="221"/>
      <c r="Q388" s="221"/>
      <c r="R388" s="221"/>
      <c r="S388" s="221"/>
      <c r="T388" s="221"/>
      <c r="U388" s="4639" t="s">
        <v>3675</v>
      </c>
      <c r="V388" s="4638"/>
      <c r="W388" s="2380">
        <v>0</v>
      </c>
      <c r="X388" s="700"/>
      <c r="Y388" s="700"/>
      <c r="Z388" s="1"/>
      <c r="AA388" s="696"/>
      <c r="AB388" s="696"/>
      <c r="AC388" s="697"/>
      <c r="AD388" s="697"/>
      <c r="AE388" s="221"/>
      <c r="AF388" s="221"/>
      <c r="AG388" s="221"/>
      <c r="AH388" s="221"/>
      <c r="AI388" s="221"/>
    </row>
    <row r="389" spans="1:35" ht="20.25" customHeight="1">
      <c r="A389" s="221"/>
      <c r="B389" s="221"/>
      <c r="C389" s="221"/>
      <c r="D389" s="221"/>
      <c r="E389" s="221"/>
      <c r="F389" s="221"/>
      <c r="G389" s="221"/>
      <c r="H389" s="221"/>
      <c r="I389" s="221"/>
      <c r="J389" s="221"/>
      <c r="K389" s="221"/>
      <c r="L389" s="221"/>
      <c r="M389" s="221"/>
      <c r="N389" s="221"/>
      <c r="O389" s="221"/>
      <c r="P389" s="221"/>
      <c r="Q389" s="221"/>
      <c r="R389" s="221"/>
      <c r="S389" s="221"/>
      <c r="T389" s="221"/>
      <c r="U389" s="4639" t="s">
        <v>3676</v>
      </c>
      <c r="V389" s="4638"/>
      <c r="W389" s="2380">
        <f>SUM(Z365,Z366)</f>
        <v>5192.0064000000002</v>
      </c>
      <c r="X389" s="700"/>
      <c r="Y389" s="700"/>
      <c r="Z389" s="1"/>
      <c r="AA389" s="696"/>
      <c r="AB389" s="696"/>
      <c r="AC389" s="702"/>
      <c r="AD389" s="702"/>
      <c r="AE389" s="221"/>
      <c r="AF389" s="221"/>
      <c r="AG389" s="221"/>
      <c r="AH389" s="221"/>
      <c r="AI389" s="221"/>
    </row>
    <row r="390" spans="1:35" ht="20.25" customHeight="1">
      <c r="A390" s="221"/>
      <c r="B390" s="221"/>
      <c r="C390" s="221"/>
      <c r="D390" s="221"/>
      <c r="E390" s="221"/>
      <c r="F390" s="221"/>
      <c r="G390" s="221"/>
      <c r="H390" s="221"/>
      <c r="I390" s="221"/>
      <c r="J390" s="221"/>
      <c r="K390" s="221"/>
      <c r="L390" s="221"/>
      <c r="M390" s="221"/>
      <c r="N390" s="221"/>
      <c r="O390" s="221"/>
      <c r="P390" s="221"/>
      <c r="Q390" s="221"/>
      <c r="R390" s="221"/>
      <c r="S390" s="221"/>
      <c r="T390" s="221"/>
      <c r="U390" s="4639" t="s">
        <v>3677</v>
      </c>
      <c r="V390" s="4638"/>
      <c r="W390" s="2381">
        <v>0</v>
      </c>
      <c r="X390" s="701"/>
      <c r="Y390" s="701"/>
      <c r="Z390" s="1"/>
      <c r="AA390" s="696"/>
      <c r="AB390" s="696"/>
      <c r="AC390" s="702"/>
      <c r="AD390" s="702"/>
      <c r="AE390" s="221"/>
      <c r="AF390" s="221"/>
      <c r="AG390" s="221"/>
      <c r="AH390" s="221"/>
      <c r="AI390" s="221"/>
    </row>
    <row r="391" spans="1:35" ht="15.75" customHeight="1" thickBot="1">
      <c r="U391" s="5218" t="s">
        <v>183</v>
      </c>
      <c r="V391" s="5219"/>
      <c r="W391" s="2268">
        <f>SUM(W383:W390)</f>
        <v>932747.30200000003</v>
      </c>
      <c r="X391" s="699"/>
      <c r="Y391" s="699"/>
      <c r="Z391" s="1"/>
    </row>
    <row r="392" spans="1:35" ht="15.75" customHeight="1" thickTop="1"/>
  </sheetData>
  <mergeCells count="986">
    <mergeCell ref="AF26:AF29"/>
    <mergeCell ref="A1:AF1"/>
    <mergeCell ref="A2:AF2"/>
    <mergeCell ref="A3:AF3"/>
    <mergeCell ref="A4:AF4"/>
    <mergeCell ref="AF9:AF13"/>
    <mergeCell ref="J9:J13"/>
    <mergeCell ref="K9:K13"/>
    <mergeCell ref="L9:L13"/>
    <mergeCell ref="M9:M13"/>
    <mergeCell ref="N9:N13"/>
    <mergeCell ref="O9:O13"/>
    <mergeCell ref="P9:P13"/>
    <mergeCell ref="L14:L25"/>
    <mergeCell ref="M14:M25"/>
    <mergeCell ref="AF14:AF25"/>
    <mergeCell ref="N14:N25"/>
    <mergeCell ref="O14:O25"/>
    <mergeCell ref="P14:P25"/>
    <mergeCell ref="Q14:Q25"/>
    <mergeCell ref="R14:R25"/>
    <mergeCell ref="Q26:Q29"/>
    <mergeCell ref="R26:R29"/>
    <mergeCell ref="Q9:Q13"/>
    <mergeCell ref="R9:R13"/>
    <mergeCell ref="Q63:Q66"/>
    <mergeCell ref="R63:R66"/>
    <mergeCell ref="J35:J57"/>
    <mergeCell ref="K35:K57"/>
    <mergeCell ref="L35:L57"/>
    <mergeCell ref="M35:M57"/>
    <mergeCell ref="N35:N57"/>
    <mergeCell ref="O35:O57"/>
    <mergeCell ref="P35:P57"/>
    <mergeCell ref="AF63:AF66"/>
    <mergeCell ref="J63:J66"/>
    <mergeCell ref="K63:K66"/>
    <mergeCell ref="L63:L66"/>
    <mergeCell ref="M63:M66"/>
    <mergeCell ref="N63:N66"/>
    <mergeCell ref="O63:O66"/>
    <mergeCell ref="P63:P66"/>
    <mergeCell ref="Q117:Q121"/>
    <mergeCell ref="R117:R121"/>
    <mergeCell ref="J117:J121"/>
    <mergeCell ref="K117:K121"/>
    <mergeCell ref="L117:L121"/>
    <mergeCell ref="M117:M121"/>
    <mergeCell ref="N117:N121"/>
    <mergeCell ref="O117:O121"/>
    <mergeCell ref="P117:P121"/>
    <mergeCell ref="N67:N70"/>
    <mergeCell ref="O67:O70"/>
    <mergeCell ref="P67:P70"/>
    <mergeCell ref="Q67:Q70"/>
    <mergeCell ref="R67:R70"/>
    <mergeCell ref="AF67:AF70"/>
    <mergeCell ref="Q99:Q103"/>
    <mergeCell ref="H122:H126"/>
    <mergeCell ref="I122:I126"/>
    <mergeCell ref="J122:J126"/>
    <mergeCell ref="K122:K126"/>
    <mergeCell ref="AF122:AF126"/>
    <mergeCell ref="AF127:AF138"/>
    <mergeCell ref="L122:L126"/>
    <mergeCell ref="M122:M126"/>
    <mergeCell ref="N122:N126"/>
    <mergeCell ref="O122:O126"/>
    <mergeCell ref="P122:P126"/>
    <mergeCell ref="Q122:Q126"/>
    <mergeCell ref="R122:R126"/>
    <mergeCell ref="P127:P138"/>
    <mergeCell ref="AF139:AF143"/>
    <mergeCell ref="S144:Z144"/>
    <mergeCell ref="AC144:AF144"/>
    <mergeCell ref="AF145:AF149"/>
    <mergeCell ref="AF150:AF154"/>
    <mergeCell ref="AF155:AF159"/>
    <mergeCell ref="AF160:AF164"/>
    <mergeCell ref="AF165:AF169"/>
    <mergeCell ref="AF170:AF174"/>
    <mergeCell ref="AF222:AF226"/>
    <mergeCell ref="AF227:AF231"/>
    <mergeCell ref="AF232:AF239"/>
    <mergeCell ref="AF240:AF244"/>
    <mergeCell ref="AF245:AF249"/>
    <mergeCell ref="AF250:AF254"/>
    <mergeCell ref="AF255:AF259"/>
    <mergeCell ref="S175:Z175"/>
    <mergeCell ref="AC175:AF175"/>
    <mergeCell ref="AF176:AF180"/>
    <mergeCell ref="AF216:AF220"/>
    <mergeCell ref="S221:Z221"/>
    <mergeCell ref="AC221:AF221"/>
    <mergeCell ref="AF181:AF185"/>
    <mergeCell ref="AF186:AF190"/>
    <mergeCell ref="AF191:AF195"/>
    <mergeCell ref="AF196:AF200"/>
    <mergeCell ref="AF201:AF205"/>
    <mergeCell ref="AF206:AF210"/>
    <mergeCell ref="AF211:AF215"/>
    <mergeCell ref="B145:B175"/>
    <mergeCell ref="C145:C149"/>
    <mergeCell ref="E145:E149"/>
    <mergeCell ref="F145:F149"/>
    <mergeCell ref="G145:G149"/>
    <mergeCell ref="H145:H149"/>
    <mergeCell ref="I145:I149"/>
    <mergeCell ref="C155:C159"/>
    <mergeCell ref="D155:D159"/>
    <mergeCell ref="C160:C164"/>
    <mergeCell ref="D160:D164"/>
    <mergeCell ref="C165:C169"/>
    <mergeCell ref="D165:D169"/>
    <mergeCell ref="C170:C174"/>
    <mergeCell ref="D170:D174"/>
    <mergeCell ref="C175:R175"/>
    <mergeCell ref="I150:I154"/>
    <mergeCell ref="L165:L169"/>
    <mergeCell ref="M165:M169"/>
    <mergeCell ref="N165:N169"/>
    <mergeCell ref="O165:O169"/>
    <mergeCell ref="P165:P169"/>
    <mergeCell ref="Q165:Q169"/>
    <mergeCell ref="R165:R169"/>
    <mergeCell ref="L191:L195"/>
    <mergeCell ref="M191:M195"/>
    <mergeCell ref="N191:N195"/>
    <mergeCell ref="O191:O195"/>
    <mergeCell ref="P191:P195"/>
    <mergeCell ref="Q191:Q195"/>
    <mergeCell ref="R191:R195"/>
    <mergeCell ref="E191:E195"/>
    <mergeCell ref="F191:F195"/>
    <mergeCell ref="G191:G195"/>
    <mergeCell ref="H191:H195"/>
    <mergeCell ref="I191:I195"/>
    <mergeCell ref="J191:J195"/>
    <mergeCell ref="K191:K195"/>
    <mergeCell ref="L196:L200"/>
    <mergeCell ref="M196:M200"/>
    <mergeCell ref="N196:N200"/>
    <mergeCell ref="O196:O200"/>
    <mergeCell ref="P196:P200"/>
    <mergeCell ref="Q196:Q200"/>
    <mergeCell ref="R196:R200"/>
    <mergeCell ref="E196:E200"/>
    <mergeCell ref="F196:F200"/>
    <mergeCell ref="G196:G200"/>
    <mergeCell ref="H196:H200"/>
    <mergeCell ref="I196:I200"/>
    <mergeCell ref="J196:J200"/>
    <mergeCell ref="K196:K200"/>
    <mergeCell ref="L201:L205"/>
    <mergeCell ref="M201:M205"/>
    <mergeCell ref="N201:N205"/>
    <mergeCell ref="O201:O205"/>
    <mergeCell ref="P201:P205"/>
    <mergeCell ref="Q201:Q205"/>
    <mergeCell ref="R201:R205"/>
    <mergeCell ref="E201:E205"/>
    <mergeCell ref="F201:F205"/>
    <mergeCell ref="G201:G205"/>
    <mergeCell ref="H201:H205"/>
    <mergeCell ref="I201:I205"/>
    <mergeCell ref="J201:J205"/>
    <mergeCell ref="K201:K205"/>
    <mergeCell ref="L206:L210"/>
    <mergeCell ref="M206:M210"/>
    <mergeCell ref="N206:N210"/>
    <mergeCell ref="O206:O210"/>
    <mergeCell ref="P206:P210"/>
    <mergeCell ref="Q206:Q210"/>
    <mergeCell ref="R206:R210"/>
    <mergeCell ref="E206:E210"/>
    <mergeCell ref="F206:F210"/>
    <mergeCell ref="G206:G210"/>
    <mergeCell ref="H206:H210"/>
    <mergeCell ref="I206:I210"/>
    <mergeCell ref="J206:J210"/>
    <mergeCell ref="K206:K210"/>
    <mergeCell ref="L211:L215"/>
    <mergeCell ref="M211:M215"/>
    <mergeCell ref="N211:N215"/>
    <mergeCell ref="O211:O215"/>
    <mergeCell ref="P211:P215"/>
    <mergeCell ref="Q211:Q215"/>
    <mergeCell ref="R211:R215"/>
    <mergeCell ref="E211:E215"/>
    <mergeCell ref="F211:F215"/>
    <mergeCell ref="G211:G215"/>
    <mergeCell ref="H211:H215"/>
    <mergeCell ref="I211:I215"/>
    <mergeCell ref="J211:J215"/>
    <mergeCell ref="K211:K215"/>
    <mergeCell ref="C222:C226"/>
    <mergeCell ref="D222:D226"/>
    <mergeCell ref="C227:C231"/>
    <mergeCell ref="D227:D231"/>
    <mergeCell ref="C232:C239"/>
    <mergeCell ref="D232:D239"/>
    <mergeCell ref="C240:C244"/>
    <mergeCell ref="D240:D244"/>
    <mergeCell ref="C245:C249"/>
    <mergeCell ref="D245:D249"/>
    <mergeCell ref="C35:C57"/>
    <mergeCell ref="D35:D57"/>
    <mergeCell ref="E35:E57"/>
    <mergeCell ref="F35:F57"/>
    <mergeCell ref="G35:G57"/>
    <mergeCell ref="H35:H57"/>
    <mergeCell ref="I35:I57"/>
    <mergeCell ref="Q35:Q57"/>
    <mergeCell ref="R35:R57"/>
    <mergeCell ref="AF30:AF34"/>
    <mergeCell ref="AF35:AF57"/>
    <mergeCell ref="AF58:AF62"/>
    <mergeCell ref="E14:E25"/>
    <mergeCell ref="F14:F25"/>
    <mergeCell ref="G14:G25"/>
    <mergeCell ref="H14:H25"/>
    <mergeCell ref="I14:I25"/>
    <mergeCell ref="J14:J25"/>
    <mergeCell ref="K14:K25"/>
    <mergeCell ref="J26:J29"/>
    <mergeCell ref="K26:K29"/>
    <mergeCell ref="L26:L29"/>
    <mergeCell ref="M26:M29"/>
    <mergeCell ref="N26:N29"/>
    <mergeCell ref="O26:O29"/>
    <mergeCell ref="P26:P29"/>
    <mergeCell ref="L30:L34"/>
    <mergeCell ref="M30:M34"/>
    <mergeCell ref="N30:N34"/>
    <mergeCell ref="O30:O34"/>
    <mergeCell ref="P30:P34"/>
    <mergeCell ref="Q30:Q34"/>
    <mergeCell ref="R30:R34"/>
    <mergeCell ref="C58:C62"/>
    <mergeCell ref="D58:D62"/>
    <mergeCell ref="E58:E62"/>
    <mergeCell ref="F58:F62"/>
    <mergeCell ref="G58:G62"/>
    <mergeCell ref="H58:H62"/>
    <mergeCell ref="I58:I62"/>
    <mergeCell ref="Q58:Q62"/>
    <mergeCell ref="R58:R62"/>
    <mergeCell ref="J58:J62"/>
    <mergeCell ref="K58:K62"/>
    <mergeCell ref="L58:L62"/>
    <mergeCell ref="M58:M62"/>
    <mergeCell ref="N58:N62"/>
    <mergeCell ref="O58:O62"/>
    <mergeCell ref="P58:P62"/>
    <mergeCell ref="C63:C66"/>
    <mergeCell ref="D63:D66"/>
    <mergeCell ref="E63:E66"/>
    <mergeCell ref="F63:F66"/>
    <mergeCell ref="G63:G66"/>
    <mergeCell ref="H63:H66"/>
    <mergeCell ref="I63:I66"/>
    <mergeCell ref="L67:L70"/>
    <mergeCell ref="M67:M70"/>
    <mergeCell ref="E67:E70"/>
    <mergeCell ref="F67:F70"/>
    <mergeCell ref="G67:G70"/>
    <mergeCell ref="H67:H70"/>
    <mergeCell ref="I67:I70"/>
    <mergeCell ref="J67:J70"/>
    <mergeCell ref="K67:K70"/>
    <mergeCell ref="C67:C70"/>
    <mergeCell ref="D67:D70"/>
    <mergeCell ref="AF71:AF78"/>
    <mergeCell ref="AF79:AF94"/>
    <mergeCell ref="L71:L78"/>
    <mergeCell ref="M71:M78"/>
    <mergeCell ref="N71:N78"/>
    <mergeCell ref="O71:O78"/>
    <mergeCell ref="P71:P78"/>
    <mergeCell ref="Q71:Q78"/>
    <mergeCell ref="R71:R78"/>
    <mergeCell ref="Q79:Q94"/>
    <mergeCell ref="R79:R94"/>
    <mergeCell ref="R99:R103"/>
    <mergeCell ref="AF99:AF103"/>
    <mergeCell ref="J99:J103"/>
    <mergeCell ref="K99:K103"/>
    <mergeCell ref="L99:L103"/>
    <mergeCell ref="M99:M103"/>
    <mergeCell ref="N99:N103"/>
    <mergeCell ref="O99:O103"/>
    <mergeCell ref="P99:P103"/>
    <mergeCell ref="K79:K94"/>
    <mergeCell ref="L79:L94"/>
    <mergeCell ref="M79:M94"/>
    <mergeCell ref="N79:N94"/>
    <mergeCell ref="O79:O94"/>
    <mergeCell ref="P79:P94"/>
    <mergeCell ref="C71:C78"/>
    <mergeCell ref="D71:D78"/>
    <mergeCell ref="C79:C94"/>
    <mergeCell ref="D79:D94"/>
    <mergeCell ref="E79:E94"/>
    <mergeCell ref="F79:F94"/>
    <mergeCell ref="G79:G94"/>
    <mergeCell ref="H79:H94"/>
    <mergeCell ref="I79:I94"/>
    <mergeCell ref="E71:E78"/>
    <mergeCell ref="F71:F78"/>
    <mergeCell ref="G71:G78"/>
    <mergeCell ref="H71:H78"/>
    <mergeCell ref="I71:I78"/>
    <mergeCell ref="J71:J78"/>
    <mergeCell ref="K71:K78"/>
    <mergeCell ref="C99:C103"/>
    <mergeCell ref="D99:D103"/>
    <mergeCell ref="E99:E103"/>
    <mergeCell ref="F99:F103"/>
    <mergeCell ref="G99:G103"/>
    <mergeCell ref="H99:H103"/>
    <mergeCell ref="I99:I103"/>
    <mergeCell ref="J95:J98"/>
    <mergeCell ref="K95:K98"/>
    <mergeCell ref="AF95:AF98"/>
    <mergeCell ref="AF104:AF111"/>
    <mergeCell ref="AF112:AF116"/>
    <mergeCell ref="AF117:AF121"/>
    <mergeCell ref="C95:C98"/>
    <mergeCell ref="D95:D98"/>
    <mergeCell ref="E95:E98"/>
    <mergeCell ref="F95:F98"/>
    <mergeCell ref="G95:G98"/>
    <mergeCell ref="H95:H98"/>
    <mergeCell ref="I95:I98"/>
    <mergeCell ref="C104:C111"/>
    <mergeCell ref="D104:D111"/>
    <mergeCell ref="E104:E111"/>
    <mergeCell ref="F104:F111"/>
    <mergeCell ref="G104:G111"/>
    <mergeCell ref="H104:H111"/>
    <mergeCell ref="I104:I111"/>
    <mergeCell ref="Q104:Q111"/>
    <mergeCell ref="R104:R111"/>
    <mergeCell ref="J104:J111"/>
    <mergeCell ref="K104:K111"/>
    <mergeCell ref="L104:L111"/>
    <mergeCell ref="M104:M111"/>
    <mergeCell ref="Q112:Q116"/>
    <mergeCell ref="R112:R116"/>
    <mergeCell ref="J112:J116"/>
    <mergeCell ref="K112:K116"/>
    <mergeCell ref="L112:L116"/>
    <mergeCell ref="M112:M116"/>
    <mergeCell ref="N112:N116"/>
    <mergeCell ref="O112:O116"/>
    <mergeCell ref="P112:P116"/>
    <mergeCell ref="P139:P143"/>
    <mergeCell ref="Q139:Q143"/>
    <mergeCell ref="R139:R143"/>
    <mergeCell ref="D145:D149"/>
    <mergeCell ref="C150:C154"/>
    <mergeCell ref="D150:D154"/>
    <mergeCell ref="C139:C143"/>
    <mergeCell ref="D139:D143"/>
    <mergeCell ref="E150:E154"/>
    <mergeCell ref="F150:F154"/>
    <mergeCell ref="G150:G154"/>
    <mergeCell ref="H150:H154"/>
    <mergeCell ref="E139:E143"/>
    <mergeCell ref="F139:F143"/>
    <mergeCell ref="G139:G143"/>
    <mergeCell ref="H139:H143"/>
    <mergeCell ref="I139:I143"/>
    <mergeCell ref="C144:R144"/>
    <mergeCell ref="P145:P149"/>
    <mergeCell ref="Q145:Q149"/>
    <mergeCell ref="R145:R149"/>
    <mergeCell ref="J145:J149"/>
    <mergeCell ref="K145:K149"/>
    <mergeCell ref="J139:J143"/>
    <mergeCell ref="D176:D180"/>
    <mergeCell ref="D181:D185"/>
    <mergeCell ref="D186:D190"/>
    <mergeCell ref="D191:D195"/>
    <mergeCell ref="D196:D200"/>
    <mergeCell ref="D201:D205"/>
    <mergeCell ref="C206:C210"/>
    <mergeCell ref="C211:C215"/>
    <mergeCell ref="B176:B221"/>
    <mergeCell ref="C176:C180"/>
    <mergeCell ref="C181:C185"/>
    <mergeCell ref="C186:C190"/>
    <mergeCell ref="C191:C195"/>
    <mergeCell ref="C196:C200"/>
    <mergeCell ref="C201:C205"/>
    <mergeCell ref="C216:C220"/>
    <mergeCell ref="D206:D210"/>
    <mergeCell ref="D211:D215"/>
    <mergeCell ref="C221:R221"/>
    <mergeCell ref="L216:L220"/>
    <mergeCell ref="M216:M220"/>
    <mergeCell ref="N216:N220"/>
    <mergeCell ref="O216:O220"/>
    <mergeCell ref="P216:P220"/>
    <mergeCell ref="E281:E288"/>
    <mergeCell ref="F281:F288"/>
    <mergeCell ref="G281:G288"/>
    <mergeCell ref="H281:H288"/>
    <mergeCell ref="I281:I288"/>
    <mergeCell ref="J281:J288"/>
    <mergeCell ref="K281:K288"/>
    <mergeCell ref="C250:C254"/>
    <mergeCell ref="D250:D254"/>
    <mergeCell ref="C255:C259"/>
    <mergeCell ref="D255:D259"/>
    <mergeCell ref="C260:C264"/>
    <mergeCell ref="D260:D264"/>
    <mergeCell ref="C265:C269"/>
    <mergeCell ref="D265:D269"/>
    <mergeCell ref="C270:R270"/>
    <mergeCell ref="L265:L269"/>
    <mergeCell ref="M265:M269"/>
    <mergeCell ref="N265:N269"/>
    <mergeCell ref="O265:O269"/>
    <mergeCell ref="P265:P269"/>
    <mergeCell ref="Q265:Q269"/>
    <mergeCell ref="R265:R269"/>
    <mergeCell ref="F265:F269"/>
    <mergeCell ref="M326:M331"/>
    <mergeCell ref="N326:N331"/>
    <mergeCell ref="O326:O331"/>
    <mergeCell ref="P326:P331"/>
    <mergeCell ref="Q326:Q331"/>
    <mergeCell ref="R326:R331"/>
    <mergeCell ref="M304:M308"/>
    <mergeCell ref="N304:N308"/>
    <mergeCell ref="O304:O308"/>
    <mergeCell ref="P304:P308"/>
    <mergeCell ref="R304:R308"/>
    <mergeCell ref="B9:B144"/>
    <mergeCell ref="B222:B270"/>
    <mergeCell ref="A9:A339"/>
    <mergeCell ref="C9:C13"/>
    <mergeCell ref="D9:D13"/>
    <mergeCell ref="D14:D25"/>
    <mergeCell ref="D216:D220"/>
    <mergeCell ref="D271:D275"/>
    <mergeCell ref="C276:C280"/>
    <mergeCell ref="D276:D280"/>
    <mergeCell ref="C281:C288"/>
    <mergeCell ref="D281:D288"/>
    <mergeCell ref="C289:C293"/>
    <mergeCell ref="D289:D293"/>
    <mergeCell ref="C294:C298"/>
    <mergeCell ref="D294:D298"/>
    <mergeCell ref="C299:C303"/>
    <mergeCell ref="D299:D303"/>
    <mergeCell ref="C304:C308"/>
    <mergeCell ref="D304:D308"/>
    <mergeCell ref="C309:C313"/>
    <mergeCell ref="D309:D313"/>
    <mergeCell ref="C314:C319"/>
    <mergeCell ref="D314:D319"/>
    <mergeCell ref="E9:E13"/>
    <mergeCell ref="F9:F13"/>
    <mergeCell ref="G9:G13"/>
    <mergeCell ref="H9:H13"/>
    <mergeCell ref="I9:I13"/>
    <mergeCell ref="C14:C25"/>
    <mergeCell ref="C26:C29"/>
    <mergeCell ref="E26:E29"/>
    <mergeCell ref="F26:F29"/>
    <mergeCell ref="G26:G29"/>
    <mergeCell ref="H26:H29"/>
    <mergeCell ref="I26:I29"/>
    <mergeCell ref="D26:D29"/>
    <mergeCell ref="C117:C121"/>
    <mergeCell ref="D117:D121"/>
    <mergeCell ref="E117:E121"/>
    <mergeCell ref="F117:F121"/>
    <mergeCell ref="G117:G121"/>
    <mergeCell ref="J30:J34"/>
    <mergeCell ref="K30:K34"/>
    <mergeCell ref="Q150:Q154"/>
    <mergeCell ref="R150:R154"/>
    <mergeCell ref="J150:J154"/>
    <mergeCell ref="K150:K154"/>
    <mergeCell ref="L150:L154"/>
    <mergeCell ref="M150:M154"/>
    <mergeCell ref="N150:N154"/>
    <mergeCell ref="O150:O154"/>
    <mergeCell ref="P150:P154"/>
    <mergeCell ref="Q127:Q138"/>
    <mergeCell ref="R127:R138"/>
    <mergeCell ref="N104:N111"/>
    <mergeCell ref="O104:O111"/>
    <mergeCell ref="P104:P111"/>
    <mergeCell ref="L95:L98"/>
    <mergeCell ref="M95:M98"/>
    <mergeCell ref="N95:N98"/>
    <mergeCell ref="O95:O98"/>
    <mergeCell ref="P95:P98"/>
    <mergeCell ref="Q95:Q98"/>
    <mergeCell ref="R95:R98"/>
    <mergeCell ref="J79:J94"/>
    <mergeCell ref="C30:C34"/>
    <mergeCell ref="D30:D34"/>
    <mergeCell ref="C127:C138"/>
    <mergeCell ref="D127:D138"/>
    <mergeCell ref="E127:E138"/>
    <mergeCell ref="F127:F138"/>
    <mergeCell ref="G127:G138"/>
    <mergeCell ref="H127:H138"/>
    <mergeCell ref="I127:I138"/>
    <mergeCell ref="C122:C126"/>
    <mergeCell ref="D122:D126"/>
    <mergeCell ref="E30:E34"/>
    <mergeCell ref="F30:F34"/>
    <mergeCell ref="G30:G34"/>
    <mergeCell ref="H30:H34"/>
    <mergeCell ref="I30:I34"/>
    <mergeCell ref="H117:H121"/>
    <mergeCell ref="I117:I121"/>
    <mergeCell ref="C112:C116"/>
    <mergeCell ref="D112:D116"/>
    <mergeCell ref="E112:E116"/>
    <mergeCell ref="F112:F116"/>
    <mergeCell ref="G112:G116"/>
    <mergeCell ref="H112:H116"/>
    <mergeCell ref="L145:L149"/>
    <mergeCell ref="M145:M149"/>
    <mergeCell ref="N145:N149"/>
    <mergeCell ref="O145:O149"/>
    <mergeCell ref="J127:J138"/>
    <mergeCell ref="K127:K138"/>
    <mergeCell ref="L127:L138"/>
    <mergeCell ref="M127:M138"/>
    <mergeCell ref="N127:N138"/>
    <mergeCell ref="O127:O138"/>
    <mergeCell ref="I112:I116"/>
    <mergeCell ref="K139:K143"/>
    <mergeCell ref="L139:L143"/>
    <mergeCell ref="M139:M143"/>
    <mergeCell ref="N139:N143"/>
    <mergeCell ref="O139:O143"/>
    <mergeCell ref="E122:E126"/>
    <mergeCell ref="F122:F126"/>
    <mergeCell ref="G122:G126"/>
    <mergeCell ref="E165:E169"/>
    <mergeCell ref="F165:F169"/>
    <mergeCell ref="G165:G169"/>
    <mergeCell ref="H165:H169"/>
    <mergeCell ref="I165:I169"/>
    <mergeCell ref="J165:J169"/>
    <mergeCell ref="K165:K169"/>
    <mergeCell ref="L176:L180"/>
    <mergeCell ref="M176:M180"/>
    <mergeCell ref="L170:L174"/>
    <mergeCell ref="M170:M174"/>
    <mergeCell ref="N176:N180"/>
    <mergeCell ref="O176:O180"/>
    <mergeCell ref="P176:P180"/>
    <mergeCell ref="Q176:Q180"/>
    <mergeCell ref="R176:R180"/>
    <mergeCell ref="E176:E180"/>
    <mergeCell ref="F176:F180"/>
    <mergeCell ref="G176:G180"/>
    <mergeCell ref="H176:H180"/>
    <mergeCell ref="I176:I180"/>
    <mergeCell ref="J176:J180"/>
    <mergeCell ref="K176:K180"/>
    <mergeCell ref="L181:L185"/>
    <mergeCell ref="M181:M185"/>
    <mergeCell ref="N181:N185"/>
    <mergeCell ref="O181:O185"/>
    <mergeCell ref="P181:P185"/>
    <mergeCell ref="Q181:Q185"/>
    <mergeCell ref="R181:R185"/>
    <mergeCell ref="E181:E185"/>
    <mergeCell ref="F181:F185"/>
    <mergeCell ref="G181:G185"/>
    <mergeCell ref="H181:H185"/>
    <mergeCell ref="I181:I185"/>
    <mergeCell ref="J181:J185"/>
    <mergeCell ref="K181:K185"/>
    <mergeCell ref="L186:L190"/>
    <mergeCell ref="M186:M190"/>
    <mergeCell ref="N186:N190"/>
    <mergeCell ref="O186:O190"/>
    <mergeCell ref="P186:P190"/>
    <mergeCell ref="Q186:Q190"/>
    <mergeCell ref="R186:R190"/>
    <mergeCell ref="E186:E190"/>
    <mergeCell ref="F186:F190"/>
    <mergeCell ref="G186:G190"/>
    <mergeCell ref="H186:H190"/>
    <mergeCell ref="I186:I190"/>
    <mergeCell ref="J186:J190"/>
    <mergeCell ref="K186:K190"/>
    <mergeCell ref="L155:L159"/>
    <mergeCell ref="M155:M159"/>
    <mergeCell ref="N155:N159"/>
    <mergeCell ref="O155:O159"/>
    <mergeCell ref="P155:P159"/>
    <mergeCell ref="Q155:Q159"/>
    <mergeCell ref="R155:R159"/>
    <mergeCell ref="E155:E159"/>
    <mergeCell ref="F155:F159"/>
    <mergeCell ref="G155:G159"/>
    <mergeCell ref="H155:H159"/>
    <mergeCell ref="I155:I159"/>
    <mergeCell ref="J155:J159"/>
    <mergeCell ref="K155:K159"/>
    <mergeCell ref="L160:L164"/>
    <mergeCell ref="M160:M164"/>
    <mergeCell ref="N160:N164"/>
    <mergeCell ref="O160:O164"/>
    <mergeCell ref="P160:P164"/>
    <mergeCell ref="Q160:Q164"/>
    <mergeCell ref="R160:R164"/>
    <mergeCell ref="E160:E164"/>
    <mergeCell ref="F160:F164"/>
    <mergeCell ref="G160:G164"/>
    <mergeCell ref="H160:H164"/>
    <mergeCell ref="I160:I164"/>
    <mergeCell ref="J160:J164"/>
    <mergeCell ref="K160:K164"/>
    <mergeCell ref="N170:N174"/>
    <mergeCell ref="O170:O174"/>
    <mergeCell ref="P170:P174"/>
    <mergeCell ref="Q170:Q174"/>
    <mergeCell ref="R170:R174"/>
    <mergeCell ref="E170:E174"/>
    <mergeCell ref="F170:F174"/>
    <mergeCell ref="G170:G174"/>
    <mergeCell ref="H170:H174"/>
    <mergeCell ref="I170:I174"/>
    <mergeCell ref="J170:J174"/>
    <mergeCell ref="K170:K174"/>
    <mergeCell ref="K222:K226"/>
    <mergeCell ref="L222:L226"/>
    <mergeCell ref="M222:M226"/>
    <mergeCell ref="N222:N226"/>
    <mergeCell ref="O222:O226"/>
    <mergeCell ref="P222:P226"/>
    <mergeCell ref="Q222:Q226"/>
    <mergeCell ref="R222:R226"/>
    <mergeCell ref="E216:E220"/>
    <mergeCell ref="E222:E226"/>
    <mergeCell ref="F222:F226"/>
    <mergeCell ref="G222:G226"/>
    <mergeCell ref="H222:H226"/>
    <mergeCell ref="I222:I226"/>
    <mergeCell ref="J222:J226"/>
    <mergeCell ref="Q216:Q220"/>
    <mergeCell ref="R216:R220"/>
    <mergeCell ref="F216:F220"/>
    <mergeCell ref="G216:G220"/>
    <mergeCell ref="H216:H220"/>
    <mergeCell ref="I216:I220"/>
    <mergeCell ref="J216:J220"/>
    <mergeCell ref="K216:K220"/>
    <mergeCell ref="L227:L231"/>
    <mergeCell ref="M227:M231"/>
    <mergeCell ref="N227:N231"/>
    <mergeCell ref="O227:O231"/>
    <mergeCell ref="P227:P231"/>
    <mergeCell ref="Q227:Q231"/>
    <mergeCell ref="R227:R231"/>
    <mergeCell ref="E227:E231"/>
    <mergeCell ref="F227:F231"/>
    <mergeCell ref="G227:G231"/>
    <mergeCell ref="H227:H231"/>
    <mergeCell ref="I227:I231"/>
    <mergeCell ref="J227:J231"/>
    <mergeCell ref="K227:K231"/>
    <mergeCell ref="L232:L239"/>
    <mergeCell ref="M232:M239"/>
    <mergeCell ref="N232:N239"/>
    <mergeCell ref="O232:O239"/>
    <mergeCell ref="P232:P239"/>
    <mergeCell ref="Q232:Q239"/>
    <mergeCell ref="R232:R239"/>
    <mergeCell ref="E232:E239"/>
    <mergeCell ref="F232:F239"/>
    <mergeCell ref="G232:G239"/>
    <mergeCell ref="H232:H239"/>
    <mergeCell ref="I232:I239"/>
    <mergeCell ref="J232:J239"/>
    <mergeCell ref="K232:K239"/>
    <mergeCell ref="L240:L244"/>
    <mergeCell ref="M240:M244"/>
    <mergeCell ref="N240:N244"/>
    <mergeCell ref="O240:O244"/>
    <mergeCell ref="P240:P244"/>
    <mergeCell ref="Q240:Q244"/>
    <mergeCell ref="R240:R244"/>
    <mergeCell ref="E240:E244"/>
    <mergeCell ref="F240:F244"/>
    <mergeCell ref="G240:G244"/>
    <mergeCell ref="H240:H244"/>
    <mergeCell ref="I240:I244"/>
    <mergeCell ref="J240:J244"/>
    <mergeCell ref="K240:K244"/>
    <mergeCell ref="AF326:AF331"/>
    <mergeCell ref="E326:E331"/>
    <mergeCell ref="F326:F331"/>
    <mergeCell ref="G326:G331"/>
    <mergeCell ref="H326:H331"/>
    <mergeCell ref="I326:I331"/>
    <mergeCell ref="J326:J331"/>
    <mergeCell ref="K326:K331"/>
    <mergeCell ref="L299:L303"/>
    <mergeCell ref="M299:M303"/>
    <mergeCell ref="N299:N303"/>
    <mergeCell ref="O299:O303"/>
    <mergeCell ref="P299:P303"/>
    <mergeCell ref="Q299:Q303"/>
    <mergeCell ref="R299:R303"/>
    <mergeCell ref="AF299:AF303"/>
    <mergeCell ref="E299:E303"/>
    <mergeCell ref="F299:F303"/>
    <mergeCell ref="G299:G303"/>
    <mergeCell ref="H299:H303"/>
    <mergeCell ref="I299:I303"/>
    <mergeCell ref="J299:J303"/>
    <mergeCell ref="K299:K303"/>
    <mergeCell ref="L304:L308"/>
    <mergeCell ref="AF304:AF308"/>
    <mergeCell ref="E304:E308"/>
    <mergeCell ref="F304:F308"/>
    <mergeCell ref="G304:G308"/>
    <mergeCell ref="H304:H308"/>
    <mergeCell ref="I304:I308"/>
    <mergeCell ref="J304:J308"/>
    <mergeCell ref="K304:K308"/>
    <mergeCell ref="R309:R313"/>
    <mergeCell ref="AF309:AF313"/>
    <mergeCell ref="E309:E313"/>
    <mergeCell ref="F309:F313"/>
    <mergeCell ref="G309:G313"/>
    <mergeCell ref="H309:H313"/>
    <mergeCell ref="I309:I313"/>
    <mergeCell ref="J309:J313"/>
    <mergeCell ref="K309:K313"/>
    <mergeCell ref="C332:C337"/>
    <mergeCell ref="B271:B338"/>
    <mergeCell ref="C271:C275"/>
    <mergeCell ref="L309:L313"/>
    <mergeCell ref="M309:M313"/>
    <mergeCell ref="N309:N313"/>
    <mergeCell ref="O309:O313"/>
    <mergeCell ref="P309:P313"/>
    <mergeCell ref="Q309:Q313"/>
    <mergeCell ref="Q304:Q308"/>
    <mergeCell ref="C320:C325"/>
    <mergeCell ref="D320:D325"/>
    <mergeCell ref="D326:D331"/>
    <mergeCell ref="D332:D337"/>
    <mergeCell ref="C338:R338"/>
    <mergeCell ref="L294:L298"/>
    <mergeCell ref="M294:M298"/>
    <mergeCell ref="N294:N298"/>
    <mergeCell ref="O294:O298"/>
    <mergeCell ref="P294:P298"/>
    <mergeCell ref="Q294:Q298"/>
    <mergeCell ref="R294:R298"/>
    <mergeCell ref="C326:C331"/>
    <mergeCell ref="L326:L331"/>
    <mergeCell ref="AC338:AF338"/>
    <mergeCell ref="AC339:AF339"/>
    <mergeCell ref="S340:AF340"/>
    <mergeCell ref="U342:Z342"/>
    <mergeCell ref="E332:E337"/>
    <mergeCell ref="F332:F337"/>
    <mergeCell ref="G332:G337"/>
    <mergeCell ref="H332:H337"/>
    <mergeCell ref="I332:I337"/>
    <mergeCell ref="J332:J337"/>
    <mergeCell ref="K332:K337"/>
    <mergeCell ref="L332:L337"/>
    <mergeCell ref="M332:M337"/>
    <mergeCell ref="N332:N337"/>
    <mergeCell ref="O332:O337"/>
    <mergeCell ref="P332:P337"/>
    <mergeCell ref="Q332:Q337"/>
    <mergeCell ref="AF332:AF337"/>
    <mergeCell ref="R332:R337"/>
    <mergeCell ref="S338:Z338"/>
    <mergeCell ref="S339:Z339"/>
    <mergeCell ref="E260:E264"/>
    <mergeCell ref="F260:F264"/>
    <mergeCell ref="G260:G264"/>
    <mergeCell ref="H260:H264"/>
    <mergeCell ref="I260:I264"/>
    <mergeCell ref="J260:J264"/>
    <mergeCell ref="K260:K264"/>
    <mergeCell ref="AF271:AF275"/>
    <mergeCell ref="AF276:AF280"/>
    <mergeCell ref="K271:K275"/>
    <mergeCell ref="G276:G280"/>
    <mergeCell ref="H276:H280"/>
    <mergeCell ref="I276:I280"/>
    <mergeCell ref="J276:J280"/>
    <mergeCell ref="K276:K280"/>
    <mergeCell ref="G265:G269"/>
    <mergeCell ref="H265:H269"/>
    <mergeCell ref="I265:I269"/>
    <mergeCell ref="J265:J269"/>
    <mergeCell ref="K265:K269"/>
    <mergeCell ref="AF260:AF264"/>
    <mergeCell ref="AF265:AF269"/>
    <mergeCell ref="S270:Z270"/>
    <mergeCell ref="AC270:AF270"/>
    <mergeCell ref="AF281:AF288"/>
    <mergeCell ref="AF289:AF293"/>
    <mergeCell ref="L260:L264"/>
    <mergeCell ref="M260:M264"/>
    <mergeCell ref="N260:N264"/>
    <mergeCell ref="O260:O264"/>
    <mergeCell ref="P260:P264"/>
    <mergeCell ref="Q260:Q264"/>
    <mergeCell ref="R260:R264"/>
    <mergeCell ref="L271:L275"/>
    <mergeCell ref="M271:M275"/>
    <mergeCell ref="N271:N275"/>
    <mergeCell ref="O271:O275"/>
    <mergeCell ref="P271:P275"/>
    <mergeCell ref="Q271:Q275"/>
    <mergeCell ref="R271:R275"/>
    <mergeCell ref="L281:L288"/>
    <mergeCell ref="M281:M288"/>
    <mergeCell ref="N281:N288"/>
    <mergeCell ref="O281:O288"/>
    <mergeCell ref="P281:P288"/>
    <mergeCell ref="Q281:Q288"/>
    <mergeCell ref="R281:R288"/>
    <mergeCell ref="L289:L293"/>
    <mergeCell ref="L245:L249"/>
    <mergeCell ref="M245:M249"/>
    <mergeCell ref="N245:N249"/>
    <mergeCell ref="O245:O249"/>
    <mergeCell ref="P245:P249"/>
    <mergeCell ref="Q245:Q249"/>
    <mergeCell ref="R245:R249"/>
    <mergeCell ref="E245:E249"/>
    <mergeCell ref="F245:F249"/>
    <mergeCell ref="G245:G249"/>
    <mergeCell ref="H245:H249"/>
    <mergeCell ref="I245:I249"/>
    <mergeCell ref="J245:J249"/>
    <mergeCell ref="K245:K249"/>
    <mergeCell ref="L250:L254"/>
    <mergeCell ref="M250:M254"/>
    <mergeCell ref="N250:N254"/>
    <mergeCell ref="O250:O254"/>
    <mergeCell ref="P250:P254"/>
    <mergeCell ref="Q250:Q254"/>
    <mergeCell ref="R250:R254"/>
    <mergeCell ref="E250:E254"/>
    <mergeCell ref="F250:F254"/>
    <mergeCell ref="G250:G254"/>
    <mergeCell ref="H250:H254"/>
    <mergeCell ref="I250:I254"/>
    <mergeCell ref="J250:J254"/>
    <mergeCell ref="K250:K254"/>
    <mergeCell ref="L255:L259"/>
    <mergeCell ref="M255:M259"/>
    <mergeCell ref="N255:N259"/>
    <mergeCell ref="O255:O259"/>
    <mergeCell ref="P255:P259"/>
    <mergeCell ref="Q255:Q259"/>
    <mergeCell ref="R255:R259"/>
    <mergeCell ref="E255:E259"/>
    <mergeCell ref="F255:F259"/>
    <mergeCell ref="G255:G259"/>
    <mergeCell ref="H255:H259"/>
    <mergeCell ref="I255:I259"/>
    <mergeCell ref="J255:J259"/>
    <mergeCell ref="K255:K259"/>
    <mergeCell ref="AF294:AF298"/>
    <mergeCell ref="E294:E298"/>
    <mergeCell ref="F294:F298"/>
    <mergeCell ref="G294:G298"/>
    <mergeCell ref="H294:H298"/>
    <mergeCell ref="I294:I298"/>
    <mergeCell ref="J294:J298"/>
    <mergeCell ref="K294:K298"/>
    <mergeCell ref="E265:E269"/>
    <mergeCell ref="E271:E275"/>
    <mergeCell ref="F271:F275"/>
    <mergeCell ref="G271:G275"/>
    <mergeCell ref="H271:H275"/>
    <mergeCell ref="I271:I275"/>
    <mergeCell ref="J271:J275"/>
    <mergeCell ref="L276:L280"/>
    <mergeCell ref="M276:M280"/>
    <mergeCell ref="N276:N280"/>
    <mergeCell ref="O276:O280"/>
    <mergeCell ref="P276:P280"/>
    <mergeCell ref="Q276:Q280"/>
    <mergeCell ref="R276:R280"/>
    <mergeCell ref="E276:E280"/>
    <mergeCell ref="F276:F280"/>
    <mergeCell ref="M289:M293"/>
    <mergeCell ref="N289:N293"/>
    <mergeCell ref="O289:O293"/>
    <mergeCell ref="P289:P293"/>
    <mergeCell ref="Q289:Q293"/>
    <mergeCell ref="R289:R293"/>
    <mergeCell ref="E289:E293"/>
    <mergeCell ref="F289:F293"/>
    <mergeCell ref="G289:G293"/>
    <mergeCell ref="H289:H293"/>
    <mergeCell ref="I289:I293"/>
    <mergeCell ref="J289:J293"/>
    <mergeCell ref="K289:K293"/>
    <mergeCell ref="L314:L319"/>
    <mergeCell ref="M314:M319"/>
    <mergeCell ref="N314:N319"/>
    <mergeCell ref="O314:O319"/>
    <mergeCell ref="P314:P319"/>
    <mergeCell ref="Q314:Q319"/>
    <mergeCell ref="R314:R319"/>
    <mergeCell ref="AF314:AF319"/>
    <mergeCell ref="E314:E319"/>
    <mergeCell ref="F314:F319"/>
    <mergeCell ref="G314:G319"/>
    <mergeCell ref="H314:H319"/>
    <mergeCell ref="I314:I319"/>
    <mergeCell ref="J314:J319"/>
    <mergeCell ref="K314:K319"/>
    <mergeCell ref="L320:L325"/>
    <mergeCell ref="M320:M325"/>
    <mergeCell ref="N320:N325"/>
    <mergeCell ref="O320:O325"/>
    <mergeCell ref="P320:P325"/>
    <mergeCell ref="Q320:Q325"/>
    <mergeCell ref="R320:R325"/>
    <mergeCell ref="AF320:AF325"/>
    <mergeCell ref="E320:E325"/>
    <mergeCell ref="F320:F325"/>
    <mergeCell ref="G320:G325"/>
    <mergeCell ref="H320:H325"/>
    <mergeCell ref="I320:I325"/>
    <mergeCell ref="J320:J325"/>
    <mergeCell ref="K320:K325"/>
    <mergeCell ref="U376:W376"/>
    <mergeCell ref="U377:V377"/>
    <mergeCell ref="U378:V378"/>
    <mergeCell ref="U379:V379"/>
    <mergeCell ref="U380:V380"/>
    <mergeCell ref="U388:V388"/>
    <mergeCell ref="U389:V389"/>
    <mergeCell ref="U390:V390"/>
    <mergeCell ref="U391:V391"/>
    <mergeCell ref="U381:V381"/>
    <mergeCell ref="U382:W382"/>
    <mergeCell ref="U383:V383"/>
    <mergeCell ref="U384:V384"/>
    <mergeCell ref="U385:V385"/>
    <mergeCell ref="U386:V386"/>
    <mergeCell ref="U387:V387"/>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3">
    <dataValidation type="list" allowBlank="1" showErrorMessage="1" sqref="F9 F14 F26 F30 F35 F58 F63 F67 F71 F79 F95 F99 F104 F112 F117 F122 F127 F139 F145 F150 F155 F160 F165 F170 F176 F181 F186 F191 F196 F201 F206 F211 F216 F222 F227 F232 F240 F245 F250 F255 F260 F265 F271 F276 F281 F289 F294 F299 F304 F309 F314 F320 F326 F332">
      <formula1>INDIRECT($E9)</formula1>
    </dataValidation>
    <dataValidation type="list" allowBlank="1" showErrorMessage="1" sqref="E9 E14 E26 E30 E35 E58 E63 E67 E71 E79 E95 E99 E104 E112 E117 E122 E127 E139 E145 E150 E155 E160 E165 E170 E176 E181 E186 E191 E196 E201 E206 E211 E216 E222 E227 E232 E240 E245 E250 E255 E260 E265 E271 E276 E281 E289 E294 E299 E304 E309 E314 E320 E326 E332">
      <formula1>INDIRECT($G9)</formula1>
    </dataValidation>
    <dataValidation type="decimal" allowBlank="1" showInputMessage="1" showErrorMessage="1" prompt="DPLAN - Sólo debe ingresar valores, NO porcentajes." sqref="M14:O14 M26:O26 M58:O58 M63:O63 M67:O67 M71:O71 M79:O79 M95:O95 M99:O99 M104:O104 M127:O127 M139:O139 M150:O150 M155:O155 M165:O165 M170:O170 M181:O181 M186:O186 M191:O191 M196:O196 M206:O206 M211:O211 M216:O216 M227:O227 M232:O232 M245:O245 M250:O250 M255:O255 M260:O260 M265:O265 M276:O276 M281:O281 M289:O289 M294:O294 M304:O304 M309:O309 M314:O314 M320:O320 M326 O326 M332:O332">
      <formula1>0</formula1>
      <formula2>1000000</formula2>
    </dataValidation>
  </dataValidations>
  <printOptions horizontalCentered="1" verticalCentered="1" gridLines="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&amp;"Cambria,Cursiva"&amp;12&amp;K0070C0Administración Central&amp;C&amp;"Century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C14:D14 C26:D26 C30:D30 C35:D35 C58:D58 C63:D63 C67:D67 C71:D71 C79:D79 C95:D95 C99:D99 C104:D104 C112:D112 C117:D117 C122:D122 C127:D127 C139:D139</xm:sqref>
        </x14:dataValidation>
        <x14:dataValidation type="list" allowBlank="1" showErrorMessage="1">
          <x14:formula1>
            <xm:f>(PEDI!#REF!)</xm:f>
          </x14:formula1>
          <xm:sqref>H9 H14 H26 H30 H35 H58 H63 H67 H71 H79 H95 H99 H104 H112 H117 H122 H127 H139</xm:sqref>
        </x14:dataValidation>
        <x14:dataValidation type="list" allowBlank="1" showErrorMessage="1">
          <x14:formula1>
            <xm:f>PEDI!#REF!</xm:f>
          </x14:formula1>
          <xm:sqref>G9 G14 G26 G30 G35 G58 G63 G67 G71 G79 G95 G99 G104 G112 G117 G122 G127 G139</xm:sqref>
        </x14:dataValidation>
        <x14:dataValidation type="list" allowBlank="1" showErrorMessage="1">
          <x14:formula1>
            <xm:f>INDIRECT('Estrategias DAFO'!#REF!)</xm:f>
          </x14:formula1>
          <xm:sqref>I9 I14 I26 I30 I35 I58 I63 I67 I71 I79 I95 I99 I104 I112 I117 I122 I127 I139</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782"/>
  <sheetViews>
    <sheetView showGridLines="0" topLeftCell="J1" zoomScaleNormal="100" workbookViewId="0">
      <selection sqref="A1:AF1"/>
    </sheetView>
  </sheetViews>
  <sheetFormatPr baseColWidth="10" defaultColWidth="12.5703125" defaultRowHeight="15.75" customHeight="1"/>
  <cols>
    <col min="1" max="2" width="5.42578125" customWidth="1"/>
    <col min="3" max="12" width="22.42578125" customWidth="1"/>
    <col min="13" max="15" width="8.7109375" customWidth="1"/>
    <col min="16" max="18" width="22.42578125" customWidth="1"/>
    <col min="19" max="19" width="34.28515625" customWidth="1"/>
    <col min="20" max="20" width="18.5703125" customWidth="1"/>
    <col min="21" max="21" width="35.140625" customWidth="1"/>
    <col min="22" max="22" width="44.140625" customWidth="1"/>
    <col min="23" max="23" width="23.85546875" customWidth="1"/>
    <col min="24" max="25" width="12" customWidth="1"/>
    <col min="26" max="26" width="13.140625" customWidth="1"/>
    <col min="27" max="27" width="12" customWidth="1"/>
    <col min="28" max="28" width="14.28515625" customWidth="1"/>
    <col min="29" max="31" width="7.7109375" customWidth="1"/>
    <col min="32" max="32" width="19.7109375" customWidth="1"/>
  </cols>
  <sheetData>
    <row r="1" spans="1:32" ht="43.5"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150"/>
      <c r="V2" s="4253"/>
      <c r="W2" s="4253"/>
      <c r="X2" s="4253"/>
      <c r="Y2" s="4253"/>
      <c r="Z2" s="4253"/>
      <c r="AA2" s="4253"/>
      <c r="AB2" s="4253"/>
      <c r="AC2" s="4253"/>
      <c r="AD2" s="4253"/>
      <c r="AE2" s="4253"/>
      <c r="AF2" s="4253"/>
    </row>
    <row r="3" spans="1:32" ht="30.75">
      <c r="A3" s="4254" t="s">
        <v>1475</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thickBot="1">
      <c r="A5" s="71"/>
      <c r="B5" s="71"/>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5278"/>
      <c r="D8" s="5279"/>
      <c r="E8" s="5280"/>
      <c r="F8" s="5280"/>
      <c r="G8" s="5280"/>
      <c r="H8" s="5280"/>
      <c r="I8" s="5280"/>
      <c r="J8" s="5281"/>
      <c r="K8" s="5282"/>
      <c r="L8" s="5282"/>
      <c r="M8" s="4081" t="s">
        <v>223</v>
      </c>
      <c r="N8" s="4081" t="s">
        <v>224</v>
      </c>
      <c r="O8" s="4081" t="s">
        <v>225</v>
      </c>
      <c r="P8" s="5282"/>
      <c r="Q8" s="5282"/>
      <c r="R8" s="5283"/>
      <c r="S8" s="4082" t="s">
        <v>226</v>
      </c>
      <c r="T8" s="4083" t="s">
        <v>227</v>
      </c>
      <c r="U8" s="4084" t="s">
        <v>3771</v>
      </c>
      <c r="V8" s="4083" t="s">
        <v>229</v>
      </c>
      <c r="W8" s="4083" t="s">
        <v>230</v>
      </c>
      <c r="X8" s="4083" t="s">
        <v>3770</v>
      </c>
      <c r="Y8" s="4085" t="s">
        <v>231</v>
      </c>
      <c r="Z8" s="4086" t="s">
        <v>232</v>
      </c>
      <c r="AA8" s="4086" t="s">
        <v>233</v>
      </c>
      <c r="AB8" s="4086" t="s">
        <v>234</v>
      </c>
      <c r="AC8" s="4087" t="s">
        <v>223</v>
      </c>
      <c r="AD8" s="4087" t="s">
        <v>224</v>
      </c>
      <c r="AE8" s="4087" t="s">
        <v>225</v>
      </c>
      <c r="AF8" s="5284"/>
    </row>
    <row r="9" spans="1:32" ht="25.5" customHeight="1">
      <c r="A9" s="4669" t="s">
        <v>1475</v>
      </c>
      <c r="B9" s="4407" t="s">
        <v>1476</v>
      </c>
      <c r="C9" s="5288" t="s">
        <v>235</v>
      </c>
      <c r="D9" s="4421" t="s">
        <v>236</v>
      </c>
      <c r="E9" s="4421" t="s">
        <v>244</v>
      </c>
      <c r="F9" s="4421" t="s">
        <v>309</v>
      </c>
      <c r="G9" s="5286" t="s">
        <v>239</v>
      </c>
      <c r="H9" s="4421" t="s">
        <v>240</v>
      </c>
      <c r="I9" s="4421" t="s">
        <v>257</v>
      </c>
      <c r="J9" s="4421" t="s">
        <v>6015</v>
      </c>
      <c r="K9" s="4421" t="s">
        <v>1477</v>
      </c>
      <c r="L9" s="4421" t="s">
        <v>1478</v>
      </c>
      <c r="M9" s="4426">
        <v>7</v>
      </c>
      <c r="N9" s="4426">
        <v>7</v>
      </c>
      <c r="O9" s="4426">
        <v>7</v>
      </c>
      <c r="P9" s="4421" t="s">
        <v>1479</v>
      </c>
      <c r="Q9" s="4421" t="s">
        <v>1480</v>
      </c>
      <c r="R9" s="5290" t="s">
        <v>6066</v>
      </c>
      <c r="S9" s="4135"/>
      <c r="T9" s="3853"/>
      <c r="U9" s="3874"/>
      <c r="V9" s="3854"/>
      <c r="W9" s="3855"/>
      <c r="X9" s="4091"/>
      <c r="Y9" s="4092"/>
      <c r="Z9" s="4092"/>
      <c r="AA9" s="4092"/>
      <c r="AB9" s="4093"/>
      <c r="AC9" s="4091"/>
      <c r="AD9" s="4094"/>
      <c r="AE9" s="4094"/>
      <c r="AF9" s="5321"/>
    </row>
    <row r="10" spans="1:32" ht="25.5" customHeight="1">
      <c r="A10" s="4564"/>
      <c r="B10" s="4570"/>
      <c r="C10" s="4545"/>
      <c r="D10" s="4514"/>
      <c r="E10" s="4514"/>
      <c r="F10" s="4514"/>
      <c r="G10" s="4514"/>
      <c r="H10" s="4514"/>
      <c r="I10" s="4514"/>
      <c r="J10" s="4514"/>
      <c r="K10" s="4514"/>
      <c r="L10" s="4514"/>
      <c r="M10" s="4901"/>
      <c r="N10" s="4901"/>
      <c r="O10" s="4901"/>
      <c r="P10" s="4514"/>
      <c r="Q10" s="4514"/>
      <c r="R10" s="4518"/>
      <c r="S10" s="3311"/>
      <c r="T10" s="1891"/>
      <c r="U10" s="1849"/>
      <c r="V10" s="1883"/>
      <c r="W10" s="1864"/>
      <c r="X10" s="3637"/>
      <c r="Y10" s="3214"/>
      <c r="Z10" s="3214"/>
      <c r="AA10" s="3214"/>
      <c r="AB10" s="3638"/>
      <c r="AC10" s="3637"/>
      <c r="AD10" s="3206"/>
      <c r="AE10" s="3206"/>
      <c r="AF10" s="5301"/>
    </row>
    <row r="11" spans="1:32" ht="25.5" customHeight="1">
      <c r="A11" s="4564"/>
      <c r="B11" s="4570"/>
      <c r="C11" s="4545"/>
      <c r="D11" s="4514"/>
      <c r="E11" s="4514"/>
      <c r="F11" s="4514"/>
      <c r="G11" s="4514"/>
      <c r="H11" s="4514"/>
      <c r="I11" s="4514"/>
      <c r="J11" s="4514"/>
      <c r="K11" s="4514"/>
      <c r="L11" s="4514"/>
      <c r="M11" s="4901"/>
      <c r="N11" s="4901"/>
      <c r="O11" s="4901"/>
      <c r="P11" s="4514"/>
      <c r="Q11" s="4514"/>
      <c r="R11" s="4518"/>
      <c r="S11" s="3311"/>
      <c r="T11" s="1891"/>
      <c r="U11" s="1849"/>
      <c r="V11" s="1883"/>
      <c r="W11" s="1864"/>
      <c r="X11" s="3637"/>
      <c r="Y11" s="3214"/>
      <c r="Z11" s="3214"/>
      <c r="AA11" s="3214"/>
      <c r="AB11" s="3638"/>
      <c r="AC11" s="3637"/>
      <c r="AD11" s="3206"/>
      <c r="AE11" s="3206"/>
      <c r="AF11" s="5301"/>
    </row>
    <row r="12" spans="1:32" ht="25.5" customHeight="1">
      <c r="A12" s="4564"/>
      <c r="B12" s="4570"/>
      <c r="C12" s="4545"/>
      <c r="D12" s="4514"/>
      <c r="E12" s="4514"/>
      <c r="F12" s="4514"/>
      <c r="G12" s="4514"/>
      <c r="H12" s="4514"/>
      <c r="I12" s="4514"/>
      <c r="J12" s="4514"/>
      <c r="K12" s="4514"/>
      <c r="L12" s="4514"/>
      <c r="M12" s="4901"/>
      <c r="N12" s="4901"/>
      <c r="O12" s="4901"/>
      <c r="P12" s="4514"/>
      <c r="Q12" s="4514"/>
      <c r="R12" s="4518"/>
      <c r="S12" s="3311"/>
      <c r="T12" s="1891"/>
      <c r="U12" s="1849"/>
      <c r="V12" s="1883"/>
      <c r="W12" s="1864"/>
      <c r="X12" s="3637"/>
      <c r="Y12" s="3214"/>
      <c r="Z12" s="3214"/>
      <c r="AA12" s="3214"/>
      <c r="AB12" s="3638"/>
      <c r="AC12" s="3637"/>
      <c r="AD12" s="3206"/>
      <c r="AE12" s="3206"/>
      <c r="AF12" s="5301"/>
    </row>
    <row r="13" spans="1:32" ht="25.5" customHeight="1">
      <c r="A13" s="4564"/>
      <c r="B13" s="4570"/>
      <c r="C13" s="4566"/>
      <c r="D13" s="4525"/>
      <c r="E13" s="4525"/>
      <c r="F13" s="4525"/>
      <c r="G13" s="4525"/>
      <c r="H13" s="4525"/>
      <c r="I13" s="4525"/>
      <c r="J13" s="4525"/>
      <c r="K13" s="4525"/>
      <c r="L13" s="4525"/>
      <c r="M13" s="4902"/>
      <c r="N13" s="4902"/>
      <c r="O13" s="4902"/>
      <c r="P13" s="4525"/>
      <c r="Q13" s="4525"/>
      <c r="R13" s="4528"/>
      <c r="S13" s="3314"/>
      <c r="T13" s="3821"/>
      <c r="U13" s="3271"/>
      <c r="V13" s="3822"/>
      <c r="W13" s="3254"/>
      <c r="X13" s="4037"/>
      <c r="Y13" s="3291"/>
      <c r="Z13" s="3291"/>
      <c r="AA13" s="3291"/>
      <c r="AB13" s="4118"/>
      <c r="AC13" s="4037"/>
      <c r="AD13" s="4119"/>
      <c r="AE13" s="4119"/>
      <c r="AF13" s="5302"/>
    </row>
    <row r="14" spans="1:32">
      <c r="A14" s="4564"/>
      <c r="B14" s="4570"/>
      <c r="C14" s="5239" t="s">
        <v>235</v>
      </c>
      <c r="D14" s="4377" t="s">
        <v>236</v>
      </c>
      <c r="E14" s="4377" t="s">
        <v>237</v>
      </c>
      <c r="F14" s="4377" t="s">
        <v>976</v>
      </c>
      <c r="G14" s="4906" t="s">
        <v>239</v>
      </c>
      <c r="H14" s="4377" t="s">
        <v>240</v>
      </c>
      <c r="I14" s="4377" t="s">
        <v>257</v>
      </c>
      <c r="J14" s="4377" t="s">
        <v>1481</v>
      </c>
      <c r="K14" s="4377" t="s">
        <v>1482</v>
      </c>
      <c r="L14" s="4377" t="s">
        <v>1483</v>
      </c>
      <c r="M14" s="4392">
        <v>7</v>
      </c>
      <c r="N14" s="4392">
        <v>7</v>
      </c>
      <c r="O14" s="4392">
        <v>7</v>
      </c>
      <c r="P14" s="4377" t="s">
        <v>1484</v>
      </c>
      <c r="Q14" s="4377" t="s">
        <v>1485</v>
      </c>
      <c r="R14" s="4903" t="s">
        <v>6065</v>
      </c>
      <c r="S14" s="3310" t="s">
        <v>39</v>
      </c>
      <c r="T14" s="3270">
        <v>531406</v>
      </c>
      <c r="U14" s="3272"/>
      <c r="V14" s="4068" t="s">
        <v>74</v>
      </c>
      <c r="W14" s="4071"/>
      <c r="X14" s="3632"/>
      <c r="Y14" s="3633"/>
      <c r="Z14" s="3633"/>
      <c r="AA14" s="3633"/>
      <c r="AB14" s="3634">
        <f>SUM($AA$15:$AA$17)</f>
        <v>588</v>
      </c>
      <c r="AC14" s="3632"/>
      <c r="AD14" s="4120"/>
      <c r="AE14" s="4120"/>
      <c r="AF14" s="5217" t="s">
        <v>6022</v>
      </c>
    </row>
    <row r="15" spans="1:32">
      <c r="A15" s="4564"/>
      <c r="B15" s="4570"/>
      <c r="C15" s="4545"/>
      <c r="D15" s="4514"/>
      <c r="E15" s="4514"/>
      <c r="F15" s="4514"/>
      <c r="G15" s="4514"/>
      <c r="H15" s="4514"/>
      <c r="I15" s="4514"/>
      <c r="J15" s="4514"/>
      <c r="K15" s="4514"/>
      <c r="L15" s="4514"/>
      <c r="M15" s="4901"/>
      <c r="N15" s="4901"/>
      <c r="O15" s="4901"/>
      <c r="P15" s="4514"/>
      <c r="Q15" s="4514"/>
      <c r="R15" s="4518"/>
      <c r="S15" s="3311"/>
      <c r="T15" s="1891"/>
      <c r="U15" s="1848" t="s">
        <v>1486</v>
      </c>
      <c r="V15" s="1883" t="s">
        <v>6024</v>
      </c>
      <c r="W15" s="1864">
        <v>15</v>
      </c>
      <c r="X15" s="3637" t="s">
        <v>269</v>
      </c>
      <c r="Y15" s="3214">
        <v>10</v>
      </c>
      <c r="Z15" s="3214">
        <f t="shared" ref="Z15:Z17" si="0">+W15*Y15</f>
        <v>150</v>
      </c>
      <c r="AA15" s="3214">
        <f t="shared" ref="AA15:AA17" si="1">+Z15*1.12</f>
        <v>168.00000000000003</v>
      </c>
      <c r="AB15" s="3638"/>
      <c r="AC15" s="3637"/>
      <c r="AD15" s="3206" t="s">
        <v>251</v>
      </c>
      <c r="AE15" s="3206"/>
      <c r="AF15" s="5301"/>
    </row>
    <row r="16" spans="1:32">
      <c r="A16" s="4564"/>
      <c r="B16" s="4570"/>
      <c r="C16" s="4545"/>
      <c r="D16" s="4514"/>
      <c r="E16" s="4514"/>
      <c r="F16" s="4514"/>
      <c r="G16" s="4514"/>
      <c r="H16" s="4514"/>
      <c r="I16" s="4514"/>
      <c r="J16" s="4514"/>
      <c r="K16" s="4514"/>
      <c r="L16" s="4514"/>
      <c r="M16" s="4901"/>
      <c r="N16" s="4901"/>
      <c r="O16" s="4901"/>
      <c r="P16" s="4514"/>
      <c r="Q16" s="4514"/>
      <c r="R16" s="4518"/>
      <c r="S16" s="3311"/>
      <c r="T16" s="1891"/>
      <c r="U16" s="1848">
        <v>4292100116</v>
      </c>
      <c r="V16" s="1883" t="s">
        <v>1487</v>
      </c>
      <c r="W16" s="1864">
        <v>4</v>
      </c>
      <c r="X16" s="3637" t="s">
        <v>269</v>
      </c>
      <c r="Y16" s="3214">
        <v>70</v>
      </c>
      <c r="Z16" s="3214">
        <f t="shared" si="0"/>
        <v>280</v>
      </c>
      <c r="AA16" s="3214">
        <f t="shared" si="1"/>
        <v>313.60000000000002</v>
      </c>
      <c r="AB16" s="3638"/>
      <c r="AC16" s="3637"/>
      <c r="AD16" s="3206" t="s">
        <v>251</v>
      </c>
      <c r="AE16" s="3206"/>
      <c r="AF16" s="5301"/>
    </row>
    <row r="17" spans="1:32">
      <c r="A17" s="4564"/>
      <c r="B17" s="4570"/>
      <c r="C17" s="4545"/>
      <c r="D17" s="4514"/>
      <c r="E17" s="4514"/>
      <c r="F17" s="4514"/>
      <c r="G17" s="4514"/>
      <c r="H17" s="4514"/>
      <c r="I17" s="4514"/>
      <c r="J17" s="4514"/>
      <c r="K17" s="4514"/>
      <c r="L17" s="4514"/>
      <c r="M17" s="4901"/>
      <c r="N17" s="4901"/>
      <c r="O17" s="4901"/>
      <c r="P17" s="4514"/>
      <c r="Q17" s="4514"/>
      <c r="R17" s="4518"/>
      <c r="S17" s="3311"/>
      <c r="T17" s="1891"/>
      <c r="U17" s="1848" t="s">
        <v>1488</v>
      </c>
      <c r="V17" s="1883" t="s">
        <v>1489</v>
      </c>
      <c r="W17" s="1864">
        <v>5</v>
      </c>
      <c r="X17" s="3637" t="s">
        <v>269</v>
      </c>
      <c r="Y17" s="3214">
        <v>19</v>
      </c>
      <c r="Z17" s="3214">
        <f t="shared" si="0"/>
        <v>95</v>
      </c>
      <c r="AA17" s="3214">
        <f t="shared" si="1"/>
        <v>106.4</v>
      </c>
      <c r="AB17" s="3638"/>
      <c r="AC17" s="3637"/>
      <c r="AD17" s="3206" t="s">
        <v>251</v>
      </c>
      <c r="AE17" s="3206"/>
      <c r="AF17" s="5301"/>
    </row>
    <row r="18" spans="1:32">
      <c r="A18" s="4564"/>
      <c r="B18" s="4570"/>
      <c r="C18" s="4545"/>
      <c r="D18" s="4514"/>
      <c r="E18" s="4514"/>
      <c r="F18" s="4514"/>
      <c r="G18" s="4514"/>
      <c r="H18" s="4514"/>
      <c r="I18" s="4514"/>
      <c r="J18" s="4514"/>
      <c r="K18" s="4514"/>
      <c r="L18" s="4514"/>
      <c r="M18" s="4901"/>
      <c r="N18" s="4901"/>
      <c r="O18" s="4901"/>
      <c r="P18" s="4514"/>
      <c r="Q18" s="4514"/>
      <c r="R18" s="4518"/>
      <c r="S18" s="3311"/>
      <c r="T18" s="1891"/>
      <c r="U18" s="1848"/>
      <c r="V18" s="3789"/>
      <c r="W18" s="1864"/>
      <c r="X18" s="3637"/>
      <c r="Y18" s="3214"/>
      <c r="Z18" s="3214"/>
      <c r="AA18" s="3214"/>
      <c r="AB18" s="3638"/>
      <c r="AC18" s="3637"/>
      <c r="AD18" s="3206"/>
      <c r="AE18" s="3206"/>
      <c r="AF18" s="5301"/>
    </row>
    <row r="19" spans="1:32">
      <c r="A19" s="4564"/>
      <c r="B19" s="4570"/>
      <c r="C19" s="4545"/>
      <c r="D19" s="4514"/>
      <c r="E19" s="4514"/>
      <c r="F19" s="4514"/>
      <c r="G19" s="4514"/>
      <c r="H19" s="4514"/>
      <c r="I19" s="4514"/>
      <c r="J19" s="4514"/>
      <c r="K19" s="4514"/>
      <c r="L19" s="4514"/>
      <c r="M19" s="4901"/>
      <c r="N19" s="4901"/>
      <c r="O19" s="4901"/>
      <c r="P19" s="4514"/>
      <c r="Q19" s="4514"/>
      <c r="R19" s="4518"/>
      <c r="S19" s="3311" t="s">
        <v>39</v>
      </c>
      <c r="T19" s="1891">
        <v>531404</v>
      </c>
      <c r="U19" s="1848"/>
      <c r="V19" s="3789" t="s">
        <v>24</v>
      </c>
      <c r="W19" s="1864"/>
      <c r="X19" s="3637"/>
      <c r="Y19" s="3214"/>
      <c r="Z19" s="3214"/>
      <c r="AA19" s="3214"/>
      <c r="AB19" s="3638">
        <f>$AA$20</f>
        <v>156.80000000000001</v>
      </c>
      <c r="AC19" s="3637"/>
      <c r="AD19" s="3206"/>
      <c r="AE19" s="3206"/>
      <c r="AF19" s="5301"/>
    </row>
    <row r="20" spans="1:32" ht="25.5">
      <c r="A20" s="4564"/>
      <c r="B20" s="4570"/>
      <c r="C20" s="4545"/>
      <c r="D20" s="4514"/>
      <c r="E20" s="4514"/>
      <c r="F20" s="4514"/>
      <c r="G20" s="4514"/>
      <c r="H20" s="4514"/>
      <c r="I20" s="4514"/>
      <c r="J20" s="4514"/>
      <c r="K20" s="4514"/>
      <c r="L20" s="4514"/>
      <c r="M20" s="4901"/>
      <c r="N20" s="4901"/>
      <c r="O20" s="4901"/>
      <c r="P20" s="4514"/>
      <c r="Q20" s="4514"/>
      <c r="R20" s="4518"/>
      <c r="S20" s="3311"/>
      <c r="T20" s="1891"/>
      <c r="U20" s="1848">
        <v>369900511</v>
      </c>
      <c r="V20" s="1883" t="s">
        <v>6025</v>
      </c>
      <c r="W20" s="1864">
        <v>4</v>
      </c>
      <c r="X20" s="3637" t="s">
        <v>269</v>
      </c>
      <c r="Y20" s="3214">
        <v>35</v>
      </c>
      <c r="Z20" s="3214">
        <f>+W20*Y20</f>
        <v>140</v>
      </c>
      <c r="AA20" s="3214">
        <f>+Z20*1.12</f>
        <v>156.80000000000001</v>
      </c>
      <c r="AB20" s="3638"/>
      <c r="AC20" s="3637"/>
      <c r="AD20" s="3206" t="s">
        <v>251</v>
      </c>
      <c r="AE20" s="3206"/>
      <c r="AF20" s="5301"/>
    </row>
    <row r="21" spans="1:32">
      <c r="A21" s="4564"/>
      <c r="B21" s="4570"/>
      <c r="C21" s="4545"/>
      <c r="D21" s="4514"/>
      <c r="E21" s="4514"/>
      <c r="F21" s="4514"/>
      <c r="G21" s="4514"/>
      <c r="H21" s="4514"/>
      <c r="I21" s="4514"/>
      <c r="J21" s="4514"/>
      <c r="K21" s="4514"/>
      <c r="L21" s="4514"/>
      <c r="M21" s="4901"/>
      <c r="N21" s="4901"/>
      <c r="O21" s="4901"/>
      <c r="P21" s="4514"/>
      <c r="Q21" s="4514"/>
      <c r="R21" s="4518"/>
      <c r="S21" s="3311"/>
      <c r="T21" s="1891"/>
      <c r="U21" s="1848"/>
      <c r="V21" s="3789"/>
      <c r="W21" s="1864"/>
      <c r="X21" s="3637"/>
      <c r="Y21" s="3214"/>
      <c r="Z21" s="3214"/>
      <c r="AA21" s="3214"/>
      <c r="AB21" s="3638"/>
      <c r="AC21" s="3637"/>
      <c r="AD21" s="3637"/>
      <c r="AE21" s="3206"/>
      <c r="AF21" s="5301"/>
    </row>
    <row r="22" spans="1:32">
      <c r="A22" s="4564"/>
      <c r="B22" s="4570"/>
      <c r="C22" s="4545"/>
      <c r="D22" s="4514"/>
      <c r="E22" s="4514"/>
      <c r="F22" s="4514"/>
      <c r="G22" s="4514"/>
      <c r="H22" s="4514"/>
      <c r="I22" s="4514"/>
      <c r="J22" s="4514"/>
      <c r="K22" s="4514"/>
      <c r="L22" s="4514"/>
      <c r="M22" s="4901"/>
      <c r="N22" s="4901"/>
      <c r="O22" s="4901"/>
      <c r="P22" s="4514"/>
      <c r="Q22" s="4514"/>
      <c r="R22" s="4518"/>
      <c r="S22" s="3311" t="s">
        <v>39</v>
      </c>
      <c r="T22" s="1891">
        <v>531407</v>
      </c>
      <c r="U22" s="1848"/>
      <c r="V22" s="3789" t="s">
        <v>20</v>
      </c>
      <c r="W22" s="1864"/>
      <c r="X22" s="3637"/>
      <c r="Y22" s="3214"/>
      <c r="Z22" s="3214"/>
      <c r="AA22" s="3214"/>
      <c r="AB22" s="3638">
        <f>SUM($AA$23)</f>
        <v>109.76</v>
      </c>
      <c r="AC22" s="3637"/>
      <c r="AD22" s="3637"/>
      <c r="AE22" s="3206"/>
      <c r="AF22" s="5301"/>
    </row>
    <row r="23" spans="1:32" ht="25.5">
      <c r="A23" s="4564"/>
      <c r="B23" s="4570"/>
      <c r="C23" s="4545"/>
      <c r="D23" s="4514"/>
      <c r="E23" s="4514"/>
      <c r="F23" s="4514"/>
      <c r="G23" s="4514"/>
      <c r="H23" s="4514"/>
      <c r="I23" s="4514"/>
      <c r="J23" s="4514"/>
      <c r="K23" s="4514"/>
      <c r="L23" s="4514"/>
      <c r="M23" s="4901"/>
      <c r="N23" s="4901"/>
      <c r="O23" s="4901"/>
      <c r="P23" s="4514"/>
      <c r="Q23" s="4514"/>
      <c r="R23" s="4518"/>
      <c r="S23" s="3311"/>
      <c r="T23" s="1891"/>
      <c r="U23" s="1848">
        <v>452700024</v>
      </c>
      <c r="V23" s="1883" t="s">
        <v>6026</v>
      </c>
      <c r="W23" s="1864">
        <v>1</v>
      </c>
      <c r="X23" s="3637" t="s">
        <v>269</v>
      </c>
      <c r="Y23" s="3214">
        <v>98</v>
      </c>
      <c r="Z23" s="3214">
        <f>Y23*W23</f>
        <v>98</v>
      </c>
      <c r="AA23" s="3214">
        <f>(Z23*0.12)+Z23</f>
        <v>109.76</v>
      </c>
      <c r="AB23" s="3638"/>
      <c r="AC23" s="3637"/>
      <c r="AD23" s="3206" t="s">
        <v>251</v>
      </c>
      <c r="AE23" s="3206"/>
      <c r="AF23" s="5301"/>
    </row>
    <row r="24" spans="1:32">
      <c r="A24" s="4564"/>
      <c r="B24" s="4570"/>
      <c r="C24" s="4545"/>
      <c r="D24" s="4514"/>
      <c r="E24" s="4514"/>
      <c r="F24" s="4514"/>
      <c r="G24" s="4514"/>
      <c r="H24" s="4514"/>
      <c r="I24" s="4514"/>
      <c r="J24" s="4514"/>
      <c r="K24" s="4514"/>
      <c r="L24" s="4514"/>
      <c r="M24" s="4901"/>
      <c r="N24" s="4901"/>
      <c r="O24" s="4901"/>
      <c r="P24" s="4514"/>
      <c r="Q24" s="4514"/>
      <c r="R24" s="4518"/>
      <c r="S24" s="3311"/>
      <c r="T24" s="1891"/>
      <c r="U24" s="1848"/>
      <c r="V24" s="3789"/>
      <c r="W24" s="1864"/>
      <c r="X24" s="3637"/>
      <c r="Y24" s="3214"/>
      <c r="Z24" s="3214"/>
      <c r="AA24" s="3214"/>
      <c r="AB24" s="3638"/>
      <c r="AC24" s="4095"/>
      <c r="AD24" s="4096"/>
      <c r="AE24" s="4097"/>
      <c r="AF24" s="5301"/>
    </row>
    <row r="25" spans="1:32" ht="51">
      <c r="A25" s="4564"/>
      <c r="B25" s="4570"/>
      <c r="C25" s="4545"/>
      <c r="D25" s="4514"/>
      <c r="E25" s="4514"/>
      <c r="F25" s="4514"/>
      <c r="G25" s="4514"/>
      <c r="H25" s="4514"/>
      <c r="I25" s="4514"/>
      <c r="J25" s="4514"/>
      <c r="K25" s="4514"/>
      <c r="L25" s="4514"/>
      <c r="M25" s="4901"/>
      <c r="N25" s="4901"/>
      <c r="O25" s="4901"/>
      <c r="P25" s="4514"/>
      <c r="Q25" s="4514"/>
      <c r="R25" s="4518"/>
      <c r="S25" s="3311" t="s">
        <v>39</v>
      </c>
      <c r="T25" s="1891">
        <v>530811</v>
      </c>
      <c r="U25" s="1848"/>
      <c r="V25" s="3789" t="s">
        <v>83</v>
      </c>
      <c r="W25" s="1864"/>
      <c r="X25" s="3637"/>
      <c r="Y25" s="3214"/>
      <c r="Z25" s="3214"/>
      <c r="AA25" s="3214"/>
      <c r="AB25" s="3638">
        <f>SUM($AA$26:$AA$41)</f>
        <v>7494.0521600000002</v>
      </c>
      <c r="AC25" s="4095"/>
      <c r="AD25" s="4096"/>
      <c r="AE25" s="4097"/>
      <c r="AF25" s="5301"/>
    </row>
    <row r="26" spans="1:32" ht="25.5">
      <c r="A26" s="4564"/>
      <c r="B26" s="4570"/>
      <c r="C26" s="4545"/>
      <c r="D26" s="4514"/>
      <c r="E26" s="4514"/>
      <c r="F26" s="4514"/>
      <c r="G26" s="4514"/>
      <c r="H26" s="4514"/>
      <c r="I26" s="4514"/>
      <c r="J26" s="4514"/>
      <c r="K26" s="4514"/>
      <c r="L26" s="4514"/>
      <c r="M26" s="4901"/>
      <c r="N26" s="4901"/>
      <c r="O26" s="4901"/>
      <c r="P26" s="4514"/>
      <c r="Q26" s="4514"/>
      <c r="R26" s="4518"/>
      <c r="S26" s="3311"/>
      <c r="T26" s="1891"/>
      <c r="U26" s="1848">
        <v>432404021</v>
      </c>
      <c r="V26" s="1883" t="s">
        <v>1490</v>
      </c>
      <c r="W26" s="1864">
        <v>15</v>
      </c>
      <c r="X26" s="3637" t="s">
        <v>269</v>
      </c>
      <c r="Y26" s="3214">
        <v>13</v>
      </c>
      <c r="Z26" s="3214">
        <f t="shared" ref="Z26:Z27" si="2">Y26*W26</f>
        <v>195</v>
      </c>
      <c r="AA26" s="3214">
        <f t="shared" ref="AA26:AA27" si="3">((Z26*0.12)+Z26)</f>
        <v>218.4</v>
      </c>
      <c r="AB26" s="3638"/>
      <c r="AC26" s="3637"/>
      <c r="AD26" s="3206" t="s">
        <v>251</v>
      </c>
      <c r="AE26" s="3206"/>
      <c r="AF26" s="5301"/>
    </row>
    <row r="27" spans="1:32" ht="25.5">
      <c r="A27" s="4564"/>
      <c r="B27" s="4570"/>
      <c r="C27" s="4545"/>
      <c r="D27" s="4514"/>
      <c r="E27" s="4514"/>
      <c r="F27" s="4514"/>
      <c r="G27" s="4514"/>
      <c r="H27" s="4514"/>
      <c r="I27" s="4514"/>
      <c r="J27" s="4514"/>
      <c r="K27" s="4514"/>
      <c r="L27" s="4514"/>
      <c r="M27" s="4901"/>
      <c r="N27" s="4901"/>
      <c r="O27" s="4901"/>
      <c r="P27" s="4514"/>
      <c r="Q27" s="4514"/>
      <c r="R27" s="4518"/>
      <c r="S27" s="3311"/>
      <c r="T27" s="1891"/>
      <c r="U27" s="1848">
        <v>432404021</v>
      </c>
      <c r="V27" s="1883" t="s">
        <v>1490</v>
      </c>
      <c r="W27" s="1864">
        <v>10</v>
      </c>
      <c r="X27" s="3637" t="s">
        <v>269</v>
      </c>
      <c r="Y27" s="3214">
        <v>13</v>
      </c>
      <c r="Z27" s="3214">
        <f t="shared" si="2"/>
        <v>130</v>
      </c>
      <c r="AA27" s="3214">
        <f t="shared" si="3"/>
        <v>145.6</v>
      </c>
      <c r="AB27" s="3638"/>
      <c r="AC27" s="3637"/>
      <c r="AD27" s="3206" t="s">
        <v>251</v>
      </c>
      <c r="AE27" s="3206"/>
      <c r="AF27" s="5301"/>
    </row>
    <row r="28" spans="1:32">
      <c r="A28" s="4564"/>
      <c r="B28" s="4570"/>
      <c r="C28" s="4545"/>
      <c r="D28" s="4514"/>
      <c r="E28" s="4514"/>
      <c r="F28" s="4514"/>
      <c r="G28" s="4514"/>
      <c r="H28" s="4514"/>
      <c r="I28" s="4514"/>
      <c r="J28" s="4514"/>
      <c r="K28" s="4514"/>
      <c r="L28" s="4514"/>
      <c r="M28" s="4901"/>
      <c r="N28" s="4901"/>
      <c r="O28" s="4901"/>
      <c r="P28" s="4514"/>
      <c r="Q28" s="4514"/>
      <c r="R28" s="4518"/>
      <c r="S28" s="3311"/>
      <c r="T28" s="1891"/>
      <c r="U28" s="1848">
        <v>429990213</v>
      </c>
      <c r="V28" s="1883" t="s">
        <v>1491</v>
      </c>
      <c r="W28" s="1864">
        <v>12</v>
      </c>
      <c r="X28" s="3637" t="s">
        <v>269</v>
      </c>
      <c r="Y28" s="3214">
        <v>13.5</v>
      </c>
      <c r="Z28" s="3214">
        <f>+W28*Y28</f>
        <v>162</v>
      </c>
      <c r="AA28" s="3214">
        <f>+Z28*1.12</f>
        <v>181.44000000000003</v>
      </c>
      <c r="AB28" s="3638"/>
      <c r="AC28" s="3637"/>
      <c r="AD28" s="3206" t="s">
        <v>251</v>
      </c>
      <c r="AE28" s="3206"/>
      <c r="AF28" s="5301"/>
    </row>
    <row r="29" spans="1:32" ht="25.5">
      <c r="A29" s="4564"/>
      <c r="B29" s="4570"/>
      <c r="C29" s="4545"/>
      <c r="D29" s="4514"/>
      <c r="E29" s="4514"/>
      <c r="F29" s="4514"/>
      <c r="G29" s="4514"/>
      <c r="H29" s="4514"/>
      <c r="I29" s="4514"/>
      <c r="J29" s="4514"/>
      <c r="K29" s="4514"/>
      <c r="L29" s="4514"/>
      <c r="M29" s="4901"/>
      <c r="N29" s="4901"/>
      <c r="O29" s="4901"/>
      <c r="P29" s="4514"/>
      <c r="Q29" s="4514"/>
      <c r="R29" s="4518"/>
      <c r="S29" s="3311"/>
      <c r="T29" s="1891"/>
      <c r="U29" s="1848">
        <v>415430114</v>
      </c>
      <c r="V29" s="1883" t="s">
        <v>6027</v>
      </c>
      <c r="W29" s="1864">
        <v>91</v>
      </c>
      <c r="X29" s="3637" t="s">
        <v>269</v>
      </c>
      <c r="Y29" s="3214">
        <v>7.8</v>
      </c>
      <c r="Z29" s="3214">
        <f t="shared" ref="Z29:Z41" si="4">Y29*W29</f>
        <v>709.8</v>
      </c>
      <c r="AA29" s="3214">
        <f t="shared" ref="AA29:AA33" si="5">((Z29*0.12)+Z29)</f>
        <v>794.97599999999989</v>
      </c>
      <c r="AB29" s="3638"/>
      <c r="AC29" s="3637"/>
      <c r="AD29" s="3206" t="s">
        <v>251</v>
      </c>
      <c r="AE29" s="3206"/>
      <c r="AF29" s="5301"/>
    </row>
    <row r="30" spans="1:32">
      <c r="A30" s="4564"/>
      <c r="B30" s="4570"/>
      <c r="C30" s="4545"/>
      <c r="D30" s="4514"/>
      <c r="E30" s="4514"/>
      <c r="F30" s="4514"/>
      <c r="G30" s="4514"/>
      <c r="H30" s="4514"/>
      <c r="I30" s="4514"/>
      <c r="J30" s="4514"/>
      <c r="K30" s="4514"/>
      <c r="L30" s="4514"/>
      <c r="M30" s="4901"/>
      <c r="N30" s="4901"/>
      <c r="O30" s="4901"/>
      <c r="P30" s="4514"/>
      <c r="Q30" s="4514"/>
      <c r="R30" s="4518"/>
      <c r="S30" s="3311"/>
      <c r="T30" s="1891"/>
      <c r="U30" s="1848">
        <v>4813009110</v>
      </c>
      <c r="V30" s="1883" t="s">
        <v>6028</v>
      </c>
      <c r="W30" s="1864">
        <v>300</v>
      </c>
      <c r="X30" s="3637" t="s">
        <v>269</v>
      </c>
      <c r="Y30" s="3214">
        <v>4.5</v>
      </c>
      <c r="Z30" s="3214">
        <f t="shared" si="4"/>
        <v>1350</v>
      </c>
      <c r="AA30" s="3214">
        <f t="shared" si="5"/>
        <v>1512</v>
      </c>
      <c r="AB30" s="3638"/>
      <c r="AC30" s="3637"/>
      <c r="AD30" s="3206" t="s">
        <v>251</v>
      </c>
      <c r="AE30" s="3206"/>
      <c r="AF30" s="5301"/>
    </row>
    <row r="31" spans="1:32">
      <c r="A31" s="4564"/>
      <c r="B31" s="4570"/>
      <c r="C31" s="4545"/>
      <c r="D31" s="4514"/>
      <c r="E31" s="4514"/>
      <c r="F31" s="4514"/>
      <c r="G31" s="4514"/>
      <c r="H31" s="4514"/>
      <c r="I31" s="4514"/>
      <c r="J31" s="4514"/>
      <c r="K31" s="4514"/>
      <c r="L31" s="4514"/>
      <c r="M31" s="4901"/>
      <c r="N31" s="4901"/>
      <c r="O31" s="4901"/>
      <c r="P31" s="4514"/>
      <c r="Q31" s="4514"/>
      <c r="R31" s="4518"/>
      <c r="S31" s="3311"/>
      <c r="T31" s="1891"/>
      <c r="U31" s="1848" t="s">
        <v>1492</v>
      </c>
      <c r="V31" s="1883" t="s">
        <v>6029</v>
      </c>
      <c r="W31" s="1864">
        <v>26</v>
      </c>
      <c r="X31" s="3637" t="s">
        <v>269</v>
      </c>
      <c r="Y31" s="3214">
        <v>20</v>
      </c>
      <c r="Z31" s="3214">
        <f t="shared" si="4"/>
        <v>520</v>
      </c>
      <c r="AA31" s="3214">
        <f t="shared" si="5"/>
        <v>582.4</v>
      </c>
      <c r="AB31" s="3638"/>
      <c r="AC31" s="3637"/>
      <c r="AD31" s="3206" t="s">
        <v>251</v>
      </c>
      <c r="AE31" s="3206"/>
      <c r="AF31" s="5301"/>
    </row>
    <row r="32" spans="1:32" ht="25.5">
      <c r="A32" s="4564"/>
      <c r="B32" s="4570"/>
      <c r="C32" s="4545"/>
      <c r="D32" s="4514"/>
      <c r="E32" s="4514"/>
      <c r="F32" s="4514"/>
      <c r="G32" s="4514"/>
      <c r="H32" s="4514"/>
      <c r="I32" s="4514"/>
      <c r="J32" s="4514"/>
      <c r="K32" s="4514"/>
      <c r="L32" s="4514"/>
      <c r="M32" s="4901"/>
      <c r="N32" s="4901"/>
      <c r="O32" s="4901"/>
      <c r="P32" s="4514"/>
      <c r="Q32" s="4514"/>
      <c r="R32" s="4518"/>
      <c r="S32" s="3311"/>
      <c r="T32" s="1891"/>
      <c r="U32" s="1848">
        <v>351100019</v>
      </c>
      <c r="V32" s="1883" t="s">
        <v>6030</v>
      </c>
      <c r="W32" s="1864">
        <v>30</v>
      </c>
      <c r="X32" s="3637" t="s">
        <v>1010</v>
      </c>
      <c r="Y32" s="3214">
        <v>43.99</v>
      </c>
      <c r="Z32" s="3214">
        <f t="shared" si="4"/>
        <v>1319.7</v>
      </c>
      <c r="AA32" s="3214">
        <f t="shared" si="5"/>
        <v>1478.0640000000001</v>
      </c>
      <c r="AB32" s="3638"/>
      <c r="AC32" s="3637"/>
      <c r="AD32" s="3206" t="s">
        <v>251</v>
      </c>
      <c r="AE32" s="3206"/>
      <c r="AF32" s="5301"/>
    </row>
    <row r="33" spans="1:32" ht="25.5">
      <c r="A33" s="4564"/>
      <c r="B33" s="4570"/>
      <c r="C33" s="4545"/>
      <c r="D33" s="4514"/>
      <c r="E33" s="4514"/>
      <c r="F33" s="4514"/>
      <c r="G33" s="4514"/>
      <c r="H33" s="4514"/>
      <c r="I33" s="4514"/>
      <c r="J33" s="4514"/>
      <c r="K33" s="4514"/>
      <c r="L33" s="4514"/>
      <c r="M33" s="4901"/>
      <c r="N33" s="4901"/>
      <c r="O33" s="4901"/>
      <c r="P33" s="4514"/>
      <c r="Q33" s="4514"/>
      <c r="R33" s="4518"/>
      <c r="S33" s="3311"/>
      <c r="T33" s="1891"/>
      <c r="U33" s="1848">
        <v>351100019</v>
      </c>
      <c r="V33" s="1883" t="s">
        <v>6031</v>
      </c>
      <c r="W33" s="1864">
        <v>25</v>
      </c>
      <c r="X33" s="3637" t="s">
        <v>1010</v>
      </c>
      <c r="Y33" s="3214">
        <v>43.99</v>
      </c>
      <c r="Z33" s="3214">
        <f t="shared" si="4"/>
        <v>1099.75</v>
      </c>
      <c r="AA33" s="3214">
        <f t="shared" si="5"/>
        <v>1231.72</v>
      </c>
      <c r="AB33" s="3638"/>
      <c r="AC33" s="3637"/>
      <c r="AD33" s="3206" t="s">
        <v>251</v>
      </c>
      <c r="AE33" s="3206"/>
      <c r="AF33" s="5301"/>
    </row>
    <row r="34" spans="1:32">
      <c r="A34" s="4564"/>
      <c r="B34" s="4570"/>
      <c r="C34" s="4545"/>
      <c r="D34" s="4514"/>
      <c r="E34" s="4514"/>
      <c r="F34" s="4514"/>
      <c r="G34" s="4514"/>
      <c r="H34" s="4514"/>
      <c r="I34" s="4514"/>
      <c r="J34" s="4514"/>
      <c r="K34" s="4514"/>
      <c r="L34" s="4514"/>
      <c r="M34" s="4901"/>
      <c r="N34" s="4901"/>
      <c r="O34" s="4901"/>
      <c r="P34" s="4514"/>
      <c r="Q34" s="4514"/>
      <c r="R34" s="4518"/>
      <c r="S34" s="3311"/>
      <c r="T34" s="1891"/>
      <c r="U34" s="1848">
        <v>415160312</v>
      </c>
      <c r="V34" s="1883" t="s">
        <v>1493</v>
      </c>
      <c r="W34" s="1864">
        <v>13</v>
      </c>
      <c r="X34" s="3637" t="s">
        <v>269</v>
      </c>
      <c r="Y34" s="3214">
        <v>25</v>
      </c>
      <c r="Z34" s="3214">
        <f t="shared" si="4"/>
        <v>325</v>
      </c>
      <c r="AA34" s="3214">
        <f>(Z34*0.12)+Z34</f>
        <v>364</v>
      </c>
      <c r="AB34" s="3638"/>
      <c r="AC34" s="3637"/>
      <c r="AD34" s="3206" t="s">
        <v>251</v>
      </c>
      <c r="AE34" s="3206"/>
      <c r="AF34" s="5301"/>
    </row>
    <row r="35" spans="1:32">
      <c r="A35" s="4564"/>
      <c r="B35" s="4570"/>
      <c r="C35" s="4545"/>
      <c r="D35" s="4514"/>
      <c r="E35" s="4514"/>
      <c r="F35" s="4514"/>
      <c r="G35" s="4514"/>
      <c r="H35" s="4514"/>
      <c r="I35" s="4514"/>
      <c r="J35" s="4514"/>
      <c r="K35" s="4514"/>
      <c r="L35" s="4514"/>
      <c r="M35" s="4901"/>
      <c r="N35" s="4901"/>
      <c r="O35" s="4901"/>
      <c r="P35" s="4514"/>
      <c r="Q35" s="4514"/>
      <c r="R35" s="4518"/>
      <c r="S35" s="3311"/>
      <c r="T35" s="1891"/>
      <c r="U35" s="1848" t="s">
        <v>1494</v>
      </c>
      <c r="V35" s="1883" t="s">
        <v>6032</v>
      </c>
      <c r="W35" s="1864">
        <v>4</v>
      </c>
      <c r="X35" s="3637" t="s">
        <v>1008</v>
      </c>
      <c r="Y35" s="3214">
        <v>24.992000000000001</v>
      </c>
      <c r="Z35" s="3214">
        <f t="shared" si="4"/>
        <v>99.968000000000004</v>
      </c>
      <c r="AA35" s="3214">
        <f t="shared" ref="AA35:AA41" si="6">((Z35*0.12)+Z35)</f>
        <v>111.96416000000001</v>
      </c>
      <c r="AB35" s="3638"/>
      <c r="AC35" s="3637"/>
      <c r="AD35" s="3206" t="s">
        <v>251</v>
      </c>
      <c r="AE35" s="3206"/>
      <c r="AF35" s="5301"/>
    </row>
    <row r="36" spans="1:32">
      <c r="A36" s="4564"/>
      <c r="B36" s="4570"/>
      <c r="C36" s="4545"/>
      <c r="D36" s="4514"/>
      <c r="E36" s="4514"/>
      <c r="F36" s="4514"/>
      <c r="G36" s="4514"/>
      <c r="H36" s="4514"/>
      <c r="I36" s="4514"/>
      <c r="J36" s="4514"/>
      <c r="K36" s="4514"/>
      <c r="L36" s="4514"/>
      <c r="M36" s="4901"/>
      <c r="N36" s="4901"/>
      <c r="O36" s="4901"/>
      <c r="P36" s="4514"/>
      <c r="Q36" s="4514"/>
      <c r="R36" s="4518"/>
      <c r="S36" s="3311"/>
      <c r="T36" s="1891"/>
      <c r="U36" s="1848" t="s">
        <v>1495</v>
      </c>
      <c r="V36" s="1883" t="s">
        <v>6033</v>
      </c>
      <c r="W36" s="1864">
        <v>15</v>
      </c>
      <c r="X36" s="3637" t="s">
        <v>1496</v>
      </c>
      <c r="Y36" s="3214">
        <v>20</v>
      </c>
      <c r="Z36" s="3214">
        <f t="shared" si="4"/>
        <v>300</v>
      </c>
      <c r="AA36" s="3214">
        <f t="shared" si="6"/>
        <v>336</v>
      </c>
      <c r="AB36" s="3638"/>
      <c r="AC36" s="3637"/>
      <c r="AD36" s="3206" t="s">
        <v>251</v>
      </c>
      <c r="AE36" s="3206"/>
      <c r="AF36" s="5301"/>
    </row>
    <row r="37" spans="1:32">
      <c r="A37" s="4564"/>
      <c r="B37" s="4570"/>
      <c r="C37" s="4545"/>
      <c r="D37" s="4514"/>
      <c r="E37" s="4514"/>
      <c r="F37" s="4514"/>
      <c r="G37" s="4514"/>
      <c r="H37" s="4514"/>
      <c r="I37" s="4514"/>
      <c r="J37" s="4514"/>
      <c r="K37" s="4514"/>
      <c r="L37" s="4514"/>
      <c r="M37" s="4901"/>
      <c r="N37" s="4901"/>
      <c r="O37" s="4901"/>
      <c r="P37" s="4514"/>
      <c r="Q37" s="4514"/>
      <c r="R37" s="4518"/>
      <c r="S37" s="3311"/>
      <c r="T37" s="1891"/>
      <c r="U37" s="1848" t="s">
        <v>1497</v>
      </c>
      <c r="V37" s="1883" t="s">
        <v>6034</v>
      </c>
      <c r="W37" s="1864">
        <v>48</v>
      </c>
      <c r="X37" s="3637" t="s">
        <v>1498</v>
      </c>
      <c r="Y37" s="3214">
        <v>0.3</v>
      </c>
      <c r="Z37" s="3214">
        <f t="shared" si="4"/>
        <v>14.399999999999999</v>
      </c>
      <c r="AA37" s="3214">
        <f t="shared" si="6"/>
        <v>16.128</v>
      </c>
      <c r="AB37" s="3638"/>
      <c r="AC37" s="3637"/>
      <c r="AD37" s="3206" t="s">
        <v>251</v>
      </c>
      <c r="AE37" s="3206"/>
      <c r="AF37" s="5301"/>
    </row>
    <row r="38" spans="1:32">
      <c r="A38" s="4564"/>
      <c r="B38" s="4570"/>
      <c r="C38" s="4545"/>
      <c r="D38" s="4514"/>
      <c r="E38" s="4514"/>
      <c r="F38" s="4514"/>
      <c r="G38" s="4514"/>
      <c r="H38" s="4514"/>
      <c r="I38" s="4514"/>
      <c r="J38" s="4514"/>
      <c r="K38" s="4514"/>
      <c r="L38" s="4514"/>
      <c r="M38" s="4901"/>
      <c r="N38" s="4901"/>
      <c r="O38" s="4901"/>
      <c r="P38" s="4514"/>
      <c r="Q38" s="4514"/>
      <c r="R38" s="4518"/>
      <c r="S38" s="3311"/>
      <c r="T38" s="1891"/>
      <c r="U38" s="1848">
        <v>429120014</v>
      </c>
      <c r="V38" s="1883" t="s">
        <v>6035</v>
      </c>
      <c r="W38" s="1864">
        <v>5</v>
      </c>
      <c r="X38" s="3637" t="s">
        <v>269</v>
      </c>
      <c r="Y38" s="3214">
        <v>2.5</v>
      </c>
      <c r="Z38" s="3214">
        <f t="shared" si="4"/>
        <v>12.5</v>
      </c>
      <c r="AA38" s="3214">
        <f t="shared" si="6"/>
        <v>14</v>
      </c>
      <c r="AB38" s="3638"/>
      <c r="AC38" s="3637"/>
      <c r="AD38" s="3206" t="s">
        <v>251</v>
      </c>
      <c r="AE38" s="3206"/>
      <c r="AF38" s="5301"/>
    </row>
    <row r="39" spans="1:32">
      <c r="A39" s="4564"/>
      <c r="B39" s="4570"/>
      <c r="C39" s="4545"/>
      <c r="D39" s="4514"/>
      <c r="E39" s="4514"/>
      <c r="F39" s="4514"/>
      <c r="G39" s="4514"/>
      <c r="H39" s="4514"/>
      <c r="I39" s="4514"/>
      <c r="J39" s="4514"/>
      <c r="K39" s="4514"/>
      <c r="L39" s="4514"/>
      <c r="M39" s="4901"/>
      <c r="N39" s="4901"/>
      <c r="O39" s="4901"/>
      <c r="P39" s="4514"/>
      <c r="Q39" s="4514"/>
      <c r="R39" s="4518"/>
      <c r="S39" s="3311"/>
      <c r="T39" s="1891"/>
      <c r="U39" s="1849">
        <v>319110012</v>
      </c>
      <c r="V39" s="1883" t="s">
        <v>6036</v>
      </c>
      <c r="W39" s="1864">
        <v>20</v>
      </c>
      <c r="X39" s="3637" t="s">
        <v>269</v>
      </c>
      <c r="Y39" s="3214">
        <v>3.5</v>
      </c>
      <c r="Z39" s="3214">
        <f t="shared" si="4"/>
        <v>70</v>
      </c>
      <c r="AA39" s="3214">
        <f t="shared" si="6"/>
        <v>78.400000000000006</v>
      </c>
      <c r="AB39" s="3638"/>
      <c r="AC39" s="3637"/>
      <c r="AD39" s="3206" t="s">
        <v>251</v>
      </c>
      <c r="AE39" s="3206"/>
      <c r="AF39" s="5301"/>
    </row>
    <row r="40" spans="1:32">
      <c r="A40" s="4564"/>
      <c r="B40" s="4570"/>
      <c r="C40" s="4545"/>
      <c r="D40" s="4514"/>
      <c r="E40" s="4514"/>
      <c r="F40" s="4514"/>
      <c r="G40" s="4514"/>
      <c r="H40" s="4514"/>
      <c r="I40" s="4514"/>
      <c r="J40" s="4514"/>
      <c r="K40" s="4514"/>
      <c r="L40" s="4514"/>
      <c r="M40" s="4901"/>
      <c r="N40" s="4901"/>
      <c r="O40" s="4901"/>
      <c r="P40" s="4514"/>
      <c r="Q40" s="4514"/>
      <c r="R40" s="4518"/>
      <c r="S40" s="3311"/>
      <c r="T40" s="1891"/>
      <c r="U40" s="1849">
        <v>463400125</v>
      </c>
      <c r="V40" s="1883" t="s">
        <v>6037</v>
      </c>
      <c r="W40" s="1864">
        <v>5</v>
      </c>
      <c r="X40" s="3637" t="s">
        <v>269</v>
      </c>
      <c r="Y40" s="3214">
        <v>49</v>
      </c>
      <c r="Z40" s="3214">
        <f t="shared" si="4"/>
        <v>245</v>
      </c>
      <c r="AA40" s="3214">
        <f t="shared" si="6"/>
        <v>274.39999999999998</v>
      </c>
      <c r="AB40" s="3638"/>
      <c r="AC40" s="3637"/>
      <c r="AD40" s="3206" t="s">
        <v>251</v>
      </c>
      <c r="AE40" s="3206"/>
      <c r="AF40" s="5301"/>
    </row>
    <row r="41" spans="1:32">
      <c r="A41" s="4564"/>
      <c r="B41" s="4570"/>
      <c r="C41" s="4545"/>
      <c r="D41" s="4514"/>
      <c r="E41" s="4514"/>
      <c r="F41" s="4514"/>
      <c r="G41" s="4514"/>
      <c r="H41" s="4514"/>
      <c r="I41" s="4514"/>
      <c r="J41" s="4514"/>
      <c r="K41" s="4514"/>
      <c r="L41" s="4514"/>
      <c r="M41" s="4901"/>
      <c r="N41" s="4901"/>
      <c r="O41" s="4901"/>
      <c r="P41" s="4514"/>
      <c r="Q41" s="4514"/>
      <c r="R41" s="4518"/>
      <c r="S41" s="3311"/>
      <c r="T41" s="1891"/>
      <c r="U41" s="1849">
        <v>463400126</v>
      </c>
      <c r="V41" s="1883" t="s">
        <v>6038</v>
      </c>
      <c r="W41" s="1864">
        <v>3</v>
      </c>
      <c r="X41" s="3637" t="s">
        <v>269</v>
      </c>
      <c r="Y41" s="3214">
        <v>46</v>
      </c>
      <c r="Z41" s="3214">
        <f t="shared" si="4"/>
        <v>138</v>
      </c>
      <c r="AA41" s="3214">
        <f t="shared" si="6"/>
        <v>154.56</v>
      </c>
      <c r="AB41" s="3638"/>
      <c r="AC41" s="3637"/>
      <c r="AD41" s="3206" t="s">
        <v>251</v>
      </c>
      <c r="AE41" s="3206"/>
      <c r="AF41" s="5301"/>
    </row>
    <row r="42" spans="1:32">
      <c r="A42" s="4564"/>
      <c r="B42" s="4570"/>
      <c r="C42" s="4545"/>
      <c r="D42" s="4514"/>
      <c r="E42" s="4514"/>
      <c r="F42" s="4514"/>
      <c r="G42" s="4514"/>
      <c r="H42" s="4514"/>
      <c r="I42" s="4514"/>
      <c r="J42" s="4514"/>
      <c r="K42" s="4514"/>
      <c r="L42" s="4514"/>
      <c r="M42" s="4901"/>
      <c r="N42" s="4901"/>
      <c r="O42" s="4901"/>
      <c r="P42" s="4514"/>
      <c r="Q42" s="4514"/>
      <c r="R42" s="4518"/>
      <c r="S42" s="3311"/>
      <c r="T42" s="1891"/>
      <c r="U42" s="1849"/>
      <c r="V42" s="3789"/>
      <c r="W42" s="1864"/>
      <c r="X42" s="3637"/>
      <c r="Y42" s="3214"/>
      <c r="Z42" s="3214"/>
      <c r="AA42" s="3214"/>
      <c r="AB42" s="3638"/>
      <c r="AC42" s="3637"/>
      <c r="AD42" s="3206"/>
      <c r="AE42" s="3206"/>
      <c r="AF42" s="5301"/>
    </row>
    <row r="43" spans="1:32">
      <c r="A43" s="4564"/>
      <c r="B43" s="4570"/>
      <c r="C43" s="4545"/>
      <c r="D43" s="4514"/>
      <c r="E43" s="4514"/>
      <c r="F43" s="4514"/>
      <c r="G43" s="4514"/>
      <c r="H43" s="4514"/>
      <c r="I43" s="4514"/>
      <c r="J43" s="4514"/>
      <c r="K43" s="4514"/>
      <c r="L43" s="4514"/>
      <c r="M43" s="4901"/>
      <c r="N43" s="4901"/>
      <c r="O43" s="4901"/>
      <c r="P43" s="4514"/>
      <c r="Q43" s="4514"/>
      <c r="R43" s="4518"/>
      <c r="S43" s="3311" t="s">
        <v>39</v>
      </c>
      <c r="T43" s="1891">
        <v>531601</v>
      </c>
      <c r="U43" s="1849"/>
      <c r="V43" s="3789" t="s">
        <v>166</v>
      </c>
      <c r="W43" s="1864"/>
      <c r="X43" s="3637"/>
      <c r="Y43" s="3214"/>
      <c r="Z43" s="3214"/>
      <c r="AA43" s="3214"/>
      <c r="AB43" s="3638">
        <f>SUM($AA$44)</f>
        <v>672</v>
      </c>
      <c r="AC43" s="3637"/>
      <c r="AD43" s="3206"/>
      <c r="AE43" s="3206"/>
      <c r="AF43" s="5301"/>
    </row>
    <row r="44" spans="1:32">
      <c r="A44" s="4564"/>
      <c r="B44" s="4570"/>
      <c r="C44" s="4545"/>
      <c r="D44" s="4514"/>
      <c r="E44" s="4514"/>
      <c r="F44" s="4514"/>
      <c r="G44" s="4514"/>
      <c r="H44" s="4514"/>
      <c r="I44" s="4514"/>
      <c r="J44" s="4514"/>
      <c r="K44" s="4514"/>
      <c r="L44" s="4514"/>
      <c r="M44" s="4901"/>
      <c r="N44" s="4901"/>
      <c r="O44" s="4901"/>
      <c r="P44" s="4514"/>
      <c r="Q44" s="4514"/>
      <c r="R44" s="4518"/>
      <c r="S44" s="3311"/>
      <c r="T44" s="1891"/>
      <c r="U44" s="1849"/>
      <c r="V44" s="1883" t="s">
        <v>1499</v>
      </c>
      <c r="W44" s="1864">
        <v>1</v>
      </c>
      <c r="X44" s="3637" t="s">
        <v>269</v>
      </c>
      <c r="Y44" s="3214">
        <v>600</v>
      </c>
      <c r="Z44" s="3214">
        <f>Y44*W44</f>
        <v>600</v>
      </c>
      <c r="AA44" s="3214">
        <f>((Z44*0.12)+Z44)</f>
        <v>672</v>
      </c>
      <c r="AB44" s="3638"/>
      <c r="AC44" s="3637" t="s">
        <v>251</v>
      </c>
      <c r="AD44" s="3206" t="s">
        <v>251</v>
      </c>
      <c r="AE44" s="3206" t="s">
        <v>251</v>
      </c>
      <c r="AF44" s="5301"/>
    </row>
    <row r="45" spans="1:32">
      <c r="A45" s="4564"/>
      <c r="B45" s="4570"/>
      <c r="C45" s="4545"/>
      <c r="D45" s="4514"/>
      <c r="E45" s="4514"/>
      <c r="F45" s="4514"/>
      <c r="G45" s="4514"/>
      <c r="H45" s="4514"/>
      <c r="I45" s="4514"/>
      <c r="J45" s="4514"/>
      <c r="K45" s="4514"/>
      <c r="L45" s="4514"/>
      <c r="M45" s="4901"/>
      <c r="N45" s="4901"/>
      <c r="O45" s="4901"/>
      <c r="P45" s="4514"/>
      <c r="Q45" s="4514"/>
      <c r="R45" s="4518"/>
      <c r="S45" s="3311"/>
      <c r="T45" s="1891"/>
      <c r="U45" s="1849"/>
      <c r="V45" s="3789"/>
      <c r="W45" s="1864"/>
      <c r="X45" s="3637"/>
      <c r="Y45" s="3214"/>
      <c r="Z45" s="3214"/>
      <c r="AA45" s="3214"/>
      <c r="AB45" s="3638"/>
      <c r="AC45" s="3637"/>
      <c r="AD45" s="3206"/>
      <c r="AE45" s="3206"/>
      <c r="AF45" s="5301"/>
    </row>
    <row r="46" spans="1:32" ht="25.5">
      <c r="A46" s="4564"/>
      <c r="B46" s="4570"/>
      <c r="C46" s="4545"/>
      <c r="D46" s="4514"/>
      <c r="E46" s="4514"/>
      <c r="F46" s="4514"/>
      <c r="G46" s="4514"/>
      <c r="H46" s="4514"/>
      <c r="I46" s="4514"/>
      <c r="J46" s="4514"/>
      <c r="K46" s="4514"/>
      <c r="L46" s="4514"/>
      <c r="M46" s="4901"/>
      <c r="N46" s="4901"/>
      <c r="O46" s="4901"/>
      <c r="P46" s="4514"/>
      <c r="Q46" s="4514"/>
      <c r="R46" s="4518"/>
      <c r="S46" s="3311" t="s">
        <v>17</v>
      </c>
      <c r="T46" s="1891">
        <v>530204</v>
      </c>
      <c r="U46" s="1849"/>
      <c r="V46" s="3789" t="s">
        <v>162</v>
      </c>
      <c r="W46" s="1864"/>
      <c r="X46" s="3637"/>
      <c r="Y46" s="3214"/>
      <c r="Z46" s="3214"/>
      <c r="AA46" s="3214"/>
      <c r="AB46" s="3638">
        <f>SUM($AA$47)</f>
        <v>0</v>
      </c>
      <c r="AC46" s="3637"/>
      <c r="AD46" s="3206"/>
      <c r="AE46" s="3206"/>
      <c r="AF46" s="5301"/>
    </row>
    <row r="47" spans="1:32">
      <c r="A47" s="4564"/>
      <c r="B47" s="4570"/>
      <c r="C47" s="4545"/>
      <c r="D47" s="4514"/>
      <c r="E47" s="4514"/>
      <c r="F47" s="4514"/>
      <c r="G47" s="4514"/>
      <c r="H47" s="4514"/>
      <c r="I47" s="4514"/>
      <c r="J47" s="4514"/>
      <c r="K47" s="4514"/>
      <c r="L47" s="4514"/>
      <c r="M47" s="4901"/>
      <c r="N47" s="4901"/>
      <c r="O47" s="4901"/>
      <c r="P47" s="4514"/>
      <c r="Q47" s="4514"/>
      <c r="R47" s="4518"/>
      <c r="S47" s="3311"/>
      <c r="T47" s="1891"/>
      <c r="U47" s="1849"/>
      <c r="V47" s="1883" t="s">
        <v>1500</v>
      </c>
      <c r="W47" s="1864"/>
      <c r="X47" s="3637" t="s">
        <v>250</v>
      </c>
      <c r="Y47" s="3214">
        <v>11000</v>
      </c>
      <c r="Z47" s="3214">
        <f>+W47*Y47</f>
        <v>0</v>
      </c>
      <c r="AA47" s="3214">
        <f>+Z47*1.12</f>
        <v>0</v>
      </c>
      <c r="AB47" s="3214"/>
      <c r="AC47" s="3637"/>
      <c r="AD47" s="4095" t="s">
        <v>251</v>
      </c>
      <c r="AE47" s="4095"/>
      <c r="AF47" s="5301"/>
    </row>
    <row r="48" spans="1:32">
      <c r="A48" s="4564"/>
      <c r="B48" s="4570"/>
      <c r="C48" s="4573"/>
      <c r="D48" s="4515"/>
      <c r="E48" s="4515"/>
      <c r="F48" s="4515"/>
      <c r="G48" s="4515"/>
      <c r="H48" s="4515"/>
      <c r="I48" s="4515"/>
      <c r="J48" s="4515"/>
      <c r="K48" s="4515"/>
      <c r="L48" s="4515"/>
      <c r="M48" s="5222"/>
      <c r="N48" s="5222"/>
      <c r="O48" s="5222"/>
      <c r="P48" s="4515"/>
      <c r="Q48" s="4515"/>
      <c r="R48" s="4519"/>
      <c r="S48" s="3312"/>
      <c r="T48" s="3819"/>
      <c r="U48" s="3268"/>
      <c r="V48" s="3641"/>
      <c r="W48" s="3233"/>
      <c r="X48" s="3642"/>
      <c r="Y48" s="3282"/>
      <c r="Z48" s="3282"/>
      <c r="AA48" s="3282"/>
      <c r="AB48" s="3643"/>
      <c r="AC48" s="3642"/>
      <c r="AD48" s="4117"/>
      <c r="AE48" s="4117"/>
      <c r="AF48" s="5303"/>
    </row>
    <row r="49" spans="1:32" ht="24" customHeight="1">
      <c r="A49" s="4564"/>
      <c r="B49" s="4570"/>
      <c r="C49" s="5236" t="s">
        <v>235</v>
      </c>
      <c r="D49" s="4395" t="s">
        <v>236</v>
      </c>
      <c r="E49" s="4395" t="s">
        <v>244</v>
      </c>
      <c r="F49" s="4395" t="s">
        <v>808</v>
      </c>
      <c r="G49" s="4930" t="s">
        <v>239</v>
      </c>
      <c r="H49" s="4395" t="s">
        <v>240</v>
      </c>
      <c r="I49" s="4395" t="s">
        <v>257</v>
      </c>
      <c r="J49" s="4395" t="s">
        <v>1501</v>
      </c>
      <c r="K49" s="4395" t="s">
        <v>1502</v>
      </c>
      <c r="L49" s="4399" t="s">
        <v>1503</v>
      </c>
      <c r="M49" s="4401">
        <v>1</v>
      </c>
      <c r="N49" s="4401">
        <v>0</v>
      </c>
      <c r="O49" s="4401">
        <v>1</v>
      </c>
      <c r="P49" s="4395" t="s">
        <v>1504</v>
      </c>
      <c r="Q49" s="4395" t="s">
        <v>1505</v>
      </c>
      <c r="R49" s="4897" t="s">
        <v>6064</v>
      </c>
      <c r="S49" s="3313"/>
      <c r="T49" s="3071"/>
      <c r="U49" s="3274"/>
      <c r="V49" s="4069"/>
      <c r="W49" s="4070"/>
      <c r="X49" s="4033"/>
      <c r="Y49" s="3295"/>
      <c r="Z49" s="3295"/>
      <c r="AA49" s="3295"/>
      <c r="AB49" s="4115"/>
      <c r="AC49" s="4033"/>
      <c r="AD49" s="4116"/>
      <c r="AE49" s="4116"/>
      <c r="AF49" s="5209"/>
    </row>
    <row r="50" spans="1:32" ht="24" customHeight="1">
      <c r="A50" s="4564"/>
      <c r="B50" s="4570"/>
      <c r="C50" s="4545"/>
      <c r="D50" s="4514"/>
      <c r="E50" s="4514"/>
      <c r="F50" s="4514"/>
      <c r="G50" s="4514"/>
      <c r="H50" s="4514"/>
      <c r="I50" s="4514"/>
      <c r="J50" s="4514"/>
      <c r="K50" s="4514"/>
      <c r="L50" s="4514"/>
      <c r="M50" s="4901"/>
      <c r="N50" s="4901"/>
      <c r="O50" s="4901"/>
      <c r="P50" s="4514"/>
      <c r="Q50" s="4514"/>
      <c r="R50" s="4518"/>
      <c r="S50" s="3311"/>
      <c r="T50" s="1891"/>
      <c r="U50" s="1849"/>
      <c r="V50" s="1883"/>
      <c r="W50" s="1864"/>
      <c r="X50" s="3637"/>
      <c r="Y50" s="3214"/>
      <c r="Z50" s="3214"/>
      <c r="AA50" s="3214"/>
      <c r="AB50" s="3638"/>
      <c r="AC50" s="3637"/>
      <c r="AD50" s="3206"/>
      <c r="AE50" s="3206"/>
      <c r="AF50" s="5301"/>
    </row>
    <row r="51" spans="1:32" ht="24" customHeight="1">
      <c r="A51" s="4564"/>
      <c r="B51" s="4570"/>
      <c r="C51" s="4545"/>
      <c r="D51" s="4514"/>
      <c r="E51" s="4514"/>
      <c r="F51" s="4514"/>
      <c r="G51" s="4514"/>
      <c r="H51" s="4514"/>
      <c r="I51" s="4514"/>
      <c r="J51" s="4514"/>
      <c r="K51" s="4514"/>
      <c r="L51" s="4514"/>
      <c r="M51" s="4901"/>
      <c r="N51" s="4901"/>
      <c r="O51" s="4901"/>
      <c r="P51" s="4514"/>
      <c r="Q51" s="4514"/>
      <c r="R51" s="4518"/>
      <c r="S51" s="3311"/>
      <c r="T51" s="1891"/>
      <c r="U51" s="1849"/>
      <c r="V51" s="1883"/>
      <c r="W51" s="1864"/>
      <c r="X51" s="3637"/>
      <c r="Y51" s="3214"/>
      <c r="Z51" s="3214"/>
      <c r="AA51" s="3214"/>
      <c r="AB51" s="3638"/>
      <c r="AC51" s="3637"/>
      <c r="AD51" s="3206"/>
      <c r="AE51" s="3206"/>
      <c r="AF51" s="5301"/>
    </row>
    <row r="52" spans="1:32" ht="24" customHeight="1">
      <c r="A52" s="4564"/>
      <c r="B52" s="4570"/>
      <c r="C52" s="4545"/>
      <c r="D52" s="4514"/>
      <c r="E52" s="4514"/>
      <c r="F52" s="4514"/>
      <c r="G52" s="4514"/>
      <c r="H52" s="4514"/>
      <c r="I52" s="4514"/>
      <c r="J52" s="4514"/>
      <c r="K52" s="4514"/>
      <c r="L52" s="4514"/>
      <c r="M52" s="4901"/>
      <c r="N52" s="4901"/>
      <c r="O52" s="4901"/>
      <c r="P52" s="4514"/>
      <c r="Q52" s="4514"/>
      <c r="R52" s="4518"/>
      <c r="S52" s="3311"/>
      <c r="T52" s="1891"/>
      <c r="U52" s="1849"/>
      <c r="V52" s="1883"/>
      <c r="W52" s="1864"/>
      <c r="X52" s="3637"/>
      <c r="Y52" s="3214"/>
      <c r="Z52" s="3214"/>
      <c r="AA52" s="3214"/>
      <c r="AB52" s="3638"/>
      <c r="AC52" s="3637"/>
      <c r="AD52" s="3206"/>
      <c r="AE52" s="3206"/>
      <c r="AF52" s="5301"/>
    </row>
    <row r="53" spans="1:32" ht="24" customHeight="1">
      <c r="A53" s="4564"/>
      <c r="B53" s="4570"/>
      <c r="C53" s="4566"/>
      <c r="D53" s="4525"/>
      <c r="E53" s="4525"/>
      <c r="F53" s="4525"/>
      <c r="G53" s="4525"/>
      <c r="H53" s="4525"/>
      <c r="I53" s="4525"/>
      <c r="J53" s="4525"/>
      <c r="K53" s="4525"/>
      <c r="L53" s="4525"/>
      <c r="M53" s="4902"/>
      <c r="N53" s="4902"/>
      <c r="O53" s="4902"/>
      <c r="P53" s="4525"/>
      <c r="Q53" s="4525"/>
      <c r="R53" s="4528"/>
      <c r="S53" s="3314"/>
      <c r="T53" s="3821"/>
      <c r="U53" s="3271"/>
      <c r="V53" s="3822"/>
      <c r="W53" s="3254"/>
      <c r="X53" s="4037"/>
      <c r="Y53" s="3291"/>
      <c r="Z53" s="3291"/>
      <c r="AA53" s="3291"/>
      <c r="AB53" s="4118"/>
      <c r="AC53" s="4037"/>
      <c r="AD53" s="4119"/>
      <c r="AE53" s="4119"/>
      <c r="AF53" s="5302"/>
    </row>
    <row r="54" spans="1:32" ht="18" customHeight="1">
      <c r="A54" s="4564"/>
      <c r="B54" s="4570"/>
      <c r="C54" s="5239" t="s">
        <v>235</v>
      </c>
      <c r="D54" s="4377" t="s">
        <v>236</v>
      </c>
      <c r="E54" s="4377" t="s">
        <v>244</v>
      </c>
      <c r="F54" s="4377" t="s">
        <v>430</v>
      </c>
      <c r="G54" s="4906" t="s">
        <v>239</v>
      </c>
      <c r="H54" s="4377" t="s">
        <v>240</v>
      </c>
      <c r="I54" s="4377" t="s">
        <v>257</v>
      </c>
      <c r="J54" s="4377" t="s">
        <v>1506</v>
      </c>
      <c r="K54" s="4377" t="s">
        <v>1507</v>
      </c>
      <c r="L54" s="4377" t="s">
        <v>1508</v>
      </c>
      <c r="M54" s="4392">
        <v>8</v>
      </c>
      <c r="N54" s="4392">
        <v>8</v>
      </c>
      <c r="O54" s="4392">
        <v>8</v>
      </c>
      <c r="P54" s="4377" t="s">
        <v>1509</v>
      </c>
      <c r="Q54" s="4377" t="s">
        <v>1510</v>
      </c>
      <c r="R54" s="4903" t="s">
        <v>6063</v>
      </c>
      <c r="S54" s="3310"/>
      <c r="T54" s="3270"/>
      <c r="U54" s="3272"/>
      <c r="V54" s="4068"/>
      <c r="W54" s="4071"/>
      <c r="X54" s="3632"/>
      <c r="Y54" s="3633"/>
      <c r="Z54" s="3633"/>
      <c r="AA54" s="3633"/>
      <c r="AB54" s="3634"/>
      <c r="AC54" s="3632"/>
      <c r="AD54" s="4120"/>
      <c r="AE54" s="4120"/>
      <c r="AF54" s="5217"/>
    </row>
    <row r="55" spans="1:32" ht="18" customHeight="1">
      <c r="A55" s="4564"/>
      <c r="B55" s="4570"/>
      <c r="C55" s="4545"/>
      <c r="D55" s="4514"/>
      <c r="E55" s="4514"/>
      <c r="F55" s="4514"/>
      <c r="G55" s="4514"/>
      <c r="H55" s="4514"/>
      <c r="I55" s="4514"/>
      <c r="J55" s="4514"/>
      <c r="K55" s="4514"/>
      <c r="L55" s="4514"/>
      <c r="M55" s="4901"/>
      <c r="N55" s="4901"/>
      <c r="O55" s="4901"/>
      <c r="P55" s="4514"/>
      <c r="Q55" s="4514"/>
      <c r="R55" s="4518"/>
      <c r="S55" s="3311"/>
      <c r="T55" s="1891"/>
      <c r="U55" s="1849"/>
      <c r="V55" s="1883"/>
      <c r="W55" s="1864"/>
      <c r="X55" s="3637"/>
      <c r="Y55" s="3214"/>
      <c r="Z55" s="3214"/>
      <c r="AA55" s="3214"/>
      <c r="AB55" s="3638"/>
      <c r="AC55" s="3637"/>
      <c r="AD55" s="3206"/>
      <c r="AE55" s="3206"/>
      <c r="AF55" s="5301"/>
    </row>
    <row r="56" spans="1:32" ht="18" customHeight="1">
      <c r="A56" s="4564"/>
      <c r="B56" s="4570"/>
      <c r="C56" s="4545"/>
      <c r="D56" s="4514"/>
      <c r="E56" s="4514"/>
      <c r="F56" s="4514"/>
      <c r="G56" s="4514"/>
      <c r="H56" s="4514"/>
      <c r="I56" s="4514"/>
      <c r="J56" s="4514"/>
      <c r="K56" s="4514"/>
      <c r="L56" s="4514"/>
      <c r="M56" s="4901"/>
      <c r="N56" s="4901"/>
      <c r="O56" s="4901"/>
      <c r="P56" s="4514"/>
      <c r="Q56" s="4514"/>
      <c r="R56" s="4518"/>
      <c r="S56" s="3311"/>
      <c r="T56" s="1891"/>
      <c r="U56" s="1849"/>
      <c r="V56" s="1883"/>
      <c r="W56" s="1864"/>
      <c r="X56" s="3637"/>
      <c r="Y56" s="3214"/>
      <c r="Z56" s="3214"/>
      <c r="AA56" s="3214"/>
      <c r="AB56" s="3638"/>
      <c r="AC56" s="3637"/>
      <c r="AD56" s="3206"/>
      <c r="AE56" s="3206"/>
      <c r="AF56" s="5301"/>
    </row>
    <row r="57" spans="1:32" ht="18" customHeight="1">
      <c r="A57" s="4564"/>
      <c r="B57" s="4570"/>
      <c r="C57" s="4545"/>
      <c r="D57" s="4514"/>
      <c r="E57" s="4514"/>
      <c r="F57" s="4514"/>
      <c r="G57" s="4514"/>
      <c r="H57" s="4514"/>
      <c r="I57" s="4514"/>
      <c r="J57" s="4514"/>
      <c r="K57" s="4514"/>
      <c r="L57" s="4514"/>
      <c r="M57" s="4901"/>
      <c r="N57" s="4901"/>
      <c r="O57" s="4901"/>
      <c r="P57" s="4514"/>
      <c r="Q57" s="4514"/>
      <c r="R57" s="4518"/>
      <c r="S57" s="3311"/>
      <c r="T57" s="1891"/>
      <c r="U57" s="1849"/>
      <c r="V57" s="1883"/>
      <c r="W57" s="1864"/>
      <c r="X57" s="3637"/>
      <c r="Y57" s="3214"/>
      <c r="Z57" s="3214"/>
      <c r="AA57" s="3214"/>
      <c r="AB57" s="3638"/>
      <c r="AC57" s="3637"/>
      <c r="AD57" s="3206"/>
      <c r="AE57" s="3206"/>
      <c r="AF57" s="5301"/>
    </row>
    <row r="58" spans="1:32" ht="48" customHeight="1">
      <c r="A58" s="4564"/>
      <c r="B58" s="4570"/>
      <c r="C58" s="4573"/>
      <c r="D58" s="4515"/>
      <c r="E58" s="4515"/>
      <c r="F58" s="4515"/>
      <c r="G58" s="4515"/>
      <c r="H58" s="4515"/>
      <c r="I58" s="4515"/>
      <c r="J58" s="4515"/>
      <c r="K58" s="4515"/>
      <c r="L58" s="4515"/>
      <c r="M58" s="5222"/>
      <c r="N58" s="5222"/>
      <c r="O58" s="5222"/>
      <c r="P58" s="4515"/>
      <c r="Q58" s="4515"/>
      <c r="R58" s="4519"/>
      <c r="S58" s="3312"/>
      <c r="T58" s="3819"/>
      <c r="U58" s="3268"/>
      <c r="V58" s="3641"/>
      <c r="W58" s="3233"/>
      <c r="X58" s="3642"/>
      <c r="Y58" s="3282"/>
      <c r="Z58" s="3282"/>
      <c r="AA58" s="3282"/>
      <c r="AB58" s="3643"/>
      <c r="AC58" s="3642"/>
      <c r="AD58" s="4117"/>
      <c r="AE58" s="4117"/>
      <c r="AF58" s="5303"/>
    </row>
    <row r="59" spans="1:32">
      <c r="A59" s="4564"/>
      <c r="B59" s="4570"/>
      <c r="C59" s="5236" t="s">
        <v>272</v>
      </c>
      <c r="D59" s="4395" t="s">
        <v>302</v>
      </c>
      <c r="E59" s="4395" t="s">
        <v>274</v>
      </c>
      <c r="F59" s="4395" t="s">
        <v>885</v>
      </c>
      <c r="G59" s="4930" t="s">
        <v>305</v>
      </c>
      <c r="H59" s="4395" t="s">
        <v>262</v>
      </c>
      <c r="I59" s="4395" t="s">
        <v>257</v>
      </c>
      <c r="J59" s="4395" t="s">
        <v>1511</v>
      </c>
      <c r="K59" s="4395" t="s">
        <v>1512</v>
      </c>
      <c r="L59" s="4399" t="s">
        <v>1513</v>
      </c>
      <c r="M59" s="4401">
        <v>0</v>
      </c>
      <c r="N59" s="4401">
        <v>1</v>
      </c>
      <c r="O59" s="4401">
        <v>1</v>
      </c>
      <c r="P59" s="4395" t="s">
        <v>1514</v>
      </c>
      <c r="Q59" s="4395" t="s">
        <v>1515</v>
      </c>
      <c r="R59" s="4897" t="s">
        <v>6062</v>
      </c>
      <c r="S59" s="3313" t="s">
        <v>17</v>
      </c>
      <c r="T59" s="2474">
        <v>530605</v>
      </c>
      <c r="U59" s="2488"/>
      <c r="V59" s="4066" t="s">
        <v>36</v>
      </c>
      <c r="W59" s="4067"/>
      <c r="X59" s="2477"/>
      <c r="Y59" s="3145"/>
      <c r="Z59" s="3145"/>
      <c r="AA59" s="3145"/>
      <c r="AB59" s="3146">
        <f>SUM($AA$60:$AA$61)</f>
        <v>25760</v>
      </c>
      <c r="AC59" s="2477"/>
      <c r="AD59" s="4121"/>
      <c r="AE59" s="4121"/>
      <c r="AF59" s="4854"/>
    </row>
    <row r="60" spans="1:32" ht="51">
      <c r="A60" s="4564"/>
      <c r="B60" s="4570"/>
      <c r="C60" s="4545"/>
      <c r="D60" s="4514"/>
      <c r="E60" s="4514"/>
      <c r="F60" s="4514"/>
      <c r="G60" s="4514"/>
      <c r="H60" s="4514"/>
      <c r="I60" s="4514"/>
      <c r="J60" s="4514"/>
      <c r="K60" s="4514"/>
      <c r="L60" s="4514"/>
      <c r="M60" s="4901"/>
      <c r="N60" s="4901"/>
      <c r="O60" s="4901"/>
      <c r="P60" s="4514"/>
      <c r="Q60" s="4514"/>
      <c r="R60" s="4518"/>
      <c r="S60" s="2567"/>
      <c r="T60" s="1850"/>
      <c r="U60" s="1848" t="s">
        <v>1516</v>
      </c>
      <c r="V60" s="2432" t="s">
        <v>6039</v>
      </c>
      <c r="W60" s="2433">
        <v>1</v>
      </c>
      <c r="X60" s="2434" t="s">
        <v>269</v>
      </c>
      <c r="Y60" s="3132">
        <v>23000</v>
      </c>
      <c r="Z60" s="3132">
        <f t="shared" ref="Z60" si="7">Y60*W60</f>
        <v>23000</v>
      </c>
      <c r="AA60" s="3132">
        <f t="shared" ref="AA60" si="8">((Z60*0.12)+Z60)</f>
        <v>25760</v>
      </c>
      <c r="AB60" s="3136"/>
      <c r="AC60" s="2434"/>
      <c r="AD60" s="2437" t="s">
        <v>251</v>
      </c>
      <c r="AE60" s="2446"/>
      <c r="AF60" s="5301"/>
    </row>
    <row r="61" spans="1:32">
      <c r="A61" s="4564"/>
      <c r="B61" s="4570"/>
      <c r="C61" s="4545"/>
      <c r="D61" s="4514"/>
      <c r="E61" s="4514"/>
      <c r="F61" s="4514"/>
      <c r="G61" s="4514"/>
      <c r="H61" s="4514"/>
      <c r="I61" s="4514"/>
      <c r="J61" s="4514"/>
      <c r="K61" s="4514"/>
      <c r="L61" s="4514"/>
      <c r="M61" s="4901"/>
      <c r="N61" s="4901"/>
      <c r="O61" s="4901"/>
      <c r="P61" s="4514"/>
      <c r="Q61" s="4514"/>
      <c r="R61" s="4518"/>
      <c r="S61" s="2567"/>
      <c r="T61" s="1850"/>
      <c r="U61" s="1848"/>
      <c r="V61" s="4098"/>
      <c r="W61" s="2433"/>
      <c r="X61" s="2434"/>
      <c r="Y61" s="3132"/>
      <c r="Z61" s="3132"/>
      <c r="AA61" s="3132"/>
      <c r="AB61" s="3136"/>
      <c r="AC61" s="2434"/>
      <c r="AD61" s="2434"/>
      <c r="AE61" s="2437"/>
      <c r="AF61" s="5301"/>
    </row>
    <row r="62" spans="1:32">
      <c r="A62" s="4564"/>
      <c r="B62" s="4570"/>
      <c r="C62" s="4545"/>
      <c r="D62" s="4514"/>
      <c r="E62" s="4514"/>
      <c r="F62" s="4514"/>
      <c r="G62" s="4514"/>
      <c r="H62" s="4514"/>
      <c r="I62" s="4514"/>
      <c r="J62" s="4514"/>
      <c r="K62" s="4514"/>
      <c r="L62" s="4514"/>
      <c r="M62" s="4901"/>
      <c r="N62" s="4901"/>
      <c r="O62" s="4901"/>
      <c r="P62" s="4514"/>
      <c r="Q62" s="4514"/>
      <c r="R62" s="4518"/>
      <c r="S62" s="2567"/>
      <c r="T62" s="1850"/>
      <c r="U62" s="1848"/>
      <c r="V62" s="4098"/>
      <c r="W62" s="2433"/>
      <c r="X62" s="2434"/>
      <c r="Y62" s="3132"/>
      <c r="Z62" s="3132"/>
      <c r="AA62" s="3132"/>
      <c r="AB62" s="3136"/>
      <c r="AC62" s="2434"/>
      <c r="AD62" s="2434"/>
      <c r="AE62" s="2437"/>
      <c r="AF62" s="5301"/>
    </row>
    <row r="63" spans="1:32">
      <c r="A63" s="4564"/>
      <c r="B63" s="4570"/>
      <c r="C63" s="4545"/>
      <c r="D63" s="4514"/>
      <c r="E63" s="4514"/>
      <c r="F63" s="4514"/>
      <c r="G63" s="4514"/>
      <c r="H63" s="4514"/>
      <c r="I63" s="4514"/>
      <c r="J63" s="4514"/>
      <c r="K63" s="4514"/>
      <c r="L63" s="4514"/>
      <c r="M63" s="4901"/>
      <c r="N63" s="4901"/>
      <c r="O63" s="4901"/>
      <c r="P63" s="4514"/>
      <c r="Q63" s="4514"/>
      <c r="R63" s="4518"/>
      <c r="S63" s="3311" t="s">
        <v>17</v>
      </c>
      <c r="T63" s="1850">
        <v>840104</v>
      </c>
      <c r="U63" s="1848"/>
      <c r="V63" s="2441" t="s">
        <v>24</v>
      </c>
      <c r="W63" s="2433"/>
      <c r="X63" s="2434"/>
      <c r="Y63" s="3132"/>
      <c r="Z63" s="3132"/>
      <c r="AA63" s="3132"/>
      <c r="AB63" s="3136">
        <f>$AA$64</f>
        <v>22400.000000000004</v>
      </c>
      <c r="AC63" s="2434"/>
      <c r="AD63" s="2434"/>
      <c r="AE63" s="2437"/>
      <c r="AF63" s="5301"/>
    </row>
    <row r="64" spans="1:32" ht="38.25">
      <c r="A64" s="4564"/>
      <c r="B64" s="4570"/>
      <c r="C64" s="4545"/>
      <c r="D64" s="4514"/>
      <c r="E64" s="4514"/>
      <c r="F64" s="4514"/>
      <c r="G64" s="4514"/>
      <c r="H64" s="4514"/>
      <c r="I64" s="4514"/>
      <c r="J64" s="4514"/>
      <c r="K64" s="4514"/>
      <c r="L64" s="4514"/>
      <c r="M64" s="4901"/>
      <c r="N64" s="4901"/>
      <c r="O64" s="4901"/>
      <c r="P64" s="4514"/>
      <c r="Q64" s="4514"/>
      <c r="R64" s="4518"/>
      <c r="S64" s="2567"/>
      <c r="T64" s="1850"/>
      <c r="U64" s="1848" t="s">
        <v>1517</v>
      </c>
      <c r="V64" s="2432" t="s">
        <v>1518</v>
      </c>
      <c r="W64" s="2433">
        <v>1</v>
      </c>
      <c r="X64" s="2434" t="s">
        <v>269</v>
      </c>
      <c r="Y64" s="3132">
        <v>20000</v>
      </c>
      <c r="Z64" s="3132">
        <f>+W64*Y64</f>
        <v>20000</v>
      </c>
      <c r="AA64" s="3132">
        <f>+Z64*1.12</f>
        <v>22400.000000000004</v>
      </c>
      <c r="AB64" s="3136"/>
      <c r="AC64" s="4099"/>
      <c r="AD64" s="4100" t="s">
        <v>251</v>
      </c>
      <c r="AE64" s="2437"/>
      <c r="AF64" s="5301"/>
    </row>
    <row r="65" spans="1:32">
      <c r="A65" s="4564"/>
      <c r="B65" s="4570"/>
      <c r="C65" s="4545"/>
      <c r="D65" s="4514"/>
      <c r="E65" s="4514"/>
      <c r="F65" s="4514"/>
      <c r="G65" s="4514"/>
      <c r="H65" s="4514"/>
      <c r="I65" s="4514"/>
      <c r="J65" s="4514"/>
      <c r="K65" s="4514"/>
      <c r="L65" s="4514"/>
      <c r="M65" s="4901"/>
      <c r="N65" s="4901"/>
      <c r="O65" s="4901"/>
      <c r="P65" s="4514"/>
      <c r="Q65" s="4514"/>
      <c r="R65" s="4518"/>
      <c r="S65" s="2567"/>
      <c r="T65" s="1850"/>
      <c r="U65" s="1848"/>
      <c r="V65" s="2441"/>
      <c r="W65" s="2433"/>
      <c r="X65" s="2434"/>
      <c r="Y65" s="3132"/>
      <c r="Z65" s="3132"/>
      <c r="AA65" s="3132"/>
      <c r="AB65" s="3136"/>
      <c r="AC65" s="4101"/>
      <c r="AD65" s="2434"/>
      <c r="AE65" s="2437"/>
      <c r="AF65" s="5301"/>
    </row>
    <row r="66" spans="1:32" ht="25.5">
      <c r="A66" s="4564"/>
      <c r="B66" s="4570"/>
      <c r="C66" s="4545"/>
      <c r="D66" s="4514"/>
      <c r="E66" s="4514"/>
      <c r="F66" s="4514"/>
      <c r="G66" s="4514"/>
      <c r="H66" s="4514"/>
      <c r="I66" s="4514"/>
      <c r="J66" s="4514"/>
      <c r="K66" s="4514"/>
      <c r="L66" s="4514"/>
      <c r="M66" s="4901"/>
      <c r="N66" s="4901"/>
      <c r="O66" s="4901"/>
      <c r="P66" s="4514"/>
      <c r="Q66" s="4514"/>
      <c r="R66" s="4518"/>
      <c r="S66" s="3311" t="s">
        <v>17</v>
      </c>
      <c r="T66" s="1850">
        <v>530204</v>
      </c>
      <c r="U66" s="1848"/>
      <c r="V66" s="2441" t="s">
        <v>162</v>
      </c>
      <c r="W66" s="2433"/>
      <c r="X66" s="2434"/>
      <c r="Y66" s="3132"/>
      <c r="Z66" s="3132"/>
      <c r="AA66" s="3132"/>
      <c r="AB66" s="3136">
        <f>SUM($AA$67)</f>
        <v>2240</v>
      </c>
      <c r="AC66" s="4101"/>
      <c r="AD66" s="2434"/>
      <c r="AE66" s="2437"/>
      <c r="AF66" s="5301"/>
    </row>
    <row r="67" spans="1:32" ht="25.5">
      <c r="A67" s="4564"/>
      <c r="B67" s="4570"/>
      <c r="C67" s="4545"/>
      <c r="D67" s="4514"/>
      <c r="E67" s="4514"/>
      <c r="F67" s="4514"/>
      <c r="G67" s="4514"/>
      <c r="H67" s="4514"/>
      <c r="I67" s="4514"/>
      <c r="J67" s="4514"/>
      <c r="K67" s="4514"/>
      <c r="L67" s="4514"/>
      <c r="M67" s="4901"/>
      <c r="N67" s="4901"/>
      <c r="O67" s="4901"/>
      <c r="P67" s="4514"/>
      <c r="Q67" s="4514"/>
      <c r="R67" s="4518"/>
      <c r="S67" s="2567"/>
      <c r="T67" s="1850"/>
      <c r="U67" s="1848"/>
      <c r="V67" s="2432" t="s">
        <v>1519</v>
      </c>
      <c r="W67" s="2433">
        <v>1</v>
      </c>
      <c r="X67" s="2434" t="s">
        <v>269</v>
      </c>
      <c r="Y67" s="3132">
        <v>2000</v>
      </c>
      <c r="Z67" s="3132">
        <f>Y67*W67</f>
        <v>2000</v>
      </c>
      <c r="AA67" s="3132">
        <f>((Z67*0.12)+Z67)</f>
        <v>2240</v>
      </c>
      <c r="AB67" s="3136"/>
      <c r="AC67" s="2434"/>
      <c r="AD67" s="2434" t="s">
        <v>251</v>
      </c>
      <c r="AE67" s="2437"/>
      <c r="AF67" s="5301"/>
    </row>
    <row r="68" spans="1:32">
      <c r="A68" s="4564"/>
      <c r="B68" s="4570"/>
      <c r="C68" s="4545"/>
      <c r="D68" s="4514"/>
      <c r="E68" s="4514"/>
      <c r="F68" s="4514"/>
      <c r="G68" s="4514"/>
      <c r="H68" s="4514"/>
      <c r="I68" s="4514"/>
      <c r="J68" s="4514"/>
      <c r="K68" s="4514"/>
      <c r="L68" s="4514"/>
      <c r="M68" s="4901"/>
      <c r="N68" s="4901"/>
      <c r="O68" s="4901"/>
      <c r="P68" s="4514"/>
      <c r="Q68" s="4514"/>
      <c r="R68" s="4518"/>
      <c r="S68" s="2567"/>
      <c r="T68" s="1850"/>
      <c r="U68" s="1848"/>
      <c r="V68" s="2441"/>
      <c r="W68" s="2433"/>
      <c r="X68" s="2434"/>
      <c r="Y68" s="3132"/>
      <c r="Z68" s="3132"/>
      <c r="AA68" s="3132"/>
      <c r="AB68" s="3136"/>
      <c r="AC68" s="2434"/>
      <c r="AD68" s="2437"/>
      <c r="AE68" s="2437"/>
      <c r="AF68" s="5301"/>
    </row>
    <row r="69" spans="1:32">
      <c r="A69" s="4564"/>
      <c r="B69" s="4570"/>
      <c r="C69" s="4545"/>
      <c r="D69" s="4514"/>
      <c r="E69" s="4514"/>
      <c r="F69" s="4514"/>
      <c r="G69" s="4514"/>
      <c r="H69" s="4514"/>
      <c r="I69" s="4514"/>
      <c r="J69" s="4514"/>
      <c r="K69" s="4514"/>
      <c r="L69" s="4514"/>
      <c r="M69" s="4901"/>
      <c r="N69" s="4901"/>
      <c r="O69" s="4901"/>
      <c r="P69" s="4514"/>
      <c r="Q69" s="4514"/>
      <c r="R69" s="4518"/>
      <c r="S69" s="2567"/>
      <c r="T69" s="1850"/>
      <c r="U69" s="1848"/>
      <c r="V69" s="2441"/>
      <c r="W69" s="2433"/>
      <c r="X69" s="2434"/>
      <c r="Y69" s="3132"/>
      <c r="Z69" s="3132"/>
      <c r="AA69" s="3132"/>
      <c r="AB69" s="3136"/>
      <c r="AC69" s="2434"/>
      <c r="AD69" s="2437"/>
      <c r="AE69" s="2437"/>
      <c r="AF69" s="5301"/>
    </row>
    <row r="70" spans="1:32" ht="38.25">
      <c r="A70" s="4564"/>
      <c r="B70" s="4570"/>
      <c r="C70" s="4545"/>
      <c r="D70" s="4514"/>
      <c r="E70" s="4514"/>
      <c r="F70" s="4514"/>
      <c r="G70" s="4514"/>
      <c r="H70" s="4514"/>
      <c r="I70" s="4514"/>
      <c r="J70" s="4514"/>
      <c r="K70" s="4514"/>
      <c r="L70" s="4514"/>
      <c r="M70" s="4901"/>
      <c r="N70" s="4901"/>
      <c r="O70" s="4901"/>
      <c r="P70" s="4514"/>
      <c r="Q70" s="4514"/>
      <c r="R70" s="4518"/>
      <c r="S70" s="3311" t="s">
        <v>17</v>
      </c>
      <c r="T70" s="1850">
        <v>530402</v>
      </c>
      <c r="U70" s="1848"/>
      <c r="V70" s="2441" t="s">
        <v>16</v>
      </c>
      <c r="W70" s="2433"/>
      <c r="X70" s="2434"/>
      <c r="Y70" s="3132"/>
      <c r="Z70" s="3132"/>
      <c r="AA70" s="3132"/>
      <c r="AB70" s="3136">
        <f>$AA$71</f>
        <v>16800</v>
      </c>
      <c r="AC70" s="2434"/>
      <c r="AD70" s="2437"/>
      <c r="AE70" s="2437"/>
      <c r="AF70" s="5301"/>
    </row>
    <row r="71" spans="1:32" ht="28.5" customHeight="1">
      <c r="A71" s="4564"/>
      <c r="B71" s="4570"/>
      <c r="C71" s="4545"/>
      <c r="D71" s="4514"/>
      <c r="E71" s="4514"/>
      <c r="F71" s="4514"/>
      <c r="G71" s="4514"/>
      <c r="H71" s="4514"/>
      <c r="I71" s="4514"/>
      <c r="J71" s="4514"/>
      <c r="K71" s="4514"/>
      <c r="L71" s="4514"/>
      <c r="M71" s="4901"/>
      <c r="N71" s="4901"/>
      <c r="O71" s="4901"/>
      <c r="P71" s="4514"/>
      <c r="Q71" s="4514"/>
      <c r="R71" s="4518"/>
      <c r="S71" s="2567"/>
      <c r="T71" s="1850"/>
      <c r="U71" s="1848" t="s">
        <v>1520</v>
      </c>
      <c r="V71" s="2432" t="s">
        <v>1521</v>
      </c>
      <c r="W71" s="2433">
        <v>1</v>
      </c>
      <c r="X71" s="2434" t="s">
        <v>269</v>
      </c>
      <c r="Y71" s="3132">
        <v>15000</v>
      </c>
      <c r="Z71" s="3132">
        <f>+W71*Y71</f>
        <v>15000</v>
      </c>
      <c r="AA71" s="3132">
        <f>+Z71*1.12</f>
        <v>16800</v>
      </c>
      <c r="AB71" s="3136"/>
      <c r="AC71" s="2434"/>
      <c r="AD71" s="2434" t="s">
        <v>251</v>
      </c>
      <c r="AE71" s="2437"/>
      <c r="AF71" s="5301"/>
    </row>
    <row r="72" spans="1:32" ht="15">
      <c r="A72" s="4564"/>
      <c r="B72" s="4570"/>
      <c r="C72" s="4545"/>
      <c r="D72" s="4514"/>
      <c r="E72" s="4514"/>
      <c r="F72" s="4514"/>
      <c r="G72" s="4514"/>
      <c r="H72" s="4514"/>
      <c r="I72" s="4514"/>
      <c r="J72" s="4514"/>
      <c r="K72" s="4514"/>
      <c r="L72" s="4514"/>
      <c r="M72" s="4901"/>
      <c r="N72" s="4901"/>
      <c r="O72" s="4901"/>
      <c r="P72" s="4514"/>
      <c r="Q72" s="4514"/>
      <c r="R72" s="4518"/>
      <c r="S72" s="2567"/>
      <c r="T72" s="1850"/>
      <c r="U72" s="1848"/>
      <c r="V72" s="2441"/>
      <c r="W72" s="4102"/>
      <c r="X72" s="4103"/>
      <c r="Y72" s="3136"/>
      <c r="Z72" s="3136"/>
      <c r="AA72" s="3136"/>
      <c r="AB72" s="3136"/>
      <c r="AC72" s="2449"/>
      <c r="AD72" s="2437"/>
      <c r="AE72" s="2437"/>
      <c r="AF72" s="5301"/>
    </row>
    <row r="73" spans="1:32" ht="15">
      <c r="A73" s="4564"/>
      <c r="B73" s="4570"/>
      <c r="C73" s="4545"/>
      <c r="D73" s="4514"/>
      <c r="E73" s="4514"/>
      <c r="F73" s="4514"/>
      <c r="G73" s="4514"/>
      <c r="H73" s="4514"/>
      <c r="I73" s="4514"/>
      <c r="J73" s="4514"/>
      <c r="K73" s="4514"/>
      <c r="L73" s="4514"/>
      <c r="M73" s="4901"/>
      <c r="N73" s="4901"/>
      <c r="O73" s="4901"/>
      <c r="P73" s="4514"/>
      <c r="Q73" s="4514"/>
      <c r="R73" s="4518"/>
      <c r="S73" s="2567" t="s">
        <v>29</v>
      </c>
      <c r="T73" s="1850">
        <v>530812</v>
      </c>
      <c r="U73" s="1848"/>
      <c r="V73" s="2441" t="s">
        <v>163</v>
      </c>
      <c r="W73" s="4102"/>
      <c r="X73" s="4103"/>
      <c r="Y73" s="3136"/>
      <c r="Z73" s="3136"/>
      <c r="AA73" s="3136"/>
      <c r="AB73" s="3136">
        <f>$AA$74</f>
        <v>1344.0000000000002</v>
      </c>
      <c r="AC73" s="2449"/>
      <c r="AD73" s="2437"/>
      <c r="AE73" s="2437"/>
      <c r="AF73" s="5301"/>
    </row>
    <row r="74" spans="1:32">
      <c r="A74" s="4564"/>
      <c r="B74" s="4570"/>
      <c r="C74" s="4545"/>
      <c r="D74" s="4514"/>
      <c r="E74" s="4514"/>
      <c r="F74" s="4514"/>
      <c r="G74" s="4514"/>
      <c r="H74" s="4514"/>
      <c r="I74" s="4514"/>
      <c r="J74" s="4514"/>
      <c r="K74" s="4514"/>
      <c r="L74" s="4514"/>
      <c r="M74" s="4901"/>
      <c r="N74" s="4901"/>
      <c r="O74" s="4901"/>
      <c r="P74" s="4514"/>
      <c r="Q74" s="4514"/>
      <c r="R74" s="4518"/>
      <c r="S74" s="2567"/>
      <c r="T74" s="1850"/>
      <c r="U74" s="1848">
        <v>859900111</v>
      </c>
      <c r="V74" s="2432" t="s">
        <v>1522</v>
      </c>
      <c r="W74" s="2433">
        <v>2</v>
      </c>
      <c r="X74" s="2434" t="s">
        <v>269</v>
      </c>
      <c r="Y74" s="3132">
        <v>600</v>
      </c>
      <c r="Z74" s="3132">
        <f>+W74*Y74</f>
        <v>1200</v>
      </c>
      <c r="AA74" s="3132">
        <f>+Z74*1.12</f>
        <v>1344.0000000000002</v>
      </c>
      <c r="AB74" s="3136"/>
      <c r="AC74" s="2434"/>
      <c r="AD74" s="2437" t="s">
        <v>251</v>
      </c>
      <c r="AE74" s="2437"/>
      <c r="AF74" s="5301"/>
    </row>
    <row r="75" spans="1:32">
      <c r="A75" s="4564"/>
      <c r="B75" s="5324"/>
      <c r="C75" s="4566"/>
      <c r="D75" s="4525"/>
      <c r="E75" s="4525"/>
      <c r="F75" s="4525"/>
      <c r="G75" s="4525"/>
      <c r="H75" s="4525"/>
      <c r="I75" s="4525"/>
      <c r="J75" s="4525"/>
      <c r="K75" s="4525"/>
      <c r="L75" s="4525"/>
      <c r="M75" s="4902"/>
      <c r="N75" s="4902"/>
      <c r="O75" s="4902"/>
      <c r="P75" s="4525"/>
      <c r="Q75" s="4525"/>
      <c r="R75" s="4528"/>
      <c r="S75" s="2568"/>
      <c r="T75" s="2458"/>
      <c r="U75" s="2495"/>
      <c r="V75" s="2459"/>
      <c r="W75" s="2460"/>
      <c r="X75" s="2461"/>
      <c r="Y75" s="3168"/>
      <c r="Z75" s="3168"/>
      <c r="AA75" s="3168"/>
      <c r="AB75" s="3160"/>
      <c r="AC75" s="2461"/>
      <c r="AD75" s="2464"/>
      <c r="AE75" s="2464"/>
      <c r="AF75" s="5302"/>
    </row>
    <row r="76" spans="1:32">
      <c r="A76" s="4564"/>
      <c r="B76" s="5289" t="s">
        <v>1476</v>
      </c>
      <c r="C76" s="5239" t="s">
        <v>235</v>
      </c>
      <c r="D76" s="4377" t="s">
        <v>236</v>
      </c>
      <c r="E76" s="4377" t="s">
        <v>237</v>
      </c>
      <c r="F76" s="4377" t="s">
        <v>976</v>
      </c>
      <c r="G76" s="4906" t="s">
        <v>239</v>
      </c>
      <c r="H76" s="4377" t="s">
        <v>240</v>
      </c>
      <c r="I76" s="4377" t="s">
        <v>257</v>
      </c>
      <c r="J76" s="4377" t="s">
        <v>1523</v>
      </c>
      <c r="K76" s="4377" t="s">
        <v>1524</v>
      </c>
      <c r="L76" s="4377" t="s">
        <v>1525</v>
      </c>
      <c r="M76" s="4392">
        <v>1</v>
      </c>
      <c r="N76" s="4392">
        <v>0</v>
      </c>
      <c r="O76" s="4392">
        <v>0</v>
      </c>
      <c r="P76" s="4377" t="s">
        <v>1526</v>
      </c>
      <c r="Q76" s="4377" t="s">
        <v>1527</v>
      </c>
      <c r="R76" s="4903" t="s">
        <v>6061</v>
      </c>
      <c r="S76" s="2569"/>
      <c r="T76" s="2466"/>
      <c r="U76" s="2496"/>
      <c r="V76" s="4065"/>
      <c r="W76" s="2468"/>
      <c r="X76" s="2469"/>
      <c r="Y76" s="3164"/>
      <c r="Z76" s="3164"/>
      <c r="AA76" s="3164"/>
      <c r="AB76" s="3165"/>
      <c r="AC76" s="2469"/>
      <c r="AD76" s="2472"/>
      <c r="AE76" s="2472"/>
      <c r="AF76" s="4851"/>
    </row>
    <row r="77" spans="1:32">
      <c r="A77" s="4564"/>
      <c r="B77" s="4570"/>
      <c r="C77" s="4545"/>
      <c r="D77" s="4514"/>
      <c r="E77" s="4514"/>
      <c r="F77" s="4514"/>
      <c r="G77" s="4514"/>
      <c r="H77" s="4514"/>
      <c r="I77" s="4514"/>
      <c r="J77" s="4514"/>
      <c r="K77" s="4514"/>
      <c r="L77" s="4514"/>
      <c r="M77" s="4901"/>
      <c r="N77" s="4901"/>
      <c r="O77" s="4901"/>
      <c r="P77" s="4514"/>
      <c r="Q77" s="4514"/>
      <c r="R77" s="4518"/>
      <c r="S77" s="2567"/>
      <c r="T77" s="1850"/>
      <c r="U77" s="1848"/>
      <c r="V77" s="2432"/>
      <c r="W77" s="2433"/>
      <c r="X77" s="2434"/>
      <c r="Y77" s="3132"/>
      <c r="Z77" s="3214"/>
      <c r="AA77" s="3214"/>
      <c r="AB77" s="3638"/>
      <c r="AC77" s="2434"/>
      <c r="AD77" s="2437"/>
      <c r="AE77" s="2437"/>
      <c r="AF77" s="5301"/>
    </row>
    <row r="78" spans="1:32">
      <c r="A78" s="4564"/>
      <c r="B78" s="4570"/>
      <c r="C78" s="4545"/>
      <c r="D78" s="4514"/>
      <c r="E78" s="4514"/>
      <c r="F78" s="4514"/>
      <c r="G78" s="4514"/>
      <c r="H78" s="4514"/>
      <c r="I78" s="4514"/>
      <c r="J78" s="4514"/>
      <c r="K78" s="4514"/>
      <c r="L78" s="4514"/>
      <c r="M78" s="4901"/>
      <c r="N78" s="4901"/>
      <c r="O78" s="4901"/>
      <c r="P78" s="4514"/>
      <c r="Q78" s="4514"/>
      <c r="R78" s="4518"/>
      <c r="S78" s="2567"/>
      <c r="T78" s="1850"/>
      <c r="U78" s="1848"/>
      <c r="V78" s="2432"/>
      <c r="W78" s="2433"/>
      <c r="X78" s="2434"/>
      <c r="Y78" s="3132"/>
      <c r="Z78" s="3214"/>
      <c r="AA78" s="3214"/>
      <c r="AB78" s="3638"/>
      <c r="AC78" s="2434"/>
      <c r="AD78" s="2437"/>
      <c r="AE78" s="2437"/>
      <c r="AF78" s="5301"/>
    </row>
    <row r="79" spans="1:32">
      <c r="A79" s="4564"/>
      <c r="B79" s="4570"/>
      <c r="C79" s="4545"/>
      <c r="D79" s="4514"/>
      <c r="E79" s="4514"/>
      <c r="F79" s="4514"/>
      <c r="G79" s="4514"/>
      <c r="H79" s="4514"/>
      <c r="I79" s="4514"/>
      <c r="J79" s="4514"/>
      <c r="K79" s="4514"/>
      <c r="L79" s="4514"/>
      <c r="M79" s="4901"/>
      <c r="N79" s="4901"/>
      <c r="O79" s="4901"/>
      <c r="P79" s="4514"/>
      <c r="Q79" s="4514"/>
      <c r="R79" s="4518"/>
      <c r="S79" s="2567"/>
      <c r="T79" s="1850"/>
      <c r="U79" s="1848"/>
      <c r="V79" s="2432"/>
      <c r="W79" s="2433"/>
      <c r="X79" s="2434"/>
      <c r="Y79" s="3132"/>
      <c r="Z79" s="3214"/>
      <c r="AA79" s="3214"/>
      <c r="AB79" s="3638"/>
      <c r="AC79" s="2434"/>
      <c r="AD79" s="2437"/>
      <c r="AE79" s="2437"/>
      <c r="AF79" s="5301"/>
    </row>
    <row r="80" spans="1:32" ht="60.75" customHeight="1">
      <c r="A80" s="4564"/>
      <c r="B80" s="4570"/>
      <c r="C80" s="4573"/>
      <c r="D80" s="4515"/>
      <c r="E80" s="4515"/>
      <c r="F80" s="4515"/>
      <c r="G80" s="4515"/>
      <c r="H80" s="4515"/>
      <c r="I80" s="4515"/>
      <c r="J80" s="4515"/>
      <c r="K80" s="4515"/>
      <c r="L80" s="4515"/>
      <c r="M80" s="5222"/>
      <c r="N80" s="5222"/>
      <c r="O80" s="5222"/>
      <c r="P80" s="4515"/>
      <c r="Q80" s="4515"/>
      <c r="R80" s="4519"/>
      <c r="S80" s="2571"/>
      <c r="T80" s="3827"/>
      <c r="U80" s="2481"/>
      <c r="V80" s="2482"/>
      <c r="W80" s="2483"/>
      <c r="X80" s="2484"/>
      <c r="Y80" s="3151"/>
      <c r="Z80" s="3282"/>
      <c r="AA80" s="3282"/>
      <c r="AB80" s="3643"/>
      <c r="AC80" s="2484"/>
      <c r="AD80" s="2487"/>
      <c r="AE80" s="2487"/>
      <c r="AF80" s="5303"/>
    </row>
    <row r="81" spans="1:32" ht="20.25" customHeight="1">
      <c r="A81" s="4564"/>
      <c r="B81" s="4570"/>
      <c r="C81" s="5236" t="s">
        <v>235</v>
      </c>
      <c r="D81" s="4395" t="s">
        <v>236</v>
      </c>
      <c r="E81" s="4395" t="s">
        <v>237</v>
      </c>
      <c r="F81" s="4395" t="s">
        <v>976</v>
      </c>
      <c r="G81" s="4930" t="s">
        <v>239</v>
      </c>
      <c r="H81" s="4395" t="s">
        <v>240</v>
      </c>
      <c r="I81" s="4395" t="s">
        <v>257</v>
      </c>
      <c r="J81" s="4395" t="s">
        <v>1528</v>
      </c>
      <c r="K81" s="4395" t="s">
        <v>1529</v>
      </c>
      <c r="L81" s="4395" t="s">
        <v>1530</v>
      </c>
      <c r="M81" s="4401">
        <v>14</v>
      </c>
      <c r="N81" s="4401">
        <v>12</v>
      </c>
      <c r="O81" s="4401">
        <v>10</v>
      </c>
      <c r="P81" s="4395" t="s">
        <v>1531</v>
      </c>
      <c r="Q81" s="4395" t="s">
        <v>1532</v>
      </c>
      <c r="R81" s="4897" t="s">
        <v>6067</v>
      </c>
      <c r="S81" s="3313"/>
      <c r="T81" s="3071"/>
      <c r="U81" s="3274"/>
      <c r="V81" s="4069"/>
      <c r="W81" s="4070"/>
      <c r="X81" s="4033"/>
      <c r="Y81" s="3295"/>
      <c r="Z81" s="3295"/>
      <c r="AA81" s="3295"/>
      <c r="AB81" s="4115"/>
      <c r="AC81" s="4033"/>
      <c r="AD81" s="4116"/>
      <c r="AE81" s="4116"/>
      <c r="AF81" s="5209"/>
    </row>
    <row r="82" spans="1:32" ht="20.25" customHeight="1">
      <c r="A82" s="4564"/>
      <c r="B82" s="4570"/>
      <c r="C82" s="4545"/>
      <c r="D82" s="4514"/>
      <c r="E82" s="4514"/>
      <c r="F82" s="4514"/>
      <c r="G82" s="4514"/>
      <c r="H82" s="4514"/>
      <c r="I82" s="4514"/>
      <c r="J82" s="4514"/>
      <c r="K82" s="4514"/>
      <c r="L82" s="4514"/>
      <c r="M82" s="4901"/>
      <c r="N82" s="4901"/>
      <c r="O82" s="4901"/>
      <c r="P82" s="4514"/>
      <c r="Q82" s="4514"/>
      <c r="R82" s="4518"/>
      <c r="S82" s="3311"/>
      <c r="T82" s="1891"/>
      <c r="U82" s="1849"/>
      <c r="V82" s="1883"/>
      <c r="W82" s="1864"/>
      <c r="X82" s="3637"/>
      <c r="Y82" s="3214"/>
      <c r="Z82" s="3214"/>
      <c r="AA82" s="3214"/>
      <c r="AB82" s="3638"/>
      <c r="AC82" s="3637"/>
      <c r="AD82" s="3206"/>
      <c r="AE82" s="3206"/>
      <c r="AF82" s="5301"/>
    </row>
    <row r="83" spans="1:32" ht="20.25" customHeight="1">
      <c r="A83" s="4564"/>
      <c r="B83" s="4570"/>
      <c r="C83" s="4545"/>
      <c r="D83" s="4514"/>
      <c r="E83" s="4514"/>
      <c r="F83" s="4514"/>
      <c r="G83" s="4514"/>
      <c r="H83" s="4514"/>
      <c r="I83" s="4514"/>
      <c r="J83" s="4514"/>
      <c r="K83" s="4514"/>
      <c r="L83" s="4514"/>
      <c r="M83" s="4901"/>
      <c r="N83" s="4901"/>
      <c r="O83" s="4901"/>
      <c r="P83" s="4514"/>
      <c r="Q83" s="4514"/>
      <c r="R83" s="4518"/>
      <c r="S83" s="3311"/>
      <c r="T83" s="1891"/>
      <c r="U83" s="1849"/>
      <c r="V83" s="1883"/>
      <c r="W83" s="1864"/>
      <c r="X83" s="3637"/>
      <c r="Y83" s="3214"/>
      <c r="Z83" s="3214"/>
      <c r="AA83" s="3214"/>
      <c r="AB83" s="3638"/>
      <c r="AC83" s="3637"/>
      <c r="AD83" s="3206"/>
      <c r="AE83" s="3206"/>
      <c r="AF83" s="5301"/>
    </row>
    <row r="84" spans="1:32" ht="20.25" customHeight="1">
      <c r="A84" s="4564"/>
      <c r="B84" s="4570"/>
      <c r="C84" s="4545"/>
      <c r="D84" s="4514"/>
      <c r="E84" s="4514"/>
      <c r="F84" s="4514"/>
      <c r="G84" s="4514"/>
      <c r="H84" s="4514"/>
      <c r="I84" s="4514"/>
      <c r="J84" s="4514"/>
      <c r="K84" s="4514"/>
      <c r="L84" s="4514"/>
      <c r="M84" s="4901"/>
      <c r="N84" s="4901"/>
      <c r="O84" s="4901"/>
      <c r="P84" s="4514"/>
      <c r="Q84" s="4514"/>
      <c r="R84" s="4518"/>
      <c r="S84" s="3311"/>
      <c r="T84" s="1891"/>
      <c r="U84" s="1849"/>
      <c r="V84" s="1883"/>
      <c r="W84" s="1864"/>
      <c r="X84" s="3637"/>
      <c r="Y84" s="3214"/>
      <c r="Z84" s="3214"/>
      <c r="AA84" s="3214"/>
      <c r="AB84" s="3638"/>
      <c r="AC84" s="3637"/>
      <c r="AD84" s="3206"/>
      <c r="AE84" s="3206"/>
      <c r="AF84" s="5301"/>
    </row>
    <row r="85" spans="1:32" ht="36.75" customHeight="1">
      <c r="A85" s="4564"/>
      <c r="B85" s="4570"/>
      <c r="C85" s="4566"/>
      <c r="D85" s="4525"/>
      <c r="E85" s="4525"/>
      <c r="F85" s="4525"/>
      <c r="G85" s="4525"/>
      <c r="H85" s="4525"/>
      <c r="I85" s="4525"/>
      <c r="J85" s="4525"/>
      <c r="K85" s="4525"/>
      <c r="L85" s="4525"/>
      <c r="M85" s="4902"/>
      <c r="N85" s="4902"/>
      <c r="O85" s="4902"/>
      <c r="P85" s="4525"/>
      <c r="Q85" s="4525"/>
      <c r="R85" s="4528"/>
      <c r="S85" s="3314"/>
      <c r="T85" s="3821"/>
      <c r="U85" s="3271"/>
      <c r="V85" s="3822"/>
      <c r="W85" s="3254"/>
      <c r="X85" s="4037"/>
      <c r="Y85" s="3291"/>
      <c r="Z85" s="3291"/>
      <c r="AA85" s="3291"/>
      <c r="AB85" s="4118"/>
      <c r="AC85" s="4037"/>
      <c r="AD85" s="4119"/>
      <c r="AE85" s="4119"/>
      <c r="AF85" s="5302"/>
    </row>
    <row r="86" spans="1:32" ht="20.25" customHeight="1">
      <c r="A86" s="4564"/>
      <c r="B86" s="4570"/>
      <c r="C86" s="5239" t="s">
        <v>235</v>
      </c>
      <c r="D86" s="4377" t="s">
        <v>236</v>
      </c>
      <c r="E86" s="4377" t="s">
        <v>237</v>
      </c>
      <c r="F86" s="4377" t="s">
        <v>976</v>
      </c>
      <c r="G86" s="4906" t="s">
        <v>239</v>
      </c>
      <c r="H86" s="4377" t="s">
        <v>240</v>
      </c>
      <c r="I86" s="4377" t="s">
        <v>257</v>
      </c>
      <c r="J86" s="4377" t="s">
        <v>1533</v>
      </c>
      <c r="K86" s="4377" t="s">
        <v>1534</v>
      </c>
      <c r="L86" s="4391" t="s">
        <v>1535</v>
      </c>
      <c r="M86" s="4392">
        <v>0</v>
      </c>
      <c r="N86" s="4392">
        <v>1</v>
      </c>
      <c r="O86" s="4392">
        <v>0</v>
      </c>
      <c r="P86" s="4377" t="s">
        <v>1536</v>
      </c>
      <c r="Q86" s="4377" t="s">
        <v>1537</v>
      </c>
      <c r="R86" s="4903" t="s">
        <v>6068</v>
      </c>
      <c r="S86" s="3310"/>
      <c r="T86" s="3270"/>
      <c r="U86" s="3272"/>
      <c r="V86" s="4068"/>
      <c r="W86" s="4071"/>
      <c r="X86" s="3632"/>
      <c r="Y86" s="3633"/>
      <c r="Z86" s="3633"/>
      <c r="AA86" s="3633"/>
      <c r="AB86" s="3634"/>
      <c r="AC86" s="3632"/>
      <c r="AD86" s="4122"/>
      <c r="AE86" s="4122"/>
      <c r="AF86" s="5217"/>
    </row>
    <row r="87" spans="1:32" ht="20.25" customHeight="1">
      <c r="A87" s="4564"/>
      <c r="B87" s="4570"/>
      <c r="C87" s="4545"/>
      <c r="D87" s="4514"/>
      <c r="E87" s="4514"/>
      <c r="F87" s="4514"/>
      <c r="G87" s="4514"/>
      <c r="H87" s="4514"/>
      <c r="I87" s="4514"/>
      <c r="J87" s="4514"/>
      <c r="K87" s="4514"/>
      <c r="L87" s="4514"/>
      <c r="M87" s="4901"/>
      <c r="N87" s="4901"/>
      <c r="O87" s="4901"/>
      <c r="P87" s="4514"/>
      <c r="Q87" s="4514"/>
      <c r="R87" s="4518"/>
      <c r="S87" s="3311"/>
      <c r="T87" s="1891"/>
      <c r="U87" s="1849"/>
      <c r="V87" s="1883"/>
      <c r="W87" s="1864"/>
      <c r="X87" s="3637"/>
      <c r="Y87" s="3214"/>
      <c r="Z87" s="3214"/>
      <c r="AA87" s="3214"/>
      <c r="AB87" s="3638"/>
      <c r="AC87" s="3637"/>
      <c r="AD87" s="3637"/>
      <c r="AE87" s="4104"/>
      <c r="AF87" s="5301"/>
    </row>
    <row r="88" spans="1:32" ht="20.25" customHeight="1">
      <c r="A88" s="4564"/>
      <c r="B88" s="4570"/>
      <c r="C88" s="4545"/>
      <c r="D88" s="4514"/>
      <c r="E88" s="4514"/>
      <c r="F88" s="4514"/>
      <c r="G88" s="4514"/>
      <c r="H88" s="4514"/>
      <c r="I88" s="4514"/>
      <c r="J88" s="4514"/>
      <c r="K88" s="4514"/>
      <c r="L88" s="4514"/>
      <c r="M88" s="4901"/>
      <c r="N88" s="4901"/>
      <c r="O88" s="4901"/>
      <c r="P88" s="4514"/>
      <c r="Q88" s="4514"/>
      <c r="R88" s="4518"/>
      <c r="S88" s="3311"/>
      <c r="T88" s="1891"/>
      <c r="U88" s="1849"/>
      <c r="V88" s="1883"/>
      <c r="W88" s="1864"/>
      <c r="X88" s="3637"/>
      <c r="Y88" s="3214"/>
      <c r="Z88" s="3214"/>
      <c r="AA88" s="3214"/>
      <c r="AB88" s="3638"/>
      <c r="AC88" s="3637"/>
      <c r="AD88" s="3637"/>
      <c r="AE88" s="3206"/>
      <c r="AF88" s="5301"/>
    </row>
    <row r="89" spans="1:32" ht="20.25" customHeight="1">
      <c r="A89" s="4564"/>
      <c r="B89" s="4570"/>
      <c r="C89" s="4545"/>
      <c r="D89" s="4514"/>
      <c r="E89" s="4514"/>
      <c r="F89" s="4514"/>
      <c r="G89" s="4514"/>
      <c r="H89" s="4514"/>
      <c r="I89" s="4514"/>
      <c r="J89" s="4514"/>
      <c r="K89" s="4514"/>
      <c r="L89" s="4514"/>
      <c r="M89" s="4901"/>
      <c r="N89" s="4901"/>
      <c r="O89" s="4901"/>
      <c r="P89" s="4514"/>
      <c r="Q89" s="4514"/>
      <c r="R89" s="4518"/>
      <c r="S89" s="3311"/>
      <c r="T89" s="1891"/>
      <c r="U89" s="1849"/>
      <c r="V89" s="1883"/>
      <c r="W89" s="1864"/>
      <c r="X89" s="3637"/>
      <c r="Y89" s="3214"/>
      <c r="Z89" s="3214"/>
      <c r="AA89" s="3214"/>
      <c r="AB89" s="3638"/>
      <c r="AC89" s="3637"/>
      <c r="AD89" s="3637"/>
      <c r="AE89" s="3206"/>
      <c r="AF89" s="5301"/>
    </row>
    <row r="90" spans="1:32" ht="42" customHeight="1">
      <c r="A90" s="4564"/>
      <c r="B90" s="4570"/>
      <c r="C90" s="4573"/>
      <c r="D90" s="4515"/>
      <c r="E90" s="4515"/>
      <c r="F90" s="4515"/>
      <c r="G90" s="4515"/>
      <c r="H90" s="4515"/>
      <c r="I90" s="4515"/>
      <c r="J90" s="4515"/>
      <c r="K90" s="4515"/>
      <c r="L90" s="4515"/>
      <c r="M90" s="5222"/>
      <c r="N90" s="5222"/>
      <c r="O90" s="5222"/>
      <c r="P90" s="4515"/>
      <c r="Q90" s="4515"/>
      <c r="R90" s="4519"/>
      <c r="S90" s="3312"/>
      <c r="T90" s="3819"/>
      <c r="U90" s="3268"/>
      <c r="V90" s="3641"/>
      <c r="W90" s="3233"/>
      <c r="X90" s="3642"/>
      <c r="Y90" s="3282"/>
      <c r="Z90" s="3282"/>
      <c r="AA90" s="3282"/>
      <c r="AB90" s="3643"/>
      <c r="AC90" s="3642"/>
      <c r="AD90" s="3642"/>
      <c r="AE90" s="4117"/>
      <c r="AF90" s="5303"/>
    </row>
    <row r="91" spans="1:32" ht="24" customHeight="1">
      <c r="A91" s="4564"/>
      <c r="B91" s="4570"/>
      <c r="C91" s="5236" t="s">
        <v>235</v>
      </c>
      <c r="D91" s="4395" t="s">
        <v>236</v>
      </c>
      <c r="E91" s="4395" t="s">
        <v>244</v>
      </c>
      <c r="F91" s="4395" t="s">
        <v>808</v>
      </c>
      <c r="G91" s="4930" t="s">
        <v>239</v>
      </c>
      <c r="H91" s="4395" t="s">
        <v>240</v>
      </c>
      <c r="I91" s="4395" t="s">
        <v>257</v>
      </c>
      <c r="J91" s="4395" t="s">
        <v>1538</v>
      </c>
      <c r="K91" s="4395" t="s">
        <v>1539</v>
      </c>
      <c r="L91" s="4395" t="s">
        <v>1540</v>
      </c>
      <c r="M91" s="4401">
        <v>1</v>
      </c>
      <c r="N91" s="4401">
        <v>0</v>
      </c>
      <c r="O91" s="4401">
        <v>1</v>
      </c>
      <c r="P91" s="4395" t="s">
        <v>1541</v>
      </c>
      <c r="Q91" s="4395" t="s">
        <v>1542</v>
      </c>
      <c r="R91" s="4897" t="s">
        <v>6069</v>
      </c>
      <c r="S91" s="3313"/>
      <c r="T91" s="3071"/>
      <c r="U91" s="3274"/>
      <c r="V91" s="4069"/>
      <c r="W91" s="4070"/>
      <c r="X91" s="4033"/>
      <c r="Y91" s="3295"/>
      <c r="Z91" s="3295"/>
      <c r="AA91" s="3295"/>
      <c r="AB91" s="4115"/>
      <c r="AC91" s="4033"/>
      <c r="AD91" s="4116"/>
      <c r="AE91" s="4116"/>
      <c r="AF91" s="5209" t="s">
        <v>1543</v>
      </c>
    </row>
    <row r="92" spans="1:32" ht="24" customHeight="1">
      <c r="A92" s="4564"/>
      <c r="B92" s="4570"/>
      <c r="C92" s="4545"/>
      <c r="D92" s="4514"/>
      <c r="E92" s="4514"/>
      <c r="F92" s="4514"/>
      <c r="G92" s="4514"/>
      <c r="H92" s="4514"/>
      <c r="I92" s="4514"/>
      <c r="J92" s="4514"/>
      <c r="K92" s="4514"/>
      <c r="L92" s="4514"/>
      <c r="M92" s="4901"/>
      <c r="N92" s="4901"/>
      <c r="O92" s="4901"/>
      <c r="P92" s="4514"/>
      <c r="Q92" s="4514"/>
      <c r="R92" s="4518"/>
      <c r="S92" s="3311"/>
      <c r="T92" s="1891"/>
      <c r="U92" s="1849"/>
      <c r="V92" s="1883"/>
      <c r="W92" s="1864"/>
      <c r="X92" s="3637"/>
      <c r="Y92" s="3214"/>
      <c r="Z92" s="3214"/>
      <c r="AA92" s="3214"/>
      <c r="AB92" s="3638"/>
      <c r="AC92" s="3637"/>
      <c r="AD92" s="3206"/>
      <c r="AE92" s="3206"/>
      <c r="AF92" s="5301"/>
    </row>
    <row r="93" spans="1:32" ht="24" customHeight="1">
      <c r="A93" s="4564"/>
      <c r="B93" s="4570"/>
      <c r="C93" s="4545"/>
      <c r="D93" s="4514"/>
      <c r="E93" s="4514"/>
      <c r="F93" s="4514"/>
      <c r="G93" s="4514"/>
      <c r="H93" s="4514"/>
      <c r="I93" s="4514"/>
      <c r="J93" s="4514"/>
      <c r="K93" s="4514"/>
      <c r="L93" s="4514"/>
      <c r="M93" s="4901"/>
      <c r="N93" s="4901"/>
      <c r="O93" s="4901"/>
      <c r="P93" s="4514"/>
      <c r="Q93" s="4514"/>
      <c r="R93" s="4518"/>
      <c r="S93" s="3311"/>
      <c r="T93" s="1891"/>
      <c r="U93" s="1849"/>
      <c r="V93" s="1883"/>
      <c r="W93" s="1864"/>
      <c r="X93" s="3637"/>
      <c r="Y93" s="3214"/>
      <c r="Z93" s="3214"/>
      <c r="AA93" s="3214"/>
      <c r="AB93" s="3638"/>
      <c r="AC93" s="3637"/>
      <c r="AD93" s="3206"/>
      <c r="AE93" s="3206"/>
      <c r="AF93" s="5301"/>
    </row>
    <row r="94" spans="1:32" ht="24" customHeight="1">
      <c r="A94" s="4564"/>
      <c r="B94" s="4570"/>
      <c r="C94" s="4545"/>
      <c r="D94" s="4514"/>
      <c r="E94" s="4514"/>
      <c r="F94" s="4514"/>
      <c r="G94" s="4514"/>
      <c r="H94" s="4514"/>
      <c r="I94" s="4514"/>
      <c r="J94" s="4514"/>
      <c r="K94" s="4514"/>
      <c r="L94" s="4514"/>
      <c r="M94" s="4901"/>
      <c r="N94" s="4901"/>
      <c r="O94" s="4901"/>
      <c r="P94" s="4514"/>
      <c r="Q94" s="4514"/>
      <c r="R94" s="4518"/>
      <c r="S94" s="3311"/>
      <c r="T94" s="1891"/>
      <c r="U94" s="1849"/>
      <c r="V94" s="1883"/>
      <c r="W94" s="1864"/>
      <c r="X94" s="3637"/>
      <c r="Y94" s="3214"/>
      <c r="Z94" s="3214"/>
      <c r="AA94" s="3214"/>
      <c r="AB94" s="3638"/>
      <c r="AC94" s="3637"/>
      <c r="AD94" s="3206"/>
      <c r="AE94" s="3206"/>
      <c r="AF94" s="5301"/>
    </row>
    <row r="95" spans="1:32" ht="24" customHeight="1">
      <c r="A95" s="4564"/>
      <c r="B95" s="4570"/>
      <c r="C95" s="4566"/>
      <c r="D95" s="4525"/>
      <c r="E95" s="4525"/>
      <c r="F95" s="4525"/>
      <c r="G95" s="4525"/>
      <c r="H95" s="4525"/>
      <c r="I95" s="4525"/>
      <c r="J95" s="4525"/>
      <c r="K95" s="4525"/>
      <c r="L95" s="4525"/>
      <c r="M95" s="4902"/>
      <c r="N95" s="4902"/>
      <c r="O95" s="4902"/>
      <c r="P95" s="4525"/>
      <c r="Q95" s="4525"/>
      <c r="R95" s="4528"/>
      <c r="S95" s="3314"/>
      <c r="T95" s="3821"/>
      <c r="U95" s="3271"/>
      <c r="V95" s="3822"/>
      <c r="W95" s="3254"/>
      <c r="X95" s="4037"/>
      <c r="Y95" s="3291"/>
      <c r="Z95" s="3291"/>
      <c r="AA95" s="3291"/>
      <c r="AB95" s="4118"/>
      <c r="AC95" s="4037"/>
      <c r="AD95" s="4119"/>
      <c r="AE95" s="4119"/>
      <c r="AF95" s="5302"/>
    </row>
    <row r="96" spans="1:32">
      <c r="A96" s="4564"/>
      <c r="B96" s="4570"/>
      <c r="C96" s="5239" t="s">
        <v>235</v>
      </c>
      <c r="D96" s="4377" t="s">
        <v>236</v>
      </c>
      <c r="E96" s="4377" t="s">
        <v>244</v>
      </c>
      <c r="F96" s="4377" t="s">
        <v>337</v>
      </c>
      <c r="G96" s="4906" t="s">
        <v>239</v>
      </c>
      <c r="H96" s="4377" t="s">
        <v>240</v>
      </c>
      <c r="I96" s="4377" t="s">
        <v>257</v>
      </c>
      <c r="J96" s="4377" t="s">
        <v>1544</v>
      </c>
      <c r="K96" s="4377" t="s">
        <v>1545</v>
      </c>
      <c r="L96" s="4391" t="s">
        <v>1546</v>
      </c>
      <c r="M96" s="4392">
        <v>5</v>
      </c>
      <c r="N96" s="4392">
        <v>6</v>
      </c>
      <c r="O96" s="4392">
        <v>4</v>
      </c>
      <c r="P96" s="4377" t="s">
        <v>1547</v>
      </c>
      <c r="Q96" s="4377" t="s">
        <v>1548</v>
      </c>
      <c r="R96" s="4903" t="s">
        <v>6070</v>
      </c>
      <c r="S96" s="3310"/>
      <c r="T96" s="3270"/>
      <c r="U96" s="3272"/>
      <c r="V96" s="4068"/>
      <c r="W96" s="4071"/>
      <c r="X96" s="3632"/>
      <c r="Y96" s="3633"/>
      <c r="Z96" s="3633"/>
      <c r="AA96" s="3633"/>
      <c r="AB96" s="3634"/>
      <c r="AC96" s="3632"/>
      <c r="AD96" s="4120"/>
      <c r="AE96" s="4120"/>
      <c r="AF96" s="5217"/>
    </row>
    <row r="97" spans="1:32">
      <c r="A97" s="4564"/>
      <c r="B97" s="4570"/>
      <c r="C97" s="4545"/>
      <c r="D97" s="4514"/>
      <c r="E97" s="4514"/>
      <c r="F97" s="4514"/>
      <c r="G97" s="4514"/>
      <c r="H97" s="4514"/>
      <c r="I97" s="4514"/>
      <c r="J97" s="4514"/>
      <c r="K97" s="4514"/>
      <c r="L97" s="4514"/>
      <c r="M97" s="4901"/>
      <c r="N97" s="4901"/>
      <c r="O97" s="4901"/>
      <c r="P97" s="4514"/>
      <c r="Q97" s="4514"/>
      <c r="R97" s="4518"/>
      <c r="S97" s="3311"/>
      <c r="T97" s="1891"/>
      <c r="U97" s="1849"/>
      <c r="V97" s="1883"/>
      <c r="W97" s="1864"/>
      <c r="X97" s="3637"/>
      <c r="Y97" s="3214"/>
      <c r="Z97" s="3214"/>
      <c r="AA97" s="3214"/>
      <c r="AB97" s="3638"/>
      <c r="AC97" s="3637"/>
      <c r="AD97" s="3206"/>
      <c r="AE97" s="3206"/>
      <c r="AF97" s="5301"/>
    </row>
    <row r="98" spans="1:32">
      <c r="A98" s="4564"/>
      <c r="B98" s="4570"/>
      <c r="C98" s="4545"/>
      <c r="D98" s="4514"/>
      <c r="E98" s="4514"/>
      <c r="F98" s="4514"/>
      <c r="G98" s="4514"/>
      <c r="H98" s="4514"/>
      <c r="I98" s="4514"/>
      <c r="J98" s="4514"/>
      <c r="K98" s="4514"/>
      <c r="L98" s="4514"/>
      <c r="M98" s="4901"/>
      <c r="N98" s="4901"/>
      <c r="O98" s="4901"/>
      <c r="P98" s="4514"/>
      <c r="Q98" s="4514"/>
      <c r="R98" s="4518"/>
      <c r="S98" s="3311"/>
      <c r="T98" s="1891"/>
      <c r="U98" s="1849"/>
      <c r="V98" s="1883"/>
      <c r="W98" s="1864"/>
      <c r="X98" s="3637"/>
      <c r="Y98" s="3214"/>
      <c r="Z98" s="3214"/>
      <c r="AA98" s="3214"/>
      <c r="AB98" s="3638"/>
      <c r="AC98" s="3637"/>
      <c r="AD98" s="3206"/>
      <c r="AE98" s="3206"/>
      <c r="AF98" s="5301"/>
    </row>
    <row r="99" spans="1:32">
      <c r="A99" s="4564"/>
      <c r="B99" s="4570"/>
      <c r="C99" s="4545"/>
      <c r="D99" s="4514"/>
      <c r="E99" s="4514"/>
      <c r="F99" s="4514"/>
      <c r="G99" s="4514"/>
      <c r="H99" s="4514"/>
      <c r="I99" s="4514"/>
      <c r="J99" s="4514"/>
      <c r="K99" s="4514"/>
      <c r="L99" s="4514"/>
      <c r="M99" s="4901"/>
      <c r="N99" s="4901"/>
      <c r="O99" s="4901"/>
      <c r="P99" s="4514"/>
      <c r="Q99" s="4514"/>
      <c r="R99" s="4518"/>
      <c r="S99" s="3311"/>
      <c r="T99" s="1891"/>
      <c r="U99" s="1849"/>
      <c r="V99" s="1883"/>
      <c r="W99" s="1864"/>
      <c r="X99" s="3637"/>
      <c r="Y99" s="3214"/>
      <c r="Z99" s="3214"/>
      <c r="AA99" s="3214"/>
      <c r="AB99" s="3638"/>
      <c r="AC99" s="3637"/>
      <c r="AD99" s="3206"/>
      <c r="AE99" s="3206"/>
      <c r="AF99" s="5301"/>
    </row>
    <row r="100" spans="1:32" ht="60" customHeight="1">
      <c r="A100" s="4564"/>
      <c r="B100" s="4570"/>
      <c r="C100" s="4573"/>
      <c r="D100" s="4515"/>
      <c r="E100" s="4515"/>
      <c r="F100" s="4515"/>
      <c r="G100" s="4515"/>
      <c r="H100" s="4515"/>
      <c r="I100" s="4515"/>
      <c r="J100" s="4515"/>
      <c r="K100" s="4515"/>
      <c r="L100" s="4515"/>
      <c r="M100" s="5222"/>
      <c r="N100" s="5222"/>
      <c r="O100" s="5222"/>
      <c r="P100" s="4515"/>
      <c r="Q100" s="4515"/>
      <c r="R100" s="4519"/>
      <c r="S100" s="3312"/>
      <c r="T100" s="3819"/>
      <c r="U100" s="3268"/>
      <c r="V100" s="3641"/>
      <c r="W100" s="3233"/>
      <c r="X100" s="3642"/>
      <c r="Y100" s="3282"/>
      <c r="Z100" s="3282"/>
      <c r="AA100" s="3282"/>
      <c r="AB100" s="3643"/>
      <c r="AC100" s="3642"/>
      <c r="AD100" s="4117"/>
      <c r="AE100" s="4117"/>
      <c r="AF100" s="5303"/>
    </row>
    <row r="101" spans="1:32" ht="20.25" customHeight="1">
      <c r="A101" s="4564"/>
      <c r="B101" s="4570"/>
      <c r="C101" s="5236" t="s">
        <v>235</v>
      </c>
      <c r="D101" s="4395" t="s">
        <v>236</v>
      </c>
      <c r="E101" s="4395" t="s">
        <v>237</v>
      </c>
      <c r="F101" s="4395" t="s">
        <v>976</v>
      </c>
      <c r="G101" s="4930" t="s">
        <v>239</v>
      </c>
      <c r="H101" s="4395" t="s">
        <v>240</v>
      </c>
      <c r="I101" s="4395" t="s">
        <v>257</v>
      </c>
      <c r="J101" s="4395" t="s">
        <v>1549</v>
      </c>
      <c r="K101" s="4395" t="s">
        <v>1550</v>
      </c>
      <c r="L101" s="4395" t="s">
        <v>1551</v>
      </c>
      <c r="M101" s="4401">
        <v>1</v>
      </c>
      <c r="N101" s="4401">
        <v>0</v>
      </c>
      <c r="O101" s="4401">
        <v>1</v>
      </c>
      <c r="P101" s="4395" t="s">
        <v>1552</v>
      </c>
      <c r="Q101" s="4395" t="s">
        <v>1553</v>
      </c>
      <c r="R101" s="4897" t="s">
        <v>6071</v>
      </c>
      <c r="S101" s="3313"/>
      <c r="T101" s="3071"/>
      <c r="U101" s="3274"/>
      <c r="V101" s="4069"/>
      <c r="W101" s="4070"/>
      <c r="X101" s="4033"/>
      <c r="Y101" s="3295"/>
      <c r="Z101" s="3295"/>
      <c r="AA101" s="3295"/>
      <c r="AB101" s="4115"/>
      <c r="AC101" s="4033"/>
      <c r="AD101" s="4126"/>
      <c r="AE101" s="4126"/>
      <c r="AF101" s="5209"/>
    </row>
    <row r="102" spans="1:32" ht="20.25" customHeight="1">
      <c r="A102" s="4564"/>
      <c r="B102" s="4570"/>
      <c r="C102" s="4545"/>
      <c r="D102" s="4514"/>
      <c r="E102" s="4514"/>
      <c r="F102" s="4514"/>
      <c r="G102" s="4514"/>
      <c r="H102" s="4514"/>
      <c r="I102" s="4514"/>
      <c r="J102" s="4514"/>
      <c r="K102" s="4514"/>
      <c r="L102" s="4514"/>
      <c r="M102" s="4901"/>
      <c r="N102" s="4901"/>
      <c r="O102" s="4901"/>
      <c r="P102" s="4514"/>
      <c r="Q102" s="4514"/>
      <c r="R102" s="4518"/>
      <c r="S102" s="3311"/>
      <c r="T102" s="1891"/>
      <c r="U102" s="1849"/>
      <c r="V102" s="1883"/>
      <c r="W102" s="1864"/>
      <c r="X102" s="3637"/>
      <c r="Y102" s="3214"/>
      <c r="Z102" s="3214"/>
      <c r="AA102" s="3214"/>
      <c r="AB102" s="3638"/>
      <c r="AC102" s="3637"/>
      <c r="AD102" s="3637"/>
      <c r="AE102" s="4104"/>
      <c r="AF102" s="5301"/>
    </row>
    <row r="103" spans="1:32" ht="20.25" customHeight="1">
      <c r="A103" s="4564"/>
      <c r="B103" s="4570"/>
      <c r="C103" s="4545"/>
      <c r="D103" s="4514"/>
      <c r="E103" s="4514"/>
      <c r="F103" s="4514"/>
      <c r="G103" s="4514"/>
      <c r="H103" s="4514"/>
      <c r="I103" s="4514"/>
      <c r="J103" s="4514"/>
      <c r="K103" s="4514"/>
      <c r="L103" s="4514"/>
      <c r="M103" s="4901"/>
      <c r="N103" s="4901"/>
      <c r="O103" s="4901"/>
      <c r="P103" s="4514"/>
      <c r="Q103" s="4514"/>
      <c r="R103" s="4518"/>
      <c r="S103" s="3311"/>
      <c r="T103" s="1891"/>
      <c r="U103" s="1849"/>
      <c r="V103" s="1883"/>
      <c r="W103" s="1864"/>
      <c r="X103" s="3637"/>
      <c r="Y103" s="3214"/>
      <c r="Z103" s="3214"/>
      <c r="AA103" s="3214"/>
      <c r="AB103" s="3638"/>
      <c r="AC103" s="3637"/>
      <c r="AD103" s="3637"/>
      <c r="AE103" s="3206"/>
      <c r="AF103" s="5301"/>
    </row>
    <row r="104" spans="1:32" ht="20.25" customHeight="1">
      <c r="A104" s="4564"/>
      <c r="B104" s="4570"/>
      <c r="C104" s="4545"/>
      <c r="D104" s="4514"/>
      <c r="E104" s="4514"/>
      <c r="F104" s="4514"/>
      <c r="G104" s="4514"/>
      <c r="H104" s="4514"/>
      <c r="I104" s="4514"/>
      <c r="J104" s="4514"/>
      <c r="K104" s="4514"/>
      <c r="L104" s="4514"/>
      <c r="M104" s="4901"/>
      <c r="N104" s="4901"/>
      <c r="O104" s="4901"/>
      <c r="P104" s="4514"/>
      <c r="Q104" s="4514"/>
      <c r="R104" s="4518"/>
      <c r="S104" s="3311"/>
      <c r="T104" s="1891"/>
      <c r="U104" s="1849"/>
      <c r="V104" s="1883"/>
      <c r="W104" s="1864"/>
      <c r="X104" s="3637"/>
      <c r="Y104" s="3214"/>
      <c r="Z104" s="3214"/>
      <c r="AA104" s="3214"/>
      <c r="AB104" s="3638"/>
      <c r="AC104" s="3637"/>
      <c r="AD104" s="3637"/>
      <c r="AE104" s="3206"/>
      <c r="AF104" s="5301"/>
    </row>
    <row r="105" spans="1:32" ht="37.5" customHeight="1">
      <c r="A105" s="4564"/>
      <c r="B105" s="4570"/>
      <c r="C105" s="4566"/>
      <c r="D105" s="4525"/>
      <c r="E105" s="4525"/>
      <c r="F105" s="4525"/>
      <c r="G105" s="4525"/>
      <c r="H105" s="4525"/>
      <c r="I105" s="4525"/>
      <c r="J105" s="4525"/>
      <c r="K105" s="4525"/>
      <c r="L105" s="4525"/>
      <c r="M105" s="4902"/>
      <c r="N105" s="4902"/>
      <c r="O105" s="4902"/>
      <c r="P105" s="4525"/>
      <c r="Q105" s="4525"/>
      <c r="R105" s="4528"/>
      <c r="S105" s="3314"/>
      <c r="T105" s="3821"/>
      <c r="U105" s="3271"/>
      <c r="V105" s="3822"/>
      <c r="W105" s="3254"/>
      <c r="X105" s="4037"/>
      <c r="Y105" s="3291"/>
      <c r="Z105" s="3291"/>
      <c r="AA105" s="3291"/>
      <c r="AB105" s="4118"/>
      <c r="AC105" s="4037"/>
      <c r="AD105" s="4037"/>
      <c r="AE105" s="4119"/>
      <c r="AF105" s="5302"/>
    </row>
    <row r="106" spans="1:32" ht="24.75" customHeight="1">
      <c r="A106" s="4564"/>
      <c r="B106" s="4570"/>
      <c r="C106" s="5239" t="s">
        <v>235</v>
      </c>
      <c r="D106" s="4377" t="s">
        <v>236</v>
      </c>
      <c r="E106" s="4377" t="s">
        <v>237</v>
      </c>
      <c r="F106" s="4377" t="s">
        <v>976</v>
      </c>
      <c r="G106" s="4906" t="s">
        <v>239</v>
      </c>
      <c r="H106" s="4377" t="s">
        <v>240</v>
      </c>
      <c r="I106" s="4377" t="s">
        <v>257</v>
      </c>
      <c r="J106" s="4377" t="s">
        <v>1554</v>
      </c>
      <c r="K106" s="4377" t="s">
        <v>338</v>
      </c>
      <c r="L106" s="4377" t="s">
        <v>1443</v>
      </c>
      <c r="M106" s="4392">
        <v>0</v>
      </c>
      <c r="N106" s="4392">
        <v>1</v>
      </c>
      <c r="O106" s="4392">
        <v>1</v>
      </c>
      <c r="P106" s="4377" t="s">
        <v>1555</v>
      </c>
      <c r="Q106" s="4377" t="s">
        <v>1556</v>
      </c>
      <c r="R106" s="4903" t="s">
        <v>6072</v>
      </c>
      <c r="S106" s="3310"/>
      <c r="T106" s="3270"/>
      <c r="U106" s="3272"/>
      <c r="V106" s="4068"/>
      <c r="W106" s="4123"/>
      <c r="X106" s="4124"/>
      <c r="Y106" s="3634"/>
      <c r="Z106" s="3633"/>
      <c r="AA106" s="3633"/>
      <c r="AB106" s="3634"/>
      <c r="AC106" s="4125"/>
      <c r="AD106" s="4120"/>
      <c r="AE106" s="4120"/>
      <c r="AF106" s="5223"/>
    </row>
    <row r="107" spans="1:32" ht="24.75" customHeight="1">
      <c r="A107" s="4564"/>
      <c r="B107" s="4570"/>
      <c r="C107" s="4545"/>
      <c r="D107" s="4514"/>
      <c r="E107" s="4514"/>
      <c r="F107" s="4514"/>
      <c r="G107" s="4514"/>
      <c r="H107" s="4514"/>
      <c r="I107" s="4514"/>
      <c r="J107" s="4514"/>
      <c r="K107" s="4514"/>
      <c r="L107" s="4514"/>
      <c r="M107" s="4901"/>
      <c r="N107" s="4901"/>
      <c r="O107" s="4901"/>
      <c r="P107" s="4514"/>
      <c r="Q107" s="4514"/>
      <c r="R107" s="4518"/>
      <c r="S107" s="3311"/>
      <c r="T107" s="1891"/>
      <c r="U107" s="1849"/>
      <c r="V107" s="1883"/>
      <c r="W107" s="1864"/>
      <c r="X107" s="3637"/>
      <c r="Y107" s="3214"/>
      <c r="Z107" s="3214"/>
      <c r="AA107" s="3214"/>
      <c r="AB107" s="3638"/>
      <c r="AC107" s="3637"/>
      <c r="AD107" s="3206"/>
      <c r="AE107" s="3206"/>
      <c r="AF107" s="5301"/>
    </row>
    <row r="108" spans="1:32" ht="24.75" customHeight="1">
      <c r="A108" s="4564"/>
      <c r="B108" s="4570"/>
      <c r="C108" s="4545"/>
      <c r="D108" s="4514"/>
      <c r="E108" s="4514"/>
      <c r="F108" s="4514"/>
      <c r="G108" s="4514"/>
      <c r="H108" s="4514"/>
      <c r="I108" s="4514"/>
      <c r="J108" s="4514"/>
      <c r="K108" s="4514"/>
      <c r="L108" s="4514"/>
      <c r="M108" s="4901"/>
      <c r="N108" s="4901"/>
      <c r="O108" s="4901"/>
      <c r="P108" s="4514"/>
      <c r="Q108" s="4514"/>
      <c r="R108" s="4518"/>
      <c r="S108" s="3311"/>
      <c r="T108" s="1891"/>
      <c r="U108" s="1849"/>
      <c r="V108" s="1883"/>
      <c r="W108" s="1864"/>
      <c r="X108" s="3637"/>
      <c r="Y108" s="3214"/>
      <c r="Z108" s="3214"/>
      <c r="AA108" s="3214"/>
      <c r="AB108" s="3638"/>
      <c r="AC108" s="3637"/>
      <c r="AD108" s="3206"/>
      <c r="AE108" s="3206"/>
      <c r="AF108" s="5301"/>
    </row>
    <row r="109" spans="1:32" ht="24.75" customHeight="1">
      <c r="A109" s="4564"/>
      <c r="B109" s="4570"/>
      <c r="C109" s="4545"/>
      <c r="D109" s="4514"/>
      <c r="E109" s="4514"/>
      <c r="F109" s="4514"/>
      <c r="G109" s="4514"/>
      <c r="H109" s="4514"/>
      <c r="I109" s="4514"/>
      <c r="J109" s="4514"/>
      <c r="K109" s="4514"/>
      <c r="L109" s="4514"/>
      <c r="M109" s="4901"/>
      <c r="N109" s="4901"/>
      <c r="O109" s="4901"/>
      <c r="P109" s="4514"/>
      <c r="Q109" s="4514"/>
      <c r="R109" s="4518"/>
      <c r="S109" s="3311"/>
      <c r="T109" s="1891"/>
      <c r="U109" s="1849"/>
      <c r="V109" s="1883"/>
      <c r="W109" s="1864"/>
      <c r="X109" s="3637"/>
      <c r="Y109" s="3214"/>
      <c r="Z109" s="3214"/>
      <c r="AA109" s="3214"/>
      <c r="AB109" s="3638"/>
      <c r="AC109" s="3637"/>
      <c r="AD109" s="3206"/>
      <c r="AE109" s="3206"/>
      <c r="AF109" s="5301"/>
    </row>
    <row r="110" spans="1:32" ht="24.75" customHeight="1">
      <c r="A110" s="4564"/>
      <c r="B110" s="4570"/>
      <c r="C110" s="4573"/>
      <c r="D110" s="4515"/>
      <c r="E110" s="4515"/>
      <c r="F110" s="4515"/>
      <c r="G110" s="4515"/>
      <c r="H110" s="4515"/>
      <c r="I110" s="4515"/>
      <c r="J110" s="4515"/>
      <c r="K110" s="4515"/>
      <c r="L110" s="4515"/>
      <c r="M110" s="5222"/>
      <c r="N110" s="5222"/>
      <c r="O110" s="5222"/>
      <c r="P110" s="4515"/>
      <c r="Q110" s="4515"/>
      <c r="R110" s="4519"/>
      <c r="S110" s="3312"/>
      <c r="T110" s="3819"/>
      <c r="U110" s="3268"/>
      <c r="V110" s="3641"/>
      <c r="W110" s="3233"/>
      <c r="X110" s="3642"/>
      <c r="Y110" s="3282"/>
      <c r="Z110" s="3282"/>
      <c r="AA110" s="3282"/>
      <c r="AB110" s="3643"/>
      <c r="AC110" s="3642"/>
      <c r="AD110" s="4117"/>
      <c r="AE110" s="4117"/>
      <c r="AF110" s="5303"/>
    </row>
    <row r="111" spans="1:32">
      <c r="A111" s="4564"/>
      <c r="B111" s="4570"/>
      <c r="C111" s="5236" t="s">
        <v>235</v>
      </c>
      <c r="D111" s="4395" t="s">
        <v>236</v>
      </c>
      <c r="E111" s="4395" t="s">
        <v>237</v>
      </c>
      <c r="F111" s="4395" t="s">
        <v>976</v>
      </c>
      <c r="G111" s="4930" t="s">
        <v>239</v>
      </c>
      <c r="H111" s="4395" t="s">
        <v>240</v>
      </c>
      <c r="I111" s="4395" t="s">
        <v>257</v>
      </c>
      <c r="J111" s="4395" t="s">
        <v>1557</v>
      </c>
      <c r="K111" s="4395" t="s">
        <v>707</v>
      </c>
      <c r="L111" s="4395" t="s">
        <v>1558</v>
      </c>
      <c r="M111" s="4401">
        <v>150</v>
      </c>
      <c r="N111" s="4401">
        <v>220</v>
      </c>
      <c r="O111" s="4401">
        <v>160</v>
      </c>
      <c r="P111" s="4395" t="s">
        <v>1559</v>
      </c>
      <c r="Q111" s="4395" t="s">
        <v>1560</v>
      </c>
      <c r="R111" s="4897" t="s">
        <v>6073</v>
      </c>
      <c r="S111" s="3313"/>
      <c r="T111" s="3071"/>
      <c r="U111" s="3274"/>
      <c r="V111" s="4064"/>
      <c r="W111" s="4070"/>
      <c r="X111" s="4033"/>
      <c r="Y111" s="3295"/>
      <c r="Z111" s="3295"/>
      <c r="AA111" s="3295"/>
      <c r="AB111" s="4115"/>
      <c r="AC111" s="4033"/>
      <c r="AD111" s="4116"/>
      <c r="AE111" s="4116"/>
      <c r="AF111" s="5209" t="s">
        <v>6023</v>
      </c>
    </row>
    <row r="112" spans="1:32">
      <c r="A112" s="4564"/>
      <c r="B112" s="4570"/>
      <c r="C112" s="4545"/>
      <c r="D112" s="4514"/>
      <c r="E112" s="4514"/>
      <c r="F112" s="4514"/>
      <c r="G112" s="4514"/>
      <c r="H112" s="4514"/>
      <c r="I112" s="4514"/>
      <c r="J112" s="4514"/>
      <c r="K112" s="4514"/>
      <c r="L112" s="4514"/>
      <c r="M112" s="4901"/>
      <c r="N112" s="4901"/>
      <c r="O112" s="4901"/>
      <c r="P112" s="4514"/>
      <c r="Q112" s="4514"/>
      <c r="R112" s="4518"/>
      <c r="S112" s="3311"/>
      <c r="T112" s="1891"/>
      <c r="U112" s="1849"/>
      <c r="V112" s="1883"/>
      <c r="W112" s="1864"/>
      <c r="X112" s="3637"/>
      <c r="Y112" s="3214"/>
      <c r="Z112" s="3214"/>
      <c r="AA112" s="3214"/>
      <c r="AB112" s="3638"/>
      <c r="AC112" s="3637"/>
      <c r="AD112" s="3206"/>
      <c r="AE112" s="3206"/>
      <c r="AF112" s="5301"/>
    </row>
    <row r="113" spans="1:32">
      <c r="A113" s="4564"/>
      <c r="B113" s="4570"/>
      <c r="C113" s="4545"/>
      <c r="D113" s="4514"/>
      <c r="E113" s="4514"/>
      <c r="F113" s="4514"/>
      <c r="G113" s="4514"/>
      <c r="H113" s="4514"/>
      <c r="I113" s="4514"/>
      <c r="J113" s="4514"/>
      <c r="K113" s="4514"/>
      <c r="L113" s="4514"/>
      <c r="M113" s="4901"/>
      <c r="N113" s="4901"/>
      <c r="O113" s="4901"/>
      <c r="P113" s="4514"/>
      <c r="Q113" s="4514"/>
      <c r="R113" s="4518"/>
      <c r="S113" s="3311"/>
      <c r="T113" s="1891"/>
      <c r="U113" s="1849"/>
      <c r="V113" s="1883"/>
      <c r="W113" s="1864"/>
      <c r="X113" s="3637"/>
      <c r="Y113" s="3214"/>
      <c r="Z113" s="3214"/>
      <c r="AA113" s="3214"/>
      <c r="AB113" s="3638"/>
      <c r="AC113" s="3637"/>
      <c r="AD113" s="3206"/>
      <c r="AE113" s="3206"/>
      <c r="AF113" s="5301"/>
    </row>
    <row r="114" spans="1:32">
      <c r="A114" s="4564"/>
      <c r="B114" s="4570"/>
      <c r="C114" s="4545"/>
      <c r="D114" s="4514"/>
      <c r="E114" s="4514"/>
      <c r="F114" s="4514"/>
      <c r="G114" s="4514"/>
      <c r="H114" s="4514"/>
      <c r="I114" s="4514"/>
      <c r="J114" s="4514"/>
      <c r="K114" s="4514"/>
      <c r="L114" s="4514"/>
      <c r="M114" s="4901"/>
      <c r="N114" s="4901"/>
      <c r="O114" s="4901"/>
      <c r="P114" s="4514"/>
      <c r="Q114" s="4514"/>
      <c r="R114" s="4518"/>
      <c r="S114" s="3311"/>
      <c r="T114" s="1891"/>
      <c r="U114" s="1849"/>
      <c r="V114" s="1883"/>
      <c r="W114" s="1864"/>
      <c r="X114" s="3637"/>
      <c r="Y114" s="3214"/>
      <c r="Z114" s="3214"/>
      <c r="AA114" s="3214"/>
      <c r="AB114" s="3638"/>
      <c r="AC114" s="3637"/>
      <c r="AD114" s="3206"/>
      <c r="AE114" s="3206"/>
      <c r="AF114" s="5301"/>
    </row>
    <row r="115" spans="1:32" ht="60" customHeight="1" thickBot="1">
      <c r="A115" s="4564"/>
      <c r="B115" s="4570"/>
      <c r="C115" s="5287"/>
      <c r="D115" s="5285"/>
      <c r="E115" s="5285"/>
      <c r="F115" s="5285"/>
      <c r="G115" s="5285"/>
      <c r="H115" s="5285"/>
      <c r="I115" s="5285"/>
      <c r="J115" s="5285"/>
      <c r="K115" s="5285"/>
      <c r="L115" s="5285"/>
      <c r="M115" s="5294"/>
      <c r="N115" s="5294"/>
      <c r="O115" s="5294"/>
      <c r="P115" s="5285"/>
      <c r="Q115" s="5285"/>
      <c r="R115" s="5295"/>
      <c r="S115" s="4136"/>
      <c r="T115" s="4105"/>
      <c r="U115" s="4106"/>
      <c r="V115" s="4107"/>
      <c r="W115" s="4108"/>
      <c r="X115" s="4109"/>
      <c r="Y115" s="4110"/>
      <c r="Z115" s="4110"/>
      <c r="AA115" s="4110"/>
      <c r="AB115" s="4111"/>
      <c r="AC115" s="4109"/>
      <c r="AD115" s="4112"/>
      <c r="AE115" s="4112"/>
      <c r="AF115" s="5304"/>
    </row>
    <row r="116" spans="1:32" ht="22.5" customHeight="1" thickBot="1">
      <c r="A116" s="4564"/>
      <c r="B116" s="4479"/>
      <c r="C116" s="5323"/>
      <c r="D116" s="4807"/>
      <c r="E116" s="4807"/>
      <c r="F116" s="4807"/>
      <c r="G116" s="4807"/>
      <c r="H116" s="4807"/>
      <c r="I116" s="4807"/>
      <c r="J116" s="4807"/>
      <c r="K116" s="4807"/>
      <c r="L116" s="4807"/>
      <c r="M116" s="4807"/>
      <c r="N116" s="4807"/>
      <c r="O116" s="4807"/>
      <c r="P116" s="4140"/>
      <c r="Q116" s="4140"/>
      <c r="R116" s="4139"/>
      <c r="S116" s="4137" t="s">
        <v>1561</v>
      </c>
      <c r="T116" s="4073"/>
      <c r="U116" s="4073"/>
      <c r="V116" s="4073"/>
      <c r="W116" s="4074"/>
      <c r="X116" s="4075"/>
      <c r="Y116" s="4076"/>
      <c r="Z116" s="4143"/>
      <c r="AA116" s="4148" t="s">
        <v>340</v>
      </c>
      <c r="AB116" s="4147">
        <f>SUM(AB9:AB115)</f>
        <v>77564.612160000004</v>
      </c>
      <c r="AC116" s="4142"/>
      <c r="AD116" s="4142"/>
      <c r="AE116" s="4142"/>
      <c r="AF116" s="4141"/>
    </row>
    <row r="117" spans="1:32" ht="44.25" customHeight="1">
      <c r="A117" s="4564"/>
      <c r="B117" s="4571" t="s">
        <v>1562</v>
      </c>
      <c r="C117" s="5288" t="s">
        <v>272</v>
      </c>
      <c r="D117" s="4421" t="s">
        <v>302</v>
      </c>
      <c r="E117" s="4421" t="s">
        <v>303</v>
      </c>
      <c r="F117" s="4421" t="s">
        <v>304</v>
      </c>
      <c r="G117" s="5286" t="s">
        <v>305</v>
      </c>
      <c r="H117" s="4421" t="s">
        <v>240</v>
      </c>
      <c r="I117" s="4421" t="s">
        <v>241</v>
      </c>
      <c r="J117" s="4421" t="s">
        <v>6016</v>
      </c>
      <c r="K117" s="4421" t="s">
        <v>1563</v>
      </c>
      <c r="L117" s="4421" t="s">
        <v>1564</v>
      </c>
      <c r="M117" s="4426">
        <v>1</v>
      </c>
      <c r="N117" s="4426">
        <v>1</v>
      </c>
      <c r="O117" s="4426">
        <v>1</v>
      </c>
      <c r="P117" s="4421" t="s">
        <v>1565</v>
      </c>
      <c r="Q117" s="4421" t="s">
        <v>1566</v>
      </c>
      <c r="R117" s="5290" t="s">
        <v>6074</v>
      </c>
      <c r="S117" s="4135" t="s">
        <v>39</v>
      </c>
      <c r="T117" s="3853">
        <v>531407</v>
      </c>
      <c r="U117" s="3874"/>
      <c r="V117" s="3854" t="s">
        <v>20</v>
      </c>
      <c r="W117" s="3855"/>
      <c r="X117" s="4091"/>
      <c r="Y117" s="4092"/>
      <c r="Z117" s="4092"/>
      <c r="AA117" s="4092"/>
      <c r="AB117" s="4093">
        <f>SUM($AA$118:$AA$120)</f>
        <v>109.76</v>
      </c>
      <c r="AC117" s="4091"/>
      <c r="AD117" s="4094"/>
      <c r="AE117" s="4094"/>
      <c r="AF117" s="5321"/>
    </row>
    <row r="118" spans="1:32" ht="44.25" customHeight="1">
      <c r="A118" s="4564"/>
      <c r="B118" s="4570"/>
      <c r="C118" s="4545"/>
      <c r="D118" s="4514"/>
      <c r="E118" s="4514"/>
      <c r="F118" s="4514"/>
      <c r="G118" s="4514"/>
      <c r="H118" s="4514"/>
      <c r="I118" s="4514"/>
      <c r="J118" s="4514"/>
      <c r="K118" s="4514"/>
      <c r="L118" s="4514"/>
      <c r="M118" s="4901"/>
      <c r="N118" s="4901"/>
      <c r="O118" s="4901"/>
      <c r="P118" s="4514"/>
      <c r="Q118" s="4514"/>
      <c r="R118" s="4518"/>
      <c r="S118" s="3311"/>
      <c r="T118" s="1891"/>
      <c r="U118" s="1849">
        <v>452700024</v>
      </c>
      <c r="V118" s="1883" t="s">
        <v>6040</v>
      </c>
      <c r="W118" s="1864">
        <v>1</v>
      </c>
      <c r="X118" s="2434" t="s">
        <v>269</v>
      </c>
      <c r="Y118" s="3214">
        <v>98</v>
      </c>
      <c r="Z118" s="3214">
        <f t="shared" ref="Z118" si="9">+W118*Y118</f>
        <v>98</v>
      </c>
      <c r="AA118" s="3214">
        <f t="shared" ref="AA118" si="10">+Z118*1.12</f>
        <v>109.76</v>
      </c>
      <c r="AB118" s="3638"/>
      <c r="AC118" s="3637"/>
      <c r="AD118" s="3206" t="s">
        <v>251</v>
      </c>
      <c r="AE118" s="3206"/>
      <c r="AF118" s="5301"/>
    </row>
    <row r="119" spans="1:32" ht="44.25" customHeight="1">
      <c r="A119" s="4564"/>
      <c r="B119" s="4570"/>
      <c r="C119" s="4545"/>
      <c r="D119" s="4514"/>
      <c r="E119" s="4514"/>
      <c r="F119" s="4514"/>
      <c r="G119" s="4514"/>
      <c r="H119" s="4514"/>
      <c r="I119" s="4514"/>
      <c r="J119" s="4514"/>
      <c r="K119" s="4514"/>
      <c r="L119" s="4514"/>
      <c r="M119" s="4901"/>
      <c r="N119" s="4901"/>
      <c r="O119" s="4901"/>
      <c r="P119" s="4514"/>
      <c r="Q119" s="4514"/>
      <c r="R119" s="4518"/>
      <c r="S119" s="3311"/>
      <c r="T119" s="1891"/>
      <c r="U119" s="1849"/>
      <c r="V119" s="1883"/>
      <c r="W119" s="1864"/>
      <c r="X119" s="3637"/>
      <c r="Y119" s="3214"/>
      <c r="Z119" s="3214"/>
      <c r="AA119" s="3214"/>
      <c r="AB119" s="3638"/>
      <c r="AC119" s="3637"/>
      <c r="AD119" s="3206"/>
      <c r="AE119" s="3206"/>
      <c r="AF119" s="5301"/>
    </row>
    <row r="120" spans="1:32" ht="44.25" customHeight="1">
      <c r="A120" s="4564"/>
      <c r="B120" s="4570"/>
      <c r="C120" s="4545"/>
      <c r="D120" s="4514"/>
      <c r="E120" s="4514"/>
      <c r="F120" s="4514"/>
      <c r="G120" s="4514"/>
      <c r="H120" s="4514"/>
      <c r="I120" s="4514"/>
      <c r="J120" s="4514"/>
      <c r="K120" s="4514"/>
      <c r="L120" s="4514"/>
      <c r="M120" s="4901"/>
      <c r="N120" s="4901"/>
      <c r="O120" s="4901"/>
      <c r="P120" s="4514"/>
      <c r="Q120" s="4514"/>
      <c r="R120" s="4518"/>
      <c r="S120" s="3311"/>
      <c r="T120" s="1891"/>
      <c r="U120" s="1849"/>
      <c r="V120" s="1883"/>
      <c r="W120" s="1864"/>
      <c r="X120" s="3637"/>
      <c r="Y120" s="3214"/>
      <c r="Z120" s="3214"/>
      <c r="AA120" s="3214"/>
      <c r="AB120" s="3638"/>
      <c r="AC120" s="3637"/>
      <c r="AD120" s="3206"/>
      <c r="AE120" s="3206"/>
      <c r="AF120" s="5301"/>
    </row>
    <row r="121" spans="1:32" ht="44.25" customHeight="1">
      <c r="A121" s="4564"/>
      <c r="B121" s="4570"/>
      <c r="C121" s="4566"/>
      <c r="D121" s="4525"/>
      <c r="E121" s="4525"/>
      <c r="F121" s="4525"/>
      <c r="G121" s="4525"/>
      <c r="H121" s="4525"/>
      <c r="I121" s="4525"/>
      <c r="J121" s="4525"/>
      <c r="K121" s="4525"/>
      <c r="L121" s="4525"/>
      <c r="M121" s="4902"/>
      <c r="N121" s="4902"/>
      <c r="O121" s="4902"/>
      <c r="P121" s="4525"/>
      <c r="Q121" s="4525"/>
      <c r="R121" s="4528"/>
      <c r="S121" s="3314"/>
      <c r="T121" s="3821"/>
      <c r="U121" s="3271"/>
      <c r="V121" s="3822"/>
      <c r="W121" s="3254"/>
      <c r="X121" s="4037"/>
      <c r="Y121" s="3291"/>
      <c r="Z121" s="3291"/>
      <c r="AA121" s="3291"/>
      <c r="AB121" s="4118"/>
      <c r="AC121" s="4037"/>
      <c r="AD121" s="4119"/>
      <c r="AE121" s="4119"/>
      <c r="AF121" s="5302"/>
    </row>
    <row r="122" spans="1:32">
      <c r="A122" s="4564"/>
      <c r="B122" s="4570"/>
      <c r="C122" s="5239" t="s">
        <v>272</v>
      </c>
      <c r="D122" s="4377" t="s">
        <v>302</v>
      </c>
      <c r="E122" s="4377" t="s">
        <v>303</v>
      </c>
      <c r="F122" s="4377" t="s">
        <v>304</v>
      </c>
      <c r="G122" s="4906" t="s">
        <v>305</v>
      </c>
      <c r="H122" s="4377" t="s">
        <v>240</v>
      </c>
      <c r="I122" s="4377" t="s">
        <v>241</v>
      </c>
      <c r="J122" s="4377" t="s">
        <v>1567</v>
      </c>
      <c r="K122" s="4377" t="s">
        <v>1568</v>
      </c>
      <c r="L122" s="4377" t="s">
        <v>1569</v>
      </c>
      <c r="M122" s="4392">
        <v>4</v>
      </c>
      <c r="N122" s="5322" t="s">
        <v>894</v>
      </c>
      <c r="O122" s="5322" t="s">
        <v>894</v>
      </c>
      <c r="P122" s="4377" t="s">
        <v>1570</v>
      </c>
      <c r="Q122" s="4377" t="s">
        <v>1571</v>
      </c>
      <c r="R122" s="4903" t="s">
        <v>6075</v>
      </c>
      <c r="S122" s="3310"/>
      <c r="T122" s="3270"/>
      <c r="U122" s="3272"/>
      <c r="V122" s="4068"/>
      <c r="W122" s="4071"/>
      <c r="X122" s="3632"/>
      <c r="Y122" s="3633"/>
      <c r="Z122" s="3633"/>
      <c r="AA122" s="3633"/>
      <c r="AB122" s="3634"/>
      <c r="AC122" s="3632"/>
      <c r="AD122" s="4120"/>
      <c r="AE122" s="4120"/>
      <c r="AF122" s="5217"/>
    </row>
    <row r="123" spans="1:32">
      <c r="A123" s="4564"/>
      <c r="B123" s="4570"/>
      <c r="C123" s="4545"/>
      <c r="D123" s="4514"/>
      <c r="E123" s="4514"/>
      <c r="F123" s="4514"/>
      <c r="G123" s="4514"/>
      <c r="H123" s="4514"/>
      <c r="I123" s="4514"/>
      <c r="J123" s="4514"/>
      <c r="K123" s="4514"/>
      <c r="L123" s="4514"/>
      <c r="M123" s="4901"/>
      <c r="N123" s="4901"/>
      <c r="O123" s="4901"/>
      <c r="P123" s="4514"/>
      <c r="Q123" s="4514"/>
      <c r="R123" s="4518"/>
      <c r="S123" s="3311"/>
      <c r="T123" s="1891"/>
      <c r="U123" s="1849"/>
      <c r="V123" s="1883"/>
      <c r="W123" s="1864"/>
      <c r="X123" s="3637"/>
      <c r="Y123" s="3214"/>
      <c r="Z123" s="3214"/>
      <c r="AA123" s="3214"/>
      <c r="AB123" s="3638"/>
      <c r="AC123" s="3637"/>
      <c r="AD123" s="3206"/>
      <c r="AE123" s="3206"/>
      <c r="AF123" s="5301"/>
    </row>
    <row r="124" spans="1:32">
      <c r="A124" s="4564"/>
      <c r="B124" s="4570"/>
      <c r="C124" s="4545"/>
      <c r="D124" s="4514"/>
      <c r="E124" s="4514"/>
      <c r="F124" s="4514"/>
      <c r="G124" s="4514"/>
      <c r="H124" s="4514"/>
      <c r="I124" s="4514"/>
      <c r="J124" s="4514"/>
      <c r="K124" s="4514"/>
      <c r="L124" s="4514"/>
      <c r="M124" s="4901"/>
      <c r="N124" s="4901"/>
      <c r="O124" s="4901"/>
      <c r="P124" s="4514"/>
      <c r="Q124" s="4514"/>
      <c r="R124" s="4518"/>
      <c r="S124" s="3311"/>
      <c r="T124" s="1891"/>
      <c r="U124" s="1849"/>
      <c r="V124" s="1883"/>
      <c r="W124" s="1864"/>
      <c r="X124" s="3637"/>
      <c r="Y124" s="3214"/>
      <c r="Z124" s="3214"/>
      <c r="AA124" s="3214"/>
      <c r="AB124" s="3638"/>
      <c r="AC124" s="3637"/>
      <c r="AD124" s="3206"/>
      <c r="AE124" s="3206"/>
      <c r="AF124" s="5301"/>
    </row>
    <row r="125" spans="1:32">
      <c r="A125" s="4564"/>
      <c r="B125" s="4570"/>
      <c r="C125" s="4545"/>
      <c r="D125" s="4514"/>
      <c r="E125" s="4514"/>
      <c r="F125" s="4514"/>
      <c r="G125" s="4514"/>
      <c r="H125" s="4514"/>
      <c r="I125" s="4514"/>
      <c r="J125" s="4514"/>
      <c r="K125" s="4514"/>
      <c r="L125" s="4514"/>
      <c r="M125" s="4901"/>
      <c r="N125" s="4901"/>
      <c r="O125" s="4901"/>
      <c r="P125" s="4514"/>
      <c r="Q125" s="4514"/>
      <c r="R125" s="4518"/>
      <c r="S125" s="3311"/>
      <c r="T125" s="1891"/>
      <c r="U125" s="1849"/>
      <c r="V125" s="1883"/>
      <c r="W125" s="1864"/>
      <c r="X125" s="3637"/>
      <c r="Y125" s="3214"/>
      <c r="Z125" s="3214"/>
      <c r="AA125" s="3214"/>
      <c r="AB125" s="3638"/>
      <c r="AC125" s="3637"/>
      <c r="AD125" s="3206"/>
      <c r="AE125" s="3206"/>
      <c r="AF125" s="5301"/>
    </row>
    <row r="126" spans="1:32" ht="36.75" customHeight="1">
      <c r="A126" s="4564"/>
      <c r="B126" s="4570"/>
      <c r="C126" s="4573"/>
      <c r="D126" s="4515"/>
      <c r="E126" s="4515"/>
      <c r="F126" s="4515"/>
      <c r="G126" s="4515"/>
      <c r="H126" s="4515"/>
      <c r="I126" s="4515"/>
      <c r="J126" s="4515"/>
      <c r="K126" s="4515"/>
      <c r="L126" s="4515"/>
      <c r="M126" s="5222"/>
      <c r="N126" s="5222"/>
      <c r="O126" s="5222"/>
      <c r="P126" s="4515"/>
      <c r="Q126" s="4515"/>
      <c r="R126" s="4519"/>
      <c r="S126" s="3312"/>
      <c r="T126" s="3819"/>
      <c r="U126" s="3268"/>
      <c r="V126" s="3641"/>
      <c r="W126" s="3233"/>
      <c r="X126" s="3642"/>
      <c r="Y126" s="3282"/>
      <c r="Z126" s="3282"/>
      <c r="AA126" s="3282"/>
      <c r="AB126" s="3643"/>
      <c r="AC126" s="3642"/>
      <c r="AD126" s="4117"/>
      <c r="AE126" s="4117"/>
      <c r="AF126" s="5303"/>
    </row>
    <row r="127" spans="1:32" ht="28.5" customHeight="1">
      <c r="A127" s="4564"/>
      <c r="B127" s="4570"/>
      <c r="C127" s="5236" t="s">
        <v>272</v>
      </c>
      <c r="D127" s="4395" t="s">
        <v>302</v>
      </c>
      <c r="E127" s="4395" t="s">
        <v>388</v>
      </c>
      <c r="F127" s="4395" t="s">
        <v>847</v>
      </c>
      <c r="G127" s="4930" t="s">
        <v>305</v>
      </c>
      <c r="H127" s="4395" t="s">
        <v>306</v>
      </c>
      <c r="I127" s="4395" t="s">
        <v>257</v>
      </c>
      <c r="J127" s="4395" t="s">
        <v>1572</v>
      </c>
      <c r="K127" s="4395" t="s">
        <v>1573</v>
      </c>
      <c r="L127" s="4395" t="s">
        <v>1574</v>
      </c>
      <c r="M127" s="4401">
        <v>2</v>
      </c>
      <c r="N127" s="5320" t="s">
        <v>901</v>
      </c>
      <c r="O127" s="5320" t="s">
        <v>901</v>
      </c>
      <c r="P127" s="4395" t="s">
        <v>1575</v>
      </c>
      <c r="Q127" s="4395" t="s">
        <v>1576</v>
      </c>
      <c r="R127" s="4897" t="s">
        <v>6076</v>
      </c>
      <c r="S127" s="3313"/>
      <c r="T127" s="3071"/>
      <c r="U127" s="3274"/>
      <c r="V127" s="4069"/>
      <c r="W127" s="4070"/>
      <c r="X127" s="4033"/>
      <c r="Y127" s="3295"/>
      <c r="Z127" s="3295"/>
      <c r="AA127" s="3295"/>
      <c r="AB127" s="4115"/>
      <c r="AC127" s="4033"/>
      <c r="AD127" s="4116"/>
      <c r="AE127" s="4116"/>
      <c r="AF127" s="5209"/>
    </row>
    <row r="128" spans="1:32" ht="28.5" customHeight="1">
      <c r="A128" s="4564"/>
      <c r="B128" s="4570"/>
      <c r="C128" s="4545"/>
      <c r="D128" s="4514"/>
      <c r="E128" s="4514"/>
      <c r="F128" s="4514"/>
      <c r="G128" s="4514"/>
      <c r="H128" s="4514"/>
      <c r="I128" s="4514"/>
      <c r="J128" s="4514"/>
      <c r="K128" s="4514"/>
      <c r="L128" s="4514"/>
      <c r="M128" s="4901"/>
      <c r="N128" s="4901"/>
      <c r="O128" s="4901"/>
      <c r="P128" s="4514"/>
      <c r="Q128" s="4514"/>
      <c r="R128" s="4518"/>
      <c r="S128" s="3311"/>
      <c r="T128" s="1891"/>
      <c r="U128" s="1849"/>
      <c r="V128" s="1883"/>
      <c r="W128" s="1864"/>
      <c r="X128" s="3637"/>
      <c r="Y128" s="3214"/>
      <c r="Z128" s="3214"/>
      <c r="AA128" s="3214"/>
      <c r="AB128" s="3638"/>
      <c r="AC128" s="3637"/>
      <c r="AD128" s="3206"/>
      <c r="AE128" s="3206"/>
      <c r="AF128" s="5301"/>
    </row>
    <row r="129" spans="1:32" ht="28.5" customHeight="1">
      <c r="A129" s="4564"/>
      <c r="B129" s="4570"/>
      <c r="C129" s="4545"/>
      <c r="D129" s="4514"/>
      <c r="E129" s="4514"/>
      <c r="F129" s="4514"/>
      <c r="G129" s="4514"/>
      <c r="H129" s="4514"/>
      <c r="I129" s="4514"/>
      <c r="J129" s="4514"/>
      <c r="K129" s="4514"/>
      <c r="L129" s="4514"/>
      <c r="M129" s="4901"/>
      <c r="N129" s="4901"/>
      <c r="O129" s="4901"/>
      <c r="P129" s="4514"/>
      <c r="Q129" s="4514"/>
      <c r="R129" s="4518"/>
      <c r="S129" s="3311"/>
      <c r="T129" s="1891"/>
      <c r="U129" s="1849"/>
      <c r="V129" s="1883"/>
      <c r="W129" s="1864"/>
      <c r="X129" s="3637"/>
      <c r="Y129" s="3214"/>
      <c r="Z129" s="3214"/>
      <c r="AA129" s="3214"/>
      <c r="AB129" s="3638"/>
      <c r="AC129" s="3637"/>
      <c r="AD129" s="3206"/>
      <c r="AE129" s="3206"/>
      <c r="AF129" s="5301"/>
    </row>
    <row r="130" spans="1:32" ht="28.5" customHeight="1">
      <c r="A130" s="4564"/>
      <c r="B130" s="4570"/>
      <c r="C130" s="4545"/>
      <c r="D130" s="4514"/>
      <c r="E130" s="4514"/>
      <c r="F130" s="4514"/>
      <c r="G130" s="4514"/>
      <c r="H130" s="4514"/>
      <c r="I130" s="4514"/>
      <c r="J130" s="4514"/>
      <c r="K130" s="4514"/>
      <c r="L130" s="4514"/>
      <c r="M130" s="4901"/>
      <c r="N130" s="4901"/>
      <c r="O130" s="4901"/>
      <c r="P130" s="4514"/>
      <c r="Q130" s="4514"/>
      <c r="R130" s="4518"/>
      <c r="S130" s="3311"/>
      <c r="T130" s="1891"/>
      <c r="U130" s="1849"/>
      <c r="V130" s="1883"/>
      <c r="W130" s="1864"/>
      <c r="X130" s="3637"/>
      <c r="Y130" s="3214"/>
      <c r="Z130" s="3214"/>
      <c r="AA130" s="3214"/>
      <c r="AB130" s="3638"/>
      <c r="AC130" s="3637"/>
      <c r="AD130" s="3206"/>
      <c r="AE130" s="3206"/>
      <c r="AF130" s="5301"/>
    </row>
    <row r="131" spans="1:32" ht="28.5" customHeight="1">
      <c r="A131" s="4564"/>
      <c r="B131" s="4570"/>
      <c r="C131" s="4566"/>
      <c r="D131" s="4525"/>
      <c r="E131" s="4525"/>
      <c r="F131" s="4525"/>
      <c r="G131" s="4525"/>
      <c r="H131" s="4525"/>
      <c r="I131" s="4525"/>
      <c r="J131" s="4525"/>
      <c r="K131" s="4525"/>
      <c r="L131" s="4525"/>
      <c r="M131" s="4902"/>
      <c r="N131" s="4902"/>
      <c r="O131" s="4902"/>
      <c r="P131" s="4525"/>
      <c r="Q131" s="4525"/>
      <c r="R131" s="4528"/>
      <c r="S131" s="3314"/>
      <c r="T131" s="3821"/>
      <c r="U131" s="3271"/>
      <c r="V131" s="3822"/>
      <c r="W131" s="3254"/>
      <c r="X131" s="4037"/>
      <c r="Y131" s="3291"/>
      <c r="Z131" s="3291"/>
      <c r="AA131" s="3291"/>
      <c r="AB131" s="4118"/>
      <c r="AC131" s="4037"/>
      <c r="AD131" s="4119"/>
      <c r="AE131" s="4119"/>
      <c r="AF131" s="5302"/>
    </row>
    <row r="132" spans="1:32" ht="25.5">
      <c r="A132" s="4564"/>
      <c r="B132" s="4570"/>
      <c r="C132" s="5239" t="s">
        <v>272</v>
      </c>
      <c r="D132" s="4377" t="s">
        <v>302</v>
      </c>
      <c r="E132" s="4377" t="s">
        <v>303</v>
      </c>
      <c r="F132" s="4377" t="s">
        <v>304</v>
      </c>
      <c r="G132" s="4906" t="s">
        <v>305</v>
      </c>
      <c r="H132" s="4377" t="s">
        <v>240</v>
      </c>
      <c r="I132" s="4377" t="s">
        <v>257</v>
      </c>
      <c r="J132" s="4377" t="s">
        <v>1577</v>
      </c>
      <c r="K132" s="4377" t="s">
        <v>1578</v>
      </c>
      <c r="L132" s="4377" t="s">
        <v>1579</v>
      </c>
      <c r="M132" s="4392">
        <v>0</v>
      </c>
      <c r="N132" s="4392">
        <v>1</v>
      </c>
      <c r="O132" s="4392">
        <v>1</v>
      </c>
      <c r="P132" s="4377" t="s">
        <v>1580</v>
      </c>
      <c r="Q132" s="4377" t="s">
        <v>1581</v>
      </c>
      <c r="R132" s="4903" t="s">
        <v>6077</v>
      </c>
      <c r="S132" s="3310" t="s">
        <v>17</v>
      </c>
      <c r="T132" s="3270">
        <v>530404</v>
      </c>
      <c r="U132" s="3272"/>
      <c r="V132" s="4068" t="s">
        <v>32</v>
      </c>
      <c r="W132" s="4071"/>
      <c r="X132" s="3632"/>
      <c r="Y132" s="3633"/>
      <c r="Z132" s="3633"/>
      <c r="AA132" s="3633"/>
      <c r="AB132" s="3634">
        <f>SUM($AA$134+$AA$133)</f>
        <v>12768.000000000002</v>
      </c>
      <c r="AC132" s="3632"/>
      <c r="AD132" s="4120"/>
      <c r="AE132" s="4120"/>
      <c r="AF132" s="5217" t="s">
        <v>1582</v>
      </c>
    </row>
    <row r="133" spans="1:32">
      <c r="A133" s="4564"/>
      <c r="B133" s="4570"/>
      <c r="C133" s="4545"/>
      <c r="D133" s="4514"/>
      <c r="E133" s="4514"/>
      <c r="F133" s="4514"/>
      <c r="G133" s="4514"/>
      <c r="H133" s="4514"/>
      <c r="I133" s="4514"/>
      <c r="J133" s="4514"/>
      <c r="K133" s="4514"/>
      <c r="L133" s="4514"/>
      <c r="M133" s="4901"/>
      <c r="N133" s="4901"/>
      <c r="O133" s="4901"/>
      <c r="P133" s="4514"/>
      <c r="Q133" s="4514"/>
      <c r="R133" s="4518"/>
      <c r="S133" s="3311"/>
      <c r="T133" s="1891"/>
      <c r="U133" s="1848" t="s">
        <v>1583</v>
      </c>
      <c r="V133" s="2432" t="s">
        <v>1584</v>
      </c>
      <c r="W133" s="1864">
        <v>1</v>
      </c>
      <c r="X133" s="2434" t="s">
        <v>269</v>
      </c>
      <c r="Y133" s="3214">
        <v>400</v>
      </c>
      <c r="Z133" s="3214">
        <f>(Y133*W133)</f>
        <v>400</v>
      </c>
      <c r="AA133" s="3214">
        <f>((Z133*0.12)+Z133)</f>
        <v>448</v>
      </c>
      <c r="AB133" s="3638"/>
      <c r="AC133" s="3637"/>
      <c r="AD133" s="3206" t="s">
        <v>251</v>
      </c>
      <c r="AE133" s="3206"/>
      <c r="AF133" s="5301"/>
    </row>
    <row r="134" spans="1:32" ht="25.5">
      <c r="A134" s="4564"/>
      <c r="B134" s="4570"/>
      <c r="C134" s="4545"/>
      <c r="D134" s="4514"/>
      <c r="E134" s="4514"/>
      <c r="F134" s="4514"/>
      <c r="G134" s="4514"/>
      <c r="H134" s="4514"/>
      <c r="I134" s="4514"/>
      <c r="J134" s="4514"/>
      <c r="K134" s="4514"/>
      <c r="L134" s="4514"/>
      <c r="M134" s="4901"/>
      <c r="N134" s="4901"/>
      <c r="O134" s="4901"/>
      <c r="P134" s="4514"/>
      <c r="Q134" s="4514"/>
      <c r="R134" s="4518"/>
      <c r="S134" s="3311"/>
      <c r="T134" s="1891"/>
      <c r="U134" s="1848" t="s">
        <v>1585</v>
      </c>
      <c r="V134" s="2432" t="s">
        <v>1586</v>
      </c>
      <c r="W134" s="1864">
        <v>1</v>
      </c>
      <c r="X134" s="3637" t="s">
        <v>1587</v>
      </c>
      <c r="Y134" s="3214">
        <v>11000</v>
      </c>
      <c r="Z134" s="3214">
        <f>+W134*Y134</f>
        <v>11000</v>
      </c>
      <c r="AA134" s="3214">
        <f>+Z134*1.12</f>
        <v>12320.000000000002</v>
      </c>
      <c r="AB134" s="3638"/>
      <c r="AC134" s="3637"/>
      <c r="AD134" s="3206" t="s">
        <v>251</v>
      </c>
      <c r="AE134" s="3206"/>
      <c r="AF134" s="5301"/>
    </row>
    <row r="135" spans="1:32">
      <c r="A135" s="4564"/>
      <c r="B135" s="4570"/>
      <c r="C135" s="4545"/>
      <c r="D135" s="4514"/>
      <c r="E135" s="4514"/>
      <c r="F135" s="4514"/>
      <c r="G135" s="4514"/>
      <c r="H135" s="4514"/>
      <c r="I135" s="4514"/>
      <c r="J135" s="4514"/>
      <c r="K135" s="4514"/>
      <c r="L135" s="4514"/>
      <c r="M135" s="4901"/>
      <c r="N135" s="4901"/>
      <c r="O135" s="4901"/>
      <c r="P135" s="4514"/>
      <c r="Q135" s="4514"/>
      <c r="R135" s="4518"/>
      <c r="S135" s="3311"/>
      <c r="T135" s="1891"/>
      <c r="U135" s="1848"/>
      <c r="V135" s="2441"/>
      <c r="W135" s="1864"/>
      <c r="X135" s="3637"/>
      <c r="Y135" s="3214"/>
      <c r="Z135" s="3214"/>
      <c r="AA135" s="3214"/>
      <c r="AB135" s="3638"/>
      <c r="AC135" s="3637"/>
      <c r="AD135" s="3206"/>
      <c r="AE135" s="3206"/>
      <c r="AF135" s="5301"/>
    </row>
    <row r="136" spans="1:32" ht="25.5">
      <c r="A136" s="4564"/>
      <c r="B136" s="4570"/>
      <c r="C136" s="4545"/>
      <c r="D136" s="4514"/>
      <c r="E136" s="4514"/>
      <c r="F136" s="4514"/>
      <c r="G136" s="4514"/>
      <c r="H136" s="4514"/>
      <c r="I136" s="4514"/>
      <c r="J136" s="4514"/>
      <c r="K136" s="4514"/>
      <c r="L136" s="4514"/>
      <c r="M136" s="4901"/>
      <c r="N136" s="4901"/>
      <c r="O136" s="4901"/>
      <c r="P136" s="4514"/>
      <c r="Q136" s="4514"/>
      <c r="R136" s="4518"/>
      <c r="S136" s="3311" t="s">
        <v>17</v>
      </c>
      <c r="T136" s="1891">
        <v>530810</v>
      </c>
      <c r="U136" s="1848"/>
      <c r="V136" s="2441" t="s">
        <v>72</v>
      </c>
      <c r="W136" s="1864"/>
      <c r="X136" s="3637"/>
      <c r="Y136" s="3214"/>
      <c r="Z136" s="3214"/>
      <c r="AA136" s="3214"/>
      <c r="AB136" s="3638">
        <f>SUM($AA$137)</f>
        <v>473.76000000000005</v>
      </c>
      <c r="AC136" s="3637"/>
      <c r="AD136" s="3206"/>
      <c r="AE136" s="3206"/>
      <c r="AF136" s="5301"/>
    </row>
    <row r="137" spans="1:32" ht="25.5">
      <c r="A137" s="4564"/>
      <c r="B137" s="4570"/>
      <c r="C137" s="4545"/>
      <c r="D137" s="4514"/>
      <c r="E137" s="4514"/>
      <c r="F137" s="4514"/>
      <c r="G137" s="4514"/>
      <c r="H137" s="4514"/>
      <c r="I137" s="4514"/>
      <c r="J137" s="4514"/>
      <c r="K137" s="4514"/>
      <c r="L137" s="4514"/>
      <c r="M137" s="4901"/>
      <c r="N137" s="4901"/>
      <c r="O137" s="4901"/>
      <c r="P137" s="4514"/>
      <c r="Q137" s="4514"/>
      <c r="R137" s="4518"/>
      <c r="S137" s="3311"/>
      <c r="T137" s="1891"/>
      <c r="U137" s="1848">
        <v>3529010711</v>
      </c>
      <c r="V137" s="2432" t="s">
        <v>1588</v>
      </c>
      <c r="W137" s="1864">
        <v>1</v>
      </c>
      <c r="X137" s="2434" t="s">
        <v>269</v>
      </c>
      <c r="Y137" s="3214">
        <v>423</v>
      </c>
      <c r="Z137" s="3214">
        <f>+W137*Y137</f>
        <v>423</v>
      </c>
      <c r="AA137" s="3214">
        <f>+Z137*1.12</f>
        <v>473.76000000000005</v>
      </c>
      <c r="AB137" s="3638"/>
      <c r="AC137" s="3637"/>
      <c r="AD137" s="3206" t="s">
        <v>251</v>
      </c>
      <c r="AE137" s="3206"/>
      <c r="AF137" s="5301"/>
    </row>
    <row r="138" spans="1:32">
      <c r="A138" s="4564"/>
      <c r="B138" s="4570"/>
      <c r="C138" s="4545"/>
      <c r="D138" s="4514"/>
      <c r="E138" s="4514"/>
      <c r="F138" s="4514"/>
      <c r="G138" s="4514"/>
      <c r="H138" s="4514"/>
      <c r="I138" s="4514"/>
      <c r="J138" s="4514"/>
      <c r="K138" s="4514"/>
      <c r="L138" s="4514"/>
      <c r="M138" s="4901"/>
      <c r="N138" s="4901"/>
      <c r="O138" s="4901"/>
      <c r="P138" s="4514"/>
      <c r="Q138" s="4514"/>
      <c r="R138" s="4518"/>
      <c r="S138" s="3311"/>
      <c r="T138" s="1891"/>
      <c r="U138" s="1848"/>
      <c r="V138" s="2441"/>
      <c r="W138" s="1864"/>
      <c r="X138" s="3637"/>
      <c r="Y138" s="3214"/>
      <c r="Z138" s="3214"/>
      <c r="AA138" s="3214"/>
      <c r="AB138" s="3638"/>
      <c r="AC138" s="3637"/>
      <c r="AD138" s="3206"/>
      <c r="AE138" s="3206"/>
      <c r="AF138" s="5301"/>
    </row>
    <row r="139" spans="1:32" ht="25.5">
      <c r="A139" s="4564"/>
      <c r="B139" s="4570"/>
      <c r="C139" s="4545"/>
      <c r="D139" s="4514"/>
      <c r="E139" s="4514"/>
      <c r="F139" s="4514"/>
      <c r="G139" s="4514"/>
      <c r="H139" s="4514"/>
      <c r="I139" s="4514"/>
      <c r="J139" s="4514"/>
      <c r="K139" s="4514"/>
      <c r="L139" s="4514"/>
      <c r="M139" s="4901"/>
      <c r="N139" s="4901"/>
      <c r="O139" s="4901"/>
      <c r="P139" s="4514"/>
      <c r="Q139" s="4514"/>
      <c r="R139" s="4518"/>
      <c r="S139" s="3311" t="s">
        <v>17</v>
      </c>
      <c r="T139" s="1891">
        <v>530829</v>
      </c>
      <c r="U139" s="1848"/>
      <c r="V139" s="2441" t="s">
        <v>73</v>
      </c>
      <c r="W139" s="1864"/>
      <c r="X139" s="3637"/>
      <c r="Y139" s="3214"/>
      <c r="Z139" s="3214"/>
      <c r="AA139" s="3214"/>
      <c r="AB139" s="3638">
        <f>SUM($AA$140)</f>
        <v>22400.000000000004</v>
      </c>
      <c r="AC139" s="3637"/>
      <c r="AD139" s="3206"/>
      <c r="AE139" s="3206"/>
      <c r="AF139" s="5301"/>
    </row>
    <row r="140" spans="1:32" ht="25.5">
      <c r="A140" s="4564"/>
      <c r="B140" s="4570"/>
      <c r="C140" s="4545"/>
      <c r="D140" s="4514"/>
      <c r="E140" s="4514"/>
      <c r="F140" s="4514"/>
      <c r="G140" s="4514"/>
      <c r="H140" s="4514"/>
      <c r="I140" s="4514"/>
      <c r="J140" s="4514"/>
      <c r="K140" s="4514"/>
      <c r="L140" s="4514"/>
      <c r="M140" s="4901"/>
      <c r="N140" s="4901"/>
      <c r="O140" s="4901"/>
      <c r="P140" s="4514"/>
      <c r="Q140" s="4514"/>
      <c r="R140" s="4518"/>
      <c r="S140" s="3311"/>
      <c r="T140" s="1891"/>
      <c r="U140" s="1848">
        <v>34200</v>
      </c>
      <c r="V140" s="2432" t="s">
        <v>1589</v>
      </c>
      <c r="W140" s="1864">
        <v>1</v>
      </c>
      <c r="X140" s="2434" t="s">
        <v>269</v>
      </c>
      <c r="Y140" s="3214">
        <v>20000</v>
      </c>
      <c r="Z140" s="3214">
        <f>+W140*Y140</f>
        <v>20000</v>
      </c>
      <c r="AA140" s="3214">
        <f>+Z140*1.12</f>
        <v>22400.000000000004</v>
      </c>
      <c r="AB140" s="3638"/>
      <c r="AC140" s="3637"/>
      <c r="AD140" s="3206" t="s">
        <v>251</v>
      </c>
      <c r="AE140" s="3206"/>
      <c r="AF140" s="5301"/>
    </row>
    <row r="141" spans="1:32">
      <c r="A141" s="4564"/>
      <c r="B141" s="4570"/>
      <c r="C141" s="4573"/>
      <c r="D141" s="4515"/>
      <c r="E141" s="4515"/>
      <c r="F141" s="4515"/>
      <c r="G141" s="4515"/>
      <c r="H141" s="4515"/>
      <c r="I141" s="4515"/>
      <c r="J141" s="4515"/>
      <c r="K141" s="4515"/>
      <c r="L141" s="4515"/>
      <c r="M141" s="5222"/>
      <c r="N141" s="5222"/>
      <c r="O141" s="5222"/>
      <c r="P141" s="4515"/>
      <c r="Q141" s="4515"/>
      <c r="R141" s="4519"/>
      <c r="S141" s="3312"/>
      <c r="T141" s="3819"/>
      <c r="U141" s="2481"/>
      <c r="V141" s="2482"/>
      <c r="W141" s="3233"/>
      <c r="X141" s="3642"/>
      <c r="Y141" s="3282"/>
      <c r="Z141" s="3282"/>
      <c r="AA141" s="3282"/>
      <c r="AB141" s="3643"/>
      <c r="AC141" s="3642"/>
      <c r="AD141" s="4117"/>
      <c r="AE141" s="4117"/>
      <c r="AF141" s="5303"/>
    </row>
    <row r="142" spans="1:32">
      <c r="A142" s="4564"/>
      <c r="B142" s="4570"/>
      <c r="C142" s="5236" t="s">
        <v>272</v>
      </c>
      <c r="D142" s="4395" t="s">
        <v>302</v>
      </c>
      <c r="E142" s="4395" t="s">
        <v>303</v>
      </c>
      <c r="F142" s="4395" t="s">
        <v>318</v>
      </c>
      <c r="G142" s="4930" t="s">
        <v>305</v>
      </c>
      <c r="H142" s="4395" t="s">
        <v>240</v>
      </c>
      <c r="I142" s="4395" t="s">
        <v>241</v>
      </c>
      <c r="J142" s="4395" t="s">
        <v>1590</v>
      </c>
      <c r="K142" s="4395" t="s">
        <v>1591</v>
      </c>
      <c r="L142" s="4395" t="s">
        <v>1592</v>
      </c>
      <c r="M142" s="4401">
        <v>1</v>
      </c>
      <c r="N142" s="4401">
        <v>0</v>
      </c>
      <c r="O142" s="4401">
        <v>1</v>
      </c>
      <c r="P142" s="4395" t="s">
        <v>1593</v>
      </c>
      <c r="Q142" s="4395" t="s">
        <v>1594</v>
      </c>
      <c r="R142" s="4897" t="s">
        <v>6078</v>
      </c>
      <c r="S142" s="3313"/>
      <c r="T142" s="3071"/>
      <c r="U142" s="3274"/>
      <c r="V142" s="4064"/>
      <c r="W142" s="4070"/>
      <c r="X142" s="4033"/>
      <c r="Y142" s="3295"/>
      <c r="Z142" s="3295"/>
      <c r="AA142" s="3295"/>
      <c r="AB142" s="4115"/>
      <c r="AC142" s="4033"/>
      <c r="AD142" s="4033"/>
      <c r="AE142" s="4116"/>
      <c r="AF142" s="5209" t="s">
        <v>1582</v>
      </c>
    </row>
    <row r="143" spans="1:32">
      <c r="A143" s="4564"/>
      <c r="B143" s="4570"/>
      <c r="C143" s="4545"/>
      <c r="D143" s="4514"/>
      <c r="E143" s="4514"/>
      <c r="F143" s="4514"/>
      <c r="G143" s="4514"/>
      <c r="H143" s="4514"/>
      <c r="I143" s="4514"/>
      <c r="J143" s="4514"/>
      <c r="K143" s="4514"/>
      <c r="L143" s="4514"/>
      <c r="M143" s="4901"/>
      <c r="N143" s="4901"/>
      <c r="O143" s="4901"/>
      <c r="P143" s="4514"/>
      <c r="Q143" s="4514"/>
      <c r="R143" s="4518"/>
      <c r="S143" s="3311"/>
      <c r="T143" s="1891"/>
      <c r="U143" s="1849"/>
      <c r="V143" s="1883"/>
      <c r="W143" s="1864"/>
      <c r="X143" s="3637"/>
      <c r="Y143" s="3214"/>
      <c r="Z143" s="3214"/>
      <c r="AA143" s="3214"/>
      <c r="AB143" s="3638"/>
      <c r="AC143" s="3637"/>
      <c r="AD143" s="3637"/>
      <c r="AE143" s="3206"/>
      <c r="AF143" s="5301"/>
    </row>
    <row r="144" spans="1:32">
      <c r="A144" s="4564"/>
      <c r="B144" s="4570"/>
      <c r="C144" s="4545"/>
      <c r="D144" s="4514"/>
      <c r="E144" s="4514"/>
      <c r="F144" s="4514"/>
      <c r="G144" s="4514"/>
      <c r="H144" s="4514"/>
      <c r="I144" s="4514"/>
      <c r="J144" s="4514"/>
      <c r="K144" s="4514"/>
      <c r="L144" s="4514"/>
      <c r="M144" s="4901"/>
      <c r="N144" s="4901"/>
      <c r="O144" s="4901"/>
      <c r="P144" s="4514"/>
      <c r="Q144" s="4514"/>
      <c r="R144" s="4518"/>
      <c r="S144" s="3311"/>
      <c r="T144" s="1891"/>
      <c r="U144" s="1849"/>
      <c r="V144" s="1883"/>
      <c r="W144" s="1864"/>
      <c r="X144" s="3637"/>
      <c r="Y144" s="3214"/>
      <c r="Z144" s="3214"/>
      <c r="AA144" s="3214"/>
      <c r="AB144" s="3638"/>
      <c r="AC144" s="3637"/>
      <c r="AD144" s="3637"/>
      <c r="AE144" s="3206"/>
      <c r="AF144" s="5301"/>
    </row>
    <row r="145" spans="1:32">
      <c r="A145" s="4564"/>
      <c r="B145" s="4570"/>
      <c r="C145" s="4545"/>
      <c r="D145" s="4514"/>
      <c r="E145" s="4514"/>
      <c r="F145" s="4514"/>
      <c r="G145" s="4514"/>
      <c r="H145" s="4514"/>
      <c r="I145" s="4514"/>
      <c r="J145" s="4514"/>
      <c r="K145" s="4514"/>
      <c r="L145" s="4514"/>
      <c r="M145" s="4901"/>
      <c r="N145" s="4901"/>
      <c r="O145" s="4901"/>
      <c r="P145" s="4514"/>
      <c r="Q145" s="4514"/>
      <c r="R145" s="4518"/>
      <c r="S145" s="3311"/>
      <c r="T145" s="1891"/>
      <c r="U145" s="1849"/>
      <c r="V145" s="1883"/>
      <c r="W145" s="1864"/>
      <c r="X145" s="3637"/>
      <c r="Y145" s="3214"/>
      <c r="Z145" s="3214"/>
      <c r="AA145" s="3214"/>
      <c r="AB145" s="3638"/>
      <c r="AC145" s="3637"/>
      <c r="AD145" s="3637"/>
      <c r="AE145" s="3206"/>
      <c r="AF145" s="5301"/>
    </row>
    <row r="146" spans="1:32" ht="29.25" customHeight="1">
      <c r="A146" s="4564"/>
      <c r="B146" s="4570"/>
      <c r="C146" s="4566"/>
      <c r="D146" s="4525"/>
      <c r="E146" s="4525"/>
      <c r="F146" s="4525"/>
      <c r="G146" s="4525"/>
      <c r="H146" s="4525"/>
      <c r="I146" s="4525"/>
      <c r="J146" s="4525"/>
      <c r="K146" s="4525"/>
      <c r="L146" s="4525"/>
      <c r="M146" s="4902"/>
      <c r="N146" s="4902"/>
      <c r="O146" s="4902"/>
      <c r="P146" s="4525"/>
      <c r="Q146" s="4525"/>
      <c r="R146" s="4528"/>
      <c r="S146" s="3314"/>
      <c r="T146" s="3821"/>
      <c r="U146" s="3271"/>
      <c r="V146" s="3822"/>
      <c r="W146" s="3254"/>
      <c r="X146" s="4037"/>
      <c r="Y146" s="3291"/>
      <c r="Z146" s="3291"/>
      <c r="AA146" s="3291"/>
      <c r="AB146" s="4118"/>
      <c r="AC146" s="4037"/>
      <c r="AD146" s="4037"/>
      <c r="AE146" s="4119"/>
      <c r="AF146" s="5302"/>
    </row>
    <row r="147" spans="1:32" ht="21.75" customHeight="1">
      <c r="A147" s="4564"/>
      <c r="B147" s="4570"/>
      <c r="C147" s="5239" t="s">
        <v>235</v>
      </c>
      <c r="D147" s="4377" t="s">
        <v>236</v>
      </c>
      <c r="E147" s="4377" t="s">
        <v>244</v>
      </c>
      <c r="F147" s="4377" t="s">
        <v>292</v>
      </c>
      <c r="G147" s="4906" t="s">
        <v>239</v>
      </c>
      <c r="H147" s="4377" t="s">
        <v>293</v>
      </c>
      <c r="I147" s="4377" t="s">
        <v>278</v>
      </c>
      <c r="J147" s="4377" t="s">
        <v>1595</v>
      </c>
      <c r="K147" s="4377" t="s">
        <v>1596</v>
      </c>
      <c r="L147" s="4377" t="s">
        <v>1597</v>
      </c>
      <c r="M147" s="4392">
        <v>1</v>
      </c>
      <c r="N147" s="4392">
        <v>0</v>
      </c>
      <c r="O147" s="4392">
        <v>1</v>
      </c>
      <c r="P147" s="4377" t="s">
        <v>1598</v>
      </c>
      <c r="Q147" s="4377" t="s">
        <v>1599</v>
      </c>
      <c r="R147" s="4903" t="s">
        <v>6077</v>
      </c>
      <c r="S147" s="3310"/>
      <c r="T147" s="3270"/>
      <c r="U147" s="3272"/>
      <c r="V147" s="4068"/>
      <c r="W147" s="4071"/>
      <c r="X147" s="3632"/>
      <c r="Y147" s="3633"/>
      <c r="Z147" s="3633"/>
      <c r="AA147" s="3633"/>
      <c r="AB147" s="3634"/>
      <c r="AC147" s="3632"/>
      <c r="AD147" s="4120"/>
      <c r="AE147" s="4120"/>
      <c r="AF147" s="5217"/>
    </row>
    <row r="148" spans="1:32" ht="21.75" customHeight="1">
      <c r="A148" s="4564"/>
      <c r="B148" s="4570"/>
      <c r="C148" s="4545"/>
      <c r="D148" s="4514"/>
      <c r="E148" s="4514"/>
      <c r="F148" s="4514"/>
      <c r="G148" s="4514"/>
      <c r="H148" s="4514"/>
      <c r="I148" s="4514"/>
      <c r="J148" s="4514"/>
      <c r="K148" s="4514"/>
      <c r="L148" s="4514"/>
      <c r="M148" s="4901"/>
      <c r="N148" s="4901"/>
      <c r="O148" s="4901"/>
      <c r="P148" s="4514"/>
      <c r="Q148" s="4514"/>
      <c r="R148" s="4518"/>
      <c r="S148" s="3311"/>
      <c r="T148" s="1891"/>
      <c r="U148" s="1849"/>
      <c r="V148" s="1883"/>
      <c r="W148" s="1864"/>
      <c r="X148" s="3637"/>
      <c r="Y148" s="3214"/>
      <c r="Z148" s="3214"/>
      <c r="AA148" s="3214"/>
      <c r="AB148" s="3638"/>
      <c r="AC148" s="3637"/>
      <c r="AD148" s="3206"/>
      <c r="AE148" s="3206"/>
      <c r="AF148" s="5301"/>
    </row>
    <row r="149" spans="1:32" ht="21.75" customHeight="1">
      <c r="A149" s="4564"/>
      <c r="B149" s="4570"/>
      <c r="C149" s="4545"/>
      <c r="D149" s="4514"/>
      <c r="E149" s="4514"/>
      <c r="F149" s="4514"/>
      <c r="G149" s="4514"/>
      <c r="H149" s="4514"/>
      <c r="I149" s="4514"/>
      <c r="J149" s="4514"/>
      <c r="K149" s="4514"/>
      <c r="L149" s="4514"/>
      <c r="M149" s="4901"/>
      <c r="N149" s="4901"/>
      <c r="O149" s="4901"/>
      <c r="P149" s="4514"/>
      <c r="Q149" s="4514"/>
      <c r="R149" s="4518"/>
      <c r="S149" s="3311"/>
      <c r="T149" s="1891"/>
      <c r="U149" s="1849"/>
      <c r="V149" s="1883"/>
      <c r="W149" s="1864"/>
      <c r="X149" s="3637"/>
      <c r="Y149" s="3214"/>
      <c r="Z149" s="3214"/>
      <c r="AA149" s="3214"/>
      <c r="AB149" s="3638"/>
      <c r="AC149" s="3637"/>
      <c r="AD149" s="3206"/>
      <c r="AE149" s="3206"/>
      <c r="AF149" s="5301"/>
    </row>
    <row r="150" spans="1:32" ht="21.75" customHeight="1">
      <c r="A150" s="4564"/>
      <c r="B150" s="4570"/>
      <c r="C150" s="4545"/>
      <c r="D150" s="4514"/>
      <c r="E150" s="4514"/>
      <c r="F150" s="4514"/>
      <c r="G150" s="4514"/>
      <c r="H150" s="4514"/>
      <c r="I150" s="4514"/>
      <c r="J150" s="4514"/>
      <c r="K150" s="4514"/>
      <c r="L150" s="4514"/>
      <c r="M150" s="4901"/>
      <c r="N150" s="4901"/>
      <c r="O150" s="4901"/>
      <c r="P150" s="4514"/>
      <c r="Q150" s="4514"/>
      <c r="R150" s="4518"/>
      <c r="S150" s="3311"/>
      <c r="T150" s="1891"/>
      <c r="U150" s="1849"/>
      <c r="V150" s="1883"/>
      <c r="W150" s="1864"/>
      <c r="X150" s="3637"/>
      <c r="Y150" s="3214"/>
      <c r="Z150" s="3214"/>
      <c r="AA150" s="3214"/>
      <c r="AB150" s="3638"/>
      <c r="AC150" s="3637"/>
      <c r="AD150" s="3206"/>
      <c r="AE150" s="3206"/>
      <c r="AF150" s="5301"/>
    </row>
    <row r="151" spans="1:32" ht="29.25" customHeight="1">
      <c r="A151" s="4564"/>
      <c r="B151" s="4570"/>
      <c r="C151" s="4573"/>
      <c r="D151" s="4515"/>
      <c r="E151" s="4515"/>
      <c r="F151" s="4515"/>
      <c r="G151" s="4515"/>
      <c r="H151" s="4515"/>
      <c r="I151" s="4515"/>
      <c r="J151" s="4515"/>
      <c r="K151" s="4515"/>
      <c r="L151" s="4515"/>
      <c r="M151" s="5222"/>
      <c r="N151" s="5222"/>
      <c r="O151" s="5222"/>
      <c r="P151" s="4515"/>
      <c r="Q151" s="4515"/>
      <c r="R151" s="4519"/>
      <c r="S151" s="3312"/>
      <c r="T151" s="3819"/>
      <c r="U151" s="3268"/>
      <c r="V151" s="3641"/>
      <c r="W151" s="3233"/>
      <c r="X151" s="3642"/>
      <c r="Y151" s="3282"/>
      <c r="Z151" s="3282"/>
      <c r="AA151" s="3282"/>
      <c r="AB151" s="3643"/>
      <c r="AC151" s="3642"/>
      <c r="AD151" s="4117"/>
      <c r="AE151" s="4117"/>
      <c r="AF151" s="5303"/>
    </row>
    <row r="152" spans="1:32">
      <c r="A152" s="4564"/>
      <c r="B152" s="4570"/>
      <c r="C152" s="5236" t="s">
        <v>272</v>
      </c>
      <c r="D152" s="4395" t="s">
        <v>679</v>
      </c>
      <c r="E152" s="4395" t="s">
        <v>274</v>
      </c>
      <c r="F152" s="4395" t="s">
        <v>885</v>
      </c>
      <c r="G152" s="4930" t="s">
        <v>305</v>
      </c>
      <c r="H152" s="4395" t="s">
        <v>262</v>
      </c>
      <c r="I152" s="4395" t="s">
        <v>241</v>
      </c>
      <c r="J152" s="4395" t="s">
        <v>1600</v>
      </c>
      <c r="K152" s="4395" t="s">
        <v>1601</v>
      </c>
      <c r="L152" s="4395" t="s">
        <v>1602</v>
      </c>
      <c r="M152" s="4401">
        <v>1</v>
      </c>
      <c r="N152" s="4401">
        <v>0</v>
      </c>
      <c r="O152" s="4401">
        <v>1</v>
      </c>
      <c r="P152" s="4395" t="s">
        <v>1603</v>
      </c>
      <c r="Q152" s="4395" t="s">
        <v>1604</v>
      </c>
      <c r="R152" s="4897" t="s">
        <v>6077</v>
      </c>
      <c r="S152" s="2572" t="s">
        <v>29</v>
      </c>
      <c r="T152" s="3071">
        <v>530605</v>
      </c>
      <c r="U152" s="4127"/>
      <c r="V152" s="4069" t="s">
        <v>36</v>
      </c>
      <c r="W152" s="4070"/>
      <c r="X152" s="4033"/>
      <c r="Y152" s="3295"/>
      <c r="Z152" s="3295"/>
      <c r="AA152" s="3295"/>
      <c r="AB152" s="4115">
        <f>SUM($AA$153)</f>
        <v>22400.000000000004</v>
      </c>
      <c r="AC152" s="4128"/>
      <c r="AD152" s="4116"/>
      <c r="AE152" s="4116"/>
      <c r="AF152" s="5209"/>
    </row>
    <row r="153" spans="1:32" ht="38.25">
      <c r="A153" s="4564"/>
      <c r="B153" s="4570"/>
      <c r="C153" s="4545"/>
      <c r="D153" s="4514"/>
      <c r="E153" s="4514"/>
      <c r="F153" s="4514"/>
      <c r="G153" s="4514"/>
      <c r="H153" s="4514"/>
      <c r="I153" s="4514"/>
      <c r="J153" s="4514"/>
      <c r="K153" s="4514"/>
      <c r="L153" s="4514"/>
      <c r="M153" s="4901"/>
      <c r="N153" s="4901"/>
      <c r="O153" s="4901"/>
      <c r="P153" s="4514"/>
      <c r="Q153" s="4514"/>
      <c r="R153" s="4518"/>
      <c r="S153" s="3311"/>
      <c r="T153" s="1891"/>
      <c r="U153" s="3188" t="s">
        <v>1605</v>
      </c>
      <c r="V153" s="2432" t="s">
        <v>1606</v>
      </c>
      <c r="W153" s="1864">
        <v>1</v>
      </c>
      <c r="X153" s="2434" t="s">
        <v>269</v>
      </c>
      <c r="Y153" s="3214">
        <v>20000</v>
      </c>
      <c r="Z153" s="3214">
        <f>+W153*Y153</f>
        <v>20000</v>
      </c>
      <c r="AA153" s="3214">
        <f>+Z153*1.12</f>
        <v>22400.000000000004</v>
      </c>
      <c r="AB153" s="3638"/>
      <c r="AC153" s="3637"/>
      <c r="AD153" s="3206" t="s">
        <v>251</v>
      </c>
      <c r="AE153" s="3206"/>
      <c r="AF153" s="5301"/>
    </row>
    <row r="154" spans="1:32">
      <c r="A154" s="4564"/>
      <c r="B154" s="4570"/>
      <c r="C154" s="4545"/>
      <c r="D154" s="4514"/>
      <c r="E154" s="4514"/>
      <c r="F154" s="4514"/>
      <c r="G154" s="4514"/>
      <c r="H154" s="4514"/>
      <c r="I154" s="4514"/>
      <c r="J154" s="4514"/>
      <c r="K154" s="4514"/>
      <c r="L154" s="4514"/>
      <c r="M154" s="4901"/>
      <c r="N154" s="4901"/>
      <c r="O154" s="4901"/>
      <c r="P154" s="4514"/>
      <c r="Q154" s="4514"/>
      <c r="R154" s="4518"/>
      <c r="S154" s="3311"/>
      <c r="T154" s="1891"/>
      <c r="U154" s="1849"/>
      <c r="V154" s="2441"/>
      <c r="W154" s="1864"/>
      <c r="X154" s="3637"/>
      <c r="Y154" s="3214"/>
      <c r="Z154" s="3214"/>
      <c r="AA154" s="3214"/>
      <c r="AB154" s="3638"/>
      <c r="AC154" s="3637"/>
      <c r="AD154" s="3206"/>
      <c r="AE154" s="3206"/>
      <c r="AF154" s="5301"/>
    </row>
    <row r="155" spans="1:32">
      <c r="A155" s="4564"/>
      <c r="B155" s="4570"/>
      <c r="C155" s="4545"/>
      <c r="D155" s="4514"/>
      <c r="E155" s="4514"/>
      <c r="F155" s="4514"/>
      <c r="G155" s="4514"/>
      <c r="H155" s="4514"/>
      <c r="I155" s="4514"/>
      <c r="J155" s="4514"/>
      <c r="K155" s="4514"/>
      <c r="L155" s="4514"/>
      <c r="M155" s="4901"/>
      <c r="N155" s="4901"/>
      <c r="O155" s="4901"/>
      <c r="P155" s="4514"/>
      <c r="Q155" s="4514"/>
      <c r="R155" s="4518"/>
      <c r="S155" s="3311" t="s">
        <v>17</v>
      </c>
      <c r="T155" s="1891">
        <v>840104</v>
      </c>
      <c r="U155" s="1849"/>
      <c r="V155" s="2441" t="s">
        <v>24</v>
      </c>
      <c r="W155" s="1864"/>
      <c r="X155" s="3637"/>
      <c r="Y155" s="3214"/>
      <c r="Z155" s="3214"/>
      <c r="AA155" s="3214"/>
      <c r="AB155" s="3638">
        <f>$AA$156</f>
        <v>40320.000000000007</v>
      </c>
      <c r="AC155" s="3637"/>
      <c r="AD155" s="3206"/>
      <c r="AE155" s="3206"/>
      <c r="AF155" s="5301"/>
    </row>
    <row r="156" spans="1:32" ht="38.25">
      <c r="A156" s="4564"/>
      <c r="B156" s="4570"/>
      <c r="C156" s="4545"/>
      <c r="D156" s="4514"/>
      <c r="E156" s="4514"/>
      <c r="F156" s="4514"/>
      <c r="G156" s="4514"/>
      <c r="H156" s="4514"/>
      <c r="I156" s="4514"/>
      <c r="J156" s="4514"/>
      <c r="K156" s="4514"/>
      <c r="L156" s="4514"/>
      <c r="M156" s="4901"/>
      <c r="N156" s="4901"/>
      <c r="O156" s="4901"/>
      <c r="P156" s="4514"/>
      <c r="Q156" s="4514"/>
      <c r="R156" s="4518"/>
      <c r="S156" s="3311"/>
      <c r="T156" s="1891"/>
      <c r="U156" s="3188" t="s">
        <v>1607</v>
      </c>
      <c r="V156" s="2432" t="s">
        <v>1608</v>
      </c>
      <c r="W156" s="1864">
        <v>1</v>
      </c>
      <c r="X156" s="2434" t="s">
        <v>269</v>
      </c>
      <c r="Y156" s="3214">
        <v>36000</v>
      </c>
      <c r="Z156" s="3214">
        <f>+W156*Y156</f>
        <v>36000</v>
      </c>
      <c r="AA156" s="3214">
        <f>+Z156*1.12</f>
        <v>40320.000000000007</v>
      </c>
      <c r="AB156" s="3638"/>
      <c r="AC156" s="3637"/>
      <c r="AD156" s="3206" t="s">
        <v>251</v>
      </c>
      <c r="AE156" s="3206"/>
      <c r="AF156" s="5301"/>
    </row>
    <row r="157" spans="1:32">
      <c r="A157" s="4564"/>
      <c r="B157" s="4570"/>
      <c r="C157" s="4566"/>
      <c r="D157" s="4525"/>
      <c r="E157" s="4525"/>
      <c r="F157" s="4525"/>
      <c r="G157" s="4525"/>
      <c r="H157" s="4525"/>
      <c r="I157" s="4525"/>
      <c r="J157" s="4525"/>
      <c r="K157" s="4525"/>
      <c r="L157" s="4525"/>
      <c r="M157" s="4902"/>
      <c r="N157" s="4902"/>
      <c r="O157" s="4902"/>
      <c r="P157" s="4525"/>
      <c r="Q157" s="4525"/>
      <c r="R157" s="4528"/>
      <c r="S157" s="3314"/>
      <c r="T157" s="3821"/>
      <c r="U157" s="3271"/>
      <c r="V157" s="3822"/>
      <c r="W157" s="3254"/>
      <c r="X157" s="4037"/>
      <c r="Y157" s="3291"/>
      <c r="Z157" s="3291"/>
      <c r="AA157" s="3291"/>
      <c r="AB157" s="4118"/>
      <c r="AC157" s="4037"/>
      <c r="AD157" s="4119"/>
      <c r="AE157" s="4119"/>
      <c r="AF157" s="5302"/>
    </row>
    <row r="158" spans="1:32" ht="19.5" customHeight="1">
      <c r="A158" s="4564"/>
      <c r="B158" s="4570"/>
      <c r="C158" s="5239" t="s">
        <v>235</v>
      </c>
      <c r="D158" s="4377" t="s">
        <v>236</v>
      </c>
      <c r="E158" s="4377" t="s">
        <v>237</v>
      </c>
      <c r="F158" s="4377" t="s">
        <v>373</v>
      </c>
      <c r="G158" s="4906" t="s">
        <v>239</v>
      </c>
      <c r="H158" s="4377" t="s">
        <v>256</v>
      </c>
      <c r="I158" s="4377" t="s">
        <v>241</v>
      </c>
      <c r="J158" s="4377" t="s">
        <v>1609</v>
      </c>
      <c r="K158" s="4377" t="s">
        <v>1610</v>
      </c>
      <c r="L158" s="4377" t="s">
        <v>1611</v>
      </c>
      <c r="M158" s="4392">
        <v>0</v>
      </c>
      <c r="N158" s="4392">
        <v>0</v>
      </c>
      <c r="O158" s="4392">
        <v>7</v>
      </c>
      <c r="P158" s="4377" t="s">
        <v>1612</v>
      </c>
      <c r="Q158" s="4377" t="s">
        <v>1613</v>
      </c>
      <c r="R158" s="4903" t="s">
        <v>6079</v>
      </c>
      <c r="S158" s="3310"/>
      <c r="T158" s="3270"/>
      <c r="U158" s="3272"/>
      <c r="V158" s="4068"/>
      <c r="W158" s="4071"/>
      <c r="X158" s="3632"/>
      <c r="Y158" s="3633"/>
      <c r="Z158" s="3633"/>
      <c r="AA158" s="3633"/>
      <c r="AB158" s="3634"/>
      <c r="AC158" s="3632"/>
      <c r="AD158" s="4122"/>
      <c r="AE158" s="4122"/>
      <c r="AF158" s="5217" t="s">
        <v>1614</v>
      </c>
    </row>
    <row r="159" spans="1:32" ht="19.5" customHeight="1">
      <c r="A159" s="4564"/>
      <c r="B159" s="4570"/>
      <c r="C159" s="4545"/>
      <c r="D159" s="4514"/>
      <c r="E159" s="4514"/>
      <c r="F159" s="4514"/>
      <c r="G159" s="4514"/>
      <c r="H159" s="4514"/>
      <c r="I159" s="4514"/>
      <c r="J159" s="4514"/>
      <c r="K159" s="4514"/>
      <c r="L159" s="4514"/>
      <c r="M159" s="4901"/>
      <c r="N159" s="4901"/>
      <c r="O159" s="4901"/>
      <c r="P159" s="4514"/>
      <c r="Q159" s="4514"/>
      <c r="R159" s="4518"/>
      <c r="S159" s="3311"/>
      <c r="T159" s="1891"/>
      <c r="U159" s="1849"/>
      <c r="V159" s="1883"/>
      <c r="W159" s="1864"/>
      <c r="X159" s="3637"/>
      <c r="Y159" s="3214"/>
      <c r="Z159" s="3214"/>
      <c r="AA159" s="3214"/>
      <c r="AB159" s="3638"/>
      <c r="AC159" s="3637"/>
      <c r="AD159" s="3637"/>
      <c r="AE159" s="4104"/>
      <c r="AF159" s="5301"/>
    </row>
    <row r="160" spans="1:32" ht="19.5" customHeight="1">
      <c r="A160" s="4564"/>
      <c r="B160" s="4570"/>
      <c r="C160" s="4545"/>
      <c r="D160" s="4514"/>
      <c r="E160" s="4514"/>
      <c r="F160" s="4514"/>
      <c r="G160" s="4514"/>
      <c r="H160" s="4514"/>
      <c r="I160" s="4514"/>
      <c r="J160" s="4514"/>
      <c r="K160" s="4514"/>
      <c r="L160" s="4514"/>
      <c r="M160" s="4901"/>
      <c r="N160" s="4901"/>
      <c r="O160" s="4901"/>
      <c r="P160" s="4514"/>
      <c r="Q160" s="4514"/>
      <c r="R160" s="4518"/>
      <c r="S160" s="3311"/>
      <c r="T160" s="1891"/>
      <c r="U160" s="1849"/>
      <c r="V160" s="1883"/>
      <c r="W160" s="1864"/>
      <c r="X160" s="3637"/>
      <c r="Y160" s="3214"/>
      <c r="Z160" s="3214"/>
      <c r="AA160" s="3214"/>
      <c r="AB160" s="3638"/>
      <c r="AC160" s="3637"/>
      <c r="AD160" s="3637"/>
      <c r="AE160" s="3206"/>
      <c r="AF160" s="5301"/>
    </row>
    <row r="161" spans="1:32" ht="19.5" customHeight="1">
      <c r="A161" s="4564"/>
      <c r="B161" s="4570"/>
      <c r="C161" s="4545"/>
      <c r="D161" s="4514"/>
      <c r="E161" s="4514"/>
      <c r="F161" s="4514"/>
      <c r="G161" s="4514"/>
      <c r="H161" s="4514"/>
      <c r="I161" s="4514"/>
      <c r="J161" s="4514"/>
      <c r="K161" s="4514"/>
      <c r="L161" s="4514"/>
      <c r="M161" s="4901"/>
      <c r="N161" s="4901"/>
      <c r="O161" s="4901"/>
      <c r="P161" s="4514"/>
      <c r="Q161" s="4514"/>
      <c r="R161" s="4518"/>
      <c r="S161" s="3311"/>
      <c r="T161" s="1891"/>
      <c r="U161" s="1849"/>
      <c r="V161" s="1883"/>
      <c r="W161" s="1864"/>
      <c r="X161" s="3637"/>
      <c r="Y161" s="3214"/>
      <c r="Z161" s="3214"/>
      <c r="AA161" s="3214"/>
      <c r="AB161" s="3638"/>
      <c r="AC161" s="3637"/>
      <c r="AD161" s="3637"/>
      <c r="AE161" s="3206"/>
      <c r="AF161" s="5301"/>
    </row>
    <row r="162" spans="1:32" ht="39" customHeight="1">
      <c r="A162" s="4564"/>
      <c r="B162" s="4570"/>
      <c r="C162" s="4573"/>
      <c r="D162" s="4515"/>
      <c r="E162" s="4515"/>
      <c r="F162" s="4515"/>
      <c r="G162" s="4515"/>
      <c r="H162" s="4515"/>
      <c r="I162" s="4515"/>
      <c r="J162" s="4515"/>
      <c r="K162" s="4515"/>
      <c r="L162" s="4515"/>
      <c r="M162" s="5222"/>
      <c r="N162" s="5222"/>
      <c r="O162" s="5222"/>
      <c r="P162" s="4515"/>
      <c r="Q162" s="4515"/>
      <c r="R162" s="4519"/>
      <c r="S162" s="3312"/>
      <c r="T162" s="3819"/>
      <c r="U162" s="3268"/>
      <c r="V162" s="3641"/>
      <c r="W162" s="3233"/>
      <c r="X162" s="3642"/>
      <c r="Y162" s="3282"/>
      <c r="Z162" s="3282"/>
      <c r="AA162" s="3282"/>
      <c r="AB162" s="3643"/>
      <c r="AC162" s="3642"/>
      <c r="AD162" s="3642"/>
      <c r="AE162" s="4117"/>
      <c r="AF162" s="5303"/>
    </row>
    <row r="163" spans="1:32" ht="19.5" customHeight="1">
      <c r="A163" s="4564"/>
      <c r="B163" s="4570"/>
      <c r="C163" s="5236" t="s">
        <v>272</v>
      </c>
      <c r="D163" s="4395" t="s">
        <v>302</v>
      </c>
      <c r="E163" s="4395" t="s">
        <v>303</v>
      </c>
      <c r="F163" s="4395" t="s">
        <v>304</v>
      </c>
      <c r="G163" s="4930" t="s">
        <v>305</v>
      </c>
      <c r="H163" s="4395" t="s">
        <v>262</v>
      </c>
      <c r="I163" s="4395" t="s">
        <v>257</v>
      </c>
      <c r="J163" s="4395" t="s">
        <v>1615</v>
      </c>
      <c r="K163" s="4395" t="s">
        <v>1616</v>
      </c>
      <c r="L163" s="4395" t="s">
        <v>1617</v>
      </c>
      <c r="M163" s="4401">
        <v>15</v>
      </c>
      <c r="N163" s="4401">
        <v>0</v>
      </c>
      <c r="O163" s="4401">
        <v>15</v>
      </c>
      <c r="P163" s="4395" t="s">
        <v>1618</v>
      </c>
      <c r="Q163" s="4395" t="s">
        <v>1619</v>
      </c>
      <c r="R163" s="4897" t="s">
        <v>6078</v>
      </c>
      <c r="S163" s="3313"/>
      <c r="T163" s="3071"/>
      <c r="U163" s="3274"/>
      <c r="V163" s="4069"/>
      <c r="W163" s="4070"/>
      <c r="X163" s="4033"/>
      <c r="Y163" s="3295"/>
      <c r="Z163" s="3295"/>
      <c r="AA163" s="3295"/>
      <c r="AB163" s="4115"/>
      <c r="AC163" s="4033"/>
      <c r="AD163" s="4116"/>
      <c r="AE163" s="4116"/>
      <c r="AF163" s="5209" t="s">
        <v>1620</v>
      </c>
    </row>
    <row r="164" spans="1:32" ht="19.5" customHeight="1">
      <c r="A164" s="4564"/>
      <c r="B164" s="4570"/>
      <c r="C164" s="4545"/>
      <c r="D164" s="4514"/>
      <c r="E164" s="4514"/>
      <c r="F164" s="4514"/>
      <c r="G164" s="4514"/>
      <c r="H164" s="4514"/>
      <c r="I164" s="4514"/>
      <c r="J164" s="4514"/>
      <c r="K164" s="4514"/>
      <c r="L164" s="4514"/>
      <c r="M164" s="4901"/>
      <c r="N164" s="4901"/>
      <c r="O164" s="4901"/>
      <c r="P164" s="4514"/>
      <c r="Q164" s="4514"/>
      <c r="R164" s="4518"/>
      <c r="S164" s="3311"/>
      <c r="T164" s="1891"/>
      <c r="U164" s="1849"/>
      <c r="V164" s="1883"/>
      <c r="W164" s="1864"/>
      <c r="X164" s="3637"/>
      <c r="Y164" s="3214"/>
      <c r="Z164" s="3214"/>
      <c r="AA164" s="3214"/>
      <c r="AB164" s="3638"/>
      <c r="AC164" s="3637"/>
      <c r="AD164" s="3206"/>
      <c r="AE164" s="3206"/>
      <c r="AF164" s="5301"/>
    </row>
    <row r="165" spans="1:32" ht="19.5" customHeight="1">
      <c r="A165" s="4564"/>
      <c r="B165" s="4570"/>
      <c r="C165" s="4545"/>
      <c r="D165" s="4514"/>
      <c r="E165" s="4514"/>
      <c r="F165" s="4514"/>
      <c r="G165" s="4514"/>
      <c r="H165" s="4514"/>
      <c r="I165" s="4514"/>
      <c r="J165" s="4514"/>
      <c r="K165" s="4514"/>
      <c r="L165" s="4514"/>
      <c r="M165" s="4901"/>
      <c r="N165" s="4901"/>
      <c r="O165" s="4901"/>
      <c r="P165" s="4514"/>
      <c r="Q165" s="4514"/>
      <c r="R165" s="4518"/>
      <c r="S165" s="3311"/>
      <c r="T165" s="1891"/>
      <c r="U165" s="1849"/>
      <c r="V165" s="1883"/>
      <c r="W165" s="1864"/>
      <c r="X165" s="3637"/>
      <c r="Y165" s="3214"/>
      <c r="Z165" s="3214"/>
      <c r="AA165" s="3214"/>
      <c r="AB165" s="3638"/>
      <c r="AC165" s="3637"/>
      <c r="AD165" s="3206"/>
      <c r="AE165" s="3206"/>
      <c r="AF165" s="5301"/>
    </row>
    <row r="166" spans="1:32" ht="19.5" customHeight="1">
      <c r="A166" s="4564"/>
      <c r="B166" s="4570"/>
      <c r="C166" s="4545"/>
      <c r="D166" s="4514"/>
      <c r="E166" s="4514"/>
      <c r="F166" s="4514"/>
      <c r="G166" s="4514"/>
      <c r="H166" s="4514"/>
      <c r="I166" s="4514"/>
      <c r="J166" s="4514"/>
      <c r="K166" s="4514"/>
      <c r="L166" s="4514"/>
      <c r="M166" s="4901"/>
      <c r="N166" s="4901"/>
      <c r="O166" s="4901"/>
      <c r="P166" s="4514"/>
      <c r="Q166" s="4514"/>
      <c r="R166" s="4518"/>
      <c r="S166" s="3311"/>
      <c r="T166" s="1891"/>
      <c r="U166" s="1849"/>
      <c r="V166" s="1883"/>
      <c r="W166" s="1864"/>
      <c r="X166" s="3637"/>
      <c r="Y166" s="3214"/>
      <c r="Z166" s="3214"/>
      <c r="AA166" s="3214"/>
      <c r="AB166" s="3638"/>
      <c r="AC166" s="3637"/>
      <c r="AD166" s="3206"/>
      <c r="AE166" s="3206"/>
      <c r="AF166" s="5301"/>
    </row>
    <row r="167" spans="1:32" ht="19.5" customHeight="1">
      <c r="A167" s="4564"/>
      <c r="B167" s="4570"/>
      <c r="C167" s="4566"/>
      <c r="D167" s="4525"/>
      <c r="E167" s="4525"/>
      <c r="F167" s="4525"/>
      <c r="G167" s="4525"/>
      <c r="H167" s="4525"/>
      <c r="I167" s="4525"/>
      <c r="J167" s="4525"/>
      <c r="K167" s="4525"/>
      <c r="L167" s="4525"/>
      <c r="M167" s="4902"/>
      <c r="N167" s="4902"/>
      <c r="O167" s="4902"/>
      <c r="P167" s="4525"/>
      <c r="Q167" s="4525"/>
      <c r="R167" s="4528"/>
      <c r="S167" s="3314"/>
      <c r="T167" s="3821"/>
      <c r="U167" s="3271"/>
      <c r="V167" s="3822"/>
      <c r="W167" s="3254"/>
      <c r="X167" s="4037"/>
      <c r="Y167" s="3291"/>
      <c r="Z167" s="3291"/>
      <c r="AA167" s="3291"/>
      <c r="AB167" s="4118"/>
      <c r="AC167" s="4037"/>
      <c r="AD167" s="4119"/>
      <c r="AE167" s="4119"/>
      <c r="AF167" s="5302"/>
    </row>
    <row r="168" spans="1:32" ht="20.25" customHeight="1">
      <c r="A168" s="4564"/>
      <c r="B168" s="4570"/>
      <c r="C168" s="5239" t="s">
        <v>272</v>
      </c>
      <c r="D168" s="4377" t="s">
        <v>302</v>
      </c>
      <c r="E168" s="4377" t="s">
        <v>303</v>
      </c>
      <c r="F168" s="4377" t="s">
        <v>304</v>
      </c>
      <c r="G168" s="4906" t="s">
        <v>305</v>
      </c>
      <c r="H168" s="4377" t="s">
        <v>240</v>
      </c>
      <c r="I168" s="4377" t="s">
        <v>257</v>
      </c>
      <c r="J168" s="4377" t="s">
        <v>1621</v>
      </c>
      <c r="K168" s="4377" t="s">
        <v>1622</v>
      </c>
      <c r="L168" s="4377" t="s">
        <v>1623</v>
      </c>
      <c r="M168" s="4392">
        <v>1</v>
      </c>
      <c r="N168" s="4392">
        <v>0</v>
      </c>
      <c r="O168" s="4392">
        <v>1</v>
      </c>
      <c r="P168" s="4377" t="s">
        <v>1624</v>
      </c>
      <c r="Q168" s="4377" t="s">
        <v>1625</v>
      </c>
      <c r="R168" s="4903" t="s">
        <v>6080</v>
      </c>
      <c r="S168" s="3310"/>
      <c r="T168" s="3270"/>
      <c r="U168" s="3272"/>
      <c r="V168" s="4068"/>
      <c r="W168" s="4071"/>
      <c r="X168" s="3632"/>
      <c r="Y168" s="3633"/>
      <c r="Z168" s="3633"/>
      <c r="AA168" s="3633"/>
      <c r="AB168" s="3634"/>
      <c r="AC168" s="3632"/>
      <c r="AD168" s="4120"/>
      <c r="AE168" s="4120"/>
      <c r="AF168" s="5217"/>
    </row>
    <row r="169" spans="1:32" ht="20.25" customHeight="1">
      <c r="A169" s="4564"/>
      <c r="B169" s="4570"/>
      <c r="C169" s="4545"/>
      <c r="D169" s="4514"/>
      <c r="E169" s="4514"/>
      <c r="F169" s="4514"/>
      <c r="G169" s="4514"/>
      <c r="H169" s="4514"/>
      <c r="I169" s="4514"/>
      <c r="J169" s="4514"/>
      <c r="K169" s="4514"/>
      <c r="L169" s="4514"/>
      <c r="M169" s="4901"/>
      <c r="N169" s="4901"/>
      <c r="O169" s="4901"/>
      <c r="P169" s="4514"/>
      <c r="Q169" s="4514"/>
      <c r="R169" s="4518"/>
      <c r="S169" s="3311"/>
      <c r="T169" s="1891"/>
      <c r="U169" s="1849"/>
      <c r="V169" s="1883"/>
      <c r="W169" s="1864"/>
      <c r="X169" s="3637"/>
      <c r="Y169" s="3214"/>
      <c r="Z169" s="3214"/>
      <c r="AA169" s="3214"/>
      <c r="AB169" s="3638"/>
      <c r="AC169" s="3637"/>
      <c r="AD169" s="3206"/>
      <c r="AE169" s="3206"/>
      <c r="AF169" s="5301"/>
    </row>
    <row r="170" spans="1:32" ht="20.25" customHeight="1">
      <c r="A170" s="4564"/>
      <c r="B170" s="4570"/>
      <c r="C170" s="4545"/>
      <c r="D170" s="4514"/>
      <c r="E170" s="4514"/>
      <c r="F170" s="4514"/>
      <c r="G170" s="4514"/>
      <c r="H170" s="4514"/>
      <c r="I170" s="4514"/>
      <c r="J170" s="4514"/>
      <c r="K170" s="4514"/>
      <c r="L170" s="4514"/>
      <c r="M170" s="4901"/>
      <c r="N170" s="4901"/>
      <c r="O170" s="4901"/>
      <c r="P170" s="4514"/>
      <c r="Q170" s="4514"/>
      <c r="R170" s="4518"/>
      <c r="S170" s="3311"/>
      <c r="T170" s="1891"/>
      <c r="U170" s="1849"/>
      <c r="V170" s="1883"/>
      <c r="W170" s="1864"/>
      <c r="X170" s="3637"/>
      <c r="Y170" s="3214"/>
      <c r="Z170" s="3214"/>
      <c r="AA170" s="3214"/>
      <c r="AB170" s="3638"/>
      <c r="AC170" s="3637"/>
      <c r="AD170" s="3206"/>
      <c r="AE170" s="3206"/>
      <c r="AF170" s="5301"/>
    </row>
    <row r="171" spans="1:32" ht="20.25" customHeight="1">
      <c r="A171" s="4564"/>
      <c r="B171" s="4570"/>
      <c r="C171" s="4545"/>
      <c r="D171" s="4514"/>
      <c r="E171" s="4514"/>
      <c r="F171" s="4514"/>
      <c r="G171" s="4514"/>
      <c r="H171" s="4514"/>
      <c r="I171" s="4514"/>
      <c r="J171" s="4514"/>
      <c r="K171" s="4514"/>
      <c r="L171" s="4514"/>
      <c r="M171" s="4901"/>
      <c r="N171" s="4901"/>
      <c r="O171" s="4901"/>
      <c r="P171" s="4514"/>
      <c r="Q171" s="4514"/>
      <c r="R171" s="4518"/>
      <c r="S171" s="3311"/>
      <c r="T171" s="1891"/>
      <c r="U171" s="1849"/>
      <c r="V171" s="1883"/>
      <c r="W171" s="1864"/>
      <c r="X171" s="3637"/>
      <c r="Y171" s="3214"/>
      <c r="Z171" s="3214"/>
      <c r="AA171" s="3214"/>
      <c r="AB171" s="3638"/>
      <c r="AC171" s="3637"/>
      <c r="AD171" s="3206"/>
      <c r="AE171" s="3206"/>
      <c r="AF171" s="5301"/>
    </row>
    <row r="172" spans="1:32" ht="20.25" customHeight="1">
      <c r="A172" s="4564"/>
      <c r="B172" s="4570"/>
      <c r="C172" s="4573"/>
      <c r="D172" s="4515"/>
      <c r="E172" s="4515"/>
      <c r="F172" s="4515"/>
      <c r="G172" s="4515"/>
      <c r="H172" s="4515"/>
      <c r="I172" s="4515"/>
      <c r="J172" s="4515"/>
      <c r="K172" s="4515"/>
      <c r="L172" s="4515"/>
      <c r="M172" s="5222"/>
      <c r="N172" s="5222"/>
      <c r="O172" s="5222"/>
      <c r="P172" s="4515"/>
      <c r="Q172" s="4515"/>
      <c r="R172" s="4519"/>
      <c r="S172" s="3312"/>
      <c r="T172" s="3819"/>
      <c r="U172" s="3268"/>
      <c r="V172" s="3641"/>
      <c r="W172" s="3233"/>
      <c r="X172" s="3642"/>
      <c r="Y172" s="3282"/>
      <c r="Z172" s="3282"/>
      <c r="AA172" s="3282"/>
      <c r="AB172" s="3643"/>
      <c r="AC172" s="3642"/>
      <c r="AD172" s="4117"/>
      <c r="AE172" s="4117"/>
      <c r="AF172" s="5303"/>
    </row>
    <row r="173" spans="1:32" ht="19.5" customHeight="1">
      <c r="A173" s="4564"/>
      <c r="B173" s="4570"/>
      <c r="C173" s="5236" t="s">
        <v>272</v>
      </c>
      <c r="D173" s="4395" t="s">
        <v>302</v>
      </c>
      <c r="E173" s="4395" t="s">
        <v>303</v>
      </c>
      <c r="F173" s="4395" t="s">
        <v>955</v>
      </c>
      <c r="G173" s="4930" t="s">
        <v>305</v>
      </c>
      <c r="H173" s="4395" t="s">
        <v>256</v>
      </c>
      <c r="I173" s="4395" t="s">
        <v>241</v>
      </c>
      <c r="J173" s="4395" t="s">
        <v>1626</v>
      </c>
      <c r="K173" s="4395" t="s">
        <v>1627</v>
      </c>
      <c r="L173" s="4395" t="s">
        <v>1628</v>
      </c>
      <c r="M173" s="4401">
        <v>55</v>
      </c>
      <c r="N173" s="4401">
        <v>0</v>
      </c>
      <c r="O173" s="4401">
        <v>55</v>
      </c>
      <c r="P173" s="4395" t="s">
        <v>1629</v>
      </c>
      <c r="Q173" s="4395" t="s">
        <v>1630</v>
      </c>
      <c r="R173" s="4897" t="s">
        <v>6081</v>
      </c>
      <c r="S173" s="3313"/>
      <c r="T173" s="3071"/>
      <c r="U173" s="3274"/>
      <c r="V173" s="4069"/>
      <c r="W173" s="4070"/>
      <c r="X173" s="4033"/>
      <c r="Y173" s="3295"/>
      <c r="Z173" s="3295"/>
      <c r="AA173" s="3295"/>
      <c r="AB173" s="4115"/>
      <c r="AC173" s="4033"/>
      <c r="AD173" s="4126"/>
      <c r="AE173" s="4126"/>
      <c r="AF173" s="5209" t="s">
        <v>1631</v>
      </c>
    </row>
    <row r="174" spans="1:32" ht="19.5" customHeight="1">
      <c r="A174" s="4564"/>
      <c r="B174" s="4570"/>
      <c r="C174" s="4545"/>
      <c r="D174" s="4514"/>
      <c r="E174" s="4514"/>
      <c r="F174" s="4514"/>
      <c r="G174" s="4514"/>
      <c r="H174" s="4514"/>
      <c r="I174" s="4514"/>
      <c r="J174" s="4514"/>
      <c r="K174" s="4514"/>
      <c r="L174" s="4514"/>
      <c r="M174" s="4901"/>
      <c r="N174" s="4901"/>
      <c r="O174" s="4901"/>
      <c r="P174" s="4514"/>
      <c r="Q174" s="4514"/>
      <c r="R174" s="4518"/>
      <c r="S174" s="3311"/>
      <c r="T174" s="1891"/>
      <c r="U174" s="1849"/>
      <c r="V174" s="1883"/>
      <c r="W174" s="1864"/>
      <c r="X174" s="3637"/>
      <c r="Y174" s="3214"/>
      <c r="Z174" s="3214"/>
      <c r="AA174" s="3214"/>
      <c r="AB174" s="3638"/>
      <c r="AC174" s="3637"/>
      <c r="AD174" s="3637"/>
      <c r="AE174" s="4104"/>
      <c r="AF174" s="5301"/>
    </row>
    <row r="175" spans="1:32" ht="19.5" customHeight="1">
      <c r="A175" s="4564"/>
      <c r="B175" s="4570"/>
      <c r="C175" s="4545"/>
      <c r="D175" s="4514"/>
      <c r="E175" s="4514"/>
      <c r="F175" s="4514"/>
      <c r="G175" s="4514"/>
      <c r="H175" s="4514"/>
      <c r="I175" s="4514"/>
      <c r="J175" s="4514"/>
      <c r="K175" s="4514"/>
      <c r="L175" s="4514"/>
      <c r="M175" s="4901"/>
      <c r="N175" s="4901"/>
      <c r="O175" s="4901"/>
      <c r="P175" s="4514"/>
      <c r="Q175" s="4514"/>
      <c r="R175" s="4518"/>
      <c r="S175" s="3311"/>
      <c r="T175" s="1891"/>
      <c r="U175" s="1849"/>
      <c r="V175" s="1883"/>
      <c r="W175" s="1864"/>
      <c r="X175" s="3637"/>
      <c r="Y175" s="3214"/>
      <c r="Z175" s="3214"/>
      <c r="AA175" s="3214"/>
      <c r="AB175" s="3638"/>
      <c r="AC175" s="3637"/>
      <c r="AD175" s="3637"/>
      <c r="AE175" s="3206"/>
      <c r="AF175" s="5301"/>
    </row>
    <row r="176" spans="1:32" ht="19.5" customHeight="1">
      <c r="A176" s="4564"/>
      <c r="B176" s="4570"/>
      <c r="C176" s="4545"/>
      <c r="D176" s="4514"/>
      <c r="E176" s="4514"/>
      <c r="F176" s="4514"/>
      <c r="G176" s="4514"/>
      <c r="H176" s="4514"/>
      <c r="I176" s="4514"/>
      <c r="J176" s="4514"/>
      <c r="K176" s="4514"/>
      <c r="L176" s="4514"/>
      <c r="M176" s="4901"/>
      <c r="N176" s="4901"/>
      <c r="O176" s="4901"/>
      <c r="P176" s="4514"/>
      <c r="Q176" s="4514"/>
      <c r="R176" s="4518"/>
      <c r="S176" s="3311"/>
      <c r="T176" s="1891"/>
      <c r="U176" s="1849"/>
      <c r="V176" s="1883"/>
      <c r="W176" s="1864"/>
      <c r="X176" s="3637"/>
      <c r="Y176" s="3214"/>
      <c r="Z176" s="3214"/>
      <c r="AA176" s="3214"/>
      <c r="AB176" s="3638"/>
      <c r="AC176" s="3637"/>
      <c r="AD176" s="3637"/>
      <c r="AE176" s="3206"/>
      <c r="AF176" s="5301"/>
    </row>
    <row r="177" spans="1:32" ht="19.5" customHeight="1">
      <c r="A177" s="4564"/>
      <c r="B177" s="4570"/>
      <c r="C177" s="4566"/>
      <c r="D177" s="4525"/>
      <c r="E177" s="4525"/>
      <c r="F177" s="4525"/>
      <c r="G177" s="4525"/>
      <c r="H177" s="4525"/>
      <c r="I177" s="4525"/>
      <c r="J177" s="4525"/>
      <c r="K177" s="4525"/>
      <c r="L177" s="4525"/>
      <c r="M177" s="4902"/>
      <c r="N177" s="4902"/>
      <c r="O177" s="4902"/>
      <c r="P177" s="4525"/>
      <c r="Q177" s="4525"/>
      <c r="R177" s="4528"/>
      <c r="S177" s="3314"/>
      <c r="T177" s="3821"/>
      <c r="U177" s="3271"/>
      <c r="V177" s="3822"/>
      <c r="W177" s="3254"/>
      <c r="X177" s="4037"/>
      <c r="Y177" s="3291"/>
      <c r="Z177" s="3291"/>
      <c r="AA177" s="3291"/>
      <c r="AB177" s="4118"/>
      <c r="AC177" s="4037"/>
      <c r="AD177" s="4037"/>
      <c r="AE177" s="4119"/>
      <c r="AF177" s="5302"/>
    </row>
    <row r="178" spans="1:32" ht="43.5" customHeight="1">
      <c r="A178" s="4564"/>
      <c r="B178" s="4570"/>
      <c r="C178" s="5239" t="s">
        <v>272</v>
      </c>
      <c r="D178" s="4377" t="s">
        <v>302</v>
      </c>
      <c r="E178" s="4377" t="s">
        <v>303</v>
      </c>
      <c r="F178" s="4377" t="s">
        <v>318</v>
      </c>
      <c r="G178" s="4906" t="s">
        <v>305</v>
      </c>
      <c r="H178" s="4377" t="s">
        <v>262</v>
      </c>
      <c r="I178" s="4377" t="s">
        <v>241</v>
      </c>
      <c r="J178" s="4377" t="s">
        <v>1632</v>
      </c>
      <c r="K178" s="4377" t="s">
        <v>1633</v>
      </c>
      <c r="L178" s="4377" t="s">
        <v>1634</v>
      </c>
      <c r="M178" s="4392">
        <v>10</v>
      </c>
      <c r="N178" s="4392">
        <v>10</v>
      </c>
      <c r="O178" s="4392">
        <v>10</v>
      </c>
      <c r="P178" s="4377" t="s">
        <v>1635</v>
      </c>
      <c r="Q178" s="4377" t="s">
        <v>1636</v>
      </c>
      <c r="R178" s="4903" t="s">
        <v>6082</v>
      </c>
      <c r="S178" s="3310" t="s">
        <v>39</v>
      </c>
      <c r="T178" s="3270">
        <v>531407</v>
      </c>
      <c r="U178" s="3272"/>
      <c r="V178" s="4068" t="s">
        <v>20</v>
      </c>
      <c r="W178" s="4071"/>
      <c r="X178" s="3632"/>
      <c r="Y178" s="3633"/>
      <c r="Z178" s="3633"/>
      <c r="AA178" s="3633"/>
      <c r="AB178" s="3634">
        <f>SUM($AA$179:$AA$181)</f>
        <v>70.56</v>
      </c>
      <c r="AC178" s="3632"/>
      <c r="AD178" s="4120"/>
      <c r="AE178" s="4120"/>
      <c r="AF178" s="5217" t="s">
        <v>1637</v>
      </c>
    </row>
    <row r="179" spans="1:32" ht="43.5" customHeight="1">
      <c r="A179" s="4564"/>
      <c r="B179" s="4570"/>
      <c r="C179" s="4545"/>
      <c r="D179" s="4514"/>
      <c r="E179" s="4514"/>
      <c r="F179" s="4514"/>
      <c r="G179" s="4514"/>
      <c r="H179" s="4514"/>
      <c r="I179" s="4514"/>
      <c r="J179" s="4514"/>
      <c r="K179" s="4514"/>
      <c r="L179" s="4514"/>
      <c r="M179" s="4901"/>
      <c r="N179" s="4901"/>
      <c r="O179" s="4901"/>
      <c r="P179" s="4514"/>
      <c r="Q179" s="4514"/>
      <c r="R179" s="4518"/>
      <c r="S179" s="3311"/>
      <c r="T179" s="1891"/>
      <c r="U179" s="1849">
        <v>461220011</v>
      </c>
      <c r="V179" s="1883" t="s">
        <v>6041</v>
      </c>
      <c r="W179" s="1864">
        <v>1</v>
      </c>
      <c r="X179" s="2434" t="s">
        <v>269</v>
      </c>
      <c r="Y179" s="3214">
        <v>63</v>
      </c>
      <c r="Z179" s="3214">
        <f t="shared" ref="Z179" si="11">+W179*Y179</f>
        <v>63</v>
      </c>
      <c r="AA179" s="3214">
        <f t="shared" ref="AA179" si="12">+Z179*1.12</f>
        <v>70.56</v>
      </c>
      <c r="AB179" s="3638"/>
      <c r="AC179" s="3637"/>
      <c r="AD179" s="3206" t="s">
        <v>251</v>
      </c>
      <c r="AE179" s="3206"/>
      <c r="AF179" s="5301"/>
    </row>
    <row r="180" spans="1:32" ht="43.5" customHeight="1">
      <c r="A180" s="4564"/>
      <c r="B180" s="4570"/>
      <c r="C180" s="4545"/>
      <c r="D180" s="4514"/>
      <c r="E180" s="4514"/>
      <c r="F180" s="4514"/>
      <c r="G180" s="4514"/>
      <c r="H180" s="4514"/>
      <c r="I180" s="4514"/>
      <c r="J180" s="4514"/>
      <c r="K180" s="4514"/>
      <c r="L180" s="4514"/>
      <c r="M180" s="4901"/>
      <c r="N180" s="4901"/>
      <c r="O180" s="4901"/>
      <c r="P180" s="4514"/>
      <c r="Q180" s="4514"/>
      <c r="R180" s="4518"/>
      <c r="S180" s="3311"/>
      <c r="T180" s="1891"/>
      <c r="U180" s="1849"/>
      <c r="V180" s="1883"/>
      <c r="W180" s="1864"/>
      <c r="X180" s="3637"/>
      <c r="Y180" s="3214"/>
      <c r="Z180" s="3214"/>
      <c r="AA180" s="3214"/>
      <c r="AB180" s="3638"/>
      <c r="AC180" s="3637"/>
      <c r="AD180" s="3206"/>
      <c r="AE180" s="3206"/>
      <c r="AF180" s="5301"/>
    </row>
    <row r="181" spans="1:32" ht="43.5" customHeight="1">
      <c r="A181" s="4564"/>
      <c r="B181" s="4570"/>
      <c r="C181" s="4545"/>
      <c r="D181" s="4514"/>
      <c r="E181" s="4514"/>
      <c r="F181" s="4514"/>
      <c r="G181" s="4514"/>
      <c r="H181" s="4514"/>
      <c r="I181" s="4514"/>
      <c r="J181" s="4514"/>
      <c r="K181" s="4514"/>
      <c r="L181" s="4514"/>
      <c r="M181" s="4901"/>
      <c r="N181" s="4901"/>
      <c r="O181" s="4901"/>
      <c r="P181" s="4514"/>
      <c r="Q181" s="4514"/>
      <c r="R181" s="4518"/>
      <c r="S181" s="3311"/>
      <c r="T181" s="1891"/>
      <c r="U181" s="1849"/>
      <c r="V181" s="3789"/>
      <c r="W181" s="1864"/>
      <c r="X181" s="3637"/>
      <c r="Y181" s="3214"/>
      <c r="Z181" s="3214"/>
      <c r="AA181" s="3214"/>
      <c r="AB181" s="3638"/>
      <c r="AC181" s="3637"/>
      <c r="AD181" s="3206"/>
      <c r="AE181" s="3206"/>
      <c r="AF181" s="5301"/>
    </row>
    <row r="182" spans="1:32" ht="43.5" customHeight="1">
      <c r="A182" s="4564"/>
      <c r="B182" s="4570"/>
      <c r="C182" s="4545"/>
      <c r="D182" s="4514"/>
      <c r="E182" s="4514"/>
      <c r="F182" s="4514"/>
      <c r="G182" s="4514"/>
      <c r="H182" s="4514"/>
      <c r="I182" s="4514"/>
      <c r="J182" s="4514"/>
      <c r="K182" s="4514"/>
      <c r="L182" s="4525"/>
      <c r="M182" s="4902"/>
      <c r="N182" s="4902"/>
      <c r="O182" s="4902"/>
      <c r="P182" s="4525"/>
      <c r="Q182" s="4525"/>
      <c r="R182" s="4528"/>
      <c r="S182" s="3314"/>
      <c r="T182" s="3821"/>
      <c r="U182" s="3271"/>
      <c r="V182" s="3822"/>
      <c r="W182" s="3254"/>
      <c r="X182" s="4037"/>
      <c r="Y182" s="3291"/>
      <c r="Z182" s="3291"/>
      <c r="AA182" s="3291"/>
      <c r="AB182" s="4118"/>
      <c r="AC182" s="4037"/>
      <c r="AD182" s="4119"/>
      <c r="AE182" s="4119"/>
      <c r="AF182" s="5302"/>
    </row>
    <row r="183" spans="1:32" ht="36.75" customHeight="1">
      <c r="A183" s="4564"/>
      <c r="B183" s="4570"/>
      <c r="C183" s="4545"/>
      <c r="D183" s="4514"/>
      <c r="E183" s="4514"/>
      <c r="F183" s="4514"/>
      <c r="G183" s="4514"/>
      <c r="H183" s="4514"/>
      <c r="I183" s="4514"/>
      <c r="J183" s="4514"/>
      <c r="K183" s="4514"/>
      <c r="L183" s="4377" t="s">
        <v>1638</v>
      </c>
      <c r="M183" s="4392">
        <v>6</v>
      </c>
      <c r="N183" s="4392">
        <v>7</v>
      </c>
      <c r="O183" s="4392">
        <v>7</v>
      </c>
      <c r="P183" s="4377" t="s">
        <v>1639</v>
      </c>
      <c r="Q183" s="4377" t="s">
        <v>1640</v>
      </c>
      <c r="R183" s="4903" t="s">
        <v>6083</v>
      </c>
      <c r="S183" s="3310"/>
      <c r="T183" s="3270"/>
      <c r="U183" s="3272"/>
      <c r="V183" s="4068"/>
      <c r="W183" s="4071"/>
      <c r="X183" s="3632"/>
      <c r="Y183" s="3633"/>
      <c r="Z183" s="3633"/>
      <c r="AA183" s="3633"/>
      <c r="AB183" s="3634"/>
      <c r="AC183" s="3632"/>
      <c r="AD183" s="4120"/>
      <c r="AE183" s="4120"/>
      <c r="AF183" s="5217" t="s">
        <v>1641</v>
      </c>
    </row>
    <row r="184" spans="1:32" ht="36.75" customHeight="1">
      <c r="A184" s="4564"/>
      <c r="B184" s="4570"/>
      <c r="C184" s="4545"/>
      <c r="D184" s="4514"/>
      <c r="E184" s="4514"/>
      <c r="F184" s="4514"/>
      <c r="G184" s="4514"/>
      <c r="H184" s="4514"/>
      <c r="I184" s="4514"/>
      <c r="J184" s="4514"/>
      <c r="K184" s="4514"/>
      <c r="L184" s="4514"/>
      <c r="M184" s="4901"/>
      <c r="N184" s="4901"/>
      <c r="O184" s="4901"/>
      <c r="P184" s="4514"/>
      <c r="Q184" s="4514"/>
      <c r="R184" s="4518"/>
      <c r="S184" s="3311"/>
      <c r="T184" s="1891"/>
      <c r="U184" s="1849"/>
      <c r="V184" s="1883"/>
      <c r="W184" s="1864"/>
      <c r="X184" s="3637"/>
      <c r="Y184" s="3214"/>
      <c r="Z184" s="3214"/>
      <c r="AA184" s="3214"/>
      <c r="AB184" s="3638"/>
      <c r="AC184" s="3637"/>
      <c r="AD184" s="3206"/>
      <c r="AE184" s="3206"/>
      <c r="AF184" s="5301"/>
    </row>
    <row r="185" spans="1:32" ht="36.75" customHeight="1">
      <c r="A185" s="4564"/>
      <c r="B185" s="4570"/>
      <c r="C185" s="4545"/>
      <c r="D185" s="4514"/>
      <c r="E185" s="4514"/>
      <c r="F185" s="4514"/>
      <c r="G185" s="4514"/>
      <c r="H185" s="4514"/>
      <c r="I185" s="4514"/>
      <c r="J185" s="4514"/>
      <c r="K185" s="4514"/>
      <c r="L185" s="4514"/>
      <c r="M185" s="4901"/>
      <c r="N185" s="4901"/>
      <c r="O185" s="4901"/>
      <c r="P185" s="4514"/>
      <c r="Q185" s="4514"/>
      <c r="R185" s="4518"/>
      <c r="S185" s="3311"/>
      <c r="T185" s="1891"/>
      <c r="U185" s="1849"/>
      <c r="V185" s="3789"/>
      <c r="W185" s="1864"/>
      <c r="X185" s="3637"/>
      <c r="Y185" s="3214"/>
      <c r="Z185" s="3214"/>
      <c r="AA185" s="3214"/>
      <c r="AB185" s="3638"/>
      <c r="AC185" s="3637"/>
      <c r="AD185" s="3206"/>
      <c r="AE185" s="3206"/>
      <c r="AF185" s="5301"/>
    </row>
    <row r="186" spans="1:32" ht="36.75" customHeight="1">
      <c r="A186" s="4564"/>
      <c r="B186" s="4570"/>
      <c r="C186" s="4545"/>
      <c r="D186" s="4514"/>
      <c r="E186" s="4514"/>
      <c r="F186" s="4514"/>
      <c r="G186" s="4514"/>
      <c r="H186" s="4514"/>
      <c r="I186" s="4514"/>
      <c r="J186" s="4514"/>
      <c r="K186" s="4514"/>
      <c r="L186" s="4514"/>
      <c r="M186" s="4901"/>
      <c r="N186" s="4901"/>
      <c r="O186" s="4901"/>
      <c r="P186" s="4514"/>
      <c r="Q186" s="4514"/>
      <c r="R186" s="4518"/>
      <c r="S186" s="3311"/>
      <c r="T186" s="1891"/>
      <c r="U186" s="1849"/>
      <c r="V186" s="1883"/>
      <c r="W186" s="1864"/>
      <c r="X186" s="3637"/>
      <c r="Y186" s="3214"/>
      <c r="Z186" s="3214"/>
      <c r="AA186" s="3214"/>
      <c r="AB186" s="3638"/>
      <c r="AC186" s="3637"/>
      <c r="AD186" s="3206"/>
      <c r="AE186" s="3206"/>
      <c r="AF186" s="5301"/>
    </row>
    <row r="187" spans="1:32" ht="36.75" customHeight="1">
      <c r="A187" s="4564"/>
      <c r="B187" s="4570"/>
      <c r="C187" s="4545"/>
      <c r="D187" s="4514"/>
      <c r="E187" s="4514"/>
      <c r="F187" s="4514"/>
      <c r="G187" s="4514"/>
      <c r="H187" s="4514"/>
      <c r="I187" s="4514"/>
      <c r="J187" s="4514"/>
      <c r="K187" s="4514"/>
      <c r="L187" s="4514"/>
      <c r="M187" s="4901"/>
      <c r="N187" s="4901"/>
      <c r="O187" s="4901"/>
      <c r="P187" s="4514"/>
      <c r="Q187" s="4514"/>
      <c r="R187" s="4518"/>
      <c r="S187" s="3311"/>
      <c r="T187" s="1891"/>
      <c r="U187" s="1849"/>
      <c r="V187" s="3789"/>
      <c r="W187" s="1864"/>
      <c r="X187" s="3637"/>
      <c r="Y187" s="3214"/>
      <c r="Z187" s="3214"/>
      <c r="AA187" s="3214"/>
      <c r="AB187" s="3638"/>
      <c r="AC187" s="3637"/>
      <c r="AD187" s="3206"/>
      <c r="AE187" s="3206"/>
      <c r="AF187" s="5301"/>
    </row>
    <row r="188" spans="1:32" ht="36.75" customHeight="1">
      <c r="A188" s="4564"/>
      <c r="B188" s="4570"/>
      <c r="C188" s="4545"/>
      <c r="D188" s="4514"/>
      <c r="E188" s="4514"/>
      <c r="F188" s="4514"/>
      <c r="G188" s="4514"/>
      <c r="H188" s="4514"/>
      <c r="I188" s="4514"/>
      <c r="J188" s="4514"/>
      <c r="K188" s="4514"/>
      <c r="L188" s="4515"/>
      <c r="M188" s="5222"/>
      <c r="N188" s="5222"/>
      <c r="O188" s="5222"/>
      <c r="P188" s="4515"/>
      <c r="Q188" s="4515"/>
      <c r="R188" s="4519"/>
      <c r="S188" s="3312"/>
      <c r="T188" s="3819"/>
      <c r="U188" s="3268"/>
      <c r="V188" s="3641"/>
      <c r="W188" s="3233"/>
      <c r="X188" s="3642"/>
      <c r="Y188" s="3282"/>
      <c r="Z188" s="3282"/>
      <c r="AA188" s="3282"/>
      <c r="AB188" s="3643"/>
      <c r="AC188" s="3642"/>
      <c r="AD188" s="4117"/>
      <c r="AE188" s="4117"/>
      <c r="AF188" s="5303"/>
    </row>
    <row r="189" spans="1:32" ht="45" customHeight="1">
      <c r="A189" s="4564"/>
      <c r="B189" s="4570"/>
      <c r="C189" s="4545"/>
      <c r="D189" s="4514"/>
      <c r="E189" s="4514"/>
      <c r="F189" s="4514"/>
      <c r="G189" s="4514"/>
      <c r="H189" s="4514"/>
      <c r="I189" s="4514"/>
      <c r="J189" s="4514"/>
      <c r="K189" s="4514"/>
      <c r="L189" s="4395" t="s">
        <v>1642</v>
      </c>
      <c r="M189" s="4401">
        <v>2</v>
      </c>
      <c r="N189" s="4401">
        <v>4</v>
      </c>
      <c r="O189" s="4401">
        <v>4</v>
      </c>
      <c r="P189" s="4395" t="s">
        <v>1643</v>
      </c>
      <c r="Q189" s="4395" t="s">
        <v>1640</v>
      </c>
      <c r="R189" s="4897" t="s">
        <v>6083</v>
      </c>
      <c r="S189" s="3313"/>
      <c r="T189" s="3071"/>
      <c r="U189" s="3274"/>
      <c r="V189" s="4069"/>
      <c r="W189" s="4070"/>
      <c r="X189" s="4033"/>
      <c r="Y189" s="3295"/>
      <c r="Z189" s="3295"/>
      <c r="AA189" s="3295"/>
      <c r="AB189" s="4115"/>
      <c r="AC189" s="4033"/>
      <c r="AD189" s="4116"/>
      <c r="AE189" s="4116"/>
      <c r="AF189" s="5209" t="s">
        <v>1644</v>
      </c>
    </row>
    <row r="190" spans="1:32" ht="45" customHeight="1">
      <c r="A190" s="4564"/>
      <c r="B190" s="4570"/>
      <c r="C190" s="4545"/>
      <c r="D190" s="4514"/>
      <c r="E190" s="4514"/>
      <c r="F190" s="4514"/>
      <c r="G190" s="4514"/>
      <c r="H190" s="4514"/>
      <c r="I190" s="4514"/>
      <c r="J190" s="4514"/>
      <c r="K190" s="4514"/>
      <c r="L190" s="4514"/>
      <c r="M190" s="4901"/>
      <c r="N190" s="4901"/>
      <c r="O190" s="4901"/>
      <c r="P190" s="4514"/>
      <c r="Q190" s="4514"/>
      <c r="R190" s="4518"/>
      <c r="S190" s="3311"/>
      <c r="T190" s="1891"/>
      <c r="U190" s="1849"/>
      <c r="V190" s="1883"/>
      <c r="W190" s="1864"/>
      <c r="X190" s="3637"/>
      <c r="Y190" s="3214"/>
      <c r="Z190" s="3214"/>
      <c r="AA190" s="3214"/>
      <c r="AB190" s="3638"/>
      <c r="AC190" s="3637"/>
      <c r="AD190" s="3206"/>
      <c r="AE190" s="3206"/>
      <c r="AF190" s="5301"/>
    </row>
    <row r="191" spans="1:32" ht="45" customHeight="1">
      <c r="A191" s="4564"/>
      <c r="B191" s="4570"/>
      <c r="C191" s="4545"/>
      <c r="D191" s="4514"/>
      <c r="E191" s="4514"/>
      <c r="F191" s="4514"/>
      <c r="G191" s="4514"/>
      <c r="H191" s="4514"/>
      <c r="I191" s="4514"/>
      <c r="J191" s="4514"/>
      <c r="K191" s="4514"/>
      <c r="L191" s="4514"/>
      <c r="M191" s="4901"/>
      <c r="N191" s="4901"/>
      <c r="O191" s="4901"/>
      <c r="P191" s="4514"/>
      <c r="Q191" s="4514"/>
      <c r="R191" s="4518"/>
      <c r="S191" s="3311"/>
      <c r="T191" s="1891"/>
      <c r="U191" s="1849"/>
      <c r="V191" s="3789"/>
      <c r="W191" s="1864"/>
      <c r="X191" s="3637"/>
      <c r="Y191" s="3214"/>
      <c r="Z191" s="3214"/>
      <c r="AA191" s="3214"/>
      <c r="AB191" s="3638"/>
      <c r="AC191" s="3637"/>
      <c r="AD191" s="3206"/>
      <c r="AE191" s="3206"/>
      <c r="AF191" s="5301"/>
    </row>
    <row r="192" spans="1:32" ht="45" customHeight="1">
      <c r="A192" s="4564"/>
      <c r="B192" s="4570"/>
      <c r="C192" s="4545"/>
      <c r="D192" s="4514"/>
      <c r="E192" s="4514"/>
      <c r="F192" s="4514"/>
      <c r="G192" s="4514"/>
      <c r="H192" s="4514"/>
      <c r="I192" s="4514"/>
      <c r="J192" s="4514"/>
      <c r="K192" s="4514"/>
      <c r="L192" s="4514"/>
      <c r="M192" s="4901"/>
      <c r="N192" s="4901"/>
      <c r="O192" s="4901"/>
      <c r="P192" s="4514"/>
      <c r="Q192" s="4514"/>
      <c r="R192" s="4518"/>
      <c r="S192" s="3311"/>
      <c r="T192" s="1891"/>
      <c r="U192" s="1849"/>
      <c r="V192" s="1883"/>
      <c r="W192" s="1864"/>
      <c r="X192" s="3637"/>
      <c r="Y192" s="3214"/>
      <c r="Z192" s="3214"/>
      <c r="AA192" s="3214"/>
      <c r="AB192" s="3638"/>
      <c r="AC192" s="3637"/>
      <c r="AD192" s="3206"/>
      <c r="AE192" s="3206"/>
      <c r="AF192" s="5301"/>
    </row>
    <row r="193" spans="1:32" ht="45" customHeight="1">
      <c r="A193" s="4564"/>
      <c r="B193" s="4570"/>
      <c r="C193" s="4545"/>
      <c r="D193" s="4514"/>
      <c r="E193" s="4514"/>
      <c r="F193" s="4514"/>
      <c r="G193" s="4514"/>
      <c r="H193" s="4514"/>
      <c r="I193" s="4514"/>
      <c r="J193" s="4514"/>
      <c r="K193" s="4514"/>
      <c r="L193" s="4525"/>
      <c r="M193" s="4902"/>
      <c r="N193" s="4902"/>
      <c r="O193" s="4902"/>
      <c r="P193" s="4525"/>
      <c r="Q193" s="4525"/>
      <c r="R193" s="4528"/>
      <c r="S193" s="3314"/>
      <c r="T193" s="3821"/>
      <c r="U193" s="3271"/>
      <c r="V193" s="3822"/>
      <c r="W193" s="3254"/>
      <c r="X193" s="4037"/>
      <c r="Y193" s="3291"/>
      <c r="Z193" s="3291"/>
      <c r="AA193" s="3291"/>
      <c r="AB193" s="4118"/>
      <c r="AC193" s="4037"/>
      <c r="AD193" s="4119"/>
      <c r="AE193" s="4119"/>
      <c r="AF193" s="5302"/>
    </row>
    <row r="194" spans="1:32" ht="45" customHeight="1">
      <c r="A194" s="4564"/>
      <c r="B194" s="4570"/>
      <c r="C194" s="4545"/>
      <c r="D194" s="4514"/>
      <c r="E194" s="4514"/>
      <c r="F194" s="4514"/>
      <c r="G194" s="4514"/>
      <c r="H194" s="4514"/>
      <c r="I194" s="4514"/>
      <c r="J194" s="4514"/>
      <c r="K194" s="4514"/>
      <c r="L194" s="4377" t="s">
        <v>1645</v>
      </c>
      <c r="M194" s="4392">
        <v>2</v>
      </c>
      <c r="N194" s="4392">
        <v>3</v>
      </c>
      <c r="O194" s="4392">
        <v>3</v>
      </c>
      <c r="P194" s="4377" t="s">
        <v>1646</v>
      </c>
      <c r="Q194" s="4377" t="s">
        <v>1640</v>
      </c>
      <c r="R194" s="4903" t="s">
        <v>6084</v>
      </c>
      <c r="S194" s="3310"/>
      <c r="T194" s="3270"/>
      <c r="U194" s="3272"/>
      <c r="V194" s="4068"/>
      <c r="W194" s="4071"/>
      <c r="X194" s="3632"/>
      <c r="Y194" s="3633"/>
      <c r="Z194" s="3633"/>
      <c r="AA194" s="3633"/>
      <c r="AB194" s="3634"/>
      <c r="AC194" s="3632"/>
      <c r="AD194" s="4120"/>
      <c r="AE194" s="4120"/>
      <c r="AF194" s="5217" t="s">
        <v>1647</v>
      </c>
    </row>
    <row r="195" spans="1:32" ht="45" customHeight="1">
      <c r="A195" s="4564"/>
      <c r="B195" s="4570"/>
      <c r="C195" s="4545"/>
      <c r="D195" s="4514"/>
      <c r="E195" s="4514"/>
      <c r="F195" s="4514"/>
      <c r="G195" s="4514"/>
      <c r="H195" s="4514"/>
      <c r="I195" s="4514"/>
      <c r="J195" s="4514"/>
      <c r="K195" s="4514"/>
      <c r="L195" s="4514"/>
      <c r="M195" s="4901"/>
      <c r="N195" s="4901"/>
      <c r="O195" s="4901"/>
      <c r="P195" s="4514"/>
      <c r="Q195" s="4514"/>
      <c r="R195" s="4518"/>
      <c r="S195" s="3311"/>
      <c r="T195" s="1891"/>
      <c r="U195" s="1849"/>
      <c r="V195" s="1883"/>
      <c r="W195" s="1864"/>
      <c r="X195" s="3637"/>
      <c r="Y195" s="3214"/>
      <c r="Z195" s="3214"/>
      <c r="AA195" s="3214"/>
      <c r="AB195" s="3638"/>
      <c r="AC195" s="3637"/>
      <c r="AD195" s="3206"/>
      <c r="AE195" s="3206"/>
      <c r="AF195" s="5301"/>
    </row>
    <row r="196" spans="1:32" ht="45" customHeight="1">
      <c r="A196" s="4564"/>
      <c r="B196" s="4570"/>
      <c r="C196" s="4545"/>
      <c r="D196" s="4514"/>
      <c r="E196" s="4514"/>
      <c r="F196" s="4514"/>
      <c r="G196" s="4514"/>
      <c r="H196" s="4514"/>
      <c r="I196" s="4514"/>
      <c r="J196" s="4514"/>
      <c r="K196" s="4514"/>
      <c r="L196" s="4514"/>
      <c r="M196" s="4901"/>
      <c r="N196" s="4901"/>
      <c r="O196" s="4901"/>
      <c r="P196" s="4514"/>
      <c r="Q196" s="4514"/>
      <c r="R196" s="4518"/>
      <c r="S196" s="3311"/>
      <c r="T196" s="1891"/>
      <c r="U196" s="1849"/>
      <c r="V196" s="3789"/>
      <c r="W196" s="1864"/>
      <c r="X196" s="3637"/>
      <c r="Y196" s="3214"/>
      <c r="Z196" s="3214"/>
      <c r="AA196" s="3214"/>
      <c r="AB196" s="3638"/>
      <c r="AC196" s="3637"/>
      <c r="AD196" s="3206"/>
      <c r="AE196" s="3206"/>
      <c r="AF196" s="5301"/>
    </row>
    <row r="197" spans="1:32" ht="45" customHeight="1">
      <c r="A197" s="4564"/>
      <c r="B197" s="4570"/>
      <c r="C197" s="4545"/>
      <c r="D197" s="4514"/>
      <c r="E197" s="4514"/>
      <c r="F197" s="4514"/>
      <c r="G197" s="4514"/>
      <c r="H197" s="4514"/>
      <c r="I197" s="4514"/>
      <c r="J197" s="4514"/>
      <c r="K197" s="4514"/>
      <c r="L197" s="4514"/>
      <c r="M197" s="4901"/>
      <c r="N197" s="4901"/>
      <c r="O197" s="4901"/>
      <c r="P197" s="4514"/>
      <c r="Q197" s="4514"/>
      <c r="R197" s="4518"/>
      <c r="S197" s="3311"/>
      <c r="T197" s="1891"/>
      <c r="U197" s="1849"/>
      <c r="V197" s="1883"/>
      <c r="W197" s="1864"/>
      <c r="X197" s="3637"/>
      <c r="Y197" s="3214"/>
      <c r="Z197" s="3214"/>
      <c r="AA197" s="3214"/>
      <c r="AB197" s="3638"/>
      <c r="AC197" s="3637"/>
      <c r="AD197" s="3206"/>
      <c r="AE197" s="3206"/>
      <c r="AF197" s="5301"/>
    </row>
    <row r="198" spans="1:32" ht="45" customHeight="1">
      <c r="A198" s="4564"/>
      <c r="B198" s="4570"/>
      <c r="C198" s="4545"/>
      <c r="D198" s="4514"/>
      <c r="E198" s="4514"/>
      <c r="F198" s="4514"/>
      <c r="G198" s="4514"/>
      <c r="H198" s="4514"/>
      <c r="I198" s="4514"/>
      <c r="J198" s="4514"/>
      <c r="K198" s="4514"/>
      <c r="L198" s="4515"/>
      <c r="M198" s="5222"/>
      <c r="N198" s="5222"/>
      <c r="O198" s="5222"/>
      <c r="P198" s="4515"/>
      <c r="Q198" s="4515"/>
      <c r="R198" s="4519"/>
      <c r="S198" s="3312"/>
      <c r="T198" s="3819"/>
      <c r="U198" s="3268"/>
      <c r="V198" s="3641"/>
      <c r="W198" s="3233"/>
      <c r="X198" s="3642"/>
      <c r="Y198" s="3282"/>
      <c r="Z198" s="3282"/>
      <c r="AA198" s="3282"/>
      <c r="AB198" s="3643"/>
      <c r="AC198" s="3642"/>
      <c r="AD198" s="4117"/>
      <c r="AE198" s="4117"/>
      <c r="AF198" s="5303"/>
    </row>
    <row r="199" spans="1:32">
      <c r="A199" s="4564"/>
      <c r="B199" s="4570"/>
      <c r="C199" s="4545"/>
      <c r="D199" s="4514"/>
      <c r="E199" s="4514"/>
      <c r="F199" s="4514"/>
      <c r="G199" s="4514"/>
      <c r="H199" s="4514"/>
      <c r="I199" s="4514"/>
      <c r="J199" s="4514"/>
      <c r="K199" s="4514"/>
      <c r="L199" s="4395" t="s">
        <v>1648</v>
      </c>
      <c r="M199" s="4401">
        <v>4</v>
      </c>
      <c r="N199" s="4401">
        <v>8</v>
      </c>
      <c r="O199" s="4401">
        <v>8</v>
      </c>
      <c r="P199" s="4395" t="s">
        <v>1649</v>
      </c>
      <c r="Q199" s="4395" t="s">
        <v>1650</v>
      </c>
      <c r="R199" s="4897" t="s">
        <v>6085</v>
      </c>
      <c r="S199" s="3313" t="s">
        <v>39</v>
      </c>
      <c r="T199" s="3071">
        <v>530813</v>
      </c>
      <c r="U199" s="3274"/>
      <c r="V199" s="4069" t="s">
        <v>157</v>
      </c>
      <c r="W199" s="4070"/>
      <c r="X199" s="4033"/>
      <c r="Y199" s="3295"/>
      <c r="Z199" s="3295"/>
      <c r="AA199" s="3295"/>
      <c r="AB199" s="4115">
        <f>SUM($AA$200:$AA$204)</f>
        <v>497.28000000000003</v>
      </c>
      <c r="AC199" s="4033"/>
      <c r="AD199" s="4116"/>
      <c r="AE199" s="4116"/>
      <c r="AF199" s="5209" t="s">
        <v>1651</v>
      </c>
    </row>
    <row r="200" spans="1:32" ht="25.5">
      <c r="A200" s="4564"/>
      <c r="B200" s="4570"/>
      <c r="C200" s="4545"/>
      <c r="D200" s="4514"/>
      <c r="E200" s="4514"/>
      <c r="F200" s="4514"/>
      <c r="G200" s="4514"/>
      <c r="H200" s="4514"/>
      <c r="I200" s="4514"/>
      <c r="J200" s="4514"/>
      <c r="K200" s="4514"/>
      <c r="L200" s="4514"/>
      <c r="M200" s="4901"/>
      <c r="N200" s="4901"/>
      <c r="O200" s="4901"/>
      <c r="P200" s="4514"/>
      <c r="Q200" s="4514"/>
      <c r="R200" s="4518"/>
      <c r="S200" s="3311"/>
      <c r="T200" s="1891"/>
      <c r="U200" s="1849">
        <v>462110553</v>
      </c>
      <c r="V200" s="1883" t="s">
        <v>6042</v>
      </c>
      <c r="W200" s="1864">
        <v>2</v>
      </c>
      <c r="X200" s="2434" t="s">
        <v>269</v>
      </c>
      <c r="Y200" s="3214">
        <v>25</v>
      </c>
      <c r="Z200" s="3214">
        <f t="shared" ref="Z200:Z204" si="13">+W200*Y200</f>
        <v>50</v>
      </c>
      <c r="AA200" s="3214">
        <f t="shared" ref="AA200:AA204" si="14">+Z200*1.12</f>
        <v>56.000000000000007</v>
      </c>
      <c r="AB200" s="3638"/>
      <c r="AC200" s="3637"/>
      <c r="AD200" s="3206" t="s">
        <v>251</v>
      </c>
      <c r="AE200" s="3206"/>
      <c r="AF200" s="5301"/>
    </row>
    <row r="201" spans="1:32">
      <c r="A201" s="4564"/>
      <c r="B201" s="4570"/>
      <c r="C201" s="4545"/>
      <c r="D201" s="4514"/>
      <c r="E201" s="4514"/>
      <c r="F201" s="4514"/>
      <c r="G201" s="4514"/>
      <c r="H201" s="4514"/>
      <c r="I201" s="4514"/>
      <c r="J201" s="4514"/>
      <c r="K201" s="4514"/>
      <c r="L201" s="4514"/>
      <c r="M201" s="4901"/>
      <c r="N201" s="4901"/>
      <c r="O201" s="4901"/>
      <c r="P201" s="4514"/>
      <c r="Q201" s="4514"/>
      <c r="R201" s="4518"/>
      <c r="S201" s="3311"/>
      <c r="T201" s="1891"/>
      <c r="U201" s="1849">
        <v>381210112</v>
      </c>
      <c r="V201" s="1883" t="s">
        <v>6043</v>
      </c>
      <c r="W201" s="1864">
        <v>2</v>
      </c>
      <c r="X201" s="2434" t="s">
        <v>269</v>
      </c>
      <c r="Y201" s="3214">
        <v>42</v>
      </c>
      <c r="Z201" s="3214">
        <f t="shared" si="13"/>
        <v>84</v>
      </c>
      <c r="AA201" s="3214">
        <f t="shared" si="14"/>
        <v>94.080000000000013</v>
      </c>
      <c r="AB201" s="3638"/>
      <c r="AC201" s="3637"/>
      <c r="AD201" s="3206" t="s">
        <v>251</v>
      </c>
      <c r="AE201" s="3206"/>
      <c r="AF201" s="5301"/>
    </row>
    <row r="202" spans="1:32">
      <c r="A202" s="4564"/>
      <c r="B202" s="4570"/>
      <c r="C202" s="4545"/>
      <c r="D202" s="4514"/>
      <c r="E202" s="4514"/>
      <c r="F202" s="4514"/>
      <c r="G202" s="4514"/>
      <c r="H202" s="4514"/>
      <c r="I202" s="4514"/>
      <c r="J202" s="4514"/>
      <c r="K202" s="4514"/>
      <c r="L202" s="4514"/>
      <c r="M202" s="4901"/>
      <c r="N202" s="4901"/>
      <c r="O202" s="4901"/>
      <c r="P202" s="4514"/>
      <c r="Q202" s="4514"/>
      <c r="R202" s="4518"/>
      <c r="S202" s="3311"/>
      <c r="T202" s="1891"/>
      <c r="U202" s="1849">
        <v>464200012</v>
      </c>
      <c r="V202" s="1883" t="s">
        <v>6044</v>
      </c>
      <c r="W202" s="1864">
        <v>100</v>
      </c>
      <c r="X202" s="2434" t="s">
        <v>269</v>
      </c>
      <c r="Y202" s="3214">
        <v>1.2</v>
      </c>
      <c r="Z202" s="3214">
        <f t="shared" si="13"/>
        <v>120</v>
      </c>
      <c r="AA202" s="3214">
        <f t="shared" si="14"/>
        <v>134.4</v>
      </c>
      <c r="AB202" s="3638"/>
      <c r="AC202" s="3637"/>
      <c r="AD202" s="3206" t="s">
        <v>251</v>
      </c>
      <c r="AE202" s="3206"/>
      <c r="AF202" s="5301"/>
    </row>
    <row r="203" spans="1:32">
      <c r="A203" s="4564"/>
      <c r="B203" s="4570"/>
      <c r="C203" s="4545"/>
      <c r="D203" s="4514"/>
      <c r="E203" s="4514"/>
      <c r="F203" s="4514"/>
      <c r="G203" s="4514"/>
      <c r="H203" s="4514"/>
      <c r="I203" s="4514"/>
      <c r="J203" s="4514"/>
      <c r="K203" s="4514"/>
      <c r="L203" s="4514"/>
      <c r="M203" s="4901"/>
      <c r="N203" s="4901"/>
      <c r="O203" s="4901"/>
      <c r="P203" s="4514"/>
      <c r="Q203" s="4514"/>
      <c r="R203" s="4518"/>
      <c r="S203" s="3311"/>
      <c r="T203" s="1850"/>
      <c r="U203" s="1848">
        <v>464200013</v>
      </c>
      <c r="V203" s="2432" t="s">
        <v>6045</v>
      </c>
      <c r="W203" s="2433">
        <v>5</v>
      </c>
      <c r="X203" s="2434" t="s">
        <v>269</v>
      </c>
      <c r="Y203" s="3132">
        <v>20</v>
      </c>
      <c r="Z203" s="3132">
        <f t="shared" si="13"/>
        <v>100</v>
      </c>
      <c r="AA203" s="3214">
        <f t="shared" si="14"/>
        <v>112.00000000000001</v>
      </c>
      <c r="AB203" s="3638"/>
      <c r="AC203" s="3637"/>
      <c r="AD203" s="3206" t="s">
        <v>251</v>
      </c>
      <c r="AE203" s="3206"/>
      <c r="AF203" s="5301"/>
    </row>
    <row r="204" spans="1:32">
      <c r="A204" s="4564"/>
      <c r="B204" s="4570"/>
      <c r="C204" s="4545"/>
      <c r="D204" s="4514"/>
      <c r="E204" s="4514"/>
      <c r="F204" s="4514"/>
      <c r="G204" s="4514"/>
      <c r="H204" s="4514"/>
      <c r="I204" s="4514"/>
      <c r="J204" s="4514"/>
      <c r="K204" s="4514"/>
      <c r="L204" s="4514"/>
      <c r="M204" s="4901"/>
      <c r="N204" s="4901"/>
      <c r="O204" s="4901"/>
      <c r="P204" s="4514"/>
      <c r="Q204" s="4514"/>
      <c r="R204" s="4518"/>
      <c r="S204" s="3311"/>
      <c r="T204" s="1850"/>
      <c r="U204" s="1848">
        <v>4612200110</v>
      </c>
      <c r="V204" s="2432" t="s">
        <v>6046</v>
      </c>
      <c r="W204" s="2433">
        <v>5</v>
      </c>
      <c r="X204" s="2434" t="s">
        <v>269</v>
      </c>
      <c r="Y204" s="3132">
        <v>18</v>
      </c>
      <c r="Z204" s="3132">
        <f t="shared" si="13"/>
        <v>90</v>
      </c>
      <c r="AA204" s="3214">
        <f t="shared" si="14"/>
        <v>100.80000000000001</v>
      </c>
      <c r="AB204" s="3638"/>
      <c r="AC204" s="3637"/>
      <c r="AD204" s="3206" t="s">
        <v>251</v>
      </c>
      <c r="AE204" s="3206"/>
      <c r="AF204" s="5301"/>
    </row>
    <row r="205" spans="1:32">
      <c r="A205" s="4564"/>
      <c r="B205" s="4570"/>
      <c r="C205" s="4545"/>
      <c r="D205" s="4514"/>
      <c r="E205" s="4514"/>
      <c r="F205" s="4514"/>
      <c r="G205" s="4514"/>
      <c r="H205" s="4514"/>
      <c r="I205" s="4514"/>
      <c r="J205" s="4514"/>
      <c r="K205" s="4514"/>
      <c r="L205" s="4514"/>
      <c r="M205" s="4901"/>
      <c r="N205" s="4901"/>
      <c r="O205" s="4901"/>
      <c r="P205" s="4514"/>
      <c r="Q205" s="4514"/>
      <c r="R205" s="4518"/>
      <c r="S205" s="3311"/>
      <c r="T205" s="1850"/>
      <c r="U205" s="1848"/>
      <c r="V205" s="2432"/>
      <c r="W205" s="2433"/>
      <c r="X205" s="2434"/>
      <c r="Y205" s="3132"/>
      <c r="Z205" s="3132"/>
      <c r="AA205" s="3214"/>
      <c r="AB205" s="3638"/>
      <c r="AC205" s="3637"/>
      <c r="AD205" s="3206"/>
      <c r="AE205" s="3206"/>
      <c r="AF205" s="5301"/>
    </row>
    <row r="206" spans="1:32">
      <c r="A206" s="4564"/>
      <c r="B206" s="4570"/>
      <c r="C206" s="4545"/>
      <c r="D206" s="4514"/>
      <c r="E206" s="4514"/>
      <c r="F206" s="4514"/>
      <c r="G206" s="4514"/>
      <c r="H206" s="4514"/>
      <c r="I206" s="4514"/>
      <c r="J206" s="4514"/>
      <c r="K206" s="4514"/>
      <c r="L206" s="4514"/>
      <c r="M206" s="4901"/>
      <c r="N206" s="4901"/>
      <c r="O206" s="4901"/>
      <c r="P206" s="4514"/>
      <c r="Q206" s="4514"/>
      <c r="R206" s="4518"/>
      <c r="S206" s="2567" t="s">
        <v>29</v>
      </c>
      <c r="T206" s="1850">
        <v>840107</v>
      </c>
      <c r="U206" s="1848"/>
      <c r="V206" s="2441" t="s">
        <v>20</v>
      </c>
      <c r="W206" s="2433"/>
      <c r="X206" s="2434"/>
      <c r="Y206" s="3132"/>
      <c r="Z206" s="3132"/>
      <c r="AA206" s="3214"/>
      <c r="AB206" s="3638">
        <f>SUM($AA$207)</f>
        <v>448.00000000000006</v>
      </c>
      <c r="AC206" s="3637"/>
      <c r="AD206" s="3206"/>
      <c r="AE206" s="3206"/>
      <c r="AF206" s="5301"/>
    </row>
    <row r="207" spans="1:32">
      <c r="A207" s="4564"/>
      <c r="B207" s="4570"/>
      <c r="C207" s="4545"/>
      <c r="D207" s="4514"/>
      <c r="E207" s="4514"/>
      <c r="F207" s="4514"/>
      <c r="G207" s="4514"/>
      <c r="H207" s="4514"/>
      <c r="I207" s="4514"/>
      <c r="J207" s="4514"/>
      <c r="K207" s="4514"/>
      <c r="L207" s="4514"/>
      <c r="M207" s="4901"/>
      <c r="N207" s="4901"/>
      <c r="O207" s="4901"/>
      <c r="P207" s="4514"/>
      <c r="Q207" s="4514"/>
      <c r="R207" s="4518"/>
      <c r="S207" s="3311"/>
      <c r="T207" s="1850"/>
      <c r="U207" s="1848">
        <v>472110013</v>
      </c>
      <c r="V207" s="2432" t="s">
        <v>6047</v>
      </c>
      <c r="W207" s="2433">
        <v>1</v>
      </c>
      <c r="X207" s="2434" t="s">
        <v>269</v>
      </c>
      <c r="Y207" s="3132">
        <v>400</v>
      </c>
      <c r="Z207" s="3132">
        <f>+W207*Y207</f>
        <v>400</v>
      </c>
      <c r="AA207" s="3214">
        <f>+Z207*1.12</f>
        <v>448.00000000000006</v>
      </c>
      <c r="AB207" s="3638"/>
      <c r="AC207" s="3637"/>
      <c r="AD207" s="3206" t="s">
        <v>251</v>
      </c>
      <c r="AE207" s="3206"/>
      <c r="AF207" s="5301"/>
    </row>
    <row r="208" spans="1:32">
      <c r="A208" s="4564"/>
      <c r="B208" s="4570"/>
      <c r="C208" s="4545"/>
      <c r="D208" s="4514"/>
      <c r="E208" s="4514"/>
      <c r="F208" s="4514"/>
      <c r="G208" s="4514"/>
      <c r="H208" s="4514"/>
      <c r="I208" s="4514"/>
      <c r="J208" s="4514"/>
      <c r="K208" s="4514"/>
      <c r="L208" s="4514"/>
      <c r="M208" s="4901"/>
      <c r="N208" s="4901"/>
      <c r="O208" s="4901"/>
      <c r="P208" s="4514"/>
      <c r="Q208" s="4514"/>
      <c r="R208" s="4518"/>
      <c r="S208" s="3311"/>
      <c r="T208" s="1850"/>
      <c r="U208" s="1848"/>
      <c r="V208" s="2441"/>
      <c r="W208" s="2433"/>
      <c r="X208" s="2434"/>
      <c r="Y208" s="3132"/>
      <c r="Z208" s="3132"/>
      <c r="AA208" s="3214"/>
      <c r="AB208" s="3638"/>
      <c r="AC208" s="3637"/>
      <c r="AD208" s="3206"/>
      <c r="AE208" s="3206"/>
      <c r="AF208" s="5301"/>
    </row>
    <row r="209" spans="1:32">
      <c r="A209" s="4564"/>
      <c r="B209" s="4570"/>
      <c r="C209" s="4545"/>
      <c r="D209" s="4514"/>
      <c r="E209" s="4514"/>
      <c r="F209" s="4514"/>
      <c r="G209" s="4514"/>
      <c r="H209" s="4514"/>
      <c r="I209" s="4514"/>
      <c r="J209" s="4514"/>
      <c r="K209" s="4514"/>
      <c r="L209" s="4514"/>
      <c r="M209" s="4901"/>
      <c r="N209" s="4901"/>
      <c r="O209" s="4901"/>
      <c r="P209" s="4514"/>
      <c r="Q209" s="4514"/>
      <c r="R209" s="4518"/>
      <c r="S209" s="3311" t="s">
        <v>17</v>
      </c>
      <c r="T209" s="1850">
        <v>531407</v>
      </c>
      <c r="U209" s="1848"/>
      <c r="V209" s="2441" t="s">
        <v>20</v>
      </c>
      <c r="W209" s="2433"/>
      <c r="X209" s="2434"/>
      <c r="Y209" s="3132"/>
      <c r="Z209" s="3132"/>
      <c r="AA209" s="3214"/>
      <c r="AB209" s="3638">
        <f>SUM($AA$210:$AA$217)</f>
        <v>2456.3616000000002</v>
      </c>
      <c r="AC209" s="3637"/>
      <c r="AD209" s="3206"/>
      <c r="AE209" s="3206"/>
      <c r="AF209" s="5301"/>
    </row>
    <row r="210" spans="1:32">
      <c r="A210" s="4564"/>
      <c r="B210" s="4570"/>
      <c r="C210" s="4545"/>
      <c r="D210" s="4514"/>
      <c r="E210" s="4514"/>
      <c r="F210" s="4514"/>
      <c r="G210" s="4514"/>
      <c r="H210" s="4514"/>
      <c r="I210" s="4514"/>
      <c r="J210" s="4514"/>
      <c r="K210" s="4514"/>
      <c r="L210" s="4514"/>
      <c r="M210" s="4901"/>
      <c r="N210" s="4901"/>
      <c r="O210" s="4901"/>
      <c r="P210" s="4514"/>
      <c r="Q210" s="4514"/>
      <c r="R210" s="4518"/>
      <c r="S210" s="3311"/>
      <c r="T210" s="1850"/>
      <c r="U210" s="1848">
        <v>452900012</v>
      </c>
      <c r="V210" s="2432" t="s">
        <v>1652</v>
      </c>
      <c r="W210" s="2433">
        <v>15</v>
      </c>
      <c r="X210" s="2434" t="s">
        <v>269</v>
      </c>
      <c r="Y210" s="3132">
        <v>6</v>
      </c>
      <c r="Z210" s="3132">
        <f t="shared" ref="Z210:Z217" si="15">+W210*Y210</f>
        <v>90</v>
      </c>
      <c r="AA210" s="3214">
        <f t="shared" ref="AA210:AA217" si="16">+Z210*1.12</f>
        <v>100.80000000000001</v>
      </c>
      <c r="AB210" s="3638"/>
      <c r="AC210" s="3637"/>
      <c r="AD210" s="3206" t="s">
        <v>251</v>
      </c>
      <c r="AE210" s="3206"/>
      <c r="AF210" s="5301"/>
    </row>
    <row r="211" spans="1:32">
      <c r="A211" s="4564"/>
      <c r="B211" s="4570"/>
      <c r="C211" s="4545"/>
      <c r="D211" s="4514"/>
      <c r="E211" s="4514"/>
      <c r="F211" s="4514"/>
      <c r="G211" s="4514"/>
      <c r="H211" s="4514"/>
      <c r="I211" s="4514"/>
      <c r="J211" s="4514"/>
      <c r="K211" s="4514"/>
      <c r="L211" s="4514"/>
      <c r="M211" s="4901"/>
      <c r="N211" s="4901"/>
      <c r="O211" s="4901"/>
      <c r="P211" s="4514"/>
      <c r="Q211" s="4514"/>
      <c r="R211" s="4518"/>
      <c r="S211" s="3311"/>
      <c r="T211" s="1850"/>
      <c r="U211" s="1848">
        <v>452900011</v>
      </c>
      <c r="V211" s="2432" t="s">
        <v>1653</v>
      </c>
      <c r="W211" s="2433">
        <v>15</v>
      </c>
      <c r="X211" s="2434" t="s">
        <v>269</v>
      </c>
      <c r="Y211" s="3132">
        <v>7</v>
      </c>
      <c r="Z211" s="3132">
        <f t="shared" si="15"/>
        <v>105</v>
      </c>
      <c r="AA211" s="3214">
        <f t="shared" si="16"/>
        <v>117.60000000000001</v>
      </c>
      <c r="AB211" s="3638"/>
      <c r="AC211" s="3637"/>
      <c r="AD211" s="3206" t="s">
        <v>251</v>
      </c>
      <c r="AE211" s="3206"/>
      <c r="AF211" s="5301"/>
    </row>
    <row r="212" spans="1:32">
      <c r="A212" s="4564"/>
      <c r="B212" s="4570"/>
      <c r="C212" s="4545"/>
      <c r="D212" s="4514"/>
      <c r="E212" s="4514"/>
      <c r="F212" s="4514"/>
      <c r="G212" s="4514"/>
      <c r="H212" s="4514"/>
      <c r="I212" s="4514"/>
      <c r="J212" s="4514"/>
      <c r="K212" s="4514"/>
      <c r="L212" s="4514"/>
      <c r="M212" s="4901"/>
      <c r="N212" s="4901"/>
      <c r="O212" s="4901"/>
      <c r="P212" s="4514"/>
      <c r="Q212" s="4514"/>
      <c r="R212" s="4518"/>
      <c r="S212" s="3311"/>
      <c r="T212" s="1850"/>
      <c r="U212" s="1848">
        <v>452900019</v>
      </c>
      <c r="V212" s="2432" t="s">
        <v>6048</v>
      </c>
      <c r="W212" s="2433">
        <v>6</v>
      </c>
      <c r="X212" s="2434" t="s">
        <v>269</v>
      </c>
      <c r="Y212" s="3132">
        <v>70</v>
      </c>
      <c r="Z212" s="3132">
        <f t="shared" si="15"/>
        <v>420</v>
      </c>
      <c r="AA212" s="3214">
        <f t="shared" si="16"/>
        <v>470.40000000000003</v>
      </c>
      <c r="AB212" s="3638"/>
      <c r="AC212" s="3637"/>
      <c r="AD212" s="3206" t="s">
        <v>251</v>
      </c>
      <c r="AE212" s="3206"/>
      <c r="AF212" s="5301"/>
    </row>
    <row r="213" spans="1:32">
      <c r="A213" s="4564"/>
      <c r="B213" s="4570"/>
      <c r="C213" s="4545"/>
      <c r="D213" s="4514"/>
      <c r="E213" s="4514"/>
      <c r="F213" s="4514"/>
      <c r="G213" s="4514"/>
      <c r="H213" s="4514"/>
      <c r="I213" s="4514"/>
      <c r="J213" s="4514"/>
      <c r="K213" s="4514"/>
      <c r="L213" s="4514"/>
      <c r="M213" s="4901"/>
      <c r="N213" s="4901"/>
      <c r="O213" s="4901"/>
      <c r="P213" s="4514"/>
      <c r="Q213" s="4514"/>
      <c r="R213" s="4518"/>
      <c r="S213" s="3311"/>
      <c r="T213" s="1850"/>
      <c r="U213" s="1848">
        <v>452700024</v>
      </c>
      <c r="V213" s="2432" t="s">
        <v>6049</v>
      </c>
      <c r="W213" s="2433">
        <v>1</v>
      </c>
      <c r="X213" s="2434" t="s">
        <v>269</v>
      </c>
      <c r="Y213" s="3132">
        <v>70</v>
      </c>
      <c r="Z213" s="3132">
        <f t="shared" si="15"/>
        <v>70</v>
      </c>
      <c r="AA213" s="3214">
        <f t="shared" si="16"/>
        <v>78.400000000000006</v>
      </c>
      <c r="AB213" s="3638"/>
      <c r="AC213" s="3637"/>
      <c r="AD213" s="3206" t="s">
        <v>251</v>
      </c>
      <c r="AE213" s="3206"/>
      <c r="AF213" s="5301"/>
    </row>
    <row r="214" spans="1:32">
      <c r="A214" s="4564"/>
      <c r="B214" s="4570"/>
      <c r="C214" s="4545"/>
      <c r="D214" s="4514"/>
      <c r="E214" s="4514"/>
      <c r="F214" s="4514"/>
      <c r="G214" s="4514"/>
      <c r="H214" s="4514"/>
      <c r="I214" s="4514"/>
      <c r="J214" s="4514"/>
      <c r="K214" s="4514"/>
      <c r="L214" s="4514"/>
      <c r="M214" s="4901"/>
      <c r="N214" s="4901"/>
      <c r="O214" s="4901"/>
      <c r="P214" s="4514"/>
      <c r="Q214" s="4514"/>
      <c r="R214" s="4518"/>
      <c r="S214" s="3311"/>
      <c r="T214" s="1850"/>
      <c r="U214" s="1848">
        <v>4529000132</v>
      </c>
      <c r="V214" s="2432" t="s">
        <v>1654</v>
      </c>
      <c r="W214" s="2433">
        <v>10</v>
      </c>
      <c r="X214" s="2434" t="s">
        <v>269</v>
      </c>
      <c r="Y214" s="3132">
        <v>20</v>
      </c>
      <c r="Z214" s="3132">
        <f t="shared" si="15"/>
        <v>200</v>
      </c>
      <c r="AA214" s="3214">
        <f t="shared" si="16"/>
        <v>224.00000000000003</v>
      </c>
      <c r="AB214" s="3638"/>
      <c r="AC214" s="3637"/>
      <c r="AD214" s="3206" t="s">
        <v>251</v>
      </c>
      <c r="AE214" s="3206"/>
      <c r="AF214" s="5301"/>
    </row>
    <row r="215" spans="1:32">
      <c r="A215" s="4564"/>
      <c r="B215" s="4570"/>
      <c r="C215" s="4545"/>
      <c r="D215" s="4514"/>
      <c r="E215" s="4514"/>
      <c r="F215" s="4514"/>
      <c r="G215" s="4514"/>
      <c r="H215" s="4514"/>
      <c r="I215" s="4514"/>
      <c r="J215" s="4514"/>
      <c r="K215" s="4514"/>
      <c r="L215" s="4514"/>
      <c r="M215" s="4901"/>
      <c r="N215" s="4901"/>
      <c r="O215" s="4901"/>
      <c r="P215" s="4514"/>
      <c r="Q215" s="4514"/>
      <c r="R215" s="4518"/>
      <c r="S215" s="3311"/>
      <c r="T215" s="1850"/>
      <c r="U215" s="1848">
        <v>4529000132</v>
      </c>
      <c r="V215" s="2432" t="s">
        <v>1655</v>
      </c>
      <c r="W215" s="2433">
        <v>5</v>
      </c>
      <c r="X215" s="2434" t="s">
        <v>269</v>
      </c>
      <c r="Y215" s="3132">
        <v>84</v>
      </c>
      <c r="Z215" s="3132">
        <f t="shared" si="15"/>
        <v>420</v>
      </c>
      <c r="AA215" s="3214">
        <f t="shared" si="16"/>
        <v>470.40000000000003</v>
      </c>
      <c r="AB215" s="3638"/>
      <c r="AC215" s="3637"/>
      <c r="AD215" s="3206" t="s">
        <v>251</v>
      </c>
      <c r="AE215" s="3206"/>
      <c r="AF215" s="5301"/>
    </row>
    <row r="216" spans="1:32" ht="25.5">
      <c r="A216" s="4564"/>
      <c r="B216" s="4570"/>
      <c r="C216" s="4545"/>
      <c r="D216" s="4514"/>
      <c r="E216" s="4514"/>
      <c r="F216" s="4514"/>
      <c r="G216" s="4514"/>
      <c r="H216" s="4514"/>
      <c r="I216" s="4514"/>
      <c r="J216" s="4514"/>
      <c r="K216" s="4514"/>
      <c r="L216" s="4514"/>
      <c r="M216" s="4901"/>
      <c r="N216" s="4901"/>
      <c r="O216" s="4901"/>
      <c r="P216" s="4514"/>
      <c r="Q216" s="4514"/>
      <c r="R216" s="4518"/>
      <c r="S216" s="3311"/>
      <c r="T216" s="1850"/>
      <c r="U216" s="1848">
        <v>461220011</v>
      </c>
      <c r="V216" s="2432" t="s">
        <v>6041</v>
      </c>
      <c r="W216" s="2433">
        <v>10</v>
      </c>
      <c r="X216" s="2434" t="s">
        <v>269</v>
      </c>
      <c r="Y216" s="3132">
        <v>63</v>
      </c>
      <c r="Z216" s="3132">
        <f t="shared" si="15"/>
        <v>630</v>
      </c>
      <c r="AA216" s="3214">
        <f t="shared" si="16"/>
        <v>705.6</v>
      </c>
      <c r="AB216" s="3638"/>
      <c r="AC216" s="3637"/>
      <c r="AD216" s="3206" t="s">
        <v>251</v>
      </c>
      <c r="AE216" s="3206"/>
      <c r="AF216" s="5301"/>
    </row>
    <row r="217" spans="1:32">
      <c r="A217" s="4564"/>
      <c r="B217" s="4570"/>
      <c r="C217" s="4545"/>
      <c r="D217" s="4514"/>
      <c r="E217" s="4514"/>
      <c r="F217" s="4514"/>
      <c r="G217" s="4514"/>
      <c r="H217" s="4514"/>
      <c r="I217" s="4514"/>
      <c r="J217" s="4514"/>
      <c r="K217" s="4514"/>
      <c r="L217" s="4514"/>
      <c r="M217" s="4901"/>
      <c r="N217" s="4901"/>
      <c r="O217" s="4901"/>
      <c r="P217" s="4514"/>
      <c r="Q217" s="4514"/>
      <c r="R217" s="4518"/>
      <c r="S217" s="3311"/>
      <c r="T217" s="1850"/>
      <c r="U217" s="1848">
        <v>452900019</v>
      </c>
      <c r="V217" s="2432" t="s">
        <v>6050</v>
      </c>
      <c r="W217" s="2433">
        <v>3</v>
      </c>
      <c r="X217" s="2434" t="s">
        <v>269</v>
      </c>
      <c r="Y217" s="3132">
        <v>86.06</v>
      </c>
      <c r="Z217" s="3132">
        <f t="shared" si="15"/>
        <v>258.18</v>
      </c>
      <c r="AA217" s="3214">
        <f t="shared" si="16"/>
        <v>289.16160000000002</v>
      </c>
      <c r="AB217" s="3638"/>
      <c r="AC217" s="3637"/>
      <c r="AD217" s="3206" t="s">
        <v>251</v>
      </c>
      <c r="AE217" s="3206"/>
      <c r="AF217" s="5301"/>
    </row>
    <row r="218" spans="1:32">
      <c r="A218" s="4564"/>
      <c r="B218" s="4570"/>
      <c r="C218" s="4545"/>
      <c r="D218" s="4514"/>
      <c r="E218" s="4514"/>
      <c r="F218" s="4514"/>
      <c r="G218" s="4514"/>
      <c r="H218" s="4514"/>
      <c r="I218" s="4514"/>
      <c r="J218" s="4514"/>
      <c r="K218" s="4514"/>
      <c r="L218" s="4525"/>
      <c r="M218" s="4902"/>
      <c r="N218" s="4902"/>
      <c r="O218" s="4902"/>
      <c r="P218" s="4525"/>
      <c r="Q218" s="4525"/>
      <c r="R218" s="4528"/>
      <c r="S218" s="3314"/>
      <c r="T218" s="2458"/>
      <c r="U218" s="2495"/>
      <c r="V218" s="2459"/>
      <c r="W218" s="2460"/>
      <c r="X218" s="2461"/>
      <c r="Y218" s="3168"/>
      <c r="Z218" s="3168"/>
      <c r="AA218" s="3291"/>
      <c r="AB218" s="4118"/>
      <c r="AC218" s="4037"/>
      <c r="AD218" s="4119"/>
      <c r="AE218" s="4119"/>
      <c r="AF218" s="5302"/>
    </row>
    <row r="219" spans="1:32">
      <c r="A219" s="4564"/>
      <c r="B219" s="4570"/>
      <c r="C219" s="4545"/>
      <c r="D219" s="4514"/>
      <c r="E219" s="4514"/>
      <c r="F219" s="4514"/>
      <c r="G219" s="4514"/>
      <c r="H219" s="4514"/>
      <c r="I219" s="4514"/>
      <c r="J219" s="4514"/>
      <c r="K219" s="4514"/>
      <c r="L219" s="4377" t="s">
        <v>1656</v>
      </c>
      <c r="M219" s="4392">
        <v>4</v>
      </c>
      <c r="N219" s="4392">
        <v>8</v>
      </c>
      <c r="O219" s="4392">
        <v>9</v>
      </c>
      <c r="P219" s="4377" t="s">
        <v>1657</v>
      </c>
      <c r="Q219" s="4377" t="s">
        <v>1658</v>
      </c>
      <c r="R219" s="4903" t="s">
        <v>6086</v>
      </c>
      <c r="S219" s="3310" t="s">
        <v>17</v>
      </c>
      <c r="T219" s="2466">
        <v>840104</v>
      </c>
      <c r="U219" s="2496"/>
      <c r="V219" s="4065" t="s">
        <v>24</v>
      </c>
      <c r="W219" s="4131"/>
      <c r="X219" s="4132"/>
      <c r="Y219" s="3164"/>
      <c r="Z219" s="3164"/>
      <c r="AA219" s="3633"/>
      <c r="AB219" s="3634">
        <f>SUM($AA$220:$AA$225)</f>
        <v>10584.000000000002</v>
      </c>
      <c r="AC219" s="3632"/>
      <c r="AD219" s="4120"/>
      <c r="AE219" s="4120"/>
      <c r="AF219" s="5217" t="s">
        <v>1659</v>
      </c>
    </row>
    <row r="220" spans="1:32">
      <c r="A220" s="4564"/>
      <c r="B220" s="4570"/>
      <c r="C220" s="4545"/>
      <c r="D220" s="4514"/>
      <c r="E220" s="4514"/>
      <c r="F220" s="4514"/>
      <c r="G220" s="4514"/>
      <c r="H220" s="4514"/>
      <c r="I220" s="4514"/>
      <c r="J220" s="4514"/>
      <c r="K220" s="4514"/>
      <c r="L220" s="4514"/>
      <c r="M220" s="4901"/>
      <c r="N220" s="4901"/>
      <c r="O220" s="4901"/>
      <c r="P220" s="4514"/>
      <c r="Q220" s="4514"/>
      <c r="R220" s="4518"/>
      <c r="S220" s="3311"/>
      <c r="T220" s="1850"/>
      <c r="U220" s="1848">
        <v>4812001113</v>
      </c>
      <c r="V220" s="2432" t="s">
        <v>1660</v>
      </c>
      <c r="W220" s="2433">
        <v>1</v>
      </c>
      <c r="X220" s="2434" t="s">
        <v>269</v>
      </c>
      <c r="Y220" s="3132">
        <v>1500</v>
      </c>
      <c r="Z220" s="3132">
        <f t="shared" ref="Z220:Z225" si="17">+W220*Y220</f>
        <v>1500</v>
      </c>
      <c r="AA220" s="3214">
        <f t="shared" ref="AA220:AA225" si="18">+Z220*1.12</f>
        <v>1680.0000000000002</v>
      </c>
      <c r="AB220" s="3638"/>
      <c r="AC220" s="3637"/>
      <c r="AD220" s="3206" t="s">
        <v>251</v>
      </c>
      <c r="AE220" s="3206"/>
      <c r="AF220" s="5301"/>
    </row>
    <row r="221" spans="1:32">
      <c r="A221" s="4564"/>
      <c r="B221" s="4570"/>
      <c r="C221" s="4545"/>
      <c r="D221" s="4514"/>
      <c r="E221" s="4514"/>
      <c r="F221" s="4514"/>
      <c r="G221" s="4514"/>
      <c r="H221" s="4514"/>
      <c r="I221" s="4514"/>
      <c r="J221" s="4514"/>
      <c r="K221" s="4514"/>
      <c r="L221" s="4514"/>
      <c r="M221" s="4901"/>
      <c r="N221" s="4901"/>
      <c r="O221" s="4901"/>
      <c r="P221" s="4514"/>
      <c r="Q221" s="4514"/>
      <c r="R221" s="4518"/>
      <c r="S221" s="3311"/>
      <c r="T221" s="1850"/>
      <c r="U221" s="1848">
        <v>481300914</v>
      </c>
      <c r="V221" s="2432" t="s">
        <v>6051</v>
      </c>
      <c r="W221" s="2433">
        <v>1</v>
      </c>
      <c r="X221" s="2434" t="s">
        <v>269</v>
      </c>
      <c r="Y221" s="3132">
        <v>3100</v>
      </c>
      <c r="Z221" s="3132">
        <f t="shared" si="17"/>
        <v>3100</v>
      </c>
      <c r="AA221" s="3214">
        <f t="shared" si="18"/>
        <v>3472.0000000000005</v>
      </c>
      <c r="AB221" s="3638"/>
      <c r="AC221" s="3637"/>
      <c r="AD221" s="3206" t="s">
        <v>251</v>
      </c>
      <c r="AE221" s="3206"/>
      <c r="AF221" s="5301"/>
    </row>
    <row r="222" spans="1:32">
      <c r="A222" s="4564"/>
      <c r="B222" s="4570"/>
      <c r="C222" s="4545"/>
      <c r="D222" s="4514"/>
      <c r="E222" s="4514"/>
      <c r="F222" s="4514"/>
      <c r="G222" s="4514"/>
      <c r="H222" s="4514"/>
      <c r="I222" s="4514"/>
      <c r="J222" s="4514"/>
      <c r="K222" s="4514"/>
      <c r="L222" s="4514"/>
      <c r="M222" s="4901"/>
      <c r="N222" s="4901"/>
      <c r="O222" s="4901"/>
      <c r="P222" s="4514"/>
      <c r="Q222" s="4514"/>
      <c r="R222" s="4518"/>
      <c r="S222" s="3311"/>
      <c r="T222" s="1850"/>
      <c r="U222" s="1848">
        <v>481500916</v>
      </c>
      <c r="V222" s="2432" t="s">
        <v>1661</v>
      </c>
      <c r="W222" s="2433">
        <v>1</v>
      </c>
      <c r="X222" s="2434" t="s">
        <v>269</v>
      </c>
      <c r="Y222" s="3132">
        <v>4400</v>
      </c>
      <c r="Z222" s="3132">
        <f t="shared" si="17"/>
        <v>4400</v>
      </c>
      <c r="AA222" s="3214">
        <f t="shared" si="18"/>
        <v>4928.0000000000009</v>
      </c>
      <c r="AB222" s="3638"/>
      <c r="AC222" s="3637"/>
      <c r="AD222" s="3206" t="s">
        <v>251</v>
      </c>
      <c r="AE222" s="3206"/>
      <c r="AF222" s="5301"/>
    </row>
    <row r="223" spans="1:32">
      <c r="A223" s="4564"/>
      <c r="B223" s="4570"/>
      <c r="C223" s="4545"/>
      <c r="D223" s="4514"/>
      <c r="E223" s="4514"/>
      <c r="F223" s="4514"/>
      <c r="G223" s="4514"/>
      <c r="H223" s="4514"/>
      <c r="I223" s="4514"/>
      <c r="J223" s="4514"/>
      <c r="K223" s="4514"/>
      <c r="L223" s="4514"/>
      <c r="M223" s="4901"/>
      <c r="N223" s="4901"/>
      <c r="O223" s="4901"/>
      <c r="P223" s="4514"/>
      <c r="Q223" s="4514"/>
      <c r="R223" s="4518"/>
      <c r="S223" s="3311"/>
      <c r="T223" s="1850"/>
      <c r="U223" s="1848">
        <v>352901092</v>
      </c>
      <c r="V223" s="2432" t="s">
        <v>1662</v>
      </c>
      <c r="W223" s="2433">
        <v>1</v>
      </c>
      <c r="X223" s="2434" t="s">
        <v>269</v>
      </c>
      <c r="Y223" s="3132">
        <v>100</v>
      </c>
      <c r="Z223" s="3132">
        <f t="shared" si="17"/>
        <v>100</v>
      </c>
      <c r="AA223" s="3214">
        <f t="shared" si="18"/>
        <v>112.00000000000001</v>
      </c>
      <c r="AB223" s="3638"/>
      <c r="AC223" s="3637"/>
      <c r="AD223" s="3206" t="s">
        <v>251</v>
      </c>
      <c r="AE223" s="3206"/>
      <c r="AF223" s="5301"/>
    </row>
    <row r="224" spans="1:32">
      <c r="A224" s="4564"/>
      <c r="B224" s="4570"/>
      <c r="C224" s="4545"/>
      <c r="D224" s="4514"/>
      <c r="E224" s="4514"/>
      <c r="F224" s="4514"/>
      <c r="G224" s="4514"/>
      <c r="H224" s="4514"/>
      <c r="I224" s="4514"/>
      <c r="J224" s="4514"/>
      <c r="K224" s="4514"/>
      <c r="L224" s="4514"/>
      <c r="M224" s="4901"/>
      <c r="N224" s="4901"/>
      <c r="O224" s="4901"/>
      <c r="P224" s="4514"/>
      <c r="Q224" s="4514"/>
      <c r="R224" s="4518"/>
      <c r="S224" s="3311"/>
      <c r="T224" s="1850"/>
      <c r="U224" s="1848">
        <v>352901092</v>
      </c>
      <c r="V224" s="2432" t="s">
        <v>1663</v>
      </c>
      <c r="W224" s="2433">
        <v>1</v>
      </c>
      <c r="X224" s="2434" t="s">
        <v>269</v>
      </c>
      <c r="Y224" s="3132">
        <v>225</v>
      </c>
      <c r="Z224" s="3132">
        <f t="shared" si="17"/>
        <v>225</v>
      </c>
      <c r="AA224" s="3214">
        <f t="shared" si="18"/>
        <v>252.00000000000003</v>
      </c>
      <c r="AB224" s="3638"/>
      <c r="AC224" s="3637"/>
      <c r="AD224" s="3206" t="s">
        <v>251</v>
      </c>
      <c r="AE224" s="3206"/>
      <c r="AF224" s="5301"/>
    </row>
    <row r="225" spans="1:32" ht="25.5">
      <c r="A225" s="4564"/>
      <c r="B225" s="4570"/>
      <c r="C225" s="4545"/>
      <c r="D225" s="4514"/>
      <c r="E225" s="4514"/>
      <c r="F225" s="4514"/>
      <c r="G225" s="4514"/>
      <c r="H225" s="4514"/>
      <c r="I225" s="4514"/>
      <c r="J225" s="4514"/>
      <c r="K225" s="4514"/>
      <c r="L225" s="4514"/>
      <c r="M225" s="4901"/>
      <c r="N225" s="4901"/>
      <c r="O225" s="4901"/>
      <c r="P225" s="4514"/>
      <c r="Q225" s="4514"/>
      <c r="R225" s="4518"/>
      <c r="S225" s="3311"/>
      <c r="T225" s="1850"/>
      <c r="U225" s="1848">
        <v>352901092</v>
      </c>
      <c r="V225" s="2432" t="s">
        <v>1664</v>
      </c>
      <c r="W225" s="2433">
        <v>1</v>
      </c>
      <c r="X225" s="2434" t="s">
        <v>269</v>
      </c>
      <c r="Y225" s="3132">
        <v>125</v>
      </c>
      <c r="Z225" s="3132">
        <f t="shared" si="17"/>
        <v>125</v>
      </c>
      <c r="AA225" s="3214">
        <f t="shared" si="18"/>
        <v>140</v>
      </c>
      <c r="AB225" s="3638"/>
      <c r="AC225" s="3637"/>
      <c r="AD225" s="3206" t="s">
        <v>251</v>
      </c>
      <c r="AE225" s="3206"/>
      <c r="AF225" s="5301"/>
    </row>
    <row r="226" spans="1:32">
      <c r="A226" s="4564"/>
      <c r="B226" s="4570"/>
      <c r="C226" s="4545"/>
      <c r="D226" s="4514"/>
      <c r="E226" s="4514"/>
      <c r="F226" s="4514"/>
      <c r="G226" s="4514"/>
      <c r="H226" s="4514"/>
      <c r="I226" s="4514"/>
      <c r="J226" s="4514"/>
      <c r="K226" s="4514"/>
      <c r="L226" s="4514"/>
      <c r="M226" s="4901"/>
      <c r="N226" s="4901"/>
      <c r="O226" s="4901"/>
      <c r="P226" s="4514"/>
      <c r="Q226" s="4514"/>
      <c r="R226" s="4518"/>
      <c r="S226" s="3311"/>
      <c r="T226" s="1850"/>
      <c r="U226" s="1848"/>
      <c r="V226" s="2441"/>
      <c r="W226" s="2433"/>
      <c r="X226" s="2434"/>
      <c r="Y226" s="3132"/>
      <c r="Z226" s="3132"/>
      <c r="AA226" s="3214"/>
      <c r="AB226" s="3638"/>
      <c r="AC226" s="3637"/>
      <c r="AD226" s="3206"/>
      <c r="AE226" s="3206"/>
      <c r="AF226" s="5301"/>
    </row>
    <row r="227" spans="1:32">
      <c r="A227" s="4564"/>
      <c r="B227" s="4570"/>
      <c r="C227" s="4545"/>
      <c r="D227" s="4514"/>
      <c r="E227" s="4514"/>
      <c r="F227" s="4514"/>
      <c r="G227" s="4514"/>
      <c r="H227" s="4514"/>
      <c r="I227" s="4514"/>
      <c r="J227" s="4514"/>
      <c r="K227" s="4514"/>
      <c r="L227" s="4514"/>
      <c r="M227" s="4901"/>
      <c r="N227" s="4901"/>
      <c r="O227" s="4901"/>
      <c r="P227" s="4514"/>
      <c r="Q227" s="4514"/>
      <c r="R227" s="4518"/>
      <c r="S227" s="3311" t="s">
        <v>17</v>
      </c>
      <c r="T227" s="1850">
        <v>531404</v>
      </c>
      <c r="U227" s="1848"/>
      <c r="V227" s="2441" t="s">
        <v>24</v>
      </c>
      <c r="W227" s="2433"/>
      <c r="X227" s="2434"/>
      <c r="Y227" s="3132"/>
      <c r="Z227" s="3132"/>
      <c r="AA227" s="3214"/>
      <c r="AB227" s="3638">
        <f>SUM($AA$228)</f>
        <v>67.2</v>
      </c>
      <c r="AC227" s="3637"/>
      <c r="AD227" s="3206"/>
      <c r="AE227" s="3206"/>
      <c r="AF227" s="5301"/>
    </row>
    <row r="228" spans="1:32">
      <c r="A228" s="4564"/>
      <c r="B228" s="4570"/>
      <c r="C228" s="4545"/>
      <c r="D228" s="4514"/>
      <c r="E228" s="4514"/>
      <c r="F228" s="4514"/>
      <c r="G228" s="4514"/>
      <c r="H228" s="4514"/>
      <c r="I228" s="4514"/>
      <c r="J228" s="4514"/>
      <c r="K228" s="4514"/>
      <c r="L228" s="4514"/>
      <c r="M228" s="4901"/>
      <c r="N228" s="4901"/>
      <c r="O228" s="4901"/>
      <c r="P228" s="4514"/>
      <c r="Q228" s="4514"/>
      <c r="R228" s="4518"/>
      <c r="S228" s="3311"/>
      <c r="T228" s="1891"/>
      <c r="U228" s="1849">
        <v>352901092</v>
      </c>
      <c r="V228" s="1883" t="s">
        <v>1665</v>
      </c>
      <c r="W228" s="1864">
        <v>1</v>
      </c>
      <c r="X228" s="2434" t="s">
        <v>269</v>
      </c>
      <c r="Y228" s="3214">
        <v>60</v>
      </c>
      <c r="Z228" s="3214">
        <f>+W228*Y228</f>
        <v>60</v>
      </c>
      <c r="AA228" s="3214">
        <f>+Z228*1.12</f>
        <v>67.2</v>
      </c>
      <c r="AB228" s="3638"/>
      <c r="AC228" s="3637"/>
      <c r="AD228" s="3206" t="s">
        <v>251</v>
      </c>
      <c r="AE228" s="3206"/>
      <c r="AF228" s="5301"/>
    </row>
    <row r="229" spans="1:32">
      <c r="A229" s="4564"/>
      <c r="B229" s="4570"/>
      <c r="C229" s="4545"/>
      <c r="D229" s="4514"/>
      <c r="E229" s="4514"/>
      <c r="F229" s="4514"/>
      <c r="G229" s="4514"/>
      <c r="H229" s="4514"/>
      <c r="I229" s="4514"/>
      <c r="J229" s="4514"/>
      <c r="K229" s="4514"/>
      <c r="L229" s="4515"/>
      <c r="M229" s="5222"/>
      <c r="N229" s="5222"/>
      <c r="O229" s="5222"/>
      <c r="P229" s="4515"/>
      <c r="Q229" s="4515"/>
      <c r="R229" s="4519"/>
      <c r="S229" s="3312"/>
      <c r="T229" s="3819"/>
      <c r="U229" s="3268"/>
      <c r="V229" s="3837"/>
      <c r="W229" s="3280"/>
      <c r="X229" s="4133"/>
      <c r="Y229" s="3282"/>
      <c r="Z229" s="3282"/>
      <c r="AA229" s="3282"/>
      <c r="AB229" s="3282"/>
      <c r="AC229" s="4133"/>
      <c r="AD229" s="4133"/>
      <c r="AE229" s="4117"/>
      <c r="AF229" s="5303"/>
    </row>
    <row r="230" spans="1:32" ht="48" customHeight="1">
      <c r="A230" s="4564"/>
      <c r="B230" s="4570"/>
      <c r="C230" s="4545"/>
      <c r="D230" s="4514"/>
      <c r="E230" s="4514"/>
      <c r="F230" s="4514"/>
      <c r="G230" s="4514"/>
      <c r="H230" s="4514"/>
      <c r="I230" s="4514"/>
      <c r="J230" s="4514"/>
      <c r="K230" s="4514"/>
      <c r="L230" s="4395" t="s">
        <v>1666</v>
      </c>
      <c r="M230" s="4401">
        <v>3</v>
      </c>
      <c r="N230" s="4401">
        <v>5</v>
      </c>
      <c r="O230" s="4401">
        <v>5</v>
      </c>
      <c r="P230" s="4395" t="s">
        <v>1667</v>
      </c>
      <c r="Q230" s="4395" t="s">
        <v>1668</v>
      </c>
      <c r="R230" s="4897" t="s">
        <v>6087</v>
      </c>
      <c r="S230" s="3313" t="s">
        <v>39</v>
      </c>
      <c r="T230" s="3071">
        <v>531407</v>
      </c>
      <c r="U230" s="3274"/>
      <c r="V230" s="4069" t="s">
        <v>20</v>
      </c>
      <c r="W230" s="4070"/>
      <c r="X230" s="4033"/>
      <c r="Y230" s="3295"/>
      <c r="Z230" s="3295"/>
      <c r="AA230" s="3295"/>
      <c r="AB230" s="4115">
        <f>SUM($AA$231:$AA$233)</f>
        <v>70.56</v>
      </c>
      <c r="AC230" s="4033"/>
      <c r="AD230" s="4116"/>
      <c r="AE230" s="4116"/>
      <c r="AF230" s="5209" t="s">
        <v>1669</v>
      </c>
    </row>
    <row r="231" spans="1:32" ht="48" customHeight="1">
      <c r="A231" s="4564"/>
      <c r="B231" s="4570"/>
      <c r="C231" s="4545"/>
      <c r="D231" s="4514"/>
      <c r="E231" s="4514"/>
      <c r="F231" s="4514"/>
      <c r="G231" s="4514"/>
      <c r="H231" s="4514"/>
      <c r="I231" s="4514"/>
      <c r="J231" s="4514"/>
      <c r="K231" s="4514"/>
      <c r="L231" s="4514"/>
      <c r="M231" s="4901"/>
      <c r="N231" s="4901"/>
      <c r="O231" s="4901"/>
      <c r="P231" s="4514"/>
      <c r="Q231" s="4514"/>
      <c r="R231" s="4518"/>
      <c r="S231" s="3311"/>
      <c r="T231" s="1891"/>
      <c r="U231" s="1849">
        <v>461220011</v>
      </c>
      <c r="V231" s="1883" t="s">
        <v>6041</v>
      </c>
      <c r="W231" s="1864">
        <v>1</v>
      </c>
      <c r="X231" s="2434" t="s">
        <v>269</v>
      </c>
      <c r="Y231" s="3214">
        <v>63</v>
      </c>
      <c r="Z231" s="3214">
        <f t="shared" ref="Z231" si="19">(Y231*W231)</f>
        <v>63</v>
      </c>
      <c r="AA231" s="3214">
        <f t="shared" ref="AA231" si="20">((Z231*0.12)+Z231)</f>
        <v>70.56</v>
      </c>
      <c r="AB231" s="3638"/>
      <c r="AC231" s="3637"/>
      <c r="AD231" s="3206" t="s">
        <v>251</v>
      </c>
      <c r="AE231" s="3206"/>
      <c r="AF231" s="5301"/>
    </row>
    <row r="232" spans="1:32" ht="48" customHeight="1">
      <c r="A232" s="4564"/>
      <c r="B232" s="4570"/>
      <c r="C232" s="4545"/>
      <c r="D232" s="4514"/>
      <c r="E232" s="4514"/>
      <c r="F232" s="4514"/>
      <c r="G232" s="4514"/>
      <c r="H232" s="4514"/>
      <c r="I232" s="4514"/>
      <c r="J232" s="4514"/>
      <c r="K232" s="4514"/>
      <c r="L232" s="4514"/>
      <c r="M232" s="4901"/>
      <c r="N232" s="4901"/>
      <c r="O232" s="4901"/>
      <c r="P232" s="4514"/>
      <c r="Q232" s="4514"/>
      <c r="R232" s="4518"/>
      <c r="S232" s="3311"/>
      <c r="T232" s="1891"/>
      <c r="U232" s="1849"/>
      <c r="V232" s="1883"/>
      <c r="W232" s="1864"/>
      <c r="X232" s="3637"/>
      <c r="Y232" s="3214"/>
      <c r="Z232" s="3214"/>
      <c r="AA232" s="3214"/>
      <c r="AB232" s="3638"/>
      <c r="AC232" s="3637"/>
      <c r="AD232" s="3206"/>
      <c r="AE232" s="3206"/>
      <c r="AF232" s="5301"/>
    </row>
    <row r="233" spans="1:32" ht="48" customHeight="1">
      <c r="A233" s="4564"/>
      <c r="B233" s="4570"/>
      <c r="C233" s="4545"/>
      <c r="D233" s="4514"/>
      <c r="E233" s="4514"/>
      <c r="F233" s="4514"/>
      <c r="G233" s="4514"/>
      <c r="H233" s="4514"/>
      <c r="I233" s="4514"/>
      <c r="J233" s="4514"/>
      <c r="K233" s="4514"/>
      <c r="L233" s="4514"/>
      <c r="M233" s="4901"/>
      <c r="N233" s="4901"/>
      <c r="O233" s="4901"/>
      <c r="P233" s="4514"/>
      <c r="Q233" s="4514"/>
      <c r="R233" s="4518"/>
      <c r="S233" s="3311"/>
      <c r="T233" s="1891"/>
      <c r="U233" s="1849"/>
      <c r="V233" s="3789"/>
      <c r="W233" s="1864"/>
      <c r="X233" s="3637"/>
      <c r="Y233" s="3214"/>
      <c r="Z233" s="3214"/>
      <c r="AA233" s="3214"/>
      <c r="AB233" s="3638"/>
      <c r="AC233" s="3637"/>
      <c r="AD233" s="3206"/>
      <c r="AE233" s="3206"/>
      <c r="AF233" s="5301"/>
    </row>
    <row r="234" spans="1:32" ht="48" customHeight="1">
      <c r="A234" s="4564"/>
      <c r="B234" s="4570"/>
      <c r="C234" s="4545"/>
      <c r="D234" s="4514"/>
      <c r="E234" s="4514"/>
      <c r="F234" s="4514"/>
      <c r="G234" s="4514"/>
      <c r="H234" s="4514"/>
      <c r="I234" s="4514"/>
      <c r="J234" s="4514"/>
      <c r="K234" s="4514"/>
      <c r="L234" s="4525"/>
      <c r="M234" s="4902"/>
      <c r="N234" s="4902"/>
      <c r="O234" s="4902"/>
      <c r="P234" s="4525"/>
      <c r="Q234" s="4525"/>
      <c r="R234" s="4528"/>
      <c r="S234" s="3314"/>
      <c r="T234" s="3821"/>
      <c r="U234" s="3271"/>
      <c r="V234" s="3822"/>
      <c r="W234" s="3254"/>
      <c r="X234" s="4037"/>
      <c r="Y234" s="3291"/>
      <c r="Z234" s="3291"/>
      <c r="AA234" s="3291"/>
      <c r="AB234" s="4118"/>
      <c r="AC234" s="4037"/>
      <c r="AD234" s="4119"/>
      <c r="AE234" s="4119"/>
      <c r="AF234" s="5302"/>
    </row>
    <row r="235" spans="1:32" ht="28.5" customHeight="1">
      <c r="A235" s="4564"/>
      <c r="B235" s="4570"/>
      <c r="C235" s="4545"/>
      <c r="D235" s="4514"/>
      <c r="E235" s="4514"/>
      <c r="F235" s="4514"/>
      <c r="G235" s="4514"/>
      <c r="H235" s="4514"/>
      <c r="I235" s="4514"/>
      <c r="J235" s="4514"/>
      <c r="K235" s="4514"/>
      <c r="L235" s="4377" t="s">
        <v>1670</v>
      </c>
      <c r="M235" s="4392">
        <v>10</v>
      </c>
      <c r="N235" s="4392">
        <v>10</v>
      </c>
      <c r="O235" s="4392">
        <v>10</v>
      </c>
      <c r="P235" s="4377" t="s">
        <v>1671</v>
      </c>
      <c r="Q235" s="4377" t="s">
        <v>1672</v>
      </c>
      <c r="R235" s="4903" t="s">
        <v>6088</v>
      </c>
      <c r="S235" s="3310" t="s">
        <v>39</v>
      </c>
      <c r="T235" s="3270">
        <v>531407</v>
      </c>
      <c r="U235" s="3272"/>
      <c r="V235" s="4068" t="s">
        <v>20</v>
      </c>
      <c r="W235" s="4071"/>
      <c r="X235" s="3632"/>
      <c r="Y235" s="3633"/>
      <c r="Z235" s="3633"/>
      <c r="AA235" s="3633"/>
      <c r="AB235" s="3634">
        <f>SUM($AA$236)</f>
        <v>70.56</v>
      </c>
      <c r="AC235" s="3632"/>
      <c r="AD235" s="4120"/>
      <c r="AE235" s="4120"/>
      <c r="AF235" s="5217" t="s">
        <v>1673</v>
      </c>
    </row>
    <row r="236" spans="1:32" ht="28.5" customHeight="1">
      <c r="A236" s="4564"/>
      <c r="B236" s="4570"/>
      <c r="C236" s="4545"/>
      <c r="D236" s="4514"/>
      <c r="E236" s="4514"/>
      <c r="F236" s="4514"/>
      <c r="G236" s="4514"/>
      <c r="H236" s="4514"/>
      <c r="I236" s="4514"/>
      <c r="J236" s="4514"/>
      <c r="K236" s="4514"/>
      <c r="L236" s="4514"/>
      <c r="M236" s="4901"/>
      <c r="N236" s="4901"/>
      <c r="O236" s="4901"/>
      <c r="P236" s="4514"/>
      <c r="Q236" s="4514"/>
      <c r="R236" s="4518"/>
      <c r="S236" s="3311"/>
      <c r="T236" s="1891"/>
      <c r="U236" s="1849">
        <v>461220011</v>
      </c>
      <c r="V236" s="1883" t="s">
        <v>6052</v>
      </c>
      <c r="W236" s="1864">
        <v>1</v>
      </c>
      <c r="X236" s="3637" t="s">
        <v>269</v>
      </c>
      <c r="Y236" s="3214">
        <v>63</v>
      </c>
      <c r="Z236" s="3214">
        <f>(Y236*W236)</f>
        <v>63</v>
      </c>
      <c r="AA236" s="3214">
        <f>((Z236*0.12)+Z236)</f>
        <v>70.56</v>
      </c>
      <c r="AB236" s="3638"/>
      <c r="AC236" s="3637"/>
      <c r="AD236" s="3206" t="s">
        <v>251</v>
      </c>
      <c r="AE236" s="3206"/>
      <c r="AF236" s="5301"/>
    </row>
    <row r="237" spans="1:32" ht="28.5" customHeight="1">
      <c r="A237" s="4564"/>
      <c r="B237" s="4570"/>
      <c r="C237" s="4545"/>
      <c r="D237" s="4514"/>
      <c r="E237" s="4514"/>
      <c r="F237" s="4514"/>
      <c r="G237" s="4514"/>
      <c r="H237" s="4514"/>
      <c r="I237" s="4514"/>
      <c r="J237" s="4514"/>
      <c r="K237" s="4514"/>
      <c r="L237" s="4514"/>
      <c r="M237" s="4901"/>
      <c r="N237" s="4901"/>
      <c r="O237" s="4901"/>
      <c r="P237" s="4514"/>
      <c r="Q237" s="4514"/>
      <c r="R237" s="4518"/>
      <c r="S237" s="3311"/>
      <c r="T237" s="1891"/>
      <c r="U237" s="1849"/>
      <c r="V237" s="3789"/>
      <c r="W237" s="1864"/>
      <c r="X237" s="3637"/>
      <c r="Y237" s="3214"/>
      <c r="Z237" s="3214"/>
      <c r="AA237" s="3214"/>
      <c r="AB237" s="3638"/>
      <c r="AC237" s="3637"/>
      <c r="AD237" s="3206"/>
      <c r="AE237" s="3206"/>
      <c r="AF237" s="5301"/>
    </row>
    <row r="238" spans="1:32" ht="28.5" customHeight="1">
      <c r="A238" s="4564"/>
      <c r="B238" s="4570"/>
      <c r="C238" s="4545"/>
      <c r="D238" s="4514"/>
      <c r="E238" s="4514"/>
      <c r="F238" s="4514"/>
      <c r="G238" s="4514"/>
      <c r="H238" s="4514"/>
      <c r="I238" s="4514"/>
      <c r="J238" s="4514"/>
      <c r="K238" s="4514"/>
      <c r="L238" s="4514"/>
      <c r="M238" s="4901"/>
      <c r="N238" s="4901"/>
      <c r="O238" s="4901"/>
      <c r="P238" s="4514"/>
      <c r="Q238" s="4514"/>
      <c r="R238" s="4518"/>
      <c r="S238" s="3311" t="s">
        <v>17</v>
      </c>
      <c r="T238" s="1891">
        <v>531404</v>
      </c>
      <c r="U238" s="1849"/>
      <c r="V238" s="3789" t="s">
        <v>24</v>
      </c>
      <c r="W238" s="1864"/>
      <c r="X238" s="3637"/>
      <c r="Y238" s="3214"/>
      <c r="Z238" s="3214"/>
      <c r="AA238" s="3214"/>
      <c r="AB238" s="3638">
        <f>SUM($AA$239)</f>
        <v>50.4</v>
      </c>
      <c r="AC238" s="3637"/>
      <c r="AD238" s="3206"/>
      <c r="AE238" s="3206"/>
      <c r="AF238" s="5301"/>
    </row>
    <row r="239" spans="1:32" ht="28.5" customHeight="1">
      <c r="A239" s="4564"/>
      <c r="B239" s="4570"/>
      <c r="C239" s="4545"/>
      <c r="D239" s="4514"/>
      <c r="E239" s="4514"/>
      <c r="F239" s="4514"/>
      <c r="G239" s="4514"/>
      <c r="H239" s="4514"/>
      <c r="I239" s="4514"/>
      <c r="J239" s="4514"/>
      <c r="K239" s="4514"/>
      <c r="L239" s="4514"/>
      <c r="M239" s="4901"/>
      <c r="N239" s="4901"/>
      <c r="O239" s="4901"/>
      <c r="P239" s="4514"/>
      <c r="Q239" s="4514"/>
      <c r="R239" s="4518"/>
      <c r="S239" s="3311"/>
      <c r="T239" s="1891"/>
      <c r="U239" s="1849">
        <v>481500213</v>
      </c>
      <c r="V239" s="1883" t="s">
        <v>6053</v>
      </c>
      <c r="W239" s="1864">
        <v>1</v>
      </c>
      <c r="X239" s="3637" t="s">
        <v>269</v>
      </c>
      <c r="Y239" s="3214">
        <v>45</v>
      </c>
      <c r="Z239" s="3214">
        <f>(Y239*W239)</f>
        <v>45</v>
      </c>
      <c r="AA239" s="3214">
        <f>((Z239*0.12)+Z239)</f>
        <v>50.4</v>
      </c>
      <c r="AB239" s="3638"/>
      <c r="AC239" s="3637"/>
      <c r="AD239" s="3206" t="s">
        <v>251</v>
      </c>
      <c r="AE239" s="3206"/>
      <c r="AF239" s="5301"/>
    </row>
    <row r="240" spans="1:32" ht="28.5" customHeight="1">
      <c r="A240" s="4564"/>
      <c r="B240" s="4570"/>
      <c r="C240" s="4545"/>
      <c r="D240" s="4514"/>
      <c r="E240" s="4514"/>
      <c r="F240" s="4514"/>
      <c r="G240" s="4514"/>
      <c r="H240" s="4514"/>
      <c r="I240" s="4514"/>
      <c r="J240" s="4514"/>
      <c r="K240" s="4514"/>
      <c r="L240" s="4514"/>
      <c r="M240" s="4901"/>
      <c r="N240" s="4901"/>
      <c r="O240" s="4901"/>
      <c r="P240" s="4514"/>
      <c r="Q240" s="4514"/>
      <c r="R240" s="4518"/>
      <c r="S240" s="3311"/>
      <c r="T240" s="1891"/>
      <c r="U240" s="3879"/>
      <c r="V240" s="3789"/>
      <c r="W240" s="1864"/>
      <c r="X240" s="3637"/>
      <c r="Y240" s="3214"/>
      <c r="Z240" s="3214"/>
      <c r="AA240" s="3214"/>
      <c r="AB240" s="3638"/>
      <c r="AC240" s="3637"/>
      <c r="AD240" s="3206"/>
      <c r="AE240" s="3206"/>
      <c r="AF240" s="5301"/>
    </row>
    <row r="241" spans="1:32" ht="28.5" customHeight="1">
      <c r="A241" s="4564"/>
      <c r="B241" s="4570"/>
      <c r="C241" s="4545"/>
      <c r="D241" s="4514"/>
      <c r="E241" s="4514"/>
      <c r="F241" s="4514"/>
      <c r="G241" s="4514"/>
      <c r="H241" s="4514"/>
      <c r="I241" s="4514"/>
      <c r="J241" s="4514"/>
      <c r="K241" s="4514"/>
      <c r="L241" s="4514"/>
      <c r="M241" s="4901"/>
      <c r="N241" s="4901"/>
      <c r="O241" s="4901"/>
      <c r="P241" s="4514"/>
      <c r="Q241" s="4514"/>
      <c r="R241" s="4518"/>
      <c r="S241" s="3311" t="s">
        <v>17</v>
      </c>
      <c r="T241" s="1891">
        <v>530814</v>
      </c>
      <c r="U241" s="3879"/>
      <c r="V241" s="3789" t="s">
        <v>164</v>
      </c>
      <c r="W241" s="1864"/>
      <c r="X241" s="3637"/>
      <c r="Y241" s="3214"/>
      <c r="Z241" s="3214"/>
      <c r="AA241" s="3214"/>
      <c r="AB241" s="3638">
        <f>SUM($AA$242:$AA$243)</f>
        <v>190.39999999999998</v>
      </c>
      <c r="AC241" s="3637"/>
      <c r="AD241" s="3206"/>
      <c r="AE241" s="3206"/>
      <c r="AF241" s="5301"/>
    </row>
    <row r="242" spans="1:32" ht="28.5" customHeight="1">
      <c r="A242" s="4564"/>
      <c r="B242" s="4570"/>
      <c r="C242" s="4545"/>
      <c r="D242" s="4514"/>
      <c r="E242" s="4514"/>
      <c r="F242" s="4514"/>
      <c r="G242" s="4514"/>
      <c r="H242" s="4514"/>
      <c r="I242" s="4514"/>
      <c r="J242" s="4514"/>
      <c r="K242" s="4514"/>
      <c r="L242" s="4514"/>
      <c r="M242" s="4901"/>
      <c r="N242" s="4901"/>
      <c r="O242" s="4901"/>
      <c r="P242" s="4514"/>
      <c r="Q242" s="4514"/>
      <c r="R242" s="4518"/>
      <c r="S242" s="3311"/>
      <c r="T242" s="1891"/>
      <c r="U242" s="3981" t="s">
        <v>1674</v>
      </c>
      <c r="V242" s="1883" t="s">
        <v>1675</v>
      </c>
      <c r="W242" s="1864">
        <v>2</v>
      </c>
      <c r="X242" s="3637" t="s">
        <v>269</v>
      </c>
      <c r="Y242" s="3214">
        <v>80</v>
      </c>
      <c r="Z242" s="3214">
        <f t="shared" ref="Z242:Z243" si="21">(Y242*W242)</f>
        <v>160</v>
      </c>
      <c r="AA242" s="3214">
        <f t="shared" ref="AA242:AA243" si="22">((Z242*0.12)+Z242)</f>
        <v>179.2</v>
      </c>
      <c r="AB242" s="3638"/>
      <c r="AC242" s="3637"/>
      <c r="AD242" s="3206" t="s">
        <v>251</v>
      </c>
      <c r="AE242" s="3206"/>
      <c r="AF242" s="5301"/>
    </row>
    <row r="243" spans="1:32" ht="28.5" customHeight="1">
      <c r="A243" s="4564"/>
      <c r="B243" s="4570"/>
      <c r="C243" s="4545"/>
      <c r="D243" s="4514"/>
      <c r="E243" s="4514"/>
      <c r="F243" s="4514"/>
      <c r="G243" s="4514"/>
      <c r="H243" s="4514"/>
      <c r="I243" s="4514"/>
      <c r="J243" s="4514"/>
      <c r="K243" s="4514"/>
      <c r="L243" s="4514"/>
      <c r="M243" s="4901"/>
      <c r="N243" s="4901"/>
      <c r="O243" s="4901"/>
      <c r="P243" s="4514"/>
      <c r="Q243" s="4514"/>
      <c r="R243" s="4518"/>
      <c r="S243" s="3311"/>
      <c r="T243" s="1891"/>
      <c r="U243" s="3981" t="s">
        <v>1676</v>
      </c>
      <c r="V243" s="1883" t="s">
        <v>1677</v>
      </c>
      <c r="W243" s="1864">
        <v>5</v>
      </c>
      <c r="X243" s="3637" t="s">
        <v>269</v>
      </c>
      <c r="Y243" s="3214">
        <v>2</v>
      </c>
      <c r="Z243" s="3214">
        <f t="shared" si="21"/>
        <v>10</v>
      </c>
      <c r="AA243" s="3214">
        <f t="shared" si="22"/>
        <v>11.2</v>
      </c>
      <c r="AB243" s="3638"/>
      <c r="AC243" s="3637"/>
      <c r="AD243" s="3206" t="s">
        <v>251</v>
      </c>
      <c r="AE243" s="3206"/>
      <c r="AF243" s="5301"/>
    </row>
    <row r="244" spans="1:32" ht="28.5" customHeight="1">
      <c r="A244" s="4564"/>
      <c r="B244" s="4570"/>
      <c r="C244" s="4545"/>
      <c r="D244" s="4514"/>
      <c r="E244" s="4514"/>
      <c r="F244" s="4514"/>
      <c r="G244" s="4514"/>
      <c r="H244" s="4514"/>
      <c r="I244" s="4514"/>
      <c r="J244" s="4514"/>
      <c r="K244" s="4514"/>
      <c r="L244" s="4515"/>
      <c r="M244" s="5222"/>
      <c r="N244" s="5222"/>
      <c r="O244" s="5222"/>
      <c r="P244" s="4515"/>
      <c r="Q244" s="4515"/>
      <c r="R244" s="4519"/>
      <c r="S244" s="3312"/>
      <c r="T244" s="3819"/>
      <c r="U244" s="3268"/>
      <c r="V244" s="3641"/>
      <c r="W244" s="3233"/>
      <c r="X244" s="3642"/>
      <c r="Y244" s="3282"/>
      <c r="Z244" s="3282"/>
      <c r="AA244" s="3282"/>
      <c r="AB244" s="3643"/>
      <c r="AC244" s="3642"/>
      <c r="AD244" s="4117"/>
      <c r="AE244" s="4117"/>
      <c r="AF244" s="5303"/>
    </row>
    <row r="245" spans="1:32" ht="24" customHeight="1">
      <c r="A245" s="4564"/>
      <c r="B245" s="4570"/>
      <c r="C245" s="4545"/>
      <c r="D245" s="4514"/>
      <c r="E245" s="4514"/>
      <c r="F245" s="4514"/>
      <c r="G245" s="4514"/>
      <c r="H245" s="4514"/>
      <c r="I245" s="4514"/>
      <c r="J245" s="4514"/>
      <c r="K245" s="4514"/>
      <c r="L245" s="4395" t="s">
        <v>1678</v>
      </c>
      <c r="M245" s="4401">
        <v>15</v>
      </c>
      <c r="N245" s="4401">
        <v>15</v>
      </c>
      <c r="O245" s="4401">
        <v>15</v>
      </c>
      <c r="P245" s="4395" t="s">
        <v>1679</v>
      </c>
      <c r="Q245" s="4395" t="s">
        <v>1680</v>
      </c>
      <c r="R245" s="4897" t="s">
        <v>6090</v>
      </c>
      <c r="S245" s="3313" t="s">
        <v>17</v>
      </c>
      <c r="T245" s="3071">
        <v>531404</v>
      </c>
      <c r="U245" s="3274"/>
      <c r="V245" s="4069" t="s">
        <v>24</v>
      </c>
      <c r="W245" s="4070"/>
      <c r="X245" s="4033"/>
      <c r="Y245" s="3295"/>
      <c r="Z245" s="3295"/>
      <c r="AA245" s="3295"/>
      <c r="AB245" s="4115">
        <f>SUM($AA$246)</f>
        <v>100.8</v>
      </c>
      <c r="AC245" s="4033"/>
      <c r="AD245" s="4116"/>
      <c r="AE245" s="4116"/>
      <c r="AF245" s="5209" t="s">
        <v>1681</v>
      </c>
    </row>
    <row r="246" spans="1:32" ht="24" customHeight="1">
      <c r="A246" s="4564"/>
      <c r="B246" s="4570"/>
      <c r="C246" s="4545"/>
      <c r="D246" s="4514"/>
      <c r="E246" s="4514"/>
      <c r="F246" s="4514"/>
      <c r="G246" s="4514"/>
      <c r="H246" s="4514"/>
      <c r="I246" s="4514"/>
      <c r="J246" s="4514"/>
      <c r="K246" s="4514"/>
      <c r="L246" s="4514"/>
      <c r="M246" s="4901"/>
      <c r="N246" s="4901"/>
      <c r="O246" s="4901"/>
      <c r="P246" s="4514"/>
      <c r="Q246" s="4514"/>
      <c r="R246" s="4518"/>
      <c r="S246" s="3311"/>
      <c r="T246" s="1891"/>
      <c r="U246" s="1849">
        <v>481500213</v>
      </c>
      <c r="V246" s="1883" t="s">
        <v>6053</v>
      </c>
      <c r="W246" s="1864">
        <v>2</v>
      </c>
      <c r="X246" s="3637" t="s">
        <v>269</v>
      </c>
      <c r="Y246" s="3214">
        <v>45</v>
      </c>
      <c r="Z246" s="3214">
        <f>(Y246*W246)</f>
        <v>90</v>
      </c>
      <c r="AA246" s="3214">
        <f>((Z246*0.12)+Z246)</f>
        <v>100.8</v>
      </c>
      <c r="AB246" s="3638"/>
      <c r="AC246" s="3637"/>
      <c r="AD246" s="3206" t="s">
        <v>251</v>
      </c>
      <c r="AE246" s="3206"/>
      <c r="AF246" s="5301"/>
    </row>
    <row r="247" spans="1:32" ht="24" customHeight="1">
      <c r="A247" s="4564"/>
      <c r="B247" s="4570"/>
      <c r="C247" s="4545"/>
      <c r="D247" s="4514"/>
      <c r="E247" s="4514"/>
      <c r="F247" s="4514"/>
      <c r="G247" s="4514"/>
      <c r="H247" s="4514"/>
      <c r="I247" s="4514"/>
      <c r="J247" s="4514"/>
      <c r="K247" s="4514"/>
      <c r="L247" s="4514"/>
      <c r="M247" s="4901"/>
      <c r="N247" s="4901"/>
      <c r="O247" s="4901"/>
      <c r="P247" s="4514"/>
      <c r="Q247" s="4514"/>
      <c r="R247" s="4518"/>
      <c r="S247" s="3311"/>
      <c r="T247" s="1891"/>
      <c r="U247" s="1849"/>
      <c r="V247" s="3789"/>
      <c r="W247" s="1864"/>
      <c r="X247" s="3637"/>
      <c r="Y247" s="3214"/>
      <c r="Z247" s="3214"/>
      <c r="AA247" s="3214"/>
      <c r="AB247" s="3638"/>
      <c r="AC247" s="3637"/>
      <c r="AD247" s="3206"/>
      <c r="AE247" s="3206"/>
      <c r="AF247" s="5301"/>
    </row>
    <row r="248" spans="1:32" ht="24" customHeight="1">
      <c r="A248" s="4564"/>
      <c r="B248" s="4570"/>
      <c r="C248" s="4545"/>
      <c r="D248" s="4514"/>
      <c r="E248" s="4514"/>
      <c r="F248" s="4514"/>
      <c r="G248" s="4514"/>
      <c r="H248" s="4514"/>
      <c r="I248" s="4514"/>
      <c r="J248" s="4514"/>
      <c r="K248" s="4514"/>
      <c r="L248" s="4514"/>
      <c r="M248" s="4901"/>
      <c r="N248" s="4901"/>
      <c r="O248" s="4901"/>
      <c r="P248" s="4514"/>
      <c r="Q248" s="4514"/>
      <c r="R248" s="4518"/>
      <c r="S248" s="3311" t="s">
        <v>17</v>
      </c>
      <c r="T248" s="1891">
        <v>840104</v>
      </c>
      <c r="U248" s="1849"/>
      <c r="V248" s="3789" t="s">
        <v>24</v>
      </c>
      <c r="W248" s="1864"/>
      <c r="X248" s="3637"/>
      <c r="Y248" s="3214"/>
      <c r="Z248" s="3214"/>
      <c r="AA248" s="3214"/>
      <c r="AB248" s="3638">
        <f>SUM($AA$249:$AA$251)</f>
        <v>1461.6</v>
      </c>
      <c r="AC248" s="3637"/>
      <c r="AD248" s="3206"/>
      <c r="AE248" s="3206"/>
      <c r="AF248" s="5301"/>
    </row>
    <row r="249" spans="1:32" ht="24" customHeight="1">
      <c r="A249" s="4564"/>
      <c r="B249" s="4570"/>
      <c r="C249" s="4545"/>
      <c r="D249" s="4514"/>
      <c r="E249" s="4514"/>
      <c r="F249" s="4514"/>
      <c r="G249" s="4514"/>
      <c r="H249" s="4514"/>
      <c r="I249" s="4514"/>
      <c r="J249" s="4514"/>
      <c r="K249" s="4514"/>
      <c r="L249" s="4514"/>
      <c r="M249" s="4901"/>
      <c r="N249" s="4901"/>
      <c r="O249" s="4901"/>
      <c r="P249" s="4514"/>
      <c r="Q249" s="4514"/>
      <c r="R249" s="4518"/>
      <c r="S249" s="3311"/>
      <c r="T249" s="1891"/>
      <c r="U249" s="1848">
        <v>40180017001</v>
      </c>
      <c r="V249" s="2432" t="s">
        <v>1682</v>
      </c>
      <c r="W249" s="1864">
        <v>1</v>
      </c>
      <c r="X249" s="3637" t="s">
        <v>269</v>
      </c>
      <c r="Y249" s="3214">
        <v>280</v>
      </c>
      <c r="Z249" s="3214">
        <f t="shared" ref="Z249:Z251" si="23">(Y249*W249)</f>
        <v>280</v>
      </c>
      <c r="AA249" s="3214">
        <f t="shared" ref="AA249:AA251" si="24">((Z249*0.12)+Z249)</f>
        <v>313.60000000000002</v>
      </c>
      <c r="AB249" s="3638"/>
      <c r="AC249" s="3637"/>
      <c r="AD249" s="3206" t="s">
        <v>251</v>
      </c>
      <c r="AE249" s="3206"/>
      <c r="AF249" s="5301"/>
    </row>
    <row r="250" spans="1:32" ht="24" customHeight="1">
      <c r="A250" s="4564"/>
      <c r="B250" s="4570"/>
      <c r="C250" s="4545"/>
      <c r="D250" s="4514"/>
      <c r="E250" s="4514"/>
      <c r="F250" s="4514"/>
      <c r="G250" s="4514"/>
      <c r="H250" s="4514"/>
      <c r="I250" s="4514"/>
      <c r="J250" s="4514"/>
      <c r="K250" s="4514"/>
      <c r="L250" s="4514"/>
      <c r="M250" s="4901"/>
      <c r="N250" s="4901"/>
      <c r="O250" s="4901"/>
      <c r="P250" s="4514"/>
      <c r="Q250" s="4514"/>
      <c r="R250" s="4518"/>
      <c r="S250" s="3311"/>
      <c r="T250" s="1891"/>
      <c r="U250" s="1848" t="s">
        <v>1683</v>
      </c>
      <c r="V250" s="2432" t="s">
        <v>1684</v>
      </c>
      <c r="W250" s="1864">
        <v>1</v>
      </c>
      <c r="X250" s="3637" t="s">
        <v>269</v>
      </c>
      <c r="Y250" s="3214">
        <v>900</v>
      </c>
      <c r="Z250" s="3214">
        <f t="shared" si="23"/>
        <v>900</v>
      </c>
      <c r="AA250" s="3214">
        <f t="shared" si="24"/>
        <v>1008</v>
      </c>
      <c r="AB250" s="3638"/>
      <c r="AC250" s="3637"/>
      <c r="AD250" s="3206" t="s">
        <v>251</v>
      </c>
      <c r="AE250" s="3206"/>
      <c r="AF250" s="5301"/>
    </row>
    <row r="251" spans="1:32" ht="24" customHeight="1">
      <c r="A251" s="4564"/>
      <c r="B251" s="4570"/>
      <c r="C251" s="4545"/>
      <c r="D251" s="4514"/>
      <c r="E251" s="4514"/>
      <c r="F251" s="4514"/>
      <c r="G251" s="4514"/>
      <c r="H251" s="4514"/>
      <c r="I251" s="4514"/>
      <c r="J251" s="4514"/>
      <c r="K251" s="4514"/>
      <c r="L251" s="4514"/>
      <c r="M251" s="4901"/>
      <c r="N251" s="4901"/>
      <c r="O251" s="4901"/>
      <c r="P251" s="4514"/>
      <c r="Q251" s="4514"/>
      <c r="R251" s="4518"/>
      <c r="S251" s="3311"/>
      <c r="T251" s="1891"/>
      <c r="U251" s="4113" t="s">
        <v>1685</v>
      </c>
      <c r="V251" s="2432" t="s">
        <v>1686</v>
      </c>
      <c r="W251" s="1864">
        <v>1</v>
      </c>
      <c r="X251" s="3637" t="s">
        <v>269</v>
      </c>
      <c r="Y251" s="3214">
        <v>125</v>
      </c>
      <c r="Z251" s="3214">
        <f t="shared" si="23"/>
        <v>125</v>
      </c>
      <c r="AA251" s="3214">
        <f t="shared" si="24"/>
        <v>140</v>
      </c>
      <c r="AB251" s="3638"/>
      <c r="AC251" s="3637"/>
      <c r="AD251" s="3206" t="s">
        <v>251</v>
      </c>
      <c r="AE251" s="3206"/>
      <c r="AF251" s="5301"/>
    </row>
    <row r="252" spans="1:32" ht="24" customHeight="1">
      <c r="A252" s="4564"/>
      <c r="B252" s="4570"/>
      <c r="C252" s="4545"/>
      <c r="D252" s="4514"/>
      <c r="E252" s="4514"/>
      <c r="F252" s="4514"/>
      <c r="G252" s="4514"/>
      <c r="H252" s="4514"/>
      <c r="I252" s="4514"/>
      <c r="J252" s="4514"/>
      <c r="K252" s="4514"/>
      <c r="L252" s="4514"/>
      <c r="M252" s="4901"/>
      <c r="N252" s="4901"/>
      <c r="O252" s="4901"/>
      <c r="P252" s="4514"/>
      <c r="Q252" s="4514"/>
      <c r="R252" s="4518"/>
      <c r="S252" s="3311"/>
      <c r="T252" s="1891"/>
      <c r="U252" s="1848"/>
      <c r="V252" s="2432"/>
      <c r="W252" s="1864"/>
      <c r="X252" s="3637"/>
      <c r="Y252" s="3214"/>
      <c r="Z252" s="3214"/>
      <c r="AA252" s="3214"/>
      <c r="AB252" s="3638"/>
      <c r="AC252" s="3637"/>
      <c r="AD252" s="3206"/>
      <c r="AE252" s="3206"/>
      <c r="AF252" s="5301"/>
    </row>
    <row r="253" spans="1:32" ht="24" customHeight="1">
      <c r="A253" s="4564"/>
      <c r="B253" s="4570"/>
      <c r="C253" s="4545"/>
      <c r="D253" s="4514"/>
      <c r="E253" s="4514"/>
      <c r="F253" s="4514"/>
      <c r="G253" s="4514"/>
      <c r="H253" s="4514"/>
      <c r="I253" s="4514"/>
      <c r="J253" s="4514"/>
      <c r="K253" s="4514"/>
      <c r="L253" s="4514"/>
      <c r="M253" s="4901"/>
      <c r="N253" s="4901"/>
      <c r="O253" s="4901"/>
      <c r="P253" s="4514"/>
      <c r="Q253" s="4514"/>
      <c r="R253" s="4518"/>
      <c r="S253" s="3311" t="s">
        <v>17</v>
      </c>
      <c r="T253" s="1891">
        <v>530823</v>
      </c>
      <c r="U253" s="1848"/>
      <c r="V253" s="2441" t="s">
        <v>165</v>
      </c>
      <c r="W253" s="1864"/>
      <c r="X253" s="3637"/>
      <c r="Y253" s="3214"/>
      <c r="Z253" s="3214"/>
      <c r="AA253" s="3214"/>
      <c r="AB253" s="3638">
        <f>SUM($AA$254:$AA$255)</f>
        <v>194.88</v>
      </c>
      <c r="AC253" s="3637"/>
      <c r="AD253" s="3206"/>
      <c r="AE253" s="3206"/>
      <c r="AF253" s="5301"/>
    </row>
    <row r="254" spans="1:32" ht="24" customHeight="1">
      <c r="A254" s="4564"/>
      <c r="B254" s="4570"/>
      <c r="C254" s="4545"/>
      <c r="D254" s="4514"/>
      <c r="E254" s="4514"/>
      <c r="F254" s="4514"/>
      <c r="G254" s="4514"/>
      <c r="H254" s="4514"/>
      <c r="I254" s="4514"/>
      <c r="J254" s="4514"/>
      <c r="K254" s="4514"/>
      <c r="L254" s="4514"/>
      <c r="M254" s="4901"/>
      <c r="N254" s="4901"/>
      <c r="O254" s="4901"/>
      <c r="P254" s="4514"/>
      <c r="Q254" s="4514"/>
      <c r="R254" s="4518"/>
      <c r="S254" s="3311"/>
      <c r="T254" s="1891"/>
      <c r="U254" s="1848" t="s">
        <v>1687</v>
      </c>
      <c r="V254" s="2432" t="s">
        <v>1688</v>
      </c>
      <c r="W254" s="1864">
        <v>1</v>
      </c>
      <c r="X254" s="3637" t="s">
        <v>269</v>
      </c>
      <c r="Y254" s="3214">
        <v>62</v>
      </c>
      <c r="Z254" s="3214">
        <v>62</v>
      </c>
      <c r="AA254" s="3214">
        <f t="shared" ref="AA254:AA255" si="25">((Z254*0.12)+Z254)</f>
        <v>69.44</v>
      </c>
      <c r="AB254" s="3638"/>
      <c r="AC254" s="3637"/>
      <c r="AD254" s="3206" t="s">
        <v>251</v>
      </c>
      <c r="AE254" s="3206"/>
      <c r="AF254" s="5301"/>
    </row>
    <row r="255" spans="1:32" ht="24" customHeight="1">
      <c r="A255" s="4564"/>
      <c r="B255" s="4570"/>
      <c r="C255" s="4545"/>
      <c r="D255" s="4514"/>
      <c r="E255" s="4514"/>
      <c r="F255" s="4514"/>
      <c r="G255" s="4514"/>
      <c r="H255" s="4514"/>
      <c r="I255" s="4514"/>
      <c r="J255" s="4514"/>
      <c r="K255" s="4514"/>
      <c r="L255" s="4514"/>
      <c r="M255" s="4901"/>
      <c r="N255" s="4901"/>
      <c r="O255" s="4901"/>
      <c r="P255" s="4514"/>
      <c r="Q255" s="4514"/>
      <c r="R255" s="4518"/>
      <c r="S255" s="3311"/>
      <c r="T255" s="1891"/>
      <c r="U255" s="4113" t="s">
        <v>1689</v>
      </c>
      <c r="V255" s="2432" t="s">
        <v>1690</v>
      </c>
      <c r="W255" s="1864">
        <v>2</v>
      </c>
      <c r="X255" s="3637" t="s">
        <v>269</v>
      </c>
      <c r="Y255" s="3214">
        <v>56</v>
      </c>
      <c r="Z255" s="3214">
        <f>(Y255*W255)</f>
        <v>112</v>
      </c>
      <c r="AA255" s="3214">
        <f t="shared" si="25"/>
        <v>125.44</v>
      </c>
      <c r="AB255" s="3638"/>
      <c r="AC255" s="3637"/>
      <c r="AD255" s="3206" t="s">
        <v>251</v>
      </c>
      <c r="AE255" s="3206"/>
      <c r="AF255" s="5301"/>
    </row>
    <row r="256" spans="1:32" ht="24" customHeight="1">
      <c r="A256" s="4564"/>
      <c r="B256" s="4570"/>
      <c r="C256" s="4545"/>
      <c r="D256" s="4514"/>
      <c r="E256" s="4514"/>
      <c r="F256" s="4514"/>
      <c r="G256" s="4514"/>
      <c r="H256" s="4514"/>
      <c r="I256" s="4514"/>
      <c r="J256" s="4514"/>
      <c r="K256" s="4514"/>
      <c r="L256" s="4525"/>
      <c r="M256" s="4902"/>
      <c r="N256" s="4902"/>
      <c r="O256" s="4902"/>
      <c r="P256" s="4525"/>
      <c r="Q256" s="4525"/>
      <c r="R256" s="4528"/>
      <c r="S256" s="3314"/>
      <c r="T256" s="3821"/>
      <c r="U256" s="4130"/>
      <c r="V256" s="2459"/>
      <c r="W256" s="3254"/>
      <c r="X256" s="4037"/>
      <c r="Y256" s="3291"/>
      <c r="Z256" s="3291"/>
      <c r="AA256" s="3291"/>
      <c r="AB256" s="4118"/>
      <c r="AC256" s="4037"/>
      <c r="AD256" s="4119"/>
      <c r="AE256" s="4119"/>
      <c r="AF256" s="5302"/>
    </row>
    <row r="257" spans="1:32" ht="22.5" customHeight="1">
      <c r="A257" s="4564"/>
      <c r="B257" s="4570"/>
      <c r="C257" s="4545"/>
      <c r="D257" s="4514"/>
      <c r="E257" s="4514"/>
      <c r="F257" s="4514"/>
      <c r="G257" s="4514"/>
      <c r="H257" s="4514"/>
      <c r="I257" s="4514"/>
      <c r="J257" s="4514"/>
      <c r="K257" s="4514"/>
      <c r="L257" s="4377" t="s">
        <v>1691</v>
      </c>
      <c r="M257" s="4392">
        <v>7</v>
      </c>
      <c r="N257" s="4392">
        <v>10</v>
      </c>
      <c r="O257" s="4392">
        <v>12</v>
      </c>
      <c r="P257" s="4377" t="s">
        <v>1692</v>
      </c>
      <c r="Q257" s="4377" t="s">
        <v>1693</v>
      </c>
      <c r="R257" s="4903" t="s">
        <v>6089</v>
      </c>
      <c r="S257" s="3310" t="s">
        <v>17</v>
      </c>
      <c r="T257" s="3270">
        <v>840104</v>
      </c>
      <c r="U257" s="3272"/>
      <c r="V257" s="4068" t="s">
        <v>24</v>
      </c>
      <c r="W257" s="4071"/>
      <c r="X257" s="3632"/>
      <c r="Y257" s="3633"/>
      <c r="Z257" s="3633"/>
      <c r="AA257" s="3633"/>
      <c r="AB257" s="3634">
        <f>SUM($AA$258:$AA$261)</f>
        <v>6696.524800000002</v>
      </c>
      <c r="AC257" s="3632"/>
      <c r="AD257" s="3632"/>
      <c r="AE257" s="4120"/>
      <c r="AF257" s="5217" t="s">
        <v>1694</v>
      </c>
    </row>
    <row r="258" spans="1:32" ht="22.5" customHeight="1">
      <c r="A258" s="4564"/>
      <c r="B258" s="4570"/>
      <c r="C258" s="4545"/>
      <c r="D258" s="4514"/>
      <c r="E258" s="4514"/>
      <c r="F258" s="4514"/>
      <c r="G258" s="4514"/>
      <c r="H258" s="4514"/>
      <c r="I258" s="4514"/>
      <c r="J258" s="4514"/>
      <c r="K258" s="4514"/>
      <c r="L258" s="4514"/>
      <c r="M258" s="4901"/>
      <c r="N258" s="4901"/>
      <c r="O258" s="4901"/>
      <c r="P258" s="4514"/>
      <c r="Q258" s="4514"/>
      <c r="R258" s="4518"/>
      <c r="S258" s="3311"/>
      <c r="T258" s="1891"/>
      <c r="U258" s="1848">
        <v>48231.000999999997</v>
      </c>
      <c r="V258" s="2432" t="s">
        <v>6054</v>
      </c>
      <c r="W258" s="1864">
        <v>1</v>
      </c>
      <c r="X258" s="2434" t="s">
        <v>269</v>
      </c>
      <c r="Y258" s="3214">
        <v>2639.7</v>
      </c>
      <c r="Z258" s="3214">
        <v>2442.8000000000002</v>
      </c>
      <c r="AA258" s="3214">
        <f t="shared" ref="AA258:AA261" si="26">+Z258*1.12</f>
        <v>2735.9360000000006</v>
      </c>
      <c r="AB258" s="3638"/>
      <c r="AC258" s="3637"/>
      <c r="AD258" s="3637" t="s">
        <v>251</v>
      </c>
      <c r="AE258" s="3206"/>
      <c r="AF258" s="5301"/>
    </row>
    <row r="259" spans="1:32" ht="22.5" customHeight="1">
      <c r="A259" s="4564"/>
      <c r="B259" s="4570"/>
      <c r="C259" s="4545"/>
      <c r="D259" s="4514"/>
      <c r="E259" s="4514"/>
      <c r="F259" s="4514"/>
      <c r="G259" s="4514"/>
      <c r="H259" s="4514"/>
      <c r="I259" s="4514"/>
      <c r="J259" s="4514"/>
      <c r="K259" s="4514"/>
      <c r="L259" s="4514"/>
      <c r="M259" s="4901"/>
      <c r="N259" s="4901"/>
      <c r="O259" s="4901"/>
      <c r="P259" s="4514"/>
      <c r="Q259" s="4514"/>
      <c r="R259" s="4518"/>
      <c r="S259" s="3311"/>
      <c r="T259" s="1891"/>
      <c r="U259" s="1848">
        <v>43911</v>
      </c>
      <c r="V259" s="2432" t="s">
        <v>1695</v>
      </c>
      <c r="W259" s="1864">
        <v>1</v>
      </c>
      <c r="X259" s="2434" t="s">
        <v>269</v>
      </c>
      <c r="Y259" s="3214">
        <v>2500</v>
      </c>
      <c r="Z259" s="3214">
        <f t="shared" ref="Z259:Z261" si="27">+W259*Y259</f>
        <v>2500</v>
      </c>
      <c r="AA259" s="3214">
        <f t="shared" si="26"/>
        <v>2800.0000000000005</v>
      </c>
      <c r="AB259" s="3638"/>
      <c r="AC259" s="3637"/>
      <c r="AD259" s="3637" t="s">
        <v>251</v>
      </c>
      <c r="AE259" s="3206"/>
      <c r="AF259" s="5301"/>
    </row>
    <row r="260" spans="1:32" ht="22.5" customHeight="1">
      <c r="A260" s="4564"/>
      <c r="B260" s="4570"/>
      <c r="C260" s="4545"/>
      <c r="D260" s="4514"/>
      <c r="E260" s="4514"/>
      <c r="F260" s="4514"/>
      <c r="G260" s="4514"/>
      <c r="H260" s="4514"/>
      <c r="I260" s="4514"/>
      <c r="J260" s="4514"/>
      <c r="K260" s="4514"/>
      <c r="L260" s="4514"/>
      <c r="M260" s="4901"/>
      <c r="N260" s="4901"/>
      <c r="O260" s="4901"/>
      <c r="P260" s="4514"/>
      <c r="Q260" s="4514"/>
      <c r="R260" s="4518"/>
      <c r="S260" s="3311"/>
      <c r="T260" s="1891"/>
      <c r="U260" s="1848">
        <v>48253.05</v>
      </c>
      <c r="V260" s="2432" t="s">
        <v>1696</v>
      </c>
      <c r="W260" s="1864">
        <v>1</v>
      </c>
      <c r="X260" s="2434" t="s">
        <v>269</v>
      </c>
      <c r="Y260" s="3214">
        <v>246.24</v>
      </c>
      <c r="Z260" s="3214">
        <f t="shared" si="27"/>
        <v>246.24</v>
      </c>
      <c r="AA260" s="3214">
        <f t="shared" si="26"/>
        <v>275.78880000000004</v>
      </c>
      <c r="AB260" s="3638"/>
      <c r="AC260" s="3637"/>
      <c r="AD260" s="3637" t="s">
        <v>251</v>
      </c>
      <c r="AE260" s="3206"/>
      <c r="AF260" s="5301"/>
    </row>
    <row r="261" spans="1:32" ht="22.5" customHeight="1">
      <c r="A261" s="4564"/>
      <c r="B261" s="4570"/>
      <c r="C261" s="4545"/>
      <c r="D261" s="4514"/>
      <c r="E261" s="4514"/>
      <c r="F261" s="4514"/>
      <c r="G261" s="4514"/>
      <c r="H261" s="4514"/>
      <c r="I261" s="4514"/>
      <c r="J261" s="4514"/>
      <c r="K261" s="4514"/>
      <c r="L261" s="4514"/>
      <c r="M261" s="4901"/>
      <c r="N261" s="4901"/>
      <c r="O261" s="4901"/>
      <c r="P261" s="4514"/>
      <c r="Q261" s="4514"/>
      <c r="R261" s="4518"/>
      <c r="S261" s="3311"/>
      <c r="T261" s="1891"/>
      <c r="U261" s="1848">
        <v>48253.05</v>
      </c>
      <c r="V261" s="2432" t="s">
        <v>6055</v>
      </c>
      <c r="W261" s="1864">
        <v>1</v>
      </c>
      <c r="X261" s="2434" t="s">
        <v>269</v>
      </c>
      <c r="Y261" s="3214">
        <v>790</v>
      </c>
      <c r="Z261" s="3214">
        <f t="shared" si="27"/>
        <v>790</v>
      </c>
      <c r="AA261" s="3214">
        <f t="shared" si="26"/>
        <v>884.80000000000007</v>
      </c>
      <c r="AB261" s="3638"/>
      <c r="AC261" s="3637"/>
      <c r="AD261" s="3637" t="s">
        <v>251</v>
      </c>
      <c r="AE261" s="3206"/>
      <c r="AF261" s="5301"/>
    </row>
    <row r="262" spans="1:32" ht="22.5" customHeight="1">
      <c r="A262" s="4564"/>
      <c r="B262" s="4570"/>
      <c r="C262" s="4545"/>
      <c r="D262" s="4514"/>
      <c r="E262" s="4514"/>
      <c r="F262" s="4514"/>
      <c r="G262" s="4514"/>
      <c r="H262" s="4514"/>
      <c r="I262" s="4514"/>
      <c r="J262" s="4514"/>
      <c r="K262" s="4514"/>
      <c r="L262" s="4514"/>
      <c r="M262" s="4901"/>
      <c r="N262" s="4901"/>
      <c r="O262" s="4901"/>
      <c r="P262" s="4514"/>
      <c r="Q262" s="4514"/>
      <c r="R262" s="4518"/>
      <c r="S262" s="3311"/>
      <c r="T262" s="1891"/>
      <c r="U262" s="1849"/>
      <c r="V262" s="3789"/>
      <c r="W262" s="1864"/>
      <c r="X262" s="3637"/>
      <c r="Y262" s="3214"/>
      <c r="Z262" s="3214"/>
      <c r="AA262" s="3214"/>
      <c r="AB262" s="3638"/>
      <c r="AC262" s="3637"/>
      <c r="AD262" s="3637"/>
      <c r="AE262" s="3206"/>
      <c r="AF262" s="5301"/>
    </row>
    <row r="263" spans="1:32" ht="22.5" customHeight="1">
      <c r="A263" s="4564"/>
      <c r="B263" s="4570"/>
      <c r="C263" s="4545"/>
      <c r="D263" s="4514"/>
      <c r="E263" s="4514"/>
      <c r="F263" s="4514"/>
      <c r="G263" s="4514"/>
      <c r="H263" s="4514"/>
      <c r="I263" s="4514"/>
      <c r="J263" s="4514"/>
      <c r="K263" s="4514"/>
      <c r="L263" s="4514"/>
      <c r="M263" s="4901"/>
      <c r="N263" s="4901"/>
      <c r="O263" s="4901"/>
      <c r="P263" s="4514"/>
      <c r="Q263" s="4514"/>
      <c r="R263" s="4518"/>
      <c r="S263" s="3311" t="s">
        <v>39</v>
      </c>
      <c r="T263" s="1891">
        <v>531407</v>
      </c>
      <c r="U263" s="1849"/>
      <c r="V263" s="3789" t="s">
        <v>20</v>
      </c>
      <c r="W263" s="1864"/>
      <c r="X263" s="3637"/>
      <c r="Y263" s="3214"/>
      <c r="Z263" s="3214"/>
      <c r="AA263" s="3214"/>
      <c r="AB263" s="3638">
        <f>SUM($AA$264:$AA$265)</f>
        <v>67.2</v>
      </c>
      <c r="AC263" s="3637"/>
      <c r="AD263" s="3637"/>
      <c r="AE263" s="3206"/>
      <c r="AF263" s="5301"/>
    </row>
    <row r="264" spans="1:32" ht="22.5" customHeight="1">
      <c r="A264" s="4564"/>
      <c r="B264" s="4570"/>
      <c r="C264" s="4545"/>
      <c r="D264" s="4514"/>
      <c r="E264" s="4514"/>
      <c r="F264" s="4514"/>
      <c r="G264" s="4514"/>
      <c r="H264" s="4514"/>
      <c r="I264" s="4514"/>
      <c r="J264" s="4514"/>
      <c r="K264" s="4514"/>
      <c r="L264" s="4514"/>
      <c r="M264" s="4901"/>
      <c r="N264" s="4901"/>
      <c r="O264" s="4901"/>
      <c r="P264" s="4514"/>
      <c r="Q264" s="4514"/>
      <c r="R264" s="4518"/>
      <c r="S264" s="3311"/>
      <c r="T264" s="1891"/>
      <c r="U264" s="1849">
        <v>461220011</v>
      </c>
      <c r="V264" s="1883" t="s">
        <v>6052</v>
      </c>
      <c r="W264" s="1864">
        <v>1</v>
      </c>
      <c r="X264" s="2434" t="s">
        <v>269</v>
      </c>
      <c r="Y264" s="3214">
        <v>60</v>
      </c>
      <c r="Z264" s="3214">
        <f t="shared" ref="Z264" si="28">+W264*Y264</f>
        <v>60</v>
      </c>
      <c r="AA264" s="3214">
        <f t="shared" ref="AA264" si="29">+Z264*1.12</f>
        <v>67.2</v>
      </c>
      <c r="AB264" s="3638"/>
      <c r="AC264" s="3637"/>
      <c r="AD264" s="3637" t="s">
        <v>251</v>
      </c>
      <c r="AE264" s="3206"/>
      <c r="AF264" s="5301"/>
    </row>
    <row r="265" spans="1:32" ht="22.5" customHeight="1">
      <c r="A265" s="4564"/>
      <c r="B265" s="4570"/>
      <c r="C265" s="4545"/>
      <c r="D265" s="4514"/>
      <c r="E265" s="4514"/>
      <c r="F265" s="4514"/>
      <c r="G265" s="4514"/>
      <c r="H265" s="4514"/>
      <c r="I265" s="4514"/>
      <c r="J265" s="4514"/>
      <c r="K265" s="4514"/>
      <c r="L265" s="4514"/>
      <c r="M265" s="4901"/>
      <c r="N265" s="4901"/>
      <c r="O265" s="4901"/>
      <c r="P265" s="4514"/>
      <c r="Q265" s="4514"/>
      <c r="R265" s="4518"/>
      <c r="S265" s="3311"/>
      <c r="T265" s="1891"/>
      <c r="U265" s="1849"/>
      <c r="V265" s="1883"/>
      <c r="W265" s="1864"/>
      <c r="X265" s="3637"/>
      <c r="Y265" s="3214"/>
      <c r="Z265" s="3214"/>
      <c r="AA265" s="3214"/>
      <c r="AB265" s="3638"/>
      <c r="AC265" s="3637"/>
      <c r="AD265" s="3637"/>
      <c r="AE265" s="3206"/>
      <c r="AF265" s="5301"/>
    </row>
    <row r="266" spans="1:32" ht="22.5" customHeight="1">
      <c r="A266" s="4564"/>
      <c r="B266" s="4570"/>
      <c r="C266" s="4545"/>
      <c r="D266" s="4514"/>
      <c r="E266" s="4514"/>
      <c r="F266" s="4514"/>
      <c r="G266" s="4514"/>
      <c r="H266" s="4514"/>
      <c r="I266" s="4514"/>
      <c r="J266" s="4514"/>
      <c r="K266" s="4514"/>
      <c r="L266" s="4515"/>
      <c r="M266" s="5222"/>
      <c r="N266" s="5222"/>
      <c r="O266" s="5222"/>
      <c r="P266" s="4515"/>
      <c r="Q266" s="4515"/>
      <c r="R266" s="4519"/>
      <c r="S266" s="3312"/>
      <c r="T266" s="3819"/>
      <c r="U266" s="3268"/>
      <c r="V266" s="3641"/>
      <c r="W266" s="3233"/>
      <c r="X266" s="3642"/>
      <c r="Y266" s="3282"/>
      <c r="Z266" s="3282"/>
      <c r="AA266" s="3282"/>
      <c r="AB266" s="3643"/>
      <c r="AC266" s="3642"/>
      <c r="AD266" s="3642"/>
      <c r="AE266" s="4117"/>
      <c r="AF266" s="5303"/>
    </row>
    <row r="267" spans="1:32" ht="22.5" customHeight="1">
      <c r="A267" s="4564"/>
      <c r="B267" s="4570"/>
      <c r="C267" s="4545"/>
      <c r="D267" s="4514"/>
      <c r="E267" s="4514"/>
      <c r="F267" s="4514"/>
      <c r="G267" s="4514"/>
      <c r="H267" s="4514"/>
      <c r="I267" s="4514"/>
      <c r="J267" s="4514"/>
      <c r="K267" s="4514"/>
      <c r="L267" s="4395" t="s">
        <v>1697</v>
      </c>
      <c r="M267" s="4401">
        <v>3</v>
      </c>
      <c r="N267" s="4401">
        <v>3</v>
      </c>
      <c r="O267" s="4401">
        <v>4</v>
      </c>
      <c r="P267" s="4395" t="s">
        <v>1698</v>
      </c>
      <c r="Q267" s="4395" t="s">
        <v>1680</v>
      </c>
      <c r="R267" s="4897" t="s">
        <v>6091</v>
      </c>
      <c r="S267" s="3313" t="s">
        <v>17</v>
      </c>
      <c r="T267" s="3071">
        <v>531404</v>
      </c>
      <c r="U267" s="3274"/>
      <c r="V267" s="4069" t="s">
        <v>24</v>
      </c>
      <c r="W267" s="4070"/>
      <c r="X267" s="4033"/>
      <c r="Y267" s="3295"/>
      <c r="Z267" s="3295"/>
      <c r="AA267" s="3295"/>
      <c r="AB267" s="4115">
        <f>SUM($AA$268:$AA$275)</f>
        <v>647.08000000000004</v>
      </c>
      <c r="AC267" s="4033"/>
      <c r="AD267" s="4033"/>
      <c r="AE267" s="4116"/>
      <c r="AF267" s="5209" t="s">
        <v>1699</v>
      </c>
    </row>
    <row r="268" spans="1:32" ht="22.5" customHeight="1">
      <c r="A268" s="4564"/>
      <c r="B268" s="4570"/>
      <c r="C268" s="4545"/>
      <c r="D268" s="4514"/>
      <c r="E268" s="4514"/>
      <c r="F268" s="4514"/>
      <c r="G268" s="4514"/>
      <c r="H268" s="4514"/>
      <c r="I268" s="4514"/>
      <c r="J268" s="4514"/>
      <c r="K268" s="4514"/>
      <c r="L268" s="4514"/>
      <c r="M268" s="4901"/>
      <c r="N268" s="4901"/>
      <c r="O268" s="4901"/>
      <c r="P268" s="4514"/>
      <c r="Q268" s="4514"/>
      <c r="R268" s="4518"/>
      <c r="S268" s="3311"/>
      <c r="T268" s="1891"/>
      <c r="U268" s="1849">
        <v>441902015</v>
      </c>
      <c r="V268" s="1883" t="s">
        <v>1700</v>
      </c>
      <c r="W268" s="1864">
        <v>5</v>
      </c>
      <c r="X268" s="2434" t="s">
        <v>269</v>
      </c>
      <c r="Y268" s="3214">
        <v>8.5</v>
      </c>
      <c r="Z268" s="3214">
        <f t="shared" ref="Z268:Z275" si="30">+W268*Y268</f>
        <v>42.5</v>
      </c>
      <c r="AA268" s="3214">
        <f t="shared" ref="AA268:AA275" si="31">+Z268*1.12</f>
        <v>47.6</v>
      </c>
      <c r="AB268" s="3638"/>
      <c r="AC268" s="3637"/>
      <c r="AD268" s="3637" t="s">
        <v>251</v>
      </c>
      <c r="AE268" s="3206"/>
      <c r="AF268" s="5301"/>
    </row>
    <row r="269" spans="1:32" ht="22.5" customHeight="1">
      <c r="A269" s="4564"/>
      <c r="B269" s="4570"/>
      <c r="C269" s="4545"/>
      <c r="D269" s="4514"/>
      <c r="E269" s="4514"/>
      <c r="F269" s="4514"/>
      <c r="G269" s="4514"/>
      <c r="H269" s="4514"/>
      <c r="I269" s="4514"/>
      <c r="J269" s="4514"/>
      <c r="K269" s="4514"/>
      <c r="L269" s="4514"/>
      <c r="M269" s="4901"/>
      <c r="N269" s="4901"/>
      <c r="O269" s="4901"/>
      <c r="P269" s="4514"/>
      <c r="Q269" s="4514"/>
      <c r="R269" s="4518"/>
      <c r="S269" s="3311"/>
      <c r="T269" s="1891"/>
      <c r="U269" s="1849">
        <v>429430011</v>
      </c>
      <c r="V269" s="1883" t="s">
        <v>1701</v>
      </c>
      <c r="W269" s="1864">
        <v>5</v>
      </c>
      <c r="X269" s="2434" t="s">
        <v>269</v>
      </c>
      <c r="Y269" s="3214">
        <v>8.3000000000000007</v>
      </c>
      <c r="Z269" s="3214">
        <f t="shared" si="30"/>
        <v>41.5</v>
      </c>
      <c r="AA269" s="3214">
        <f t="shared" si="31"/>
        <v>46.480000000000004</v>
      </c>
      <c r="AB269" s="3638"/>
      <c r="AC269" s="3637"/>
      <c r="AD269" s="3637" t="s">
        <v>251</v>
      </c>
      <c r="AE269" s="3206"/>
      <c r="AF269" s="5301"/>
    </row>
    <row r="270" spans="1:32" ht="22.5" customHeight="1">
      <c r="A270" s="4564"/>
      <c r="B270" s="4570"/>
      <c r="C270" s="4545"/>
      <c r="D270" s="4514"/>
      <c r="E270" s="4514"/>
      <c r="F270" s="4514"/>
      <c r="G270" s="4514"/>
      <c r="H270" s="4514"/>
      <c r="I270" s="4514"/>
      <c r="J270" s="4514"/>
      <c r="K270" s="4514"/>
      <c r="L270" s="4514"/>
      <c r="M270" s="4901"/>
      <c r="N270" s="4901"/>
      <c r="O270" s="4901"/>
      <c r="P270" s="4514"/>
      <c r="Q270" s="4514"/>
      <c r="R270" s="4518"/>
      <c r="S270" s="3311"/>
      <c r="T270" s="1891"/>
      <c r="U270" s="1849">
        <v>448210011</v>
      </c>
      <c r="V270" s="1883" t="s">
        <v>6056</v>
      </c>
      <c r="W270" s="1864">
        <v>1</v>
      </c>
      <c r="X270" s="2434" t="s">
        <v>269</v>
      </c>
      <c r="Y270" s="3214">
        <v>80</v>
      </c>
      <c r="Z270" s="3214">
        <f t="shared" si="30"/>
        <v>80</v>
      </c>
      <c r="AA270" s="3214">
        <f t="shared" si="31"/>
        <v>89.600000000000009</v>
      </c>
      <c r="AB270" s="3638"/>
      <c r="AC270" s="3637"/>
      <c r="AD270" s="3637" t="s">
        <v>251</v>
      </c>
      <c r="AE270" s="3206"/>
      <c r="AF270" s="5301"/>
    </row>
    <row r="271" spans="1:32" ht="22.5" customHeight="1">
      <c r="A271" s="4564"/>
      <c r="B271" s="4570"/>
      <c r="C271" s="4545"/>
      <c r="D271" s="4514"/>
      <c r="E271" s="4514"/>
      <c r="F271" s="4514"/>
      <c r="G271" s="4514"/>
      <c r="H271" s="4514"/>
      <c r="I271" s="4514"/>
      <c r="J271" s="4514"/>
      <c r="K271" s="4514"/>
      <c r="L271" s="4514"/>
      <c r="M271" s="4901"/>
      <c r="N271" s="4901"/>
      <c r="O271" s="4901"/>
      <c r="P271" s="4514"/>
      <c r="Q271" s="4514"/>
      <c r="R271" s="4518"/>
      <c r="S271" s="3311"/>
      <c r="T271" s="1891"/>
      <c r="U271" s="1849">
        <v>441902013</v>
      </c>
      <c r="V271" s="1883" t="s">
        <v>1702</v>
      </c>
      <c r="W271" s="1864">
        <v>5</v>
      </c>
      <c r="X271" s="2434" t="s">
        <v>269</v>
      </c>
      <c r="Y271" s="3214">
        <v>14</v>
      </c>
      <c r="Z271" s="3214">
        <f t="shared" si="30"/>
        <v>70</v>
      </c>
      <c r="AA271" s="3214">
        <f t="shared" si="31"/>
        <v>78.400000000000006</v>
      </c>
      <c r="AB271" s="3638"/>
      <c r="AC271" s="3637"/>
      <c r="AD271" s="3637" t="s">
        <v>251</v>
      </c>
      <c r="AE271" s="3206"/>
      <c r="AF271" s="5301"/>
    </row>
    <row r="272" spans="1:32" ht="22.5" customHeight="1">
      <c r="A272" s="4564"/>
      <c r="B272" s="4570"/>
      <c r="C272" s="4545"/>
      <c r="D272" s="4514"/>
      <c r="E272" s="4514"/>
      <c r="F272" s="4514"/>
      <c r="G272" s="4514"/>
      <c r="H272" s="4514"/>
      <c r="I272" s="4514"/>
      <c r="J272" s="4514"/>
      <c r="K272" s="4514"/>
      <c r="L272" s="4514"/>
      <c r="M272" s="4901"/>
      <c r="N272" s="4901"/>
      <c r="O272" s="4901"/>
      <c r="P272" s="4514"/>
      <c r="Q272" s="4514"/>
      <c r="R272" s="4518"/>
      <c r="S272" s="3311"/>
      <c r="T272" s="1891"/>
      <c r="U272" s="1849">
        <v>371950019</v>
      </c>
      <c r="V272" s="1883" t="s">
        <v>6057</v>
      </c>
      <c r="W272" s="1864">
        <v>5</v>
      </c>
      <c r="X272" s="2434" t="s">
        <v>269</v>
      </c>
      <c r="Y272" s="3214">
        <v>35</v>
      </c>
      <c r="Z272" s="3214">
        <f t="shared" si="30"/>
        <v>175</v>
      </c>
      <c r="AA272" s="3214">
        <f t="shared" si="31"/>
        <v>196.00000000000003</v>
      </c>
      <c r="AB272" s="3638"/>
      <c r="AC272" s="3637"/>
      <c r="AD272" s="3637" t="s">
        <v>251</v>
      </c>
      <c r="AE272" s="3206"/>
      <c r="AF272" s="5301"/>
    </row>
    <row r="273" spans="1:32" ht="22.5" customHeight="1">
      <c r="A273" s="4564"/>
      <c r="B273" s="4570"/>
      <c r="C273" s="4545"/>
      <c r="D273" s="4514"/>
      <c r="E273" s="4514"/>
      <c r="F273" s="4514"/>
      <c r="G273" s="4514"/>
      <c r="H273" s="4514"/>
      <c r="I273" s="4514"/>
      <c r="J273" s="4514"/>
      <c r="K273" s="4514"/>
      <c r="L273" s="4514"/>
      <c r="M273" s="4901"/>
      <c r="N273" s="4901"/>
      <c r="O273" s="4901"/>
      <c r="P273" s="4514"/>
      <c r="Q273" s="4514"/>
      <c r="R273" s="4518"/>
      <c r="S273" s="3311"/>
      <c r="T273" s="1891"/>
      <c r="U273" s="1849">
        <v>371950111</v>
      </c>
      <c r="V273" s="1883" t="s">
        <v>6058</v>
      </c>
      <c r="W273" s="1864">
        <v>5</v>
      </c>
      <c r="X273" s="2434" t="s">
        <v>269</v>
      </c>
      <c r="Y273" s="3214">
        <v>10</v>
      </c>
      <c r="Z273" s="3214">
        <f t="shared" si="30"/>
        <v>50</v>
      </c>
      <c r="AA273" s="3214">
        <f t="shared" si="31"/>
        <v>56.000000000000007</v>
      </c>
      <c r="AB273" s="3638"/>
      <c r="AC273" s="3637"/>
      <c r="AD273" s="3637" t="s">
        <v>251</v>
      </c>
      <c r="AE273" s="3206"/>
      <c r="AF273" s="5301"/>
    </row>
    <row r="274" spans="1:32" ht="22.5" customHeight="1">
      <c r="A274" s="4564"/>
      <c r="B274" s="4570"/>
      <c r="C274" s="4545"/>
      <c r="D274" s="4514"/>
      <c r="E274" s="4514"/>
      <c r="F274" s="4514"/>
      <c r="G274" s="4514"/>
      <c r="H274" s="4514"/>
      <c r="I274" s="4514"/>
      <c r="J274" s="4514"/>
      <c r="K274" s="4514"/>
      <c r="L274" s="4514"/>
      <c r="M274" s="4901"/>
      <c r="N274" s="4901"/>
      <c r="O274" s="4901"/>
      <c r="P274" s="4514"/>
      <c r="Q274" s="4514"/>
      <c r="R274" s="4518"/>
      <c r="S274" s="3311"/>
      <c r="T274" s="1891"/>
      <c r="U274" s="1849">
        <v>371950111</v>
      </c>
      <c r="V274" s="1883" t="s">
        <v>6059</v>
      </c>
      <c r="W274" s="1864">
        <v>5</v>
      </c>
      <c r="X274" s="2434" t="s">
        <v>269</v>
      </c>
      <c r="Y274" s="3214">
        <v>11.25</v>
      </c>
      <c r="Z274" s="3214">
        <f t="shared" si="30"/>
        <v>56.25</v>
      </c>
      <c r="AA274" s="3214">
        <f t="shared" si="31"/>
        <v>63.000000000000007</v>
      </c>
      <c r="AB274" s="3638"/>
      <c r="AC274" s="3637"/>
      <c r="AD274" s="3637" t="s">
        <v>251</v>
      </c>
      <c r="AE274" s="3206"/>
      <c r="AF274" s="5301"/>
    </row>
    <row r="275" spans="1:32" ht="22.5" customHeight="1">
      <c r="A275" s="4564"/>
      <c r="B275" s="4570"/>
      <c r="C275" s="4545"/>
      <c r="D275" s="4514"/>
      <c r="E275" s="4514"/>
      <c r="F275" s="4514"/>
      <c r="G275" s="4514"/>
      <c r="H275" s="4514"/>
      <c r="I275" s="4514"/>
      <c r="J275" s="4514"/>
      <c r="K275" s="4514"/>
      <c r="L275" s="4514"/>
      <c r="M275" s="4901"/>
      <c r="N275" s="4901"/>
      <c r="O275" s="4901"/>
      <c r="P275" s="4514"/>
      <c r="Q275" s="4514"/>
      <c r="R275" s="4518"/>
      <c r="S275" s="3311"/>
      <c r="T275" s="1891"/>
      <c r="U275" s="1849">
        <v>371950111</v>
      </c>
      <c r="V275" s="1883" t="s">
        <v>6060</v>
      </c>
      <c r="W275" s="1864">
        <v>5</v>
      </c>
      <c r="X275" s="2434" t="s">
        <v>269</v>
      </c>
      <c r="Y275" s="3214">
        <v>12.5</v>
      </c>
      <c r="Z275" s="3214">
        <f t="shared" si="30"/>
        <v>62.5</v>
      </c>
      <c r="AA275" s="3214">
        <f t="shared" si="31"/>
        <v>70</v>
      </c>
      <c r="AB275" s="3638"/>
      <c r="AC275" s="3637"/>
      <c r="AD275" s="3637" t="s">
        <v>251</v>
      </c>
      <c r="AE275" s="3206"/>
      <c r="AF275" s="5301"/>
    </row>
    <row r="276" spans="1:32" ht="22.5" customHeight="1">
      <c r="A276" s="4564"/>
      <c r="B276" s="4570"/>
      <c r="C276" s="4545"/>
      <c r="D276" s="4514"/>
      <c r="E276" s="4514"/>
      <c r="F276" s="4514"/>
      <c r="G276" s="4514"/>
      <c r="H276" s="4514"/>
      <c r="I276" s="4514"/>
      <c r="J276" s="4514"/>
      <c r="K276" s="4514"/>
      <c r="L276" s="4514"/>
      <c r="M276" s="4901"/>
      <c r="N276" s="4901"/>
      <c r="O276" s="4901"/>
      <c r="P276" s="4514"/>
      <c r="Q276" s="4514"/>
      <c r="R276" s="4518"/>
      <c r="S276" s="3311"/>
      <c r="T276" s="1891"/>
      <c r="U276" s="1849"/>
      <c r="V276" s="3789"/>
      <c r="W276" s="1864"/>
      <c r="X276" s="3637"/>
      <c r="Y276" s="3214"/>
      <c r="Z276" s="3214"/>
      <c r="AA276" s="3214"/>
      <c r="AB276" s="3638"/>
      <c r="AC276" s="3637"/>
      <c r="AD276" s="3637"/>
      <c r="AE276" s="3206"/>
      <c r="AF276" s="5301"/>
    </row>
    <row r="277" spans="1:32" ht="22.5" customHeight="1">
      <c r="A277" s="4564"/>
      <c r="B277" s="4570"/>
      <c r="C277" s="4545"/>
      <c r="D277" s="4514"/>
      <c r="E277" s="4514"/>
      <c r="F277" s="4514"/>
      <c r="G277" s="4514"/>
      <c r="H277" s="4514"/>
      <c r="I277" s="4514"/>
      <c r="J277" s="4514"/>
      <c r="K277" s="4514"/>
      <c r="L277" s="4514"/>
      <c r="M277" s="4901"/>
      <c r="N277" s="4901"/>
      <c r="O277" s="4901"/>
      <c r="P277" s="4514"/>
      <c r="Q277" s="4514"/>
      <c r="R277" s="4518"/>
      <c r="S277" s="3311" t="s">
        <v>39</v>
      </c>
      <c r="T277" s="1891">
        <v>531407</v>
      </c>
      <c r="U277" s="1849"/>
      <c r="V277" s="3789" t="s">
        <v>20</v>
      </c>
      <c r="W277" s="1864"/>
      <c r="X277" s="3637"/>
      <c r="Y277" s="3214"/>
      <c r="Z277" s="3214"/>
      <c r="AA277" s="3214"/>
      <c r="AB277" s="3638">
        <f>SUM($AA$278:$AA$280)</f>
        <v>85.12</v>
      </c>
      <c r="AC277" s="3637"/>
      <c r="AD277" s="3637"/>
      <c r="AE277" s="3206"/>
      <c r="AF277" s="5301"/>
    </row>
    <row r="278" spans="1:32" ht="22.5" customHeight="1">
      <c r="A278" s="4564"/>
      <c r="B278" s="4570"/>
      <c r="C278" s="4545"/>
      <c r="D278" s="4514"/>
      <c r="E278" s="4514"/>
      <c r="F278" s="4514"/>
      <c r="G278" s="4514"/>
      <c r="H278" s="4514"/>
      <c r="I278" s="4514"/>
      <c r="J278" s="4514"/>
      <c r="K278" s="4514"/>
      <c r="L278" s="4514"/>
      <c r="M278" s="4901"/>
      <c r="N278" s="4901"/>
      <c r="O278" s="4901"/>
      <c r="P278" s="4514"/>
      <c r="Q278" s="4514"/>
      <c r="R278" s="4518"/>
      <c r="S278" s="3311"/>
      <c r="T278" s="1891"/>
      <c r="U278" s="1849">
        <v>461220011</v>
      </c>
      <c r="V278" s="1883" t="s">
        <v>6041</v>
      </c>
      <c r="W278" s="1864">
        <v>1</v>
      </c>
      <c r="X278" s="2434" t="s">
        <v>269</v>
      </c>
      <c r="Y278" s="3214">
        <v>63</v>
      </c>
      <c r="Z278" s="3214">
        <f t="shared" ref="Z278:Z280" si="32">+W278*Y278</f>
        <v>63</v>
      </c>
      <c r="AA278" s="3214">
        <f t="shared" ref="AA278:AA280" si="33">+Z278*1.12</f>
        <v>70.56</v>
      </c>
      <c r="AB278" s="3638"/>
      <c r="AC278" s="3637"/>
      <c r="AD278" s="3637" t="s">
        <v>251</v>
      </c>
      <c r="AE278" s="3206"/>
      <c r="AF278" s="5301"/>
    </row>
    <row r="279" spans="1:32" ht="22.5" customHeight="1">
      <c r="A279" s="4564"/>
      <c r="B279" s="4570"/>
      <c r="C279" s="4545"/>
      <c r="D279" s="4514"/>
      <c r="E279" s="4514"/>
      <c r="F279" s="4514"/>
      <c r="G279" s="4514"/>
      <c r="H279" s="4514"/>
      <c r="I279" s="4514"/>
      <c r="J279" s="4514"/>
      <c r="K279" s="4514"/>
      <c r="L279" s="4514"/>
      <c r="M279" s="4901"/>
      <c r="N279" s="4901"/>
      <c r="O279" s="4901"/>
      <c r="P279" s="4514"/>
      <c r="Q279" s="4514"/>
      <c r="R279" s="4518"/>
      <c r="S279" s="3311"/>
      <c r="T279" s="1891"/>
      <c r="U279" s="1849">
        <v>452900012</v>
      </c>
      <c r="V279" s="1883" t="s">
        <v>1652</v>
      </c>
      <c r="W279" s="1864">
        <v>1</v>
      </c>
      <c r="X279" s="2434" t="s">
        <v>269</v>
      </c>
      <c r="Y279" s="3214">
        <v>6</v>
      </c>
      <c r="Z279" s="3214">
        <f t="shared" si="32"/>
        <v>6</v>
      </c>
      <c r="AA279" s="3214">
        <f t="shared" si="33"/>
        <v>6.7200000000000006</v>
      </c>
      <c r="AB279" s="3638"/>
      <c r="AC279" s="3637"/>
      <c r="AD279" s="3637" t="s">
        <v>251</v>
      </c>
      <c r="AE279" s="3206"/>
      <c r="AF279" s="5301"/>
    </row>
    <row r="280" spans="1:32" ht="22.5" customHeight="1">
      <c r="A280" s="4564"/>
      <c r="B280" s="4570"/>
      <c r="C280" s="4545"/>
      <c r="D280" s="4514"/>
      <c r="E280" s="4514"/>
      <c r="F280" s="4514"/>
      <c r="G280" s="4514"/>
      <c r="H280" s="4514"/>
      <c r="I280" s="4514"/>
      <c r="J280" s="4514"/>
      <c r="K280" s="4514"/>
      <c r="L280" s="4514"/>
      <c r="M280" s="4901"/>
      <c r="N280" s="4901"/>
      <c r="O280" s="4901"/>
      <c r="P280" s="4514"/>
      <c r="Q280" s="4514"/>
      <c r="R280" s="4518"/>
      <c r="S280" s="3311"/>
      <c r="T280" s="1891"/>
      <c r="U280" s="1849">
        <v>452900011</v>
      </c>
      <c r="V280" s="1883" t="s">
        <v>1653</v>
      </c>
      <c r="W280" s="1864">
        <v>1</v>
      </c>
      <c r="X280" s="2434" t="s">
        <v>269</v>
      </c>
      <c r="Y280" s="3214">
        <v>7</v>
      </c>
      <c r="Z280" s="3214">
        <f t="shared" si="32"/>
        <v>7</v>
      </c>
      <c r="AA280" s="3214">
        <f t="shared" si="33"/>
        <v>7.8400000000000007</v>
      </c>
      <c r="AB280" s="3638"/>
      <c r="AC280" s="3637"/>
      <c r="AD280" s="3637" t="s">
        <v>251</v>
      </c>
      <c r="AE280" s="3206"/>
      <c r="AF280" s="5301"/>
    </row>
    <row r="281" spans="1:32" ht="22.5" customHeight="1">
      <c r="A281" s="4564"/>
      <c r="B281" s="4570"/>
      <c r="C281" s="4573"/>
      <c r="D281" s="4515"/>
      <c r="E281" s="4515"/>
      <c r="F281" s="4515"/>
      <c r="G281" s="4515"/>
      <c r="H281" s="4515"/>
      <c r="I281" s="4515"/>
      <c r="J281" s="4515"/>
      <c r="K281" s="4515"/>
      <c r="L281" s="4515"/>
      <c r="M281" s="5222"/>
      <c r="N281" s="5222"/>
      <c r="O281" s="5222"/>
      <c r="P281" s="4515"/>
      <c r="Q281" s="4515"/>
      <c r="R281" s="4519"/>
      <c r="S281" s="3312"/>
      <c r="T281" s="3819"/>
      <c r="U281" s="3268"/>
      <c r="V281" s="4129"/>
      <c r="W281" s="3233"/>
      <c r="X281" s="3642"/>
      <c r="Y281" s="3282"/>
      <c r="Z281" s="3282"/>
      <c r="AA281" s="3282"/>
      <c r="AB281" s="3643"/>
      <c r="AC281" s="3642"/>
      <c r="AD281" s="3642"/>
      <c r="AE281" s="4117"/>
      <c r="AF281" s="5303"/>
    </row>
    <row r="282" spans="1:32" ht="19.5" customHeight="1">
      <c r="A282" s="4564"/>
      <c r="B282" s="4570"/>
      <c r="C282" s="5236" t="s">
        <v>235</v>
      </c>
      <c r="D282" s="4395" t="s">
        <v>236</v>
      </c>
      <c r="E282" s="4395" t="s">
        <v>244</v>
      </c>
      <c r="F282" s="4395" t="s">
        <v>808</v>
      </c>
      <c r="G282" s="4395" t="s">
        <v>239</v>
      </c>
      <c r="H282" s="4395" t="s">
        <v>240</v>
      </c>
      <c r="I282" s="4395" t="s">
        <v>241</v>
      </c>
      <c r="J282" s="4395" t="s">
        <v>1703</v>
      </c>
      <c r="K282" s="4399" t="s">
        <v>1704</v>
      </c>
      <c r="L282" s="4395" t="s">
        <v>1705</v>
      </c>
      <c r="M282" s="4401">
        <v>1</v>
      </c>
      <c r="N282" s="4401">
        <v>1</v>
      </c>
      <c r="O282" s="4401">
        <v>1</v>
      </c>
      <c r="P282" s="4395" t="s">
        <v>1706</v>
      </c>
      <c r="Q282" s="4395" t="s">
        <v>1707</v>
      </c>
      <c r="R282" s="4897" t="s">
        <v>6092</v>
      </c>
      <c r="S282" s="3313"/>
      <c r="T282" s="3071"/>
      <c r="U282" s="3274"/>
      <c r="V282" s="4069"/>
      <c r="W282" s="4070"/>
      <c r="X282" s="4033"/>
      <c r="Y282" s="3295"/>
      <c r="Z282" s="3295"/>
      <c r="AA282" s="3295"/>
      <c r="AB282" s="4115"/>
      <c r="AC282" s="4033"/>
      <c r="AD282" s="4116"/>
      <c r="AE282" s="4116"/>
      <c r="AF282" s="5209"/>
    </row>
    <row r="283" spans="1:32" ht="19.5" customHeight="1">
      <c r="A283" s="4564"/>
      <c r="B283" s="4570"/>
      <c r="C283" s="4545"/>
      <c r="D283" s="4514"/>
      <c r="E283" s="4514"/>
      <c r="F283" s="4514"/>
      <c r="G283" s="4514"/>
      <c r="H283" s="4514"/>
      <c r="I283" s="4514"/>
      <c r="J283" s="4514"/>
      <c r="K283" s="4514"/>
      <c r="L283" s="4514"/>
      <c r="M283" s="4901"/>
      <c r="N283" s="4901"/>
      <c r="O283" s="4901"/>
      <c r="P283" s="4514"/>
      <c r="Q283" s="4514"/>
      <c r="R283" s="4518"/>
      <c r="S283" s="3311"/>
      <c r="T283" s="1891"/>
      <c r="U283" s="1849"/>
      <c r="V283" s="1883"/>
      <c r="W283" s="1864"/>
      <c r="X283" s="3637"/>
      <c r="Y283" s="3214"/>
      <c r="Z283" s="3214"/>
      <c r="AA283" s="3214"/>
      <c r="AB283" s="3638"/>
      <c r="AC283" s="3637"/>
      <c r="AD283" s="3206"/>
      <c r="AE283" s="3206"/>
      <c r="AF283" s="5301"/>
    </row>
    <row r="284" spans="1:32" ht="19.5" customHeight="1">
      <c r="A284" s="4564"/>
      <c r="B284" s="4570"/>
      <c r="C284" s="4545"/>
      <c r="D284" s="4514"/>
      <c r="E284" s="4514"/>
      <c r="F284" s="4514"/>
      <c r="G284" s="4514"/>
      <c r="H284" s="4514"/>
      <c r="I284" s="4514"/>
      <c r="J284" s="4514"/>
      <c r="K284" s="4514"/>
      <c r="L284" s="4514"/>
      <c r="M284" s="4901"/>
      <c r="N284" s="4901"/>
      <c r="O284" s="4901"/>
      <c r="P284" s="4514"/>
      <c r="Q284" s="4514"/>
      <c r="R284" s="4518"/>
      <c r="S284" s="3311"/>
      <c r="T284" s="1891"/>
      <c r="U284" s="1849"/>
      <c r="V284" s="1883"/>
      <c r="W284" s="1864"/>
      <c r="X284" s="3637"/>
      <c r="Y284" s="3214"/>
      <c r="Z284" s="3214"/>
      <c r="AA284" s="3214"/>
      <c r="AB284" s="3638"/>
      <c r="AC284" s="3637"/>
      <c r="AD284" s="3206"/>
      <c r="AE284" s="3206"/>
      <c r="AF284" s="5301"/>
    </row>
    <row r="285" spans="1:32" ht="19.5" customHeight="1">
      <c r="A285" s="4564"/>
      <c r="B285" s="4570"/>
      <c r="C285" s="4545"/>
      <c r="D285" s="4514"/>
      <c r="E285" s="4514"/>
      <c r="F285" s="4514"/>
      <c r="G285" s="4514"/>
      <c r="H285" s="4514"/>
      <c r="I285" s="4514"/>
      <c r="J285" s="4514"/>
      <c r="K285" s="4514"/>
      <c r="L285" s="4514"/>
      <c r="M285" s="4901"/>
      <c r="N285" s="4901"/>
      <c r="O285" s="4901"/>
      <c r="P285" s="4514"/>
      <c r="Q285" s="4514"/>
      <c r="R285" s="4518"/>
      <c r="S285" s="3311"/>
      <c r="T285" s="1891"/>
      <c r="U285" s="1849"/>
      <c r="V285" s="1883"/>
      <c r="W285" s="1864"/>
      <c r="X285" s="3637"/>
      <c r="Y285" s="3214"/>
      <c r="Z285" s="3214"/>
      <c r="AA285" s="3214"/>
      <c r="AB285" s="3638"/>
      <c r="AC285" s="3637"/>
      <c r="AD285" s="3206"/>
      <c r="AE285" s="3206"/>
      <c r="AF285" s="5301"/>
    </row>
    <row r="286" spans="1:32" ht="39.75" customHeight="1">
      <c r="A286" s="4564"/>
      <c r="B286" s="4570"/>
      <c r="C286" s="4566"/>
      <c r="D286" s="4525"/>
      <c r="E286" s="4525"/>
      <c r="F286" s="4525"/>
      <c r="G286" s="4525"/>
      <c r="H286" s="4525"/>
      <c r="I286" s="4525"/>
      <c r="J286" s="4525"/>
      <c r="K286" s="4525"/>
      <c r="L286" s="4525"/>
      <c r="M286" s="4902"/>
      <c r="N286" s="4902"/>
      <c r="O286" s="4902"/>
      <c r="P286" s="4525"/>
      <c r="Q286" s="4525"/>
      <c r="R286" s="4528"/>
      <c r="S286" s="3314"/>
      <c r="T286" s="3821"/>
      <c r="U286" s="3271"/>
      <c r="V286" s="3822"/>
      <c r="W286" s="3254"/>
      <c r="X286" s="4037"/>
      <c r="Y286" s="3291"/>
      <c r="Z286" s="3291"/>
      <c r="AA286" s="3291"/>
      <c r="AB286" s="4118"/>
      <c r="AC286" s="4037"/>
      <c r="AD286" s="4119"/>
      <c r="AE286" s="4119"/>
      <c r="AF286" s="5302"/>
    </row>
    <row r="287" spans="1:32" ht="18.75" customHeight="1">
      <c r="A287" s="4564"/>
      <c r="B287" s="4570"/>
      <c r="C287" s="5239" t="s">
        <v>235</v>
      </c>
      <c r="D287" s="4377" t="s">
        <v>236</v>
      </c>
      <c r="E287" s="4377" t="s">
        <v>244</v>
      </c>
      <c r="F287" s="4377" t="s">
        <v>808</v>
      </c>
      <c r="G287" s="4906" t="s">
        <v>239</v>
      </c>
      <c r="H287" s="4377" t="s">
        <v>240</v>
      </c>
      <c r="I287" s="4377" t="s">
        <v>241</v>
      </c>
      <c r="J287" s="4377" t="s">
        <v>1708</v>
      </c>
      <c r="K287" s="4377" t="s">
        <v>1709</v>
      </c>
      <c r="L287" s="4377" t="s">
        <v>1710</v>
      </c>
      <c r="M287" s="4392">
        <v>1</v>
      </c>
      <c r="N287" s="4392">
        <v>0</v>
      </c>
      <c r="O287" s="4392">
        <v>1</v>
      </c>
      <c r="P287" s="4377" t="s">
        <v>1711</v>
      </c>
      <c r="Q287" s="4377" t="s">
        <v>1712</v>
      </c>
      <c r="R287" s="4903" t="s">
        <v>6077</v>
      </c>
      <c r="S287" s="3310"/>
      <c r="T287" s="3270"/>
      <c r="U287" s="3272"/>
      <c r="V287" s="4068"/>
      <c r="W287" s="4071"/>
      <c r="X287" s="3632"/>
      <c r="Y287" s="3633"/>
      <c r="Z287" s="3633"/>
      <c r="AA287" s="3633"/>
      <c r="AB287" s="3634"/>
      <c r="AC287" s="3632"/>
      <c r="AD287" s="4120"/>
      <c r="AE287" s="4120"/>
      <c r="AF287" s="5217" t="s">
        <v>1713</v>
      </c>
    </row>
    <row r="288" spans="1:32" ht="18.75" customHeight="1">
      <c r="A288" s="4564"/>
      <c r="B288" s="4570"/>
      <c r="C288" s="4545"/>
      <c r="D288" s="4514"/>
      <c r="E288" s="4514"/>
      <c r="F288" s="4514"/>
      <c r="G288" s="4514"/>
      <c r="H288" s="4514"/>
      <c r="I288" s="4514"/>
      <c r="J288" s="4514"/>
      <c r="K288" s="4514"/>
      <c r="L288" s="4514"/>
      <c r="M288" s="4901"/>
      <c r="N288" s="4901"/>
      <c r="O288" s="4901"/>
      <c r="P288" s="4514"/>
      <c r="Q288" s="4514"/>
      <c r="R288" s="4518"/>
      <c r="S288" s="3311"/>
      <c r="T288" s="1891"/>
      <c r="U288" s="1849"/>
      <c r="V288" s="1883"/>
      <c r="W288" s="1864"/>
      <c r="X288" s="3637"/>
      <c r="Y288" s="3214"/>
      <c r="Z288" s="3214"/>
      <c r="AA288" s="3214"/>
      <c r="AB288" s="3638"/>
      <c r="AC288" s="3637"/>
      <c r="AD288" s="3206"/>
      <c r="AE288" s="3206"/>
      <c r="AF288" s="5301"/>
    </row>
    <row r="289" spans="1:32" ht="18.75" customHeight="1">
      <c r="A289" s="4564"/>
      <c r="B289" s="4570"/>
      <c r="C289" s="4545"/>
      <c r="D289" s="4514"/>
      <c r="E289" s="4514"/>
      <c r="F289" s="4514"/>
      <c r="G289" s="4514"/>
      <c r="H289" s="4514"/>
      <c r="I289" s="4514"/>
      <c r="J289" s="4514"/>
      <c r="K289" s="4514"/>
      <c r="L289" s="4514"/>
      <c r="M289" s="4901"/>
      <c r="N289" s="4901"/>
      <c r="O289" s="4901"/>
      <c r="P289" s="4514"/>
      <c r="Q289" s="4514"/>
      <c r="R289" s="4518"/>
      <c r="S289" s="3311"/>
      <c r="T289" s="1891"/>
      <c r="U289" s="1849"/>
      <c r="V289" s="1883"/>
      <c r="W289" s="1864"/>
      <c r="X289" s="3637"/>
      <c r="Y289" s="3214"/>
      <c r="Z289" s="3214"/>
      <c r="AA289" s="3214"/>
      <c r="AB289" s="3638"/>
      <c r="AC289" s="3637"/>
      <c r="AD289" s="3206"/>
      <c r="AE289" s="3206"/>
      <c r="AF289" s="5301"/>
    </row>
    <row r="290" spans="1:32" ht="18.75" customHeight="1">
      <c r="A290" s="4564"/>
      <c r="B290" s="4570"/>
      <c r="C290" s="4545"/>
      <c r="D290" s="4514"/>
      <c r="E290" s="4514"/>
      <c r="F290" s="4514"/>
      <c r="G290" s="4514"/>
      <c r="H290" s="4514"/>
      <c r="I290" s="4514"/>
      <c r="J290" s="4514"/>
      <c r="K290" s="4514"/>
      <c r="L290" s="4514"/>
      <c r="M290" s="4901"/>
      <c r="N290" s="4901"/>
      <c r="O290" s="4901"/>
      <c r="P290" s="4514"/>
      <c r="Q290" s="4514"/>
      <c r="R290" s="4518"/>
      <c r="S290" s="3311"/>
      <c r="T290" s="1891"/>
      <c r="U290" s="1849"/>
      <c r="V290" s="1883"/>
      <c r="W290" s="1864"/>
      <c r="X290" s="3637"/>
      <c r="Y290" s="3214"/>
      <c r="Z290" s="3214"/>
      <c r="AA290" s="3214"/>
      <c r="AB290" s="3638"/>
      <c r="AC290" s="3637"/>
      <c r="AD290" s="3206"/>
      <c r="AE290" s="3206"/>
      <c r="AF290" s="5301"/>
    </row>
    <row r="291" spans="1:32" ht="47.25" customHeight="1">
      <c r="A291" s="4564"/>
      <c r="B291" s="4570"/>
      <c r="C291" s="4573"/>
      <c r="D291" s="4515"/>
      <c r="E291" s="4515"/>
      <c r="F291" s="4515"/>
      <c r="G291" s="4515"/>
      <c r="H291" s="4515"/>
      <c r="I291" s="4515"/>
      <c r="J291" s="4515"/>
      <c r="K291" s="4515"/>
      <c r="L291" s="4515"/>
      <c r="M291" s="5222"/>
      <c r="N291" s="5222"/>
      <c r="O291" s="5222"/>
      <c r="P291" s="4515"/>
      <c r="Q291" s="4515"/>
      <c r="R291" s="4519"/>
      <c r="S291" s="3312"/>
      <c r="T291" s="3819"/>
      <c r="U291" s="3268"/>
      <c r="V291" s="3641"/>
      <c r="W291" s="3233"/>
      <c r="X291" s="3642"/>
      <c r="Y291" s="3282"/>
      <c r="Z291" s="3282"/>
      <c r="AA291" s="3282"/>
      <c r="AB291" s="3643"/>
      <c r="AC291" s="3642"/>
      <c r="AD291" s="4117"/>
      <c r="AE291" s="4117"/>
      <c r="AF291" s="5303"/>
    </row>
    <row r="292" spans="1:32">
      <c r="A292" s="4564"/>
      <c r="B292" s="4570"/>
      <c r="C292" s="5236" t="s">
        <v>235</v>
      </c>
      <c r="D292" s="4395" t="s">
        <v>236</v>
      </c>
      <c r="E292" s="4395" t="s">
        <v>237</v>
      </c>
      <c r="F292" s="4395" t="s">
        <v>255</v>
      </c>
      <c r="G292" s="4930" t="s">
        <v>239</v>
      </c>
      <c r="H292" s="4395" t="s">
        <v>240</v>
      </c>
      <c r="I292" s="4395" t="s">
        <v>257</v>
      </c>
      <c r="J292" s="4395" t="s">
        <v>1714</v>
      </c>
      <c r="K292" s="4395" t="s">
        <v>338</v>
      </c>
      <c r="L292" s="4395" t="s">
        <v>1715</v>
      </c>
      <c r="M292" s="4401">
        <v>0</v>
      </c>
      <c r="N292" s="4401">
        <v>1</v>
      </c>
      <c r="O292" s="4401">
        <v>1</v>
      </c>
      <c r="P292" s="4395" t="s">
        <v>1716</v>
      </c>
      <c r="Q292" s="4395" t="s">
        <v>1717</v>
      </c>
      <c r="R292" s="4897" t="s">
        <v>6093</v>
      </c>
      <c r="S292" s="3313"/>
      <c r="T292" s="3071"/>
      <c r="U292" s="3274"/>
      <c r="V292" s="4069"/>
      <c r="W292" s="4070"/>
      <c r="X292" s="4033"/>
      <c r="Y292" s="3295"/>
      <c r="Z292" s="3295"/>
      <c r="AA292" s="3295"/>
      <c r="AB292" s="4115"/>
      <c r="AC292" s="4033"/>
      <c r="AD292" s="4116"/>
      <c r="AE292" s="4116"/>
      <c r="AF292" s="5209"/>
    </row>
    <row r="293" spans="1:32">
      <c r="A293" s="4564"/>
      <c r="B293" s="4570"/>
      <c r="C293" s="4545"/>
      <c r="D293" s="4514"/>
      <c r="E293" s="4514"/>
      <c r="F293" s="4514"/>
      <c r="G293" s="4514"/>
      <c r="H293" s="4514"/>
      <c r="I293" s="4514"/>
      <c r="J293" s="4514"/>
      <c r="K293" s="4514"/>
      <c r="L293" s="4514"/>
      <c r="M293" s="4901"/>
      <c r="N293" s="4901"/>
      <c r="O293" s="4901"/>
      <c r="P293" s="4514"/>
      <c r="Q293" s="4514"/>
      <c r="R293" s="4518"/>
      <c r="S293" s="3311"/>
      <c r="T293" s="1891"/>
      <c r="U293" s="1849"/>
      <c r="V293" s="1883"/>
      <c r="W293" s="1864"/>
      <c r="X293" s="3637"/>
      <c r="Y293" s="3214"/>
      <c r="Z293" s="3214"/>
      <c r="AA293" s="3214"/>
      <c r="AB293" s="3638"/>
      <c r="AC293" s="3637"/>
      <c r="AD293" s="3206"/>
      <c r="AE293" s="3206"/>
      <c r="AF293" s="5301"/>
    </row>
    <row r="294" spans="1:32">
      <c r="A294" s="4564"/>
      <c r="B294" s="4570"/>
      <c r="C294" s="4545"/>
      <c r="D294" s="4514"/>
      <c r="E294" s="4514"/>
      <c r="F294" s="4514"/>
      <c r="G294" s="4514"/>
      <c r="H294" s="4514"/>
      <c r="I294" s="4514"/>
      <c r="J294" s="4514"/>
      <c r="K294" s="4514"/>
      <c r="L294" s="4514"/>
      <c r="M294" s="4901"/>
      <c r="N294" s="4901"/>
      <c r="O294" s="4901"/>
      <c r="P294" s="4514"/>
      <c r="Q294" s="4514"/>
      <c r="R294" s="4518"/>
      <c r="S294" s="3311"/>
      <c r="T294" s="1891"/>
      <c r="U294" s="1849"/>
      <c r="V294" s="1883"/>
      <c r="W294" s="1864"/>
      <c r="X294" s="3637"/>
      <c r="Y294" s="3214"/>
      <c r="Z294" s="3214"/>
      <c r="AA294" s="3214"/>
      <c r="AB294" s="3638"/>
      <c r="AC294" s="3637"/>
      <c r="AD294" s="3206"/>
      <c r="AE294" s="3206"/>
      <c r="AF294" s="5301"/>
    </row>
    <row r="295" spans="1:32">
      <c r="A295" s="4564"/>
      <c r="B295" s="4570"/>
      <c r="C295" s="4545"/>
      <c r="D295" s="4514"/>
      <c r="E295" s="4514"/>
      <c r="F295" s="4514"/>
      <c r="G295" s="4514"/>
      <c r="H295" s="4514"/>
      <c r="I295" s="4514"/>
      <c r="J295" s="4514"/>
      <c r="K295" s="4514"/>
      <c r="L295" s="4514"/>
      <c r="M295" s="4901"/>
      <c r="N295" s="4901"/>
      <c r="O295" s="4901"/>
      <c r="P295" s="4514"/>
      <c r="Q295" s="4514"/>
      <c r="R295" s="4518"/>
      <c r="S295" s="3311"/>
      <c r="T295" s="1891"/>
      <c r="U295" s="1849"/>
      <c r="V295" s="1883"/>
      <c r="W295" s="1864"/>
      <c r="X295" s="3637"/>
      <c r="Y295" s="3214"/>
      <c r="Z295" s="3214"/>
      <c r="AA295" s="3214"/>
      <c r="AB295" s="3638"/>
      <c r="AC295" s="3637"/>
      <c r="AD295" s="3206"/>
      <c r="AE295" s="3206"/>
      <c r="AF295" s="5301"/>
    </row>
    <row r="296" spans="1:32" ht="54.75" customHeight="1">
      <c r="A296" s="4564"/>
      <c r="B296" s="4570"/>
      <c r="C296" s="4566"/>
      <c r="D296" s="4525"/>
      <c r="E296" s="4525"/>
      <c r="F296" s="4525"/>
      <c r="G296" s="4525"/>
      <c r="H296" s="4525"/>
      <c r="I296" s="4525"/>
      <c r="J296" s="4525"/>
      <c r="K296" s="4525"/>
      <c r="L296" s="4525"/>
      <c r="M296" s="4902"/>
      <c r="N296" s="4902"/>
      <c r="O296" s="4902"/>
      <c r="P296" s="4525"/>
      <c r="Q296" s="4525"/>
      <c r="R296" s="4528"/>
      <c r="S296" s="3314"/>
      <c r="T296" s="3821"/>
      <c r="U296" s="3271"/>
      <c r="V296" s="3822"/>
      <c r="W296" s="3254"/>
      <c r="X296" s="4037"/>
      <c r="Y296" s="3291"/>
      <c r="Z296" s="3291"/>
      <c r="AA296" s="3291"/>
      <c r="AB296" s="4118"/>
      <c r="AC296" s="4037"/>
      <c r="AD296" s="4119"/>
      <c r="AE296" s="4119"/>
      <c r="AF296" s="5302"/>
    </row>
    <row r="297" spans="1:32">
      <c r="A297" s="4564"/>
      <c r="B297" s="4570"/>
      <c r="C297" s="5239" t="s">
        <v>235</v>
      </c>
      <c r="D297" s="4377" t="s">
        <v>236</v>
      </c>
      <c r="E297" s="4377" t="s">
        <v>237</v>
      </c>
      <c r="F297" s="4377" t="s">
        <v>255</v>
      </c>
      <c r="G297" s="4906" t="s">
        <v>239</v>
      </c>
      <c r="H297" s="4377" t="s">
        <v>240</v>
      </c>
      <c r="I297" s="4377" t="s">
        <v>257</v>
      </c>
      <c r="J297" s="4377" t="s">
        <v>1718</v>
      </c>
      <c r="K297" s="4377" t="s">
        <v>707</v>
      </c>
      <c r="L297" s="4377" t="s">
        <v>1719</v>
      </c>
      <c r="M297" s="4392">
        <v>2</v>
      </c>
      <c r="N297" s="4392">
        <v>2</v>
      </c>
      <c r="O297" s="4392">
        <v>2</v>
      </c>
      <c r="P297" s="4377" t="s">
        <v>1720</v>
      </c>
      <c r="Q297" s="4377" t="s">
        <v>408</v>
      </c>
      <c r="R297" s="4903" t="s">
        <v>6094</v>
      </c>
      <c r="S297" s="3310"/>
      <c r="T297" s="3270"/>
      <c r="U297" s="3272"/>
      <c r="V297" s="4068"/>
      <c r="W297" s="4071"/>
      <c r="X297" s="3632"/>
      <c r="Y297" s="3633"/>
      <c r="Z297" s="3633"/>
      <c r="AA297" s="3633"/>
      <c r="AB297" s="3634"/>
      <c r="AC297" s="3632"/>
      <c r="AD297" s="4120"/>
      <c r="AE297" s="4120"/>
      <c r="AF297" s="5217"/>
    </row>
    <row r="298" spans="1:32">
      <c r="A298" s="4564"/>
      <c r="B298" s="4570"/>
      <c r="C298" s="4545"/>
      <c r="D298" s="4514"/>
      <c r="E298" s="4514"/>
      <c r="F298" s="4514"/>
      <c r="G298" s="4514"/>
      <c r="H298" s="4514"/>
      <c r="I298" s="4514"/>
      <c r="J298" s="4514"/>
      <c r="K298" s="4514"/>
      <c r="L298" s="4514"/>
      <c r="M298" s="4901"/>
      <c r="N298" s="4901"/>
      <c r="O298" s="4901"/>
      <c r="P298" s="4514"/>
      <c r="Q298" s="4514"/>
      <c r="R298" s="4518"/>
      <c r="S298" s="3311"/>
      <c r="T298" s="1891"/>
      <c r="U298" s="1849"/>
      <c r="V298" s="1883"/>
      <c r="W298" s="1864"/>
      <c r="X298" s="3637"/>
      <c r="Y298" s="3214"/>
      <c r="Z298" s="3214"/>
      <c r="AA298" s="3214"/>
      <c r="AB298" s="3638"/>
      <c r="AC298" s="3637"/>
      <c r="AD298" s="3206"/>
      <c r="AE298" s="3206"/>
      <c r="AF298" s="5301"/>
    </row>
    <row r="299" spans="1:32">
      <c r="A299" s="4564"/>
      <c r="B299" s="4570"/>
      <c r="C299" s="4545"/>
      <c r="D299" s="4514"/>
      <c r="E299" s="4514"/>
      <c r="F299" s="4514"/>
      <c r="G299" s="4514"/>
      <c r="H299" s="4514"/>
      <c r="I299" s="4514"/>
      <c r="J299" s="4514"/>
      <c r="K299" s="4514"/>
      <c r="L299" s="4514"/>
      <c r="M299" s="4901"/>
      <c r="N299" s="4901"/>
      <c r="O299" s="4901"/>
      <c r="P299" s="4514"/>
      <c r="Q299" s="4514"/>
      <c r="R299" s="4518"/>
      <c r="S299" s="3311"/>
      <c r="T299" s="1891"/>
      <c r="U299" s="1849"/>
      <c r="V299" s="1883"/>
      <c r="W299" s="1864"/>
      <c r="X299" s="3637"/>
      <c r="Y299" s="3214"/>
      <c r="Z299" s="3214"/>
      <c r="AA299" s="3214"/>
      <c r="AB299" s="3638"/>
      <c r="AC299" s="3637"/>
      <c r="AD299" s="3206"/>
      <c r="AE299" s="3206"/>
      <c r="AF299" s="5301"/>
    </row>
    <row r="300" spans="1:32">
      <c r="A300" s="4564"/>
      <c r="B300" s="4570"/>
      <c r="C300" s="4545"/>
      <c r="D300" s="4514"/>
      <c r="E300" s="4514"/>
      <c r="F300" s="4514"/>
      <c r="G300" s="4514"/>
      <c r="H300" s="4514"/>
      <c r="I300" s="4514"/>
      <c r="J300" s="4514"/>
      <c r="K300" s="4514"/>
      <c r="L300" s="4514"/>
      <c r="M300" s="4901"/>
      <c r="N300" s="4901"/>
      <c r="O300" s="4901"/>
      <c r="P300" s="4514"/>
      <c r="Q300" s="4514"/>
      <c r="R300" s="4518"/>
      <c r="S300" s="3311"/>
      <c r="T300" s="1891"/>
      <c r="U300" s="1849"/>
      <c r="V300" s="1883"/>
      <c r="W300" s="1864"/>
      <c r="X300" s="3637"/>
      <c r="Y300" s="3214"/>
      <c r="Z300" s="3214"/>
      <c r="AA300" s="3214"/>
      <c r="AB300" s="3638"/>
      <c r="AC300" s="3637"/>
      <c r="AD300" s="3206"/>
      <c r="AE300" s="3206"/>
      <c r="AF300" s="5301"/>
    </row>
    <row r="301" spans="1:32" ht="57.75" customHeight="1" thickBot="1">
      <c r="A301" s="4564"/>
      <c r="B301" s="4570"/>
      <c r="C301" s="5287"/>
      <c r="D301" s="5285"/>
      <c r="E301" s="5285"/>
      <c r="F301" s="5285"/>
      <c r="G301" s="5285"/>
      <c r="H301" s="5285"/>
      <c r="I301" s="5285"/>
      <c r="J301" s="5285"/>
      <c r="K301" s="5285"/>
      <c r="L301" s="5285"/>
      <c r="M301" s="5294"/>
      <c r="N301" s="5294"/>
      <c r="O301" s="5294"/>
      <c r="P301" s="5285"/>
      <c r="Q301" s="5285"/>
      <c r="R301" s="5295"/>
      <c r="S301" s="4136"/>
      <c r="T301" s="4105"/>
      <c r="U301" s="4106"/>
      <c r="V301" s="4107"/>
      <c r="W301" s="4108"/>
      <c r="X301" s="4109"/>
      <c r="Y301" s="4110"/>
      <c r="Z301" s="4110"/>
      <c r="AA301" s="4110"/>
      <c r="AB301" s="4111"/>
      <c r="AC301" s="4109"/>
      <c r="AD301" s="4112"/>
      <c r="AE301" s="4112"/>
      <c r="AF301" s="5304"/>
    </row>
    <row r="302" spans="1:32" ht="24" customHeight="1" thickBot="1">
      <c r="A302" s="4564"/>
      <c r="B302" s="4462"/>
      <c r="C302" s="5323"/>
      <c r="D302" s="4807"/>
      <c r="E302" s="4807"/>
      <c r="F302" s="4807"/>
      <c r="G302" s="4807"/>
      <c r="H302" s="4807"/>
      <c r="I302" s="4807"/>
      <c r="J302" s="4807"/>
      <c r="K302" s="4807"/>
      <c r="L302" s="4807"/>
      <c r="M302" s="4807"/>
      <c r="N302" s="4807"/>
      <c r="O302" s="4807"/>
      <c r="P302" s="4807"/>
      <c r="Q302" s="4807"/>
      <c r="R302" s="4807"/>
      <c r="S302" s="4138" t="s">
        <v>1721</v>
      </c>
      <c r="T302" s="4073"/>
      <c r="U302" s="4073"/>
      <c r="V302" s="4073"/>
      <c r="W302" s="4074"/>
      <c r="X302" s="4075"/>
      <c r="Y302" s="4076"/>
      <c r="Z302" s="4143"/>
      <c r="AA302" s="4144" t="s">
        <v>340</v>
      </c>
      <c r="AB302" s="4146">
        <f>SUM(AB117:AB301)</f>
        <v>122230.04640000001</v>
      </c>
      <c r="AC302" s="4142"/>
      <c r="AD302" s="4142"/>
      <c r="AE302" s="4142"/>
      <c r="AF302" s="4141"/>
    </row>
    <row r="303" spans="1:32">
      <c r="A303" s="4564"/>
      <c r="B303" s="4571" t="s">
        <v>1722</v>
      </c>
      <c r="C303" s="5288" t="s">
        <v>272</v>
      </c>
      <c r="D303" s="4421" t="s">
        <v>302</v>
      </c>
      <c r="E303" s="4421" t="s">
        <v>388</v>
      </c>
      <c r="F303" s="4421" t="s">
        <v>944</v>
      </c>
      <c r="G303" s="5286" t="s">
        <v>305</v>
      </c>
      <c r="H303" s="4421" t="s">
        <v>306</v>
      </c>
      <c r="I303" s="4421" t="s">
        <v>241</v>
      </c>
      <c r="J303" s="4421" t="s">
        <v>6017</v>
      </c>
      <c r="K303" s="4421" t="s">
        <v>1723</v>
      </c>
      <c r="L303" s="4421" t="s">
        <v>1724</v>
      </c>
      <c r="M303" s="4426">
        <v>950</v>
      </c>
      <c r="N303" s="4426">
        <v>50</v>
      </c>
      <c r="O303" s="4426">
        <v>1000</v>
      </c>
      <c r="P303" s="4421" t="s">
        <v>1725</v>
      </c>
      <c r="Q303" s="4421" t="s">
        <v>1726</v>
      </c>
      <c r="R303" s="5290" t="s">
        <v>6095</v>
      </c>
      <c r="S303" s="4135" t="s">
        <v>39</v>
      </c>
      <c r="T303" s="3853">
        <v>531407</v>
      </c>
      <c r="U303" s="3874"/>
      <c r="V303" s="3854" t="s">
        <v>20</v>
      </c>
      <c r="W303" s="3855"/>
      <c r="X303" s="4091"/>
      <c r="Y303" s="4092"/>
      <c r="Z303" s="4092"/>
      <c r="AA303" s="4092"/>
      <c r="AB303" s="4093">
        <f>SUM($AA$304:$AA$306)</f>
        <v>282.24</v>
      </c>
      <c r="AC303" s="4094"/>
      <c r="AD303" s="4094"/>
      <c r="AE303" s="4094"/>
      <c r="AF303" s="5321"/>
    </row>
    <row r="304" spans="1:32" ht="25.5">
      <c r="A304" s="4564"/>
      <c r="B304" s="4570"/>
      <c r="C304" s="4545"/>
      <c r="D304" s="4514"/>
      <c r="E304" s="4514"/>
      <c r="F304" s="4514"/>
      <c r="G304" s="4514"/>
      <c r="H304" s="4514"/>
      <c r="I304" s="4514"/>
      <c r="J304" s="4514"/>
      <c r="K304" s="4514"/>
      <c r="L304" s="4514"/>
      <c r="M304" s="4901"/>
      <c r="N304" s="4901"/>
      <c r="O304" s="4901"/>
      <c r="P304" s="4514"/>
      <c r="Q304" s="4514"/>
      <c r="R304" s="4518"/>
      <c r="S304" s="3311"/>
      <c r="T304" s="1891"/>
      <c r="U304" s="1849">
        <v>4612200118</v>
      </c>
      <c r="V304" s="1883" t="s">
        <v>6041</v>
      </c>
      <c r="W304" s="1864">
        <v>4</v>
      </c>
      <c r="X304" s="2434" t="s">
        <v>269</v>
      </c>
      <c r="Y304" s="3214">
        <v>63</v>
      </c>
      <c r="Z304" s="3214">
        <f t="shared" ref="Z304" si="34">+W304*Y304</f>
        <v>252</v>
      </c>
      <c r="AA304" s="3214">
        <f t="shared" ref="AA304" si="35">+Z304*1.12</f>
        <v>282.24</v>
      </c>
      <c r="AB304" s="4114"/>
      <c r="AC304" s="3217"/>
      <c r="AD304" s="3637" t="s">
        <v>251</v>
      </c>
      <c r="AE304" s="3206"/>
      <c r="AF304" s="5301"/>
    </row>
    <row r="305" spans="1:32">
      <c r="A305" s="4564"/>
      <c r="B305" s="4570"/>
      <c r="C305" s="4545"/>
      <c r="D305" s="4514"/>
      <c r="E305" s="4514"/>
      <c r="F305" s="4514"/>
      <c r="G305" s="4514"/>
      <c r="H305" s="4514"/>
      <c r="I305" s="4514"/>
      <c r="J305" s="4514"/>
      <c r="K305" s="4514"/>
      <c r="L305" s="4514"/>
      <c r="M305" s="4901"/>
      <c r="N305" s="4901"/>
      <c r="O305" s="4901"/>
      <c r="P305" s="4514"/>
      <c r="Q305" s="4514"/>
      <c r="R305" s="4518"/>
      <c r="S305" s="3311"/>
      <c r="T305" s="1891"/>
      <c r="U305" s="1849"/>
      <c r="V305" s="3789"/>
      <c r="W305" s="1864"/>
      <c r="X305" s="3637"/>
      <c r="Y305" s="3214"/>
      <c r="Z305" s="3214"/>
      <c r="AA305" s="3214"/>
      <c r="AB305" s="4114"/>
      <c r="AC305" s="3206"/>
      <c r="AD305" s="3206"/>
      <c r="AE305" s="3206"/>
      <c r="AF305" s="5301"/>
    </row>
    <row r="306" spans="1:32">
      <c r="A306" s="4564"/>
      <c r="B306" s="4570"/>
      <c r="C306" s="4545"/>
      <c r="D306" s="4514"/>
      <c r="E306" s="4514"/>
      <c r="F306" s="4514"/>
      <c r="G306" s="4514"/>
      <c r="H306" s="4514"/>
      <c r="I306" s="4514"/>
      <c r="J306" s="4514"/>
      <c r="K306" s="4514"/>
      <c r="L306" s="4514"/>
      <c r="M306" s="4901"/>
      <c r="N306" s="4901"/>
      <c r="O306" s="4901"/>
      <c r="P306" s="4514"/>
      <c r="Q306" s="4514"/>
      <c r="R306" s="4518"/>
      <c r="S306" s="3311"/>
      <c r="T306" s="1891"/>
      <c r="U306" s="1849"/>
      <c r="V306" s="1883"/>
      <c r="W306" s="1864"/>
      <c r="X306" s="3637"/>
      <c r="Y306" s="3214"/>
      <c r="Z306" s="3214"/>
      <c r="AA306" s="3214"/>
      <c r="AB306" s="3638"/>
      <c r="AC306" s="3217"/>
      <c r="AD306" s="3637"/>
      <c r="AE306" s="3206"/>
      <c r="AF306" s="5301"/>
    </row>
    <row r="307" spans="1:32" ht="22.5" customHeight="1">
      <c r="A307" s="4564"/>
      <c r="B307" s="4570"/>
      <c r="C307" s="4566"/>
      <c r="D307" s="4525"/>
      <c r="E307" s="4525"/>
      <c r="F307" s="4525"/>
      <c r="G307" s="4525"/>
      <c r="H307" s="4525"/>
      <c r="I307" s="4525"/>
      <c r="J307" s="4525"/>
      <c r="K307" s="4525"/>
      <c r="L307" s="4525"/>
      <c r="M307" s="4902"/>
      <c r="N307" s="4902"/>
      <c r="O307" s="4902"/>
      <c r="P307" s="4525"/>
      <c r="Q307" s="4525"/>
      <c r="R307" s="4528"/>
      <c r="S307" s="3314"/>
      <c r="T307" s="3821"/>
      <c r="U307" s="3271"/>
      <c r="V307" s="3822"/>
      <c r="W307" s="3254"/>
      <c r="X307" s="4037"/>
      <c r="Y307" s="3291"/>
      <c r="Z307" s="3291"/>
      <c r="AA307" s="3291"/>
      <c r="AB307" s="4118"/>
      <c r="AC307" s="4037"/>
      <c r="AD307" s="4119"/>
      <c r="AE307" s="4119"/>
      <c r="AF307" s="5302"/>
    </row>
    <row r="308" spans="1:32" ht="25.5" customHeight="1">
      <c r="A308" s="4564"/>
      <c r="B308" s="4570"/>
      <c r="C308" s="5239" t="s">
        <v>272</v>
      </c>
      <c r="D308" s="4377" t="s">
        <v>302</v>
      </c>
      <c r="E308" s="4377" t="s">
        <v>388</v>
      </c>
      <c r="F308" s="4377" t="s">
        <v>944</v>
      </c>
      <c r="G308" s="4906" t="s">
        <v>305</v>
      </c>
      <c r="H308" s="4377" t="s">
        <v>306</v>
      </c>
      <c r="I308" s="4377" t="s">
        <v>241</v>
      </c>
      <c r="J308" s="4377" t="s">
        <v>1727</v>
      </c>
      <c r="K308" s="4377" t="s">
        <v>1728</v>
      </c>
      <c r="L308" s="4377" t="s">
        <v>1729</v>
      </c>
      <c r="M308" s="4392">
        <v>5</v>
      </c>
      <c r="N308" s="4392">
        <v>7</v>
      </c>
      <c r="O308" s="4392">
        <v>7</v>
      </c>
      <c r="P308" s="4391" t="s">
        <v>1730</v>
      </c>
      <c r="Q308" s="4377" t="s">
        <v>1731</v>
      </c>
      <c r="R308" s="4903" t="s">
        <v>6095</v>
      </c>
      <c r="S308" s="3310"/>
      <c r="T308" s="3270"/>
      <c r="U308" s="3272"/>
      <c r="V308" s="4068"/>
      <c r="W308" s="4071"/>
      <c r="X308" s="3632"/>
      <c r="Y308" s="3633"/>
      <c r="Z308" s="3633"/>
      <c r="AA308" s="3633"/>
      <c r="AB308" s="3634"/>
      <c r="AC308" s="3632"/>
      <c r="AD308" s="4120"/>
      <c r="AE308" s="4120"/>
      <c r="AF308" s="5217"/>
    </row>
    <row r="309" spans="1:32" ht="25.5" customHeight="1">
      <c r="A309" s="4564"/>
      <c r="B309" s="4570"/>
      <c r="C309" s="4545"/>
      <c r="D309" s="4514"/>
      <c r="E309" s="4514"/>
      <c r="F309" s="4514"/>
      <c r="G309" s="4514"/>
      <c r="H309" s="4514"/>
      <c r="I309" s="4514"/>
      <c r="J309" s="4514"/>
      <c r="K309" s="4514"/>
      <c r="L309" s="4514"/>
      <c r="M309" s="4901"/>
      <c r="N309" s="4901"/>
      <c r="O309" s="4901"/>
      <c r="P309" s="4514"/>
      <c r="Q309" s="4514"/>
      <c r="R309" s="4518"/>
      <c r="S309" s="3311"/>
      <c r="T309" s="1891"/>
      <c r="U309" s="1849"/>
      <c r="V309" s="1883"/>
      <c r="W309" s="1864"/>
      <c r="X309" s="3637"/>
      <c r="Y309" s="3214"/>
      <c r="Z309" s="3214"/>
      <c r="AA309" s="3214"/>
      <c r="AB309" s="3638"/>
      <c r="AC309" s="3637"/>
      <c r="AD309" s="3206"/>
      <c r="AE309" s="3206"/>
      <c r="AF309" s="5301"/>
    </row>
    <row r="310" spans="1:32" ht="25.5" customHeight="1">
      <c r="A310" s="4564"/>
      <c r="B310" s="4570"/>
      <c r="C310" s="4545"/>
      <c r="D310" s="4514"/>
      <c r="E310" s="4514"/>
      <c r="F310" s="4514"/>
      <c r="G310" s="4514"/>
      <c r="H310" s="4514"/>
      <c r="I310" s="4514"/>
      <c r="J310" s="4514"/>
      <c r="K310" s="4514"/>
      <c r="L310" s="4514"/>
      <c r="M310" s="4901"/>
      <c r="N310" s="4901"/>
      <c r="O310" s="4901"/>
      <c r="P310" s="4514"/>
      <c r="Q310" s="4514"/>
      <c r="R310" s="4518"/>
      <c r="S310" s="3311"/>
      <c r="T310" s="1891"/>
      <c r="U310" s="1849"/>
      <c r="V310" s="1883"/>
      <c r="W310" s="1864"/>
      <c r="X310" s="3637"/>
      <c r="Y310" s="3214"/>
      <c r="Z310" s="3214"/>
      <c r="AA310" s="3214"/>
      <c r="AB310" s="3638"/>
      <c r="AC310" s="3637"/>
      <c r="AD310" s="3206"/>
      <c r="AE310" s="3206"/>
      <c r="AF310" s="5301"/>
    </row>
    <row r="311" spans="1:32" ht="25.5" customHeight="1">
      <c r="A311" s="4564"/>
      <c r="B311" s="4570"/>
      <c r="C311" s="4545"/>
      <c r="D311" s="4514"/>
      <c r="E311" s="4514"/>
      <c r="F311" s="4514"/>
      <c r="G311" s="4514"/>
      <c r="H311" s="4514"/>
      <c r="I311" s="4514"/>
      <c r="J311" s="4514"/>
      <c r="K311" s="4514"/>
      <c r="L311" s="4514"/>
      <c r="M311" s="4901"/>
      <c r="N311" s="4901"/>
      <c r="O311" s="4901"/>
      <c r="P311" s="4514"/>
      <c r="Q311" s="4514"/>
      <c r="R311" s="4518"/>
      <c r="S311" s="3311"/>
      <c r="T311" s="1891"/>
      <c r="U311" s="1849"/>
      <c r="V311" s="1883"/>
      <c r="W311" s="1864"/>
      <c r="X311" s="3637"/>
      <c r="Y311" s="3214"/>
      <c r="Z311" s="3214"/>
      <c r="AA311" s="3214"/>
      <c r="AB311" s="3638"/>
      <c r="AC311" s="3637"/>
      <c r="AD311" s="3206"/>
      <c r="AE311" s="3206"/>
      <c r="AF311" s="5301"/>
    </row>
    <row r="312" spans="1:32" ht="25.5" customHeight="1">
      <c r="A312" s="4564"/>
      <c r="B312" s="4570"/>
      <c r="C312" s="4573"/>
      <c r="D312" s="4515"/>
      <c r="E312" s="4515"/>
      <c r="F312" s="4515"/>
      <c r="G312" s="4515"/>
      <c r="H312" s="4515"/>
      <c r="I312" s="4515"/>
      <c r="J312" s="4515"/>
      <c r="K312" s="4515"/>
      <c r="L312" s="4515"/>
      <c r="M312" s="5222"/>
      <c r="N312" s="5222"/>
      <c r="O312" s="5222"/>
      <c r="P312" s="4515"/>
      <c r="Q312" s="4515"/>
      <c r="R312" s="4519"/>
      <c r="S312" s="3312"/>
      <c r="T312" s="3819"/>
      <c r="U312" s="3268"/>
      <c r="V312" s="3641"/>
      <c r="W312" s="3233"/>
      <c r="X312" s="3642"/>
      <c r="Y312" s="3282"/>
      <c r="Z312" s="3282"/>
      <c r="AA312" s="3282"/>
      <c r="AB312" s="3643"/>
      <c r="AC312" s="3642"/>
      <c r="AD312" s="4117"/>
      <c r="AE312" s="4117"/>
      <c r="AF312" s="5303"/>
    </row>
    <row r="313" spans="1:32" ht="46.5" customHeight="1">
      <c r="A313" s="4564"/>
      <c r="B313" s="4570"/>
      <c r="C313" s="5236" t="s">
        <v>272</v>
      </c>
      <c r="D313" s="4395" t="s">
        <v>302</v>
      </c>
      <c r="E313" s="4395" t="s">
        <v>237</v>
      </c>
      <c r="F313" s="4395" t="s">
        <v>360</v>
      </c>
      <c r="G313" s="4930" t="s">
        <v>239</v>
      </c>
      <c r="H313" s="4395" t="s">
        <v>306</v>
      </c>
      <c r="I313" s="4395" t="s">
        <v>241</v>
      </c>
      <c r="J313" s="4395" t="s">
        <v>1732</v>
      </c>
      <c r="K313" s="4395" t="s">
        <v>1733</v>
      </c>
      <c r="L313" s="4395" t="s">
        <v>1734</v>
      </c>
      <c r="M313" s="4401">
        <v>3</v>
      </c>
      <c r="N313" s="4401">
        <v>2</v>
      </c>
      <c r="O313" s="4401">
        <v>5</v>
      </c>
      <c r="P313" s="4395" t="s">
        <v>1735</v>
      </c>
      <c r="Q313" s="4395" t="s">
        <v>1736</v>
      </c>
      <c r="R313" s="4897" t="s">
        <v>6096</v>
      </c>
      <c r="S313" s="3313"/>
      <c r="T313" s="3071"/>
      <c r="U313" s="3274"/>
      <c r="V313" s="4069"/>
      <c r="W313" s="4070"/>
      <c r="X313" s="4033"/>
      <c r="Y313" s="3295"/>
      <c r="Z313" s="3295"/>
      <c r="AA313" s="3295"/>
      <c r="AB313" s="4115"/>
      <c r="AC313" s="4033"/>
      <c r="AD313" s="4116"/>
      <c r="AE313" s="4116"/>
      <c r="AF313" s="5209"/>
    </row>
    <row r="314" spans="1:32" ht="46.5" customHeight="1">
      <c r="A314" s="4564"/>
      <c r="B314" s="4570"/>
      <c r="C314" s="4545"/>
      <c r="D314" s="4514"/>
      <c r="E314" s="4514"/>
      <c r="F314" s="4514"/>
      <c r="G314" s="4514"/>
      <c r="H314" s="4514"/>
      <c r="I314" s="4514"/>
      <c r="J314" s="4514"/>
      <c r="K314" s="4514"/>
      <c r="L314" s="4514"/>
      <c r="M314" s="4901"/>
      <c r="N314" s="4901"/>
      <c r="O314" s="4901"/>
      <c r="P314" s="4514"/>
      <c r="Q314" s="4514"/>
      <c r="R314" s="4518"/>
      <c r="S314" s="3311"/>
      <c r="T314" s="1891"/>
      <c r="U314" s="1849"/>
      <c r="V314" s="1883"/>
      <c r="W314" s="1864"/>
      <c r="X314" s="3637"/>
      <c r="Y314" s="3214"/>
      <c r="Z314" s="3214"/>
      <c r="AA314" s="3214"/>
      <c r="AB314" s="3638"/>
      <c r="AC314" s="3637"/>
      <c r="AD314" s="3206"/>
      <c r="AE314" s="3206"/>
      <c r="AF314" s="5301"/>
    </row>
    <row r="315" spans="1:32" ht="46.5" customHeight="1">
      <c r="A315" s="4564"/>
      <c r="B315" s="4570"/>
      <c r="C315" s="4545"/>
      <c r="D315" s="4514"/>
      <c r="E315" s="4514"/>
      <c r="F315" s="4514"/>
      <c r="G315" s="4514"/>
      <c r="H315" s="4514"/>
      <c r="I315" s="4514"/>
      <c r="J315" s="4514"/>
      <c r="K315" s="4514"/>
      <c r="L315" s="4514"/>
      <c r="M315" s="4901"/>
      <c r="N315" s="4901"/>
      <c r="O315" s="4901"/>
      <c r="P315" s="4514"/>
      <c r="Q315" s="4514"/>
      <c r="R315" s="4518"/>
      <c r="S315" s="3311"/>
      <c r="T315" s="1891"/>
      <c r="U315" s="1849"/>
      <c r="V315" s="1883"/>
      <c r="W315" s="1864"/>
      <c r="X315" s="3637"/>
      <c r="Y315" s="3214"/>
      <c r="Z315" s="3214"/>
      <c r="AA315" s="3214"/>
      <c r="AB315" s="3638"/>
      <c r="AC315" s="3637"/>
      <c r="AD315" s="3206"/>
      <c r="AE315" s="3206"/>
      <c r="AF315" s="5301"/>
    </row>
    <row r="316" spans="1:32" ht="46.5" customHeight="1">
      <c r="A316" s="4564"/>
      <c r="B316" s="4570"/>
      <c r="C316" s="4545"/>
      <c r="D316" s="4514"/>
      <c r="E316" s="4514"/>
      <c r="F316" s="4514"/>
      <c r="G316" s="4514"/>
      <c r="H316" s="4514"/>
      <c r="I316" s="4514"/>
      <c r="J316" s="4514"/>
      <c r="K316" s="4514"/>
      <c r="L316" s="4514"/>
      <c r="M316" s="4901"/>
      <c r="N316" s="4901"/>
      <c r="O316" s="4901"/>
      <c r="P316" s="4514"/>
      <c r="Q316" s="4514"/>
      <c r="R316" s="4518"/>
      <c r="S316" s="3311"/>
      <c r="T316" s="1891"/>
      <c r="U316" s="1849"/>
      <c r="V316" s="1883"/>
      <c r="W316" s="1864"/>
      <c r="X316" s="3637"/>
      <c r="Y316" s="3214"/>
      <c r="Z316" s="3214"/>
      <c r="AA316" s="3214"/>
      <c r="AB316" s="3638"/>
      <c r="AC316" s="3637"/>
      <c r="AD316" s="3206"/>
      <c r="AE316" s="3206"/>
      <c r="AF316" s="5301"/>
    </row>
    <row r="317" spans="1:32" ht="46.5" customHeight="1">
      <c r="A317" s="4564"/>
      <c r="B317" s="4570"/>
      <c r="C317" s="4566"/>
      <c r="D317" s="4525"/>
      <c r="E317" s="4525"/>
      <c r="F317" s="4525"/>
      <c r="G317" s="4525"/>
      <c r="H317" s="4525"/>
      <c r="I317" s="4525"/>
      <c r="J317" s="4525"/>
      <c r="K317" s="4525"/>
      <c r="L317" s="4525"/>
      <c r="M317" s="4902"/>
      <c r="N317" s="4902"/>
      <c r="O317" s="4902"/>
      <c r="P317" s="4525"/>
      <c r="Q317" s="4525"/>
      <c r="R317" s="4528"/>
      <c r="S317" s="3314"/>
      <c r="T317" s="3821"/>
      <c r="U317" s="3271"/>
      <c r="V317" s="3822"/>
      <c r="W317" s="3254"/>
      <c r="X317" s="4037"/>
      <c r="Y317" s="3291"/>
      <c r="Z317" s="3291"/>
      <c r="AA317" s="3291"/>
      <c r="AB317" s="4118"/>
      <c r="AC317" s="4037"/>
      <c r="AD317" s="4119"/>
      <c r="AE317" s="4119"/>
      <c r="AF317" s="5302"/>
    </row>
    <row r="318" spans="1:32" ht="18.75" customHeight="1">
      <c r="A318" s="4564"/>
      <c r="B318" s="4570"/>
      <c r="C318" s="5239" t="s">
        <v>272</v>
      </c>
      <c r="D318" s="4377" t="s">
        <v>236</v>
      </c>
      <c r="E318" s="4377" t="s">
        <v>237</v>
      </c>
      <c r="F318" s="4377" t="s">
        <v>255</v>
      </c>
      <c r="G318" s="4906" t="s">
        <v>239</v>
      </c>
      <c r="H318" s="4377" t="s">
        <v>306</v>
      </c>
      <c r="I318" s="4377" t="s">
        <v>241</v>
      </c>
      <c r="J318" s="4377" t="s">
        <v>1737</v>
      </c>
      <c r="K318" s="4377" t="s">
        <v>1738</v>
      </c>
      <c r="L318" s="4377" t="s">
        <v>1739</v>
      </c>
      <c r="M318" s="4392">
        <v>3</v>
      </c>
      <c r="N318" s="4392">
        <v>2</v>
      </c>
      <c r="O318" s="4392">
        <v>5</v>
      </c>
      <c r="P318" s="4377" t="s">
        <v>1740</v>
      </c>
      <c r="Q318" s="4377" t="s">
        <v>1741</v>
      </c>
      <c r="R318" s="4903" t="s">
        <v>6097</v>
      </c>
      <c r="S318" s="3310"/>
      <c r="T318" s="3270"/>
      <c r="U318" s="3272"/>
      <c r="V318" s="4068"/>
      <c r="W318" s="4071"/>
      <c r="X318" s="3632"/>
      <c r="Y318" s="3633"/>
      <c r="Z318" s="3633"/>
      <c r="AA318" s="3633"/>
      <c r="AB318" s="3634"/>
      <c r="AC318" s="3632"/>
      <c r="AD318" s="4120"/>
      <c r="AE318" s="4120"/>
      <c r="AF318" s="5217"/>
    </row>
    <row r="319" spans="1:32" ht="18.75" customHeight="1">
      <c r="A319" s="4564"/>
      <c r="B319" s="4570"/>
      <c r="C319" s="4545"/>
      <c r="D319" s="4514"/>
      <c r="E319" s="4514"/>
      <c r="F319" s="4514"/>
      <c r="G319" s="4514"/>
      <c r="H319" s="4514"/>
      <c r="I319" s="4514"/>
      <c r="J319" s="4514"/>
      <c r="K319" s="4514"/>
      <c r="L319" s="4514"/>
      <c r="M319" s="4901"/>
      <c r="N319" s="4901"/>
      <c r="O319" s="4901"/>
      <c r="P319" s="4514"/>
      <c r="Q319" s="4514"/>
      <c r="R319" s="4518"/>
      <c r="S319" s="3311"/>
      <c r="T319" s="1891"/>
      <c r="U319" s="1849"/>
      <c r="V319" s="1883"/>
      <c r="W319" s="1864"/>
      <c r="X319" s="3637"/>
      <c r="Y319" s="3214"/>
      <c r="Z319" s="3214"/>
      <c r="AA319" s="3214"/>
      <c r="AB319" s="3638"/>
      <c r="AC319" s="3637"/>
      <c r="AD319" s="3206"/>
      <c r="AE319" s="3206"/>
      <c r="AF319" s="5301"/>
    </row>
    <row r="320" spans="1:32" ht="18.75" customHeight="1">
      <c r="A320" s="4564"/>
      <c r="B320" s="4570"/>
      <c r="C320" s="4545"/>
      <c r="D320" s="4514"/>
      <c r="E320" s="4514"/>
      <c r="F320" s="4514"/>
      <c r="G320" s="4514"/>
      <c r="H320" s="4514"/>
      <c r="I320" s="4514"/>
      <c r="J320" s="4514"/>
      <c r="K320" s="4514"/>
      <c r="L320" s="4514"/>
      <c r="M320" s="4901"/>
      <c r="N320" s="4901"/>
      <c r="O320" s="4901"/>
      <c r="P320" s="4514"/>
      <c r="Q320" s="4514"/>
      <c r="R320" s="4518"/>
      <c r="S320" s="3311"/>
      <c r="T320" s="1891"/>
      <c r="U320" s="1849"/>
      <c r="V320" s="1883"/>
      <c r="W320" s="1864"/>
      <c r="X320" s="3637"/>
      <c r="Y320" s="3214"/>
      <c r="Z320" s="3214"/>
      <c r="AA320" s="3214"/>
      <c r="AB320" s="3638"/>
      <c r="AC320" s="3637"/>
      <c r="AD320" s="3206"/>
      <c r="AE320" s="3206"/>
      <c r="AF320" s="5301"/>
    </row>
    <row r="321" spans="1:32" ht="18.75" customHeight="1">
      <c r="A321" s="4564"/>
      <c r="B321" s="4570"/>
      <c r="C321" s="4545"/>
      <c r="D321" s="4514"/>
      <c r="E321" s="4514"/>
      <c r="F321" s="4514"/>
      <c r="G321" s="4514"/>
      <c r="H321" s="4514"/>
      <c r="I321" s="4514"/>
      <c r="J321" s="4514"/>
      <c r="K321" s="4514"/>
      <c r="L321" s="4514"/>
      <c r="M321" s="4901"/>
      <c r="N321" s="4901"/>
      <c r="O321" s="4901"/>
      <c r="P321" s="4514"/>
      <c r="Q321" s="4514"/>
      <c r="R321" s="4518"/>
      <c r="S321" s="3311"/>
      <c r="T321" s="1891"/>
      <c r="U321" s="1849"/>
      <c r="V321" s="1883"/>
      <c r="W321" s="1864"/>
      <c r="X321" s="3637"/>
      <c r="Y321" s="3214"/>
      <c r="Z321" s="3214"/>
      <c r="AA321" s="3214"/>
      <c r="AB321" s="3638"/>
      <c r="AC321" s="3637"/>
      <c r="AD321" s="3206"/>
      <c r="AE321" s="3206"/>
      <c r="AF321" s="5301"/>
    </row>
    <row r="322" spans="1:32" ht="18.75" customHeight="1">
      <c r="A322" s="4564"/>
      <c r="B322" s="4570"/>
      <c r="C322" s="4573"/>
      <c r="D322" s="4515"/>
      <c r="E322" s="4515"/>
      <c r="F322" s="4515"/>
      <c r="G322" s="4515"/>
      <c r="H322" s="4515"/>
      <c r="I322" s="4515"/>
      <c r="J322" s="4515"/>
      <c r="K322" s="4515"/>
      <c r="L322" s="4515"/>
      <c r="M322" s="5222"/>
      <c r="N322" s="5222"/>
      <c r="O322" s="5222"/>
      <c r="P322" s="4515"/>
      <c r="Q322" s="4515"/>
      <c r="R322" s="4519"/>
      <c r="S322" s="3312"/>
      <c r="T322" s="3819"/>
      <c r="U322" s="3268"/>
      <c r="V322" s="3641"/>
      <c r="W322" s="3233"/>
      <c r="X322" s="3642"/>
      <c r="Y322" s="3282"/>
      <c r="Z322" s="3282"/>
      <c r="AA322" s="3282"/>
      <c r="AB322" s="3643"/>
      <c r="AC322" s="3642"/>
      <c r="AD322" s="4117"/>
      <c r="AE322" s="4117"/>
      <c r="AF322" s="5303"/>
    </row>
    <row r="323" spans="1:32" ht="18.75" customHeight="1">
      <c r="A323" s="4564"/>
      <c r="B323" s="4570"/>
      <c r="C323" s="5236" t="s">
        <v>272</v>
      </c>
      <c r="D323" s="4395" t="s">
        <v>236</v>
      </c>
      <c r="E323" s="4395" t="s">
        <v>237</v>
      </c>
      <c r="F323" s="4395" t="s">
        <v>255</v>
      </c>
      <c r="G323" s="4930" t="s">
        <v>239</v>
      </c>
      <c r="H323" s="4395" t="s">
        <v>293</v>
      </c>
      <c r="I323" s="4395" t="s">
        <v>241</v>
      </c>
      <c r="J323" s="4395" t="s">
        <v>1742</v>
      </c>
      <c r="K323" s="4395" t="s">
        <v>1743</v>
      </c>
      <c r="L323" s="4395" t="s">
        <v>1744</v>
      </c>
      <c r="M323" s="4401">
        <v>10</v>
      </c>
      <c r="N323" s="4401">
        <v>5</v>
      </c>
      <c r="O323" s="4401">
        <v>5</v>
      </c>
      <c r="P323" s="4395" t="s">
        <v>1745</v>
      </c>
      <c r="Q323" s="4395" t="s">
        <v>1746</v>
      </c>
      <c r="R323" s="4897" t="s">
        <v>6098</v>
      </c>
      <c r="S323" s="3313"/>
      <c r="T323" s="3071"/>
      <c r="U323" s="3274"/>
      <c r="V323" s="4069"/>
      <c r="W323" s="4070"/>
      <c r="X323" s="4033"/>
      <c r="Y323" s="3295"/>
      <c r="Z323" s="3295"/>
      <c r="AA323" s="3295"/>
      <c r="AB323" s="4115"/>
      <c r="AC323" s="4033"/>
      <c r="AD323" s="4126"/>
      <c r="AE323" s="4126"/>
      <c r="AF323" s="5209"/>
    </row>
    <row r="324" spans="1:32" ht="18.75" customHeight="1">
      <c r="A324" s="4564"/>
      <c r="B324" s="4570"/>
      <c r="C324" s="4545"/>
      <c r="D324" s="4514"/>
      <c r="E324" s="4514"/>
      <c r="F324" s="4514"/>
      <c r="G324" s="4514"/>
      <c r="H324" s="4514"/>
      <c r="I324" s="4514"/>
      <c r="J324" s="4514"/>
      <c r="K324" s="4514"/>
      <c r="L324" s="4514"/>
      <c r="M324" s="4901"/>
      <c r="N324" s="4901"/>
      <c r="O324" s="4901"/>
      <c r="P324" s="4514"/>
      <c r="Q324" s="4514"/>
      <c r="R324" s="4518"/>
      <c r="S324" s="3311"/>
      <c r="T324" s="1891"/>
      <c r="U324" s="1849"/>
      <c r="V324" s="1883"/>
      <c r="W324" s="1864"/>
      <c r="X324" s="3637"/>
      <c r="Y324" s="3214"/>
      <c r="Z324" s="3214"/>
      <c r="AA324" s="3214"/>
      <c r="AB324" s="3638"/>
      <c r="AC324" s="3637"/>
      <c r="AD324" s="3637"/>
      <c r="AE324" s="4104"/>
      <c r="AF324" s="5301"/>
    </row>
    <row r="325" spans="1:32" ht="18.75" customHeight="1">
      <c r="A325" s="4564"/>
      <c r="B325" s="4570"/>
      <c r="C325" s="4545"/>
      <c r="D325" s="4514"/>
      <c r="E325" s="4514"/>
      <c r="F325" s="4514"/>
      <c r="G325" s="4514"/>
      <c r="H325" s="4514"/>
      <c r="I325" s="4514"/>
      <c r="J325" s="4514"/>
      <c r="K325" s="4514"/>
      <c r="L325" s="4514"/>
      <c r="M325" s="4901"/>
      <c r="N325" s="4901"/>
      <c r="O325" s="4901"/>
      <c r="P325" s="4514"/>
      <c r="Q325" s="4514"/>
      <c r="R325" s="4518"/>
      <c r="S325" s="3311"/>
      <c r="T325" s="1891"/>
      <c r="U325" s="1849"/>
      <c r="V325" s="1883"/>
      <c r="W325" s="1864"/>
      <c r="X325" s="3637"/>
      <c r="Y325" s="3214"/>
      <c r="Z325" s="3214"/>
      <c r="AA325" s="3214"/>
      <c r="AB325" s="3638"/>
      <c r="AC325" s="3637"/>
      <c r="AD325" s="3637"/>
      <c r="AE325" s="3206"/>
      <c r="AF325" s="5301"/>
    </row>
    <row r="326" spans="1:32" ht="18.75" customHeight="1">
      <c r="A326" s="4564"/>
      <c r="B326" s="4570"/>
      <c r="C326" s="4545"/>
      <c r="D326" s="4514"/>
      <c r="E326" s="4514"/>
      <c r="F326" s="4514"/>
      <c r="G326" s="4514"/>
      <c r="H326" s="4514"/>
      <c r="I326" s="4514"/>
      <c r="J326" s="4514"/>
      <c r="K326" s="4514"/>
      <c r="L326" s="4514"/>
      <c r="M326" s="4901"/>
      <c r="N326" s="4901"/>
      <c r="O326" s="4901"/>
      <c r="P326" s="4514"/>
      <c r="Q326" s="4514"/>
      <c r="R326" s="4518"/>
      <c r="S326" s="3311"/>
      <c r="T326" s="1891"/>
      <c r="U326" s="1849"/>
      <c r="V326" s="1883"/>
      <c r="W326" s="1864"/>
      <c r="X326" s="3637"/>
      <c r="Y326" s="3214"/>
      <c r="Z326" s="3214"/>
      <c r="AA326" s="3214"/>
      <c r="AB326" s="3638"/>
      <c r="AC326" s="3637"/>
      <c r="AD326" s="3637"/>
      <c r="AE326" s="3206"/>
      <c r="AF326" s="5301"/>
    </row>
    <row r="327" spans="1:32" ht="18.75" customHeight="1">
      <c r="A327" s="4564"/>
      <c r="B327" s="4570"/>
      <c r="C327" s="4566"/>
      <c r="D327" s="4525"/>
      <c r="E327" s="4525"/>
      <c r="F327" s="4525"/>
      <c r="G327" s="4525"/>
      <c r="H327" s="4525"/>
      <c r="I327" s="4525"/>
      <c r="J327" s="4525"/>
      <c r="K327" s="4525"/>
      <c r="L327" s="4525"/>
      <c r="M327" s="4902"/>
      <c r="N327" s="4902"/>
      <c r="O327" s="4902"/>
      <c r="P327" s="4525"/>
      <c r="Q327" s="4525"/>
      <c r="R327" s="4528"/>
      <c r="S327" s="3314"/>
      <c r="T327" s="3821"/>
      <c r="U327" s="3271"/>
      <c r="V327" s="3822"/>
      <c r="W327" s="3254"/>
      <c r="X327" s="4037"/>
      <c r="Y327" s="3291"/>
      <c r="Z327" s="3291"/>
      <c r="AA327" s="3291"/>
      <c r="AB327" s="4118"/>
      <c r="AC327" s="4037"/>
      <c r="AD327" s="4037"/>
      <c r="AE327" s="4119"/>
      <c r="AF327" s="5302"/>
    </row>
    <row r="328" spans="1:32" ht="37.5" customHeight="1">
      <c r="A328" s="4564"/>
      <c r="B328" s="4570"/>
      <c r="C328" s="5239" t="s">
        <v>272</v>
      </c>
      <c r="D328" s="4377" t="s">
        <v>236</v>
      </c>
      <c r="E328" s="4377" t="s">
        <v>237</v>
      </c>
      <c r="F328" s="4377" t="s">
        <v>360</v>
      </c>
      <c r="G328" s="4906" t="s">
        <v>239</v>
      </c>
      <c r="H328" s="4377" t="s">
        <v>306</v>
      </c>
      <c r="I328" s="4377" t="s">
        <v>241</v>
      </c>
      <c r="J328" s="4377" t="s">
        <v>1747</v>
      </c>
      <c r="K328" s="4377" t="s">
        <v>1748</v>
      </c>
      <c r="L328" s="4377" t="s">
        <v>1749</v>
      </c>
      <c r="M328" s="4392">
        <v>1</v>
      </c>
      <c r="N328" s="4392">
        <v>0</v>
      </c>
      <c r="O328" s="4392">
        <v>1</v>
      </c>
      <c r="P328" s="4377" t="s">
        <v>1750</v>
      </c>
      <c r="Q328" s="4377" t="s">
        <v>1751</v>
      </c>
      <c r="R328" s="4903" t="s">
        <v>6099</v>
      </c>
      <c r="S328" s="3310"/>
      <c r="T328" s="3270"/>
      <c r="U328" s="3272"/>
      <c r="V328" s="4068"/>
      <c r="W328" s="4071"/>
      <c r="X328" s="3632"/>
      <c r="Y328" s="3633"/>
      <c r="Z328" s="3633"/>
      <c r="AA328" s="3633"/>
      <c r="AB328" s="3634"/>
      <c r="AC328" s="3632"/>
      <c r="AD328" s="4120"/>
      <c r="AE328" s="4120"/>
      <c r="AF328" s="5217"/>
    </row>
    <row r="329" spans="1:32" ht="37.5" customHeight="1">
      <c r="A329" s="4564"/>
      <c r="B329" s="4570"/>
      <c r="C329" s="4545"/>
      <c r="D329" s="4514"/>
      <c r="E329" s="4514"/>
      <c r="F329" s="4514"/>
      <c r="G329" s="4514"/>
      <c r="H329" s="4514"/>
      <c r="I329" s="4514"/>
      <c r="J329" s="4514"/>
      <c r="K329" s="4514"/>
      <c r="L329" s="4514"/>
      <c r="M329" s="4901"/>
      <c r="N329" s="4901"/>
      <c r="O329" s="4901"/>
      <c r="P329" s="4514"/>
      <c r="Q329" s="4514"/>
      <c r="R329" s="4518"/>
      <c r="S329" s="3311"/>
      <c r="T329" s="1891"/>
      <c r="U329" s="1849"/>
      <c r="V329" s="1883"/>
      <c r="W329" s="1864"/>
      <c r="X329" s="3637"/>
      <c r="Y329" s="3214"/>
      <c r="Z329" s="3214"/>
      <c r="AA329" s="3214"/>
      <c r="AB329" s="3638"/>
      <c r="AC329" s="3637"/>
      <c r="AD329" s="3206"/>
      <c r="AE329" s="3206"/>
      <c r="AF329" s="5301"/>
    </row>
    <row r="330" spans="1:32" ht="37.5" customHeight="1">
      <c r="A330" s="4564"/>
      <c r="B330" s="4570"/>
      <c r="C330" s="4545"/>
      <c r="D330" s="4514"/>
      <c r="E330" s="4514"/>
      <c r="F330" s="4514"/>
      <c r="G330" s="4514"/>
      <c r="H330" s="4514"/>
      <c r="I330" s="4514"/>
      <c r="J330" s="4514"/>
      <c r="K330" s="4514"/>
      <c r="L330" s="4514"/>
      <c r="M330" s="4901"/>
      <c r="N330" s="4901"/>
      <c r="O330" s="4901"/>
      <c r="P330" s="4514"/>
      <c r="Q330" s="4514"/>
      <c r="R330" s="4518"/>
      <c r="S330" s="3311"/>
      <c r="T330" s="1891"/>
      <c r="U330" s="1849"/>
      <c r="V330" s="1883"/>
      <c r="W330" s="1864"/>
      <c r="X330" s="3637"/>
      <c r="Y330" s="3214"/>
      <c r="Z330" s="3214"/>
      <c r="AA330" s="3214"/>
      <c r="AB330" s="3638"/>
      <c r="AC330" s="3637"/>
      <c r="AD330" s="3206"/>
      <c r="AE330" s="3206"/>
      <c r="AF330" s="5301"/>
    </row>
    <row r="331" spans="1:32" ht="37.5" customHeight="1">
      <c r="A331" s="4564"/>
      <c r="B331" s="4570"/>
      <c r="C331" s="4545"/>
      <c r="D331" s="4514"/>
      <c r="E331" s="4514"/>
      <c r="F331" s="4514"/>
      <c r="G331" s="4514"/>
      <c r="H331" s="4514"/>
      <c r="I331" s="4514"/>
      <c r="J331" s="4514"/>
      <c r="K331" s="4514"/>
      <c r="L331" s="4514"/>
      <c r="M331" s="4901"/>
      <c r="N331" s="4901"/>
      <c r="O331" s="4901"/>
      <c r="P331" s="4514"/>
      <c r="Q331" s="4514"/>
      <c r="R331" s="4518"/>
      <c r="S331" s="3311"/>
      <c r="T331" s="1891"/>
      <c r="U331" s="1849"/>
      <c r="V331" s="1883"/>
      <c r="W331" s="1864"/>
      <c r="X331" s="3637"/>
      <c r="Y331" s="3214"/>
      <c r="Z331" s="3214"/>
      <c r="AA331" s="3214"/>
      <c r="AB331" s="3638"/>
      <c r="AC331" s="3637"/>
      <c r="AD331" s="3206"/>
      <c r="AE331" s="3206"/>
      <c r="AF331" s="5301"/>
    </row>
    <row r="332" spans="1:32" ht="37.5" customHeight="1">
      <c r="A332" s="4564"/>
      <c r="B332" s="4570"/>
      <c r="C332" s="4573"/>
      <c r="D332" s="4515"/>
      <c r="E332" s="4515"/>
      <c r="F332" s="4515"/>
      <c r="G332" s="4515"/>
      <c r="H332" s="4515"/>
      <c r="I332" s="4515"/>
      <c r="J332" s="4515"/>
      <c r="K332" s="4515"/>
      <c r="L332" s="4515"/>
      <c r="M332" s="5222"/>
      <c r="N332" s="5222"/>
      <c r="O332" s="5222"/>
      <c r="P332" s="4515"/>
      <c r="Q332" s="4515"/>
      <c r="R332" s="4519"/>
      <c r="S332" s="3312"/>
      <c r="T332" s="3819"/>
      <c r="U332" s="3268"/>
      <c r="V332" s="3641"/>
      <c r="W332" s="3233"/>
      <c r="X332" s="3642"/>
      <c r="Y332" s="3282"/>
      <c r="Z332" s="3282"/>
      <c r="AA332" s="3282"/>
      <c r="AB332" s="3643"/>
      <c r="AC332" s="3642"/>
      <c r="AD332" s="4117"/>
      <c r="AE332" s="4117"/>
      <c r="AF332" s="5303"/>
    </row>
    <row r="333" spans="1:32" ht="20.25" customHeight="1">
      <c r="A333" s="4564"/>
      <c r="B333" s="4570"/>
      <c r="C333" s="5236" t="s">
        <v>272</v>
      </c>
      <c r="D333" s="4395" t="s">
        <v>236</v>
      </c>
      <c r="E333" s="4395" t="s">
        <v>237</v>
      </c>
      <c r="F333" s="4395" t="s">
        <v>360</v>
      </c>
      <c r="G333" s="4930" t="s">
        <v>239</v>
      </c>
      <c r="H333" s="4395" t="s">
        <v>306</v>
      </c>
      <c r="I333" s="4395" t="s">
        <v>241</v>
      </c>
      <c r="J333" s="4395" t="s">
        <v>1752</v>
      </c>
      <c r="K333" s="4395" t="s">
        <v>1753</v>
      </c>
      <c r="L333" s="4395" t="s">
        <v>1754</v>
      </c>
      <c r="M333" s="4401">
        <v>3</v>
      </c>
      <c r="N333" s="4401">
        <v>3</v>
      </c>
      <c r="O333" s="4401">
        <v>3</v>
      </c>
      <c r="P333" s="4395" t="s">
        <v>1755</v>
      </c>
      <c r="Q333" s="4395" t="s">
        <v>1756</v>
      </c>
      <c r="R333" s="4897" t="s">
        <v>6100</v>
      </c>
      <c r="S333" s="3313"/>
      <c r="T333" s="3071"/>
      <c r="U333" s="3274"/>
      <c r="V333" s="4069"/>
      <c r="W333" s="4070"/>
      <c r="X333" s="4033"/>
      <c r="Y333" s="3295"/>
      <c r="Z333" s="3295"/>
      <c r="AA333" s="3295"/>
      <c r="AB333" s="4115"/>
      <c r="AC333" s="4033"/>
      <c r="AD333" s="4116"/>
      <c r="AE333" s="4116"/>
      <c r="AF333" s="5209"/>
    </row>
    <row r="334" spans="1:32" ht="20.25" customHeight="1">
      <c r="A334" s="4564"/>
      <c r="B334" s="4570"/>
      <c r="C334" s="4545"/>
      <c r="D334" s="4514"/>
      <c r="E334" s="4514"/>
      <c r="F334" s="4514"/>
      <c r="G334" s="4514"/>
      <c r="H334" s="4514"/>
      <c r="I334" s="4514"/>
      <c r="J334" s="4514"/>
      <c r="K334" s="4514"/>
      <c r="L334" s="4514"/>
      <c r="M334" s="4901"/>
      <c r="N334" s="4901"/>
      <c r="O334" s="4901"/>
      <c r="P334" s="4514"/>
      <c r="Q334" s="4514"/>
      <c r="R334" s="4518"/>
      <c r="S334" s="3311"/>
      <c r="T334" s="1891"/>
      <c r="U334" s="1849"/>
      <c r="V334" s="1883"/>
      <c r="W334" s="1864"/>
      <c r="X334" s="3637"/>
      <c r="Y334" s="3214"/>
      <c r="Z334" s="3214"/>
      <c r="AA334" s="3214"/>
      <c r="AB334" s="3638"/>
      <c r="AC334" s="3637"/>
      <c r="AD334" s="3206"/>
      <c r="AE334" s="3206"/>
      <c r="AF334" s="5301"/>
    </row>
    <row r="335" spans="1:32" ht="20.25" customHeight="1">
      <c r="A335" s="4564"/>
      <c r="B335" s="4570"/>
      <c r="C335" s="4545"/>
      <c r="D335" s="4514"/>
      <c r="E335" s="4514"/>
      <c r="F335" s="4514"/>
      <c r="G335" s="4514"/>
      <c r="H335" s="4514"/>
      <c r="I335" s="4514"/>
      <c r="J335" s="4514"/>
      <c r="K335" s="4514"/>
      <c r="L335" s="4514"/>
      <c r="M335" s="4901"/>
      <c r="N335" s="4901"/>
      <c r="O335" s="4901"/>
      <c r="P335" s="4514"/>
      <c r="Q335" s="4514"/>
      <c r="R335" s="4518"/>
      <c r="S335" s="3311"/>
      <c r="T335" s="1891"/>
      <c r="U335" s="1849"/>
      <c r="V335" s="1883"/>
      <c r="W335" s="1864"/>
      <c r="X335" s="3637"/>
      <c r="Y335" s="3214"/>
      <c r="Z335" s="3214"/>
      <c r="AA335" s="3214"/>
      <c r="AB335" s="3638"/>
      <c r="AC335" s="3637"/>
      <c r="AD335" s="3206"/>
      <c r="AE335" s="3206"/>
      <c r="AF335" s="5301"/>
    </row>
    <row r="336" spans="1:32" ht="20.25" customHeight="1">
      <c r="A336" s="4564"/>
      <c r="B336" s="4570"/>
      <c r="C336" s="4545"/>
      <c r="D336" s="4514"/>
      <c r="E336" s="4514"/>
      <c r="F336" s="4514"/>
      <c r="G336" s="4514"/>
      <c r="H336" s="4514"/>
      <c r="I336" s="4514"/>
      <c r="J336" s="4514"/>
      <c r="K336" s="4514"/>
      <c r="L336" s="4514"/>
      <c r="M336" s="4901"/>
      <c r="N336" s="4901"/>
      <c r="O336" s="4901"/>
      <c r="P336" s="4514"/>
      <c r="Q336" s="4514"/>
      <c r="R336" s="4518"/>
      <c r="S336" s="3311"/>
      <c r="T336" s="1891"/>
      <c r="U336" s="1849"/>
      <c r="V336" s="1883"/>
      <c r="W336" s="1864"/>
      <c r="X336" s="3637"/>
      <c r="Y336" s="3214"/>
      <c r="Z336" s="3214"/>
      <c r="AA336" s="3214"/>
      <c r="AB336" s="3638"/>
      <c r="AC336" s="3637"/>
      <c r="AD336" s="3206"/>
      <c r="AE336" s="3206"/>
      <c r="AF336" s="5301"/>
    </row>
    <row r="337" spans="1:32" ht="20.25" customHeight="1">
      <c r="A337" s="4564"/>
      <c r="B337" s="4570"/>
      <c r="C337" s="4566"/>
      <c r="D337" s="4525"/>
      <c r="E337" s="4525"/>
      <c r="F337" s="4525"/>
      <c r="G337" s="4525"/>
      <c r="H337" s="4525"/>
      <c r="I337" s="4525"/>
      <c r="J337" s="4525"/>
      <c r="K337" s="4525"/>
      <c r="L337" s="4525"/>
      <c r="M337" s="4902"/>
      <c r="N337" s="4902"/>
      <c r="O337" s="4902"/>
      <c r="P337" s="4525"/>
      <c r="Q337" s="4525"/>
      <c r="R337" s="4528"/>
      <c r="S337" s="3314"/>
      <c r="T337" s="3821"/>
      <c r="U337" s="3271"/>
      <c r="V337" s="3822"/>
      <c r="W337" s="3254"/>
      <c r="X337" s="4037"/>
      <c r="Y337" s="3291"/>
      <c r="Z337" s="3291"/>
      <c r="AA337" s="3291"/>
      <c r="AB337" s="4118"/>
      <c r="AC337" s="4037"/>
      <c r="AD337" s="4119"/>
      <c r="AE337" s="4119"/>
      <c r="AF337" s="5302"/>
    </row>
    <row r="338" spans="1:32">
      <c r="A338" s="4564"/>
      <c r="B338" s="4570"/>
      <c r="C338" s="5239" t="s">
        <v>272</v>
      </c>
      <c r="D338" s="4377" t="s">
        <v>236</v>
      </c>
      <c r="E338" s="4377" t="s">
        <v>237</v>
      </c>
      <c r="F338" s="4377" t="s">
        <v>255</v>
      </c>
      <c r="G338" s="4906" t="s">
        <v>239</v>
      </c>
      <c r="H338" s="4377" t="s">
        <v>306</v>
      </c>
      <c r="I338" s="4377" t="s">
        <v>241</v>
      </c>
      <c r="J338" s="4377" t="s">
        <v>1757</v>
      </c>
      <c r="K338" s="4377" t="s">
        <v>1758</v>
      </c>
      <c r="L338" s="4377" t="s">
        <v>1759</v>
      </c>
      <c r="M338" s="4392">
        <v>0</v>
      </c>
      <c r="N338" s="4392">
        <v>50</v>
      </c>
      <c r="O338" s="4392">
        <v>50</v>
      </c>
      <c r="P338" s="4377" t="s">
        <v>1760</v>
      </c>
      <c r="Q338" s="4377" t="s">
        <v>1761</v>
      </c>
      <c r="R338" s="4903" t="s">
        <v>6101</v>
      </c>
      <c r="S338" s="3310"/>
      <c r="T338" s="3270"/>
      <c r="U338" s="3272"/>
      <c r="V338" s="4068"/>
      <c r="W338" s="4071"/>
      <c r="X338" s="3632"/>
      <c r="Y338" s="3633"/>
      <c r="Z338" s="3633"/>
      <c r="AA338" s="3633"/>
      <c r="AB338" s="3634"/>
      <c r="AC338" s="3632"/>
      <c r="AD338" s="4122"/>
      <c r="AE338" s="4122"/>
      <c r="AF338" s="5217"/>
    </row>
    <row r="339" spans="1:32">
      <c r="A339" s="4564"/>
      <c r="B339" s="4570"/>
      <c r="C339" s="4545"/>
      <c r="D339" s="4514"/>
      <c r="E339" s="4514"/>
      <c r="F339" s="4514"/>
      <c r="G339" s="4514"/>
      <c r="H339" s="4514"/>
      <c r="I339" s="4514"/>
      <c r="J339" s="4514"/>
      <c r="K339" s="4514"/>
      <c r="L339" s="4514"/>
      <c r="M339" s="4901"/>
      <c r="N339" s="4901"/>
      <c r="O339" s="4901"/>
      <c r="P339" s="4514"/>
      <c r="Q339" s="4514"/>
      <c r="R339" s="4518"/>
      <c r="S339" s="3311"/>
      <c r="T339" s="1891"/>
      <c r="U339" s="1849"/>
      <c r="V339" s="1883"/>
      <c r="W339" s="1864"/>
      <c r="X339" s="3637"/>
      <c r="Y339" s="3214"/>
      <c r="Z339" s="3214"/>
      <c r="AA339" s="3214"/>
      <c r="AB339" s="3638"/>
      <c r="AC339" s="3637"/>
      <c r="AD339" s="3637"/>
      <c r="AE339" s="4104"/>
      <c r="AF339" s="5301"/>
    </row>
    <row r="340" spans="1:32">
      <c r="A340" s="4564"/>
      <c r="B340" s="4570"/>
      <c r="C340" s="4545"/>
      <c r="D340" s="4514"/>
      <c r="E340" s="4514"/>
      <c r="F340" s="4514"/>
      <c r="G340" s="4514"/>
      <c r="H340" s="4514"/>
      <c r="I340" s="4514"/>
      <c r="J340" s="4514"/>
      <c r="K340" s="4514"/>
      <c r="L340" s="4514"/>
      <c r="M340" s="4901"/>
      <c r="N340" s="4901"/>
      <c r="O340" s="4901"/>
      <c r="P340" s="4514"/>
      <c r="Q340" s="4514"/>
      <c r="R340" s="4518"/>
      <c r="S340" s="3311"/>
      <c r="T340" s="1891"/>
      <c r="U340" s="1849"/>
      <c r="V340" s="1883"/>
      <c r="W340" s="1864"/>
      <c r="X340" s="3637"/>
      <c r="Y340" s="3214"/>
      <c r="Z340" s="3214"/>
      <c r="AA340" s="3214"/>
      <c r="AB340" s="3638"/>
      <c r="AC340" s="3637"/>
      <c r="AD340" s="3637"/>
      <c r="AE340" s="3206"/>
      <c r="AF340" s="5301"/>
    </row>
    <row r="341" spans="1:32">
      <c r="A341" s="4564"/>
      <c r="B341" s="4570"/>
      <c r="C341" s="4545"/>
      <c r="D341" s="4514"/>
      <c r="E341" s="4514"/>
      <c r="F341" s="4514"/>
      <c r="G341" s="4514"/>
      <c r="H341" s="4514"/>
      <c r="I341" s="4514"/>
      <c r="J341" s="4514"/>
      <c r="K341" s="4514"/>
      <c r="L341" s="4514"/>
      <c r="M341" s="4901"/>
      <c r="N341" s="4901"/>
      <c r="O341" s="4901"/>
      <c r="P341" s="4514"/>
      <c r="Q341" s="4514"/>
      <c r="R341" s="4518"/>
      <c r="S341" s="3311"/>
      <c r="T341" s="1891"/>
      <c r="U341" s="1849"/>
      <c r="V341" s="1883"/>
      <c r="W341" s="1864"/>
      <c r="X341" s="3637"/>
      <c r="Y341" s="3214"/>
      <c r="Z341" s="3214"/>
      <c r="AA341" s="3214"/>
      <c r="AB341" s="3638"/>
      <c r="AC341" s="3637"/>
      <c r="AD341" s="3637"/>
      <c r="AE341" s="3206"/>
      <c r="AF341" s="5301"/>
    </row>
    <row r="342" spans="1:32" ht="36" customHeight="1">
      <c r="A342" s="4564"/>
      <c r="B342" s="4570"/>
      <c r="C342" s="4573"/>
      <c r="D342" s="4515"/>
      <c r="E342" s="4515"/>
      <c r="F342" s="4515"/>
      <c r="G342" s="4515"/>
      <c r="H342" s="4515"/>
      <c r="I342" s="4515"/>
      <c r="J342" s="4515"/>
      <c r="K342" s="4515"/>
      <c r="L342" s="4515"/>
      <c r="M342" s="5222"/>
      <c r="N342" s="5222"/>
      <c r="O342" s="5222"/>
      <c r="P342" s="4515"/>
      <c r="Q342" s="4515"/>
      <c r="R342" s="4519"/>
      <c r="S342" s="3312"/>
      <c r="T342" s="3819"/>
      <c r="U342" s="3268"/>
      <c r="V342" s="3641"/>
      <c r="W342" s="3233"/>
      <c r="X342" s="3642"/>
      <c r="Y342" s="3282"/>
      <c r="Z342" s="3282"/>
      <c r="AA342" s="3282"/>
      <c r="AB342" s="3643"/>
      <c r="AC342" s="3642"/>
      <c r="AD342" s="3642"/>
      <c r="AE342" s="4117"/>
      <c r="AF342" s="5303"/>
    </row>
    <row r="343" spans="1:32">
      <c r="A343" s="4564"/>
      <c r="B343" s="4570"/>
      <c r="C343" s="5236" t="s">
        <v>272</v>
      </c>
      <c r="D343" s="4395" t="s">
        <v>236</v>
      </c>
      <c r="E343" s="4395" t="s">
        <v>237</v>
      </c>
      <c r="F343" s="4395" t="s">
        <v>402</v>
      </c>
      <c r="G343" s="4930" t="s">
        <v>239</v>
      </c>
      <c r="H343" s="4395" t="s">
        <v>256</v>
      </c>
      <c r="I343" s="4395" t="s">
        <v>241</v>
      </c>
      <c r="J343" s="4395" t="s">
        <v>1762</v>
      </c>
      <c r="K343" s="4395" t="s">
        <v>1763</v>
      </c>
      <c r="L343" s="4395" t="s">
        <v>1764</v>
      </c>
      <c r="M343" s="4401">
        <v>70</v>
      </c>
      <c r="N343" s="4401">
        <v>70</v>
      </c>
      <c r="O343" s="4401">
        <v>70</v>
      </c>
      <c r="P343" s="4395" t="s">
        <v>1765</v>
      </c>
      <c r="Q343" s="4395" t="s">
        <v>1766</v>
      </c>
      <c r="R343" s="4897" t="s">
        <v>6102</v>
      </c>
      <c r="S343" s="3313"/>
      <c r="T343" s="3071"/>
      <c r="U343" s="3274"/>
      <c r="V343" s="4069"/>
      <c r="W343" s="4070"/>
      <c r="X343" s="4033"/>
      <c r="Y343" s="3295"/>
      <c r="Z343" s="3295"/>
      <c r="AA343" s="3295"/>
      <c r="AB343" s="4115"/>
      <c r="AC343" s="4033"/>
      <c r="AD343" s="4116"/>
      <c r="AE343" s="4116"/>
      <c r="AF343" s="5209"/>
    </row>
    <row r="344" spans="1:32">
      <c r="A344" s="4564"/>
      <c r="B344" s="4570"/>
      <c r="C344" s="4545"/>
      <c r="D344" s="4514"/>
      <c r="E344" s="4514"/>
      <c r="F344" s="4514"/>
      <c r="G344" s="4514"/>
      <c r="H344" s="4514"/>
      <c r="I344" s="4514"/>
      <c r="J344" s="4514"/>
      <c r="K344" s="4514"/>
      <c r="L344" s="4514"/>
      <c r="M344" s="4901"/>
      <c r="N344" s="4901"/>
      <c r="O344" s="4901"/>
      <c r="P344" s="4514"/>
      <c r="Q344" s="4514"/>
      <c r="R344" s="4518"/>
      <c r="S344" s="3311"/>
      <c r="T344" s="1891"/>
      <c r="U344" s="1849"/>
      <c r="V344" s="1883"/>
      <c r="W344" s="1864"/>
      <c r="X344" s="3637"/>
      <c r="Y344" s="3214"/>
      <c r="Z344" s="3214"/>
      <c r="AA344" s="3214"/>
      <c r="AB344" s="3638"/>
      <c r="AC344" s="3637"/>
      <c r="AD344" s="3206"/>
      <c r="AE344" s="3206"/>
      <c r="AF344" s="5301"/>
    </row>
    <row r="345" spans="1:32">
      <c r="A345" s="4564"/>
      <c r="B345" s="4570"/>
      <c r="C345" s="4545"/>
      <c r="D345" s="4514"/>
      <c r="E345" s="4514"/>
      <c r="F345" s="4514"/>
      <c r="G345" s="4514"/>
      <c r="H345" s="4514"/>
      <c r="I345" s="4514"/>
      <c r="J345" s="4514"/>
      <c r="K345" s="4514"/>
      <c r="L345" s="4514"/>
      <c r="M345" s="4901"/>
      <c r="N345" s="4901"/>
      <c r="O345" s="4901"/>
      <c r="P345" s="4514"/>
      <c r="Q345" s="4514"/>
      <c r="R345" s="4518"/>
      <c r="S345" s="3311"/>
      <c r="T345" s="1891"/>
      <c r="U345" s="1849"/>
      <c r="V345" s="1883"/>
      <c r="W345" s="1864"/>
      <c r="X345" s="3637"/>
      <c r="Y345" s="3214"/>
      <c r="Z345" s="3214"/>
      <c r="AA345" s="3214"/>
      <c r="AB345" s="3638"/>
      <c r="AC345" s="3637"/>
      <c r="AD345" s="3206"/>
      <c r="AE345" s="3206"/>
      <c r="AF345" s="5301"/>
    </row>
    <row r="346" spans="1:32">
      <c r="A346" s="4564"/>
      <c r="B346" s="4570"/>
      <c r="C346" s="4545"/>
      <c r="D346" s="4514"/>
      <c r="E346" s="4514"/>
      <c r="F346" s="4514"/>
      <c r="G346" s="4514"/>
      <c r="H346" s="4514"/>
      <c r="I346" s="4514"/>
      <c r="J346" s="4514"/>
      <c r="K346" s="4514"/>
      <c r="L346" s="4514"/>
      <c r="M346" s="4901"/>
      <c r="N346" s="4901"/>
      <c r="O346" s="4901"/>
      <c r="P346" s="4514"/>
      <c r="Q346" s="4514"/>
      <c r="R346" s="4518"/>
      <c r="S346" s="3311"/>
      <c r="T346" s="1891"/>
      <c r="U346" s="1849"/>
      <c r="V346" s="1883"/>
      <c r="W346" s="1864"/>
      <c r="X346" s="3637"/>
      <c r="Y346" s="3214"/>
      <c r="Z346" s="3214"/>
      <c r="AA346" s="3214"/>
      <c r="AB346" s="3638"/>
      <c r="AC346" s="3637"/>
      <c r="AD346" s="3206"/>
      <c r="AE346" s="3206"/>
      <c r="AF346" s="5301"/>
    </row>
    <row r="347" spans="1:32" ht="35.25" customHeight="1">
      <c r="A347" s="4564"/>
      <c r="B347" s="4570"/>
      <c r="C347" s="4566"/>
      <c r="D347" s="4525"/>
      <c r="E347" s="4525"/>
      <c r="F347" s="4525"/>
      <c r="G347" s="4525"/>
      <c r="H347" s="4525"/>
      <c r="I347" s="4525"/>
      <c r="J347" s="4525"/>
      <c r="K347" s="4525"/>
      <c r="L347" s="4525"/>
      <c r="M347" s="4902"/>
      <c r="N347" s="4902"/>
      <c r="O347" s="4902"/>
      <c r="P347" s="4525"/>
      <c r="Q347" s="4525"/>
      <c r="R347" s="4528"/>
      <c r="S347" s="3314"/>
      <c r="T347" s="3821"/>
      <c r="U347" s="3271"/>
      <c r="V347" s="3822"/>
      <c r="W347" s="3254"/>
      <c r="X347" s="4037"/>
      <c r="Y347" s="3291"/>
      <c r="Z347" s="3291"/>
      <c r="AA347" s="3291"/>
      <c r="AB347" s="4118"/>
      <c r="AC347" s="4037"/>
      <c r="AD347" s="4119"/>
      <c r="AE347" s="4119"/>
      <c r="AF347" s="5302"/>
    </row>
    <row r="348" spans="1:32">
      <c r="A348" s="4564"/>
      <c r="B348" s="4570"/>
      <c r="C348" s="5239" t="s">
        <v>272</v>
      </c>
      <c r="D348" s="4377" t="s">
        <v>236</v>
      </c>
      <c r="E348" s="4377" t="s">
        <v>237</v>
      </c>
      <c r="F348" s="4377" t="s">
        <v>255</v>
      </c>
      <c r="G348" s="4906" t="s">
        <v>239</v>
      </c>
      <c r="H348" s="4377" t="s">
        <v>256</v>
      </c>
      <c r="I348" s="4377" t="s">
        <v>241</v>
      </c>
      <c r="J348" s="4377" t="s">
        <v>1767</v>
      </c>
      <c r="K348" s="4377" t="s">
        <v>1768</v>
      </c>
      <c r="L348" s="4377" t="s">
        <v>1769</v>
      </c>
      <c r="M348" s="4392">
        <v>1</v>
      </c>
      <c r="N348" s="4392">
        <v>1</v>
      </c>
      <c r="O348" s="4392">
        <v>1</v>
      </c>
      <c r="P348" s="4377" t="s">
        <v>1770</v>
      </c>
      <c r="Q348" s="4377" t="s">
        <v>1771</v>
      </c>
      <c r="R348" s="4903" t="s">
        <v>6103</v>
      </c>
      <c r="S348" s="3310"/>
      <c r="T348" s="3270"/>
      <c r="U348" s="3272"/>
      <c r="V348" s="4068"/>
      <c r="W348" s="4071"/>
      <c r="X348" s="3632"/>
      <c r="Y348" s="3633"/>
      <c r="Z348" s="3633"/>
      <c r="AA348" s="3633"/>
      <c r="AB348" s="3634"/>
      <c r="AC348" s="3632"/>
      <c r="AD348" s="4120"/>
      <c r="AE348" s="4120"/>
      <c r="AF348" s="5217"/>
    </row>
    <row r="349" spans="1:32">
      <c r="A349" s="4564"/>
      <c r="B349" s="4570"/>
      <c r="C349" s="4545"/>
      <c r="D349" s="4514"/>
      <c r="E349" s="4514"/>
      <c r="F349" s="4514"/>
      <c r="G349" s="4514"/>
      <c r="H349" s="4514"/>
      <c r="I349" s="4514"/>
      <c r="J349" s="4514"/>
      <c r="K349" s="4514"/>
      <c r="L349" s="4514"/>
      <c r="M349" s="4901"/>
      <c r="N349" s="4901"/>
      <c r="O349" s="4901"/>
      <c r="P349" s="4514"/>
      <c r="Q349" s="4514"/>
      <c r="R349" s="4518"/>
      <c r="S349" s="3311"/>
      <c r="T349" s="1891"/>
      <c r="U349" s="1849"/>
      <c r="V349" s="1883"/>
      <c r="W349" s="1864"/>
      <c r="X349" s="3637"/>
      <c r="Y349" s="3214"/>
      <c r="Z349" s="3214"/>
      <c r="AA349" s="3214"/>
      <c r="AB349" s="3638"/>
      <c r="AC349" s="3637"/>
      <c r="AD349" s="3206"/>
      <c r="AE349" s="3206"/>
      <c r="AF349" s="5301"/>
    </row>
    <row r="350" spans="1:32">
      <c r="A350" s="4564"/>
      <c r="B350" s="4570"/>
      <c r="C350" s="4545"/>
      <c r="D350" s="4514"/>
      <c r="E350" s="4514"/>
      <c r="F350" s="4514"/>
      <c r="G350" s="4514"/>
      <c r="H350" s="4514"/>
      <c r="I350" s="4514"/>
      <c r="J350" s="4514"/>
      <c r="K350" s="4514"/>
      <c r="L350" s="4514"/>
      <c r="M350" s="4901"/>
      <c r="N350" s="4901"/>
      <c r="O350" s="4901"/>
      <c r="P350" s="4514"/>
      <c r="Q350" s="4514"/>
      <c r="R350" s="4518"/>
      <c r="S350" s="3311"/>
      <c r="T350" s="1891"/>
      <c r="U350" s="1849"/>
      <c r="V350" s="1883"/>
      <c r="W350" s="1864"/>
      <c r="X350" s="3637"/>
      <c r="Y350" s="3214"/>
      <c r="Z350" s="3214"/>
      <c r="AA350" s="3214"/>
      <c r="AB350" s="3638"/>
      <c r="AC350" s="3637"/>
      <c r="AD350" s="3206"/>
      <c r="AE350" s="3206"/>
      <c r="AF350" s="5301"/>
    </row>
    <row r="351" spans="1:32">
      <c r="A351" s="4564"/>
      <c r="B351" s="4570"/>
      <c r="C351" s="4545"/>
      <c r="D351" s="4514"/>
      <c r="E351" s="4514"/>
      <c r="F351" s="4514"/>
      <c r="G351" s="4514"/>
      <c r="H351" s="4514"/>
      <c r="I351" s="4514"/>
      <c r="J351" s="4514"/>
      <c r="K351" s="4514"/>
      <c r="L351" s="4514"/>
      <c r="M351" s="4901"/>
      <c r="N351" s="4901"/>
      <c r="O351" s="4901"/>
      <c r="P351" s="4514"/>
      <c r="Q351" s="4514"/>
      <c r="R351" s="4518"/>
      <c r="S351" s="3311"/>
      <c r="T351" s="1891"/>
      <c r="U351" s="1849"/>
      <c r="V351" s="1883"/>
      <c r="W351" s="1864"/>
      <c r="X351" s="3637"/>
      <c r="Y351" s="3214"/>
      <c r="Z351" s="3214"/>
      <c r="AA351" s="3214"/>
      <c r="AB351" s="3638"/>
      <c r="AC351" s="3637"/>
      <c r="AD351" s="3206"/>
      <c r="AE351" s="3206"/>
      <c r="AF351" s="5301"/>
    </row>
    <row r="352" spans="1:32" ht="36" customHeight="1">
      <c r="A352" s="4564"/>
      <c r="B352" s="4570"/>
      <c r="C352" s="4573"/>
      <c r="D352" s="4515"/>
      <c r="E352" s="4515"/>
      <c r="F352" s="4515"/>
      <c r="G352" s="4515"/>
      <c r="H352" s="4515"/>
      <c r="I352" s="4515"/>
      <c r="J352" s="4515"/>
      <c r="K352" s="4515"/>
      <c r="L352" s="4515"/>
      <c r="M352" s="5222"/>
      <c r="N352" s="5222"/>
      <c r="O352" s="5222"/>
      <c r="P352" s="4515"/>
      <c r="Q352" s="4515"/>
      <c r="R352" s="4519"/>
      <c r="S352" s="3312"/>
      <c r="T352" s="3819"/>
      <c r="U352" s="3268"/>
      <c r="V352" s="3641"/>
      <c r="W352" s="3233"/>
      <c r="X352" s="3642"/>
      <c r="Y352" s="3282"/>
      <c r="Z352" s="3282"/>
      <c r="AA352" s="3282"/>
      <c r="AB352" s="3643"/>
      <c r="AC352" s="3642"/>
      <c r="AD352" s="4117"/>
      <c r="AE352" s="4117"/>
      <c r="AF352" s="5303"/>
    </row>
    <row r="353" spans="1:32" ht="18" customHeight="1">
      <c r="A353" s="4564"/>
      <c r="B353" s="4570"/>
      <c r="C353" s="5239" t="s">
        <v>235</v>
      </c>
      <c r="D353" s="4377" t="s">
        <v>236</v>
      </c>
      <c r="E353" s="4377" t="s">
        <v>237</v>
      </c>
      <c r="F353" s="4377" t="s">
        <v>976</v>
      </c>
      <c r="G353" s="4906" t="s">
        <v>239</v>
      </c>
      <c r="H353" s="4377" t="s">
        <v>240</v>
      </c>
      <c r="I353" s="4377" t="s">
        <v>278</v>
      </c>
      <c r="J353" s="4377" t="s">
        <v>1772</v>
      </c>
      <c r="K353" s="4377" t="s">
        <v>338</v>
      </c>
      <c r="L353" s="4377" t="s">
        <v>1773</v>
      </c>
      <c r="M353" s="4392">
        <v>0</v>
      </c>
      <c r="N353" s="4392">
        <v>1</v>
      </c>
      <c r="O353" s="4392">
        <v>1</v>
      </c>
      <c r="P353" s="4377" t="s">
        <v>562</v>
      </c>
      <c r="Q353" s="4377" t="s">
        <v>1774</v>
      </c>
      <c r="R353" s="4903" t="s">
        <v>6104</v>
      </c>
      <c r="S353" s="3310"/>
      <c r="T353" s="3270"/>
      <c r="U353" s="3272"/>
      <c r="V353" s="4068"/>
      <c r="W353" s="4071"/>
      <c r="X353" s="3632"/>
      <c r="Y353" s="3633"/>
      <c r="Z353" s="3633"/>
      <c r="AA353" s="3633"/>
      <c r="AB353" s="3634"/>
      <c r="AC353" s="3632"/>
      <c r="AD353" s="4122"/>
      <c r="AE353" s="4122"/>
      <c r="AF353" s="5217"/>
    </row>
    <row r="354" spans="1:32" ht="18" customHeight="1">
      <c r="A354" s="4564"/>
      <c r="B354" s="4570"/>
      <c r="C354" s="4545"/>
      <c r="D354" s="4514"/>
      <c r="E354" s="4514"/>
      <c r="F354" s="4514"/>
      <c r="G354" s="4514"/>
      <c r="H354" s="4514"/>
      <c r="I354" s="4514"/>
      <c r="J354" s="4514"/>
      <c r="K354" s="4514"/>
      <c r="L354" s="4514"/>
      <c r="M354" s="4901"/>
      <c r="N354" s="4901"/>
      <c r="O354" s="4901"/>
      <c r="P354" s="4514"/>
      <c r="Q354" s="4514"/>
      <c r="R354" s="4518"/>
      <c r="S354" s="3311"/>
      <c r="T354" s="1891"/>
      <c r="U354" s="1849"/>
      <c r="V354" s="1883"/>
      <c r="W354" s="1864"/>
      <c r="X354" s="3637"/>
      <c r="Y354" s="3214"/>
      <c r="Z354" s="3214"/>
      <c r="AA354" s="3214"/>
      <c r="AB354" s="3638"/>
      <c r="AC354" s="3637"/>
      <c r="AD354" s="3637"/>
      <c r="AE354" s="4104"/>
      <c r="AF354" s="5301"/>
    </row>
    <row r="355" spans="1:32" ht="18" customHeight="1">
      <c r="A355" s="4564"/>
      <c r="B355" s="4570"/>
      <c r="C355" s="4545"/>
      <c r="D355" s="4514"/>
      <c r="E355" s="4514"/>
      <c r="F355" s="4514"/>
      <c r="G355" s="4514"/>
      <c r="H355" s="4514"/>
      <c r="I355" s="4514"/>
      <c r="J355" s="4514"/>
      <c r="K355" s="4514"/>
      <c r="L355" s="4514"/>
      <c r="M355" s="4901"/>
      <c r="N355" s="4901"/>
      <c r="O355" s="4901"/>
      <c r="P355" s="4514"/>
      <c r="Q355" s="4514"/>
      <c r="R355" s="4518"/>
      <c r="S355" s="3311"/>
      <c r="T355" s="1891"/>
      <c r="U355" s="1849"/>
      <c r="V355" s="1883"/>
      <c r="W355" s="1864"/>
      <c r="X355" s="3637"/>
      <c r="Y355" s="3214"/>
      <c r="Z355" s="3214"/>
      <c r="AA355" s="3214"/>
      <c r="AB355" s="3638"/>
      <c r="AC355" s="3637"/>
      <c r="AD355" s="3637"/>
      <c r="AE355" s="3206"/>
      <c r="AF355" s="5301"/>
    </row>
    <row r="356" spans="1:32" ht="18" customHeight="1">
      <c r="A356" s="4564"/>
      <c r="B356" s="4570"/>
      <c r="C356" s="4545"/>
      <c r="D356" s="4514"/>
      <c r="E356" s="4514"/>
      <c r="F356" s="4514"/>
      <c r="G356" s="4514"/>
      <c r="H356" s="4514"/>
      <c r="I356" s="4514"/>
      <c r="J356" s="4514"/>
      <c r="K356" s="4514"/>
      <c r="L356" s="4514"/>
      <c r="M356" s="4901"/>
      <c r="N356" s="4901"/>
      <c r="O356" s="4901"/>
      <c r="P356" s="4514"/>
      <c r="Q356" s="4514"/>
      <c r="R356" s="4518"/>
      <c r="S356" s="3311"/>
      <c r="T356" s="1891"/>
      <c r="U356" s="1849"/>
      <c r="V356" s="1883"/>
      <c r="W356" s="1864"/>
      <c r="X356" s="3637"/>
      <c r="Y356" s="3214"/>
      <c r="Z356" s="3214"/>
      <c r="AA356" s="3214"/>
      <c r="AB356" s="3638"/>
      <c r="AC356" s="3637"/>
      <c r="AD356" s="3637"/>
      <c r="AE356" s="3206"/>
      <c r="AF356" s="5301"/>
    </row>
    <row r="357" spans="1:32" ht="46.5" customHeight="1">
      <c r="A357" s="4564"/>
      <c r="B357" s="4570"/>
      <c r="C357" s="4573"/>
      <c r="D357" s="4515"/>
      <c r="E357" s="4515"/>
      <c r="F357" s="4515"/>
      <c r="G357" s="4515"/>
      <c r="H357" s="4515"/>
      <c r="I357" s="4515"/>
      <c r="J357" s="4515"/>
      <c r="K357" s="4515"/>
      <c r="L357" s="4515"/>
      <c r="M357" s="5222"/>
      <c r="N357" s="5222"/>
      <c r="O357" s="5222"/>
      <c r="P357" s="4515"/>
      <c r="Q357" s="4515"/>
      <c r="R357" s="4519"/>
      <c r="S357" s="3312"/>
      <c r="T357" s="3819"/>
      <c r="U357" s="3268"/>
      <c r="V357" s="3641"/>
      <c r="W357" s="3233"/>
      <c r="X357" s="3642"/>
      <c r="Y357" s="3282"/>
      <c r="Z357" s="3282"/>
      <c r="AA357" s="3282"/>
      <c r="AB357" s="3643"/>
      <c r="AC357" s="3642"/>
      <c r="AD357" s="3642"/>
      <c r="AE357" s="4117"/>
      <c r="AF357" s="5303"/>
    </row>
    <row r="358" spans="1:32" ht="17.25" customHeight="1">
      <c r="A358" s="4564"/>
      <c r="B358" s="4570"/>
      <c r="C358" s="5236" t="s">
        <v>235</v>
      </c>
      <c r="D358" s="4395" t="s">
        <v>236</v>
      </c>
      <c r="E358" s="4395" t="s">
        <v>237</v>
      </c>
      <c r="F358" s="4395" t="s">
        <v>976</v>
      </c>
      <c r="G358" s="4930" t="s">
        <v>239</v>
      </c>
      <c r="H358" s="4395" t="s">
        <v>240</v>
      </c>
      <c r="I358" s="4395" t="s">
        <v>278</v>
      </c>
      <c r="J358" s="4395" t="s">
        <v>1775</v>
      </c>
      <c r="K358" s="4395" t="s">
        <v>707</v>
      </c>
      <c r="L358" s="4395" t="s">
        <v>1776</v>
      </c>
      <c r="M358" s="4401">
        <v>25</v>
      </c>
      <c r="N358" s="4401">
        <v>68</v>
      </c>
      <c r="O358" s="4401">
        <v>68</v>
      </c>
      <c r="P358" s="4395" t="s">
        <v>1777</v>
      </c>
      <c r="Q358" s="4395" t="s">
        <v>1778</v>
      </c>
      <c r="R358" s="4897" t="s">
        <v>6105</v>
      </c>
      <c r="S358" s="3313"/>
      <c r="T358" s="3071"/>
      <c r="U358" s="3274"/>
      <c r="V358" s="4069"/>
      <c r="W358" s="4070"/>
      <c r="X358" s="4033"/>
      <c r="Y358" s="3295"/>
      <c r="Z358" s="3295"/>
      <c r="AA358" s="3295"/>
      <c r="AB358" s="4115"/>
      <c r="AC358" s="4033"/>
      <c r="AD358" s="4116"/>
      <c r="AE358" s="4116"/>
      <c r="AF358" s="5209"/>
    </row>
    <row r="359" spans="1:32" ht="17.25" customHeight="1">
      <c r="A359" s="4564"/>
      <c r="B359" s="4570"/>
      <c r="C359" s="4545"/>
      <c r="D359" s="4514"/>
      <c r="E359" s="4514"/>
      <c r="F359" s="4514"/>
      <c r="G359" s="4514"/>
      <c r="H359" s="4514"/>
      <c r="I359" s="4514"/>
      <c r="J359" s="4514"/>
      <c r="K359" s="4514"/>
      <c r="L359" s="4514"/>
      <c r="M359" s="4901"/>
      <c r="N359" s="4901"/>
      <c r="O359" s="4901"/>
      <c r="P359" s="4514"/>
      <c r="Q359" s="4514"/>
      <c r="R359" s="4518"/>
      <c r="S359" s="3311"/>
      <c r="T359" s="1891"/>
      <c r="U359" s="1849"/>
      <c r="V359" s="1883"/>
      <c r="W359" s="1864"/>
      <c r="X359" s="3637"/>
      <c r="Y359" s="3214"/>
      <c r="Z359" s="3214"/>
      <c r="AA359" s="3214"/>
      <c r="AB359" s="3638"/>
      <c r="AC359" s="3637"/>
      <c r="AD359" s="3206"/>
      <c r="AE359" s="3206"/>
      <c r="AF359" s="5301"/>
    </row>
    <row r="360" spans="1:32" ht="17.25" customHeight="1">
      <c r="A360" s="4564"/>
      <c r="B360" s="4570"/>
      <c r="C360" s="4545"/>
      <c r="D360" s="4514"/>
      <c r="E360" s="4514"/>
      <c r="F360" s="4514"/>
      <c r="G360" s="4514"/>
      <c r="H360" s="4514"/>
      <c r="I360" s="4514"/>
      <c r="J360" s="4514"/>
      <c r="K360" s="4514"/>
      <c r="L360" s="4514"/>
      <c r="M360" s="4901"/>
      <c r="N360" s="4901"/>
      <c r="O360" s="4901"/>
      <c r="P360" s="4514"/>
      <c r="Q360" s="4514"/>
      <c r="R360" s="4518"/>
      <c r="S360" s="3311"/>
      <c r="T360" s="1891"/>
      <c r="U360" s="1849"/>
      <c r="V360" s="1883"/>
      <c r="W360" s="1864"/>
      <c r="X360" s="3637"/>
      <c r="Y360" s="3214"/>
      <c r="Z360" s="3214"/>
      <c r="AA360" s="3214"/>
      <c r="AB360" s="3638"/>
      <c r="AC360" s="3637"/>
      <c r="AD360" s="3206"/>
      <c r="AE360" s="3206"/>
      <c r="AF360" s="5301"/>
    </row>
    <row r="361" spans="1:32" ht="17.25" customHeight="1">
      <c r="A361" s="4564"/>
      <c r="B361" s="4570"/>
      <c r="C361" s="4545"/>
      <c r="D361" s="4514"/>
      <c r="E361" s="4514"/>
      <c r="F361" s="4514"/>
      <c r="G361" s="4514"/>
      <c r="H361" s="4514"/>
      <c r="I361" s="4514"/>
      <c r="J361" s="4514"/>
      <c r="K361" s="4514"/>
      <c r="L361" s="4514"/>
      <c r="M361" s="4901"/>
      <c r="N361" s="4901"/>
      <c r="O361" s="4901"/>
      <c r="P361" s="4514"/>
      <c r="Q361" s="4514"/>
      <c r="R361" s="4518"/>
      <c r="S361" s="3311"/>
      <c r="T361" s="1891"/>
      <c r="U361" s="1849"/>
      <c r="V361" s="1883"/>
      <c r="W361" s="1864"/>
      <c r="X361" s="3637"/>
      <c r="Y361" s="3214"/>
      <c r="Z361" s="3214"/>
      <c r="AA361" s="3214"/>
      <c r="AB361" s="3638"/>
      <c r="AC361" s="3637"/>
      <c r="AD361" s="3206"/>
      <c r="AE361" s="3206"/>
      <c r="AF361" s="5301"/>
    </row>
    <row r="362" spans="1:32" ht="45" customHeight="1" thickBot="1">
      <c r="A362" s="4564"/>
      <c r="B362" s="4570"/>
      <c r="C362" s="5287"/>
      <c r="D362" s="5285"/>
      <c r="E362" s="5285"/>
      <c r="F362" s="5285"/>
      <c r="G362" s="5285"/>
      <c r="H362" s="5285"/>
      <c r="I362" s="5285"/>
      <c r="J362" s="5285"/>
      <c r="K362" s="5285"/>
      <c r="L362" s="5285"/>
      <c r="M362" s="5294"/>
      <c r="N362" s="5294"/>
      <c r="O362" s="5294"/>
      <c r="P362" s="5285"/>
      <c r="Q362" s="5285"/>
      <c r="R362" s="5295"/>
      <c r="S362" s="4136"/>
      <c r="T362" s="4105"/>
      <c r="U362" s="4106"/>
      <c r="V362" s="4107"/>
      <c r="W362" s="4108"/>
      <c r="X362" s="4109"/>
      <c r="Y362" s="4110"/>
      <c r="Z362" s="4110"/>
      <c r="AA362" s="4110"/>
      <c r="AB362" s="4111"/>
      <c r="AC362" s="4109"/>
      <c r="AD362" s="4112"/>
      <c r="AE362" s="4112"/>
      <c r="AF362" s="5304"/>
    </row>
    <row r="363" spans="1:32" ht="25.5" customHeight="1" thickBot="1">
      <c r="A363" s="4564"/>
      <c r="B363" s="4479"/>
      <c r="C363" s="5323"/>
      <c r="D363" s="4807"/>
      <c r="E363" s="4807"/>
      <c r="F363" s="4807"/>
      <c r="G363" s="4807"/>
      <c r="H363" s="4807"/>
      <c r="I363" s="4807"/>
      <c r="J363" s="4807"/>
      <c r="K363" s="4807"/>
      <c r="L363" s="4807"/>
      <c r="M363" s="4807"/>
      <c r="N363" s="4807"/>
      <c r="O363" s="4807"/>
      <c r="P363" s="4807"/>
      <c r="Q363" s="4807"/>
      <c r="R363" s="4807"/>
      <c r="S363" s="4138" t="s">
        <v>1779</v>
      </c>
      <c r="T363" s="4073"/>
      <c r="U363" s="4073"/>
      <c r="V363" s="4073"/>
      <c r="W363" s="4074"/>
      <c r="X363" s="4075"/>
      <c r="Y363" s="4076"/>
      <c r="Z363" s="4143"/>
      <c r="AA363" s="4144" t="s">
        <v>340</v>
      </c>
      <c r="AB363" s="4146">
        <f>SUM(AB303:AB362)</f>
        <v>282.24</v>
      </c>
      <c r="AC363" s="4145"/>
      <c r="AD363" s="4075"/>
      <c r="AE363" s="4075"/>
      <c r="AF363" s="4080"/>
    </row>
    <row r="364" spans="1:32">
      <c r="A364" s="4564"/>
      <c r="B364" s="4571" t="s">
        <v>1780</v>
      </c>
      <c r="C364" s="5288" t="s">
        <v>235</v>
      </c>
      <c r="D364" s="4421" t="s">
        <v>236</v>
      </c>
      <c r="E364" s="4421" t="s">
        <v>244</v>
      </c>
      <c r="F364" s="4421" t="s">
        <v>337</v>
      </c>
      <c r="G364" s="5286" t="s">
        <v>239</v>
      </c>
      <c r="H364" s="4421" t="s">
        <v>240</v>
      </c>
      <c r="I364" s="4421" t="s">
        <v>257</v>
      </c>
      <c r="J364" s="4421" t="s">
        <v>6018</v>
      </c>
      <c r="K364" s="4421" t="s">
        <v>1781</v>
      </c>
      <c r="L364" s="4421" t="s">
        <v>1782</v>
      </c>
      <c r="M364" s="4426">
        <v>8</v>
      </c>
      <c r="N364" s="4426">
        <v>8</v>
      </c>
      <c r="O364" s="4426">
        <v>8</v>
      </c>
      <c r="P364" s="4421" t="s">
        <v>1783</v>
      </c>
      <c r="Q364" s="4421" t="s">
        <v>1784</v>
      </c>
      <c r="R364" s="5290" t="s">
        <v>6106</v>
      </c>
      <c r="S364" s="4135"/>
      <c r="T364" s="3853"/>
      <c r="U364" s="3874"/>
      <c r="V364" s="3854"/>
      <c r="W364" s="3855"/>
      <c r="X364" s="4091"/>
      <c r="Y364" s="4092"/>
      <c r="Z364" s="4092"/>
      <c r="AA364" s="4092"/>
      <c r="AB364" s="4093"/>
      <c r="AC364" s="4091"/>
      <c r="AD364" s="4094"/>
      <c r="AE364" s="4094"/>
      <c r="AF364" s="5321"/>
    </row>
    <row r="365" spans="1:32">
      <c r="A365" s="4564"/>
      <c r="B365" s="4570"/>
      <c r="C365" s="4545"/>
      <c r="D365" s="4514"/>
      <c r="E365" s="4514"/>
      <c r="F365" s="4514"/>
      <c r="G365" s="4514"/>
      <c r="H365" s="4514"/>
      <c r="I365" s="4514"/>
      <c r="J365" s="4514"/>
      <c r="K365" s="4514"/>
      <c r="L365" s="4514"/>
      <c r="M365" s="4901"/>
      <c r="N365" s="4901"/>
      <c r="O365" s="4901"/>
      <c r="P365" s="4514"/>
      <c r="Q365" s="4514"/>
      <c r="R365" s="4518"/>
      <c r="S365" s="3311"/>
      <c r="T365" s="1891"/>
      <c r="U365" s="1849"/>
      <c r="V365" s="1883"/>
      <c r="W365" s="1864"/>
      <c r="X365" s="3637"/>
      <c r="Y365" s="3214"/>
      <c r="Z365" s="3214"/>
      <c r="AA365" s="3214"/>
      <c r="AB365" s="3638"/>
      <c r="AC365" s="3637"/>
      <c r="AD365" s="3206"/>
      <c r="AE365" s="3206"/>
      <c r="AF365" s="5301"/>
    </row>
    <row r="366" spans="1:32">
      <c r="A366" s="4564"/>
      <c r="B366" s="4570"/>
      <c r="C366" s="4545"/>
      <c r="D366" s="4514"/>
      <c r="E366" s="4514"/>
      <c r="F366" s="4514"/>
      <c r="G366" s="4514"/>
      <c r="H366" s="4514"/>
      <c r="I366" s="4514"/>
      <c r="J366" s="4514"/>
      <c r="K366" s="4514"/>
      <c r="L366" s="4514"/>
      <c r="M366" s="4901"/>
      <c r="N366" s="4901"/>
      <c r="O366" s="4901"/>
      <c r="P366" s="4514"/>
      <c r="Q366" s="4514"/>
      <c r="R366" s="4518"/>
      <c r="S366" s="3311"/>
      <c r="T366" s="1891"/>
      <c r="U366" s="1849"/>
      <c r="V366" s="1883"/>
      <c r="W366" s="1864"/>
      <c r="X366" s="3637"/>
      <c r="Y366" s="3214"/>
      <c r="Z366" s="3214"/>
      <c r="AA366" s="3214"/>
      <c r="AB366" s="3638"/>
      <c r="AC366" s="3637"/>
      <c r="AD366" s="3206"/>
      <c r="AE366" s="3206"/>
      <c r="AF366" s="5301"/>
    </row>
    <row r="367" spans="1:32">
      <c r="A367" s="4564"/>
      <c r="B367" s="4570"/>
      <c r="C367" s="4545"/>
      <c r="D367" s="4514"/>
      <c r="E367" s="4514"/>
      <c r="F367" s="4514"/>
      <c r="G367" s="4514"/>
      <c r="H367" s="4514"/>
      <c r="I367" s="4514"/>
      <c r="J367" s="4514"/>
      <c r="K367" s="4514"/>
      <c r="L367" s="4514"/>
      <c r="M367" s="4901"/>
      <c r="N367" s="4901"/>
      <c r="O367" s="4901"/>
      <c r="P367" s="4514"/>
      <c r="Q367" s="4514"/>
      <c r="R367" s="4518"/>
      <c r="S367" s="3311"/>
      <c r="T367" s="1891"/>
      <c r="U367" s="1849"/>
      <c r="V367" s="1883"/>
      <c r="W367" s="1864"/>
      <c r="X367" s="3637"/>
      <c r="Y367" s="3214"/>
      <c r="Z367" s="3214"/>
      <c r="AA367" s="3214"/>
      <c r="AB367" s="3638"/>
      <c r="AC367" s="3637"/>
      <c r="AD367" s="3206"/>
      <c r="AE367" s="3206"/>
      <c r="AF367" s="5301"/>
    </row>
    <row r="368" spans="1:32" ht="59.25" customHeight="1">
      <c r="A368" s="4564"/>
      <c r="B368" s="4570"/>
      <c r="C368" s="4566"/>
      <c r="D368" s="4525"/>
      <c r="E368" s="4525"/>
      <c r="F368" s="4525"/>
      <c r="G368" s="4525"/>
      <c r="H368" s="4525"/>
      <c r="I368" s="4525"/>
      <c r="J368" s="4525"/>
      <c r="K368" s="4525"/>
      <c r="L368" s="4525"/>
      <c r="M368" s="4902"/>
      <c r="N368" s="4902"/>
      <c r="O368" s="4902"/>
      <c r="P368" s="4525"/>
      <c r="Q368" s="4525"/>
      <c r="R368" s="4528"/>
      <c r="S368" s="3314"/>
      <c r="T368" s="3821"/>
      <c r="U368" s="3271"/>
      <c r="V368" s="3822"/>
      <c r="W368" s="3254"/>
      <c r="X368" s="4037"/>
      <c r="Y368" s="3291"/>
      <c r="Z368" s="3291"/>
      <c r="AA368" s="3291"/>
      <c r="AB368" s="4118"/>
      <c r="AC368" s="4037"/>
      <c r="AD368" s="4119"/>
      <c r="AE368" s="4119"/>
      <c r="AF368" s="5302"/>
    </row>
    <row r="369" spans="1:32" ht="20.25" customHeight="1">
      <c r="A369" s="4564"/>
      <c r="B369" s="4570"/>
      <c r="C369" s="5239" t="s">
        <v>235</v>
      </c>
      <c r="D369" s="4377" t="s">
        <v>236</v>
      </c>
      <c r="E369" s="4377" t="s">
        <v>244</v>
      </c>
      <c r="F369" s="4377" t="s">
        <v>337</v>
      </c>
      <c r="G369" s="4906" t="s">
        <v>239</v>
      </c>
      <c r="H369" s="4377" t="s">
        <v>240</v>
      </c>
      <c r="I369" s="4377" t="s">
        <v>257</v>
      </c>
      <c r="J369" s="4377" t="s">
        <v>1785</v>
      </c>
      <c r="K369" s="4377" t="s">
        <v>1786</v>
      </c>
      <c r="L369" s="4377" t="s">
        <v>1787</v>
      </c>
      <c r="M369" s="4392">
        <v>60</v>
      </c>
      <c r="N369" s="4392">
        <v>60</v>
      </c>
      <c r="O369" s="4392">
        <v>60</v>
      </c>
      <c r="P369" s="4377" t="s">
        <v>1788</v>
      </c>
      <c r="Q369" s="4377" t="s">
        <v>1789</v>
      </c>
      <c r="R369" s="4903" t="s">
        <v>6106</v>
      </c>
      <c r="S369" s="3310"/>
      <c r="T369" s="3270"/>
      <c r="U369" s="3272"/>
      <c r="V369" s="4068"/>
      <c r="W369" s="4071"/>
      <c r="X369" s="3632"/>
      <c r="Y369" s="3633"/>
      <c r="Z369" s="3633"/>
      <c r="AA369" s="3633"/>
      <c r="AB369" s="3634"/>
      <c r="AC369" s="3632"/>
      <c r="AD369" s="4120"/>
      <c r="AE369" s="4120"/>
      <c r="AF369" s="5217"/>
    </row>
    <row r="370" spans="1:32" ht="20.25" customHeight="1">
      <c r="A370" s="4564"/>
      <c r="B370" s="4570"/>
      <c r="C370" s="4545"/>
      <c r="D370" s="4514"/>
      <c r="E370" s="4514"/>
      <c r="F370" s="4514"/>
      <c r="G370" s="4514"/>
      <c r="H370" s="4514"/>
      <c r="I370" s="4514"/>
      <c r="J370" s="4514"/>
      <c r="K370" s="4514"/>
      <c r="L370" s="4514"/>
      <c r="M370" s="4901"/>
      <c r="N370" s="4901"/>
      <c r="O370" s="4901"/>
      <c r="P370" s="4514"/>
      <c r="Q370" s="4514"/>
      <c r="R370" s="4518"/>
      <c r="S370" s="3311"/>
      <c r="T370" s="1891"/>
      <c r="U370" s="1849"/>
      <c r="V370" s="1883"/>
      <c r="W370" s="1864"/>
      <c r="X370" s="3637"/>
      <c r="Y370" s="3214"/>
      <c r="Z370" s="3214"/>
      <c r="AA370" s="3214"/>
      <c r="AB370" s="3638"/>
      <c r="AC370" s="3637"/>
      <c r="AD370" s="3206"/>
      <c r="AE370" s="3206"/>
      <c r="AF370" s="5301"/>
    </row>
    <row r="371" spans="1:32" ht="20.25" customHeight="1">
      <c r="A371" s="4564"/>
      <c r="B371" s="4570"/>
      <c r="C371" s="4545"/>
      <c r="D371" s="4514"/>
      <c r="E371" s="4514"/>
      <c r="F371" s="4514"/>
      <c r="G371" s="4514"/>
      <c r="H371" s="4514"/>
      <c r="I371" s="4514"/>
      <c r="J371" s="4514"/>
      <c r="K371" s="4514"/>
      <c r="L371" s="4514"/>
      <c r="M371" s="4901"/>
      <c r="N371" s="4901"/>
      <c r="O371" s="4901"/>
      <c r="P371" s="4514"/>
      <c r="Q371" s="4514"/>
      <c r="R371" s="4518"/>
      <c r="S371" s="3311"/>
      <c r="T371" s="1891"/>
      <c r="U371" s="1849"/>
      <c r="V371" s="1883"/>
      <c r="W371" s="1864"/>
      <c r="X371" s="3637"/>
      <c r="Y371" s="3214"/>
      <c r="Z371" s="3214"/>
      <c r="AA371" s="3214"/>
      <c r="AB371" s="3638"/>
      <c r="AC371" s="3637"/>
      <c r="AD371" s="3206"/>
      <c r="AE371" s="3206"/>
      <c r="AF371" s="5301"/>
    </row>
    <row r="372" spans="1:32" ht="20.25" customHeight="1">
      <c r="A372" s="4564"/>
      <c r="B372" s="4570"/>
      <c r="C372" s="4545"/>
      <c r="D372" s="4514"/>
      <c r="E372" s="4514"/>
      <c r="F372" s="4514"/>
      <c r="G372" s="4514"/>
      <c r="H372" s="4514"/>
      <c r="I372" s="4514"/>
      <c r="J372" s="4514"/>
      <c r="K372" s="4514"/>
      <c r="L372" s="4514"/>
      <c r="M372" s="4901"/>
      <c r="N372" s="4901"/>
      <c r="O372" s="4901"/>
      <c r="P372" s="4514"/>
      <c r="Q372" s="4514"/>
      <c r="R372" s="4518"/>
      <c r="S372" s="3311"/>
      <c r="T372" s="1891"/>
      <c r="U372" s="1849"/>
      <c r="V372" s="1883"/>
      <c r="W372" s="1864"/>
      <c r="X372" s="3637"/>
      <c r="Y372" s="3214"/>
      <c r="Z372" s="3214"/>
      <c r="AA372" s="3214"/>
      <c r="AB372" s="3638"/>
      <c r="AC372" s="3637"/>
      <c r="AD372" s="3206"/>
      <c r="AE372" s="3206"/>
      <c r="AF372" s="5301"/>
    </row>
    <row r="373" spans="1:32" ht="38.25" customHeight="1">
      <c r="A373" s="4564"/>
      <c r="B373" s="4570"/>
      <c r="C373" s="4573"/>
      <c r="D373" s="4515"/>
      <c r="E373" s="4515"/>
      <c r="F373" s="4515"/>
      <c r="G373" s="4515"/>
      <c r="H373" s="4515"/>
      <c r="I373" s="4515"/>
      <c r="J373" s="4515"/>
      <c r="K373" s="4515"/>
      <c r="L373" s="4515"/>
      <c r="M373" s="5222"/>
      <c r="N373" s="5222"/>
      <c r="O373" s="5222"/>
      <c r="P373" s="4515"/>
      <c r="Q373" s="4515"/>
      <c r="R373" s="4519"/>
      <c r="S373" s="3312"/>
      <c r="T373" s="3819"/>
      <c r="U373" s="3268"/>
      <c r="V373" s="3641"/>
      <c r="W373" s="3233"/>
      <c r="X373" s="3642"/>
      <c r="Y373" s="3282"/>
      <c r="Z373" s="3282"/>
      <c r="AA373" s="3282"/>
      <c r="AB373" s="3643"/>
      <c r="AC373" s="3642"/>
      <c r="AD373" s="4117"/>
      <c r="AE373" s="4117"/>
      <c r="AF373" s="5303"/>
    </row>
    <row r="374" spans="1:32">
      <c r="A374" s="4564"/>
      <c r="B374" s="4570"/>
      <c r="C374" s="5236" t="s">
        <v>235</v>
      </c>
      <c r="D374" s="4395" t="s">
        <v>236</v>
      </c>
      <c r="E374" s="4395" t="s">
        <v>237</v>
      </c>
      <c r="F374" s="4395" t="s">
        <v>976</v>
      </c>
      <c r="G374" s="4930" t="s">
        <v>239</v>
      </c>
      <c r="H374" s="4395" t="s">
        <v>240</v>
      </c>
      <c r="I374" s="4395" t="s">
        <v>257</v>
      </c>
      <c r="J374" s="4395" t="s">
        <v>1790</v>
      </c>
      <c r="K374" s="4395" t="s">
        <v>1791</v>
      </c>
      <c r="L374" s="4395" t="s">
        <v>1792</v>
      </c>
      <c r="M374" s="4401">
        <v>200</v>
      </c>
      <c r="N374" s="4401">
        <v>200</v>
      </c>
      <c r="O374" s="4401">
        <v>200</v>
      </c>
      <c r="P374" s="4395" t="s">
        <v>1793</v>
      </c>
      <c r="Q374" s="4395" t="s">
        <v>1794</v>
      </c>
      <c r="R374" s="4897" t="s">
        <v>6106</v>
      </c>
      <c r="S374" s="3313"/>
      <c r="T374" s="3071"/>
      <c r="U374" s="3274"/>
      <c r="V374" s="4069"/>
      <c r="W374" s="4070"/>
      <c r="X374" s="4033"/>
      <c r="Y374" s="3295"/>
      <c r="Z374" s="3295"/>
      <c r="AA374" s="3295"/>
      <c r="AB374" s="4115"/>
      <c r="AC374" s="4033"/>
      <c r="AD374" s="4116"/>
      <c r="AE374" s="4116"/>
      <c r="AF374" s="5209"/>
    </row>
    <row r="375" spans="1:32">
      <c r="A375" s="4564"/>
      <c r="B375" s="4570"/>
      <c r="C375" s="4545"/>
      <c r="D375" s="4514"/>
      <c r="E375" s="4514"/>
      <c r="F375" s="4514"/>
      <c r="G375" s="4514"/>
      <c r="H375" s="4514"/>
      <c r="I375" s="4514"/>
      <c r="J375" s="4514"/>
      <c r="K375" s="4514"/>
      <c r="L375" s="4514"/>
      <c r="M375" s="4901"/>
      <c r="N375" s="4901"/>
      <c r="O375" s="4901"/>
      <c r="P375" s="4514"/>
      <c r="Q375" s="4514"/>
      <c r="R375" s="4518"/>
      <c r="S375" s="3311"/>
      <c r="T375" s="1891"/>
      <c r="U375" s="1849"/>
      <c r="V375" s="1883"/>
      <c r="W375" s="1864"/>
      <c r="X375" s="3637"/>
      <c r="Y375" s="3214"/>
      <c r="Z375" s="3214"/>
      <c r="AA375" s="3214"/>
      <c r="AB375" s="3638"/>
      <c r="AC375" s="3637"/>
      <c r="AD375" s="3206"/>
      <c r="AE375" s="3206"/>
      <c r="AF375" s="5301"/>
    </row>
    <row r="376" spans="1:32">
      <c r="A376" s="4564"/>
      <c r="B376" s="4570"/>
      <c r="C376" s="4545"/>
      <c r="D376" s="4514"/>
      <c r="E376" s="4514"/>
      <c r="F376" s="4514"/>
      <c r="G376" s="4514"/>
      <c r="H376" s="4514"/>
      <c r="I376" s="4514"/>
      <c r="J376" s="4514"/>
      <c r="K376" s="4514"/>
      <c r="L376" s="4514"/>
      <c r="M376" s="4901"/>
      <c r="N376" s="4901"/>
      <c r="O376" s="4901"/>
      <c r="P376" s="4514"/>
      <c r="Q376" s="4514"/>
      <c r="R376" s="4518"/>
      <c r="S376" s="3311"/>
      <c r="T376" s="1891"/>
      <c r="U376" s="1849"/>
      <c r="V376" s="1883"/>
      <c r="W376" s="1864"/>
      <c r="X376" s="3637"/>
      <c r="Y376" s="3214"/>
      <c r="Z376" s="3214"/>
      <c r="AA376" s="3214"/>
      <c r="AB376" s="3638"/>
      <c r="AC376" s="3637"/>
      <c r="AD376" s="3206"/>
      <c r="AE376" s="3206"/>
      <c r="AF376" s="5301"/>
    </row>
    <row r="377" spans="1:32">
      <c r="A377" s="4564"/>
      <c r="B377" s="4570"/>
      <c r="C377" s="4545"/>
      <c r="D377" s="4514"/>
      <c r="E377" s="4514"/>
      <c r="F377" s="4514"/>
      <c r="G377" s="4514"/>
      <c r="H377" s="4514"/>
      <c r="I377" s="4514"/>
      <c r="J377" s="4514"/>
      <c r="K377" s="4514"/>
      <c r="L377" s="4514"/>
      <c r="M377" s="4901"/>
      <c r="N377" s="4901"/>
      <c r="O377" s="4901"/>
      <c r="P377" s="4514"/>
      <c r="Q377" s="4514"/>
      <c r="R377" s="4518"/>
      <c r="S377" s="3311"/>
      <c r="T377" s="1891"/>
      <c r="U377" s="1849"/>
      <c r="V377" s="1883"/>
      <c r="W377" s="1864"/>
      <c r="X377" s="3637"/>
      <c r="Y377" s="3214"/>
      <c r="Z377" s="3214"/>
      <c r="AA377" s="3214"/>
      <c r="AB377" s="3638"/>
      <c r="AC377" s="3637"/>
      <c r="AD377" s="3206"/>
      <c r="AE377" s="3206"/>
      <c r="AF377" s="5301"/>
    </row>
    <row r="378" spans="1:32" ht="52.5" customHeight="1">
      <c r="A378" s="4564"/>
      <c r="B378" s="4570"/>
      <c r="C378" s="4566"/>
      <c r="D378" s="4525"/>
      <c r="E378" s="4525"/>
      <c r="F378" s="4525"/>
      <c r="G378" s="4525"/>
      <c r="H378" s="4525"/>
      <c r="I378" s="4525"/>
      <c r="J378" s="4525"/>
      <c r="K378" s="4525"/>
      <c r="L378" s="4525"/>
      <c r="M378" s="4902"/>
      <c r="N378" s="4902"/>
      <c r="O378" s="4902"/>
      <c r="P378" s="4525"/>
      <c r="Q378" s="4525"/>
      <c r="R378" s="4528"/>
      <c r="S378" s="3314"/>
      <c r="T378" s="3821"/>
      <c r="U378" s="3271"/>
      <c r="V378" s="3822"/>
      <c r="W378" s="3254"/>
      <c r="X378" s="4037"/>
      <c r="Y378" s="3291"/>
      <c r="Z378" s="3291"/>
      <c r="AA378" s="3291"/>
      <c r="AB378" s="4118"/>
      <c r="AC378" s="4037"/>
      <c r="AD378" s="4119"/>
      <c r="AE378" s="4119"/>
      <c r="AF378" s="5302"/>
    </row>
    <row r="379" spans="1:32" ht="21" customHeight="1">
      <c r="A379" s="4564"/>
      <c r="B379" s="4570"/>
      <c r="C379" s="5239" t="s">
        <v>235</v>
      </c>
      <c r="D379" s="4377" t="s">
        <v>236</v>
      </c>
      <c r="E379" s="4377" t="s">
        <v>237</v>
      </c>
      <c r="F379" s="4377" t="s">
        <v>976</v>
      </c>
      <c r="G379" s="4906" t="s">
        <v>239</v>
      </c>
      <c r="H379" s="4377" t="s">
        <v>240</v>
      </c>
      <c r="I379" s="4377" t="s">
        <v>257</v>
      </c>
      <c r="J379" s="4377" t="s">
        <v>1795</v>
      </c>
      <c r="K379" s="4377" t="s">
        <v>1796</v>
      </c>
      <c r="L379" s="4377" t="s">
        <v>1797</v>
      </c>
      <c r="M379" s="4392">
        <v>40</v>
      </c>
      <c r="N379" s="4392">
        <v>40</v>
      </c>
      <c r="O379" s="4392">
        <v>40</v>
      </c>
      <c r="P379" s="4377" t="s">
        <v>1798</v>
      </c>
      <c r="Q379" s="4377" t="s">
        <v>1799</v>
      </c>
      <c r="R379" s="4903" t="s">
        <v>6107</v>
      </c>
      <c r="S379" s="3310"/>
      <c r="T379" s="3270"/>
      <c r="U379" s="3272"/>
      <c r="V379" s="4068"/>
      <c r="W379" s="4071"/>
      <c r="X379" s="3632"/>
      <c r="Y379" s="3633"/>
      <c r="Z379" s="3633"/>
      <c r="AA379" s="3633"/>
      <c r="AB379" s="3634"/>
      <c r="AC379" s="3632"/>
      <c r="AD379" s="4120"/>
      <c r="AE379" s="4120"/>
      <c r="AF379" s="5217"/>
    </row>
    <row r="380" spans="1:32" ht="21" customHeight="1">
      <c r="A380" s="4564"/>
      <c r="B380" s="4570"/>
      <c r="C380" s="4545"/>
      <c r="D380" s="4514"/>
      <c r="E380" s="4514"/>
      <c r="F380" s="4514"/>
      <c r="G380" s="4514"/>
      <c r="H380" s="4514"/>
      <c r="I380" s="4514"/>
      <c r="J380" s="4514"/>
      <c r="K380" s="4514"/>
      <c r="L380" s="4514"/>
      <c r="M380" s="4901"/>
      <c r="N380" s="4901"/>
      <c r="O380" s="4901"/>
      <c r="P380" s="4514"/>
      <c r="Q380" s="4514"/>
      <c r="R380" s="4518"/>
      <c r="S380" s="3311"/>
      <c r="T380" s="1891"/>
      <c r="U380" s="1849"/>
      <c r="V380" s="1883"/>
      <c r="W380" s="1864"/>
      <c r="X380" s="3637"/>
      <c r="Y380" s="3214"/>
      <c r="Z380" s="3214"/>
      <c r="AA380" s="3214"/>
      <c r="AB380" s="3638"/>
      <c r="AC380" s="3637"/>
      <c r="AD380" s="3206"/>
      <c r="AE380" s="3206"/>
      <c r="AF380" s="5301"/>
    </row>
    <row r="381" spans="1:32" ht="21" customHeight="1">
      <c r="A381" s="4564"/>
      <c r="B381" s="4570"/>
      <c r="C381" s="4545"/>
      <c r="D381" s="4514"/>
      <c r="E381" s="4514"/>
      <c r="F381" s="4514"/>
      <c r="G381" s="4514"/>
      <c r="H381" s="4514"/>
      <c r="I381" s="4514"/>
      <c r="J381" s="4514"/>
      <c r="K381" s="4514"/>
      <c r="L381" s="4514"/>
      <c r="M381" s="4901"/>
      <c r="N381" s="4901"/>
      <c r="O381" s="4901"/>
      <c r="P381" s="4514"/>
      <c r="Q381" s="4514"/>
      <c r="R381" s="4518"/>
      <c r="S381" s="3311"/>
      <c r="T381" s="1891"/>
      <c r="U381" s="1849"/>
      <c r="V381" s="1883"/>
      <c r="W381" s="1864"/>
      <c r="X381" s="3637"/>
      <c r="Y381" s="3214"/>
      <c r="Z381" s="3214"/>
      <c r="AA381" s="3214"/>
      <c r="AB381" s="3638"/>
      <c r="AC381" s="3637"/>
      <c r="AD381" s="3206"/>
      <c r="AE381" s="3206"/>
      <c r="AF381" s="5301"/>
    </row>
    <row r="382" spans="1:32" ht="21" customHeight="1">
      <c r="A382" s="4564"/>
      <c r="B382" s="4570"/>
      <c r="C382" s="4545"/>
      <c r="D382" s="4514"/>
      <c r="E382" s="4514"/>
      <c r="F382" s="4514"/>
      <c r="G382" s="4514"/>
      <c r="H382" s="4514"/>
      <c r="I382" s="4514"/>
      <c r="J382" s="4514"/>
      <c r="K382" s="4514"/>
      <c r="L382" s="4514"/>
      <c r="M382" s="4901"/>
      <c r="N382" s="4901"/>
      <c r="O382" s="4901"/>
      <c r="P382" s="4514"/>
      <c r="Q382" s="4514"/>
      <c r="R382" s="4518"/>
      <c r="S382" s="3311"/>
      <c r="T382" s="1891"/>
      <c r="U382" s="1849"/>
      <c r="V382" s="1883"/>
      <c r="W382" s="1864"/>
      <c r="X382" s="3637"/>
      <c r="Y382" s="3214"/>
      <c r="Z382" s="3214"/>
      <c r="AA382" s="3214"/>
      <c r="AB382" s="3638"/>
      <c r="AC382" s="3637"/>
      <c r="AD382" s="3206"/>
      <c r="AE382" s="3206"/>
      <c r="AF382" s="5301"/>
    </row>
    <row r="383" spans="1:32" ht="33" customHeight="1">
      <c r="A383" s="4564"/>
      <c r="B383" s="4570"/>
      <c r="C383" s="4573"/>
      <c r="D383" s="4515"/>
      <c r="E383" s="4515"/>
      <c r="F383" s="4515"/>
      <c r="G383" s="4515"/>
      <c r="H383" s="4515"/>
      <c r="I383" s="4515"/>
      <c r="J383" s="4515"/>
      <c r="K383" s="4515"/>
      <c r="L383" s="4515"/>
      <c r="M383" s="5222"/>
      <c r="N383" s="5222"/>
      <c r="O383" s="5222"/>
      <c r="P383" s="4515"/>
      <c r="Q383" s="4515"/>
      <c r="R383" s="4519"/>
      <c r="S383" s="3312"/>
      <c r="T383" s="3819"/>
      <c r="U383" s="3268"/>
      <c r="V383" s="3641"/>
      <c r="W383" s="3233"/>
      <c r="X383" s="3642"/>
      <c r="Y383" s="3282"/>
      <c r="Z383" s="3282"/>
      <c r="AA383" s="3282"/>
      <c r="AB383" s="3643"/>
      <c r="AC383" s="3642"/>
      <c r="AD383" s="4117"/>
      <c r="AE383" s="4117"/>
      <c r="AF383" s="5303"/>
    </row>
    <row r="384" spans="1:32" ht="17.25" customHeight="1">
      <c r="A384" s="4564"/>
      <c r="B384" s="4570"/>
      <c r="C384" s="5236" t="s">
        <v>235</v>
      </c>
      <c r="D384" s="4395" t="s">
        <v>236</v>
      </c>
      <c r="E384" s="4395" t="s">
        <v>237</v>
      </c>
      <c r="F384" s="4395" t="s">
        <v>976</v>
      </c>
      <c r="G384" s="4930" t="s">
        <v>239</v>
      </c>
      <c r="H384" s="4395" t="s">
        <v>240</v>
      </c>
      <c r="I384" s="4395" t="s">
        <v>257</v>
      </c>
      <c r="J384" s="4395" t="s">
        <v>1800</v>
      </c>
      <c r="K384" s="4395" t="s">
        <v>1801</v>
      </c>
      <c r="L384" s="4395" t="s">
        <v>1802</v>
      </c>
      <c r="M384" s="4401">
        <v>4</v>
      </c>
      <c r="N384" s="4401">
        <v>4</v>
      </c>
      <c r="O384" s="4401">
        <v>4</v>
      </c>
      <c r="P384" s="4395" t="s">
        <v>1803</v>
      </c>
      <c r="Q384" s="4395" t="s">
        <v>1804</v>
      </c>
      <c r="R384" s="4897" t="s">
        <v>6107</v>
      </c>
      <c r="S384" s="3313"/>
      <c r="T384" s="3071"/>
      <c r="U384" s="3274"/>
      <c r="V384" s="4069"/>
      <c r="W384" s="4070"/>
      <c r="X384" s="4033"/>
      <c r="Y384" s="3295"/>
      <c r="Z384" s="3295"/>
      <c r="AA384" s="3295"/>
      <c r="AB384" s="4115"/>
      <c r="AC384" s="4033"/>
      <c r="AD384" s="4116"/>
      <c r="AE384" s="4116"/>
      <c r="AF384" s="5209"/>
    </row>
    <row r="385" spans="1:32" ht="17.25" customHeight="1">
      <c r="A385" s="4564"/>
      <c r="B385" s="4570"/>
      <c r="C385" s="4545"/>
      <c r="D385" s="4514"/>
      <c r="E385" s="4514"/>
      <c r="F385" s="4514"/>
      <c r="G385" s="4514"/>
      <c r="H385" s="4514"/>
      <c r="I385" s="4514"/>
      <c r="J385" s="4514"/>
      <c r="K385" s="4514"/>
      <c r="L385" s="4514"/>
      <c r="M385" s="4901"/>
      <c r="N385" s="4901"/>
      <c r="O385" s="4901"/>
      <c r="P385" s="4514"/>
      <c r="Q385" s="4514"/>
      <c r="R385" s="4518"/>
      <c r="S385" s="3311"/>
      <c r="T385" s="1891"/>
      <c r="U385" s="1849"/>
      <c r="V385" s="1883"/>
      <c r="W385" s="1864"/>
      <c r="X385" s="3637"/>
      <c r="Y385" s="3214"/>
      <c r="Z385" s="3214"/>
      <c r="AA385" s="3214"/>
      <c r="AB385" s="3638"/>
      <c r="AC385" s="3637"/>
      <c r="AD385" s="3206"/>
      <c r="AE385" s="3206"/>
      <c r="AF385" s="5301"/>
    </row>
    <row r="386" spans="1:32" ht="17.25" customHeight="1">
      <c r="A386" s="4564"/>
      <c r="B386" s="4570"/>
      <c r="C386" s="4545"/>
      <c r="D386" s="4514"/>
      <c r="E386" s="4514"/>
      <c r="F386" s="4514"/>
      <c r="G386" s="4514"/>
      <c r="H386" s="4514"/>
      <c r="I386" s="4514"/>
      <c r="J386" s="4514"/>
      <c r="K386" s="4514"/>
      <c r="L386" s="4514"/>
      <c r="M386" s="4901"/>
      <c r="N386" s="4901"/>
      <c r="O386" s="4901"/>
      <c r="P386" s="4514"/>
      <c r="Q386" s="4514"/>
      <c r="R386" s="4518"/>
      <c r="S386" s="3311"/>
      <c r="T386" s="1891"/>
      <c r="U386" s="1849"/>
      <c r="V386" s="1883"/>
      <c r="W386" s="1864"/>
      <c r="X386" s="3637"/>
      <c r="Y386" s="3214"/>
      <c r="Z386" s="3214"/>
      <c r="AA386" s="3214"/>
      <c r="AB386" s="3638"/>
      <c r="AC386" s="3637"/>
      <c r="AD386" s="3206"/>
      <c r="AE386" s="3206"/>
      <c r="AF386" s="5301"/>
    </row>
    <row r="387" spans="1:32" ht="17.25" customHeight="1">
      <c r="A387" s="4564"/>
      <c r="B387" s="4570"/>
      <c r="C387" s="4545"/>
      <c r="D387" s="4514"/>
      <c r="E387" s="4514"/>
      <c r="F387" s="4514"/>
      <c r="G387" s="4514"/>
      <c r="H387" s="4514"/>
      <c r="I387" s="4514"/>
      <c r="J387" s="4514"/>
      <c r="K387" s="4514"/>
      <c r="L387" s="4514"/>
      <c r="M387" s="4901"/>
      <c r="N387" s="4901"/>
      <c r="O387" s="4901"/>
      <c r="P387" s="4514"/>
      <c r="Q387" s="4514"/>
      <c r="R387" s="4518"/>
      <c r="S387" s="3311"/>
      <c r="T387" s="1891"/>
      <c r="U387" s="1849"/>
      <c r="V387" s="1883"/>
      <c r="W387" s="1864"/>
      <c r="X387" s="3637"/>
      <c r="Y387" s="3214"/>
      <c r="Z387" s="3214"/>
      <c r="AA387" s="3214"/>
      <c r="AB387" s="3638"/>
      <c r="AC387" s="3637"/>
      <c r="AD387" s="3206"/>
      <c r="AE387" s="3206"/>
      <c r="AF387" s="5301"/>
    </row>
    <row r="388" spans="1:32" ht="48.75" customHeight="1">
      <c r="A388" s="4564"/>
      <c r="B388" s="4570"/>
      <c r="C388" s="4566"/>
      <c r="D388" s="4525"/>
      <c r="E388" s="4525"/>
      <c r="F388" s="4525"/>
      <c r="G388" s="4525"/>
      <c r="H388" s="4525"/>
      <c r="I388" s="4525"/>
      <c r="J388" s="4525"/>
      <c r="K388" s="4525"/>
      <c r="L388" s="4525"/>
      <c r="M388" s="4902"/>
      <c r="N388" s="4902"/>
      <c r="O388" s="4902"/>
      <c r="P388" s="4525"/>
      <c r="Q388" s="4525"/>
      <c r="R388" s="4528"/>
      <c r="S388" s="3314"/>
      <c r="T388" s="3821"/>
      <c r="U388" s="3271"/>
      <c r="V388" s="3822"/>
      <c r="W388" s="3254"/>
      <c r="X388" s="4037"/>
      <c r="Y388" s="3291"/>
      <c r="Z388" s="3291"/>
      <c r="AA388" s="3291"/>
      <c r="AB388" s="4118"/>
      <c r="AC388" s="4037"/>
      <c r="AD388" s="4119"/>
      <c r="AE388" s="4119"/>
      <c r="AF388" s="5302"/>
    </row>
    <row r="389" spans="1:32">
      <c r="A389" s="4564"/>
      <c r="B389" s="4570"/>
      <c r="C389" s="5239" t="s">
        <v>235</v>
      </c>
      <c r="D389" s="4377" t="s">
        <v>236</v>
      </c>
      <c r="E389" s="4377" t="s">
        <v>237</v>
      </c>
      <c r="F389" s="4377" t="s">
        <v>976</v>
      </c>
      <c r="G389" s="4906" t="s">
        <v>239</v>
      </c>
      <c r="H389" s="4377" t="s">
        <v>240</v>
      </c>
      <c r="I389" s="4377" t="s">
        <v>257</v>
      </c>
      <c r="J389" s="4377" t="s">
        <v>1805</v>
      </c>
      <c r="K389" s="4377" t="s">
        <v>1806</v>
      </c>
      <c r="L389" s="4377" t="s">
        <v>1807</v>
      </c>
      <c r="M389" s="4392">
        <v>8</v>
      </c>
      <c r="N389" s="4392">
        <v>8</v>
      </c>
      <c r="O389" s="4392">
        <v>8</v>
      </c>
      <c r="P389" s="4377" t="s">
        <v>1808</v>
      </c>
      <c r="Q389" s="4377" t="s">
        <v>1809</v>
      </c>
      <c r="R389" s="4903" t="s">
        <v>6107</v>
      </c>
      <c r="S389" s="3310"/>
      <c r="T389" s="3270"/>
      <c r="U389" s="3272"/>
      <c r="V389" s="4068"/>
      <c r="W389" s="4071"/>
      <c r="X389" s="3632"/>
      <c r="Y389" s="3633"/>
      <c r="Z389" s="3633"/>
      <c r="AA389" s="3633"/>
      <c r="AB389" s="3634"/>
      <c r="AC389" s="3632"/>
      <c r="AD389" s="4122"/>
      <c r="AE389" s="4122"/>
      <c r="AF389" s="5217"/>
    </row>
    <row r="390" spans="1:32">
      <c r="A390" s="4564"/>
      <c r="B390" s="4570"/>
      <c r="C390" s="4545"/>
      <c r="D390" s="4514"/>
      <c r="E390" s="4514"/>
      <c r="F390" s="4514"/>
      <c r="G390" s="4514"/>
      <c r="H390" s="4514"/>
      <c r="I390" s="4514"/>
      <c r="J390" s="4514"/>
      <c r="K390" s="4514"/>
      <c r="L390" s="4514"/>
      <c r="M390" s="4901"/>
      <c r="N390" s="4901"/>
      <c r="O390" s="4901"/>
      <c r="P390" s="4514"/>
      <c r="Q390" s="4514"/>
      <c r="R390" s="4518"/>
      <c r="S390" s="3311"/>
      <c r="T390" s="1891"/>
      <c r="U390" s="1849"/>
      <c r="V390" s="1883"/>
      <c r="W390" s="1864"/>
      <c r="X390" s="3637"/>
      <c r="Y390" s="3214"/>
      <c r="Z390" s="3214"/>
      <c r="AA390" s="3214"/>
      <c r="AB390" s="3638"/>
      <c r="AC390" s="3637"/>
      <c r="AD390" s="3637"/>
      <c r="AE390" s="4104"/>
      <c r="AF390" s="5301"/>
    </row>
    <row r="391" spans="1:32">
      <c r="A391" s="4564"/>
      <c r="B391" s="4570"/>
      <c r="C391" s="4545"/>
      <c r="D391" s="4514"/>
      <c r="E391" s="4514"/>
      <c r="F391" s="4514"/>
      <c r="G391" s="4514"/>
      <c r="H391" s="4514"/>
      <c r="I391" s="4514"/>
      <c r="J391" s="4514"/>
      <c r="K391" s="4514"/>
      <c r="L391" s="4514"/>
      <c r="M391" s="4901"/>
      <c r="N391" s="4901"/>
      <c r="O391" s="4901"/>
      <c r="P391" s="4514"/>
      <c r="Q391" s="4514"/>
      <c r="R391" s="4518"/>
      <c r="S391" s="3311"/>
      <c r="T391" s="1891"/>
      <c r="U391" s="1849"/>
      <c r="V391" s="1883"/>
      <c r="W391" s="1864"/>
      <c r="X391" s="3637"/>
      <c r="Y391" s="3214"/>
      <c r="Z391" s="3214"/>
      <c r="AA391" s="3214"/>
      <c r="AB391" s="3638"/>
      <c r="AC391" s="3637"/>
      <c r="AD391" s="3637"/>
      <c r="AE391" s="3206"/>
      <c r="AF391" s="5301"/>
    </row>
    <row r="392" spans="1:32">
      <c r="A392" s="4564"/>
      <c r="B392" s="4570"/>
      <c r="C392" s="4545"/>
      <c r="D392" s="4514"/>
      <c r="E392" s="4514"/>
      <c r="F392" s="4514"/>
      <c r="G392" s="4514"/>
      <c r="H392" s="4514"/>
      <c r="I392" s="4514"/>
      <c r="J392" s="4514"/>
      <c r="K392" s="4514"/>
      <c r="L392" s="4514"/>
      <c r="M392" s="4901"/>
      <c r="N392" s="4901"/>
      <c r="O392" s="4901"/>
      <c r="P392" s="4514"/>
      <c r="Q392" s="4514"/>
      <c r="R392" s="4518"/>
      <c r="S392" s="3311"/>
      <c r="T392" s="1891"/>
      <c r="U392" s="1849"/>
      <c r="V392" s="1883"/>
      <c r="W392" s="1864"/>
      <c r="X392" s="3637"/>
      <c r="Y392" s="3214"/>
      <c r="Z392" s="3214"/>
      <c r="AA392" s="3214"/>
      <c r="AB392" s="3638"/>
      <c r="AC392" s="3637"/>
      <c r="AD392" s="3637"/>
      <c r="AE392" s="3206"/>
      <c r="AF392" s="5301"/>
    </row>
    <row r="393" spans="1:32" ht="59.25" customHeight="1">
      <c r="A393" s="4564"/>
      <c r="B393" s="4570"/>
      <c r="C393" s="4573"/>
      <c r="D393" s="4515"/>
      <c r="E393" s="4515"/>
      <c r="F393" s="4515"/>
      <c r="G393" s="4515"/>
      <c r="H393" s="4515"/>
      <c r="I393" s="4515"/>
      <c r="J393" s="4515"/>
      <c r="K393" s="4515"/>
      <c r="L393" s="4515"/>
      <c r="M393" s="5222"/>
      <c r="N393" s="5222"/>
      <c r="O393" s="5222"/>
      <c r="P393" s="4515"/>
      <c r="Q393" s="4515"/>
      <c r="R393" s="4519"/>
      <c r="S393" s="3312"/>
      <c r="T393" s="3819"/>
      <c r="U393" s="3268"/>
      <c r="V393" s="3641"/>
      <c r="W393" s="3233"/>
      <c r="X393" s="3642"/>
      <c r="Y393" s="3282"/>
      <c r="Z393" s="3282"/>
      <c r="AA393" s="3282"/>
      <c r="AB393" s="3643"/>
      <c r="AC393" s="3642"/>
      <c r="AD393" s="3642"/>
      <c r="AE393" s="4117"/>
      <c r="AF393" s="5303"/>
    </row>
    <row r="394" spans="1:32">
      <c r="A394" s="4564"/>
      <c r="B394" s="4570"/>
      <c r="C394" s="5236" t="s">
        <v>235</v>
      </c>
      <c r="D394" s="4395" t="s">
        <v>236</v>
      </c>
      <c r="E394" s="4395" t="s">
        <v>237</v>
      </c>
      <c r="F394" s="4395" t="s">
        <v>976</v>
      </c>
      <c r="G394" s="4930" t="s">
        <v>239</v>
      </c>
      <c r="H394" s="4395" t="s">
        <v>240</v>
      </c>
      <c r="I394" s="4395" t="s">
        <v>257</v>
      </c>
      <c r="J394" s="4395" t="s">
        <v>1810</v>
      </c>
      <c r="K394" s="4395" t="s">
        <v>338</v>
      </c>
      <c r="L394" s="4395" t="s">
        <v>1811</v>
      </c>
      <c r="M394" s="4401">
        <v>0</v>
      </c>
      <c r="N394" s="4401">
        <v>1</v>
      </c>
      <c r="O394" s="4401">
        <v>1</v>
      </c>
      <c r="P394" s="4395" t="s">
        <v>1812</v>
      </c>
      <c r="Q394" s="4395" t="s">
        <v>435</v>
      </c>
      <c r="R394" s="4897" t="s">
        <v>6107</v>
      </c>
      <c r="S394" s="3313"/>
      <c r="T394" s="3071"/>
      <c r="U394" s="3274"/>
      <c r="V394" s="4069"/>
      <c r="W394" s="4070"/>
      <c r="X394" s="4033"/>
      <c r="Y394" s="3295"/>
      <c r="Z394" s="3295"/>
      <c r="AA394" s="3295"/>
      <c r="AB394" s="4115"/>
      <c r="AC394" s="4033"/>
      <c r="AD394" s="4116"/>
      <c r="AE394" s="4116"/>
      <c r="AF394" s="5209"/>
    </row>
    <row r="395" spans="1:32">
      <c r="A395" s="4564"/>
      <c r="B395" s="4570"/>
      <c r="C395" s="4545"/>
      <c r="D395" s="4514"/>
      <c r="E395" s="4514"/>
      <c r="F395" s="4514"/>
      <c r="G395" s="4514"/>
      <c r="H395" s="4514"/>
      <c r="I395" s="4514"/>
      <c r="J395" s="4514"/>
      <c r="K395" s="4514"/>
      <c r="L395" s="4514"/>
      <c r="M395" s="4901"/>
      <c r="N395" s="4901"/>
      <c r="O395" s="4901"/>
      <c r="P395" s="4514"/>
      <c r="Q395" s="4514"/>
      <c r="R395" s="4518"/>
      <c r="S395" s="3311"/>
      <c r="T395" s="1891"/>
      <c r="U395" s="1849"/>
      <c r="V395" s="1883"/>
      <c r="W395" s="1864"/>
      <c r="X395" s="3637"/>
      <c r="Y395" s="3214"/>
      <c r="Z395" s="3214"/>
      <c r="AA395" s="3214"/>
      <c r="AB395" s="3638"/>
      <c r="AC395" s="3637"/>
      <c r="AD395" s="3206"/>
      <c r="AE395" s="3206"/>
      <c r="AF395" s="5301"/>
    </row>
    <row r="396" spans="1:32">
      <c r="A396" s="4564"/>
      <c r="B396" s="4570"/>
      <c r="C396" s="4545"/>
      <c r="D396" s="4514"/>
      <c r="E396" s="4514"/>
      <c r="F396" s="4514"/>
      <c r="G396" s="4514"/>
      <c r="H396" s="4514"/>
      <c r="I396" s="4514"/>
      <c r="J396" s="4514"/>
      <c r="K396" s="4514"/>
      <c r="L396" s="4514"/>
      <c r="M396" s="4901"/>
      <c r="N396" s="4901"/>
      <c r="O396" s="4901"/>
      <c r="P396" s="4514"/>
      <c r="Q396" s="4514"/>
      <c r="R396" s="4518"/>
      <c r="S396" s="3311"/>
      <c r="T396" s="1891"/>
      <c r="U396" s="1849"/>
      <c r="V396" s="1883"/>
      <c r="W396" s="1864"/>
      <c r="X396" s="3637"/>
      <c r="Y396" s="3214"/>
      <c r="Z396" s="3214"/>
      <c r="AA396" s="3214"/>
      <c r="AB396" s="3638"/>
      <c r="AC396" s="3637"/>
      <c r="AD396" s="3206"/>
      <c r="AE396" s="3206"/>
      <c r="AF396" s="5301"/>
    </row>
    <row r="397" spans="1:32">
      <c r="A397" s="4564"/>
      <c r="B397" s="4570"/>
      <c r="C397" s="4545"/>
      <c r="D397" s="4514"/>
      <c r="E397" s="4514"/>
      <c r="F397" s="4514"/>
      <c r="G397" s="4514"/>
      <c r="H397" s="4514"/>
      <c r="I397" s="4514"/>
      <c r="J397" s="4514"/>
      <c r="K397" s="4514"/>
      <c r="L397" s="4514"/>
      <c r="M397" s="4901"/>
      <c r="N397" s="4901"/>
      <c r="O397" s="4901"/>
      <c r="P397" s="4514"/>
      <c r="Q397" s="4514"/>
      <c r="R397" s="4518"/>
      <c r="S397" s="3311"/>
      <c r="T397" s="1891"/>
      <c r="U397" s="1849"/>
      <c r="V397" s="1883"/>
      <c r="W397" s="1864"/>
      <c r="X397" s="3637"/>
      <c r="Y397" s="3214"/>
      <c r="Z397" s="3214"/>
      <c r="AA397" s="3214"/>
      <c r="AB397" s="3638"/>
      <c r="AC397" s="3637"/>
      <c r="AD397" s="3206"/>
      <c r="AE397" s="3206"/>
      <c r="AF397" s="5301"/>
    </row>
    <row r="398" spans="1:32" ht="57.75" customHeight="1">
      <c r="A398" s="4564"/>
      <c r="B398" s="4570"/>
      <c r="C398" s="4566"/>
      <c r="D398" s="4525"/>
      <c r="E398" s="4525"/>
      <c r="F398" s="4525"/>
      <c r="G398" s="4525"/>
      <c r="H398" s="4525"/>
      <c r="I398" s="4525"/>
      <c r="J398" s="4525"/>
      <c r="K398" s="4525"/>
      <c r="L398" s="4525"/>
      <c r="M398" s="4902"/>
      <c r="N398" s="4902"/>
      <c r="O398" s="4902"/>
      <c r="P398" s="4525"/>
      <c r="Q398" s="4525"/>
      <c r="R398" s="4528"/>
      <c r="S398" s="3314"/>
      <c r="T398" s="3821"/>
      <c r="U398" s="3271"/>
      <c r="V398" s="3822"/>
      <c r="W398" s="3254"/>
      <c r="X398" s="4037"/>
      <c r="Y398" s="3291"/>
      <c r="Z398" s="3291"/>
      <c r="AA398" s="3291"/>
      <c r="AB398" s="4118"/>
      <c r="AC398" s="4037"/>
      <c r="AD398" s="4119"/>
      <c r="AE398" s="4119"/>
      <c r="AF398" s="5302"/>
    </row>
    <row r="399" spans="1:32" ht="19.5" customHeight="1">
      <c r="A399" s="4564"/>
      <c r="B399" s="4570"/>
      <c r="C399" s="5239" t="s">
        <v>235</v>
      </c>
      <c r="D399" s="4377" t="s">
        <v>236</v>
      </c>
      <c r="E399" s="4377" t="s">
        <v>237</v>
      </c>
      <c r="F399" s="4377" t="s">
        <v>976</v>
      </c>
      <c r="G399" s="4906" t="s">
        <v>239</v>
      </c>
      <c r="H399" s="4377" t="s">
        <v>240</v>
      </c>
      <c r="I399" s="4377" t="s">
        <v>257</v>
      </c>
      <c r="J399" s="4377" t="s">
        <v>1813</v>
      </c>
      <c r="K399" s="4377" t="s">
        <v>1814</v>
      </c>
      <c r="L399" s="4377" t="s">
        <v>1815</v>
      </c>
      <c r="M399" s="4392">
        <v>2</v>
      </c>
      <c r="N399" s="4392">
        <v>2</v>
      </c>
      <c r="O399" s="4392">
        <v>2</v>
      </c>
      <c r="P399" s="4377" t="s">
        <v>1816</v>
      </c>
      <c r="Q399" s="4377" t="s">
        <v>1817</v>
      </c>
      <c r="R399" s="4903" t="s">
        <v>6108</v>
      </c>
      <c r="S399" s="3310" t="s">
        <v>39</v>
      </c>
      <c r="T399" s="3270">
        <v>840107</v>
      </c>
      <c r="U399" s="3272"/>
      <c r="V399" s="4068" t="s">
        <v>20</v>
      </c>
      <c r="W399" s="4071"/>
      <c r="X399" s="3632"/>
      <c r="Y399" s="4134"/>
      <c r="Z399" s="3633"/>
      <c r="AA399" s="3633"/>
      <c r="AB399" s="3634">
        <f>SUM($AA$400:$AA$402)</f>
        <v>1030.1984000000002</v>
      </c>
      <c r="AC399" s="3632"/>
      <c r="AD399" s="4120"/>
      <c r="AE399" s="4120"/>
      <c r="AF399" s="5217"/>
    </row>
    <row r="400" spans="1:32" ht="19.5" customHeight="1">
      <c r="A400" s="4564"/>
      <c r="B400" s="4570"/>
      <c r="C400" s="4545"/>
      <c r="D400" s="4514"/>
      <c r="E400" s="4514"/>
      <c r="F400" s="4514"/>
      <c r="G400" s="4514"/>
      <c r="H400" s="4514"/>
      <c r="I400" s="4514"/>
      <c r="J400" s="4514"/>
      <c r="K400" s="4514"/>
      <c r="L400" s="4514"/>
      <c r="M400" s="4901"/>
      <c r="N400" s="4901"/>
      <c r="O400" s="4901"/>
      <c r="P400" s="4514"/>
      <c r="Q400" s="4514"/>
      <c r="R400" s="4518"/>
      <c r="S400" s="3311"/>
      <c r="T400" s="1891"/>
      <c r="U400" s="1849">
        <v>452900014</v>
      </c>
      <c r="V400" s="1883" t="s">
        <v>1818</v>
      </c>
      <c r="W400" s="1864">
        <v>1</v>
      </c>
      <c r="X400" s="3637" t="s">
        <v>269</v>
      </c>
      <c r="Y400" s="3214">
        <v>919.82</v>
      </c>
      <c r="Z400" s="3214">
        <f t="shared" ref="Z400" si="36">Y400*W400</f>
        <v>919.82</v>
      </c>
      <c r="AA400" s="3214">
        <f t="shared" ref="AA400" si="37">+Z400*1.12</f>
        <v>1030.1984000000002</v>
      </c>
      <c r="AB400" s="3638"/>
      <c r="AC400" s="3637"/>
      <c r="AD400" s="3637" t="s">
        <v>251</v>
      </c>
      <c r="AE400" s="3206"/>
      <c r="AF400" s="5301"/>
    </row>
    <row r="401" spans="1:32" ht="19.5" customHeight="1">
      <c r="A401" s="4564"/>
      <c r="B401" s="4570"/>
      <c r="C401" s="4545"/>
      <c r="D401" s="4514"/>
      <c r="E401" s="4514"/>
      <c r="F401" s="4514"/>
      <c r="G401" s="4514"/>
      <c r="H401" s="4514"/>
      <c r="I401" s="4514"/>
      <c r="J401" s="4514"/>
      <c r="K401" s="4514"/>
      <c r="L401" s="4514"/>
      <c r="M401" s="4901"/>
      <c r="N401" s="4901"/>
      <c r="O401" s="4901"/>
      <c r="P401" s="4514"/>
      <c r="Q401" s="4514"/>
      <c r="R401" s="4518"/>
      <c r="S401" s="3311"/>
      <c r="T401" s="1891"/>
      <c r="U401" s="1849"/>
      <c r="V401" s="1883"/>
      <c r="W401" s="1864"/>
      <c r="X401" s="3637"/>
      <c r="Y401" s="3214"/>
      <c r="Z401" s="3214"/>
      <c r="AA401" s="3214"/>
      <c r="AB401" s="3638"/>
      <c r="AC401" s="3637"/>
      <c r="AD401" s="3206"/>
      <c r="AE401" s="3206"/>
      <c r="AF401" s="5301"/>
    </row>
    <row r="402" spans="1:32" ht="19.5" customHeight="1">
      <c r="A402" s="4564"/>
      <c r="B402" s="4570"/>
      <c r="C402" s="4545"/>
      <c r="D402" s="4514"/>
      <c r="E402" s="4514"/>
      <c r="F402" s="4514"/>
      <c r="G402" s="4514"/>
      <c r="H402" s="4514"/>
      <c r="I402" s="4514"/>
      <c r="J402" s="4514"/>
      <c r="K402" s="4514"/>
      <c r="L402" s="4514"/>
      <c r="M402" s="4901"/>
      <c r="N402" s="4901"/>
      <c r="O402" s="4901"/>
      <c r="P402" s="4514"/>
      <c r="Q402" s="4514"/>
      <c r="R402" s="4518"/>
      <c r="S402" s="3311"/>
      <c r="T402" s="1891"/>
      <c r="U402" s="1849"/>
      <c r="V402" s="1883"/>
      <c r="W402" s="1864"/>
      <c r="X402" s="3637"/>
      <c r="Y402" s="3214"/>
      <c r="Z402" s="3214"/>
      <c r="AA402" s="3214"/>
      <c r="AB402" s="3638"/>
      <c r="AC402" s="3637"/>
      <c r="AD402" s="3206"/>
      <c r="AE402" s="3206"/>
      <c r="AF402" s="5301"/>
    </row>
    <row r="403" spans="1:32" ht="42.75" customHeight="1" thickBot="1">
      <c r="A403" s="4564"/>
      <c r="B403" s="4570"/>
      <c r="C403" s="5287"/>
      <c r="D403" s="5285"/>
      <c r="E403" s="5285"/>
      <c r="F403" s="5285"/>
      <c r="G403" s="5285"/>
      <c r="H403" s="5285"/>
      <c r="I403" s="5285"/>
      <c r="J403" s="5285"/>
      <c r="K403" s="5285"/>
      <c r="L403" s="5285"/>
      <c r="M403" s="5294"/>
      <c r="N403" s="5294"/>
      <c r="O403" s="5294"/>
      <c r="P403" s="5285"/>
      <c r="Q403" s="5285"/>
      <c r="R403" s="5295"/>
      <c r="S403" s="4136"/>
      <c r="T403" s="4105"/>
      <c r="U403" s="4106"/>
      <c r="V403" s="4107"/>
      <c r="W403" s="4108"/>
      <c r="X403" s="4109"/>
      <c r="Y403" s="4110"/>
      <c r="Z403" s="4110"/>
      <c r="AA403" s="4110"/>
      <c r="AB403" s="4111"/>
      <c r="AC403" s="4109"/>
      <c r="AD403" s="4112"/>
      <c r="AE403" s="4112"/>
      <c r="AF403" s="5304"/>
    </row>
    <row r="404" spans="1:32" ht="28.5" customHeight="1" thickBot="1">
      <c r="A404" s="4564"/>
      <c r="B404" s="4479"/>
      <c r="C404" s="5323"/>
      <c r="D404" s="4807"/>
      <c r="E404" s="4807"/>
      <c r="F404" s="4807"/>
      <c r="G404" s="4807"/>
      <c r="H404" s="4807"/>
      <c r="I404" s="4807"/>
      <c r="J404" s="4807"/>
      <c r="K404" s="4807"/>
      <c r="L404" s="4807"/>
      <c r="M404" s="4807"/>
      <c r="N404" s="4807"/>
      <c r="O404" s="4807"/>
      <c r="P404" s="4807"/>
      <c r="Q404" s="4807"/>
      <c r="R404" s="4807"/>
      <c r="S404" s="4138" t="s">
        <v>1819</v>
      </c>
      <c r="T404" s="4073"/>
      <c r="U404" s="4073"/>
      <c r="V404" s="4073"/>
      <c r="W404" s="4074"/>
      <c r="X404" s="4075"/>
      <c r="Y404" s="4076"/>
      <c r="Z404" s="4143"/>
      <c r="AA404" s="4144" t="s">
        <v>340</v>
      </c>
      <c r="AB404" s="4146">
        <f>SUM(AB364:AB403)</f>
        <v>1030.1984000000002</v>
      </c>
      <c r="AC404" s="4145"/>
      <c r="AD404" s="4075"/>
      <c r="AE404" s="4075"/>
      <c r="AF404" s="4080"/>
    </row>
    <row r="405" spans="1:32" ht="22.5" customHeight="1">
      <c r="A405" s="4564"/>
      <c r="B405" s="4571" t="s">
        <v>1820</v>
      </c>
      <c r="C405" s="5288" t="s">
        <v>272</v>
      </c>
      <c r="D405" s="4421" t="s">
        <v>236</v>
      </c>
      <c r="E405" s="4421" t="s">
        <v>244</v>
      </c>
      <c r="F405" s="4421" t="s">
        <v>337</v>
      </c>
      <c r="G405" s="5286" t="s">
        <v>239</v>
      </c>
      <c r="H405" s="4421" t="s">
        <v>240</v>
      </c>
      <c r="I405" s="4421" t="s">
        <v>257</v>
      </c>
      <c r="J405" s="4421" t="s">
        <v>6019</v>
      </c>
      <c r="K405" s="4421" t="s">
        <v>1821</v>
      </c>
      <c r="L405" s="4421" t="s">
        <v>1822</v>
      </c>
      <c r="M405" s="4426">
        <v>2</v>
      </c>
      <c r="N405" s="4426">
        <v>3</v>
      </c>
      <c r="O405" s="4426">
        <v>3</v>
      </c>
      <c r="P405" s="4421" t="s">
        <v>1823</v>
      </c>
      <c r="Q405" s="4421" t="s">
        <v>1824</v>
      </c>
      <c r="R405" s="5290" t="s">
        <v>6109</v>
      </c>
      <c r="S405" s="4135"/>
      <c r="T405" s="3853"/>
      <c r="U405" s="3874"/>
      <c r="V405" s="3854"/>
      <c r="W405" s="3855"/>
      <c r="X405" s="4091"/>
      <c r="Y405" s="4092"/>
      <c r="Z405" s="4092"/>
      <c r="AA405" s="4092"/>
      <c r="AB405" s="4093"/>
      <c r="AC405" s="4091"/>
      <c r="AD405" s="4094"/>
      <c r="AE405" s="4094"/>
      <c r="AF405" s="5321"/>
    </row>
    <row r="406" spans="1:32" ht="22.5" customHeight="1">
      <c r="A406" s="4564"/>
      <c r="B406" s="4570"/>
      <c r="C406" s="4545"/>
      <c r="D406" s="4514"/>
      <c r="E406" s="4514"/>
      <c r="F406" s="4514"/>
      <c r="G406" s="4514"/>
      <c r="H406" s="4514"/>
      <c r="I406" s="4514"/>
      <c r="J406" s="4514"/>
      <c r="K406" s="4514"/>
      <c r="L406" s="4514"/>
      <c r="M406" s="4901"/>
      <c r="N406" s="4901"/>
      <c r="O406" s="4901"/>
      <c r="P406" s="4514"/>
      <c r="Q406" s="4514"/>
      <c r="R406" s="4518"/>
      <c r="S406" s="3311"/>
      <c r="T406" s="1891"/>
      <c r="U406" s="1849"/>
      <c r="V406" s="1883"/>
      <c r="W406" s="1864"/>
      <c r="X406" s="3637"/>
      <c r="Y406" s="3214"/>
      <c r="Z406" s="3214"/>
      <c r="AA406" s="3214"/>
      <c r="AB406" s="3638"/>
      <c r="AC406" s="3637"/>
      <c r="AD406" s="3206"/>
      <c r="AE406" s="3206"/>
      <c r="AF406" s="5301"/>
    </row>
    <row r="407" spans="1:32" ht="22.5" customHeight="1">
      <c r="A407" s="4564"/>
      <c r="B407" s="4570"/>
      <c r="C407" s="4545"/>
      <c r="D407" s="4514"/>
      <c r="E407" s="4514"/>
      <c r="F407" s="4514"/>
      <c r="G407" s="4514"/>
      <c r="H407" s="4514"/>
      <c r="I407" s="4514"/>
      <c r="J407" s="4514"/>
      <c r="K407" s="4514"/>
      <c r="L407" s="4514"/>
      <c r="M407" s="4901"/>
      <c r="N407" s="4901"/>
      <c r="O407" s="4901"/>
      <c r="P407" s="4514"/>
      <c r="Q407" s="4514"/>
      <c r="R407" s="4518"/>
      <c r="S407" s="3311"/>
      <c r="T407" s="1891"/>
      <c r="U407" s="1849"/>
      <c r="V407" s="1883"/>
      <c r="W407" s="1864"/>
      <c r="X407" s="3637"/>
      <c r="Y407" s="3214"/>
      <c r="Z407" s="3214"/>
      <c r="AA407" s="3214"/>
      <c r="AB407" s="3638"/>
      <c r="AC407" s="3637"/>
      <c r="AD407" s="3206"/>
      <c r="AE407" s="3206"/>
      <c r="AF407" s="5301"/>
    </row>
    <row r="408" spans="1:32" ht="22.5" customHeight="1">
      <c r="A408" s="4564"/>
      <c r="B408" s="4570"/>
      <c r="C408" s="4545"/>
      <c r="D408" s="4514"/>
      <c r="E408" s="4514"/>
      <c r="F408" s="4514"/>
      <c r="G408" s="4514"/>
      <c r="H408" s="4514"/>
      <c r="I408" s="4514"/>
      <c r="J408" s="4514"/>
      <c r="K408" s="4514"/>
      <c r="L408" s="4514"/>
      <c r="M408" s="4901"/>
      <c r="N408" s="4901"/>
      <c r="O408" s="4901"/>
      <c r="P408" s="4514"/>
      <c r="Q408" s="4514"/>
      <c r="R408" s="4518"/>
      <c r="S408" s="3311"/>
      <c r="T408" s="1891"/>
      <c r="U408" s="1849"/>
      <c r="V408" s="1883"/>
      <c r="W408" s="1864"/>
      <c r="X408" s="3637"/>
      <c r="Y408" s="3214"/>
      <c r="Z408" s="3214"/>
      <c r="AA408" s="3214"/>
      <c r="AB408" s="3638"/>
      <c r="AC408" s="3637"/>
      <c r="AD408" s="3206"/>
      <c r="AE408" s="3206"/>
      <c r="AF408" s="5301"/>
    </row>
    <row r="409" spans="1:32" ht="22.5" customHeight="1">
      <c r="A409" s="4564"/>
      <c r="B409" s="4570"/>
      <c r="C409" s="4566"/>
      <c r="D409" s="4525"/>
      <c r="E409" s="4525"/>
      <c r="F409" s="4525"/>
      <c r="G409" s="4525"/>
      <c r="H409" s="4525"/>
      <c r="I409" s="4525"/>
      <c r="J409" s="4525"/>
      <c r="K409" s="4525"/>
      <c r="L409" s="4525"/>
      <c r="M409" s="4902"/>
      <c r="N409" s="4902"/>
      <c r="O409" s="4902"/>
      <c r="P409" s="4525"/>
      <c r="Q409" s="4525"/>
      <c r="R409" s="4528"/>
      <c r="S409" s="3314"/>
      <c r="T409" s="3821"/>
      <c r="U409" s="3271"/>
      <c r="V409" s="3822"/>
      <c r="W409" s="3254"/>
      <c r="X409" s="4037"/>
      <c r="Y409" s="3291"/>
      <c r="Z409" s="3291"/>
      <c r="AA409" s="3291"/>
      <c r="AB409" s="4118"/>
      <c r="AC409" s="4037"/>
      <c r="AD409" s="4119"/>
      <c r="AE409" s="4119"/>
      <c r="AF409" s="5302"/>
    </row>
    <row r="410" spans="1:32" ht="16.5" customHeight="1">
      <c r="A410" s="4564"/>
      <c r="B410" s="4570"/>
      <c r="C410" s="5239" t="s">
        <v>272</v>
      </c>
      <c r="D410" s="4377" t="s">
        <v>302</v>
      </c>
      <c r="E410" s="4377" t="s">
        <v>303</v>
      </c>
      <c r="F410" s="4377" t="s">
        <v>304</v>
      </c>
      <c r="G410" s="4906" t="s">
        <v>305</v>
      </c>
      <c r="H410" s="4377" t="s">
        <v>240</v>
      </c>
      <c r="I410" s="4377" t="s">
        <v>241</v>
      </c>
      <c r="J410" s="4377" t="s">
        <v>1889</v>
      </c>
      <c r="K410" s="4377" t="s">
        <v>1825</v>
      </c>
      <c r="L410" s="4377" t="s">
        <v>1826</v>
      </c>
      <c r="M410" s="4392">
        <v>1</v>
      </c>
      <c r="N410" s="4392">
        <v>1</v>
      </c>
      <c r="O410" s="4392">
        <v>1</v>
      </c>
      <c r="P410" s="4377" t="s">
        <v>1827</v>
      </c>
      <c r="Q410" s="4377" t="s">
        <v>1824</v>
      </c>
      <c r="R410" s="4903" t="s">
        <v>6110</v>
      </c>
      <c r="S410" s="3310"/>
      <c r="T410" s="3270"/>
      <c r="U410" s="3272"/>
      <c r="V410" s="4068"/>
      <c r="W410" s="4071"/>
      <c r="X410" s="3632"/>
      <c r="Y410" s="3633"/>
      <c r="Z410" s="3633"/>
      <c r="AA410" s="3633"/>
      <c r="AB410" s="3634"/>
      <c r="AC410" s="3632"/>
      <c r="AD410" s="4120"/>
      <c r="AE410" s="4120"/>
      <c r="AF410" s="5217"/>
    </row>
    <row r="411" spans="1:32" ht="16.5" customHeight="1">
      <c r="A411" s="4564"/>
      <c r="B411" s="4570"/>
      <c r="C411" s="4545"/>
      <c r="D411" s="4514"/>
      <c r="E411" s="4514"/>
      <c r="F411" s="4514"/>
      <c r="G411" s="4514"/>
      <c r="H411" s="4514"/>
      <c r="I411" s="4514"/>
      <c r="J411" s="4514"/>
      <c r="K411" s="4514"/>
      <c r="L411" s="4514"/>
      <c r="M411" s="4901"/>
      <c r="N411" s="4901"/>
      <c r="O411" s="4901"/>
      <c r="P411" s="4514"/>
      <c r="Q411" s="4514"/>
      <c r="R411" s="4518"/>
      <c r="S411" s="3311"/>
      <c r="T411" s="1891"/>
      <c r="U411" s="1849"/>
      <c r="V411" s="1883"/>
      <c r="W411" s="1864"/>
      <c r="X411" s="3637"/>
      <c r="Y411" s="3214"/>
      <c r="Z411" s="3214"/>
      <c r="AA411" s="3214"/>
      <c r="AB411" s="3638"/>
      <c r="AC411" s="3637"/>
      <c r="AD411" s="3206"/>
      <c r="AE411" s="3206"/>
      <c r="AF411" s="5301"/>
    </row>
    <row r="412" spans="1:32" ht="16.5" customHeight="1">
      <c r="A412" s="4564"/>
      <c r="B412" s="4570"/>
      <c r="C412" s="4545"/>
      <c r="D412" s="4514"/>
      <c r="E412" s="4514"/>
      <c r="F412" s="4514"/>
      <c r="G412" s="4514"/>
      <c r="H412" s="4514"/>
      <c r="I412" s="4514"/>
      <c r="J412" s="4514"/>
      <c r="K412" s="4514"/>
      <c r="L412" s="4514"/>
      <c r="M412" s="4901"/>
      <c r="N412" s="4901"/>
      <c r="O412" s="4901"/>
      <c r="P412" s="4514"/>
      <c r="Q412" s="4514"/>
      <c r="R412" s="4518"/>
      <c r="S412" s="3311"/>
      <c r="T412" s="1891"/>
      <c r="U412" s="1849"/>
      <c r="V412" s="1883"/>
      <c r="W412" s="1864"/>
      <c r="X412" s="3637"/>
      <c r="Y412" s="3214"/>
      <c r="Z412" s="3214"/>
      <c r="AA412" s="3214"/>
      <c r="AB412" s="3638"/>
      <c r="AC412" s="3637"/>
      <c r="AD412" s="3206"/>
      <c r="AE412" s="3206"/>
      <c r="AF412" s="5301"/>
    </row>
    <row r="413" spans="1:32" ht="16.5" customHeight="1">
      <c r="A413" s="4564"/>
      <c r="B413" s="4570"/>
      <c r="C413" s="4545"/>
      <c r="D413" s="4514"/>
      <c r="E413" s="4514"/>
      <c r="F413" s="4514"/>
      <c r="G413" s="4514"/>
      <c r="H413" s="4514"/>
      <c r="I413" s="4514"/>
      <c r="J413" s="4514"/>
      <c r="K413" s="4514"/>
      <c r="L413" s="4514"/>
      <c r="M413" s="4901"/>
      <c r="N413" s="4901"/>
      <c r="O413" s="4901"/>
      <c r="P413" s="4514"/>
      <c r="Q413" s="4514"/>
      <c r="R413" s="4518"/>
      <c r="S413" s="3311"/>
      <c r="T413" s="1891"/>
      <c r="U413" s="1849"/>
      <c r="V413" s="1883"/>
      <c r="W413" s="1864"/>
      <c r="X413" s="3637"/>
      <c r="Y413" s="3214"/>
      <c r="Z413" s="3214"/>
      <c r="AA413" s="3214"/>
      <c r="AB413" s="3638"/>
      <c r="AC413" s="3637"/>
      <c r="AD413" s="3206"/>
      <c r="AE413" s="3206"/>
      <c r="AF413" s="5301"/>
    </row>
    <row r="414" spans="1:32" ht="26.25" customHeight="1">
      <c r="A414" s="4564"/>
      <c r="B414" s="4570"/>
      <c r="C414" s="4573"/>
      <c r="D414" s="4515"/>
      <c r="E414" s="4515"/>
      <c r="F414" s="4515"/>
      <c r="G414" s="4515"/>
      <c r="H414" s="4515"/>
      <c r="I414" s="4515"/>
      <c r="J414" s="4515"/>
      <c r="K414" s="4515"/>
      <c r="L414" s="4515"/>
      <c r="M414" s="5222"/>
      <c r="N414" s="5222"/>
      <c r="O414" s="5222"/>
      <c r="P414" s="4515"/>
      <c r="Q414" s="4515"/>
      <c r="R414" s="4519"/>
      <c r="S414" s="3312"/>
      <c r="T414" s="3819"/>
      <c r="U414" s="3268"/>
      <c r="V414" s="3641"/>
      <c r="W414" s="3233"/>
      <c r="X414" s="3642"/>
      <c r="Y414" s="3282"/>
      <c r="Z414" s="3282"/>
      <c r="AA414" s="3282"/>
      <c r="AB414" s="3643"/>
      <c r="AC414" s="3642"/>
      <c r="AD414" s="4117"/>
      <c r="AE414" s="4117"/>
      <c r="AF414" s="5303"/>
    </row>
    <row r="415" spans="1:32">
      <c r="A415" s="4564"/>
      <c r="B415" s="4570"/>
      <c r="C415" s="5236" t="s">
        <v>272</v>
      </c>
      <c r="D415" s="4395" t="s">
        <v>302</v>
      </c>
      <c r="E415" s="4395" t="s">
        <v>303</v>
      </c>
      <c r="F415" s="4395" t="s">
        <v>304</v>
      </c>
      <c r="G415" s="4930" t="s">
        <v>305</v>
      </c>
      <c r="H415" s="4395" t="s">
        <v>262</v>
      </c>
      <c r="I415" s="4395" t="s">
        <v>257</v>
      </c>
      <c r="J415" s="4395" t="s">
        <v>6020</v>
      </c>
      <c r="K415" s="4395" t="s">
        <v>1828</v>
      </c>
      <c r="L415" s="4395" t="s">
        <v>1829</v>
      </c>
      <c r="M415" s="4401">
        <v>0</v>
      </c>
      <c r="N415" s="4401">
        <v>1</v>
      </c>
      <c r="O415" s="4401">
        <v>1</v>
      </c>
      <c r="P415" s="4395" t="s">
        <v>1830</v>
      </c>
      <c r="Q415" s="4395" t="s">
        <v>1831</v>
      </c>
      <c r="R415" s="4897" t="s">
        <v>6111</v>
      </c>
      <c r="S415" s="3313"/>
      <c r="T415" s="3071"/>
      <c r="U415" s="3274"/>
      <c r="V415" s="4069"/>
      <c r="W415" s="4070"/>
      <c r="X415" s="4033"/>
      <c r="Y415" s="3295"/>
      <c r="Z415" s="3295"/>
      <c r="AA415" s="3295"/>
      <c r="AB415" s="4115"/>
      <c r="AC415" s="4033"/>
      <c r="AD415" s="4116"/>
      <c r="AE415" s="4116"/>
      <c r="AF415" s="5209"/>
    </row>
    <row r="416" spans="1:32">
      <c r="A416" s="4564"/>
      <c r="B416" s="4570"/>
      <c r="C416" s="4545"/>
      <c r="D416" s="4514"/>
      <c r="E416" s="4514"/>
      <c r="F416" s="4514"/>
      <c r="G416" s="4514"/>
      <c r="H416" s="4514"/>
      <c r="I416" s="4514"/>
      <c r="J416" s="4514"/>
      <c r="K416" s="4514"/>
      <c r="L416" s="4514"/>
      <c r="M416" s="4901"/>
      <c r="N416" s="4901"/>
      <c r="O416" s="4901"/>
      <c r="P416" s="4514"/>
      <c r="Q416" s="4514"/>
      <c r="R416" s="4518"/>
      <c r="S416" s="3311"/>
      <c r="T416" s="1891"/>
      <c r="U416" s="1849"/>
      <c r="V416" s="1883"/>
      <c r="W416" s="1864"/>
      <c r="X416" s="3637"/>
      <c r="Y416" s="3214"/>
      <c r="Z416" s="3214"/>
      <c r="AA416" s="3214"/>
      <c r="AB416" s="3638"/>
      <c r="AC416" s="3637"/>
      <c r="AD416" s="3206"/>
      <c r="AE416" s="3206"/>
      <c r="AF416" s="5301"/>
    </row>
    <row r="417" spans="1:32">
      <c r="A417" s="4564"/>
      <c r="B417" s="4570"/>
      <c r="C417" s="4545"/>
      <c r="D417" s="4514"/>
      <c r="E417" s="4514"/>
      <c r="F417" s="4514"/>
      <c r="G417" s="4514"/>
      <c r="H417" s="4514"/>
      <c r="I417" s="4514"/>
      <c r="J417" s="4514"/>
      <c r="K417" s="4514"/>
      <c r="L417" s="4514"/>
      <c r="M417" s="4901"/>
      <c r="N417" s="4901"/>
      <c r="O417" s="4901"/>
      <c r="P417" s="4514"/>
      <c r="Q417" s="4514"/>
      <c r="R417" s="4518"/>
      <c r="S417" s="3311"/>
      <c r="T417" s="1891"/>
      <c r="U417" s="1849"/>
      <c r="V417" s="1883"/>
      <c r="W417" s="1864"/>
      <c r="X417" s="3637"/>
      <c r="Y417" s="3214"/>
      <c r="Z417" s="3214"/>
      <c r="AA417" s="3214"/>
      <c r="AB417" s="3638"/>
      <c r="AC417" s="3637"/>
      <c r="AD417" s="3206"/>
      <c r="AE417" s="3206"/>
      <c r="AF417" s="5301"/>
    </row>
    <row r="418" spans="1:32">
      <c r="A418" s="4564"/>
      <c r="B418" s="4570"/>
      <c r="C418" s="4545"/>
      <c r="D418" s="4514"/>
      <c r="E418" s="4514"/>
      <c r="F418" s="4514"/>
      <c r="G418" s="4514"/>
      <c r="H418" s="4514"/>
      <c r="I418" s="4514"/>
      <c r="J418" s="4514"/>
      <c r="K418" s="4514"/>
      <c r="L418" s="4514"/>
      <c r="M418" s="4901"/>
      <c r="N418" s="4901"/>
      <c r="O418" s="4901"/>
      <c r="P418" s="4514"/>
      <c r="Q418" s="4514"/>
      <c r="R418" s="4518"/>
      <c r="S418" s="3311"/>
      <c r="T418" s="1891"/>
      <c r="U418" s="1849"/>
      <c r="V418" s="1883"/>
      <c r="W418" s="1864"/>
      <c r="X418" s="3637"/>
      <c r="Y418" s="3214"/>
      <c r="Z418" s="3214"/>
      <c r="AA418" s="3214"/>
      <c r="AB418" s="3638"/>
      <c r="AC418" s="3637"/>
      <c r="AD418" s="3206"/>
      <c r="AE418" s="3206"/>
      <c r="AF418" s="5301"/>
    </row>
    <row r="419" spans="1:32" ht="39" customHeight="1">
      <c r="A419" s="4564"/>
      <c r="B419" s="4570"/>
      <c r="C419" s="4566"/>
      <c r="D419" s="4525"/>
      <c r="E419" s="4525"/>
      <c r="F419" s="4525"/>
      <c r="G419" s="4525"/>
      <c r="H419" s="4525"/>
      <c r="I419" s="4525"/>
      <c r="J419" s="4525"/>
      <c r="K419" s="4525"/>
      <c r="L419" s="4525"/>
      <c r="M419" s="4902"/>
      <c r="N419" s="4902"/>
      <c r="O419" s="4902"/>
      <c r="P419" s="4525"/>
      <c r="Q419" s="4525"/>
      <c r="R419" s="4528"/>
      <c r="S419" s="3314"/>
      <c r="T419" s="3821"/>
      <c r="U419" s="3271"/>
      <c r="V419" s="3822"/>
      <c r="W419" s="3254"/>
      <c r="X419" s="4037"/>
      <c r="Y419" s="3291"/>
      <c r="Z419" s="3291"/>
      <c r="AA419" s="3291"/>
      <c r="AB419" s="4118"/>
      <c r="AC419" s="4037"/>
      <c r="AD419" s="4119"/>
      <c r="AE419" s="4119"/>
      <c r="AF419" s="5302"/>
    </row>
    <row r="420" spans="1:32" ht="21" customHeight="1">
      <c r="A420" s="4564"/>
      <c r="B420" s="4570"/>
      <c r="C420" s="5239" t="s">
        <v>272</v>
      </c>
      <c r="D420" s="4377" t="s">
        <v>302</v>
      </c>
      <c r="E420" s="4377" t="s">
        <v>303</v>
      </c>
      <c r="F420" s="4377" t="s">
        <v>304</v>
      </c>
      <c r="G420" s="4906" t="s">
        <v>305</v>
      </c>
      <c r="H420" s="4377" t="s">
        <v>262</v>
      </c>
      <c r="I420" s="4377" t="s">
        <v>257</v>
      </c>
      <c r="J420" s="4377" t="s">
        <v>1891</v>
      </c>
      <c r="K420" s="4377" t="s">
        <v>1832</v>
      </c>
      <c r="L420" s="4377" t="s">
        <v>1833</v>
      </c>
      <c r="M420" s="4392">
        <v>4</v>
      </c>
      <c r="N420" s="4392">
        <v>4</v>
      </c>
      <c r="O420" s="4392">
        <v>4</v>
      </c>
      <c r="P420" s="4377" t="s">
        <v>1834</v>
      </c>
      <c r="Q420" s="4377" t="s">
        <v>1835</v>
      </c>
      <c r="R420" s="4903" t="s">
        <v>6111</v>
      </c>
      <c r="S420" s="3310"/>
      <c r="T420" s="3270"/>
      <c r="U420" s="3272"/>
      <c r="V420" s="4068"/>
      <c r="W420" s="4071"/>
      <c r="X420" s="3632"/>
      <c r="Y420" s="3633"/>
      <c r="Z420" s="3633"/>
      <c r="AA420" s="3633"/>
      <c r="AB420" s="3634"/>
      <c r="AC420" s="3632"/>
      <c r="AD420" s="4120"/>
      <c r="AE420" s="4120"/>
      <c r="AF420" s="5217"/>
    </row>
    <row r="421" spans="1:32" ht="21" customHeight="1">
      <c r="A421" s="4564"/>
      <c r="B421" s="4570"/>
      <c r="C421" s="4545"/>
      <c r="D421" s="4514"/>
      <c r="E421" s="4514"/>
      <c r="F421" s="4514"/>
      <c r="G421" s="4514"/>
      <c r="H421" s="4514"/>
      <c r="I421" s="4514"/>
      <c r="J421" s="4514"/>
      <c r="K421" s="4514"/>
      <c r="L421" s="4514"/>
      <c r="M421" s="4901"/>
      <c r="N421" s="4901"/>
      <c r="O421" s="4901"/>
      <c r="P421" s="4514"/>
      <c r="Q421" s="4514"/>
      <c r="R421" s="4518"/>
      <c r="S421" s="3311"/>
      <c r="T421" s="1891"/>
      <c r="U421" s="1849"/>
      <c r="V421" s="1883"/>
      <c r="W421" s="1864"/>
      <c r="X421" s="3637"/>
      <c r="Y421" s="3214"/>
      <c r="Z421" s="3214"/>
      <c r="AA421" s="3214"/>
      <c r="AB421" s="3638"/>
      <c r="AC421" s="3637"/>
      <c r="AD421" s="3206"/>
      <c r="AE421" s="3206"/>
      <c r="AF421" s="5301"/>
    </row>
    <row r="422" spans="1:32" ht="21" customHeight="1">
      <c r="A422" s="4564"/>
      <c r="B422" s="4570"/>
      <c r="C422" s="4545"/>
      <c r="D422" s="4514"/>
      <c r="E422" s="4514"/>
      <c r="F422" s="4514"/>
      <c r="G422" s="4514"/>
      <c r="H422" s="4514"/>
      <c r="I422" s="4514"/>
      <c r="J422" s="4514"/>
      <c r="K422" s="4514"/>
      <c r="L422" s="4514"/>
      <c r="M422" s="4901"/>
      <c r="N422" s="4901"/>
      <c r="O422" s="4901"/>
      <c r="P422" s="4514"/>
      <c r="Q422" s="4514"/>
      <c r="R422" s="4518"/>
      <c r="S422" s="3311"/>
      <c r="T422" s="1891"/>
      <c r="U422" s="1849"/>
      <c r="V422" s="1883"/>
      <c r="W422" s="1864"/>
      <c r="X422" s="3637"/>
      <c r="Y422" s="3214"/>
      <c r="Z422" s="3214"/>
      <c r="AA422" s="3214"/>
      <c r="AB422" s="3638"/>
      <c r="AC422" s="3637"/>
      <c r="AD422" s="3206"/>
      <c r="AE422" s="3206"/>
      <c r="AF422" s="5301"/>
    </row>
    <row r="423" spans="1:32" ht="21" customHeight="1">
      <c r="A423" s="4564"/>
      <c r="B423" s="4570"/>
      <c r="C423" s="4545"/>
      <c r="D423" s="4514"/>
      <c r="E423" s="4514"/>
      <c r="F423" s="4514"/>
      <c r="G423" s="4514"/>
      <c r="H423" s="4514"/>
      <c r="I423" s="4514"/>
      <c r="J423" s="4514"/>
      <c r="K423" s="4514"/>
      <c r="L423" s="4514"/>
      <c r="M423" s="4901"/>
      <c r="N423" s="4901"/>
      <c r="O423" s="4901"/>
      <c r="P423" s="4514"/>
      <c r="Q423" s="4514"/>
      <c r="R423" s="4518"/>
      <c r="S423" s="3311"/>
      <c r="T423" s="1891"/>
      <c r="U423" s="1849"/>
      <c r="V423" s="1883"/>
      <c r="W423" s="1864"/>
      <c r="X423" s="3637"/>
      <c r="Y423" s="3214"/>
      <c r="Z423" s="3214"/>
      <c r="AA423" s="3214"/>
      <c r="AB423" s="3638"/>
      <c r="AC423" s="3637"/>
      <c r="AD423" s="3206"/>
      <c r="AE423" s="3206"/>
      <c r="AF423" s="5301"/>
    </row>
    <row r="424" spans="1:32" ht="21" customHeight="1">
      <c r="A424" s="4564"/>
      <c r="B424" s="4570"/>
      <c r="C424" s="4573"/>
      <c r="D424" s="4515"/>
      <c r="E424" s="4515"/>
      <c r="F424" s="4515"/>
      <c r="G424" s="4515"/>
      <c r="H424" s="4515"/>
      <c r="I424" s="4515"/>
      <c r="J424" s="4515"/>
      <c r="K424" s="4515"/>
      <c r="L424" s="4515"/>
      <c r="M424" s="5222"/>
      <c r="N424" s="5222"/>
      <c r="O424" s="5222"/>
      <c r="P424" s="4515"/>
      <c r="Q424" s="4515"/>
      <c r="R424" s="4519"/>
      <c r="S424" s="3312"/>
      <c r="T424" s="3819"/>
      <c r="U424" s="3268"/>
      <c r="V424" s="3641"/>
      <c r="W424" s="3233"/>
      <c r="X424" s="3642"/>
      <c r="Y424" s="3282"/>
      <c r="Z424" s="3282"/>
      <c r="AA424" s="3282"/>
      <c r="AB424" s="3643"/>
      <c r="AC424" s="3642"/>
      <c r="AD424" s="4117"/>
      <c r="AE424" s="4117"/>
      <c r="AF424" s="5303"/>
    </row>
    <row r="425" spans="1:32" ht="18" customHeight="1">
      <c r="A425" s="4564"/>
      <c r="B425" s="4570"/>
      <c r="C425" s="5236" t="s">
        <v>272</v>
      </c>
      <c r="D425" s="4395" t="s">
        <v>679</v>
      </c>
      <c r="E425" s="4395" t="s">
        <v>274</v>
      </c>
      <c r="F425" s="4395" t="s">
        <v>885</v>
      </c>
      <c r="G425" s="4930" t="s">
        <v>305</v>
      </c>
      <c r="H425" s="4395" t="s">
        <v>262</v>
      </c>
      <c r="I425" s="4395" t="s">
        <v>241</v>
      </c>
      <c r="J425" s="4395" t="s">
        <v>1893</v>
      </c>
      <c r="K425" s="4395" t="s">
        <v>1836</v>
      </c>
      <c r="L425" s="4395" t="s">
        <v>1837</v>
      </c>
      <c r="M425" s="4401">
        <v>2</v>
      </c>
      <c r="N425" s="4401">
        <v>0</v>
      </c>
      <c r="O425" s="4401">
        <v>2</v>
      </c>
      <c r="P425" s="4395" t="s">
        <v>1838</v>
      </c>
      <c r="Q425" s="4395" t="s">
        <v>1839</v>
      </c>
      <c r="R425" s="4897" t="s">
        <v>6112</v>
      </c>
      <c r="S425" s="3313"/>
      <c r="T425" s="3071"/>
      <c r="U425" s="3274"/>
      <c r="V425" s="4069"/>
      <c r="W425" s="4070"/>
      <c r="X425" s="4033"/>
      <c r="Y425" s="3295"/>
      <c r="Z425" s="3295"/>
      <c r="AA425" s="3295"/>
      <c r="AB425" s="4115"/>
      <c r="AC425" s="4033"/>
      <c r="AD425" s="4116"/>
      <c r="AE425" s="4116"/>
      <c r="AF425" s="5209"/>
    </row>
    <row r="426" spans="1:32" ht="18" customHeight="1">
      <c r="A426" s="4564"/>
      <c r="B426" s="4570"/>
      <c r="C426" s="4545"/>
      <c r="D426" s="4514"/>
      <c r="E426" s="4514"/>
      <c r="F426" s="4514"/>
      <c r="G426" s="4514"/>
      <c r="H426" s="4514"/>
      <c r="I426" s="4514"/>
      <c r="J426" s="4514"/>
      <c r="K426" s="4514"/>
      <c r="L426" s="4514"/>
      <c r="M426" s="4901"/>
      <c r="N426" s="4901"/>
      <c r="O426" s="4901"/>
      <c r="P426" s="4514"/>
      <c r="Q426" s="4514"/>
      <c r="R426" s="4518"/>
      <c r="S426" s="3311"/>
      <c r="T426" s="1891"/>
      <c r="U426" s="1849"/>
      <c r="V426" s="1883"/>
      <c r="W426" s="1864"/>
      <c r="X426" s="3637"/>
      <c r="Y426" s="3214"/>
      <c r="Z426" s="3214"/>
      <c r="AA426" s="3214"/>
      <c r="AB426" s="3638"/>
      <c r="AC426" s="3637"/>
      <c r="AD426" s="3206"/>
      <c r="AE426" s="3206"/>
      <c r="AF426" s="5301"/>
    </row>
    <row r="427" spans="1:32" ht="18" customHeight="1">
      <c r="A427" s="4564"/>
      <c r="B427" s="4570"/>
      <c r="C427" s="4545"/>
      <c r="D427" s="4514"/>
      <c r="E427" s="4514"/>
      <c r="F427" s="4514"/>
      <c r="G427" s="4514"/>
      <c r="H427" s="4514"/>
      <c r="I427" s="4514"/>
      <c r="J427" s="4514"/>
      <c r="K427" s="4514"/>
      <c r="L427" s="4514"/>
      <c r="M427" s="4901"/>
      <c r="N427" s="4901"/>
      <c r="O427" s="4901"/>
      <c r="P427" s="4514"/>
      <c r="Q427" s="4514"/>
      <c r="R427" s="4518"/>
      <c r="S427" s="3311"/>
      <c r="T427" s="1891"/>
      <c r="U427" s="1849"/>
      <c r="V427" s="1883"/>
      <c r="W427" s="1864"/>
      <c r="X427" s="3637"/>
      <c r="Y427" s="3214"/>
      <c r="Z427" s="3214"/>
      <c r="AA427" s="3214"/>
      <c r="AB427" s="3638"/>
      <c r="AC427" s="3637"/>
      <c r="AD427" s="3206"/>
      <c r="AE427" s="3206"/>
      <c r="AF427" s="5301"/>
    </row>
    <row r="428" spans="1:32" ht="18" customHeight="1">
      <c r="A428" s="4564"/>
      <c r="B428" s="4570"/>
      <c r="C428" s="4545"/>
      <c r="D428" s="4514"/>
      <c r="E428" s="4514"/>
      <c r="F428" s="4514"/>
      <c r="G428" s="4514"/>
      <c r="H428" s="4514"/>
      <c r="I428" s="4514"/>
      <c r="J428" s="4514"/>
      <c r="K428" s="4514"/>
      <c r="L428" s="4514"/>
      <c r="M428" s="4901"/>
      <c r="N428" s="4901"/>
      <c r="O428" s="4901"/>
      <c r="P428" s="4514"/>
      <c r="Q428" s="4514"/>
      <c r="R428" s="4518"/>
      <c r="S428" s="3311"/>
      <c r="T428" s="1891"/>
      <c r="U428" s="1849"/>
      <c r="V428" s="1883"/>
      <c r="W428" s="1864"/>
      <c r="X428" s="3637"/>
      <c r="Y428" s="3214"/>
      <c r="Z428" s="3214"/>
      <c r="AA428" s="3214"/>
      <c r="AB428" s="3638"/>
      <c r="AC428" s="3637"/>
      <c r="AD428" s="3206"/>
      <c r="AE428" s="3206"/>
      <c r="AF428" s="5301"/>
    </row>
    <row r="429" spans="1:32" ht="18" customHeight="1">
      <c r="A429" s="4564"/>
      <c r="B429" s="4570"/>
      <c r="C429" s="4566"/>
      <c r="D429" s="4525"/>
      <c r="E429" s="4525"/>
      <c r="F429" s="4525"/>
      <c r="G429" s="4525"/>
      <c r="H429" s="4525"/>
      <c r="I429" s="4525"/>
      <c r="J429" s="4525"/>
      <c r="K429" s="4525"/>
      <c r="L429" s="4525"/>
      <c r="M429" s="4902"/>
      <c r="N429" s="4902"/>
      <c r="O429" s="4902"/>
      <c r="P429" s="4525"/>
      <c r="Q429" s="4525"/>
      <c r="R429" s="4528"/>
      <c r="S429" s="3314"/>
      <c r="T429" s="3821"/>
      <c r="U429" s="3271"/>
      <c r="V429" s="3822"/>
      <c r="W429" s="3254"/>
      <c r="X429" s="4037"/>
      <c r="Y429" s="3291"/>
      <c r="Z429" s="3291"/>
      <c r="AA429" s="3291"/>
      <c r="AB429" s="4118"/>
      <c r="AC429" s="4037"/>
      <c r="AD429" s="4119"/>
      <c r="AE429" s="4119"/>
      <c r="AF429" s="5302"/>
    </row>
    <row r="430" spans="1:32">
      <c r="A430" s="4564"/>
      <c r="B430" s="4570"/>
      <c r="C430" s="5239" t="s">
        <v>272</v>
      </c>
      <c r="D430" s="4377" t="s">
        <v>302</v>
      </c>
      <c r="E430" s="4377" t="s">
        <v>303</v>
      </c>
      <c r="F430" s="4377" t="s">
        <v>304</v>
      </c>
      <c r="G430" s="4906" t="s">
        <v>305</v>
      </c>
      <c r="H430" s="4377" t="s">
        <v>240</v>
      </c>
      <c r="I430" s="4377" t="s">
        <v>241</v>
      </c>
      <c r="J430" s="4377" t="s">
        <v>1840</v>
      </c>
      <c r="K430" s="4377" t="s">
        <v>1841</v>
      </c>
      <c r="L430" s="4377" t="s">
        <v>1842</v>
      </c>
      <c r="M430" s="4392">
        <v>1</v>
      </c>
      <c r="N430" s="4392">
        <v>1</v>
      </c>
      <c r="O430" s="4392">
        <v>1</v>
      </c>
      <c r="P430" s="4377" t="s">
        <v>1843</v>
      </c>
      <c r="Q430" s="4377" t="s">
        <v>1824</v>
      </c>
      <c r="R430" s="4903" t="s">
        <v>6112</v>
      </c>
      <c r="S430" s="3310"/>
      <c r="T430" s="3270"/>
      <c r="U430" s="3272"/>
      <c r="V430" s="4068"/>
      <c r="W430" s="4071"/>
      <c r="X430" s="3632"/>
      <c r="Y430" s="3633"/>
      <c r="Z430" s="3633"/>
      <c r="AA430" s="3633"/>
      <c r="AB430" s="3634"/>
      <c r="AC430" s="3632"/>
      <c r="AD430" s="4120"/>
      <c r="AE430" s="4120"/>
      <c r="AF430" s="5217"/>
    </row>
    <row r="431" spans="1:32">
      <c r="A431" s="4564"/>
      <c r="B431" s="4570"/>
      <c r="C431" s="4545"/>
      <c r="D431" s="4514"/>
      <c r="E431" s="4514"/>
      <c r="F431" s="4514"/>
      <c r="G431" s="4514"/>
      <c r="H431" s="4514"/>
      <c r="I431" s="4514"/>
      <c r="J431" s="4514"/>
      <c r="K431" s="4514"/>
      <c r="L431" s="4514"/>
      <c r="M431" s="4901"/>
      <c r="N431" s="4901"/>
      <c r="O431" s="4901"/>
      <c r="P431" s="4514"/>
      <c r="Q431" s="4514"/>
      <c r="R431" s="4518"/>
      <c r="S431" s="3311"/>
      <c r="T431" s="1891"/>
      <c r="U431" s="1849"/>
      <c r="V431" s="1883"/>
      <c r="W431" s="1864"/>
      <c r="X431" s="3637"/>
      <c r="Y431" s="3214"/>
      <c r="Z431" s="3214"/>
      <c r="AA431" s="3214"/>
      <c r="AB431" s="3638"/>
      <c r="AC431" s="3637"/>
      <c r="AD431" s="3206"/>
      <c r="AE431" s="3206"/>
      <c r="AF431" s="5301"/>
    </row>
    <row r="432" spans="1:32">
      <c r="A432" s="4564"/>
      <c r="B432" s="4570"/>
      <c r="C432" s="4545"/>
      <c r="D432" s="4514"/>
      <c r="E432" s="4514"/>
      <c r="F432" s="4514"/>
      <c r="G432" s="4514"/>
      <c r="H432" s="4514"/>
      <c r="I432" s="4514"/>
      <c r="J432" s="4514"/>
      <c r="K432" s="4514"/>
      <c r="L432" s="4514"/>
      <c r="M432" s="4901"/>
      <c r="N432" s="4901"/>
      <c r="O432" s="4901"/>
      <c r="P432" s="4514"/>
      <c r="Q432" s="4514"/>
      <c r="R432" s="4518"/>
      <c r="S432" s="3311"/>
      <c r="T432" s="1891"/>
      <c r="U432" s="1849"/>
      <c r="V432" s="1883"/>
      <c r="W432" s="1864"/>
      <c r="X432" s="3637"/>
      <c r="Y432" s="3214"/>
      <c r="Z432" s="3214"/>
      <c r="AA432" s="3214"/>
      <c r="AB432" s="3638"/>
      <c r="AC432" s="3637"/>
      <c r="AD432" s="3206"/>
      <c r="AE432" s="3206"/>
      <c r="AF432" s="5301"/>
    </row>
    <row r="433" spans="1:32">
      <c r="A433" s="4564"/>
      <c r="B433" s="4570"/>
      <c r="C433" s="4545"/>
      <c r="D433" s="4514"/>
      <c r="E433" s="4514"/>
      <c r="F433" s="4514"/>
      <c r="G433" s="4514"/>
      <c r="H433" s="4514"/>
      <c r="I433" s="4514"/>
      <c r="J433" s="4514"/>
      <c r="K433" s="4514"/>
      <c r="L433" s="4514"/>
      <c r="M433" s="4901"/>
      <c r="N433" s="4901"/>
      <c r="O433" s="4901"/>
      <c r="P433" s="4514"/>
      <c r="Q433" s="4514"/>
      <c r="R433" s="4518"/>
      <c r="S433" s="3311"/>
      <c r="T433" s="1891"/>
      <c r="U433" s="1849"/>
      <c r="V433" s="1883"/>
      <c r="W433" s="1864"/>
      <c r="X433" s="3637"/>
      <c r="Y433" s="3214"/>
      <c r="Z433" s="3214"/>
      <c r="AA433" s="3214"/>
      <c r="AB433" s="3638"/>
      <c r="AC433" s="3637"/>
      <c r="AD433" s="3206"/>
      <c r="AE433" s="3206"/>
      <c r="AF433" s="5301"/>
    </row>
    <row r="434" spans="1:32" ht="30.75" customHeight="1">
      <c r="A434" s="4564"/>
      <c r="B434" s="4570"/>
      <c r="C434" s="4573"/>
      <c r="D434" s="4515"/>
      <c r="E434" s="4515"/>
      <c r="F434" s="4515"/>
      <c r="G434" s="4515"/>
      <c r="H434" s="4515"/>
      <c r="I434" s="4515"/>
      <c r="J434" s="4515"/>
      <c r="K434" s="4515"/>
      <c r="L434" s="4515"/>
      <c r="M434" s="5222"/>
      <c r="N434" s="5222"/>
      <c r="O434" s="5222"/>
      <c r="P434" s="4515"/>
      <c r="Q434" s="4515"/>
      <c r="R434" s="4519"/>
      <c r="S434" s="3312"/>
      <c r="T434" s="3819"/>
      <c r="U434" s="3268"/>
      <c r="V434" s="3641"/>
      <c r="W434" s="3233"/>
      <c r="X434" s="3642"/>
      <c r="Y434" s="3282"/>
      <c r="Z434" s="3282"/>
      <c r="AA434" s="3282"/>
      <c r="AB434" s="3643"/>
      <c r="AC434" s="3642"/>
      <c r="AD434" s="4117"/>
      <c r="AE434" s="4117"/>
      <c r="AF434" s="5303"/>
    </row>
    <row r="435" spans="1:32" ht="21" customHeight="1">
      <c r="A435" s="4564"/>
      <c r="B435" s="4570"/>
      <c r="C435" s="5236" t="s">
        <v>235</v>
      </c>
      <c r="D435" s="4395" t="s">
        <v>236</v>
      </c>
      <c r="E435" s="4395" t="s">
        <v>244</v>
      </c>
      <c r="F435" s="4395" t="s">
        <v>808</v>
      </c>
      <c r="G435" s="4930" t="s">
        <v>239</v>
      </c>
      <c r="H435" s="4395" t="s">
        <v>293</v>
      </c>
      <c r="I435" s="4395" t="s">
        <v>278</v>
      </c>
      <c r="J435" s="4395" t="s">
        <v>1844</v>
      </c>
      <c r="K435" s="4395" t="s">
        <v>1845</v>
      </c>
      <c r="L435" s="4395" t="s">
        <v>1846</v>
      </c>
      <c r="M435" s="4401">
        <v>1</v>
      </c>
      <c r="N435" s="4401">
        <v>0</v>
      </c>
      <c r="O435" s="4401">
        <v>1</v>
      </c>
      <c r="P435" s="4395" t="s">
        <v>1847</v>
      </c>
      <c r="Q435" s="4395" t="s">
        <v>1848</v>
      </c>
      <c r="R435" s="4897" t="s">
        <v>6113</v>
      </c>
      <c r="S435" s="3313"/>
      <c r="T435" s="3071"/>
      <c r="U435" s="3274"/>
      <c r="V435" s="4069"/>
      <c r="W435" s="4070"/>
      <c r="X435" s="4033"/>
      <c r="Y435" s="3295"/>
      <c r="Z435" s="3295"/>
      <c r="AA435" s="3295"/>
      <c r="AB435" s="4115"/>
      <c r="AC435" s="4033"/>
      <c r="AD435" s="4116"/>
      <c r="AE435" s="4116"/>
      <c r="AF435" s="5209"/>
    </row>
    <row r="436" spans="1:32" ht="21" customHeight="1">
      <c r="A436" s="4564"/>
      <c r="B436" s="4570"/>
      <c r="C436" s="4545"/>
      <c r="D436" s="4514"/>
      <c r="E436" s="4514"/>
      <c r="F436" s="4514"/>
      <c r="G436" s="4514"/>
      <c r="H436" s="4514"/>
      <c r="I436" s="4514"/>
      <c r="J436" s="4514"/>
      <c r="K436" s="4514"/>
      <c r="L436" s="4514"/>
      <c r="M436" s="4901"/>
      <c r="N436" s="4901"/>
      <c r="O436" s="4901"/>
      <c r="P436" s="4514"/>
      <c r="Q436" s="4514"/>
      <c r="R436" s="4518"/>
      <c r="S436" s="3311"/>
      <c r="T436" s="1891"/>
      <c r="U436" s="1849"/>
      <c r="V436" s="1883"/>
      <c r="W436" s="1864"/>
      <c r="X436" s="3637"/>
      <c r="Y436" s="3214"/>
      <c r="Z436" s="3214"/>
      <c r="AA436" s="3214"/>
      <c r="AB436" s="3638"/>
      <c r="AC436" s="3637"/>
      <c r="AD436" s="3206"/>
      <c r="AE436" s="3206"/>
      <c r="AF436" s="5301"/>
    </row>
    <row r="437" spans="1:32" ht="21" customHeight="1">
      <c r="A437" s="4564"/>
      <c r="B437" s="4570"/>
      <c r="C437" s="4545"/>
      <c r="D437" s="4514"/>
      <c r="E437" s="4514"/>
      <c r="F437" s="4514"/>
      <c r="G437" s="4514"/>
      <c r="H437" s="4514"/>
      <c r="I437" s="4514"/>
      <c r="J437" s="4514"/>
      <c r="K437" s="4514"/>
      <c r="L437" s="4514"/>
      <c r="M437" s="4901"/>
      <c r="N437" s="4901"/>
      <c r="O437" s="4901"/>
      <c r="P437" s="4514"/>
      <c r="Q437" s="4514"/>
      <c r="R437" s="4518"/>
      <c r="S437" s="3311"/>
      <c r="T437" s="1891"/>
      <c r="U437" s="1849"/>
      <c r="V437" s="1883"/>
      <c r="W437" s="1864"/>
      <c r="X437" s="3637"/>
      <c r="Y437" s="3214"/>
      <c r="Z437" s="3214"/>
      <c r="AA437" s="3214"/>
      <c r="AB437" s="3638"/>
      <c r="AC437" s="3637"/>
      <c r="AD437" s="3206"/>
      <c r="AE437" s="3206"/>
      <c r="AF437" s="5301"/>
    </row>
    <row r="438" spans="1:32" ht="21" customHeight="1">
      <c r="A438" s="4564"/>
      <c r="B438" s="4570"/>
      <c r="C438" s="4545"/>
      <c r="D438" s="4514"/>
      <c r="E438" s="4514"/>
      <c r="F438" s="4514"/>
      <c r="G438" s="4514"/>
      <c r="H438" s="4514"/>
      <c r="I438" s="4514"/>
      <c r="J438" s="4514"/>
      <c r="K438" s="4514"/>
      <c r="L438" s="4514"/>
      <c r="M438" s="4901"/>
      <c r="N438" s="4901"/>
      <c r="O438" s="4901"/>
      <c r="P438" s="4514"/>
      <c r="Q438" s="4514"/>
      <c r="R438" s="4518"/>
      <c r="S438" s="3311"/>
      <c r="T438" s="1891"/>
      <c r="U438" s="1849"/>
      <c r="V438" s="1883"/>
      <c r="W438" s="1864"/>
      <c r="X438" s="3637"/>
      <c r="Y438" s="3214"/>
      <c r="Z438" s="3214"/>
      <c r="AA438" s="3214"/>
      <c r="AB438" s="3638"/>
      <c r="AC438" s="3637"/>
      <c r="AD438" s="3206"/>
      <c r="AE438" s="3206"/>
      <c r="AF438" s="5301"/>
    </row>
    <row r="439" spans="1:32" ht="33.75" customHeight="1">
      <c r="A439" s="4564"/>
      <c r="B439" s="4570"/>
      <c r="C439" s="4566"/>
      <c r="D439" s="4525"/>
      <c r="E439" s="4525"/>
      <c r="F439" s="4525"/>
      <c r="G439" s="4525"/>
      <c r="H439" s="4525"/>
      <c r="I439" s="4525"/>
      <c r="J439" s="4525"/>
      <c r="K439" s="4525"/>
      <c r="L439" s="4525"/>
      <c r="M439" s="4902"/>
      <c r="N439" s="4902"/>
      <c r="O439" s="4902"/>
      <c r="P439" s="4525"/>
      <c r="Q439" s="4525"/>
      <c r="R439" s="4528"/>
      <c r="S439" s="3314"/>
      <c r="T439" s="3821"/>
      <c r="U439" s="3271"/>
      <c r="V439" s="3822"/>
      <c r="W439" s="3254"/>
      <c r="X439" s="4037"/>
      <c r="Y439" s="3291"/>
      <c r="Z439" s="3291"/>
      <c r="AA439" s="3291"/>
      <c r="AB439" s="4118"/>
      <c r="AC439" s="4037"/>
      <c r="AD439" s="4119"/>
      <c r="AE439" s="4119"/>
      <c r="AF439" s="5302"/>
    </row>
    <row r="440" spans="1:32" ht="21" customHeight="1">
      <c r="A440" s="4564"/>
      <c r="B440" s="4570"/>
      <c r="C440" s="5239" t="s">
        <v>272</v>
      </c>
      <c r="D440" s="4377" t="s">
        <v>302</v>
      </c>
      <c r="E440" s="4377" t="s">
        <v>303</v>
      </c>
      <c r="F440" s="4377" t="s">
        <v>318</v>
      </c>
      <c r="G440" s="4906" t="s">
        <v>305</v>
      </c>
      <c r="H440" s="4377" t="s">
        <v>240</v>
      </c>
      <c r="I440" s="4377" t="s">
        <v>241</v>
      </c>
      <c r="J440" s="4377" t="s">
        <v>1849</v>
      </c>
      <c r="K440" s="4377" t="s">
        <v>1850</v>
      </c>
      <c r="L440" s="4377" t="s">
        <v>1851</v>
      </c>
      <c r="M440" s="4392">
        <v>1</v>
      </c>
      <c r="N440" s="4392">
        <v>0</v>
      </c>
      <c r="O440" s="4392">
        <v>1</v>
      </c>
      <c r="P440" s="4377" t="s">
        <v>1852</v>
      </c>
      <c r="Q440" s="4377" t="s">
        <v>1853</v>
      </c>
      <c r="R440" s="4903" t="s">
        <v>6113</v>
      </c>
      <c r="S440" s="3310"/>
      <c r="T440" s="3270"/>
      <c r="U440" s="3272"/>
      <c r="V440" s="4068"/>
      <c r="W440" s="4071"/>
      <c r="X440" s="3632"/>
      <c r="Y440" s="3633"/>
      <c r="Z440" s="3633"/>
      <c r="AA440" s="3633"/>
      <c r="AB440" s="3634"/>
      <c r="AC440" s="3632"/>
      <c r="AD440" s="4120"/>
      <c r="AE440" s="4120"/>
      <c r="AF440" s="5217"/>
    </row>
    <row r="441" spans="1:32" ht="21" customHeight="1">
      <c r="A441" s="4564"/>
      <c r="B441" s="4570"/>
      <c r="C441" s="4545"/>
      <c r="D441" s="4514"/>
      <c r="E441" s="4514"/>
      <c r="F441" s="4514"/>
      <c r="G441" s="4514"/>
      <c r="H441" s="4514"/>
      <c r="I441" s="4514"/>
      <c r="J441" s="4514"/>
      <c r="K441" s="4514"/>
      <c r="L441" s="4514"/>
      <c r="M441" s="4901"/>
      <c r="N441" s="4901"/>
      <c r="O441" s="4901"/>
      <c r="P441" s="4514"/>
      <c r="Q441" s="4514"/>
      <c r="R441" s="4518"/>
      <c r="S441" s="3311"/>
      <c r="T441" s="1891"/>
      <c r="U441" s="1849"/>
      <c r="V441" s="1883"/>
      <c r="W441" s="1864"/>
      <c r="X441" s="3637"/>
      <c r="Y441" s="3214"/>
      <c r="Z441" s="3214"/>
      <c r="AA441" s="3214"/>
      <c r="AB441" s="3638"/>
      <c r="AC441" s="3637"/>
      <c r="AD441" s="3206"/>
      <c r="AE441" s="3206"/>
      <c r="AF441" s="5301"/>
    </row>
    <row r="442" spans="1:32" ht="21" customHeight="1">
      <c r="A442" s="4564"/>
      <c r="B442" s="4570"/>
      <c r="C442" s="4545"/>
      <c r="D442" s="4514"/>
      <c r="E442" s="4514"/>
      <c r="F442" s="4514"/>
      <c r="G442" s="4514"/>
      <c r="H442" s="4514"/>
      <c r="I442" s="4514"/>
      <c r="J442" s="4514"/>
      <c r="K442" s="4514"/>
      <c r="L442" s="4514"/>
      <c r="M442" s="4901"/>
      <c r="N442" s="4901"/>
      <c r="O442" s="4901"/>
      <c r="P442" s="4514"/>
      <c r="Q442" s="4514"/>
      <c r="R442" s="4518"/>
      <c r="S442" s="3311"/>
      <c r="T442" s="1891"/>
      <c r="U442" s="1849"/>
      <c r="V442" s="1883"/>
      <c r="W442" s="1864"/>
      <c r="X442" s="3637"/>
      <c r="Y442" s="3214"/>
      <c r="Z442" s="3214"/>
      <c r="AA442" s="3214"/>
      <c r="AB442" s="3638"/>
      <c r="AC442" s="3637"/>
      <c r="AD442" s="3206"/>
      <c r="AE442" s="3206"/>
      <c r="AF442" s="5301"/>
    </row>
    <row r="443" spans="1:32" ht="21" customHeight="1">
      <c r="A443" s="4564"/>
      <c r="B443" s="4570"/>
      <c r="C443" s="4545"/>
      <c r="D443" s="4514"/>
      <c r="E443" s="4514"/>
      <c r="F443" s="4514"/>
      <c r="G443" s="4514"/>
      <c r="H443" s="4514"/>
      <c r="I443" s="4514"/>
      <c r="J443" s="4514"/>
      <c r="K443" s="4514"/>
      <c r="L443" s="4514"/>
      <c r="M443" s="4901"/>
      <c r="N443" s="4901"/>
      <c r="O443" s="4901"/>
      <c r="P443" s="4514"/>
      <c r="Q443" s="4514"/>
      <c r="R443" s="4518"/>
      <c r="S443" s="3311"/>
      <c r="T443" s="1891"/>
      <c r="U443" s="1849"/>
      <c r="V443" s="1883"/>
      <c r="W443" s="1864"/>
      <c r="X443" s="3637"/>
      <c r="Y443" s="3214"/>
      <c r="Z443" s="3214"/>
      <c r="AA443" s="3214"/>
      <c r="AB443" s="3638"/>
      <c r="AC443" s="3637"/>
      <c r="AD443" s="3206"/>
      <c r="AE443" s="3206"/>
      <c r="AF443" s="5301"/>
    </row>
    <row r="444" spans="1:32" ht="21" customHeight="1">
      <c r="A444" s="4564"/>
      <c r="B444" s="4570"/>
      <c r="C444" s="4573"/>
      <c r="D444" s="4515"/>
      <c r="E444" s="4515"/>
      <c r="F444" s="4515"/>
      <c r="G444" s="4515"/>
      <c r="H444" s="4515"/>
      <c r="I444" s="4515"/>
      <c r="J444" s="4515"/>
      <c r="K444" s="4515"/>
      <c r="L444" s="4515"/>
      <c r="M444" s="5222"/>
      <c r="N444" s="5222"/>
      <c r="O444" s="5222"/>
      <c r="P444" s="4515"/>
      <c r="Q444" s="4515"/>
      <c r="R444" s="4519"/>
      <c r="S444" s="3312"/>
      <c r="T444" s="3819"/>
      <c r="U444" s="3268"/>
      <c r="V444" s="3641"/>
      <c r="W444" s="3233"/>
      <c r="X444" s="3642"/>
      <c r="Y444" s="3282"/>
      <c r="Z444" s="3282"/>
      <c r="AA444" s="3282"/>
      <c r="AB444" s="3643"/>
      <c r="AC444" s="3642"/>
      <c r="AD444" s="4117"/>
      <c r="AE444" s="4117"/>
      <c r="AF444" s="5303"/>
    </row>
    <row r="445" spans="1:32">
      <c r="A445" s="4564"/>
      <c r="B445" s="4570"/>
      <c r="C445" s="5236" t="s">
        <v>272</v>
      </c>
      <c r="D445" s="4395" t="s">
        <v>302</v>
      </c>
      <c r="E445" s="4395" t="s">
        <v>303</v>
      </c>
      <c r="F445" s="4395" t="s">
        <v>304</v>
      </c>
      <c r="G445" s="4930" t="s">
        <v>305</v>
      </c>
      <c r="H445" s="4395" t="s">
        <v>240</v>
      </c>
      <c r="I445" s="4395" t="s">
        <v>241</v>
      </c>
      <c r="J445" s="4395" t="s">
        <v>1854</v>
      </c>
      <c r="K445" s="4395" t="s">
        <v>1855</v>
      </c>
      <c r="L445" s="4395" t="s">
        <v>1856</v>
      </c>
      <c r="M445" s="4401">
        <v>4</v>
      </c>
      <c r="N445" s="4401">
        <v>8</v>
      </c>
      <c r="O445" s="4401">
        <v>8</v>
      </c>
      <c r="P445" s="4395" t="s">
        <v>1857</v>
      </c>
      <c r="Q445" s="4395" t="s">
        <v>1858</v>
      </c>
      <c r="R445" s="4897" t="s">
        <v>6111</v>
      </c>
      <c r="S445" s="3313"/>
      <c r="T445" s="3071"/>
      <c r="U445" s="3274"/>
      <c r="V445" s="4069"/>
      <c r="W445" s="4070"/>
      <c r="X445" s="4033"/>
      <c r="Y445" s="3295"/>
      <c r="Z445" s="3295"/>
      <c r="AA445" s="3295"/>
      <c r="AB445" s="4115"/>
      <c r="AC445" s="4033"/>
      <c r="AD445" s="4116"/>
      <c r="AE445" s="4116"/>
      <c r="AF445" s="5209"/>
    </row>
    <row r="446" spans="1:32">
      <c r="A446" s="4564"/>
      <c r="B446" s="4570"/>
      <c r="C446" s="4545"/>
      <c r="D446" s="4514"/>
      <c r="E446" s="4514"/>
      <c r="F446" s="4514"/>
      <c r="G446" s="4514"/>
      <c r="H446" s="4514"/>
      <c r="I446" s="4514"/>
      <c r="J446" s="4514"/>
      <c r="K446" s="4514"/>
      <c r="L446" s="4514"/>
      <c r="M446" s="4901"/>
      <c r="N446" s="4901"/>
      <c r="O446" s="4901"/>
      <c r="P446" s="4514"/>
      <c r="Q446" s="4514"/>
      <c r="R446" s="4518"/>
      <c r="S446" s="3311"/>
      <c r="T446" s="1891"/>
      <c r="U446" s="1849"/>
      <c r="V446" s="1883"/>
      <c r="W446" s="1864"/>
      <c r="X446" s="3637"/>
      <c r="Y446" s="3214"/>
      <c r="Z446" s="3214"/>
      <c r="AA446" s="3214"/>
      <c r="AB446" s="3638"/>
      <c r="AC446" s="3637"/>
      <c r="AD446" s="3206"/>
      <c r="AE446" s="3206"/>
      <c r="AF446" s="5301"/>
    </row>
    <row r="447" spans="1:32">
      <c r="A447" s="4564"/>
      <c r="B447" s="4570"/>
      <c r="C447" s="4545"/>
      <c r="D447" s="4514"/>
      <c r="E447" s="4514"/>
      <c r="F447" s="4514"/>
      <c r="G447" s="4514"/>
      <c r="H447" s="4514"/>
      <c r="I447" s="4514"/>
      <c r="J447" s="4514"/>
      <c r="K447" s="4514"/>
      <c r="L447" s="4514"/>
      <c r="M447" s="4901"/>
      <c r="N447" s="4901"/>
      <c r="O447" s="4901"/>
      <c r="P447" s="4514"/>
      <c r="Q447" s="4514"/>
      <c r="R447" s="4518"/>
      <c r="S447" s="3311"/>
      <c r="T447" s="1891"/>
      <c r="U447" s="1849"/>
      <c r="V447" s="1883"/>
      <c r="W447" s="1864"/>
      <c r="X447" s="3637"/>
      <c r="Y447" s="3214"/>
      <c r="Z447" s="3214"/>
      <c r="AA447" s="3214"/>
      <c r="AB447" s="3638"/>
      <c r="AC447" s="3637"/>
      <c r="AD447" s="3206"/>
      <c r="AE447" s="3206"/>
      <c r="AF447" s="5301"/>
    </row>
    <row r="448" spans="1:32">
      <c r="A448" s="4564"/>
      <c r="B448" s="4570"/>
      <c r="C448" s="4545"/>
      <c r="D448" s="4514"/>
      <c r="E448" s="4514"/>
      <c r="F448" s="4514"/>
      <c r="G448" s="4514"/>
      <c r="H448" s="4514"/>
      <c r="I448" s="4514"/>
      <c r="J448" s="4514"/>
      <c r="K448" s="4514"/>
      <c r="L448" s="4514"/>
      <c r="M448" s="4901"/>
      <c r="N448" s="4901"/>
      <c r="O448" s="4901"/>
      <c r="P448" s="4514"/>
      <c r="Q448" s="4514"/>
      <c r="R448" s="4518"/>
      <c r="S448" s="3311"/>
      <c r="T448" s="1891"/>
      <c r="U448" s="1849"/>
      <c r="V448" s="1883"/>
      <c r="W448" s="1864"/>
      <c r="X448" s="3637"/>
      <c r="Y448" s="3214"/>
      <c r="Z448" s="3214"/>
      <c r="AA448" s="3214"/>
      <c r="AB448" s="3638"/>
      <c r="AC448" s="3637"/>
      <c r="AD448" s="3206"/>
      <c r="AE448" s="3206"/>
      <c r="AF448" s="5301"/>
    </row>
    <row r="449" spans="1:32" ht="31.5" customHeight="1">
      <c r="A449" s="4564"/>
      <c r="B449" s="4570"/>
      <c r="C449" s="4566"/>
      <c r="D449" s="4525"/>
      <c r="E449" s="4525"/>
      <c r="F449" s="4525"/>
      <c r="G449" s="4525"/>
      <c r="H449" s="4525"/>
      <c r="I449" s="4525"/>
      <c r="J449" s="4525"/>
      <c r="K449" s="4525"/>
      <c r="L449" s="4525"/>
      <c r="M449" s="4902"/>
      <c r="N449" s="4902"/>
      <c r="O449" s="4902"/>
      <c r="P449" s="4525"/>
      <c r="Q449" s="4525"/>
      <c r="R449" s="4528"/>
      <c r="S449" s="3314"/>
      <c r="T449" s="3821"/>
      <c r="U449" s="3271"/>
      <c r="V449" s="3822"/>
      <c r="W449" s="3254"/>
      <c r="X449" s="4037"/>
      <c r="Y449" s="3291"/>
      <c r="Z449" s="3291"/>
      <c r="AA449" s="3291"/>
      <c r="AB449" s="4118"/>
      <c r="AC449" s="4037"/>
      <c r="AD449" s="4119"/>
      <c r="AE449" s="4119"/>
      <c r="AF449" s="5302"/>
    </row>
    <row r="450" spans="1:32">
      <c r="A450" s="4564"/>
      <c r="B450" s="4570"/>
      <c r="C450" s="5239" t="s">
        <v>272</v>
      </c>
      <c r="D450" s="4377" t="s">
        <v>302</v>
      </c>
      <c r="E450" s="4377" t="s">
        <v>303</v>
      </c>
      <c r="F450" s="4377" t="s">
        <v>304</v>
      </c>
      <c r="G450" s="4906" t="s">
        <v>305</v>
      </c>
      <c r="H450" s="4377" t="s">
        <v>240</v>
      </c>
      <c r="I450" s="4377" t="s">
        <v>257</v>
      </c>
      <c r="J450" s="4377" t="s">
        <v>1859</v>
      </c>
      <c r="K450" s="4377" t="s">
        <v>1860</v>
      </c>
      <c r="L450" s="4377" t="s">
        <v>1861</v>
      </c>
      <c r="M450" s="4392">
        <v>1</v>
      </c>
      <c r="N450" s="4392">
        <v>0</v>
      </c>
      <c r="O450" s="4392">
        <v>1</v>
      </c>
      <c r="P450" s="4377" t="s">
        <v>1862</v>
      </c>
      <c r="Q450" s="4377" t="s">
        <v>1863</v>
      </c>
      <c r="R450" s="4903" t="s">
        <v>6111</v>
      </c>
      <c r="S450" s="3310"/>
      <c r="T450" s="3270"/>
      <c r="U450" s="3272"/>
      <c r="V450" s="4068"/>
      <c r="W450" s="4071"/>
      <c r="X450" s="3632"/>
      <c r="Y450" s="3633"/>
      <c r="Z450" s="3633"/>
      <c r="AA450" s="3633"/>
      <c r="AB450" s="3634"/>
      <c r="AC450" s="3632"/>
      <c r="AD450" s="4120"/>
      <c r="AE450" s="4120"/>
      <c r="AF450" s="5217"/>
    </row>
    <row r="451" spans="1:32">
      <c r="A451" s="4564"/>
      <c r="B451" s="4570"/>
      <c r="C451" s="4545"/>
      <c r="D451" s="4514"/>
      <c r="E451" s="4514"/>
      <c r="F451" s="4514"/>
      <c r="G451" s="4514"/>
      <c r="H451" s="4514"/>
      <c r="I451" s="4514"/>
      <c r="J451" s="4514"/>
      <c r="K451" s="4514"/>
      <c r="L451" s="4514"/>
      <c r="M451" s="4901"/>
      <c r="N451" s="4901"/>
      <c r="O451" s="4901"/>
      <c r="P451" s="4514"/>
      <c r="Q451" s="4514"/>
      <c r="R451" s="4518"/>
      <c r="S451" s="3311"/>
      <c r="T451" s="1891"/>
      <c r="U451" s="1849"/>
      <c r="V451" s="1883"/>
      <c r="W451" s="1864"/>
      <c r="X451" s="3637"/>
      <c r="Y451" s="3214"/>
      <c r="Z451" s="3214"/>
      <c r="AA451" s="3214"/>
      <c r="AB451" s="3638"/>
      <c r="AC451" s="3637"/>
      <c r="AD451" s="3206"/>
      <c r="AE451" s="3206"/>
      <c r="AF451" s="5301"/>
    </row>
    <row r="452" spans="1:32">
      <c r="A452" s="4564"/>
      <c r="B452" s="4570"/>
      <c r="C452" s="4545"/>
      <c r="D452" s="4514"/>
      <c r="E452" s="4514"/>
      <c r="F452" s="4514"/>
      <c r="G452" s="4514"/>
      <c r="H452" s="4514"/>
      <c r="I452" s="4514"/>
      <c r="J452" s="4514"/>
      <c r="K452" s="4514"/>
      <c r="L452" s="4514"/>
      <c r="M452" s="4901"/>
      <c r="N452" s="4901"/>
      <c r="O452" s="4901"/>
      <c r="P452" s="4514"/>
      <c r="Q452" s="4514"/>
      <c r="R452" s="4518"/>
      <c r="S452" s="3311"/>
      <c r="T452" s="1891"/>
      <c r="U452" s="1849"/>
      <c r="V452" s="1883"/>
      <c r="W452" s="1864"/>
      <c r="X452" s="3637"/>
      <c r="Y452" s="3214"/>
      <c r="Z452" s="3214"/>
      <c r="AA452" s="3214"/>
      <c r="AB452" s="3638"/>
      <c r="AC452" s="3637"/>
      <c r="AD452" s="3206"/>
      <c r="AE452" s="3206"/>
      <c r="AF452" s="5301"/>
    </row>
    <row r="453" spans="1:32">
      <c r="A453" s="4564"/>
      <c r="B453" s="4570"/>
      <c r="C453" s="4545"/>
      <c r="D453" s="4514"/>
      <c r="E453" s="4514"/>
      <c r="F453" s="4514"/>
      <c r="G453" s="4514"/>
      <c r="H453" s="4514"/>
      <c r="I453" s="4514"/>
      <c r="J453" s="4514"/>
      <c r="K453" s="4514"/>
      <c r="L453" s="4514"/>
      <c r="M453" s="4901"/>
      <c r="N453" s="4901"/>
      <c r="O453" s="4901"/>
      <c r="P453" s="4514"/>
      <c r="Q453" s="4514"/>
      <c r="R453" s="4518"/>
      <c r="S453" s="3311"/>
      <c r="T453" s="1891"/>
      <c r="U453" s="1849"/>
      <c r="V453" s="1883"/>
      <c r="W453" s="1864"/>
      <c r="X453" s="3637"/>
      <c r="Y453" s="3214"/>
      <c r="Z453" s="3214"/>
      <c r="AA453" s="3214"/>
      <c r="AB453" s="3638"/>
      <c r="AC453" s="3637"/>
      <c r="AD453" s="3206"/>
      <c r="AE453" s="3206"/>
      <c r="AF453" s="5301"/>
    </row>
    <row r="454" spans="1:32" ht="33" customHeight="1">
      <c r="A454" s="4564"/>
      <c r="B454" s="4570"/>
      <c r="C454" s="4573"/>
      <c r="D454" s="4515"/>
      <c r="E454" s="4515"/>
      <c r="F454" s="4515"/>
      <c r="G454" s="4515"/>
      <c r="H454" s="4515"/>
      <c r="I454" s="4515"/>
      <c r="J454" s="4515"/>
      <c r="K454" s="4515"/>
      <c r="L454" s="4515"/>
      <c r="M454" s="5222"/>
      <c r="N454" s="5222"/>
      <c r="O454" s="5222"/>
      <c r="P454" s="4515"/>
      <c r="Q454" s="4515"/>
      <c r="R454" s="4519"/>
      <c r="S454" s="3312"/>
      <c r="T454" s="3819"/>
      <c r="U454" s="3268"/>
      <c r="V454" s="3641"/>
      <c r="W454" s="3233"/>
      <c r="X454" s="3642"/>
      <c r="Y454" s="3282"/>
      <c r="Z454" s="3282"/>
      <c r="AA454" s="3282"/>
      <c r="AB454" s="3643"/>
      <c r="AC454" s="3642"/>
      <c r="AD454" s="4117"/>
      <c r="AE454" s="4117"/>
      <c r="AF454" s="5303"/>
    </row>
    <row r="455" spans="1:32">
      <c r="A455" s="4564"/>
      <c r="B455" s="4570"/>
      <c r="C455" s="5236" t="s">
        <v>272</v>
      </c>
      <c r="D455" s="4395" t="s">
        <v>302</v>
      </c>
      <c r="E455" s="4395" t="s">
        <v>303</v>
      </c>
      <c r="F455" s="4395" t="s">
        <v>304</v>
      </c>
      <c r="G455" s="4930" t="s">
        <v>305</v>
      </c>
      <c r="H455" s="4395" t="s">
        <v>240</v>
      </c>
      <c r="I455" s="4395" t="s">
        <v>257</v>
      </c>
      <c r="J455" s="4395" t="s">
        <v>1864</v>
      </c>
      <c r="K455" s="4395" t="s">
        <v>1865</v>
      </c>
      <c r="L455" s="4395" t="s">
        <v>1866</v>
      </c>
      <c r="M455" s="4401">
        <v>0</v>
      </c>
      <c r="N455" s="4401">
        <v>1</v>
      </c>
      <c r="O455" s="4401">
        <v>1</v>
      </c>
      <c r="P455" s="4395" t="s">
        <v>1867</v>
      </c>
      <c r="Q455" s="4395" t="s">
        <v>1868</v>
      </c>
      <c r="R455" s="4897" t="s">
        <v>6111</v>
      </c>
      <c r="S455" s="3313"/>
      <c r="T455" s="3071"/>
      <c r="U455" s="3274"/>
      <c r="V455" s="4069"/>
      <c r="W455" s="4070"/>
      <c r="X455" s="4033"/>
      <c r="Y455" s="3295"/>
      <c r="Z455" s="3295"/>
      <c r="AA455" s="3295"/>
      <c r="AB455" s="4115"/>
      <c r="AC455" s="4033"/>
      <c r="AD455" s="4116"/>
      <c r="AE455" s="4116"/>
      <c r="AF455" s="5209"/>
    </row>
    <row r="456" spans="1:32">
      <c r="A456" s="4564"/>
      <c r="B456" s="4570"/>
      <c r="C456" s="4545"/>
      <c r="D456" s="4514"/>
      <c r="E456" s="4514"/>
      <c r="F456" s="4514"/>
      <c r="G456" s="4514"/>
      <c r="H456" s="4514"/>
      <c r="I456" s="4514"/>
      <c r="J456" s="4514"/>
      <c r="K456" s="4514"/>
      <c r="L456" s="4514"/>
      <c r="M456" s="4901"/>
      <c r="N456" s="4901"/>
      <c r="O456" s="4901"/>
      <c r="P456" s="4514"/>
      <c r="Q456" s="4514"/>
      <c r="R456" s="4518"/>
      <c r="S456" s="3311"/>
      <c r="T456" s="1891"/>
      <c r="U456" s="1849"/>
      <c r="V456" s="1883"/>
      <c r="W456" s="1864"/>
      <c r="X456" s="3637"/>
      <c r="Y456" s="3214"/>
      <c r="Z456" s="3214"/>
      <c r="AA456" s="3214"/>
      <c r="AB456" s="3638"/>
      <c r="AC456" s="3637"/>
      <c r="AD456" s="3206"/>
      <c r="AE456" s="3206"/>
      <c r="AF456" s="5301"/>
    </row>
    <row r="457" spans="1:32">
      <c r="A457" s="4564"/>
      <c r="B457" s="4570"/>
      <c r="C457" s="4545"/>
      <c r="D457" s="4514"/>
      <c r="E457" s="4514"/>
      <c r="F457" s="4514"/>
      <c r="G457" s="4514"/>
      <c r="H457" s="4514"/>
      <c r="I457" s="4514"/>
      <c r="J457" s="4514"/>
      <c r="K457" s="4514"/>
      <c r="L457" s="4514"/>
      <c r="M457" s="4901"/>
      <c r="N457" s="4901"/>
      <c r="O457" s="4901"/>
      <c r="P457" s="4514"/>
      <c r="Q457" s="4514"/>
      <c r="R457" s="4518"/>
      <c r="S457" s="3311"/>
      <c r="T457" s="1891"/>
      <c r="U457" s="1849"/>
      <c r="V457" s="1883"/>
      <c r="W457" s="1864"/>
      <c r="X457" s="3637"/>
      <c r="Y457" s="3214"/>
      <c r="Z457" s="3214"/>
      <c r="AA457" s="3214"/>
      <c r="AB457" s="3638"/>
      <c r="AC457" s="3637"/>
      <c r="AD457" s="3206"/>
      <c r="AE457" s="3206"/>
      <c r="AF457" s="5301"/>
    </row>
    <row r="458" spans="1:32">
      <c r="A458" s="4564"/>
      <c r="B458" s="4570"/>
      <c r="C458" s="4545"/>
      <c r="D458" s="4514"/>
      <c r="E458" s="4514"/>
      <c r="F458" s="4514"/>
      <c r="G458" s="4514"/>
      <c r="H458" s="4514"/>
      <c r="I458" s="4514"/>
      <c r="J458" s="4514"/>
      <c r="K458" s="4514"/>
      <c r="L458" s="4514"/>
      <c r="M458" s="4901"/>
      <c r="N458" s="4901"/>
      <c r="O458" s="4901"/>
      <c r="P458" s="4514"/>
      <c r="Q458" s="4514"/>
      <c r="R458" s="4518"/>
      <c r="S458" s="3311"/>
      <c r="T458" s="1891"/>
      <c r="U458" s="1849"/>
      <c r="V458" s="1883"/>
      <c r="W458" s="1864"/>
      <c r="X458" s="3637"/>
      <c r="Y458" s="3214"/>
      <c r="Z458" s="3214"/>
      <c r="AA458" s="3214"/>
      <c r="AB458" s="3638"/>
      <c r="AC458" s="3637"/>
      <c r="AD458" s="3206"/>
      <c r="AE458" s="3206"/>
      <c r="AF458" s="5301"/>
    </row>
    <row r="459" spans="1:32" ht="27" customHeight="1">
      <c r="A459" s="4564"/>
      <c r="B459" s="4570"/>
      <c r="C459" s="4566"/>
      <c r="D459" s="4525"/>
      <c r="E459" s="4525"/>
      <c r="F459" s="4525"/>
      <c r="G459" s="4525"/>
      <c r="H459" s="4525"/>
      <c r="I459" s="4525"/>
      <c r="J459" s="4525"/>
      <c r="K459" s="4525"/>
      <c r="L459" s="4525"/>
      <c r="M459" s="4902"/>
      <c r="N459" s="4902"/>
      <c r="O459" s="4902"/>
      <c r="P459" s="4525"/>
      <c r="Q459" s="4525"/>
      <c r="R459" s="4528"/>
      <c r="S459" s="3314"/>
      <c r="T459" s="3821"/>
      <c r="U459" s="3271"/>
      <c r="V459" s="3822"/>
      <c r="W459" s="3254"/>
      <c r="X459" s="4037"/>
      <c r="Y459" s="3291"/>
      <c r="Z459" s="3291"/>
      <c r="AA459" s="3291"/>
      <c r="AB459" s="4118"/>
      <c r="AC459" s="4037"/>
      <c r="AD459" s="4119"/>
      <c r="AE459" s="4119"/>
      <c r="AF459" s="5302"/>
    </row>
    <row r="460" spans="1:32">
      <c r="A460" s="4564"/>
      <c r="B460" s="4570"/>
      <c r="C460" s="5239" t="s">
        <v>272</v>
      </c>
      <c r="D460" s="4377" t="s">
        <v>302</v>
      </c>
      <c r="E460" s="4377" t="s">
        <v>303</v>
      </c>
      <c r="F460" s="4377" t="s">
        <v>304</v>
      </c>
      <c r="G460" s="4906" t="s">
        <v>305</v>
      </c>
      <c r="H460" s="4377" t="s">
        <v>240</v>
      </c>
      <c r="I460" s="4377" t="s">
        <v>241</v>
      </c>
      <c r="J460" s="4377" t="s">
        <v>1869</v>
      </c>
      <c r="K460" s="4377" t="s">
        <v>1870</v>
      </c>
      <c r="L460" s="4377" t="s">
        <v>1871</v>
      </c>
      <c r="M460" s="4392">
        <v>0</v>
      </c>
      <c r="N460" s="4392">
        <v>1</v>
      </c>
      <c r="O460" s="4392">
        <v>1</v>
      </c>
      <c r="P460" s="4377" t="s">
        <v>1872</v>
      </c>
      <c r="Q460" s="4377" t="s">
        <v>1873</v>
      </c>
      <c r="R460" s="4903" t="s">
        <v>6111</v>
      </c>
      <c r="S460" s="3310"/>
      <c r="T460" s="3270"/>
      <c r="U460" s="3272"/>
      <c r="V460" s="4068"/>
      <c r="W460" s="4071"/>
      <c r="X460" s="3632"/>
      <c r="Y460" s="3633"/>
      <c r="Z460" s="3633"/>
      <c r="AA460" s="3633"/>
      <c r="AB460" s="3634"/>
      <c r="AC460" s="3632"/>
      <c r="AD460" s="4120"/>
      <c r="AE460" s="4120"/>
      <c r="AF460" s="5217"/>
    </row>
    <row r="461" spans="1:32">
      <c r="A461" s="4564"/>
      <c r="B461" s="4570"/>
      <c r="C461" s="4545"/>
      <c r="D461" s="4514"/>
      <c r="E461" s="4514"/>
      <c r="F461" s="4514"/>
      <c r="G461" s="4514"/>
      <c r="H461" s="4514"/>
      <c r="I461" s="4514"/>
      <c r="J461" s="4514"/>
      <c r="K461" s="4514"/>
      <c r="L461" s="4514"/>
      <c r="M461" s="4901"/>
      <c r="N461" s="4901"/>
      <c r="O461" s="4901"/>
      <c r="P461" s="4514"/>
      <c r="Q461" s="4514"/>
      <c r="R461" s="4518"/>
      <c r="S461" s="3311"/>
      <c r="T461" s="1891"/>
      <c r="U461" s="1849"/>
      <c r="V461" s="1883"/>
      <c r="W461" s="1864"/>
      <c r="X461" s="3637"/>
      <c r="Y461" s="3214"/>
      <c r="Z461" s="3214"/>
      <c r="AA461" s="3214"/>
      <c r="AB461" s="3638"/>
      <c r="AC461" s="3637"/>
      <c r="AD461" s="3206"/>
      <c r="AE461" s="3206"/>
      <c r="AF461" s="5301"/>
    </row>
    <row r="462" spans="1:32">
      <c r="A462" s="4564"/>
      <c r="B462" s="4570"/>
      <c r="C462" s="4545"/>
      <c r="D462" s="4514"/>
      <c r="E462" s="4514"/>
      <c r="F462" s="4514"/>
      <c r="G462" s="4514"/>
      <c r="H462" s="4514"/>
      <c r="I462" s="4514"/>
      <c r="J462" s="4514"/>
      <c r="K462" s="4514"/>
      <c r="L462" s="4514"/>
      <c r="M462" s="4901"/>
      <c r="N462" s="4901"/>
      <c r="O462" s="4901"/>
      <c r="P462" s="4514"/>
      <c r="Q462" s="4514"/>
      <c r="R462" s="4518"/>
      <c r="S462" s="3311"/>
      <c r="T462" s="1891"/>
      <c r="U462" s="1849"/>
      <c r="V462" s="1883"/>
      <c r="W462" s="1864"/>
      <c r="X462" s="3637"/>
      <c r="Y462" s="3214"/>
      <c r="Z462" s="3214"/>
      <c r="AA462" s="3214"/>
      <c r="AB462" s="3638"/>
      <c r="AC462" s="3637"/>
      <c r="AD462" s="3206"/>
      <c r="AE462" s="3206"/>
      <c r="AF462" s="5301"/>
    </row>
    <row r="463" spans="1:32">
      <c r="A463" s="4564"/>
      <c r="B463" s="4570"/>
      <c r="C463" s="4545"/>
      <c r="D463" s="4514"/>
      <c r="E463" s="4514"/>
      <c r="F463" s="4514"/>
      <c r="G463" s="4514"/>
      <c r="H463" s="4514"/>
      <c r="I463" s="4514"/>
      <c r="J463" s="4514"/>
      <c r="K463" s="4514"/>
      <c r="L463" s="4514"/>
      <c r="M463" s="4901"/>
      <c r="N463" s="4901"/>
      <c r="O463" s="4901"/>
      <c r="P463" s="4514"/>
      <c r="Q463" s="4514"/>
      <c r="R463" s="4518"/>
      <c r="S463" s="3311"/>
      <c r="T463" s="1891"/>
      <c r="U463" s="1849"/>
      <c r="V463" s="1883"/>
      <c r="W463" s="1864"/>
      <c r="X463" s="3637"/>
      <c r="Y463" s="3214"/>
      <c r="Z463" s="3214"/>
      <c r="AA463" s="3214"/>
      <c r="AB463" s="3638"/>
      <c r="AC463" s="3637"/>
      <c r="AD463" s="3206"/>
      <c r="AE463" s="3206"/>
      <c r="AF463" s="5301"/>
    </row>
    <row r="464" spans="1:32" ht="27.75" customHeight="1">
      <c r="A464" s="4564"/>
      <c r="B464" s="4570"/>
      <c r="C464" s="4573"/>
      <c r="D464" s="4515"/>
      <c r="E464" s="4515"/>
      <c r="F464" s="4515"/>
      <c r="G464" s="4515"/>
      <c r="H464" s="4515"/>
      <c r="I464" s="4515"/>
      <c r="J464" s="4515"/>
      <c r="K464" s="4515"/>
      <c r="L464" s="4515"/>
      <c r="M464" s="5222"/>
      <c r="N464" s="5222"/>
      <c r="O464" s="5222"/>
      <c r="P464" s="4515"/>
      <c r="Q464" s="4515"/>
      <c r="R464" s="4519"/>
      <c r="S464" s="3312"/>
      <c r="T464" s="3819"/>
      <c r="U464" s="3268"/>
      <c r="V464" s="3641"/>
      <c r="W464" s="3233"/>
      <c r="X464" s="3642"/>
      <c r="Y464" s="3282"/>
      <c r="Z464" s="3282"/>
      <c r="AA464" s="3282"/>
      <c r="AB464" s="3643"/>
      <c r="AC464" s="3642"/>
      <c r="AD464" s="4117"/>
      <c r="AE464" s="4117"/>
      <c r="AF464" s="5303"/>
    </row>
    <row r="465" spans="1:32" ht="20.25" customHeight="1">
      <c r="A465" s="4564"/>
      <c r="B465" s="4570"/>
      <c r="C465" s="5236" t="s">
        <v>272</v>
      </c>
      <c r="D465" s="4395" t="s">
        <v>302</v>
      </c>
      <c r="E465" s="4395" t="s">
        <v>388</v>
      </c>
      <c r="F465" s="4395" t="s">
        <v>847</v>
      </c>
      <c r="G465" s="4930" t="s">
        <v>305</v>
      </c>
      <c r="H465" s="4395" t="s">
        <v>306</v>
      </c>
      <c r="I465" s="4395" t="s">
        <v>257</v>
      </c>
      <c r="J465" s="4395" t="s">
        <v>1874</v>
      </c>
      <c r="K465" s="4395" t="s">
        <v>1875</v>
      </c>
      <c r="L465" s="4395" t="s">
        <v>1876</v>
      </c>
      <c r="M465" s="4401">
        <v>0</v>
      </c>
      <c r="N465" s="4401">
        <v>0</v>
      </c>
      <c r="O465" s="4401">
        <v>1</v>
      </c>
      <c r="P465" s="4395" t="s">
        <v>1877</v>
      </c>
      <c r="Q465" s="4395" t="s">
        <v>500</v>
      </c>
      <c r="R465" s="4897" t="s">
        <v>6113</v>
      </c>
      <c r="S465" s="3313"/>
      <c r="T465" s="3071"/>
      <c r="U465" s="3274"/>
      <c r="V465" s="4069"/>
      <c r="W465" s="4070"/>
      <c r="X465" s="4033"/>
      <c r="Y465" s="3295"/>
      <c r="Z465" s="3295"/>
      <c r="AA465" s="3295"/>
      <c r="AB465" s="4115"/>
      <c r="AC465" s="4033"/>
      <c r="AD465" s="4116"/>
      <c r="AE465" s="4116"/>
      <c r="AF465" s="5209"/>
    </row>
    <row r="466" spans="1:32" ht="20.25" customHeight="1">
      <c r="A466" s="4564"/>
      <c r="B466" s="4570"/>
      <c r="C466" s="4545"/>
      <c r="D466" s="4514"/>
      <c r="E466" s="4514"/>
      <c r="F466" s="4514"/>
      <c r="G466" s="4514"/>
      <c r="H466" s="4514"/>
      <c r="I466" s="4514"/>
      <c r="J466" s="4514"/>
      <c r="K466" s="4514"/>
      <c r="L466" s="4514"/>
      <c r="M466" s="4901"/>
      <c r="N466" s="4901"/>
      <c r="O466" s="4901"/>
      <c r="P466" s="4514"/>
      <c r="Q466" s="4514"/>
      <c r="R466" s="4518"/>
      <c r="S466" s="3311"/>
      <c r="T466" s="1891"/>
      <c r="U466" s="1849"/>
      <c r="V466" s="1883"/>
      <c r="W466" s="1864"/>
      <c r="X466" s="3637"/>
      <c r="Y466" s="3214"/>
      <c r="Z466" s="3214"/>
      <c r="AA466" s="3214"/>
      <c r="AB466" s="3638"/>
      <c r="AC466" s="3637"/>
      <c r="AD466" s="3206"/>
      <c r="AE466" s="3206"/>
      <c r="AF466" s="5301"/>
    </row>
    <row r="467" spans="1:32" ht="20.25" customHeight="1">
      <c r="A467" s="4564"/>
      <c r="B467" s="4570"/>
      <c r="C467" s="4545"/>
      <c r="D467" s="4514"/>
      <c r="E467" s="4514"/>
      <c r="F467" s="4514"/>
      <c r="G467" s="4514"/>
      <c r="H467" s="4514"/>
      <c r="I467" s="4514"/>
      <c r="J467" s="4514"/>
      <c r="K467" s="4514"/>
      <c r="L467" s="4514"/>
      <c r="M467" s="4901"/>
      <c r="N467" s="4901"/>
      <c r="O467" s="4901"/>
      <c r="P467" s="4514"/>
      <c r="Q467" s="4514"/>
      <c r="R467" s="4518"/>
      <c r="S467" s="3311"/>
      <c r="T467" s="1891"/>
      <c r="U467" s="1849"/>
      <c r="V467" s="1883"/>
      <c r="W467" s="1864"/>
      <c r="X467" s="3637"/>
      <c r="Y467" s="3214"/>
      <c r="Z467" s="3214"/>
      <c r="AA467" s="3214"/>
      <c r="AB467" s="3638"/>
      <c r="AC467" s="3637"/>
      <c r="AD467" s="3206"/>
      <c r="AE467" s="3206"/>
      <c r="AF467" s="5301"/>
    </row>
    <row r="468" spans="1:32" ht="20.25" customHeight="1">
      <c r="A468" s="4564"/>
      <c r="B468" s="4570"/>
      <c r="C468" s="4545"/>
      <c r="D468" s="4514"/>
      <c r="E468" s="4514"/>
      <c r="F468" s="4514"/>
      <c r="G468" s="4514"/>
      <c r="H468" s="4514"/>
      <c r="I468" s="4514"/>
      <c r="J468" s="4514"/>
      <c r="K468" s="4514"/>
      <c r="L468" s="4514"/>
      <c r="M468" s="4901"/>
      <c r="N468" s="4901"/>
      <c r="O468" s="4901"/>
      <c r="P468" s="4514"/>
      <c r="Q468" s="4514"/>
      <c r="R468" s="4518"/>
      <c r="S468" s="3311"/>
      <c r="T468" s="1891"/>
      <c r="U468" s="1849"/>
      <c r="V468" s="1883"/>
      <c r="W468" s="1864"/>
      <c r="X468" s="3637"/>
      <c r="Y468" s="3214"/>
      <c r="Z468" s="3214"/>
      <c r="AA468" s="3214"/>
      <c r="AB468" s="3638"/>
      <c r="AC468" s="3637"/>
      <c r="AD468" s="3206"/>
      <c r="AE468" s="3206"/>
      <c r="AF468" s="5301"/>
    </row>
    <row r="469" spans="1:32" ht="20.25" customHeight="1">
      <c r="A469" s="4564"/>
      <c r="B469" s="4570"/>
      <c r="C469" s="4566"/>
      <c r="D469" s="4525"/>
      <c r="E469" s="4525"/>
      <c r="F469" s="4525"/>
      <c r="G469" s="4525"/>
      <c r="H469" s="4525"/>
      <c r="I469" s="4525"/>
      <c r="J469" s="4525"/>
      <c r="K469" s="4525"/>
      <c r="L469" s="4525"/>
      <c r="M469" s="4902"/>
      <c r="N469" s="4902"/>
      <c r="O469" s="4902"/>
      <c r="P469" s="4525"/>
      <c r="Q469" s="4525"/>
      <c r="R469" s="4528"/>
      <c r="S469" s="3314"/>
      <c r="T469" s="3821"/>
      <c r="U469" s="3271"/>
      <c r="V469" s="3822"/>
      <c r="W469" s="3254"/>
      <c r="X469" s="4037"/>
      <c r="Y469" s="3291"/>
      <c r="Z469" s="3291"/>
      <c r="AA469" s="3291"/>
      <c r="AB469" s="4118"/>
      <c r="AC469" s="4037"/>
      <c r="AD469" s="4119"/>
      <c r="AE469" s="4119"/>
      <c r="AF469" s="5302"/>
    </row>
    <row r="470" spans="1:32">
      <c r="A470" s="4564"/>
      <c r="B470" s="4570"/>
      <c r="C470" s="5239" t="s">
        <v>272</v>
      </c>
      <c r="D470" s="4377" t="s">
        <v>302</v>
      </c>
      <c r="E470" s="4377" t="s">
        <v>303</v>
      </c>
      <c r="F470" s="4377" t="s">
        <v>304</v>
      </c>
      <c r="G470" s="4906" t="s">
        <v>305</v>
      </c>
      <c r="H470" s="4377" t="s">
        <v>240</v>
      </c>
      <c r="I470" s="4377" t="s">
        <v>241</v>
      </c>
      <c r="J470" s="4377" t="s">
        <v>1878</v>
      </c>
      <c r="K470" s="4377" t="s">
        <v>1879</v>
      </c>
      <c r="L470" s="4377" t="s">
        <v>1880</v>
      </c>
      <c r="M470" s="4392">
        <v>20</v>
      </c>
      <c r="N470" s="4392">
        <v>20</v>
      </c>
      <c r="O470" s="4392">
        <v>20</v>
      </c>
      <c r="P470" s="4377" t="s">
        <v>1881</v>
      </c>
      <c r="Q470" s="4377" t="s">
        <v>1882</v>
      </c>
      <c r="R470" s="4903" t="s">
        <v>6114</v>
      </c>
      <c r="S470" s="3310"/>
      <c r="T470" s="3270"/>
      <c r="U470" s="3272"/>
      <c r="V470" s="4068"/>
      <c r="W470" s="4071"/>
      <c r="X470" s="3632"/>
      <c r="Y470" s="3633"/>
      <c r="Z470" s="3633"/>
      <c r="AA470" s="3633"/>
      <c r="AB470" s="3634"/>
      <c r="AC470" s="3632"/>
      <c r="AD470" s="4120"/>
      <c r="AE470" s="4120"/>
      <c r="AF470" s="5217"/>
    </row>
    <row r="471" spans="1:32">
      <c r="A471" s="4564"/>
      <c r="B471" s="4570"/>
      <c r="C471" s="4545"/>
      <c r="D471" s="4514"/>
      <c r="E471" s="4514"/>
      <c r="F471" s="4514"/>
      <c r="G471" s="4514"/>
      <c r="H471" s="4514"/>
      <c r="I471" s="4514"/>
      <c r="J471" s="4514"/>
      <c r="K471" s="4514"/>
      <c r="L471" s="4514"/>
      <c r="M471" s="4901"/>
      <c r="N471" s="4901"/>
      <c r="O471" s="4901"/>
      <c r="P471" s="4514"/>
      <c r="Q471" s="4514"/>
      <c r="R471" s="4518"/>
      <c r="S471" s="3311"/>
      <c r="T471" s="1891"/>
      <c r="U471" s="1849"/>
      <c r="V471" s="1883"/>
      <c r="W471" s="1864"/>
      <c r="X471" s="3637"/>
      <c r="Y471" s="3214"/>
      <c r="Z471" s="3214"/>
      <c r="AA471" s="3214"/>
      <c r="AB471" s="3638"/>
      <c r="AC471" s="3637"/>
      <c r="AD471" s="3206"/>
      <c r="AE471" s="3206"/>
      <c r="AF471" s="5301"/>
    </row>
    <row r="472" spans="1:32">
      <c r="A472" s="4564"/>
      <c r="B472" s="4570"/>
      <c r="C472" s="4545"/>
      <c r="D472" s="4514"/>
      <c r="E472" s="4514"/>
      <c r="F472" s="4514"/>
      <c r="G472" s="4514"/>
      <c r="H472" s="4514"/>
      <c r="I472" s="4514"/>
      <c r="J472" s="4514"/>
      <c r="K472" s="4514"/>
      <c r="L472" s="4514"/>
      <c r="M472" s="4901"/>
      <c r="N472" s="4901"/>
      <c r="O472" s="4901"/>
      <c r="P472" s="4514"/>
      <c r="Q472" s="4514"/>
      <c r="R472" s="4518"/>
      <c r="S472" s="3311"/>
      <c r="T472" s="1891"/>
      <c r="U472" s="1849"/>
      <c r="V472" s="1883"/>
      <c r="W472" s="1864"/>
      <c r="X472" s="3637"/>
      <c r="Y472" s="3214"/>
      <c r="Z472" s="3214"/>
      <c r="AA472" s="3214"/>
      <c r="AB472" s="3638"/>
      <c r="AC472" s="3637"/>
      <c r="AD472" s="3206"/>
      <c r="AE472" s="3206"/>
      <c r="AF472" s="5301"/>
    </row>
    <row r="473" spans="1:32">
      <c r="A473" s="4564"/>
      <c r="B473" s="4570"/>
      <c r="C473" s="4545"/>
      <c r="D473" s="4514"/>
      <c r="E473" s="4514"/>
      <c r="F473" s="4514"/>
      <c r="G473" s="4514"/>
      <c r="H473" s="4514"/>
      <c r="I473" s="4514"/>
      <c r="J473" s="4514"/>
      <c r="K473" s="4514"/>
      <c r="L473" s="4514"/>
      <c r="M473" s="4901"/>
      <c r="N473" s="4901"/>
      <c r="O473" s="4901"/>
      <c r="P473" s="4514"/>
      <c r="Q473" s="4514"/>
      <c r="R473" s="4518"/>
      <c r="S473" s="3311"/>
      <c r="T473" s="1891"/>
      <c r="U473" s="1849"/>
      <c r="V473" s="1883"/>
      <c r="W473" s="1864"/>
      <c r="X473" s="3637"/>
      <c r="Y473" s="3214"/>
      <c r="Z473" s="3214"/>
      <c r="AA473" s="3214"/>
      <c r="AB473" s="3638"/>
      <c r="AC473" s="3637"/>
      <c r="AD473" s="3206"/>
      <c r="AE473" s="3206"/>
      <c r="AF473" s="5301"/>
    </row>
    <row r="474" spans="1:32" ht="30" customHeight="1">
      <c r="A474" s="4564"/>
      <c r="B474" s="4570"/>
      <c r="C474" s="4573"/>
      <c r="D474" s="4515"/>
      <c r="E474" s="4515"/>
      <c r="F474" s="4515"/>
      <c r="G474" s="4515"/>
      <c r="H474" s="4515"/>
      <c r="I474" s="4515"/>
      <c r="J474" s="4515"/>
      <c r="K474" s="4515"/>
      <c r="L474" s="4515"/>
      <c r="M474" s="5222"/>
      <c r="N474" s="5222"/>
      <c r="O474" s="5222"/>
      <c r="P474" s="4515"/>
      <c r="Q474" s="4515"/>
      <c r="R474" s="4519"/>
      <c r="S474" s="3312"/>
      <c r="T474" s="3819"/>
      <c r="U474" s="3268"/>
      <c r="V474" s="3641"/>
      <c r="W474" s="3233"/>
      <c r="X474" s="3642"/>
      <c r="Y474" s="3282"/>
      <c r="Z474" s="3282"/>
      <c r="AA474" s="3282"/>
      <c r="AB474" s="3643"/>
      <c r="AC474" s="3642"/>
      <c r="AD474" s="4117"/>
      <c r="AE474" s="4117"/>
      <c r="AF474" s="5303"/>
    </row>
    <row r="475" spans="1:32">
      <c r="A475" s="4564"/>
      <c r="B475" s="4570"/>
      <c r="C475" s="5236" t="s">
        <v>272</v>
      </c>
      <c r="D475" s="4395" t="s">
        <v>302</v>
      </c>
      <c r="E475" s="4395" t="s">
        <v>303</v>
      </c>
      <c r="F475" s="4395" t="s">
        <v>304</v>
      </c>
      <c r="G475" s="4930" t="s">
        <v>305</v>
      </c>
      <c r="H475" s="4395" t="s">
        <v>240</v>
      </c>
      <c r="I475" s="4395" t="s">
        <v>257</v>
      </c>
      <c r="J475" s="4395" t="s">
        <v>1883</v>
      </c>
      <c r="K475" s="4395" t="s">
        <v>1884</v>
      </c>
      <c r="L475" s="4395" t="s">
        <v>1885</v>
      </c>
      <c r="M475" s="4401">
        <v>1</v>
      </c>
      <c r="N475" s="4401">
        <v>1</v>
      </c>
      <c r="O475" s="4401">
        <v>1</v>
      </c>
      <c r="P475" s="4395" t="s">
        <v>1886</v>
      </c>
      <c r="Q475" s="4395" t="s">
        <v>1886</v>
      </c>
      <c r="R475" s="4897" t="s">
        <v>6114</v>
      </c>
      <c r="S475" s="3313"/>
      <c r="T475" s="3071"/>
      <c r="U475" s="3274"/>
      <c r="V475" s="4069"/>
      <c r="W475" s="4070"/>
      <c r="X475" s="4033"/>
      <c r="Y475" s="3295"/>
      <c r="Z475" s="3295"/>
      <c r="AA475" s="3295"/>
      <c r="AB475" s="4115"/>
      <c r="AC475" s="4033"/>
      <c r="AD475" s="4116"/>
      <c r="AE475" s="4116"/>
      <c r="AF475" s="5209"/>
    </row>
    <row r="476" spans="1:32">
      <c r="A476" s="4564"/>
      <c r="B476" s="4570"/>
      <c r="C476" s="4545"/>
      <c r="D476" s="4514"/>
      <c r="E476" s="4514"/>
      <c r="F476" s="4514"/>
      <c r="G476" s="4514"/>
      <c r="H476" s="4514"/>
      <c r="I476" s="4514"/>
      <c r="J476" s="4514"/>
      <c r="K476" s="4514"/>
      <c r="L476" s="4514"/>
      <c r="M476" s="4901"/>
      <c r="N476" s="4901"/>
      <c r="O476" s="4901"/>
      <c r="P476" s="4514"/>
      <c r="Q476" s="4514"/>
      <c r="R476" s="4518"/>
      <c r="S476" s="3311"/>
      <c r="T476" s="1891"/>
      <c r="U476" s="1849"/>
      <c r="V476" s="1883"/>
      <c r="W476" s="1864"/>
      <c r="X476" s="3637"/>
      <c r="Y476" s="3214"/>
      <c r="Z476" s="3214"/>
      <c r="AA476" s="3214"/>
      <c r="AB476" s="3638"/>
      <c r="AC476" s="3637"/>
      <c r="AD476" s="3206"/>
      <c r="AE476" s="3206"/>
      <c r="AF476" s="5301"/>
    </row>
    <row r="477" spans="1:32">
      <c r="A477" s="4564"/>
      <c r="B477" s="4570"/>
      <c r="C477" s="4545"/>
      <c r="D477" s="4514"/>
      <c r="E477" s="4514"/>
      <c r="F477" s="4514"/>
      <c r="G477" s="4514"/>
      <c r="H477" s="4514"/>
      <c r="I477" s="4514"/>
      <c r="J477" s="4514"/>
      <c r="K477" s="4514"/>
      <c r="L477" s="4514"/>
      <c r="M477" s="4901"/>
      <c r="N477" s="4901"/>
      <c r="O477" s="4901"/>
      <c r="P477" s="4514"/>
      <c r="Q477" s="4514"/>
      <c r="R477" s="4518"/>
      <c r="S477" s="3311"/>
      <c r="T477" s="1891"/>
      <c r="U477" s="1849"/>
      <c r="V477" s="1883"/>
      <c r="W477" s="1864"/>
      <c r="X477" s="3637"/>
      <c r="Y477" s="3214"/>
      <c r="Z477" s="3214"/>
      <c r="AA477" s="3214"/>
      <c r="AB477" s="3638"/>
      <c r="AC477" s="3637"/>
      <c r="AD477" s="3206"/>
      <c r="AE477" s="3206"/>
      <c r="AF477" s="5301"/>
    </row>
    <row r="478" spans="1:32">
      <c r="A478" s="4564"/>
      <c r="B478" s="4570"/>
      <c r="C478" s="4545"/>
      <c r="D478" s="4514"/>
      <c r="E478" s="4514"/>
      <c r="F478" s="4514"/>
      <c r="G478" s="4514"/>
      <c r="H478" s="4514"/>
      <c r="I478" s="4514"/>
      <c r="J478" s="4514"/>
      <c r="K478" s="4514"/>
      <c r="L478" s="4514"/>
      <c r="M478" s="4901"/>
      <c r="N478" s="4901"/>
      <c r="O478" s="4901"/>
      <c r="P478" s="4514"/>
      <c r="Q478" s="4514"/>
      <c r="R478" s="4518"/>
      <c r="S478" s="3311"/>
      <c r="T478" s="1891"/>
      <c r="U478" s="1849"/>
      <c r="V478" s="1883"/>
      <c r="W478" s="1864"/>
      <c r="X478" s="3637"/>
      <c r="Y478" s="3214"/>
      <c r="Z478" s="3214"/>
      <c r="AA478" s="3214"/>
      <c r="AB478" s="3638"/>
      <c r="AC478" s="3637"/>
      <c r="AD478" s="3206"/>
      <c r="AE478" s="3206"/>
      <c r="AF478" s="5301"/>
    </row>
    <row r="479" spans="1:32" ht="29.25" customHeight="1" thickBot="1">
      <c r="A479" s="4564"/>
      <c r="B479" s="4570"/>
      <c r="C479" s="5287"/>
      <c r="D479" s="5285"/>
      <c r="E479" s="5285"/>
      <c r="F479" s="5285"/>
      <c r="G479" s="5285"/>
      <c r="H479" s="5285"/>
      <c r="I479" s="5285"/>
      <c r="J479" s="5285"/>
      <c r="K479" s="5285"/>
      <c r="L479" s="5285"/>
      <c r="M479" s="5294"/>
      <c r="N479" s="5294"/>
      <c r="O479" s="5294"/>
      <c r="P479" s="5285"/>
      <c r="Q479" s="5285"/>
      <c r="R479" s="5295"/>
      <c r="S479" s="4136"/>
      <c r="T479" s="4105"/>
      <c r="U479" s="4106"/>
      <c r="V479" s="4107"/>
      <c r="W479" s="4108"/>
      <c r="X479" s="4109"/>
      <c r="Y479" s="4110"/>
      <c r="Z479" s="4110"/>
      <c r="AA479" s="4110"/>
      <c r="AB479" s="4111"/>
      <c r="AC479" s="4109"/>
      <c r="AD479" s="4112"/>
      <c r="AE479" s="4112"/>
      <c r="AF479" s="5304"/>
    </row>
    <row r="480" spans="1:32" ht="31.5" customHeight="1" thickBot="1">
      <c r="A480" s="4564"/>
      <c r="B480" s="4479"/>
      <c r="C480" s="5323"/>
      <c r="D480" s="4807"/>
      <c r="E480" s="4807"/>
      <c r="F480" s="4807"/>
      <c r="G480" s="4807"/>
      <c r="H480" s="4807"/>
      <c r="I480" s="4807"/>
      <c r="J480" s="4807"/>
      <c r="K480" s="4807"/>
      <c r="L480" s="4807"/>
      <c r="M480" s="4807"/>
      <c r="N480" s="4807"/>
      <c r="O480" s="4807"/>
      <c r="P480" s="4807"/>
      <c r="Q480" s="4807"/>
      <c r="R480" s="4807"/>
      <c r="S480" s="4138" t="s">
        <v>1887</v>
      </c>
      <c r="T480" s="4073"/>
      <c r="U480" s="4073"/>
      <c r="V480" s="4073"/>
      <c r="W480" s="4074"/>
      <c r="X480" s="4075"/>
      <c r="Y480" s="4076"/>
      <c r="Z480" s="4143"/>
      <c r="AA480" s="4144" t="s">
        <v>340</v>
      </c>
      <c r="AB480" s="4146">
        <f>SUM(AB405:AB479)</f>
        <v>0</v>
      </c>
      <c r="AC480" s="4145"/>
      <c r="AD480" s="4075"/>
      <c r="AE480" s="4075"/>
      <c r="AF480" s="4080"/>
    </row>
    <row r="481" spans="1:32" ht="22.5" customHeight="1">
      <c r="A481" s="4564"/>
      <c r="B481" s="4571" t="s">
        <v>1888</v>
      </c>
      <c r="C481" s="5288" t="s">
        <v>272</v>
      </c>
      <c r="D481" s="4421" t="s">
        <v>236</v>
      </c>
      <c r="E481" s="4421" t="s">
        <v>244</v>
      </c>
      <c r="F481" s="4421" t="s">
        <v>337</v>
      </c>
      <c r="G481" s="5286" t="s">
        <v>239</v>
      </c>
      <c r="H481" s="4421" t="s">
        <v>240</v>
      </c>
      <c r="I481" s="4421" t="s">
        <v>257</v>
      </c>
      <c r="J481" s="4421" t="s">
        <v>6021</v>
      </c>
      <c r="K481" s="4421" t="s">
        <v>1821</v>
      </c>
      <c r="L481" s="4421" t="s">
        <v>1822</v>
      </c>
      <c r="M481" s="4426">
        <v>2</v>
      </c>
      <c r="N481" s="4426">
        <v>3</v>
      </c>
      <c r="O481" s="4426">
        <v>3</v>
      </c>
      <c r="P481" s="4421" t="s">
        <v>1823</v>
      </c>
      <c r="Q481" s="4421" t="s">
        <v>1824</v>
      </c>
      <c r="R481" s="5290" t="s">
        <v>6115</v>
      </c>
      <c r="S481" s="4135"/>
      <c r="T481" s="3853"/>
      <c r="U481" s="3874"/>
      <c r="V481" s="3854"/>
      <c r="W481" s="3855"/>
      <c r="X481" s="4091"/>
      <c r="Y481" s="4092"/>
      <c r="Z481" s="4092"/>
      <c r="AA481" s="4092"/>
      <c r="AB481" s="4093"/>
      <c r="AC481" s="4091"/>
      <c r="AD481" s="4094"/>
      <c r="AE481" s="4094"/>
      <c r="AF481" s="5321"/>
    </row>
    <row r="482" spans="1:32" ht="22.5" customHeight="1">
      <c r="A482" s="4564"/>
      <c r="B482" s="4570"/>
      <c r="C482" s="4545"/>
      <c r="D482" s="4514"/>
      <c r="E482" s="4514"/>
      <c r="F482" s="4514"/>
      <c r="G482" s="4514"/>
      <c r="H482" s="4514"/>
      <c r="I482" s="4514"/>
      <c r="J482" s="4514"/>
      <c r="K482" s="4514"/>
      <c r="L482" s="4514"/>
      <c r="M482" s="4901"/>
      <c r="N482" s="4901"/>
      <c r="O482" s="4901"/>
      <c r="P482" s="4514"/>
      <c r="Q482" s="4514"/>
      <c r="R482" s="4518"/>
      <c r="S482" s="3311"/>
      <c r="T482" s="1891"/>
      <c r="U482" s="1849"/>
      <c r="V482" s="1883"/>
      <c r="W482" s="1864"/>
      <c r="X482" s="3637"/>
      <c r="Y482" s="3214"/>
      <c r="Z482" s="3214"/>
      <c r="AA482" s="3214"/>
      <c r="AB482" s="3638"/>
      <c r="AC482" s="3637"/>
      <c r="AD482" s="3206"/>
      <c r="AE482" s="3206"/>
      <c r="AF482" s="5301"/>
    </row>
    <row r="483" spans="1:32" ht="22.5" customHeight="1">
      <c r="A483" s="4564"/>
      <c r="B483" s="4570"/>
      <c r="C483" s="4545"/>
      <c r="D483" s="4514"/>
      <c r="E483" s="4514"/>
      <c r="F483" s="4514"/>
      <c r="G483" s="4514"/>
      <c r="H483" s="4514"/>
      <c r="I483" s="4514"/>
      <c r="J483" s="4514"/>
      <c r="K483" s="4514"/>
      <c r="L483" s="4514"/>
      <c r="M483" s="4901"/>
      <c r="N483" s="4901"/>
      <c r="O483" s="4901"/>
      <c r="P483" s="4514"/>
      <c r="Q483" s="4514"/>
      <c r="R483" s="4518"/>
      <c r="S483" s="3311"/>
      <c r="T483" s="1891"/>
      <c r="U483" s="1849"/>
      <c r="V483" s="1883"/>
      <c r="W483" s="1864"/>
      <c r="X483" s="3637"/>
      <c r="Y483" s="3214"/>
      <c r="Z483" s="3214"/>
      <c r="AA483" s="3214"/>
      <c r="AB483" s="3638"/>
      <c r="AC483" s="3637"/>
      <c r="AD483" s="3206"/>
      <c r="AE483" s="3206"/>
      <c r="AF483" s="5301"/>
    </row>
    <row r="484" spans="1:32" ht="22.5" customHeight="1">
      <c r="A484" s="4564"/>
      <c r="B484" s="4570"/>
      <c r="C484" s="4545"/>
      <c r="D484" s="4514"/>
      <c r="E484" s="4514"/>
      <c r="F484" s="4514"/>
      <c r="G484" s="4514"/>
      <c r="H484" s="4514"/>
      <c r="I484" s="4514"/>
      <c r="J484" s="4514"/>
      <c r="K484" s="4514"/>
      <c r="L484" s="4514"/>
      <c r="M484" s="4901"/>
      <c r="N484" s="4901"/>
      <c r="O484" s="4901"/>
      <c r="P484" s="4514"/>
      <c r="Q484" s="4514"/>
      <c r="R484" s="4518"/>
      <c r="S484" s="3311"/>
      <c r="T484" s="1891"/>
      <c r="U484" s="1849"/>
      <c r="V484" s="1883"/>
      <c r="W484" s="1864"/>
      <c r="X484" s="3637"/>
      <c r="Y484" s="3214"/>
      <c r="Z484" s="3214"/>
      <c r="AA484" s="3214"/>
      <c r="AB484" s="3638"/>
      <c r="AC484" s="3637"/>
      <c r="AD484" s="3206"/>
      <c r="AE484" s="3206"/>
      <c r="AF484" s="5301"/>
    </row>
    <row r="485" spans="1:32" ht="22.5" customHeight="1">
      <c r="A485" s="4564"/>
      <c r="B485" s="4570"/>
      <c r="C485" s="4566"/>
      <c r="D485" s="4525"/>
      <c r="E485" s="4525"/>
      <c r="F485" s="4525"/>
      <c r="G485" s="4525"/>
      <c r="H485" s="4525"/>
      <c r="I485" s="4525"/>
      <c r="J485" s="4525"/>
      <c r="K485" s="4525"/>
      <c r="L485" s="4525"/>
      <c r="M485" s="4902"/>
      <c r="N485" s="4902"/>
      <c r="O485" s="4902"/>
      <c r="P485" s="4525"/>
      <c r="Q485" s="4525"/>
      <c r="R485" s="4528"/>
      <c r="S485" s="3314"/>
      <c r="T485" s="3821"/>
      <c r="U485" s="3271"/>
      <c r="V485" s="3822"/>
      <c r="W485" s="3254"/>
      <c r="X485" s="4037"/>
      <c r="Y485" s="3291"/>
      <c r="Z485" s="3291"/>
      <c r="AA485" s="3291"/>
      <c r="AB485" s="4118"/>
      <c r="AC485" s="4037"/>
      <c r="AD485" s="4119"/>
      <c r="AE485" s="4119"/>
      <c r="AF485" s="5302"/>
    </row>
    <row r="486" spans="1:32">
      <c r="A486" s="4564"/>
      <c r="B486" s="4570"/>
      <c r="C486" s="5239" t="s">
        <v>272</v>
      </c>
      <c r="D486" s="4377" t="s">
        <v>302</v>
      </c>
      <c r="E486" s="4377" t="s">
        <v>303</v>
      </c>
      <c r="F486" s="4377" t="s">
        <v>304</v>
      </c>
      <c r="G486" s="4906" t="s">
        <v>305</v>
      </c>
      <c r="H486" s="4377" t="s">
        <v>240</v>
      </c>
      <c r="I486" s="4377" t="s">
        <v>241</v>
      </c>
      <c r="J486" s="4377" t="s">
        <v>1889</v>
      </c>
      <c r="K486" s="4377" t="s">
        <v>1825</v>
      </c>
      <c r="L486" s="4377" t="s">
        <v>1826</v>
      </c>
      <c r="M486" s="4392">
        <v>1</v>
      </c>
      <c r="N486" s="4392">
        <v>1</v>
      </c>
      <c r="O486" s="4392">
        <v>1</v>
      </c>
      <c r="P486" s="4377" t="s">
        <v>1827</v>
      </c>
      <c r="Q486" s="4377" t="s">
        <v>1824</v>
      </c>
      <c r="R486" s="4903" t="s">
        <v>6116</v>
      </c>
      <c r="S486" s="3310"/>
      <c r="T486" s="3270"/>
      <c r="U486" s="3272"/>
      <c r="V486" s="4068"/>
      <c r="W486" s="4071"/>
      <c r="X486" s="3632"/>
      <c r="Y486" s="3633"/>
      <c r="Z486" s="3633"/>
      <c r="AA486" s="3633"/>
      <c r="AB486" s="3634"/>
      <c r="AC486" s="3632"/>
      <c r="AD486" s="4120"/>
      <c r="AE486" s="4120"/>
      <c r="AF486" s="5217"/>
    </row>
    <row r="487" spans="1:32">
      <c r="A487" s="4564"/>
      <c r="B487" s="4570"/>
      <c r="C487" s="4545"/>
      <c r="D487" s="4514"/>
      <c r="E487" s="4514"/>
      <c r="F487" s="4514"/>
      <c r="G487" s="4514"/>
      <c r="H487" s="4514"/>
      <c r="I487" s="4514"/>
      <c r="J487" s="4514"/>
      <c r="K487" s="4514"/>
      <c r="L487" s="4514"/>
      <c r="M487" s="4901"/>
      <c r="N487" s="4901"/>
      <c r="O487" s="4901"/>
      <c r="P487" s="4514"/>
      <c r="Q487" s="4514"/>
      <c r="R487" s="4518"/>
      <c r="S487" s="3311"/>
      <c r="T487" s="1891"/>
      <c r="U487" s="1849"/>
      <c r="V487" s="1883"/>
      <c r="W487" s="1864"/>
      <c r="X487" s="3637"/>
      <c r="Y487" s="3214"/>
      <c r="Z487" s="3214"/>
      <c r="AA487" s="3214"/>
      <c r="AB487" s="3638"/>
      <c r="AC487" s="3637"/>
      <c r="AD487" s="3206"/>
      <c r="AE487" s="3206"/>
      <c r="AF487" s="5301"/>
    </row>
    <row r="488" spans="1:32">
      <c r="A488" s="4564"/>
      <c r="B488" s="4570"/>
      <c r="C488" s="4545"/>
      <c r="D488" s="4514"/>
      <c r="E488" s="4514"/>
      <c r="F488" s="4514"/>
      <c r="G488" s="4514"/>
      <c r="H488" s="4514"/>
      <c r="I488" s="4514"/>
      <c r="J488" s="4514"/>
      <c r="K488" s="4514"/>
      <c r="L488" s="4514"/>
      <c r="M488" s="4901"/>
      <c r="N488" s="4901"/>
      <c r="O488" s="4901"/>
      <c r="P488" s="4514"/>
      <c r="Q488" s="4514"/>
      <c r="R488" s="4518"/>
      <c r="S488" s="3311"/>
      <c r="T488" s="1891"/>
      <c r="U488" s="1849"/>
      <c r="V488" s="1883"/>
      <c r="W488" s="1864"/>
      <c r="X488" s="3637"/>
      <c r="Y488" s="3214"/>
      <c r="Z488" s="3214"/>
      <c r="AA488" s="3214"/>
      <c r="AB488" s="3638"/>
      <c r="AC488" s="3637"/>
      <c r="AD488" s="3206"/>
      <c r="AE488" s="3206"/>
      <c r="AF488" s="5301"/>
    </row>
    <row r="489" spans="1:32">
      <c r="A489" s="4564"/>
      <c r="B489" s="4570"/>
      <c r="C489" s="4545"/>
      <c r="D489" s="4514"/>
      <c r="E489" s="4514"/>
      <c r="F489" s="4514"/>
      <c r="G489" s="4514"/>
      <c r="H489" s="4514"/>
      <c r="I489" s="4514"/>
      <c r="J489" s="4514"/>
      <c r="K489" s="4514"/>
      <c r="L489" s="4514"/>
      <c r="M489" s="4901"/>
      <c r="N489" s="4901"/>
      <c r="O489" s="4901"/>
      <c r="P489" s="4514"/>
      <c r="Q489" s="4514"/>
      <c r="R489" s="4518"/>
      <c r="S489" s="3311"/>
      <c r="T489" s="1891"/>
      <c r="U489" s="1849"/>
      <c r="V489" s="1883"/>
      <c r="W489" s="1864"/>
      <c r="X489" s="3637"/>
      <c r="Y489" s="3214"/>
      <c r="Z489" s="3214"/>
      <c r="AA489" s="3214"/>
      <c r="AB489" s="3638"/>
      <c r="AC489" s="3637"/>
      <c r="AD489" s="3206"/>
      <c r="AE489" s="3206"/>
      <c r="AF489" s="5301"/>
    </row>
    <row r="490" spans="1:32" ht="33" customHeight="1">
      <c r="A490" s="4564"/>
      <c r="B490" s="4570"/>
      <c r="C490" s="4573"/>
      <c r="D490" s="4515"/>
      <c r="E490" s="4515"/>
      <c r="F490" s="4515"/>
      <c r="G490" s="4515"/>
      <c r="H490" s="4515"/>
      <c r="I490" s="4515"/>
      <c r="J490" s="4515"/>
      <c r="K490" s="4515"/>
      <c r="L490" s="4515"/>
      <c r="M490" s="5222"/>
      <c r="N490" s="5222"/>
      <c r="O490" s="5222"/>
      <c r="P490" s="4515"/>
      <c r="Q490" s="4515"/>
      <c r="R490" s="4519"/>
      <c r="S490" s="3312"/>
      <c r="T490" s="3819"/>
      <c r="U490" s="3268"/>
      <c r="V490" s="3641"/>
      <c r="W490" s="3233"/>
      <c r="X490" s="3642"/>
      <c r="Y490" s="3282"/>
      <c r="Z490" s="3282"/>
      <c r="AA490" s="3282"/>
      <c r="AB490" s="3643"/>
      <c r="AC490" s="3642"/>
      <c r="AD490" s="4117"/>
      <c r="AE490" s="4117"/>
      <c r="AF490" s="5303"/>
    </row>
    <row r="491" spans="1:32">
      <c r="A491" s="4564"/>
      <c r="B491" s="4570"/>
      <c r="C491" s="5236" t="s">
        <v>272</v>
      </c>
      <c r="D491" s="4395" t="s">
        <v>302</v>
      </c>
      <c r="E491" s="4395" t="s">
        <v>303</v>
      </c>
      <c r="F491" s="4395" t="s">
        <v>304</v>
      </c>
      <c r="G491" s="4930" t="s">
        <v>305</v>
      </c>
      <c r="H491" s="4395" t="s">
        <v>262</v>
      </c>
      <c r="I491" s="4395" t="s">
        <v>257</v>
      </c>
      <c r="J491" s="4395" t="s">
        <v>1890</v>
      </c>
      <c r="K491" s="4395" t="s">
        <v>1828</v>
      </c>
      <c r="L491" s="4395" t="s">
        <v>1829</v>
      </c>
      <c r="M491" s="4401">
        <v>0</v>
      </c>
      <c r="N491" s="4401">
        <v>1</v>
      </c>
      <c r="O491" s="4401">
        <v>1</v>
      </c>
      <c r="P491" s="4395" t="s">
        <v>1830</v>
      </c>
      <c r="Q491" s="4395" t="s">
        <v>1831</v>
      </c>
      <c r="R491" s="4897" t="s">
        <v>6117</v>
      </c>
      <c r="S491" s="3313"/>
      <c r="T491" s="3071"/>
      <c r="U491" s="3274"/>
      <c r="V491" s="4069"/>
      <c r="W491" s="4070"/>
      <c r="X491" s="4033"/>
      <c r="Y491" s="3295"/>
      <c r="Z491" s="3295"/>
      <c r="AA491" s="3295"/>
      <c r="AB491" s="4115"/>
      <c r="AC491" s="4033"/>
      <c r="AD491" s="4116"/>
      <c r="AE491" s="4116"/>
      <c r="AF491" s="5209"/>
    </row>
    <row r="492" spans="1:32">
      <c r="A492" s="4564"/>
      <c r="B492" s="4570"/>
      <c r="C492" s="4545"/>
      <c r="D492" s="4514"/>
      <c r="E492" s="4514"/>
      <c r="F492" s="4514"/>
      <c r="G492" s="4514"/>
      <c r="H492" s="4514"/>
      <c r="I492" s="4514"/>
      <c r="J492" s="4514"/>
      <c r="K492" s="4514"/>
      <c r="L492" s="4514"/>
      <c r="M492" s="4901"/>
      <c r="N492" s="4901"/>
      <c r="O492" s="4901"/>
      <c r="P492" s="4514"/>
      <c r="Q492" s="4514"/>
      <c r="R492" s="4518"/>
      <c r="S492" s="3311"/>
      <c r="T492" s="1891"/>
      <c r="U492" s="1849"/>
      <c r="V492" s="1883"/>
      <c r="W492" s="1864"/>
      <c r="X492" s="3637"/>
      <c r="Y492" s="3214"/>
      <c r="Z492" s="3214"/>
      <c r="AA492" s="3214"/>
      <c r="AB492" s="3638"/>
      <c r="AC492" s="3637"/>
      <c r="AD492" s="3206"/>
      <c r="AE492" s="3206"/>
      <c r="AF492" s="5301"/>
    </row>
    <row r="493" spans="1:32">
      <c r="A493" s="4564"/>
      <c r="B493" s="4570"/>
      <c r="C493" s="4545"/>
      <c r="D493" s="4514"/>
      <c r="E493" s="4514"/>
      <c r="F493" s="4514"/>
      <c r="G493" s="4514"/>
      <c r="H493" s="4514"/>
      <c r="I493" s="4514"/>
      <c r="J493" s="4514"/>
      <c r="K493" s="4514"/>
      <c r="L493" s="4514"/>
      <c r="M493" s="4901"/>
      <c r="N493" s="4901"/>
      <c r="O493" s="4901"/>
      <c r="P493" s="4514"/>
      <c r="Q493" s="4514"/>
      <c r="R493" s="4518"/>
      <c r="S493" s="3311"/>
      <c r="T493" s="1891"/>
      <c r="U493" s="1849"/>
      <c r="V493" s="1883"/>
      <c r="W493" s="1864"/>
      <c r="X493" s="3637"/>
      <c r="Y493" s="3214"/>
      <c r="Z493" s="3214"/>
      <c r="AA493" s="3214"/>
      <c r="AB493" s="3638"/>
      <c r="AC493" s="3637"/>
      <c r="AD493" s="3206"/>
      <c r="AE493" s="3206"/>
      <c r="AF493" s="5301"/>
    </row>
    <row r="494" spans="1:32">
      <c r="A494" s="4564"/>
      <c r="B494" s="4570"/>
      <c r="C494" s="4545"/>
      <c r="D494" s="4514"/>
      <c r="E494" s="4514"/>
      <c r="F494" s="4514"/>
      <c r="G494" s="4514"/>
      <c r="H494" s="4514"/>
      <c r="I494" s="4514"/>
      <c r="J494" s="4514"/>
      <c r="K494" s="4514"/>
      <c r="L494" s="4514"/>
      <c r="M494" s="4901"/>
      <c r="N494" s="4901"/>
      <c r="O494" s="4901"/>
      <c r="P494" s="4514"/>
      <c r="Q494" s="4514"/>
      <c r="R494" s="4518"/>
      <c r="S494" s="3311"/>
      <c r="T494" s="1891"/>
      <c r="U494" s="1849"/>
      <c r="V494" s="1883"/>
      <c r="W494" s="1864"/>
      <c r="X494" s="3637"/>
      <c r="Y494" s="3214"/>
      <c r="Z494" s="3214"/>
      <c r="AA494" s="3214"/>
      <c r="AB494" s="3638"/>
      <c r="AC494" s="3637"/>
      <c r="AD494" s="3206"/>
      <c r="AE494" s="3206"/>
      <c r="AF494" s="5301"/>
    </row>
    <row r="495" spans="1:32" ht="28.5" customHeight="1">
      <c r="A495" s="4564"/>
      <c r="B495" s="4570"/>
      <c r="C495" s="4566"/>
      <c r="D495" s="4525"/>
      <c r="E495" s="4525"/>
      <c r="F495" s="4525"/>
      <c r="G495" s="4525"/>
      <c r="H495" s="4525"/>
      <c r="I495" s="4525"/>
      <c r="J495" s="4525"/>
      <c r="K495" s="4525"/>
      <c r="L495" s="4525"/>
      <c r="M495" s="4902"/>
      <c r="N495" s="4902"/>
      <c r="O495" s="4902"/>
      <c r="P495" s="4525"/>
      <c r="Q495" s="4525"/>
      <c r="R495" s="4528"/>
      <c r="S495" s="3314"/>
      <c r="T495" s="3821"/>
      <c r="U495" s="3271"/>
      <c r="V495" s="3822"/>
      <c r="W495" s="3254"/>
      <c r="X495" s="4037"/>
      <c r="Y495" s="3291"/>
      <c r="Z495" s="3291"/>
      <c r="AA495" s="3291"/>
      <c r="AB495" s="4118"/>
      <c r="AC495" s="4037"/>
      <c r="AD495" s="4119"/>
      <c r="AE495" s="4119"/>
      <c r="AF495" s="5302"/>
    </row>
    <row r="496" spans="1:32" ht="20.25" customHeight="1">
      <c r="A496" s="4564"/>
      <c r="B496" s="4570"/>
      <c r="C496" s="5239" t="s">
        <v>272</v>
      </c>
      <c r="D496" s="4377" t="s">
        <v>302</v>
      </c>
      <c r="E496" s="4377" t="s">
        <v>303</v>
      </c>
      <c r="F496" s="4377" t="s">
        <v>304</v>
      </c>
      <c r="G496" s="4906" t="s">
        <v>305</v>
      </c>
      <c r="H496" s="4377" t="s">
        <v>262</v>
      </c>
      <c r="I496" s="4377" t="s">
        <v>257</v>
      </c>
      <c r="J496" s="4377" t="s">
        <v>1891</v>
      </c>
      <c r="K496" s="4377" t="s">
        <v>1832</v>
      </c>
      <c r="L496" s="4377" t="s">
        <v>1833</v>
      </c>
      <c r="M496" s="4392">
        <v>4</v>
      </c>
      <c r="N496" s="4392">
        <v>4</v>
      </c>
      <c r="O496" s="4392">
        <v>4</v>
      </c>
      <c r="P496" s="4377" t="s">
        <v>1834</v>
      </c>
      <c r="Q496" s="4377" t="s">
        <v>1892</v>
      </c>
      <c r="R496" s="4903" t="s">
        <v>6118</v>
      </c>
      <c r="S496" s="3310"/>
      <c r="T496" s="3270"/>
      <c r="U496" s="3272"/>
      <c r="V496" s="4068"/>
      <c r="W496" s="4071"/>
      <c r="X496" s="3632"/>
      <c r="Y496" s="3633"/>
      <c r="Z496" s="3633"/>
      <c r="AA496" s="3633"/>
      <c r="AB496" s="3634"/>
      <c r="AC496" s="3632"/>
      <c r="AD496" s="4120"/>
      <c r="AE496" s="4120"/>
      <c r="AF496" s="5217"/>
    </row>
    <row r="497" spans="1:32" ht="20.25" customHeight="1">
      <c r="A497" s="4564"/>
      <c r="B497" s="4570"/>
      <c r="C497" s="4545"/>
      <c r="D497" s="4514"/>
      <c r="E497" s="4514"/>
      <c r="F497" s="4514"/>
      <c r="G497" s="4514"/>
      <c r="H497" s="4514"/>
      <c r="I497" s="4514"/>
      <c r="J497" s="4514"/>
      <c r="K497" s="4514"/>
      <c r="L497" s="4514"/>
      <c r="M497" s="4901"/>
      <c r="N497" s="4901"/>
      <c r="O497" s="4901"/>
      <c r="P497" s="4514"/>
      <c r="Q497" s="4514"/>
      <c r="R497" s="4518"/>
      <c r="S497" s="3311"/>
      <c r="T497" s="1891"/>
      <c r="U497" s="1849"/>
      <c r="V497" s="1883"/>
      <c r="W497" s="1864"/>
      <c r="X497" s="3637"/>
      <c r="Y497" s="3214"/>
      <c r="Z497" s="3214"/>
      <c r="AA497" s="3214"/>
      <c r="AB497" s="3638"/>
      <c r="AC497" s="3637"/>
      <c r="AD497" s="3206"/>
      <c r="AE497" s="3206"/>
      <c r="AF497" s="5301"/>
    </row>
    <row r="498" spans="1:32" ht="20.25" customHeight="1">
      <c r="A498" s="4564"/>
      <c r="B498" s="4570"/>
      <c r="C498" s="4545"/>
      <c r="D498" s="4514"/>
      <c r="E498" s="4514"/>
      <c r="F498" s="4514"/>
      <c r="G498" s="4514"/>
      <c r="H498" s="4514"/>
      <c r="I498" s="4514"/>
      <c r="J498" s="4514"/>
      <c r="K498" s="4514"/>
      <c r="L498" s="4514"/>
      <c r="M498" s="4901"/>
      <c r="N498" s="4901"/>
      <c r="O498" s="4901"/>
      <c r="P498" s="4514"/>
      <c r="Q498" s="4514"/>
      <c r="R498" s="4518"/>
      <c r="S498" s="3311"/>
      <c r="T498" s="1891"/>
      <c r="U498" s="1849"/>
      <c r="V498" s="1883"/>
      <c r="W498" s="1864"/>
      <c r="X498" s="3637"/>
      <c r="Y498" s="3214"/>
      <c r="Z498" s="3214"/>
      <c r="AA498" s="3214"/>
      <c r="AB498" s="3638"/>
      <c r="AC498" s="3637"/>
      <c r="AD498" s="3206"/>
      <c r="AE498" s="3206"/>
      <c r="AF498" s="5301"/>
    </row>
    <row r="499" spans="1:32" ht="20.25" customHeight="1">
      <c r="A499" s="4564"/>
      <c r="B499" s="4570"/>
      <c r="C499" s="4545"/>
      <c r="D499" s="4514"/>
      <c r="E499" s="4514"/>
      <c r="F499" s="4514"/>
      <c r="G499" s="4514"/>
      <c r="H499" s="4514"/>
      <c r="I499" s="4514"/>
      <c r="J499" s="4514"/>
      <c r="K499" s="4514"/>
      <c r="L499" s="4514"/>
      <c r="M499" s="4901"/>
      <c r="N499" s="4901"/>
      <c r="O499" s="4901"/>
      <c r="P499" s="4514"/>
      <c r="Q499" s="4514"/>
      <c r="R499" s="4518"/>
      <c r="S499" s="3311"/>
      <c r="T499" s="1891"/>
      <c r="U499" s="1849"/>
      <c r="V499" s="1883"/>
      <c r="W499" s="1864"/>
      <c r="X499" s="3637"/>
      <c r="Y499" s="3214"/>
      <c r="Z499" s="3214"/>
      <c r="AA499" s="3214"/>
      <c r="AB499" s="3638"/>
      <c r="AC499" s="3637"/>
      <c r="AD499" s="3206"/>
      <c r="AE499" s="3206"/>
      <c r="AF499" s="5301"/>
    </row>
    <row r="500" spans="1:32" ht="20.25" customHeight="1">
      <c r="A500" s="4564"/>
      <c r="B500" s="4570"/>
      <c r="C500" s="4573"/>
      <c r="D500" s="4515"/>
      <c r="E500" s="4515"/>
      <c r="F500" s="4515"/>
      <c r="G500" s="4515"/>
      <c r="H500" s="4515"/>
      <c r="I500" s="4515"/>
      <c r="J500" s="4515"/>
      <c r="K500" s="4515"/>
      <c r="L500" s="4515"/>
      <c r="M500" s="5222"/>
      <c r="N500" s="5222"/>
      <c r="O500" s="5222"/>
      <c r="P500" s="4515"/>
      <c r="Q500" s="4515"/>
      <c r="R500" s="4519"/>
      <c r="S500" s="3312"/>
      <c r="T500" s="3819"/>
      <c r="U500" s="3268"/>
      <c r="V500" s="3641"/>
      <c r="W500" s="3233"/>
      <c r="X500" s="3642"/>
      <c r="Y500" s="3282"/>
      <c r="Z500" s="3282"/>
      <c r="AA500" s="3282"/>
      <c r="AB500" s="3643"/>
      <c r="AC500" s="3642"/>
      <c r="AD500" s="4117"/>
      <c r="AE500" s="4117"/>
      <c r="AF500" s="5303"/>
    </row>
    <row r="501" spans="1:32" ht="17.25" customHeight="1">
      <c r="A501" s="4564"/>
      <c r="B501" s="4570"/>
      <c r="C501" s="5236" t="s">
        <v>272</v>
      </c>
      <c r="D501" s="4395" t="s">
        <v>302</v>
      </c>
      <c r="E501" s="4395" t="s">
        <v>274</v>
      </c>
      <c r="F501" s="4395" t="s">
        <v>885</v>
      </c>
      <c r="G501" s="4930" t="s">
        <v>305</v>
      </c>
      <c r="H501" s="4395" t="s">
        <v>262</v>
      </c>
      <c r="I501" s="4395" t="s">
        <v>241</v>
      </c>
      <c r="J501" s="4395" t="s">
        <v>1893</v>
      </c>
      <c r="K501" s="4395" t="s">
        <v>1836</v>
      </c>
      <c r="L501" s="4395" t="s">
        <v>1894</v>
      </c>
      <c r="M501" s="4401">
        <v>2</v>
      </c>
      <c r="N501" s="4401">
        <v>0</v>
      </c>
      <c r="O501" s="4401">
        <v>2</v>
      </c>
      <c r="P501" s="4395" t="s">
        <v>1838</v>
      </c>
      <c r="Q501" s="4395" t="s">
        <v>1895</v>
      </c>
      <c r="R501" s="4897" t="s">
        <v>6119</v>
      </c>
      <c r="S501" s="3313"/>
      <c r="T501" s="3071"/>
      <c r="U501" s="3274"/>
      <c r="V501" s="4069"/>
      <c r="W501" s="4070"/>
      <c r="X501" s="4033"/>
      <c r="Y501" s="3295"/>
      <c r="Z501" s="3295"/>
      <c r="AA501" s="3295"/>
      <c r="AB501" s="4115"/>
      <c r="AC501" s="4033"/>
      <c r="AD501" s="4116"/>
      <c r="AE501" s="4116"/>
      <c r="AF501" s="5209"/>
    </row>
    <row r="502" spans="1:32" ht="17.25" customHeight="1">
      <c r="A502" s="4564"/>
      <c r="B502" s="4570"/>
      <c r="C502" s="4545"/>
      <c r="D502" s="4514"/>
      <c r="E502" s="4514"/>
      <c r="F502" s="4514"/>
      <c r="G502" s="4514"/>
      <c r="H502" s="4514"/>
      <c r="I502" s="4514"/>
      <c r="J502" s="4514"/>
      <c r="K502" s="4514"/>
      <c r="L502" s="4514"/>
      <c r="M502" s="4901"/>
      <c r="N502" s="4901"/>
      <c r="O502" s="4901"/>
      <c r="P502" s="4514"/>
      <c r="Q502" s="4514"/>
      <c r="R502" s="4518"/>
      <c r="S502" s="3311"/>
      <c r="T502" s="1891"/>
      <c r="U502" s="1849"/>
      <c r="V502" s="1883"/>
      <c r="W502" s="1864"/>
      <c r="X502" s="3637"/>
      <c r="Y502" s="3214"/>
      <c r="Z502" s="3214"/>
      <c r="AA502" s="3214"/>
      <c r="AB502" s="3638"/>
      <c r="AC502" s="3637"/>
      <c r="AD502" s="3206"/>
      <c r="AE502" s="3206"/>
      <c r="AF502" s="5301"/>
    </row>
    <row r="503" spans="1:32" ht="17.25" customHeight="1">
      <c r="A503" s="4564"/>
      <c r="B503" s="4570"/>
      <c r="C503" s="4545"/>
      <c r="D503" s="4514"/>
      <c r="E503" s="4514"/>
      <c r="F503" s="4514"/>
      <c r="G503" s="4514"/>
      <c r="H503" s="4514"/>
      <c r="I503" s="4514"/>
      <c r="J503" s="4514"/>
      <c r="K503" s="4514"/>
      <c r="L503" s="4514"/>
      <c r="M503" s="4901"/>
      <c r="N503" s="4901"/>
      <c r="O503" s="4901"/>
      <c r="P503" s="4514"/>
      <c r="Q503" s="4514"/>
      <c r="R503" s="4518"/>
      <c r="S503" s="3311"/>
      <c r="T503" s="1891"/>
      <c r="U503" s="1849"/>
      <c r="V503" s="1883"/>
      <c r="W503" s="1864"/>
      <c r="X503" s="3637"/>
      <c r="Y503" s="3214"/>
      <c r="Z503" s="3214"/>
      <c r="AA503" s="3214"/>
      <c r="AB503" s="3638"/>
      <c r="AC503" s="3637"/>
      <c r="AD503" s="3206"/>
      <c r="AE503" s="3206"/>
      <c r="AF503" s="5301"/>
    </row>
    <row r="504" spans="1:32" ht="17.25" customHeight="1">
      <c r="A504" s="4564"/>
      <c r="B504" s="4570"/>
      <c r="C504" s="4545"/>
      <c r="D504" s="4514"/>
      <c r="E504" s="4514"/>
      <c r="F504" s="4514"/>
      <c r="G504" s="4514"/>
      <c r="H504" s="4514"/>
      <c r="I504" s="4514"/>
      <c r="J504" s="4514"/>
      <c r="K504" s="4514"/>
      <c r="L504" s="4514"/>
      <c r="M504" s="4901"/>
      <c r="N504" s="4901"/>
      <c r="O504" s="4901"/>
      <c r="P504" s="4514"/>
      <c r="Q504" s="4514"/>
      <c r="R504" s="4518"/>
      <c r="S504" s="3311"/>
      <c r="T504" s="1891"/>
      <c r="U504" s="1849"/>
      <c r="V504" s="1883"/>
      <c r="W504" s="1864"/>
      <c r="X504" s="3637"/>
      <c r="Y504" s="3214"/>
      <c r="Z504" s="3214"/>
      <c r="AA504" s="3214"/>
      <c r="AB504" s="3638"/>
      <c r="AC504" s="3637"/>
      <c r="AD504" s="3206"/>
      <c r="AE504" s="3206"/>
      <c r="AF504" s="5301"/>
    </row>
    <row r="505" spans="1:32" ht="21" customHeight="1">
      <c r="A505" s="4564"/>
      <c r="B505" s="4570"/>
      <c r="C505" s="4566"/>
      <c r="D505" s="4525"/>
      <c r="E505" s="4525"/>
      <c r="F505" s="4525"/>
      <c r="G505" s="4525"/>
      <c r="H505" s="4525"/>
      <c r="I505" s="4525"/>
      <c r="J505" s="4525"/>
      <c r="K505" s="4525"/>
      <c r="L505" s="4525"/>
      <c r="M505" s="4902"/>
      <c r="N505" s="4902"/>
      <c r="O505" s="4902"/>
      <c r="P505" s="4525"/>
      <c r="Q505" s="4525"/>
      <c r="R505" s="4528"/>
      <c r="S505" s="3314"/>
      <c r="T505" s="3821"/>
      <c r="U505" s="3271"/>
      <c r="V505" s="3822"/>
      <c r="W505" s="3254"/>
      <c r="X505" s="4037"/>
      <c r="Y505" s="3291"/>
      <c r="Z505" s="3291"/>
      <c r="AA505" s="3291"/>
      <c r="AB505" s="4118"/>
      <c r="AC505" s="4037"/>
      <c r="AD505" s="4119"/>
      <c r="AE505" s="4119"/>
      <c r="AF505" s="5302"/>
    </row>
    <row r="506" spans="1:32">
      <c r="A506" s="4564"/>
      <c r="B506" s="4570"/>
      <c r="C506" s="5239" t="s">
        <v>272</v>
      </c>
      <c r="D506" s="4377" t="s">
        <v>302</v>
      </c>
      <c r="E506" s="4377" t="s">
        <v>303</v>
      </c>
      <c r="F506" s="4377" t="s">
        <v>304</v>
      </c>
      <c r="G506" s="4906" t="s">
        <v>305</v>
      </c>
      <c r="H506" s="4377" t="s">
        <v>240</v>
      </c>
      <c r="I506" s="4377" t="s">
        <v>241</v>
      </c>
      <c r="J506" s="4377" t="s">
        <v>1840</v>
      </c>
      <c r="K506" s="4377" t="s">
        <v>1841</v>
      </c>
      <c r="L506" s="4377" t="s">
        <v>1842</v>
      </c>
      <c r="M506" s="4392">
        <v>1</v>
      </c>
      <c r="N506" s="4392">
        <v>1</v>
      </c>
      <c r="O506" s="4392">
        <v>1</v>
      </c>
      <c r="P506" s="4377" t="s">
        <v>1843</v>
      </c>
      <c r="Q506" s="4377" t="s">
        <v>1824</v>
      </c>
      <c r="R506" s="4903" t="s">
        <v>6120</v>
      </c>
      <c r="S506" s="3310"/>
      <c r="T506" s="3270"/>
      <c r="U506" s="3272"/>
      <c r="V506" s="4068"/>
      <c r="W506" s="4071"/>
      <c r="X506" s="3632"/>
      <c r="Y506" s="3633"/>
      <c r="Z506" s="3633"/>
      <c r="AA506" s="3633"/>
      <c r="AB506" s="3634"/>
      <c r="AC506" s="3632"/>
      <c r="AD506" s="4120"/>
      <c r="AE506" s="4120"/>
      <c r="AF506" s="5217"/>
    </row>
    <row r="507" spans="1:32">
      <c r="A507" s="4564"/>
      <c r="B507" s="4570"/>
      <c r="C507" s="4545"/>
      <c r="D507" s="4514"/>
      <c r="E507" s="4514"/>
      <c r="F507" s="4514"/>
      <c r="G507" s="4514"/>
      <c r="H507" s="4514"/>
      <c r="I507" s="4514"/>
      <c r="J507" s="4514"/>
      <c r="K507" s="4514"/>
      <c r="L507" s="4514"/>
      <c r="M507" s="4901"/>
      <c r="N507" s="4901"/>
      <c r="O507" s="4901"/>
      <c r="P507" s="4514"/>
      <c r="Q507" s="4514"/>
      <c r="R507" s="4518"/>
      <c r="S507" s="3311"/>
      <c r="T507" s="1891"/>
      <c r="U507" s="1849"/>
      <c r="V507" s="1883"/>
      <c r="W507" s="1864"/>
      <c r="X507" s="3637"/>
      <c r="Y507" s="3214"/>
      <c r="Z507" s="3214"/>
      <c r="AA507" s="3214"/>
      <c r="AB507" s="3638"/>
      <c r="AC507" s="3637"/>
      <c r="AD507" s="3206"/>
      <c r="AE507" s="3206"/>
      <c r="AF507" s="5301"/>
    </row>
    <row r="508" spans="1:32">
      <c r="A508" s="4564"/>
      <c r="B508" s="4570"/>
      <c r="C508" s="4545"/>
      <c r="D508" s="4514"/>
      <c r="E508" s="4514"/>
      <c r="F508" s="4514"/>
      <c r="G508" s="4514"/>
      <c r="H508" s="4514"/>
      <c r="I508" s="4514"/>
      <c r="J508" s="4514"/>
      <c r="K508" s="4514"/>
      <c r="L508" s="4514"/>
      <c r="M508" s="4901"/>
      <c r="N508" s="4901"/>
      <c r="O508" s="4901"/>
      <c r="P508" s="4514"/>
      <c r="Q508" s="4514"/>
      <c r="R508" s="4518"/>
      <c r="S508" s="3311"/>
      <c r="T508" s="1891"/>
      <c r="U508" s="1849"/>
      <c r="V508" s="1883"/>
      <c r="W508" s="1864"/>
      <c r="X508" s="3637"/>
      <c r="Y508" s="3214"/>
      <c r="Z508" s="3214"/>
      <c r="AA508" s="3214"/>
      <c r="AB508" s="3638"/>
      <c r="AC508" s="3637"/>
      <c r="AD508" s="3206"/>
      <c r="AE508" s="3206"/>
      <c r="AF508" s="5301"/>
    </row>
    <row r="509" spans="1:32">
      <c r="A509" s="4564"/>
      <c r="B509" s="4570"/>
      <c r="C509" s="4545"/>
      <c r="D509" s="4514"/>
      <c r="E509" s="4514"/>
      <c r="F509" s="4514"/>
      <c r="G509" s="4514"/>
      <c r="H509" s="4514"/>
      <c r="I509" s="4514"/>
      <c r="J509" s="4514"/>
      <c r="K509" s="4514"/>
      <c r="L509" s="4514"/>
      <c r="M509" s="4901"/>
      <c r="N509" s="4901"/>
      <c r="O509" s="4901"/>
      <c r="P509" s="4514"/>
      <c r="Q509" s="4514"/>
      <c r="R509" s="4518"/>
      <c r="S509" s="3311"/>
      <c r="T509" s="1891"/>
      <c r="U509" s="1849"/>
      <c r="V509" s="1883"/>
      <c r="W509" s="1864"/>
      <c r="X509" s="3637"/>
      <c r="Y509" s="3214"/>
      <c r="Z509" s="3214"/>
      <c r="AA509" s="3214"/>
      <c r="AB509" s="3638"/>
      <c r="AC509" s="3637"/>
      <c r="AD509" s="3206"/>
      <c r="AE509" s="3206"/>
      <c r="AF509" s="5301"/>
    </row>
    <row r="510" spans="1:32" ht="28.5" customHeight="1">
      <c r="A510" s="4564"/>
      <c r="B510" s="4570"/>
      <c r="C510" s="4573"/>
      <c r="D510" s="4515"/>
      <c r="E510" s="4515"/>
      <c r="F510" s="4515"/>
      <c r="G510" s="4515"/>
      <c r="H510" s="4515"/>
      <c r="I510" s="4515"/>
      <c r="J510" s="4515"/>
      <c r="K510" s="4515"/>
      <c r="L510" s="4515"/>
      <c r="M510" s="5222"/>
      <c r="N510" s="5222"/>
      <c r="O510" s="5222"/>
      <c r="P510" s="4515"/>
      <c r="Q510" s="4515"/>
      <c r="R510" s="4519"/>
      <c r="S510" s="3312"/>
      <c r="T510" s="3819"/>
      <c r="U510" s="3268"/>
      <c r="V510" s="3641"/>
      <c r="W510" s="3233"/>
      <c r="X510" s="3642"/>
      <c r="Y510" s="3282"/>
      <c r="Z510" s="3282"/>
      <c r="AA510" s="3282"/>
      <c r="AB510" s="3643"/>
      <c r="AC510" s="3642"/>
      <c r="AD510" s="4117"/>
      <c r="AE510" s="4117"/>
      <c r="AF510" s="5303"/>
    </row>
    <row r="511" spans="1:32" ht="22.5" customHeight="1">
      <c r="A511" s="4564"/>
      <c r="B511" s="4570"/>
      <c r="C511" s="5236" t="s">
        <v>235</v>
      </c>
      <c r="D511" s="4395" t="s">
        <v>236</v>
      </c>
      <c r="E511" s="4395" t="s">
        <v>244</v>
      </c>
      <c r="F511" s="4395" t="s">
        <v>808</v>
      </c>
      <c r="G511" s="4930" t="s">
        <v>239</v>
      </c>
      <c r="H511" s="4395" t="s">
        <v>293</v>
      </c>
      <c r="I511" s="4395" t="s">
        <v>278</v>
      </c>
      <c r="J511" s="4395" t="s">
        <v>1844</v>
      </c>
      <c r="K511" s="4395" t="s">
        <v>1845</v>
      </c>
      <c r="L511" s="4395" t="s">
        <v>1846</v>
      </c>
      <c r="M511" s="4401">
        <v>1</v>
      </c>
      <c r="N511" s="4401">
        <v>0</v>
      </c>
      <c r="O511" s="4401">
        <v>1</v>
      </c>
      <c r="P511" s="4395" t="s">
        <v>1847</v>
      </c>
      <c r="Q511" s="4395" t="s">
        <v>1848</v>
      </c>
      <c r="R511" s="4897" t="s">
        <v>6115</v>
      </c>
      <c r="S511" s="3313"/>
      <c r="T511" s="3071"/>
      <c r="U511" s="3274"/>
      <c r="V511" s="4069"/>
      <c r="W511" s="4070"/>
      <c r="X511" s="4033"/>
      <c r="Y511" s="3295"/>
      <c r="Z511" s="3295"/>
      <c r="AA511" s="3295"/>
      <c r="AB511" s="4115"/>
      <c r="AC511" s="4033"/>
      <c r="AD511" s="4116"/>
      <c r="AE511" s="4116"/>
      <c r="AF511" s="5209"/>
    </row>
    <row r="512" spans="1:32" ht="22.5" customHeight="1">
      <c r="A512" s="4564"/>
      <c r="B512" s="4570"/>
      <c r="C512" s="4545"/>
      <c r="D512" s="4514"/>
      <c r="E512" s="4514"/>
      <c r="F512" s="4514"/>
      <c r="G512" s="4514"/>
      <c r="H512" s="4514"/>
      <c r="I512" s="4514"/>
      <c r="J512" s="4514"/>
      <c r="K512" s="4514"/>
      <c r="L512" s="4514"/>
      <c r="M512" s="4901"/>
      <c r="N512" s="4901"/>
      <c r="O512" s="4901"/>
      <c r="P512" s="4514"/>
      <c r="Q512" s="4514"/>
      <c r="R512" s="4518"/>
      <c r="S512" s="3311"/>
      <c r="T512" s="1891"/>
      <c r="U512" s="1849"/>
      <c r="V512" s="1883"/>
      <c r="W512" s="1864"/>
      <c r="X512" s="3637"/>
      <c r="Y512" s="3214"/>
      <c r="Z512" s="3214"/>
      <c r="AA512" s="3214"/>
      <c r="AB512" s="3638"/>
      <c r="AC512" s="3637"/>
      <c r="AD512" s="3206"/>
      <c r="AE512" s="3206"/>
      <c r="AF512" s="5301"/>
    </row>
    <row r="513" spans="1:32" ht="22.5" customHeight="1">
      <c r="A513" s="4564"/>
      <c r="B513" s="4570"/>
      <c r="C513" s="4545"/>
      <c r="D513" s="4514"/>
      <c r="E513" s="4514"/>
      <c r="F513" s="4514"/>
      <c r="G513" s="4514"/>
      <c r="H513" s="4514"/>
      <c r="I513" s="4514"/>
      <c r="J513" s="4514"/>
      <c r="K513" s="4514"/>
      <c r="L513" s="4514"/>
      <c r="M513" s="4901"/>
      <c r="N513" s="4901"/>
      <c r="O513" s="4901"/>
      <c r="P513" s="4514"/>
      <c r="Q513" s="4514"/>
      <c r="R513" s="4518"/>
      <c r="S513" s="3311"/>
      <c r="T513" s="1891"/>
      <c r="U513" s="1849"/>
      <c r="V513" s="1883"/>
      <c r="W513" s="1864"/>
      <c r="X513" s="3637"/>
      <c r="Y513" s="3214"/>
      <c r="Z513" s="3214"/>
      <c r="AA513" s="3214"/>
      <c r="AB513" s="3638"/>
      <c r="AC513" s="3637"/>
      <c r="AD513" s="3206"/>
      <c r="AE513" s="3206"/>
      <c r="AF513" s="5301"/>
    </row>
    <row r="514" spans="1:32" ht="22.5" customHeight="1">
      <c r="A514" s="4564"/>
      <c r="B514" s="4570"/>
      <c r="C514" s="4545"/>
      <c r="D514" s="4514"/>
      <c r="E514" s="4514"/>
      <c r="F514" s="4514"/>
      <c r="G514" s="4514"/>
      <c r="H514" s="4514"/>
      <c r="I514" s="4514"/>
      <c r="J514" s="4514"/>
      <c r="K514" s="4514"/>
      <c r="L514" s="4514"/>
      <c r="M514" s="4901"/>
      <c r="N514" s="4901"/>
      <c r="O514" s="4901"/>
      <c r="P514" s="4514"/>
      <c r="Q514" s="4514"/>
      <c r="R514" s="4518"/>
      <c r="S514" s="3311"/>
      <c r="T514" s="1891"/>
      <c r="U514" s="1849"/>
      <c r="V514" s="1883"/>
      <c r="W514" s="1864"/>
      <c r="X514" s="3637"/>
      <c r="Y514" s="3214"/>
      <c r="Z514" s="3214"/>
      <c r="AA514" s="3214"/>
      <c r="AB514" s="3638"/>
      <c r="AC514" s="3637"/>
      <c r="AD514" s="3206"/>
      <c r="AE514" s="3206"/>
      <c r="AF514" s="5301"/>
    </row>
    <row r="515" spans="1:32" ht="22.5" customHeight="1">
      <c r="A515" s="4564"/>
      <c r="B515" s="4570"/>
      <c r="C515" s="4566"/>
      <c r="D515" s="4525"/>
      <c r="E515" s="4525"/>
      <c r="F515" s="4525"/>
      <c r="G515" s="4525"/>
      <c r="H515" s="4525"/>
      <c r="I515" s="4525"/>
      <c r="J515" s="4525"/>
      <c r="K515" s="4525"/>
      <c r="L515" s="4525"/>
      <c r="M515" s="4902"/>
      <c r="N515" s="4902"/>
      <c r="O515" s="4902"/>
      <c r="P515" s="4525"/>
      <c r="Q515" s="4525"/>
      <c r="R515" s="4528"/>
      <c r="S515" s="3314"/>
      <c r="T515" s="3821"/>
      <c r="U515" s="3271"/>
      <c r="V515" s="3822"/>
      <c r="W515" s="3254"/>
      <c r="X515" s="4037"/>
      <c r="Y515" s="3291"/>
      <c r="Z515" s="3291"/>
      <c r="AA515" s="3291"/>
      <c r="AB515" s="4118"/>
      <c r="AC515" s="4037"/>
      <c r="AD515" s="4119"/>
      <c r="AE515" s="4119"/>
      <c r="AF515" s="5302"/>
    </row>
    <row r="516" spans="1:32" ht="21.75" customHeight="1">
      <c r="A516" s="4564"/>
      <c r="B516" s="4570"/>
      <c r="C516" s="5239" t="s">
        <v>272</v>
      </c>
      <c r="D516" s="4377" t="s">
        <v>302</v>
      </c>
      <c r="E516" s="4377" t="s">
        <v>303</v>
      </c>
      <c r="F516" s="4377" t="s">
        <v>318</v>
      </c>
      <c r="G516" s="4906" t="s">
        <v>305</v>
      </c>
      <c r="H516" s="4377" t="s">
        <v>240</v>
      </c>
      <c r="I516" s="4377" t="s">
        <v>241</v>
      </c>
      <c r="J516" s="4377" t="s">
        <v>1849</v>
      </c>
      <c r="K516" s="4377" t="s">
        <v>1850</v>
      </c>
      <c r="L516" s="4377" t="s">
        <v>1851</v>
      </c>
      <c r="M516" s="4392">
        <v>1</v>
      </c>
      <c r="N516" s="4392">
        <v>0</v>
      </c>
      <c r="O516" s="4392">
        <v>1</v>
      </c>
      <c r="P516" s="4377" t="s">
        <v>1852</v>
      </c>
      <c r="Q516" s="4377" t="s">
        <v>1896</v>
      </c>
      <c r="R516" s="4903" t="s">
        <v>6115</v>
      </c>
      <c r="S516" s="3310"/>
      <c r="T516" s="3270"/>
      <c r="U516" s="3272"/>
      <c r="V516" s="4068"/>
      <c r="W516" s="4071"/>
      <c r="X516" s="3632"/>
      <c r="Y516" s="3633"/>
      <c r="Z516" s="3633"/>
      <c r="AA516" s="3633"/>
      <c r="AB516" s="3634"/>
      <c r="AC516" s="3632"/>
      <c r="AD516" s="4120"/>
      <c r="AE516" s="4120"/>
      <c r="AF516" s="5217"/>
    </row>
    <row r="517" spans="1:32" ht="21.75" customHeight="1">
      <c r="A517" s="4564"/>
      <c r="B517" s="4570"/>
      <c r="C517" s="4545"/>
      <c r="D517" s="4514"/>
      <c r="E517" s="4514"/>
      <c r="F517" s="4514"/>
      <c r="G517" s="4514"/>
      <c r="H517" s="4514"/>
      <c r="I517" s="4514"/>
      <c r="J517" s="4514"/>
      <c r="K517" s="4514"/>
      <c r="L517" s="4514"/>
      <c r="M517" s="4901"/>
      <c r="N517" s="4901"/>
      <c r="O517" s="4901"/>
      <c r="P517" s="4514"/>
      <c r="Q517" s="4514"/>
      <c r="R517" s="4518"/>
      <c r="S517" s="3311"/>
      <c r="T517" s="1891"/>
      <c r="U517" s="1849"/>
      <c r="V517" s="1883"/>
      <c r="W517" s="1864"/>
      <c r="X517" s="3637"/>
      <c r="Y517" s="3214"/>
      <c r="Z517" s="3214"/>
      <c r="AA517" s="3214"/>
      <c r="AB517" s="3638"/>
      <c r="AC517" s="3637"/>
      <c r="AD517" s="3206"/>
      <c r="AE517" s="3206"/>
      <c r="AF517" s="5301"/>
    </row>
    <row r="518" spans="1:32" ht="21.75" customHeight="1">
      <c r="A518" s="4564"/>
      <c r="B518" s="4570"/>
      <c r="C518" s="4545"/>
      <c r="D518" s="4514"/>
      <c r="E518" s="4514"/>
      <c r="F518" s="4514"/>
      <c r="G518" s="4514"/>
      <c r="H518" s="4514"/>
      <c r="I518" s="4514"/>
      <c r="J518" s="4514"/>
      <c r="K518" s="4514"/>
      <c r="L518" s="4514"/>
      <c r="M518" s="4901"/>
      <c r="N518" s="4901"/>
      <c r="O518" s="4901"/>
      <c r="P518" s="4514"/>
      <c r="Q518" s="4514"/>
      <c r="R518" s="4518"/>
      <c r="S518" s="3311"/>
      <c r="T518" s="1891"/>
      <c r="U518" s="1849"/>
      <c r="V518" s="1883"/>
      <c r="W518" s="1864"/>
      <c r="X518" s="3637"/>
      <c r="Y518" s="3214"/>
      <c r="Z518" s="3214"/>
      <c r="AA518" s="3214"/>
      <c r="AB518" s="3638"/>
      <c r="AC518" s="3637"/>
      <c r="AD518" s="3206"/>
      <c r="AE518" s="3206"/>
      <c r="AF518" s="5301"/>
    </row>
    <row r="519" spans="1:32" ht="21.75" customHeight="1">
      <c r="A519" s="4564"/>
      <c r="B519" s="4570"/>
      <c r="C519" s="4545"/>
      <c r="D519" s="4514"/>
      <c r="E519" s="4514"/>
      <c r="F519" s="4514"/>
      <c r="G519" s="4514"/>
      <c r="H519" s="4514"/>
      <c r="I519" s="4514"/>
      <c r="J519" s="4514"/>
      <c r="K519" s="4514"/>
      <c r="L519" s="4514"/>
      <c r="M519" s="4901"/>
      <c r="N519" s="4901"/>
      <c r="O519" s="4901"/>
      <c r="P519" s="4514"/>
      <c r="Q519" s="4514"/>
      <c r="R519" s="4518"/>
      <c r="S519" s="3311"/>
      <c r="T519" s="1891"/>
      <c r="U519" s="1849"/>
      <c r="V519" s="1883"/>
      <c r="W519" s="1864"/>
      <c r="X519" s="3637"/>
      <c r="Y519" s="3214"/>
      <c r="Z519" s="3214"/>
      <c r="AA519" s="3214"/>
      <c r="AB519" s="3638"/>
      <c r="AC519" s="3637"/>
      <c r="AD519" s="3206"/>
      <c r="AE519" s="3206"/>
      <c r="AF519" s="5301"/>
    </row>
    <row r="520" spans="1:32" ht="21.75" customHeight="1">
      <c r="A520" s="4564"/>
      <c r="B520" s="4570"/>
      <c r="C520" s="4573"/>
      <c r="D520" s="4515"/>
      <c r="E520" s="4515"/>
      <c r="F520" s="4515"/>
      <c r="G520" s="4515"/>
      <c r="H520" s="4515"/>
      <c r="I520" s="4515"/>
      <c r="J520" s="4515"/>
      <c r="K520" s="4515"/>
      <c r="L520" s="4515"/>
      <c r="M520" s="5222"/>
      <c r="N520" s="5222"/>
      <c r="O520" s="5222"/>
      <c r="P520" s="4515"/>
      <c r="Q520" s="4515"/>
      <c r="R520" s="4519"/>
      <c r="S520" s="3312"/>
      <c r="T520" s="3819"/>
      <c r="U520" s="3268"/>
      <c r="V520" s="3641"/>
      <c r="W520" s="3233"/>
      <c r="X520" s="3642"/>
      <c r="Y520" s="3282"/>
      <c r="Z520" s="3282"/>
      <c r="AA520" s="3282"/>
      <c r="AB520" s="3643"/>
      <c r="AC520" s="3642"/>
      <c r="AD520" s="4117"/>
      <c r="AE520" s="4117"/>
      <c r="AF520" s="5303"/>
    </row>
    <row r="521" spans="1:32">
      <c r="A521" s="4564"/>
      <c r="B521" s="4570"/>
      <c r="C521" s="5236" t="s">
        <v>272</v>
      </c>
      <c r="D521" s="4395" t="s">
        <v>302</v>
      </c>
      <c r="E521" s="4395" t="s">
        <v>303</v>
      </c>
      <c r="F521" s="4395" t="s">
        <v>304</v>
      </c>
      <c r="G521" s="4930" t="s">
        <v>305</v>
      </c>
      <c r="H521" s="4395" t="s">
        <v>240</v>
      </c>
      <c r="I521" s="4395" t="s">
        <v>241</v>
      </c>
      <c r="J521" s="4395" t="s">
        <v>1897</v>
      </c>
      <c r="K521" s="4395" t="s">
        <v>1855</v>
      </c>
      <c r="L521" s="4395" t="s">
        <v>1856</v>
      </c>
      <c r="M521" s="4401">
        <v>4</v>
      </c>
      <c r="N521" s="4401">
        <v>8</v>
      </c>
      <c r="O521" s="4401">
        <v>8</v>
      </c>
      <c r="P521" s="4395" t="s">
        <v>1857</v>
      </c>
      <c r="Q521" s="4395" t="s">
        <v>1858</v>
      </c>
      <c r="R521" s="4897" t="s">
        <v>6118</v>
      </c>
      <c r="S521" s="3313"/>
      <c r="T521" s="3071"/>
      <c r="U521" s="3274"/>
      <c r="V521" s="4069"/>
      <c r="W521" s="4070"/>
      <c r="X521" s="4033"/>
      <c r="Y521" s="3295"/>
      <c r="Z521" s="3295"/>
      <c r="AA521" s="3295"/>
      <c r="AB521" s="4115"/>
      <c r="AC521" s="4033"/>
      <c r="AD521" s="4116"/>
      <c r="AE521" s="4116"/>
      <c r="AF521" s="5209"/>
    </row>
    <row r="522" spans="1:32">
      <c r="A522" s="4564"/>
      <c r="B522" s="4570"/>
      <c r="C522" s="4545"/>
      <c r="D522" s="4514"/>
      <c r="E522" s="4514"/>
      <c r="F522" s="4514"/>
      <c r="G522" s="4514"/>
      <c r="H522" s="4514"/>
      <c r="I522" s="4514"/>
      <c r="J522" s="4514"/>
      <c r="K522" s="4514"/>
      <c r="L522" s="4514"/>
      <c r="M522" s="4901"/>
      <c r="N522" s="4901"/>
      <c r="O522" s="4901"/>
      <c r="P522" s="4514"/>
      <c r="Q522" s="4514"/>
      <c r="R522" s="4518"/>
      <c r="S522" s="3311"/>
      <c r="T522" s="1891"/>
      <c r="U522" s="1849"/>
      <c r="V522" s="1883"/>
      <c r="W522" s="1864"/>
      <c r="X522" s="3637"/>
      <c r="Y522" s="3214"/>
      <c r="Z522" s="3214"/>
      <c r="AA522" s="3214"/>
      <c r="AB522" s="3638"/>
      <c r="AC522" s="3637"/>
      <c r="AD522" s="3206"/>
      <c r="AE522" s="3206"/>
      <c r="AF522" s="5301"/>
    </row>
    <row r="523" spans="1:32">
      <c r="A523" s="4564"/>
      <c r="B523" s="4570"/>
      <c r="C523" s="4545"/>
      <c r="D523" s="4514"/>
      <c r="E523" s="4514"/>
      <c r="F523" s="4514"/>
      <c r="G523" s="4514"/>
      <c r="H523" s="4514"/>
      <c r="I523" s="4514"/>
      <c r="J523" s="4514"/>
      <c r="K523" s="4514"/>
      <c r="L523" s="4514"/>
      <c r="M523" s="4901"/>
      <c r="N523" s="4901"/>
      <c r="O523" s="4901"/>
      <c r="P523" s="4514"/>
      <c r="Q523" s="4514"/>
      <c r="R523" s="4518"/>
      <c r="S523" s="3311"/>
      <c r="T523" s="1891"/>
      <c r="U523" s="1849"/>
      <c r="V523" s="1883"/>
      <c r="W523" s="1864"/>
      <c r="X523" s="3637"/>
      <c r="Y523" s="3214"/>
      <c r="Z523" s="3214"/>
      <c r="AA523" s="3214"/>
      <c r="AB523" s="3638"/>
      <c r="AC523" s="3637"/>
      <c r="AD523" s="3206"/>
      <c r="AE523" s="3206"/>
      <c r="AF523" s="5301"/>
    </row>
    <row r="524" spans="1:32">
      <c r="A524" s="4564"/>
      <c r="B524" s="4570"/>
      <c r="C524" s="4545"/>
      <c r="D524" s="4514"/>
      <c r="E524" s="4514"/>
      <c r="F524" s="4514"/>
      <c r="G524" s="4514"/>
      <c r="H524" s="4514"/>
      <c r="I524" s="4514"/>
      <c r="J524" s="4514"/>
      <c r="K524" s="4514"/>
      <c r="L524" s="4514"/>
      <c r="M524" s="4901"/>
      <c r="N524" s="4901"/>
      <c r="O524" s="4901"/>
      <c r="P524" s="4514"/>
      <c r="Q524" s="4514"/>
      <c r="R524" s="4518"/>
      <c r="S524" s="3311"/>
      <c r="T524" s="1891"/>
      <c r="U524" s="1849"/>
      <c r="V524" s="1883"/>
      <c r="W524" s="1864"/>
      <c r="X524" s="3637"/>
      <c r="Y524" s="3214"/>
      <c r="Z524" s="3214"/>
      <c r="AA524" s="3214"/>
      <c r="AB524" s="3638"/>
      <c r="AC524" s="3637"/>
      <c r="AD524" s="3206"/>
      <c r="AE524" s="3206"/>
      <c r="AF524" s="5301"/>
    </row>
    <row r="525" spans="1:32" ht="31.5" customHeight="1">
      <c r="A525" s="4564"/>
      <c r="B525" s="4570"/>
      <c r="C525" s="4566"/>
      <c r="D525" s="4525"/>
      <c r="E525" s="4525"/>
      <c r="F525" s="4525"/>
      <c r="G525" s="4525"/>
      <c r="H525" s="4525"/>
      <c r="I525" s="4525"/>
      <c r="J525" s="4525"/>
      <c r="K525" s="4525"/>
      <c r="L525" s="4525"/>
      <c r="M525" s="4902"/>
      <c r="N525" s="4902"/>
      <c r="O525" s="4902"/>
      <c r="P525" s="4525"/>
      <c r="Q525" s="4525"/>
      <c r="R525" s="4528"/>
      <c r="S525" s="3314"/>
      <c r="T525" s="3821"/>
      <c r="U525" s="3271"/>
      <c r="V525" s="3822"/>
      <c r="W525" s="3254"/>
      <c r="X525" s="4037"/>
      <c r="Y525" s="3291"/>
      <c r="Z525" s="3291"/>
      <c r="AA525" s="3291"/>
      <c r="AB525" s="4118"/>
      <c r="AC525" s="4037"/>
      <c r="AD525" s="4119"/>
      <c r="AE525" s="4119"/>
      <c r="AF525" s="5302"/>
    </row>
    <row r="526" spans="1:32">
      <c r="A526" s="4564"/>
      <c r="B526" s="4570"/>
      <c r="C526" s="5239" t="s">
        <v>272</v>
      </c>
      <c r="D526" s="4377" t="s">
        <v>302</v>
      </c>
      <c r="E526" s="4377" t="s">
        <v>303</v>
      </c>
      <c r="F526" s="4377" t="s">
        <v>304</v>
      </c>
      <c r="G526" s="4906" t="s">
        <v>305</v>
      </c>
      <c r="H526" s="4377" t="s">
        <v>240</v>
      </c>
      <c r="I526" s="4377" t="s">
        <v>257</v>
      </c>
      <c r="J526" s="4377" t="s">
        <v>1859</v>
      </c>
      <c r="K526" s="4377" t="s">
        <v>1860</v>
      </c>
      <c r="L526" s="4377" t="s">
        <v>1861</v>
      </c>
      <c r="M526" s="4392">
        <v>1</v>
      </c>
      <c r="N526" s="4392">
        <v>0</v>
      </c>
      <c r="O526" s="4392">
        <v>1</v>
      </c>
      <c r="P526" s="4377" t="s">
        <v>1862</v>
      </c>
      <c r="Q526" s="4377" t="s">
        <v>1831</v>
      </c>
      <c r="R526" s="4903" t="s">
        <v>6118</v>
      </c>
      <c r="S526" s="3310"/>
      <c r="T526" s="3270"/>
      <c r="U526" s="3272"/>
      <c r="V526" s="4068"/>
      <c r="W526" s="4071"/>
      <c r="X526" s="3632"/>
      <c r="Y526" s="3633"/>
      <c r="Z526" s="3633"/>
      <c r="AA526" s="3633"/>
      <c r="AB526" s="3634"/>
      <c r="AC526" s="3632"/>
      <c r="AD526" s="4120"/>
      <c r="AE526" s="4120"/>
      <c r="AF526" s="5217"/>
    </row>
    <row r="527" spans="1:32">
      <c r="A527" s="4564"/>
      <c r="B527" s="4570"/>
      <c r="C527" s="4545"/>
      <c r="D527" s="4514"/>
      <c r="E527" s="4514"/>
      <c r="F527" s="4514"/>
      <c r="G527" s="4514"/>
      <c r="H527" s="4514"/>
      <c r="I527" s="4514"/>
      <c r="J527" s="4514"/>
      <c r="K527" s="4514"/>
      <c r="L527" s="4514"/>
      <c r="M527" s="4901"/>
      <c r="N527" s="4901"/>
      <c r="O527" s="4901"/>
      <c r="P527" s="4514"/>
      <c r="Q527" s="4514"/>
      <c r="R527" s="4518"/>
      <c r="S527" s="3311"/>
      <c r="T527" s="1891"/>
      <c r="U527" s="1849"/>
      <c r="V527" s="1883"/>
      <c r="W527" s="1864"/>
      <c r="X527" s="3637"/>
      <c r="Y527" s="3214"/>
      <c r="Z527" s="3214"/>
      <c r="AA527" s="3214"/>
      <c r="AB527" s="3638"/>
      <c r="AC527" s="3637"/>
      <c r="AD527" s="3206"/>
      <c r="AE527" s="3206"/>
      <c r="AF527" s="5301"/>
    </row>
    <row r="528" spans="1:32">
      <c r="A528" s="4564"/>
      <c r="B528" s="4570"/>
      <c r="C528" s="4545"/>
      <c r="D528" s="4514"/>
      <c r="E528" s="4514"/>
      <c r="F528" s="4514"/>
      <c r="G528" s="4514"/>
      <c r="H528" s="4514"/>
      <c r="I528" s="4514"/>
      <c r="J528" s="4514"/>
      <c r="K528" s="4514"/>
      <c r="L528" s="4514"/>
      <c r="M528" s="4901"/>
      <c r="N528" s="4901"/>
      <c r="O528" s="4901"/>
      <c r="P528" s="4514"/>
      <c r="Q528" s="4514"/>
      <c r="R528" s="4518"/>
      <c r="S528" s="3311"/>
      <c r="T528" s="1891"/>
      <c r="U528" s="1849"/>
      <c r="V528" s="1883"/>
      <c r="W528" s="1864"/>
      <c r="X528" s="3637"/>
      <c r="Y528" s="3214"/>
      <c r="Z528" s="3214"/>
      <c r="AA528" s="3214"/>
      <c r="AB528" s="3638"/>
      <c r="AC528" s="3637"/>
      <c r="AD528" s="3206"/>
      <c r="AE528" s="3206"/>
      <c r="AF528" s="5301"/>
    </row>
    <row r="529" spans="1:32">
      <c r="A529" s="4564"/>
      <c r="B529" s="4570"/>
      <c r="C529" s="4545"/>
      <c r="D529" s="4514"/>
      <c r="E529" s="4514"/>
      <c r="F529" s="4514"/>
      <c r="G529" s="4514"/>
      <c r="H529" s="4514"/>
      <c r="I529" s="4514"/>
      <c r="J529" s="4514"/>
      <c r="K529" s="4514"/>
      <c r="L529" s="4514"/>
      <c r="M529" s="4901"/>
      <c r="N529" s="4901"/>
      <c r="O529" s="4901"/>
      <c r="P529" s="4514"/>
      <c r="Q529" s="4514"/>
      <c r="R529" s="4518"/>
      <c r="S529" s="3311"/>
      <c r="T529" s="1891"/>
      <c r="U529" s="1849"/>
      <c r="V529" s="1883"/>
      <c r="W529" s="1864"/>
      <c r="X529" s="3637"/>
      <c r="Y529" s="3214"/>
      <c r="Z529" s="3214"/>
      <c r="AA529" s="3214"/>
      <c r="AB529" s="3638"/>
      <c r="AC529" s="3637"/>
      <c r="AD529" s="3206"/>
      <c r="AE529" s="3206"/>
      <c r="AF529" s="5301"/>
    </row>
    <row r="530" spans="1:32" ht="28.5" customHeight="1">
      <c r="A530" s="4564"/>
      <c r="B530" s="4570"/>
      <c r="C530" s="4573"/>
      <c r="D530" s="4515"/>
      <c r="E530" s="4515"/>
      <c r="F530" s="4515"/>
      <c r="G530" s="4515"/>
      <c r="H530" s="4515"/>
      <c r="I530" s="4515"/>
      <c r="J530" s="4515"/>
      <c r="K530" s="4515"/>
      <c r="L530" s="4515"/>
      <c r="M530" s="5222"/>
      <c r="N530" s="5222"/>
      <c r="O530" s="5222"/>
      <c r="P530" s="4515"/>
      <c r="Q530" s="4515"/>
      <c r="R530" s="4519"/>
      <c r="S530" s="3312"/>
      <c r="T530" s="3819"/>
      <c r="U530" s="3268"/>
      <c r="V530" s="3641"/>
      <c r="W530" s="3233"/>
      <c r="X530" s="3642"/>
      <c r="Y530" s="3282"/>
      <c r="Z530" s="3282"/>
      <c r="AA530" s="3282"/>
      <c r="AB530" s="3643"/>
      <c r="AC530" s="3642"/>
      <c r="AD530" s="4117"/>
      <c r="AE530" s="4117"/>
      <c r="AF530" s="5303"/>
    </row>
    <row r="531" spans="1:32">
      <c r="A531" s="4564"/>
      <c r="B531" s="4570"/>
      <c r="C531" s="5236" t="s">
        <v>272</v>
      </c>
      <c r="D531" s="4395" t="s">
        <v>302</v>
      </c>
      <c r="E531" s="4395" t="s">
        <v>303</v>
      </c>
      <c r="F531" s="4395" t="s">
        <v>304</v>
      </c>
      <c r="G531" s="4930" t="s">
        <v>305</v>
      </c>
      <c r="H531" s="4395" t="s">
        <v>240</v>
      </c>
      <c r="I531" s="4395" t="s">
        <v>257</v>
      </c>
      <c r="J531" s="4395" t="s">
        <v>1864</v>
      </c>
      <c r="K531" s="4395" t="s">
        <v>1865</v>
      </c>
      <c r="L531" s="4395" t="s">
        <v>1866</v>
      </c>
      <c r="M531" s="4401">
        <v>0</v>
      </c>
      <c r="N531" s="4401">
        <v>1</v>
      </c>
      <c r="O531" s="4401">
        <v>1</v>
      </c>
      <c r="P531" s="4395" t="s">
        <v>1867</v>
      </c>
      <c r="Q531" s="4395" t="s">
        <v>1868</v>
      </c>
      <c r="R531" s="4897" t="s">
        <v>6118</v>
      </c>
      <c r="S531" s="3313"/>
      <c r="T531" s="3071"/>
      <c r="U531" s="3274"/>
      <c r="V531" s="4069"/>
      <c r="W531" s="4070"/>
      <c r="X531" s="4033"/>
      <c r="Y531" s="3295"/>
      <c r="Z531" s="3295"/>
      <c r="AA531" s="3295"/>
      <c r="AB531" s="4115"/>
      <c r="AC531" s="4033"/>
      <c r="AD531" s="4116"/>
      <c r="AE531" s="4116"/>
      <c r="AF531" s="5209"/>
    </row>
    <row r="532" spans="1:32">
      <c r="A532" s="4564"/>
      <c r="B532" s="4570"/>
      <c r="C532" s="4545"/>
      <c r="D532" s="4514"/>
      <c r="E532" s="4514"/>
      <c r="F532" s="4514"/>
      <c r="G532" s="4514"/>
      <c r="H532" s="4514"/>
      <c r="I532" s="4514"/>
      <c r="J532" s="4514"/>
      <c r="K532" s="4514"/>
      <c r="L532" s="4514"/>
      <c r="M532" s="4901"/>
      <c r="N532" s="4901"/>
      <c r="O532" s="4901"/>
      <c r="P532" s="4514"/>
      <c r="Q532" s="4514"/>
      <c r="R532" s="4518"/>
      <c r="S532" s="3311"/>
      <c r="T532" s="1891"/>
      <c r="U532" s="1849"/>
      <c r="V532" s="1883"/>
      <c r="W532" s="1864"/>
      <c r="X532" s="3637"/>
      <c r="Y532" s="3214"/>
      <c r="Z532" s="3214"/>
      <c r="AA532" s="3214"/>
      <c r="AB532" s="3638"/>
      <c r="AC532" s="3637"/>
      <c r="AD532" s="3206"/>
      <c r="AE532" s="3206"/>
      <c r="AF532" s="5301"/>
    </row>
    <row r="533" spans="1:32">
      <c r="A533" s="4564"/>
      <c r="B533" s="4570"/>
      <c r="C533" s="4545"/>
      <c r="D533" s="4514"/>
      <c r="E533" s="4514"/>
      <c r="F533" s="4514"/>
      <c r="G533" s="4514"/>
      <c r="H533" s="4514"/>
      <c r="I533" s="4514"/>
      <c r="J533" s="4514"/>
      <c r="K533" s="4514"/>
      <c r="L533" s="4514"/>
      <c r="M533" s="4901"/>
      <c r="N533" s="4901"/>
      <c r="O533" s="4901"/>
      <c r="P533" s="4514"/>
      <c r="Q533" s="4514"/>
      <c r="R533" s="4518"/>
      <c r="S533" s="3311"/>
      <c r="T533" s="1891"/>
      <c r="U533" s="1849"/>
      <c r="V533" s="1883"/>
      <c r="W533" s="1864"/>
      <c r="X533" s="3637"/>
      <c r="Y533" s="3214"/>
      <c r="Z533" s="3214"/>
      <c r="AA533" s="3214"/>
      <c r="AB533" s="3638"/>
      <c r="AC533" s="3637"/>
      <c r="AD533" s="3206"/>
      <c r="AE533" s="3206"/>
      <c r="AF533" s="5301"/>
    </row>
    <row r="534" spans="1:32">
      <c r="A534" s="4564"/>
      <c r="B534" s="4570"/>
      <c r="C534" s="4545"/>
      <c r="D534" s="4514"/>
      <c r="E534" s="4514"/>
      <c r="F534" s="4514"/>
      <c r="G534" s="4514"/>
      <c r="H534" s="4514"/>
      <c r="I534" s="4514"/>
      <c r="J534" s="4514"/>
      <c r="K534" s="4514"/>
      <c r="L534" s="4514"/>
      <c r="M534" s="4901"/>
      <c r="N534" s="4901"/>
      <c r="O534" s="4901"/>
      <c r="P534" s="4514"/>
      <c r="Q534" s="4514"/>
      <c r="R534" s="4518"/>
      <c r="S534" s="3311"/>
      <c r="T534" s="1891"/>
      <c r="U534" s="1849"/>
      <c r="V534" s="1883"/>
      <c r="W534" s="1864"/>
      <c r="X534" s="3637"/>
      <c r="Y534" s="3214"/>
      <c r="Z534" s="3214"/>
      <c r="AA534" s="3214"/>
      <c r="AB534" s="3638"/>
      <c r="AC534" s="3637"/>
      <c r="AD534" s="3206"/>
      <c r="AE534" s="3206"/>
      <c r="AF534" s="5301"/>
    </row>
    <row r="535" spans="1:32" ht="32.25" customHeight="1">
      <c r="A535" s="4564"/>
      <c r="B535" s="4570"/>
      <c r="C535" s="4566"/>
      <c r="D535" s="4525"/>
      <c r="E535" s="4525"/>
      <c r="F535" s="4525"/>
      <c r="G535" s="4525"/>
      <c r="H535" s="4525"/>
      <c r="I535" s="4525"/>
      <c r="J535" s="4525"/>
      <c r="K535" s="4525"/>
      <c r="L535" s="4525"/>
      <c r="M535" s="4902"/>
      <c r="N535" s="4902"/>
      <c r="O535" s="4902"/>
      <c r="P535" s="4525"/>
      <c r="Q535" s="4525"/>
      <c r="R535" s="4528"/>
      <c r="S535" s="3314"/>
      <c r="T535" s="3821"/>
      <c r="U535" s="3271"/>
      <c r="V535" s="3822"/>
      <c r="W535" s="3254"/>
      <c r="X535" s="4037"/>
      <c r="Y535" s="3291"/>
      <c r="Z535" s="3291"/>
      <c r="AA535" s="3291"/>
      <c r="AB535" s="4118"/>
      <c r="AC535" s="4037"/>
      <c r="AD535" s="4119"/>
      <c r="AE535" s="4119"/>
      <c r="AF535" s="5302"/>
    </row>
    <row r="536" spans="1:32">
      <c r="A536" s="4564"/>
      <c r="B536" s="4570"/>
      <c r="C536" s="5239" t="s">
        <v>272</v>
      </c>
      <c r="D536" s="4377" t="s">
        <v>302</v>
      </c>
      <c r="E536" s="4377" t="s">
        <v>303</v>
      </c>
      <c r="F536" s="4377" t="s">
        <v>304</v>
      </c>
      <c r="G536" s="4906" t="s">
        <v>305</v>
      </c>
      <c r="H536" s="4377" t="s">
        <v>240</v>
      </c>
      <c r="I536" s="4377" t="s">
        <v>241</v>
      </c>
      <c r="J536" s="4377" t="s">
        <v>1898</v>
      </c>
      <c r="K536" s="4377" t="s">
        <v>1870</v>
      </c>
      <c r="L536" s="4377" t="s">
        <v>1871</v>
      </c>
      <c r="M536" s="4392">
        <v>0</v>
      </c>
      <c r="N536" s="4392">
        <v>1</v>
      </c>
      <c r="O536" s="4392">
        <v>1</v>
      </c>
      <c r="P536" s="4377" t="s">
        <v>1872</v>
      </c>
      <c r="Q536" s="4377" t="s">
        <v>1873</v>
      </c>
      <c r="R536" s="4903" t="s">
        <v>6121</v>
      </c>
      <c r="S536" s="3310"/>
      <c r="T536" s="3270"/>
      <c r="U536" s="3272"/>
      <c r="V536" s="4068"/>
      <c r="W536" s="4071"/>
      <c r="X536" s="3632"/>
      <c r="Y536" s="3633"/>
      <c r="Z536" s="3633"/>
      <c r="AA536" s="3633"/>
      <c r="AB536" s="3634"/>
      <c r="AC536" s="3632"/>
      <c r="AD536" s="4120"/>
      <c r="AE536" s="4120"/>
      <c r="AF536" s="5217"/>
    </row>
    <row r="537" spans="1:32">
      <c r="A537" s="4564"/>
      <c r="B537" s="4570"/>
      <c r="C537" s="4545"/>
      <c r="D537" s="4514"/>
      <c r="E537" s="4514"/>
      <c r="F537" s="4514"/>
      <c r="G537" s="4514"/>
      <c r="H537" s="4514"/>
      <c r="I537" s="4514"/>
      <c r="J537" s="4514"/>
      <c r="K537" s="4514"/>
      <c r="L537" s="4514"/>
      <c r="M537" s="4901"/>
      <c r="N537" s="4901"/>
      <c r="O537" s="4901"/>
      <c r="P537" s="4514"/>
      <c r="Q537" s="4514"/>
      <c r="R537" s="4518"/>
      <c r="S537" s="3311"/>
      <c r="T537" s="1891"/>
      <c r="U537" s="1849"/>
      <c r="V537" s="1883"/>
      <c r="W537" s="1864"/>
      <c r="X537" s="3637"/>
      <c r="Y537" s="3214"/>
      <c r="Z537" s="3214"/>
      <c r="AA537" s="3214"/>
      <c r="AB537" s="3638"/>
      <c r="AC537" s="3637"/>
      <c r="AD537" s="3206"/>
      <c r="AE537" s="3206"/>
      <c r="AF537" s="5301"/>
    </row>
    <row r="538" spans="1:32">
      <c r="A538" s="4564"/>
      <c r="B538" s="4570"/>
      <c r="C538" s="4545"/>
      <c r="D538" s="4514"/>
      <c r="E538" s="4514"/>
      <c r="F538" s="4514"/>
      <c r="G538" s="4514"/>
      <c r="H538" s="4514"/>
      <c r="I538" s="4514"/>
      <c r="J538" s="4514"/>
      <c r="K538" s="4514"/>
      <c r="L538" s="4514"/>
      <c r="M538" s="4901"/>
      <c r="N538" s="4901"/>
      <c r="O538" s="4901"/>
      <c r="P538" s="4514"/>
      <c r="Q538" s="4514"/>
      <c r="R538" s="4518"/>
      <c r="S538" s="3311"/>
      <c r="T538" s="1891"/>
      <c r="U538" s="1849"/>
      <c r="V538" s="1883"/>
      <c r="W538" s="1864"/>
      <c r="X538" s="3637"/>
      <c r="Y538" s="3214"/>
      <c r="Z538" s="3214"/>
      <c r="AA538" s="3214"/>
      <c r="AB538" s="3638"/>
      <c r="AC538" s="3637"/>
      <c r="AD538" s="3206"/>
      <c r="AE538" s="3206"/>
      <c r="AF538" s="5301"/>
    </row>
    <row r="539" spans="1:32">
      <c r="A539" s="4564"/>
      <c r="B539" s="4570"/>
      <c r="C539" s="4545"/>
      <c r="D539" s="4514"/>
      <c r="E539" s="4514"/>
      <c r="F539" s="4514"/>
      <c r="G539" s="4514"/>
      <c r="H539" s="4514"/>
      <c r="I539" s="4514"/>
      <c r="J539" s="4514"/>
      <c r="K539" s="4514"/>
      <c r="L539" s="4514"/>
      <c r="M539" s="4901"/>
      <c r="N539" s="4901"/>
      <c r="O539" s="4901"/>
      <c r="P539" s="4514"/>
      <c r="Q539" s="4514"/>
      <c r="R539" s="4518"/>
      <c r="S539" s="3311"/>
      <c r="T539" s="1891"/>
      <c r="U539" s="1849"/>
      <c r="V539" s="1883"/>
      <c r="W539" s="1864"/>
      <c r="X539" s="3637"/>
      <c r="Y539" s="3214"/>
      <c r="Z539" s="3214"/>
      <c r="AA539" s="3214"/>
      <c r="AB539" s="3638"/>
      <c r="AC539" s="3637"/>
      <c r="AD539" s="3206"/>
      <c r="AE539" s="3206"/>
      <c r="AF539" s="5301"/>
    </row>
    <row r="540" spans="1:32" ht="30" customHeight="1">
      <c r="A540" s="4564"/>
      <c r="B540" s="4570"/>
      <c r="C540" s="4573"/>
      <c r="D540" s="4515"/>
      <c r="E540" s="4515"/>
      <c r="F540" s="4515"/>
      <c r="G540" s="4515"/>
      <c r="H540" s="4515"/>
      <c r="I540" s="4515"/>
      <c r="J540" s="4515"/>
      <c r="K540" s="4515"/>
      <c r="L540" s="4515"/>
      <c r="M540" s="5222"/>
      <c r="N540" s="5222"/>
      <c r="O540" s="5222"/>
      <c r="P540" s="4515"/>
      <c r="Q540" s="4515"/>
      <c r="R540" s="4519"/>
      <c r="S540" s="3312"/>
      <c r="T540" s="3819"/>
      <c r="U540" s="3268"/>
      <c r="V540" s="3641"/>
      <c r="W540" s="3233"/>
      <c r="X540" s="3642"/>
      <c r="Y540" s="3282"/>
      <c r="Z540" s="3282"/>
      <c r="AA540" s="3282"/>
      <c r="AB540" s="3643"/>
      <c r="AC540" s="3642"/>
      <c r="AD540" s="4117"/>
      <c r="AE540" s="4117"/>
      <c r="AF540" s="5303"/>
    </row>
    <row r="541" spans="1:32" ht="21.75" customHeight="1">
      <c r="A541" s="4564"/>
      <c r="B541" s="4570"/>
      <c r="C541" s="5236" t="s">
        <v>272</v>
      </c>
      <c r="D541" s="4395" t="s">
        <v>302</v>
      </c>
      <c r="E541" s="4395" t="s">
        <v>388</v>
      </c>
      <c r="F541" s="4395" t="s">
        <v>847</v>
      </c>
      <c r="G541" s="4930" t="s">
        <v>305</v>
      </c>
      <c r="H541" s="4395" t="s">
        <v>306</v>
      </c>
      <c r="I541" s="4395" t="s">
        <v>257</v>
      </c>
      <c r="J541" s="4395" t="s">
        <v>1874</v>
      </c>
      <c r="K541" s="4395" t="s">
        <v>1875</v>
      </c>
      <c r="L541" s="4395" t="s">
        <v>1876</v>
      </c>
      <c r="M541" s="4401">
        <v>0</v>
      </c>
      <c r="N541" s="4401">
        <v>0</v>
      </c>
      <c r="O541" s="4401">
        <v>1</v>
      </c>
      <c r="P541" s="4395" t="s">
        <v>1877</v>
      </c>
      <c r="Q541" s="4395" t="s">
        <v>500</v>
      </c>
      <c r="R541" s="4897" t="s">
        <v>6115</v>
      </c>
      <c r="S541" s="3313"/>
      <c r="T541" s="3071"/>
      <c r="U541" s="3274"/>
      <c r="V541" s="4069"/>
      <c r="W541" s="4070"/>
      <c r="X541" s="4033"/>
      <c r="Y541" s="3295"/>
      <c r="Z541" s="3295"/>
      <c r="AA541" s="3295"/>
      <c r="AB541" s="4115"/>
      <c r="AC541" s="4033"/>
      <c r="AD541" s="4116"/>
      <c r="AE541" s="4116"/>
      <c r="AF541" s="5209"/>
    </row>
    <row r="542" spans="1:32" ht="21.75" customHeight="1">
      <c r="A542" s="4564"/>
      <c r="B542" s="4570"/>
      <c r="C542" s="4545"/>
      <c r="D542" s="4514"/>
      <c r="E542" s="4514"/>
      <c r="F542" s="4514"/>
      <c r="G542" s="4514"/>
      <c r="H542" s="4514"/>
      <c r="I542" s="4514"/>
      <c r="J542" s="4514"/>
      <c r="K542" s="4514"/>
      <c r="L542" s="4514"/>
      <c r="M542" s="4901"/>
      <c r="N542" s="4901"/>
      <c r="O542" s="4901"/>
      <c r="P542" s="4514"/>
      <c r="Q542" s="4514"/>
      <c r="R542" s="4518"/>
      <c r="S542" s="3311"/>
      <c r="T542" s="1891"/>
      <c r="U542" s="1849"/>
      <c r="V542" s="1883"/>
      <c r="W542" s="1864"/>
      <c r="X542" s="3637"/>
      <c r="Y542" s="3214"/>
      <c r="Z542" s="3214"/>
      <c r="AA542" s="3214"/>
      <c r="AB542" s="3638"/>
      <c r="AC542" s="3637"/>
      <c r="AD542" s="3206"/>
      <c r="AE542" s="3206"/>
      <c r="AF542" s="5301"/>
    </row>
    <row r="543" spans="1:32" ht="21.75" customHeight="1">
      <c r="A543" s="4564"/>
      <c r="B543" s="4570"/>
      <c r="C543" s="4545"/>
      <c r="D543" s="4514"/>
      <c r="E543" s="4514"/>
      <c r="F543" s="4514"/>
      <c r="G543" s="4514"/>
      <c r="H543" s="4514"/>
      <c r="I543" s="4514"/>
      <c r="J543" s="4514"/>
      <c r="K543" s="4514"/>
      <c r="L543" s="4514"/>
      <c r="M543" s="4901"/>
      <c r="N543" s="4901"/>
      <c r="O543" s="4901"/>
      <c r="P543" s="4514"/>
      <c r="Q543" s="4514"/>
      <c r="R543" s="4518"/>
      <c r="S543" s="3311"/>
      <c r="T543" s="1891"/>
      <c r="U543" s="1849"/>
      <c r="V543" s="1883"/>
      <c r="W543" s="1864"/>
      <c r="X543" s="3637"/>
      <c r="Y543" s="3214"/>
      <c r="Z543" s="3214"/>
      <c r="AA543" s="3214"/>
      <c r="AB543" s="3638"/>
      <c r="AC543" s="3637"/>
      <c r="AD543" s="3206"/>
      <c r="AE543" s="3206"/>
      <c r="AF543" s="5301"/>
    </row>
    <row r="544" spans="1:32" ht="21.75" customHeight="1">
      <c r="A544" s="4564"/>
      <c r="B544" s="4570"/>
      <c r="C544" s="4545"/>
      <c r="D544" s="4514"/>
      <c r="E544" s="4514"/>
      <c r="F544" s="4514"/>
      <c r="G544" s="4514"/>
      <c r="H544" s="4514"/>
      <c r="I544" s="4514"/>
      <c r="J544" s="4514"/>
      <c r="K544" s="4514"/>
      <c r="L544" s="4514"/>
      <c r="M544" s="4901"/>
      <c r="N544" s="4901"/>
      <c r="O544" s="4901"/>
      <c r="P544" s="4514"/>
      <c r="Q544" s="4514"/>
      <c r="R544" s="4518"/>
      <c r="S544" s="3311"/>
      <c r="T544" s="1891"/>
      <c r="U544" s="1849"/>
      <c r="V544" s="1883"/>
      <c r="W544" s="1864"/>
      <c r="X544" s="3637"/>
      <c r="Y544" s="3214"/>
      <c r="Z544" s="3214"/>
      <c r="AA544" s="3214"/>
      <c r="AB544" s="3638"/>
      <c r="AC544" s="3637"/>
      <c r="AD544" s="3206"/>
      <c r="AE544" s="3206"/>
      <c r="AF544" s="5301"/>
    </row>
    <row r="545" spans="1:32" ht="21.75" customHeight="1">
      <c r="A545" s="4564"/>
      <c r="B545" s="4570"/>
      <c r="C545" s="4566"/>
      <c r="D545" s="4525"/>
      <c r="E545" s="4525"/>
      <c r="F545" s="4525"/>
      <c r="G545" s="4525"/>
      <c r="H545" s="4525"/>
      <c r="I545" s="4525"/>
      <c r="J545" s="4525"/>
      <c r="K545" s="4525"/>
      <c r="L545" s="4525"/>
      <c r="M545" s="4902"/>
      <c r="N545" s="4902"/>
      <c r="O545" s="4902"/>
      <c r="P545" s="4525"/>
      <c r="Q545" s="4525"/>
      <c r="R545" s="4528"/>
      <c r="S545" s="3314"/>
      <c r="T545" s="3821"/>
      <c r="U545" s="3271"/>
      <c r="V545" s="3822"/>
      <c r="W545" s="3254"/>
      <c r="X545" s="4037"/>
      <c r="Y545" s="3291"/>
      <c r="Z545" s="3291"/>
      <c r="AA545" s="3291"/>
      <c r="AB545" s="4118"/>
      <c r="AC545" s="4037"/>
      <c r="AD545" s="4119"/>
      <c r="AE545" s="4119"/>
      <c r="AF545" s="5302"/>
    </row>
    <row r="546" spans="1:32">
      <c r="A546" s="4564"/>
      <c r="B546" s="4570"/>
      <c r="C546" s="5239" t="s">
        <v>272</v>
      </c>
      <c r="D546" s="4377" t="s">
        <v>302</v>
      </c>
      <c r="E546" s="4377" t="s">
        <v>303</v>
      </c>
      <c r="F546" s="4377" t="s">
        <v>304</v>
      </c>
      <c r="G546" s="4906" t="s">
        <v>305</v>
      </c>
      <c r="H546" s="4377" t="s">
        <v>240</v>
      </c>
      <c r="I546" s="4377" t="s">
        <v>241</v>
      </c>
      <c r="J546" s="4377" t="s">
        <v>1878</v>
      </c>
      <c r="K546" s="4377" t="s">
        <v>1879</v>
      </c>
      <c r="L546" s="4377" t="s">
        <v>1880</v>
      </c>
      <c r="M546" s="4392">
        <v>20</v>
      </c>
      <c r="N546" s="4392">
        <v>20</v>
      </c>
      <c r="O546" s="4392">
        <v>20</v>
      </c>
      <c r="P546" s="4377" t="s">
        <v>1881</v>
      </c>
      <c r="Q546" s="4377" t="s">
        <v>1882</v>
      </c>
      <c r="R546" s="4903" t="s">
        <v>6122</v>
      </c>
      <c r="S546" s="3310"/>
      <c r="T546" s="3270"/>
      <c r="U546" s="3272"/>
      <c r="V546" s="4068"/>
      <c r="W546" s="4071"/>
      <c r="X546" s="3632"/>
      <c r="Y546" s="3633"/>
      <c r="Z546" s="3633"/>
      <c r="AA546" s="3633"/>
      <c r="AB546" s="3634"/>
      <c r="AC546" s="3632"/>
      <c r="AD546" s="4120"/>
      <c r="AE546" s="4120"/>
      <c r="AF546" s="5217"/>
    </row>
    <row r="547" spans="1:32">
      <c r="A547" s="4564"/>
      <c r="B547" s="4570"/>
      <c r="C547" s="4545"/>
      <c r="D547" s="4514"/>
      <c r="E547" s="4514"/>
      <c r="F547" s="4514"/>
      <c r="G547" s="4514"/>
      <c r="H547" s="4514"/>
      <c r="I547" s="4514"/>
      <c r="J547" s="4514"/>
      <c r="K547" s="4514"/>
      <c r="L547" s="4514"/>
      <c r="M547" s="4901"/>
      <c r="N547" s="4901"/>
      <c r="O547" s="4901"/>
      <c r="P547" s="4514"/>
      <c r="Q547" s="4514"/>
      <c r="R547" s="4518"/>
      <c r="S547" s="3311"/>
      <c r="T547" s="1891"/>
      <c r="U547" s="1849"/>
      <c r="V547" s="1883"/>
      <c r="W547" s="1864"/>
      <c r="X547" s="3637"/>
      <c r="Y547" s="3214"/>
      <c r="Z547" s="3214"/>
      <c r="AA547" s="3214"/>
      <c r="AB547" s="3638"/>
      <c r="AC547" s="3637"/>
      <c r="AD547" s="3206"/>
      <c r="AE547" s="3206"/>
      <c r="AF547" s="5301"/>
    </row>
    <row r="548" spans="1:32">
      <c r="A548" s="4564"/>
      <c r="B548" s="4570"/>
      <c r="C548" s="4545"/>
      <c r="D548" s="4514"/>
      <c r="E548" s="4514"/>
      <c r="F548" s="4514"/>
      <c r="G548" s="4514"/>
      <c r="H548" s="4514"/>
      <c r="I548" s="4514"/>
      <c r="J548" s="4514"/>
      <c r="K548" s="4514"/>
      <c r="L548" s="4514"/>
      <c r="M548" s="4901"/>
      <c r="N548" s="4901"/>
      <c r="O548" s="4901"/>
      <c r="P548" s="4514"/>
      <c r="Q548" s="4514"/>
      <c r="R548" s="4518"/>
      <c r="S548" s="3311"/>
      <c r="T548" s="1891"/>
      <c r="U548" s="1849"/>
      <c r="V548" s="1883"/>
      <c r="W548" s="1864"/>
      <c r="X548" s="3637"/>
      <c r="Y548" s="3214"/>
      <c r="Z548" s="3214"/>
      <c r="AA548" s="3214"/>
      <c r="AB548" s="3638"/>
      <c r="AC548" s="3637"/>
      <c r="AD548" s="3206"/>
      <c r="AE548" s="3206"/>
      <c r="AF548" s="5301"/>
    </row>
    <row r="549" spans="1:32">
      <c r="A549" s="4564"/>
      <c r="B549" s="4570"/>
      <c r="C549" s="4545"/>
      <c r="D549" s="4514"/>
      <c r="E549" s="4514"/>
      <c r="F549" s="4514"/>
      <c r="G549" s="4514"/>
      <c r="H549" s="4514"/>
      <c r="I549" s="4514"/>
      <c r="J549" s="4514"/>
      <c r="K549" s="4514"/>
      <c r="L549" s="4514"/>
      <c r="M549" s="4901"/>
      <c r="N549" s="4901"/>
      <c r="O549" s="4901"/>
      <c r="P549" s="4514"/>
      <c r="Q549" s="4514"/>
      <c r="R549" s="4518"/>
      <c r="S549" s="3311"/>
      <c r="T549" s="1891"/>
      <c r="U549" s="1849"/>
      <c r="V549" s="1883"/>
      <c r="W549" s="1864"/>
      <c r="X549" s="3637"/>
      <c r="Y549" s="3214"/>
      <c r="Z549" s="3214"/>
      <c r="AA549" s="3214"/>
      <c r="AB549" s="3638"/>
      <c r="AC549" s="3637"/>
      <c r="AD549" s="3206"/>
      <c r="AE549" s="3206"/>
      <c r="AF549" s="5301"/>
    </row>
    <row r="550" spans="1:32" ht="30.75" customHeight="1">
      <c r="A550" s="4564"/>
      <c r="B550" s="4570"/>
      <c r="C550" s="4573"/>
      <c r="D550" s="4515"/>
      <c r="E550" s="4515"/>
      <c r="F550" s="4515"/>
      <c r="G550" s="4515"/>
      <c r="H550" s="4515"/>
      <c r="I550" s="4515"/>
      <c r="J550" s="4515"/>
      <c r="K550" s="4515"/>
      <c r="L550" s="4515"/>
      <c r="M550" s="5222"/>
      <c r="N550" s="5222"/>
      <c r="O550" s="5222"/>
      <c r="P550" s="4515"/>
      <c r="Q550" s="4515"/>
      <c r="R550" s="4519"/>
      <c r="S550" s="3312"/>
      <c r="T550" s="3819"/>
      <c r="U550" s="3268"/>
      <c r="V550" s="3641"/>
      <c r="W550" s="3233"/>
      <c r="X550" s="3642"/>
      <c r="Y550" s="3282"/>
      <c r="Z550" s="3282"/>
      <c r="AA550" s="3282"/>
      <c r="AB550" s="3643"/>
      <c r="AC550" s="3642"/>
      <c r="AD550" s="4117"/>
      <c r="AE550" s="4117"/>
      <c r="AF550" s="5303"/>
    </row>
    <row r="551" spans="1:32">
      <c r="A551" s="4564"/>
      <c r="B551" s="4570"/>
      <c r="C551" s="5236" t="s">
        <v>272</v>
      </c>
      <c r="D551" s="4395" t="s">
        <v>302</v>
      </c>
      <c r="E551" s="4395" t="s">
        <v>303</v>
      </c>
      <c r="F551" s="4395" t="s">
        <v>304</v>
      </c>
      <c r="G551" s="4930" t="s">
        <v>305</v>
      </c>
      <c r="H551" s="4395" t="s">
        <v>240</v>
      </c>
      <c r="I551" s="4395" t="s">
        <v>257</v>
      </c>
      <c r="J551" s="4395" t="s">
        <v>1883</v>
      </c>
      <c r="K551" s="4395" t="s">
        <v>1884</v>
      </c>
      <c r="L551" s="4395" t="s">
        <v>1885</v>
      </c>
      <c r="M551" s="4401">
        <v>1</v>
      </c>
      <c r="N551" s="4401">
        <v>1</v>
      </c>
      <c r="O551" s="4401">
        <v>1</v>
      </c>
      <c r="P551" s="4395" t="s">
        <v>1886</v>
      </c>
      <c r="Q551" s="4395" t="s">
        <v>1886</v>
      </c>
      <c r="R551" s="4897" t="s">
        <v>6121</v>
      </c>
      <c r="S551" s="3313"/>
      <c r="T551" s="3071"/>
      <c r="U551" s="3274"/>
      <c r="V551" s="4069"/>
      <c r="W551" s="4070"/>
      <c r="X551" s="4033"/>
      <c r="Y551" s="3295"/>
      <c r="Z551" s="3295"/>
      <c r="AA551" s="3295"/>
      <c r="AB551" s="4115"/>
      <c r="AC551" s="4033"/>
      <c r="AD551" s="4116"/>
      <c r="AE551" s="4116"/>
      <c r="AF551" s="5209"/>
    </row>
    <row r="552" spans="1:32">
      <c r="A552" s="4564"/>
      <c r="B552" s="4570"/>
      <c r="C552" s="4545"/>
      <c r="D552" s="4514"/>
      <c r="E552" s="4514"/>
      <c r="F552" s="4514"/>
      <c r="G552" s="4514"/>
      <c r="H552" s="4514"/>
      <c r="I552" s="4514"/>
      <c r="J552" s="4514"/>
      <c r="K552" s="4514"/>
      <c r="L552" s="4514"/>
      <c r="M552" s="4901"/>
      <c r="N552" s="4901"/>
      <c r="O552" s="4901"/>
      <c r="P552" s="4514"/>
      <c r="Q552" s="4514"/>
      <c r="R552" s="4518"/>
      <c r="S552" s="3311"/>
      <c r="T552" s="1891"/>
      <c r="U552" s="1849"/>
      <c r="V552" s="1883"/>
      <c r="W552" s="1864"/>
      <c r="X552" s="3637"/>
      <c r="Y552" s="3214"/>
      <c r="Z552" s="3214"/>
      <c r="AA552" s="3214"/>
      <c r="AB552" s="3638"/>
      <c r="AC552" s="3637"/>
      <c r="AD552" s="3206"/>
      <c r="AE552" s="3206"/>
      <c r="AF552" s="5301"/>
    </row>
    <row r="553" spans="1:32">
      <c r="A553" s="4564"/>
      <c r="B553" s="4570"/>
      <c r="C553" s="4545"/>
      <c r="D553" s="4514"/>
      <c r="E553" s="4514"/>
      <c r="F553" s="4514"/>
      <c r="G553" s="4514"/>
      <c r="H553" s="4514"/>
      <c r="I553" s="4514"/>
      <c r="J553" s="4514"/>
      <c r="K553" s="4514"/>
      <c r="L553" s="4514"/>
      <c r="M553" s="4901"/>
      <c r="N553" s="4901"/>
      <c r="O553" s="4901"/>
      <c r="P553" s="4514"/>
      <c r="Q553" s="4514"/>
      <c r="R553" s="4518"/>
      <c r="S553" s="3311"/>
      <c r="T553" s="1891"/>
      <c r="U553" s="1849"/>
      <c r="V553" s="1883"/>
      <c r="W553" s="1864"/>
      <c r="X553" s="3637"/>
      <c r="Y553" s="3214"/>
      <c r="Z553" s="3214"/>
      <c r="AA553" s="3214"/>
      <c r="AB553" s="3638"/>
      <c r="AC553" s="3637"/>
      <c r="AD553" s="3206"/>
      <c r="AE553" s="3206"/>
      <c r="AF553" s="5301"/>
    </row>
    <row r="554" spans="1:32">
      <c r="A554" s="4564"/>
      <c r="B554" s="4570"/>
      <c r="C554" s="4545"/>
      <c r="D554" s="4514"/>
      <c r="E554" s="4514"/>
      <c r="F554" s="4514"/>
      <c r="G554" s="4514"/>
      <c r="H554" s="4514"/>
      <c r="I554" s="4514"/>
      <c r="J554" s="4514"/>
      <c r="K554" s="4514"/>
      <c r="L554" s="4514"/>
      <c r="M554" s="4901"/>
      <c r="N554" s="4901"/>
      <c r="O554" s="4901"/>
      <c r="P554" s="4514"/>
      <c r="Q554" s="4514"/>
      <c r="R554" s="4518"/>
      <c r="S554" s="3311"/>
      <c r="T554" s="1891"/>
      <c r="U554" s="1849"/>
      <c r="V554" s="1883"/>
      <c r="W554" s="1864"/>
      <c r="X554" s="3637"/>
      <c r="Y554" s="3214"/>
      <c r="Z554" s="3214"/>
      <c r="AA554" s="3214"/>
      <c r="AB554" s="3638"/>
      <c r="AC554" s="3637"/>
      <c r="AD554" s="3206"/>
      <c r="AE554" s="3206"/>
      <c r="AF554" s="5301"/>
    </row>
    <row r="555" spans="1:32" ht="27.75" customHeight="1" thickBot="1">
      <c r="A555" s="4564"/>
      <c r="B555" s="4570"/>
      <c r="C555" s="5287"/>
      <c r="D555" s="5285"/>
      <c r="E555" s="5285"/>
      <c r="F555" s="5285"/>
      <c r="G555" s="5285"/>
      <c r="H555" s="5285"/>
      <c r="I555" s="5285"/>
      <c r="J555" s="5285"/>
      <c r="K555" s="5285"/>
      <c r="L555" s="5285"/>
      <c r="M555" s="5294"/>
      <c r="N555" s="5294"/>
      <c r="O555" s="5294"/>
      <c r="P555" s="5285"/>
      <c r="Q555" s="5285"/>
      <c r="R555" s="5295"/>
      <c r="S555" s="4136"/>
      <c r="T555" s="4105"/>
      <c r="U555" s="4106"/>
      <c r="V555" s="4107"/>
      <c r="W555" s="4108"/>
      <c r="X555" s="4109"/>
      <c r="Y555" s="4110"/>
      <c r="Z555" s="4110"/>
      <c r="AA555" s="4110"/>
      <c r="AB555" s="4111"/>
      <c r="AC555" s="4109"/>
      <c r="AD555" s="4112"/>
      <c r="AE555" s="4112"/>
      <c r="AF555" s="5304"/>
    </row>
    <row r="556" spans="1:32" ht="27" customHeight="1" thickBot="1">
      <c r="A556" s="4564"/>
      <c r="B556" s="4479"/>
      <c r="C556" s="5323"/>
      <c r="D556" s="4807"/>
      <c r="E556" s="4807"/>
      <c r="F556" s="4807"/>
      <c r="G556" s="4807"/>
      <c r="H556" s="4807"/>
      <c r="I556" s="4807"/>
      <c r="J556" s="4807"/>
      <c r="K556" s="4807"/>
      <c r="L556" s="4807"/>
      <c r="M556" s="4807"/>
      <c r="N556" s="4807"/>
      <c r="O556" s="4807"/>
      <c r="P556" s="4807"/>
      <c r="Q556" s="4807"/>
      <c r="R556" s="4807"/>
      <c r="S556" s="4138" t="s">
        <v>1899</v>
      </c>
      <c r="T556" s="4073"/>
      <c r="U556" s="4073"/>
      <c r="V556" s="4073"/>
      <c r="W556" s="4074"/>
      <c r="X556" s="4075"/>
      <c r="Y556" s="4076"/>
      <c r="Z556" s="4143"/>
      <c r="AA556" s="4144" t="s">
        <v>340</v>
      </c>
      <c r="AB556" s="4146">
        <f>SUM(AB481:AB555)</f>
        <v>0</v>
      </c>
      <c r="AC556" s="4145"/>
      <c r="AD556" s="4075"/>
      <c r="AE556" s="4075"/>
      <c r="AF556" s="4080"/>
    </row>
    <row r="557" spans="1:32" ht="20.25" customHeight="1">
      <c r="A557" s="4564"/>
      <c r="B557" s="4571" t="s">
        <v>1900</v>
      </c>
      <c r="C557" s="5288" t="s">
        <v>272</v>
      </c>
      <c r="D557" s="4421" t="s">
        <v>236</v>
      </c>
      <c r="E557" s="4421" t="s">
        <v>244</v>
      </c>
      <c r="F557" s="4421" t="s">
        <v>337</v>
      </c>
      <c r="G557" s="5286" t="s">
        <v>239</v>
      </c>
      <c r="H557" s="4421" t="s">
        <v>240</v>
      </c>
      <c r="I557" s="4421" t="s">
        <v>257</v>
      </c>
      <c r="J557" s="4421" t="s">
        <v>6021</v>
      </c>
      <c r="K557" s="4421" t="s">
        <v>1821</v>
      </c>
      <c r="L557" s="4421" t="s">
        <v>1822</v>
      </c>
      <c r="M557" s="4426">
        <v>2</v>
      </c>
      <c r="N557" s="4426">
        <v>3</v>
      </c>
      <c r="O557" s="4426">
        <v>3</v>
      </c>
      <c r="P557" s="4421" t="s">
        <v>1901</v>
      </c>
      <c r="Q557" s="4421" t="s">
        <v>1824</v>
      </c>
      <c r="R557" s="5290" t="s">
        <v>6123</v>
      </c>
      <c r="S557" s="4135"/>
      <c r="T557" s="3853"/>
      <c r="U557" s="3874"/>
      <c r="V557" s="3854"/>
      <c r="W557" s="3855"/>
      <c r="X557" s="4091"/>
      <c r="Y557" s="4092"/>
      <c r="Z557" s="4092"/>
      <c r="AA557" s="4092"/>
      <c r="AB557" s="4093"/>
      <c r="AC557" s="4091"/>
      <c r="AD557" s="4094"/>
      <c r="AE557" s="4094"/>
      <c r="AF557" s="5321"/>
    </row>
    <row r="558" spans="1:32" ht="20.25" customHeight="1">
      <c r="A558" s="4564"/>
      <c r="B558" s="4570"/>
      <c r="C558" s="4545"/>
      <c r="D558" s="4514"/>
      <c r="E558" s="4514"/>
      <c r="F558" s="4514"/>
      <c r="G558" s="4514"/>
      <c r="H558" s="4514"/>
      <c r="I558" s="4514"/>
      <c r="J558" s="4514"/>
      <c r="K558" s="4514"/>
      <c r="L558" s="4514"/>
      <c r="M558" s="4901"/>
      <c r="N558" s="4901"/>
      <c r="O558" s="4901"/>
      <c r="P558" s="4514"/>
      <c r="Q558" s="4514"/>
      <c r="R558" s="4518"/>
      <c r="S558" s="3311"/>
      <c r="T558" s="1891"/>
      <c r="U558" s="1849"/>
      <c r="V558" s="1883"/>
      <c r="W558" s="1864"/>
      <c r="X558" s="3637"/>
      <c r="Y558" s="3214"/>
      <c r="Z558" s="3214"/>
      <c r="AA558" s="3214"/>
      <c r="AB558" s="3638"/>
      <c r="AC558" s="3637"/>
      <c r="AD558" s="3206"/>
      <c r="AE558" s="3206"/>
      <c r="AF558" s="5301"/>
    </row>
    <row r="559" spans="1:32" ht="20.25" customHeight="1">
      <c r="A559" s="4564"/>
      <c r="B559" s="4570"/>
      <c r="C559" s="4545"/>
      <c r="D559" s="4514"/>
      <c r="E559" s="4514"/>
      <c r="F559" s="4514"/>
      <c r="G559" s="4514"/>
      <c r="H559" s="4514"/>
      <c r="I559" s="4514"/>
      <c r="J559" s="4514"/>
      <c r="K559" s="4514"/>
      <c r="L559" s="4514"/>
      <c r="M559" s="4901"/>
      <c r="N559" s="4901"/>
      <c r="O559" s="4901"/>
      <c r="P559" s="4514"/>
      <c r="Q559" s="4514"/>
      <c r="R559" s="4518"/>
      <c r="S559" s="3311"/>
      <c r="T559" s="1891"/>
      <c r="U559" s="1849"/>
      <c r="V559" s="1883"/>
      <c r="W559" s="1864"/>
      <c r="X559" s="3637"/>
      <c r="Y559" s="3214"/>
      <c r="Z559" s="3214"/>
      <c r="AA559" s="3214"/>
      <c r="AB559" s="3638"/>
      <c r="AC559" s="3637"/>
      <c r="AD559" s="3206"/>
      <c r="AE559" s="3206"/>
      <c r="AF559" s="5301"/>
    </row>
    <row r="560" spans="1:32" ht="20.25" customHeight="1">
      <c r="A560" s="4564"/>
      <c r="B560" s="4570"/>
      <c r="C560" s="4545"/>
      <c r="D560" s="4514"/>
      <c r="E560" s="4514"/>
      <c r="F560" s="4514"/>
      <c r="G560" s="4514"/>
      <c r="H560" s="4514"/>
      <c r="I560" s="4514"/>
      <c r="J560" s="4514"/>
      <c r="K560" s="4514"/>
      <c r="L560" s="4514"/>
      <c r="M560" s="4901"/>
      <c r="N560" s="4901"/>
      <c r="O560" s="4901"/>
      <c r="P560" s="4514"/>
      <c r="Q560" s="4514"/>
      <c r="R560" s="4518"/>
      <c r="S560" s="3311"/>
      <c r="T560" s="1891"/>
      <c r="U560" s="1849"/>
      <c r="V560" s="1883"/>
      <c r="W560" s="1864"/>
      <c r="X560" s="3637"/>
      <c r="Y560" s="3214"/>
      <c r="Z560" s="3214"/>
      <c r="AA560" s="3214"/>
      <c r="AB560" s="3638"/>
      <c r="AC560" s="3637"/>
      <c r="AD560" s="3206"/>
      <c r="AE560" s="3206"/>
      <c r="AF560" s="5301"/>
    </row>
    <row r="561" spans="1:32" ht="20.25" customHeight="1">
      <c r="A561" s="4564"/>
      <c r="B561" s="4570"/>
      <c r="C561" s="4566"/>
      <c r="D561" s="4525"/>
      <c r="E561" s="4525"/>
      <c r="F561" s="4525"/>
      <c r="G561" s="4525"/>
      <c r="H561" s="4525"/>
      <c r="I561" s="4525"/>
      <c r="J561" s="4525"/>
      <c r="K561" s="4525"/>
      <c r="L561" s="4525"/>
      <c r="M561" s="4902"/>
      <c r="N561" s="4902"/>
      <c r="O561" s="4902"/>
      <c r="P561" s="4525"/>
      <c r="Q561" s="4525"/>
      <c r="R561" s="4528"/>
      <c r="S561" s="3314"/>
      <c r="T561" s="3821"/>
      <c r="U561" s="3271"/>
      <c r="V561" s="3822"/>
      <c r="W561" s="3254"/>
      <c r="X561" s="4037"/>
      <c r="Y561" s="3291"/>
      <c r="Z561" s="3291"/>
      <c r="AA561" s="3291"/>
      <c r="AB561" s="4118"/>
      <c r="AC561" s="4037"/>
      <c r="AD561" s="4119"/>
      <c r="AE561" s="4119"/>
      <c r="AF561" s="5302"/>
    </row>
    <row r="562" spans="1:32" ht="17.25" customHeight="1">
      <c r="A562" s="4564"/>
      <c r="B562" s="4570"/>
      <c r="C562" s="5239" t="s">
        <v>272</v>
      </c>
      <c r="D562" s="4377" t="s">
        <v>302</v>
      </c>
      <c r="E562" s="4377" t="s">
        <v>303</v>
      </c>
      <c r="F562" s="4377" t="s">
        <v>304</v>
      </c>
      <c r="G562" s="4906" t="s">
        <v>305</v>
      </c>
      <c r="H562" s="4377" t="s">
        <v>240</v>
      </c>
      <c r="I562" s="4377" t="s">
        <v>241</v>
      </c>
      <c r="J562" s="4377" t="s">
        <v>1889</v>
      </c>
      <c r="K562" s="4377" t="s">
        <v>1825</v>
      </c>
      <c r="L562" s="4377" t="s">
        <v>1826</v>
      </c>
      <c r="M562" s="4392">
        <v>1</v>
      </c>
      <c r="N562" s="4392">
        <v>1</v>
      </c>
      <c r="O562" s="4392">
        <v>1</v>
      </c>
      <c r="P562" s="4377" t="s">
        <v>1827</v>
      </c>
      <c r="Q562" s="4377" t="s">
        <v>1824</v>
      </c>
      <c r="R562" s="4903" t="s">
        <v>6124</v>
      </c>
      <c r="S562" s="3310"/>
      <c r="T562" s="3270"/>
      <c r="U562" s="3272"/>
      <c r="V562" s="4068"/>
      <c r="W562" s="4071"/>
      <c r="X562" s="3632"/>
      <c r="Y562" s="3633"/>
      <c r="Z562" s="3633"/>
      <c r="AA562" s="3633"/>
      <c r="AB562" s="3634"/>
      <c r="AC562" s="3632"/>
      <c r="AD562" s="4120"/>
      <c r="AE562" s="4120"/>
      <c r="AF562" s="5217"/>
    </row>
    <row r="563" spans="1:32" ht="17.25" customHeight="1">
      <c r="A563" s="4564"/>
      <c r="B563" s="4570"/>
      <c r="C563" s="4545"/>
      <c r="D563" s="4514"/>
      <c r="E563" s="4514"/>
      <c r="F563" s="4514"/>
      <c r="G563" s="4514"/>
      <c r="H563" s="4514"/>
      <c r="I563" s="4514"/>
      <c r="J563" s="4514"/>
      <c r="K563" s="4514"/>
      <c r="L563" s="4514"/>
      <c r="M563" s="4901"/>
      <c r="N563" s="4901"/>
      <c r="O563" s="4901"/>
      <c r="P563" s="4514"/>
      <c r="Q563" s="4514"/>
      <c r="R563" s="4518"/>
      <c r="S563" s="3311"/>
      <c r="T563" s="1891"/>
      <c r="U563" s="1849"/>
      <c r="V563" s="1883"/>
      <c r="W563" s="1864"/>
      <c r="X563" s="3637"/>
      <c r="Y563" s="3214"/>
      <c r="Z563" s="3214"/>
      <c r="AA563" s="3214"/>
      <c r="AB563" s="3638"/>
      <c r="AC563" s="3637"/>
      <c r="AD563" s="3206"/>
      <c r="AE563" s="3206"/>
      <c r="AF563" s="5301"/>
    </row>
    <row r="564" spans="1:32" ht="17.25" customHeight="1">
      <c r="A564" s="4564"/>
      <c r="B564" s="4570"/>
      <c r="C564" s="4545"/>
      <c r="D564" s="4514"/>
      <c r="E564" s="4514"/>
      <c r="F564" s="4514"/>
      <c r="G564" s="4514"/>
      <c r="H564" s="4514"/>
      <c r="I564" s="4514"/>
      <c r="J564" s="4514"/>
      <c r="K564" s="4514"/>
      <c r="L564" s="4514"/>
      <c r="M564" s="4901"/>
      <c r="N564" s="4901"/>
      <c r="O564" s="4901"/>
      <c r="P564" s="4514"/>
      <c r="Q564" s="4514"/>
      <c r="R564" s="4518"/>
      <c r="S564" s="3311"/>
      <c r="T564" s="1891"/>
      <c r="U564" s="1849"/>
      <c r="V564" s="1883"/>
      <c r="W564" s="1864"/>
      <c r="X564" s="3637"/>
      <c r="Y564" s="3214"/>
      <c r="Z564" s="3214"/>
      <c r="AA564" s="3214"/>
      <c r="AB564" s="3638"/>
      <c r="AC564" s="3637"/>
      <c r="AD564" s="3206"/>
      <c r="AE564" s="3206"/>
      <c r="AF564" s="5301"/>
    </row>
    <row r="565" spans="1:32" ht="17.25" customHeight="1">
      <c r="A565" s="4564"/>
      <c r="B565" s="4570"/>
      <c r="C565" s="4545"/>
      <c r="D565" s="4514"/>
      <c r="E565" s="4514"/>
      <c r="F565" s="4514"/>
      <c r="G565" s="4514"/>
      <c r="H565" s="4514"/>
      <c r="I565" s="4514"/>
      <c r="J565" s="4514"/>
      <c r="K565" s="4514"/>
      <c r="L565" s="4514"/>
      <c r="M565" s="4901"/>
      <c r="N565" s="4901"/>
      <c r="O565" s="4901"/>
      <c r="P565" s="4514"/>
      <c r="Q565" s="4514"/>
      <c r="R565" s="4518"/>
      <c r="S565" s="3311"/>
      <c r="T565" s="1891"/>
      <c r="U565" s="1849"/>
      <c r="V565" s="1883"/>
      <c r="W565" s="1864"/>
      <c r="X565" s="3637"/>
      <c r="Y565" s="3214"/>
      <c r="Z565" s="3214"/>
      <c r="AA565" s="3214"/>
      <c r="AB565" s="3638"/>
      <c r="AC565" s="3637"/>
      <c r="AD565" s="3206"/>
      <c r="AE565" s="3206"/>
      <c r="AF565" s="5301"/>
    </row>
    <row r="566" spans="1:32" ht="17.25" customHeight="1">
      <c r="A566" s="4564"/>
      <c r="B566" s="4570"/>
      <c r="C566" s="4573"/>
      <c r="D566" s="4515"/>
      <c r="E566" s="4515"/>
      <c r="F566" s="4515"/>
      <c r="G566" s="4515"/>
      <c r="H566" s="4515"/>
      <c r="I566" s="4515"/>
      <c r="J566" s="4515"/>
      <c r="K566" s="4515"/>
      <c r="L566" s="4515"/>
      <c r="M566" s="5222"/>
      <c r="N566" s="5222"/>
      <c r="O566" s="5222"/>
      <c r="P566" s="4515"/>
      <c r="Q566" s="4515"/>
      <c r="R566" s="4519"/>
      <c r="S566" s="3312"/>
      <c r="T566" s="3819"/>
      <c r="U566" s="3268"/>
      <c r="V566" s="3641"/>
      <c r="W566" s="3233"/>
      <c r="X566" s="3642"/>
      <c r="Y566" s="3282"/>
      <c r="Z566" s="3282"/>
      <c r="AA566" s="3282"/>
      <c r="AB566" s="3643"/>
      <c r="AC566" s="3642"/>
      <c r="AD566" s="4117"/>
      <c r="AE566" s="4117"/>
      <c r="AF566" s="5303"/>
    </row>
    <row r="567" spans="1:32">
      <c r="A567" s="4564"/>
      <c r="B567" s="4570"/>
      <c r="C567" s="5236" t="s">
        <v>272</v>
      </c>
      <c r="D567" s="4395" t="s">
        <v>302</v>
      </c>
      <c r="E567" s="4395" t="s">
        <v>303</v>
      </c>
      <c r="F567" s="4395" t="s">
        <v>304</v>
      </c>
      <c r="G567" s="4930" t="s">
        <v>305</v>
      </c>
      <c r="H567" s="4395" t="s">
        <v>262</v>
      </c>
      <c r="I567" s="4395" t="s">
        <v>257</v>
      </c>
      <c r="J567" s="4395" t="s">
        <v>1890</v>
      </c>
      <c r="K567" s="4395" t="s">
        <v>1828</v>
      </c>
      <c r="L567" s="4395" t="s">
        <v>1829</v>
      </c>
      <c r="M567" s="4401">
        <v>0</v>
      </c>
      <c r="N567" s="4401">
        <v>1</v>
      </c>
      <c r="O567" s="4401">
        <v>1</v>
      </c>
      <c r="P567" s="4395" t="s">
        <v>1830</v>
      </c>
      <c r="Q567" s="4395" t="s">
        <v>1831</v>
      </c>
      <c r="R567" s="4897" t="s">
        <v>6125</v>
      </c>
      <c r="S567" s="3313"/>
      <c r="T567" s="3071"/>
      <c r="U567" s="3274"/>
      <c r="V567" s="4069"/>
      <c r="W567" s="4070"/>
      <c r="X567" s="4033"/>
      <c r="Y567" s="3295"/>
      <c r="Z567" s="3295"/>
      <c r="AA567" s="3295"/>
      <c r="AB567" s="4115"/>
      <c r="AC567" s="4033"/>
      <c r="AD567" s="4116"/>
      <c r="AE567" s="4116"/>
      <c r="AF567" s="5209"/>
    </row>
    <row r="568" spans="1:32">
      <c r="A568" s="4564"/>
      <c r="B568" s="4570"/>
      <c r="C568" s="4545"/>
      <c r="D568" s="4514"/>
      <c r="E568" s="4514"/>
      <c r="F568" s="4514"/>
      <c r="G568" s="4514"/>
      <c r="H568" s="4514"/>
      <c r="I568" s="4514"/>
      <c r="J568" s="4514"/>
      <c r="K568" s="4514"/>
      <c r="L568" s="4514"/>
      <c r="M568" s="4901"/>
      <c r="N568" s="4901"/>
      <c r="O568" s="4901"/>
      <c r="P568" s="4514"/>
      <c r="Q568" s="4514"/>
      <c r="R568" s="4518"/>
      <c r="S568" s="3311"/>
      <c r="T568" s="1891"/>
      <c r="U568" s="1849"/>
      <c r="V568" s="1883"/>
      <c r="W568" s="1864"/>
      <c r="X568" s="3637"/>
      <c r="Y568" s="3214"/>
      <c r="Z568" s="3214"/>
      <c r="AA568" s="3214"/>
      <c r="AB568" s="3638"/>
      <c r="AC568" s="3637"/>
      <c r="AD568" s="3206"/>
      <c r="AE568" s="3206"/>
      <c r="AF568" s="5301"/>
    </row>
    <row r="569" spans="1:32">
      <c r="A569" s="4564"/>
      <c r="B569" s="4570"/>
      <c r="C569" s="4545"/>
      <c r="D569" s="4514"/>
      <c r="E569" s="4514"/>
      <c r="F569" s="4514"/>
      <c r="G569" s="4514"/>
      <c r="H569" s="4514"/>
      <c r="I569" s="4514"/>
      <c r="J569" s="4514"/>
      <c r="K569" s="4514"/>
      <c r="L569" s="4514"/>
      <c r="M569" s="4901"/>
      <c r="N569" s="4901"/>
      <c r="O569" s="4901"/>
      <c r="P569" s="4514"/>
      <c r="Q569" s="4514"/>
      <c r="R569" s="4518"/>
      <c r="S569" s="3311"/>
      <c r="T569" s="1891"/>
      <c r="U569" s="1849"/>
      <c r="V569" s="1883"/>
      <c r="W569" s="1864"/>
      <c r="X569" s="3637"/>
      <c r="Y569" s="3214"/>
      <c r="Z569" s="3214"/>
      <c r="AA569" s="3214"/>
      <c r="AB569" s="3638"/>
      <c r="AC569" s="3637"/>
      <c r="AD569" s="3206"/>
      <c r="AE569" s="3206"/>
      <c r="AF569" s="5301"/>
    </row>
    <row r="570" spans="1:32">
      <c r="A570" s="4564"/>
      <c r="B570" s="4570"/>
      <c r="C570" s="4545"/>
      <c r="D570" s="4514"/>
      <c r="E570" s="4514"/>
      <c r="F570" s="4514"/>
      <c r="G570" s="4514"/>
      <c r="H570" s="4514"/>
      <c r="I570" s="4514"/>
      <c r="J570" s="4514"/>
      <c r="K570" s="4514"/>
      <c r="L570" s="4514"/>
      <c r="M570" s="4901"/>
      <c r="N570" s="4901"/>
      <c r="O570" s="4901"/>
      <c r="P570" s="4514"/>
      <c r="Q570" s="4514"/>
      <c r="R570" s="4518"/>
      <c r="S570" s="3311"/>
      <c r="T570" s="1891"/>
      <c r="U570" s="1849"/>
      <c r="V570" s="1883"/>
      <c r="W570" s="1864"/>
      <c r="X570" s="3637"/>
      <c r="Y570" s="3214"/>
      <c r="Z570" s="3214"/>
      <c r="AA570" s="3214"/>
      <c r="AB570" s="3638"/>
      <c r="AC570" s="3637"/>
      <c r="AD570" s="3206"/>
      <c r="AE570" s="3206"/>
      <c r="AF570" s="5301"/>
    </row>
    <row r="571" spans="1:32" ht="28.5" customHeight="1">
      <c r="A571" s="4564"/>
      <c r="B571" s="4570"/>
      <c r="C571" s="4566"/>
      <c r="D571" s="4525"/>
      <c r="E571" s="4525"/>
      <c r="F571" s="4525"/>
      <c r="G571" s="4525"/>
      <c r="H571" s="4525"/>
      <c r="I571" s="4525"/>
      <c r="J571" s="4525"/>
      <c r="K571" s="4525"/>
      <c r="L571" s="4525"/>
      <c r="M571" s="4902"/>
      <c r="N571" s="4902"/>
      <c r="O571" s="4902"/>
      <c r="P571" s="4525"/>
      <c r="Q571" s="4525"/>
      <c r="R571" s="4528"/>
      <c r="S571" s="3314"/>
      <c r="T571" s="3821"/>
      <c r="U571" s="3271"/>
      <c r="V571" s="3822"/>
      <c r="W571" s="3254"/>
      <c r="X571" s="4037"/>
      <c r="Y571" s="3291"/>
      <c r="Z571" s="3291"/>
      <c r="AA571" s="3291"/>
      <c r="AB571" s="4118"/>
      <c r="AC571" s="4037"/>
      <c r="AD571" s="4119"/>
      <c r="AE571" s="4119"/>
      <c r="AF571" s="5302"/>
    </row>
    <row r="572" spans="1:32" ht="18" customHeight="1">
      <c r="A572" s="4564"/>
      <c r="B572" s="4570"/>
      <c r="C572" s="5239" t="s">
        <v>272</v>
      </c>
      <c r="D572" s="4377" t="s">
        <v>302</v>
      </c>
      <c r="E572" s="4377" t="s">
        <v>303</v>
      </c>
      <c r="F572" s="4377" t="s">
        <v>304</v>
      </c>
      <c r="G572" s="4906" t="s">
        <v>305</v>
      </c>
      <c r="H572" s="4377" t="s">
        <v>262</v>
      </c>
      <c r="I572" s="4377" t="s">
        <v>257</v>
      </c>
      <c r="J572" s="4377" t="s">
        <v>1891</v>
      </c>
      <c r="K572" s="4377" t="s">
        <v>1832</v>
      </c>
      <c r="L572" s="4377" t="s">
        <v>1833</v>
      </c>
      <c r="M572" s="4392">
        <v>4</v>
      </c>
      <c r="N572" s="4392">
        <v>4</v>
      </c>
      <c r="O572" s="4392">
        <v>4</v>
      </c>
      <c r="P572" s="4377" t="s">
        <v>1834</v>
      </c>
      <c r="Q572" s="4377" t="s">
        <v>1835</v>
      </c>
      <c r="R572" s="4903" t="s">
        <v>6125</v>
      </c>
      <c r="S572" s="3310"/>
      <c r="T572" s="3270"/>
      <c r="U572" s="3272"/>
      <c r="V572" s="4068"/>
      <c r="W572" s="4071"/>
      <c r="X572" s="3632"/>
      <c r="Y572" s="3633"/>
      <c r="Z572" s="3633"/>
      <c r="AA572" s="3633"/>
      <c r="AB572" s="3634"/>
      <c r="AC572" s="3632"/>
      <c r="AD572" s="4120"/>
      <c r="AE572" s="4120"/>
      <c r="AF572" s="5217"/>
    </row>
    <row r="573" spans="1:32" ht="18" customHeight="1">
      <c r="A573" s="4564"/>
      <c r="B573" s="4570"/>
      <c r="C573" s="4545"/>
      <c r="D573" s="4514"/>
      <c r="E573" s="4514"/>
      <c r="F573" s="4514"/>
      <c r="G573" s="4514"/>
      <c r="H573" s="4514"/>
      <c r="I573" s="4514"/>
      <c r="J573" s="4514"/>
      <c r="K573" s="4514"/>
      <c r="L573" s="4514"/>
      <c r="M573" s="4901"/>
      <c r="N573" s="4901"/>
      <c r="O573" s="4901"/>
      <c r="P573" s="4514"/>
      <c r="Q573" s="4514"/>
      <c r="R573" s="4518"/>
      <c r="S573" s="3311"/>
      <c r="T573" s="1891"/>
      <c r="U573" s="1849"/>
      <c r="V573" s="1883"/>
      <c r="W573" s="1864"/>
      <c r="X573" s="3637"/>
      <c r="Y573" s="3214"/>
      <c r="Z573" s="3214"/>
      <c r="AA573" s="3214"/>
      <c r="AB573" s="3638"/>
      <c r="AC573" s="3637"/>
      <c r="AD573" s="3206"/>
      <c r="AE573" s="3206"/>
      <c r="AF573" s="5301"/>
    </row>
    <row r="574" spans="1:32" ht="18" customHeight="1">
      <c r="A574" s="4564"/>
      <c r="B574" s="4570"/>
      <c r="C574" s="4545"/>
      <c r="D574" s="4514"/>
      <c r="E574" s="4514"/>
      <c r="F574" s="4514"/>
      <c r="G574" s="4514"/>
      <c r="H574" s="4514"/>
      <c r="I574" s="4514"/>
      <c r="J574" s="4514"/>
      <c r="K574" s="4514"/>
      <c r="L574" s="4514"/>
      <c r="M574" s="4901"/>
      <c r="N574" s="4901"/>
      <c r="O574" s="4901"/>
      <c r="P574" s="4514"/>
      <c r="Q574" s="4514"/>
      <c r="R574" s="4518"/>
      <c r="S574" s="3311"/>
      <c r="T574" s="1891"/>
      <c r="U574" s="1849"/>
      <c r="V574" s="1883"/>
      <c r="W574" s="1864"/>
      <c r="X574" s="3637"/>
      <c r="Y574" s="3214"/>
      <c r="Z574" s="3214"/>
      <c r="AA574" s="3214"/>
      <c r="AB574" s="3638"/>
      <c r="AC574" s="3637"/>
      <c r="AD574" s="3206"/>
      <c r="AE574" s="3206"/>
      <c r="AF574" s="5301"/>
    </row>
    <row r="575" spans="1:32" ht="18" customHeight="1">
      <c r="A575" s="4564"/>
      <c r="B575" s="4570"/>
      <c r="C575" s="4545"/>
      <c r="D575" s="4514"/>
      <c r="E575" s="4514"/>
      <c r="F575" s="4514"/>
      <c r="G575" s="4514"/>
      <c r="H575" s="4514"/>
      <c r="I575" s="4514"/>
      <c r="J575" s="4514"/>
      <c r="K575" s="4514"/>
      <c r="L575" s="4514"/>
      <c r="M575" s="4901"/>
      <c r="N575" s="4901"/>
      <c r="O575" s="4901"/>
      <c r="P575" s="4514"/>
      <c r="Q575" s="4514"/>
      <c r="R575" s="4518"/>
      <c r="S575" s="3311"/>
      <c r="T575" s="1891"/>
      <c r="U575" s="1849"/>
      <c r="V575" s="1883"/>
      <c r="W575" s="1864"/>
      <c r="X575" s="3637"/>
      <c r="Y575" s="3214"/>
      <c r="Z575" s="3214"/>
      <c r="AA575" s="3214"/>
      <c r="AB575" s="3638"/>
      <c r="AC575" s="3637"/>
      <c r="AD575" s="3206"/>
      <c r="AE575" s="3206"/>
      <c r="AF575" s="5301"/>
    </row>
    <row r="576" spans="1:32" ht="18" customHeight="1">
      <c r="A576" s="4564"/>
      <c r="B576" s="4570"/>
      <c r="C576" s="4573"/>
      <c r="D576" s="4515"/>
      <c r="E576" s="4515"/>
      <c r="F576" s="4515"/>
      <c r="G576" s="4515"/>
      <c r="H576" s="4515"/>
      <c r="I576" s="4515"/>
      <c r="J576" s="4515"/>
      <c r="K576" s="4515"/>
      <c r="L576" s="4515"/>
      <c r="M576" s="5222"/>
      <c r="N576" s="5222"/>
      <c r="O576" s="5222"/>
      <c r="P576" s="4515"/>
      <c r="Q576" s="4515"/>
      <c r="R576" s="4519"/>
      <c r="S576" s="3312"/>
      <c r="T576" s="3819"/>
      <c r="U576" s="3268"/>
      <c r="V576" s="3641"/>
      <c r="W576" s="3233"/>
      <c r="X576" s="3642"/>
      <c r="Y576" s="3282"/>
      <c r="Z576" s="3282"/>
      <c r="AA576" s="3282"/>
      <c r="AB576" s="3643"/>
      <c r="AC576" s="3642"/>
      <c r="AD576" s="4117"/>
      <c r="AE576" s="4117"/>
      <c r="AF576" s="5303"/>
    </row>
    <row r="577" spans="1:32" ht="18" customHeight="1">
      <c r="A577" s="4564"/>
      <c r="B577" s="4570"/>
      <c r="C577" s="5236" t="s">
        <v>272</v>
      </c>
      <c r="D577" s="4395" t="s">
        <v>679</v>
      </c>
      <c r="E577" s="4395" t="s">
        <v>274</v>
      </c>
      <c r="F577" s="4395" t="s">
        <v>885</v>
      </c>
      <c r="G577" s="4930" t="s">
        <v>305</v>
      </c>
      <c r="H577" s="4395" t="s">
        <v>262</v>
      </c>
      <c r="I577" s="4395" t="s">
        <v>241</v>
      </c>
      <c r="J577" s="4395" t="s">
        <v>1893</v>
      </c>
      <c r="K577" s="4395" t="s">
        <v>1902</v>
      </c>
      <c r="L577" s="4395" t="s">
        <v>1837</v>
      </c>
      <c r="M577" s="4401">
        <v>2</v>
      </c>
      <c r="N577" s="4401">
        <v>0</v>
      </c>
      <c r="O577" s="4401">
        <v>2</v>
      </c>
      <c r="P577" s="4395" t="s">
        <v>1838</v>
      </c>
      <c r="Q577" s="4395" t="s">
        <v>1895</v>
      </c>
      <c r="R577" s="4897" t="s">
        <v>6126</v>
      </c>
      <c r="S577" s="3313"/>
      <c r="T577" s="3071"/>
      <c r="U577" s="3274"/>
      <c r="V577" s="4069"/>
      <c r="W577" s="4070"/>
      <c r="X577" s="4033"/>
      <c r="Y577" s="3295"/>
      <c r="Z577" s="3295"/>
      <c r="AA577" s="3295"/>
      <c r="AB577" s="4115"/>
      <c r="AC577" s="4033"/>
      <c r="AD577" s="4116"/>
      <c r="AE577" s="4116"/>
      <c r="AF577" s="5209"/>
    </row>
    <row r="578" spans="1:32" ht="18" customHeight="1">
      <c r="A578" s="4564"/>
      <c r="B578" s="4570"/>
      <c r="C578" s="4545"/>
      <c r="D578" s="4514"/>
      <c r="E578" s="4514"/>
      <c r="F578" s="4514"/>
      <c r="G578" s="4514"/>
      <c r="H578" s="4514"/>
      <c r="I578" s="4514"/>
      <c r="J578" s="4514"/>
      <c r="K578" s="4514"/>
      <c r="L578" s="4514"/>
      <c r="M578" s="4901"/>
      <c r="N578" s="4901"/>
      <c r="O578" s="4901"/>
      <c r="P578" s="4514"/>
      <c r="Q578" s="4514"/>
      <c r="R578" s="4518"/>
      <c r="S578" s="3311"/>
      <c r="T578" s="1891"/>
      <c r="U578" s="1849"/>
      <c r="V578" s="1883"/>
      <c r="W578" s="1864"/>
      <c r="X578" s="3637"/>
      <c r="Y578" s="3214"/>
      <c r="Z578" s="3214"/>
      <c r="AA578" s="3214"/>
      <c r="AB578" s="3638"/>
      <c r="AC578" s="3637"/>
      <c r="AD578" s="3206"/>
      <c r="AE578" s="3206"/>
      <c r="AF578" s="5301"/>
    </row>
    <row r="579" spans="1:32" ht="18" customHeight="1">
      <c r="A579" s="4564"/>
      <c r="B579" s="4570"/>
      <c r="C579" s="4545"/>
      <c r="D579" s="4514"/>
      <c r="E579" s="4514"/>
      <c r="F579" s="4514"/>
      <c r="G579" s="4514"/>
      <c r="H579" s="4514"/>
      <c r="I579" s="4514"/>
      <c r="J579" s="4514"/>
      <c r="K579" s="4514"/>
      <c r="L579" s="4514"/>
      <c r="M579" s="4901"/>
      <c r="N579" s="4901"/>
      <c r="O579" s="4901"/>
      <c r="P579" s="4514"/>
      <c r="Q579" s="4514"/>
      <c r="R579" s="4518"/>
      <c r="S579" s="3311"/>
      <c r="T579" s="1891"/>
      <c r="U579" s="1849"/>
      <c r="V579" s="1883"/>
      <c r="W579" s="1864"/>
      <c r="X579" s="3637"/>
      <c r="Y579" s="3214"/>
      <c r="Z579" s="3214"/>
      <c r="AA579" s="3214"/>
      <c r="AB579" s="3638"/>
      <c r="AC579" s="3637"/>
      <c r="AD579" s="3206"/>
      <c r="AE579" s="3206"/>
      <c r="AF579" s="5301"/>
    </row>
    <row r="580" spans="1:32" ht="18" customHeight="1">
      <c r="A580" s="4564"/>
      <c r="B580" s="4570"/>
      <c r="C580" s="4545"/>
      <c r="D580" s="4514"/>
      <c r="E580" s="4514"/>
      <c r="F580" s="4514"/>
      <c r="G580" s="4514"/>
      <c r="H580" s="4514"/>
      <c r="I580" s="4514"/>
      <c r="J580" s="4514"/>
      <c r="K580" s="4514"/>
      <c r="L580" s="4514"/>
      <c r="M580" s="4901"/>
      <c r="N580" s="4901"/>
      <c r="O580" s="4901"/>
      <c r="P580" s="4514"/>
      <c r="Q580" s="4514"/>
      <c r="R580" s="4518"/>
      <c r="S580" s="3311"/>
      <c r="T580" s="1891"/>
      <c r="U580" s="1849"/>
      <c r="V580" s="1883"/>
      <c r="W580" s="1864"/>
      <c r="X580" s="3637"/>
      <c r="Y580" s="3214"/>
      <c r="Z580" s="3214"/>
      <c r="AA580" s="3214"/>
      <c r="AB580" s="3638"/>
      <c r="AC580" s="3637"/>
      <c r="AD580" s="3206"/>
      <c r="AE580" s="3206"/>
      <c r="AF580" s="5301"/>
    </row>
    <row r="581" spans="1:32" ht="18" customHeight="1">
      <c r="A581" s="4564"/>
      <c r="B581" s="4570"/>
      <c r="C581" s="4566"/>
      <c r="D581" s="4525"/>
      <c r="E581" s="4525"/>
      <c r="F581" s="4525"/>
      <c r="G581" s="4525"/>
      <c r="H581" s="4525"/>
      <c r="I581" s="4525"/>
      <c r="J581" s="4525"/>
      <c r="K581" s="4525"/>
      <c r="L581" s="4525"/>
      <c r="M581" s="4902"/>
      <c r="N581" s="4902"/>
      <c r="O581" s="4902"/>
      <c r="P581" s="4525"/>
      <c r="Q581" s="4525"/>
      <c r="R581" s="4528"/>
      <c r="S581" s="3314"/>
      <c r="T581" s="3821"/>
      <c r="U581" s="3271"/>
      <c r="V581" s="3822"/>
      <c r="W581" s="3254"/>
      <c r="X581" s="4037"/>
      <c r="Y581" s="3291"/>
      <c r="Z581" s="3291"/>
      <c r="AA581" s="3291"/>
      <c r="AB581" s="4118"/>
      <c r="AC581" s="4037"/>
      <c r="AD581" s="4119"/>
      <c r="AE581" s="4119"/>
      <c r="AF581" s="5302"/>
    </row>
    <row r="582" spans="1:32">
      <c r="A582" s="4564"/>
      <c r="B582" s="4570"/>
      <c r="C582" s="5239" t="s">
        <v>272</v>
      </c>
      <c r="D582" s="4377" t="s">
        <v>302</v>
      </c>
      <c r="E582" s="4377" t="s">
        <v>303</v>
      </c>
      <c r="F582" s="4377" t="s">
        <v>304</v>
      </c>
      <c r="G582" s="4906" t="s">
        <v>305</v>
      </c>
      <c r="H582" s="4377" t="s">
        <v>240</v>
      </c>
      <c r="I582" s="4377" t="s">
        <v>241</v>
      </c>
      <c r="J582" s="4377" t="s">
        <v>1840</v>
      </c>
      <c r="K582" s="4377" t="s">
        <v>1841</v>
      </c>
      <c r="L582" s="4377" t="s">
        <v>1903</v>
      </c>
      <c r="M582" s="4392">
        <v>1</v>
      </c>
      <c r="N582" s="4392">
        <v>1</v>
      </c>
      <c r="O582" s="4392">
        <v>1</v>
      </c>
      <c r="P582" s="4377" t="s">
        <v>1843</v>
      </c>
      <c r="Q582" s="4377" t="s">
        <v>1824</v>
      </c>
      <c r="R582" s="4903" t="s">
        <v>6126</v>
      </c>
      <c r="S582" s="3310"/>
      <c r="T582" s="3270"/>
      <c r="U582" s="3272"/>
      <c r="V582" s="4068"/>
      <c r="W582" s="4071"/>
      <c r="X582" s="3632"/>
      <c r="Y582" s="3633"/>
      <c r="Z582" s="3633"/>
      <c r="AA582" s="3633"/>
      <c r="AB582" s="3634"/>
      <c r="AC582" s="3632"/>
      <c r="AD582" s="4120"/>
      <c r="AE582" s="4120"/>
      <c r="AF582" s="5217"/>
    </row>
    <row r="583" spans="1:32">
      <c r="A583" s="4564"/>
      <c r="B583" s="4570"/>
      <c r="C583" s="4545"/>
      <c r="D583" s="4514"/>
      <c r="E583" s="4514"/>
      <c r="F583" s="4514"/>
      <c r="G583" s="4514"/>
      <c r="H583" s="4514"/>
      <c r="I583" s="4514"/>
      <c r="J583" s="4514"/>
      <c r="K583" s="4514"/>
      <c r="L583" s="4514"/>
      <c r="M583" s="4901"/>
      <c r="N583" s="4901"/>
      <c r="O583" s="4901"/>
      <c r="P583" s="4514"/>
      <c r="Q583" s="4514"/>
      <c r="R583" s="4518"/>
      <c r="S583" s="3311"/>
      <c r="T583" s="1891"/>
      <c r="U583" s="1849"/>
      <c r="V583" s="1883"/>
      <c r="W583" s="1864"/>
      <c r="X583" s="3637"/>
      <c r="Y583" s="3214"/>
      <c r="Z583" s="3214"/>
      <c r="AA583" s="3214"/>
      <c r="AB583" s="3638"/>
      <c r="AC583" s="3637"/>
      <c r="AD583" s="3206"/>
      <c r="AE583" s="3206"/>
      <c r="AF583" s="5301"/>
    </row>
    <row r="584" spans="1:32">
      <c r="A584" s="4564"/>
      <c r="B584" s="4570"/>
      <c r="C584" s="4545"/>
      <c r="D584" s="4514"/>
      <c r="E584" s="4514"/>
      <c r="F584" s="4514"/>
      <c r="G584" s="4514"/>
      <c r="H584" s="4514"/>
      <c r="I584" s="4514"/>
      <c r="J584" s="4514"/>
      <c r="K584" s="4514"/>
      <c r="L584" s="4514"/>
      <c r="M584" s="4901"/>
      <c r="N584" s="4901"/>
      <c r="O584" s="4901"/>
      <c r="P584" s="4514"/>
      <c r="Q584" s="4514"/>
      <c r="R584" s="4518"/>
      <c r="S584" s="3311"/>
      <c r="T584" s="1891"/>
      <c r="U584" s="1849"/>
      <c r="V584" s="1883"/>
      <c r="W584" s="1864"/>
      <c r="X584" s="3637"/>
      <c r="Y584" s="3214"/>
      <c r="Z584" s="3214"/>
      <c r="AA584" s="3214"/>
      <c r="AB584" s="3638"/>
      <c r="AC584" s="3637"/>
      <c r="AD584" s="3206"/>
      <c r="AE584" s="3206"/>
      <c r="AF584" s="5301"/>
    </row>
    <row r="585" spans="1:32">
      <c r="A585" s="4564"/>
      <c r="B585" s="4570"/>
      <c r="C585" s="4545"/>
      <c r="D585" s="4514"/>
      <c r="E585" s="4514"/>
      <c r="F585" s="4514"/>
      <c r="G585" s="4514"/>
      <c r="H585" s="4514"/>
      <c r="I585" s="4514"/>
      <c r="J585" s="4514"/>
      <c r="K585" s="4514"/>
      <c r="L585" s="4514"/>
      <c r="M585" s="4901"/>
      <c r="N585" s="4901"/>
      <c r="O585" s="4901"/>
      <c r="P585" s="4514"/>
      <c r="Q585" s="4514"/>
      <c r="R585" s="4518"/>
      <c r="S585" s="3311"/>
      <c r="T585" s="1891"/>
      <c r="U585" s="1849"/>
      <c r="V585" s="1883"/>
      <c r="W585" s="1864"/>
      <c r="X585" s="3637"/>
      <c r="Y585" s="3214"/>
      <c r="Z585" s="3214"/>
      <c r="AA585" s="3214"/>
      <c r="AB585" s="3638"/>
      <c r="AC585" s="3637"/>
      <c r="AD585" s="3206"/>
      <c r="AE585" s="3206"/>
      <c r="AF585" s="5301"/>
    </row>
    <row r="586" spans="1:32" ht="32.25" customHeight="1">
      <c r="A586" s="4564"/>
      <c r="B586" s="4570"/>
      <c r="C586" s="4573"/>
      <c r="D586" s="4515"/>
      <c r="E586" s="4515"/>
      <c r="F586" s="4515"/>
      <c r="G586" s="4515"/>
      <c r="H586" s="4515"/>
      <c r="I586" s="4515"/>
      <c r="J586" s="4515"/>
      <c r="K586" s="4515"/>
      <c r="L586" s="4515"/>
      <c r="M586" s="5222"/>
      <c r="N586" s="5222"/>
      <c r="O586" s="5222"/>
      <c r="P586" s="4515"/>
      <c r="Q586" s="4515"/>
      <c r="R586" s="4519"/>
      <c r="S586" s="3312"/>
      <c r="T586" s="3819"/>
      <c r="U586" s="3268"/>
      <c r="V586" s="3641"/>
      <c r="W586" s="3233"/>
      <c r="X586" s="3642"/>
      <c r="Y586" s="3282"/>
      <c r="Z586" s="3282"/>
      <c r="AA586" s="3282"/>
      <c r="AB586" s="3643"/>
      <c r="AC586" s="3642"/>
      <c r="AD586" s="4117"/>
      <c r="AE586" s="4117"/>
      <c r="AF586" s="5303"/>
    </row>
    <row r="587" spans="1:32" ht="19.5" customHeight="1">
      <c r="A587" s="4564"/>
      <c r="B587" s="4570"/>
      <c r="C587" s="5236" t="s">
        <v>235</v>
      </c>
      <c r="D587" s="4395" t="s">
        <v>236</v>
      </c>
      <c r="E587" s="4395" t="s">
        <v>244</v>
      </c>
      <c r="F587" s="4395" t="s">
        <v>808</v>
      </c>
      <c r="G587" s="4930" t="s">
        <v>239</v>
      </c>
      <c r="H587" s="4395" t="s">
        <v>293</v>
      </c>
      <c r="I587" s="4395" t="s">
        <v>278</v>
      </c>
      <c r="J587" s="4395" t="s">
        <v>1844</v>
      </c>
      <c r="K587" s="4395" t="s">
        <v>1845</v>
      </c>
      <c r="L587" s="4395" t="s">
        <v>1846</v>
      </c>
      <c r="M587" s="4401">
        <v>1</v>
      </c>
      <c r="N587" s="4401">
        <v>0</v>
      </c>
      <c r="O587" s="4401">
        <v>1</v>
      </c>
      <c r="P587" s="4395" t="s">
        <v>1847</v>
      </c>
      <c r="Q587" s="4395" t="s">
        <v>1848</v>
      </c>
      <c r="R587" s="4897" t="s">
        <v>6123</v>
      </c>
      <c r="S587" s="3313"/>
      <c r="T587" s="3071"/>
      <c r="U587" s="3274"/>
      <c r="V587" s="4069"/>
      <c r="W587" s="4070"/>
      <c r="X587" s="4033"/>
      <c r="Y587" s="3295"/>
      <c r="Z587" s="3295"/>
      <c r="AA587" s="3295"/>
      <c r="AB587" s="4115"/>
      <c r="AC587" s="4033"/>
      <c r="AD587" s="4116"/>
      <c r="AE587" s="4116"/>
      <c r="AF587" s="5209"/>
    </row>
    <row r="588" spans="1:32" ht="19.5" customHeight="1">
      <c r="A588" s="4564"/>
      <c r="B588" s="4570"/>
      <c r="C588" s="4545"/>
      <c r="D588" s="4514"/>
      <c r="E588" s="4514"/>
      <c r="F588" s="4514"/>
      <c r="G588" s="4514"/>
      <c r="H588" s="4514"/>
      <c r="I588" s="4514"/>
      <c r="J588" s="4514"/>
      <c r="K588" s="4514"/>
      <c r="L588" s="4514"/>
      <c r="M588" s="4901"/>
      <c r="N588" s="4901"/>
      <c r="O588" s="4901"/>
      <c r="P588" s="4514"/>
      <c r="Q588" s="4514"/>
      <c r="R588" s="4518"/>
      <c r="S588" s="3311"/>
      <c r="T588" s="1891"/>
      <c r="U588" s="1849"/>
      <c r="V588" s="1883"/>
      <c r="W588" s="1864"/>
      <c r="X588" s="3637"/>
      <c r="Y588" s="3214"/>
      <c r="Z588" s="3214"/>
      <c r="AA588" s="3214"/>
      <c r="AB588" s="3638"/>
      <c r="AC588" s="3637"/>
      <c r="AD588" s="3206"/>
      <c r="AE588" s="3206"/>
      <c r="AF588" s="5301"/>
    </row>
    <row r="589" spans="1:32" ht="19.5" customHeight="1">
      <c r="A589" s="4564"/>
      <c r="B589" s="4570"/>
      <c r="C589" s="4545"/>
      <c r="D589" s="4514"/>
      <c r="E589" s="4514"/>
      <c r="F589" s="4514"/>
      <c r="G589" s="4514"/>
      <c r="H589" s="4514"/>
      <c r="I589" s="4514"/>
      <c r="J589" s="4514"/>
      <c r="K589" s="4514"/>
      <c r="L589" s="4514"/>
      <c r="M589" s="4901"/>
      <c r="N589" s="4901"/>
      <c r="O589" s="4901"/>
      <c r="P589" s="4514"/>
      <c r="Q589" s="4514"/>
      <c r="R589" s="4518"/>
      <c r="S589" s="3311"/>
      <c r="T589" s="1891"/>
      <c r="U589" s="1849"/>
      <c r="V589" s="1883"/>
      <c r="W589" s="1864"/>
      <c r="X589" s="3637"/>
      <c r="Y589" s="3214"/>
      <c r="Z589" s="3214"/>
      <c r="AA589" s="3214"/>
      <c r="AB589" s="3638"/>
      <c r="AC589" s="3637"/>
      <c r="AD589" s="3206"/>
      <c r="AE589" s="3206"/>
      <c r="AF589" s="5301"/>
    </row>
    <row r="590" spans="1:32" ht="19.5" customHeight="1">
      <c r="A590" s="4564"/>
      <c r="B590" s="4570"/>
      <c r="C590" s="4545"/>
      <c r="D590" s="4514"/>
      <c r="E590" s="4514"/>
      <c r="F590" s="4514"/>
      <c r="G590" s="4514"/>
      <c r="H590" s="4514"/>
      <c r="I590" s="4514"/>
      <c r="J590" s="4514"/>
      <c r="K590" s="4514"/>
      <c r="L590" s="4514"/>
      <c r="M590" s="4901"/>
      <c r="N590" s="4901"/>
      <c r="O590" s="4901"/>
      <c r="P590" s="4514"/>
      <c r="Q590" s="4514"/>
      <c r="R590" s="4518"/>
      <c r="S590" s="3311"/>
      <c r="T590" s="1891"/>
      <c r="U590" s="1849"/>
      <c r="V590" s="1883"/>
      <c r="W590" s="1864"/>
      <c r="X590" s="3637"/>
      <c r="Y590" s="3214"/>
      <c r="Z590" s="3214"/>
      <c r="AA590" s="3214"/>
      <c r="AB590" s="3638"/>
      <c r="AC590" s="3637"/>
      <c r="AD590" s="3206"/>
      <c r="AE590" s="3206"/>
      <c r="AF590" s="5301"/>
    </row>
    <row r="591" spans="1:32" ht="39.75" customHeight="1">
      <c r="A591" s="4564"/>
      <c r="B591" s="4570"/>
      <c r="C591" s="4566"/>
      <c r="D591" s="4525"/>
      <c r="E591" s="4525"/>
      <c r="F591" s="4525"/>
      <c r="G591" s="4525"/>
      <c r="H591" s="4525"/>
      <c r="I591" s="4525"/>
      <c r="J591" s="4525"/>
      <c r="K591" s="4525"/>
      <c r="L591" s="4525"/>
      <c r="M591" s="4902"/>
      <c r="N591" s="4902"/>
      <c r="O591" s="4902"/>
      <c r="P591" s="4525"/>
      <c r="Q591" s="4525"/>
      <c r="R591" s="4528"/>
      <c r="S591" s="3314"/>
      <c r="T591" s="3821"/>
      <c r="U591" s="3271"/>
      <c r="V591" s="3822"/>
      <c r="W591" s="3254"/>
      <c r="X591" s="4037"/>
      <c r="Y591" s="3291"/>
      <c r="Z591" s="3291"/>
      <c r="AA591" s="3291"/>
      <c r="AB591" s="4118"/>
      <c r="AC591" s="4037"/>
      <c r="AD591" s="4119"/>
      <c r="AE591" s="4119"/>
      <c r="AF591" s="5302"/>
    </row>
    <row r="592" spans="1:32" ht="21.75" customHeight="1">
      <c r="A592" s="4564"/>
      <c r="B592" s="4570"/>
      <c r="C592" s="5239" t="s">
        <v>272</v>
      </c>
      <c r="D592" s="4377" t="s">
        <v>302</v>
      </c>
      <c r="E592" s="4377" t="s">
        <v>303</v>
      </c>
      <c r="F592" s="4377" t="s">
        <v>318</v>
      </c>
      <c r="G592" s="4906" t="s">
        <v>305</v>
      </c>
      <c r="H592" s="4377" t="s">
        <v>240</v>
      </c>
      <c r="I592" s="4377" t="s">
        <v>241</v>
      </c>
      <c r="J592" s="4377" t="s">
        <v>1849</v>
      </c>
      <c r="K592" s="4377" t="s">
        <v>1850</v>
      </c>
      <c r="L592" s="4377" t="s">
        <v>1851</v>
      </c>
      <c r="M592" s="4392">
        <v>1</v>
      </c>
      <c r="N592" s="4392">
        <v>0</v>
      </c>
      <c r="O592" s="4392">
        <v>1</v>
      </c>
      <c r="P592" s="4377" t="s">
        <v>1852</v>
      </c>
      <c r="Q592" s="4377" t="s">
        <v>1896</v>
      </c>
      <c r="R592" s="4903" t="s">
        <v>6123</v>
      </c>
      <c r="S592" s="3310"/>
      <c r="T592" s="3270"/>
      <c r="U592" s="3272"/>
      <c r="V592" s="4068"/>
      <c r="W592" s="4071"/>
      <c r="X592" s="3632"/>
      <c r="Y592" s="3633"/>
      <c r="Z592" s="3633"/>
      <c r="AA592" s="3633"/>
      <c r="AB592" s="3634"/>
      <c r="AC592" s="3632"/>
      <c r="AD592" s="4120"/>
      <c r="AE592" s="4120"/>
      <c r="AF592" s="5217"/>
    </row>
    <row r="593" spans="1:32" ht="21.75" customHeight="1">
      <c r="A593" s="4564"/>
      <c r="B593" s="4570"/>
      <c r="C593" s="4545"/>
      <c r="D593" s="4514"/>
      <c r="E593" s="4514"/>
      <c r="F593" s="4514"/>
      <c r="G593" s="4514"/>
      <c r="H593" s="4514"/>
      <c r="I593" s="4514"/>
      <c r="J593" s="4514"/>
      <c r="K593" s="4514"/>
      <c r="L593" s="4514"/>
      <c r="M593" s="4901"/>
      <c r="N593" s="4901"/>
      <c r="O593" s="4901"/>
      <c r="P593" s="4514"/>
      <c r="Q593" s="4514"/>
      <c r="R593" s="4518"/>
      <c r="S593" s="3311"/>
      <c r="T593" s="1891"/>
      <c r="U593" s="1849"/>
      <c r="V593" s="1883"/>
      <c r="W593" s="1864"/>
      <c r="X593" s="3637"/>
      <c r="Y593" s="3214"/>
      <c r="Z593" s="3214"/>
      <c r="AA593" s="3214"/>
      <c r="AB593" s="3638"/>
      <c r="AC593" s="3637"/>
      <c r="AD593" s="3206"/>
      <c r="AE593" s="3206"/>
      <c r="AF593" s="5301"/>
    </row>
    <row r="594" spans="1:32" ht="21.75" customHeight="1">
      <c r="A594" s="4564"/>
      <c r="B594" s="4570"/>
      <c r="C594" s="4545"/>
      <c r="D594" s="4514"/>
      <c r="E594" s="4514"/>
      <c r="F594" s="4514"/>
      <c r="G594" s="4514"/>
      <c r="H594" s="4514"/>
      <c r="I594" s="4514"/>
      <c r="J594" s="4514"/>
      <c r="K594" s="4514"/>
      <c r="L594" s="4514"/>
      <c r="M594" s="4901"/>
      <c r="N594" s="4901"/>
      <c r="O594" s="4901"/>
      <c r="P594" s="4514"/>
      <c r="Q594" s="4514"/>
      <c r="R594" s="4518"/>
      <c r="S594" s="3311"/>
      <c r="T594" s="1891"/>
      <c r="U594" s="1849"/>
      <c r="V594" s="1883"/>
      <c r="W594" s="1864"/>
      <c r="X594" s="3637"/>
      <c r="Y594" s="3214"/>
      <c r="Z594" s="3214"/>
      <c r="AA594" s="3214"/>
      <c r="AB594" s="3638"/>
      <c r="AC594" s="3637"/>
      <c r="AD594" s="3206"/>
      <c r="AE594" s="3206"/>
      <c r="AF594" s="5301"/>
    </row>
    <row r="595" spans="1:32" ht="21.75" customHeight="1">
      <c r="A595" s="4564"/>
      <c r="B595" s="4570"/>
      <c r="C595" s="4545"/>
      <c r="D595" s="4514"/>
      <c r="E595" s="4514"/>
      <c r="F595" s="4514"/>
      <c r="G595" s="4514"/>
      <c r="H595" s="4514"/>
      <c r="I595" s="4514"/>
      <c r="J595" s="4514"/>
      <c r="K595" s="4514"/>
      <c r="L595" s="4514"/>
      <c r="M595" s="4901"/>
      <c r="N595" s="4901"/>
      <c r="O595" s="4901"/>
      <c r="P595" s="4514"/>
      <c r="Q595" s="4514"/>
      <c r="R595" s="4518"/>
      <c r="S595" s="3311"/>
      <c r="T595" s="1891"/>
      <c r="U595" s="1849"/>
      <c r="V595" s="1883"/>
      <c r="W595" s="1864"/>
      <c r="X595" s="3637"/>
      <c r="Y595" s="3214"/>
      <c r="Z595" s="3214"/>
      <c r="AA595" s="3214"/>
      <c r="AB595" s="3638"/>
      <c r="AC595" s="3637"/>
      <c r="AD595" s="3206"/>
      <c r="AE595" s="3206"/>
      <c r="AF595" s="5301"/>
    </row>
    <row r="596" spans="1:32" ht="21.75" customHeight="1">
      <c r="A596" s="4564"/>
      <c r="B596" s="4570"/>
      <c r="C596" s="4573"/>
      <c r="D596" s="4515"/>
      <c r="E596" s="4515"/>
      <c r="F596" s="4515"/>
      <c r="G596" s="4515"/>
      <c r="H596" s="4515"/>
      <c r="I596" s="4515"/>
      <c r="J596" s="4515"/>
      <c r="K596" s="4515"/>
      <c r="L596" s="4515"/>
      <c r="M596" s="5222"/>
      <c r="N596" s="5222"/>
      <c r="O596" s="5222"/>
      <c r="P596" s="4515"/>
      <c r="Q596" s="4515"/>
      <c r="R596" s="4519"/>
      <c r="S596" s="3312"/>
      <c r="T596" s="3819"/>
      <c r="U596" s="3268"/>
      <c r="V596" s="3641"/>
      <c r="W596" s="3233"/>
      <c r="X596" s="3642"/>
      <c r="Y596" s="3282"/>
      <c r="Z596" s="3282"/>
      <c r="AA596" s="3282"/>
      <c r="AB596" s="3643"/>
      <c r="AC596" s="3642"/>
      <c r="AD596" s="4117"/>
      <c r="AE596" s="4117"/>
      <c r="AF596" s="5303"/>
    </row>
    <row r="597" spans="1:32">
      <c r="A597" s="4564"/>
      <c r="B597" s="4570"/>
      <c r="C597" s="5236" t="s">
        <v>272</v>
      </c>
      <c r="D597" s="4395" t="s">
        <v>302</v>
      </c>
      <c r="E597" s="4395" t="s">
        <v>303</v>
      </c>
      <c r="F597" s="4395" t="s">
        <v>304</v>
      </c>
      <c r="G597" s="4930" t="s">
        <v>305</v>
      </c>
      <c r="H597" s="4395" t="s">
        <v>240</v>
      </c>
      <c r="I597" s="4395" t="s">
        <v>241</v>
      </c>
      <c r="J597" s="4395" t="s">
        <v>1897</v>
      </c>
      <c r="K597" s="4395" t="s">
        <v>1855</v>
      </c>
      <c r="L597" s="4395" t="s">
        <v>1856</v>
      </c>
      <c r="M597" s="4401">
        <v>4</v>
      </c>
      <c r="N597" s="4401">
        <v>8</v>
      </c>
      <c r="O597" s="4401">
        <v>8</v>
      </c>
      <c r="P597" s="4395" t="s">
        <v>1857</v>
      </c>
      <c r="Q597" s="4395" t="s">
        <v>1858</v>
      </c>
      <c r="R597" s="4897" t="s">
        <v>6127</v>
      </c>
      <c r="S597" s="3313"/>
      <c r="T597" s="3071"/>
      <c r="U597" s="3274"/>
      <c r="V597" s="4069"/>
      <c r="W597" s="4070"/>
      <c r="X597" s="4033"/>
      <c r="Y597" s="3295"/>
      <c r="Z597" s="3295"/>
      <c r="AA597" s="3295"/>
      <c r="AB597" s="4115"/>
      <c r="AC597" s="4033"/>
      <c r="AD597" s="4116"/>
      <c r="AE597" s="4116"/>
      <c r="AF597" s="5209"/>
    </row>
    <row r="598" spans="1:32">
      <c r="A598" s="4564"/>
      <c r="B598" s="4570"/>
      <c r="C598" s="4545"/>
      <c r="D598" s="4514"/>
      <c r="E598" s="4514"/>
      <c r="F598" s="4514"/>
      <c r="G598" s="4514"/>
      <c r="H598" s="4514"/>
      <c r="I598" s="4514"/>
      <c r="J598" s="4514"/>
      <c r="K598" s="4514"/>
      <c r="L598" s="4514"/>
      <c r="M598" s="4901"/>
      <c r="N598" s="4901"/>
      <c r="O598" s="4901"/>
      <c r="P598" s="4514"/>
      <c r="Q598" s="4514"/>
      <c r="R598" s="4518"/>
      <c r="S598" s="3311"/>
      <c r="T598" s="1891"/>
      <c r="U598" s="1849"/>
      <c r="V598" s="1883"/>
      <c r="W598" s="1864"/>
      <c r="X598" s="3637"/>
      <c r="Y598" s="3214"/>
      <c r="Z598" s="3214"/>
      <c r="AA598" s="3214"/>
      <c r="AB598" s="3638"/>
      <c r="AC598" s="3637"/>
      <c r="AD598" s="3206"/>
      <c r="AE598" s="3206"/>
      <c r="AF598" s="5301"/>
    </row>
    <row r="599" spans="1:32">
      <c r="A599" s="4564"/>
      <c r="B599" s="4570"/>
      <c r="C599" s="4545"/>
      <c r="D599" s="4514"/>
      <c r="E599" s="4514"/>
      <c r="F599" s="4514"/>
      <c r="G599" s="4514"/>
      <c r="H599" s="4514"/>
      <c r="I599" s="4514"/>
      <c r="J599" s="4514"/>
      <c r="K599" s="4514"/>
      <c r="L599" s="4514"/>
      <c r="M599" s="4901"/>
      <c r="N599" s="4901"/>
      <c r="O599" s="4901"/>
      <c r="P599" s="4514"/>
      <c r="Q599" s="4514"/>
      <c r="R599" s="4518"/>
      <c r="S599" s="3311"/>
      <c r="T599" s="1891"/>
      <c r="U599" s="1849"/>
      <c r="V599" s="1883"/>
      <c r="W599" s="1864"/>
      <c r="X599" s="3637"/>
      <c r="Y599" s="3214"/>
      <c r="Z599" s="3214"/>
      <c r="AA599" s="3214"/>
      <c r="AB599" s="3638"/>
      <c r="AC599" s="3637"/>
      <c r="AD599" s="3206"/>
      <c r="AE599" s="3206"/>
      <c r="AF599" s="5301"/>
    </row>
    <row r="600" spans="1:32">
      <c r="A600" s="4564"/>
      <c r="B600" s="4570"/>
      <c r="C600" s="4545"/>
      <c r="D600" s="4514"/>
      <c r="E600" s="4514"/>
      <c r="F600" s="4514"/>
      <c r="G600" s="4514"/>
      <c r="H600" s="4514"/>
      <c r="I600" s="4514"/>
      <c r="J600" s="4514"/>
      <c r="K600" s="4514"/>
      <c r="L600" s="4514"/>
      <c r="M600" s="4901"/>
      <c r="N600" s="4901"/>
      <c r="O600" s="4901"/>
      <c r="P600" s="4514"/>
      <c r="Q600" s="4514"/>
      <c r="R600" s="4518"/>
      <c r="S600" s="3311"/>
      <c r="T600" s="1891"/>
      <c r="U600" s="1849"/>
      <c r="V600" s="1883"/>
      <c r="W600" s="1864"/>
      <c r="X600" s="3637"/>
      <c r="Y600" s="3214"/>
      <c r="Z600" s="3214"/>
      <c r="AA600" s="3214"/>
      <c r="AB600" s="3638"/>
      <c r="AC600" s="3637"/>
      <c r="AD600" s="3206"/>
      <c r="AE600" s="3206"/>
      <c r="AF600" s="5301"/>
    </row>
    <row r="601" spans="1:32" ht="29.25" customHeight="1">
      <c r="A601" s="4564"/>
      <c r="B601" s="4570"/>
      <c r="C601" s="4566"/>
      <c r="D601" s="4525"/>
      <c r="E601" s="4525"/>
      <c r="F601" s="4525"/>
      <c r="G601" s="4525"/>
      <c r="H601" s="4525"/>
      <c r="I601" s="4525"/>
      <c r="J601" s="4525"/>
      <c r="K601" s="4525"/>
      <c r="L601" s="4525"/>
      <c r="M601" s="4902"/>
      <c r="N601" s="4902"/>
      <c r="O601" s="4902"/>
      <c r="P601" s="4525"/>
      <c r="Q601" s="4525"/>
      <c r="R601" s="4528"/>
      <c r="S601" s="3314"/>
      <c r="T601" s="3821"/>
      <c r="U601" s="3271"/>
      <c r="V601" s="3822"/>
      <c r="W601" s="3254"/>
      <c r="X601" s="4037"/>
      <c r="Y601" s="3291"/>
      <c r="Z601" s="3291"/>
      <c r="AA601" s="3291"/>
      <c r="AB601" s="4118"/>
      <c r="AC601" s="4037"/>
      <c r="AD601" s="4119"/>
      <c r="AE601" s="4119"/>
      <c r="AF601" s="5302"/>
    </row>
    <row r="602" spans="1:32">
      <c r="A602" s="4564"/>
      <c r="B602" s="4570"/>
      <c r="C602" s="5239" t="s">
        <v>272</v>
      </c>
      <c r="D602" s="4377" t="s">
        <v>302</v>
      </c>
      <c r="E602" s="4377" t="s">
        <v>303</v>
      </c>
      <c r="F602" s="4377" t="s">
        <v>304</v>
      </c>
      <c r="G602" s="4906" t="s">
        <v>305</v>
      </c>
      <c r="H602" s="4377" t="s">
        <v>240</v>
      </c>
      <c r="I602" s="4377" t="s">
        <v>257</v>
      </c>
      <c r="J602" s="4377" t="s">
        <v>1859</v>
      </c>
      <c r="K602" s="4377" t="s">
        <v>1860</v>
      </c>
      <c r="L602" s="4377" t="s">
        <v>1861</v>
      </c>
      <c r="M602" s="4392">
        <v>1</v>
      </c>
      <c r="N602" s="4392">
        <v>0</v>
      </c>
      <c r="O602" s="4392">
        <v>1</v>
      </c>
      <c r="P602" s="4377" t="s">
        <v>1862</v>
      </c>
      <c r="Q602" s="4377" t="s">
        <v>1863</v>
      </c>
      <c r="R602" s="4903" t="s">
        <v>6121</v>
      </c>
      <c r="S602" s="3310"/>
      <c r="T602" s="3270"/>
      <c r="U602" s="3272"/>
      <c r="V602" s="4068"/>
      <c r="W602" s="4071"/>
      <c r="X602" s="3632"/>
      <c r="Y602" s="3633"/>
      <c r="Z602" s="3633"/>
      <c r="AA602" s="3633"/>
      <c r="AB602" s="3634"/>
      <c r="AC602" s="3632"/>
      <c r="AD602" s="4120"/>
      <c r="AE602" s="4120"/>
      <c r="AF602" s="5217"/>
    </row>
    <row r="603" spans="1:32">
      <c r="A603" s="4564"/>
      <c r="B603" s="4570"/>
      <c r="C603" s="4545"/>
      <c r="D603" s="4514"/>
      <c r="E603" s="4514"/>
      <c r="F603" s="4514"/>
      <c r="G603" s="4514"/>
      <c r="H603" s="4514"/>
      <c r="I603" s="4514"/>
      <c r="J603" s="4514"/>
      <c r="K603" s="4514"/>
      <c r="L603" s="4514"/>
      <c r="M603" s="4901"/>
      <c r="N603" s="4901"/>
      <c r="O603" s="4901"/>
      <c r="P603" s="4514"/>
      <c r="Q603" s="4514"/>
      <c r="R603" s="4518"/>
      <c r="S603" s="3311"/>
      <c r="T603" s="1891"/>
      <c r="U603" s="1849"/>
      <c r="V603" s="1883"/>
      <c r="W603" s="1864"/>
      <c r="X603" s="3637"/>
      <c r="Y603" s="3214"/>
      <c r="Z603" s="3214"/>
      <c r="AA603" s="3214"/>
      <c r="AB603" s="3638"/>
      <c r="AC603" s="3637"/>
      <c r="AD603" s="3206"/>
      <c r="AE603" s="3206"/>
      <c r="AF603" s="5301"/>
    </row>
    <row r="604" spans="1:32">
      <c r="A604" s="4564"/>
      <c r="B604" s="4570"/>
      <c r="C604" s="4545"/>
      <c r="D604" s="4514"/>
      <c r="E604" s="4514"/>
      <c r="F604" s="4514"/>
      <c r="G604" s="4514"/>
      <c r="H604" s="4514"/>
      <c r="I604" s="4514"/>
      <c r="J604" s="4514"/>
      <c r="K604" s="4514"/>
      <c r="L604" s="4514"/>
      <c r="M604" s="4901"/>
      <c r="N604" s="4901"/>
      <c r="O604" s="4901"/>
      <c r="P604" s="4514"/>
      <c r="Q604" s="4514"/>
      <c r="R604" s="4518"/>
      <c r="S604" s="3311"/>
      <c r="T604" s="1891"/>
      <c r="U604" s="1849"/>
      <c r="V604" s="1883"/>
      <c r="W604" s="1864"/>
      <c r="X604" s="3637"/>
      <c r="Y604" s="3214"/>
      <c r="Z604" s="3214"/>
      <c r="AA604" s="3214"/>
      <c r="AB604" s="3638"/>
      <c r="AC604" s="3637"/>
      <c r="AD604" s="3206"/>
      <c r="AE604" s="3206"/>
      <c r="AF604" s="5301"/>
    </row>
    <row r="605" spans="1:32">
      <c r="A605" s="4564"/>
      <c r="B605" s="4570"/>
      <c r="C605" s="4545"/>
      <c r="D605" s="4514"/>
      <c r="E605" s="4514"/>
      <c r="F605" s="4514"/>
      <c r="G605" s="4514"/>
      <c r="H605" s="4514"/>
      <c r="I605" s="4514"/>
      <c r="J605" s="4514"/>
      <c r="K605" s="4514"/>
      <c r="L605" s="4514"/>
      <c r="M605" s="4901"/>
      <c r="N605" s="4901"/>
      <c r="O605" s="4901"/>
      <c r="P605" s="4514"/>
      <c r="Q605" s="4514"/>
      <c r="R605" s="4518"/>
      <c r="S605" s="3311"/>
      <c r="T605" s="1891"/>
      <c r="U605" s="1849"/>
      <c r="V605" s="1883"/>
      <c r="W605" s="1864"/>
      <c r="X605" s="3637"/>
      <c r="Y605" s="3214"/>
      <c r="Z605" s="3214"/>
      <c r="AA605" s="3214"/>
      <c r="AB605" s="3638"/>
      <c r="AC605" s="3637"/>
      <c r="AD605" s="3206"/>
      <c r="AE605" s="3206"/>
      <c r="AF605" s="5301"/>
    </row>
    <row r="606" spans="1:32" ht="28.5" customHeight="1">
      <c r="A606" s="4564"/>
      <c r="B606" s="4570"/>
      <c r="C606" s="4573"/>
      <c r="D606" s="4515"/>
      <c r="E606" s="4515"/>
      <c r="F606" s="4515"/>
      <c r="G606" s="4515"/>
      <c r="H606" s="4515"/>
      <c r="I606" s="4515"/>
      <c r="J606" s="4515"/>
      <c r="K606" s="4515"/>
      <c r="L606" s="4515"/>
      <c r="M606" s="5222"/>
      <c r="N606" s="5222"/>
      <c r="O606" s="5222"/>
      <c r="P606" s="4515"/>
      <c r="Q606" s="4515"/>
      <c r="R606" s="4519"/>
      <c r="S606" s="3312"/>
      <c r="T606" s="3819"/>
      <c r="U606" s="3268"/>
      <c r="V606" s="3641"/>
      <c r="W606" s="3233"/>
      <c r="X606" s="3642"/>
      <c r="Y606" s="3282"/>
      <c r="Z606" s="3282"/>
      <c r="AA606" s="3282"/>
      <c r="AB606" s="3643"/>
      <c r="AC606" s="3642"/>
      <c r="AD606" s="4117"/>
      <c r="AE606" s="4117"/>
      <c r="AF606" s="5303"/>
    </row>
    <row r="607" spans="1:32">
      <c r="A607" s="4564"/>
      <c r="B607" s="4570"/>
      <c r="C607" s="5236" t="s">
        <v>272</v>
      </c>
      <c r="D607" s="4395" t="s">
        <v>302</v>
      </c>
      <c r="E607" s="4395" t="s">
        <v>303</v>
      </c>
      <c r="F607" s="4395" t="s">
        <v>304</v>
      </c>
      <c r="G607" s="4930" t="s">
        <v>305</v>
      </c>
      <c r="H607" s="4395" t="s">
        <v>240</v>
      </c>
      <c r="I607" s="4395" t="s">
        <v>257</v>
      </c>
      <c r="J607" s="4395" t="s">
        <v>1864</v>
      </c>
      <c r="K607" s="4395" t="s">
        <v>1865</v>
      </c>
      <c r="L607" s="4395" t="s">
        <v>1866</v>
      </c>
      <c r="M607" s="4401">
        <v>0</v>
      </c>
      <c r="N607" s="4401">
        <v>1</v>
      </c>
      <c r="O607" s="4401">
        <v>1</v>
      </c>
      <c r="P607" s="4395" t="s">
        <v>1867</v>
      </c>
      <c r="Q607" s="4395" t="s">
        <v>1868</v>
      </c>
      <c r="R607" s="4897" t="s">
        <v>6127</v>
      </c>
      <c r="S607" s="3313"/>
      <c r="T607" s="3071"/>
      <c r="U607" s="3274"/>
      <c r="V607" s="4069"/>
      <c r="W607" s="4070"/>
      <c r="X607" s="4033"/>
      <c r="Y607" s="3295"/>
      <c r="Z607" s="3295"/>
      <c r="AA607" s="3295"/>
      <c r="AB607" s="4115"/>
      <c r="AC607" s="4033"/>
      <c r="AD607" s="4116"/>
      <c r="AE607" s="4116"/>
      <c r="AF607" s="5209"/>
    </row>
    <row r="608" spans="1:32">
      <c r="A608" s="4564"/>
      <c r="B608" s="4570"/>
      <c r="C608" s="4545"/>
      <c r="D608" s="4514"/>
      <c r="E608" s="4514"/>
      <c r="F608" s="4514"/>
      <c r="G608" s="4514"/>
      <c r="H608" s="4514"/>
      <c r="I608" s="4514"/>
      <c r="J608" s="4514"/>
      <c r="K608" s="4514"/>
      <c r="L608" s="4514"/>
      <c r="M608" s="4901"/>
      <c r="N608" s="4901"/>
      <c r="O608" s="4901"/>
      <c r="P608" s="4514"/>
      <c r="Q608" s="4514"/>
      <c r="R608" s="4518"/>
      <c r="S608" s="3311"/>
      <c r="T608" s="1891"/>
      <c r="U608" s="1849"/>
      <c r="V608" s="1883"/>
      <c r="W608" s="1864"/>
      <c r="X608" s="3637"/>
      <c r="Y608" s="3214"/>
      <c r="Z608" s="3214"/>
      <c r="AA608" s="3214"/>
      <c r="AB608" s="3638"/>
      <c r="AC608" s="3637"/>
      <c r="AD608" s="3206"/>
      <c r="AE608" s="3206"/>
      <c r="AF608" s="5301"/>
    </row>
    <row r="609" spans="1:32">
      <c r="A609" s="4564"/>
      <c r="B609" s="4570"/>
      <c r="C609" s="4545"/>
      <c r="D609" s="4514"/>
      <c r="E609" s="4514"/>
      <c r="F609" s="4514"/>
      <c r="G609" s="4514"/>
      <c r="H609" s="4514"/>
      <c r="I609" s="4514"/>
      <c r="J609" s="4514"/>
      <c r="K609" s="4514"/>
      <c r="L609" s="4514"/>
      <c r="M609" s="4901"/>
      <c r="N609" s="4901"/>
      <c r="O609" s="4901"/>
      <c r="P609" s="4514"/>
      <c r="Q609" s="4514"/>
      <c r="R609" s="4518"/>
      <c r="S609" s="3311"/>
      <c r="T609" s="1891"/>
      <c r="U609" s="1849"/>
      <c r="V609" s="1883"/>
      <c r="W609" s="1864"/>
      <c r="X609" s="3637"/>
      <c r="Y609" s="3214"/>
      <c r="Z609" s="3214"/>
      <c r="AA609" s="3214"/>
      <c r="AB609" s="3638"/>
      <c r="AC609" s="3637"/>
      <c r="AD609" s="3206"/>
      <c r="AE609" s="3206"/>
      <c r="AF609" s="5301"/>
    </row>
    <row r="610" spans="1:32">
      <c r="A610" s="4564"/>
      <c r="B610" s="4570"/>
      <c r="C610" s="4545"/>
      <c r="D610" s="4514"/>
      <c r="E610" s="4514"/>
      <c r="F610" s="4514"/>
      <c r="G610" s="4514"/>
      <c r="H610" s="4514"/>
      <c r="I610" s="4514"/>
      <c r="J610" s="4514"/>
      <c r="K610" s="4514"/>
      <c r="L610" s="4514"/>
      <c r="M610" s="4901"/>
      <c r="N610" s="4901"/>
      <c r="O610" s="4901"/>
      <c r="P610" s="4514"/>
      <c r="Q610" s="4514"/>
      <c r="R610" s="4518"/>
      <c r="S610" s="3311"/>
      <c r="T610" s="1891"/>
      <c r="U610" s="1849"/>
      <c r="V610" s="1883"/>
      <c r="W610" s="1864"/>
      <c r="X610" s="3637"/>
      <c r="Y610" s="3214"/>
      <c r="Z610" s="3214"/>
      <c r="AA610" s="3214"/>
      <c r="AB610" s="3638"/>
      <c r="AC610" s="3637"/>
      <c r="AD610" s="3206"/>
      <c r="AE610" s="3206"/>
      <c r="AF610" s="5301"/>
    </row>
    <row r="611" spans="1:32" ht="28.5" customHeight="1">
      <c r="A611" s="4564"/>
      <c r="B611" s="4570"/>
      <c r="C611" s="4566"/>
      <c r="D611" s="4525"/>
      <c r="E611" s="4525"/>
      <c r="F611" s="4525"/>
      <c r="G611" s="4525"/>
      <c r="H611" s="4525"/>
      <c r="I611" s="4525"/>
      <c r="J611" s="4525"/>
      <c r="K611" s="4525"/>
      <c r="L611" s="4525"/>
      <c r="M611" s="4902"/>
      <c r="N611" s="4902"/>
      <c r="O611" s="4902"/>
      <c r="P611" s="4525"/>
      <c r="Q611" s="4525"/>
      <c r="R611" s="4528"/>
      <c r="S611" s="3314"/>
      <c r="T611" s="3821"/>
      <c r="U611" s="3271"/>
      <c r="V611" s="3822"/>
      <c r="W611" s="3254"/>
      <c r="X611" s="4037"/>
      <c r="Y611" s="3291"/>
      <c r="Z611" s="3291"/>
      <c r="AA611" s="3291"/>
      <c r="AB611" s="4118"/>
      <c r="AC611" s="4037"/>
      <c r="AD611" s="4119"/>
      <c r="AE611" s="4119"/>
      <c r="AF611" s="5302"/>
    </row>
    <row r="612" spans="1:32">
      <c r="A612" s="4564"/>
      <c r="B612" s="4570"/>
      <c r="C612" s="5239" t="s">
        <v>272</v>
      </c>
      <c r="D612" s="4377" t="s">
        <v>302</v>
      </c>
      <c r="E612" s="4377" t="s">
        <v>303</v>
      </c>
      <c r="F612" s="4377" t="s">
        <v>304</v>
      </c>
      <c r="G612" s="4906" t="s">
        <v>305</v>
      </c>
      <c r="H612" s="4377" t="s">
        <v>240</v>
      </c>
      <c r="I612" s="4377" t="s">
        <v>241</v>
      </c>
      <c r="J612" s="4377" t="s">
        <v>1898</v>
      </c>
      <c r="K612" s="4377" t="s">
        <v>1870</v>
      </c>
      <c r="L612" s="4377" t="s">
        <v>1871</v>
      </c>
      <c r="M612" s="4392">
        <v>0</v>
      </c>
      <c r="N612" s="4392">
        <v>1</v>
      </c>
      <c r="O612" s="4392">
        <v>1</v>
      </c>
      <c r="P612" s="4377" t="s">
        <v>1872</v>
      </c>
      <c r="Q612" s="4377" t="s">
        <v>1873</v>
      </c>
      <c r="R612" s="4903" t="s">
        <v>6127</v>
      </c>
      <c r="S612" s="3310"/>
      <c r="T612" s="3270"/>
      <c r="U612" s="3272"/>
      <c r="V612" s="4068"/>
      <c r="W612" s="4071"/>
      <c r="X612" s="3632"/>
      <c r="Y612" s="3633"/>
      <c r="Z612" s="3633"/>
      <c r="AA612" s="3633"/>
      <c r="AB612" s="3634"/>
      <c r="AC612" s="3632"/>
      <c r="AD612" s="4120"/>
      <c r="AE612" s="4120"/>
      <c r="AF612" s="5217"/>
    </row>
    <row r="613" spans="1:32">
      <c r="A613" s="4564"/>
      <c r="B613" s="4570"/>
      <c r="C613" s="4545"/>
      <c r="D613" s="4514"/>
      <c r="E613" s="4514"/>
      <c r="F613" s="4514"/>
      <c r="G613" s="4514"/>
      <c r="H613" s="4514"/>
      <c r="I613" s="4514"/>
      <c r="J613" s="4514"/>
      <c r="K613" s="4514"/>
      <c r="L613" s="4514"/>
      <c r="M613" s="4901"/>
      <c r="N613" s="4901"/>
      <c r="O613" s="4901"/>
      <c r="P613" s="4514"/>
      <c r="Q613" s="4514"/>
      <c r="R613" s="4518"/>
      <c r="S613" s="3311"/>
      <c r="T613" s="1891"/>
      <c r="U613" s="1849"/>
      <c r="V613" s="1883"/>
      <c r="W613" s="1864"/>
      <c r="X613" s="3637"/>
      <c r="Y613" s="3214"/>
      <c r="Z613" s="3214"/>
      <c r="AA613" s="3214"/>
      <c r="AB613" s="3638"/>
      <c r="AC613" s="3637"/>
      <c r="AD613" s="3206"/>
      <c r="AE613" s="3206"/>
      <c r="AF613" s="5301"/>
    </row>
    <row r="614" spans="1:32">
      <c r="A614" s="4564"/>
      <c r="B614" s="4570"/>
      <c r="C614" s="4545"/>
      <c r="D614" s="4514"/>
      <c r="E614" s="4514"/>
      <c r="F614" s="4514"/>
      <c r="G614" s="4514"/>
      <c r="H614" s="4514"/>
      <c r="I614" s="4514"/>
      <c r="J614" s="4514"/>
      <c r="K614" s="4514"/>
      <c r="L614" s="4514"/>
      <c r="M614" s="4901"/>
      <c r="N614" s="4901"/>
      <c r="O614" s="4901"/>
      <c r="P614" s="4514"/>
      <c r="Q614" s="4514"/>
      <c r="R614" s="4518"/>
      <c r="S614" s="3311"/>
      <c r="T614" s="1891"/>
      <c r="U614" s="1849"/>
      <c r="V614" s="1883"/>
      <c r="W614" s="1864"/>
      <c r="X614" s="3637"/>
      <c r="Y614" s="3214"/>
      <c r="Z614" s="3214"/>
      <c r="AA614" s="3214"/>
      <c r="AB614" s="3638"/>
      <c r="AC614" s="3637"/>
      <c r="AD614" s="3206"/>
      <c r="AE614" s="3206"/>
      <c r="AF614" s="5301"/>
    </row>
    <row r="615" spans="1:32">
      <c r="A615" s="4564"/>
      <c r="B615" s="4570"/>
      <c r="C615" s="4545"/>
      <c r="D615" s="4514"/>
      <c r="E615" s="4514"/>
      <c r="F615" s="4514"/>
      <c r="G615" s="4514"/>
      <c r="H615" s="4514"/>
      <c r="I615" s="4514"/>
      <c r="J615" s="4514"/>
      <c r="K615" s="4514"/>
      <c r="L615" s="4514"/>
      <c r="M615" s="4901"/>
      <c r="N615" s="4901"/>
      <c r="O615" s="4901"/>
      <c r="P615" s="4514"/>
      <c r="Q615" s="4514"/>
      <c r="R615" s="4518"/>
      <c r="S615" s="3311"/>
      <c r="T615" s="1891"/>
      <c r="U615" s="1849"/>
      <c r="V615" s="1883"/>
      <c r="W615" s="1864"/>
      <c r="X615" s="3637"/>
      <c r="Y615" s="3214"/>
      <c r="Z615" s="3214"/>
      <c r="AA615" s="3214"/>
      <c r="AB615" s="3638"/>
      <c r="AC615" s="3637"/>
      <c r="AD615" s="3206"/>
      <c r="AE615" s="3206"/>
      <c r="AF615" s="5301"/>
    </row>
    <row r="616" spans="1:32" ht="28.5" customHeight="1">
      <c r="A616" s="4564"/>
      <c r="B616" s="4570"/>
      <c r="C616" s="4573"/>
      <c r="D616" s="4515"/>
      <c r="E616" s="4515"/>
      <c r="F616" s="4515"/>
      <c r="G616" s="4515"/>
      <c r="H616" s="4515"/>
      <c r="I616" s="4515"/>
      <c r="J616" s="4515"/>
      <c r="K616" s="4515"/>
      <c r="L616" s="4515"/>
      <c r="M616" s="5222"/>
      <c r="N616" s="5222"/>
      <c r="O616" s="5222"/>
      <c r="P616" s="4515"/>
      <c r="Q616" s="4515"/>
      <c r="R616" s="4519"/>
      <c r="S616" s="3312"/>
      <c r="T616" s="3819"/>
      <c r="U616" s="3268"/>
      <c r="V616" s="3641"/>
      <c r="W616" s="3233"/>
      <c r="X616" s="3642"/>
      <c r="Y616" s="3282"/>
      <c r="Z616" s="3282"/>
      <c r="AA616" s="3282"/>
      <c r="AB616" s="3643"/>
      <c r="AC616" s="3642"/>
      <c r="AD616" s="4117"/>
      <c r="AE616" s="4117"/>
      <c r="AF616" s="5303"/>
    </row>
    <row r="617" spans="1:32" ht="20.25" customHeight="1">
      <c r="A617" s="4564"/>
      <c r="B617" s="4570"/>
      <c r="C617" s="5236" t="s">
        <v>272</v>
      </c>
      <c r="D617" s="4395" t="s">
        <v>302</v>
      </c>
      <c r="E617" s="4395" t="s">
        <v>388</v>
      </c>
      <c r="F617" s="4395" t="s">
        <v>847</v>
      </c>
      <c r="G617" s="4930" t="s">
        <v>305</v>
      </c>
      <c r="H617" s="4395" t="s">
        <v>306</v>
      </c>
      <c r="I617" s="4395" t="s">
        <v>257</v>
      </c>
      <c r="J617" s="4395" t="s">
        <v>1874</v>
      </c>
      <c r="K617" s="4395" t="s">
        <v>1875</v>
      </c>
      <c r="L617" s="4395" t="s">
        <v>1876</v>
      </c>
      <c r="M617" s="4401">
        <v>0</v>
      </c>
      <c r="N617" s="4401">
        <v>0</v>
      </c>
      <c r="O617" s="4401">
        <v>1</v>
      </c>
      <c r="P617" s="4395" t="s">
        <v>1877</v>
      </c>
      <c r="Q617" s="4395" t="s">
        <v>500</v>
      </c>
      <c r="R617" s="4897" t="s">
        <v>6123</v>
      </c>
      <c r="S617" s="3313"/>
      <c r="T617" s="3071"/>
      <c r="U617" s="3274"/>
      <c r="V617" s="4069"/>
      <c r="W617" s="4070"/>
      <c r="X617" s="4033"/>
      <c r="Y617" s="3295"/>
      <c r="Z617" s="3295"/>
      <c r="AA617" s="3295"/>
      <c r="AB617" s="4115"/>
      <c r="AC617" s="4033"/>
      <c r="AD617" s="4116"/>
      <c r="AE617" s="4116"/>
      <c r="AF617" s="5209"/>
    </row>
    <row r="618" spans="1:32" ht="20.25" customHeight="1">
      <c r="A618" s="4564"/>
      <c r="B618" s="4570"/>
      <c r="C618" s="4545"/>
      <c r="D618" s="4514"/>
      <c r="E618" s="4514"/>
      <c r="F618" s="4514"/>
      <c r="G618" s="4514"/>
      <c r="H618" s="4514"/>
      <c r="I618" s="4514"/>
      <c r="J618" s="4514"/>
      <c r="K618" s="4514"/>
      <c r="L618" s="4514"/>
      <c r="M618" s="4901"/>
      <c r="N618" s="4901"/>
      <c r="O618" s="4901"/>
      <c r="P618" s="4514"/>
      <c r="Q618" s="4514"/>
      <c r="R618" s="4518"/>
      <c r="S618" s="3311"/>
      <c r="T618" s="1891"/>
      <c r="U618" s="1849"/>
      <c r="V618" s="1883"/>
      <c r="W618" s="1864"/>
      <c r="X618" s="3637"/>
      <c r="Y618" s="3214"/>
      <c r="Z618" s="3214"/>
      <c r="AA618" s="3214"/>
      <c r="AB618" s="3638"/>
      <c r="AC618" s="3637"/>
      <c r="AD618" s="3206"/>
      <c r="AE618" s="3206"/>
      <c r="AF618" s="5301"/>
    </row>
    <row r="619" spans="1:32" ht="20.25" customHeight="1">
      <c r="A619" s="4564"/>
      <c r="B619" s="4570"/>
      <c r="C619" s="4545"/>
      <c r="D619" s="4514"/>
      <c r="E619" s="4514"/>
      <c r="F619" s="4514"/>
      <c r="G619" s="4514"/>
      <c r="H619" s="4514"/>
      <c r="I619" s="4514"/>
      <c r="J619" s="4514"/>
      <c r="K619" s="4514"/>
      <c r="L619" s="4514"/>
      <c r="M619" s="4901"/>
      <c r="N619" s="4901"/>
      <c r="O619" s="4901"/>
      <c r="P619" s="4514"/>
      <c r="Q619" s="4514"/>
      <c r="R619" s="4518"/>
      <c r="S619" s="3311"/>
      <c r="T619" s="1891"/>
      <c r="U619" s="1849"/>
      <c r="V619" s="1883"/>
      <c r="W619" s="1864"/>
      <c r="X619" s="3637"/>
      <c r="Y619" s="3214"/>
      <c r="Z619" s="3214"/>
      <c r="AA619" s="3214"/>
      <c r="AB619" s="3638"/>
      <c r="AC619" s="3637"/>
      <c r="AD619" s="3206"/>
      <c r="AE619" s="3206"/>
      <c r="AF619" s="5301"/>
    </row>
    <row r="620" spans="1:32" ht="20.25" customHeight="1">
      <c r="A620" s="4564"/>
      <c r="B620" s="4570"/>
      <c r="C620" s="4545"/>
      <c r="D620" s="4514"/>
      <c r="E620" s="4514"/>
      <c r="F620" s="4514"/>
      <c r="G620" s="4514"/>
      <c r="H620" s="4514"/>
      <c r="I620" s="4514"/>
      <c r="J620" s="4514"/>
      <c r="K620" s="4514"/>
      <c r="L620" s="4514"/>
      <c r="M620" s="4901"/>
      <c r="N620" s="4901"/>
      <c r="O620" s="4901"/>
      <c r="P620" s="4514"/>
      <c r="Q620" s="4514"/>
      <c r="R620" s="4518"/>
      <c r="S620" s="3311"/>
      <c r="T620" s="1891"/>
      <c r="U620" s="1849"/>
      <c r="V620" s="1883"/>
      <c r="W620" s="1864"/>
      <c r="X620" s="3637"/>
      <c r="Y620" s="3214"/>
      <c r="Z620" s="3214"/>
      <c r="AA620" s="3214"/>
      <c r="AB620" s="3638"/>
      <c r="AC620" s="3637"/>
      <c r="AD620" s="3206"/>
      <c r="AE620" s="3206"/>
      <c r="AF620" s="5301"/>
    </row>
    <row r="621" spans="1:32" ht="20.25" customHeight="1">
      <c r="A621" s="4564"/>
      <c r="B621" s="4570"/>
      <c r="C621" s="4566"/>
      <c r="D621" s="4525"/>
      <c r="E621" s="4525"/>
      <c r="F621" s="4525"/>
      <c r="G621" s="4525"/>
      <c r="H621" s="4525"/>
      <c r="I621" s="4525"/>
      <c r="J621" s="4525"/>
      <c r="K621" s="4525"/>
      <c r="L621" s="4525"/>
      <c r="M621" s="4902"/>
      <c r="N621" s="4902"/>
      <c r="O621" s="4902"/>
      <c r="P621" s="4525"/>
      <c r="Q621" s="4525"/>
      <c r="R621" s="4528"/>
      <c r="S621" s="3314"/>
      <c r="T621" s="3821"/>
      <c r="U621" s="3271"/>
      <c r="V621" s="3822"/>
      <c r="W621" s="3254"/>
      <c r="X621" s="4037"/>
      <c r="Y621" s="3291"/>
      <c r="Z621" s="3291"/>
      <c r="AA621" s="3291"/>
      <c r="AB621" s="4118"/>
      <c r="AC621" s="4037"/>
      <c r="AD621" s="4119"/>
      <c r="AE621" s="4119"/>
      <c r="AF621" s="5302"/>
    </row>
    <row r="622" spans="1:32">
      <c r="A622" s="4564"/>
      <c r="B622" s="4570"/>
      <c r="C622" s="5239" t="s">
        <v>272</v>
      </c>
      <c r="D622" s="4377" t="s">
        <v>302</v>
      </c>
      <c r="E622" s="4377" t="s">
        <v>303</v>
      </c>
      <c r="F622" s="4377" t="s">
        <v>304</v>
      </c>
      <c r="G622" s="4906" t="s">
        <v>305</v>
      </c>
      <c r="H622" s="4377" t="s">
        <v>240</v>
      </c>
      <c r="I622" s="4377" t="s">
        <v>241</v>
      </c>
      <c r="J622" s="4377" t="s">
        <v>1878</v>
      </c>
      <c r="K622" s="4377" t="s">
        <v>1879</v>
      </c>
      <c r="L622" s="4377" t="s">
        <v>1880</v>
      </c>
      <c r="M622" s="4392">
        <v>20</v>
      </c>
      <c r="N622" s="4392">
        <v>20</v>
      </c>
      <c r="O622" s="4392">
        <v>20</v>
      </c>
      <c r="P622" s="4377" t="s">
        <v>1881</v>
      </c>
      <c r="Q622" s="4377" t="s">
        <v>1882</v>
      </c>
      <c r="R622" s="4903" t="s">
        <v>6127</v>
      </c>
      <c r="S622" s="3310"/>
      <c r="T622" s="3270"/>
      <c r="U622" s="3272"/>
      <c r="V622" s="4068"/>
      <c r="W622" s="4071"/>
      <c r="X622" s="3632"/>
      <c r="Y622" s="3633"/>
      <c r="Z622" s="3633"/>
      <c r="AA622" s="3633"/>
      <c r="AB622" s="3634"/>
      <c r="AC622" s="3632"/>
      <c r="AD622" s="4120"/>
      <c r="AE622" s="4120"/>
      <c r="AF622" s="5217"/>
    </row>
    <row r="623" spans="1:32">
      <c r="A623" s="4564"/>
      <c r="B623" s="4570"/>
      <c r="C623" s="4545"/>
      <c r="D623" s="4514"/>
      <c r="E623" s="4514"/>
      <c r="F623" s="4514"/>
      <c r="G623" s="4514"/>
      <c r="H623" s="4514"/>
      <c r="I623" s="4514"/>
      <c r="J623" s="4514"/>
      <c r="K623" s="4514"/>
      <c r="L623" s="4514"/>
      <c r="M623" s="4901"/>
      <c r="N623" s="4901"/>
      <c r="O623" s="4901"/>
      <c r="P623" s="4514"/>
      <c r="Q623" s="4514"/>
      <c r="R623" s="4518"/>
      <c r="S623" s="3311"/>
      <c r="T623" s="1891"/>
      <c r="U623" s="1849"/>
      <c r="V623" s="1883"/>
      <c r="W623" s="1864"/>
      <c r="X623" s="3637"/>
      <c r="Y623" s="3214"/>
      <c r="Z623" s="3214"/>
      <c r="AA623" s="3214"/>
      <c r="AB623" s="3638"/>
      <c r="AC623" s="3637"/>
      <c r="AD623" s="3206"/>
      <c r="AE623" s="3206"/>
      <c r="AF623" s="5301"/>
    </row>
    <row r="624" spans="1:32">
      <c r="A624" s="4564"/>
      <c r="B624" s="4570"/>
      <c r="C624" s="4545"/>
      <c r="D624" s="4514"/>
      <c r="E624" s="4514"/>
      <c r="F624" s="4514"/>
      <c r="G624" s="4514"/>
      <c r="H624" s="4514"/>
      <c r="I624" s="4514"/>
      <c r="J624" s="4514"/>
      <c r="K624" s="4514"/>
      <c r="L624" s="4514"/>
      <c r="M624" s="4901"/>
      <c r="N624" s="4901"/>
      <c r="O624" s="4901"/>
      <c r="P624" s="4514"/>
      <c r="Q624" s="4514"/>
      <c r="R624" s="4518"/>
      <c r="S624" s="3311"/>
      <c r="T624" s="1891"/>
      <c r="U624" s="1849"/>
      <c r="V624" s="1883"/>
      <c r="W624" s="1864"/>
      <c r="X624" s="3637"/>
      <c r="Y624" s="3214"/>
      <c r="Z624" s="3214"/>
      <c r="AA624" s="3214"/>
      <c r="AB624" s="3638"/>
      <c r="AC624" s="3637"/>
      <c r="AD624" s="3206"/>
      <c r="AE624" s="3206"/>
      <c r="AF624" s="5301"/>
    </row>
    <row r="625" spans="1:32">
      <c r="A625" s="4564"/>
      <c r="B625" s="4570"/>
      <c r="C625" s="4545"/>
      <c r="D625" s="4514"/>
      <c r="E625" s="4514"/>
      <c r="F625" s="4514"/>
      <c r="G625" s="4514"/>
      <c r="H625" s="4514"/>
      <c r="I625" s="4514"/>
      <c r="J625" s="4514"/>
      <c r="K625" s="4514"/>
      <c r="L625" s="4514"/>
      <c r="M625" s="4901"/>
      <c r="N625" s="4901"/>
      <c r="O625" s="4901"/>
      <c r="P625" s="4514"/>
      <c r="Q625" s="4514"/>
      <c r="R625" s="4518"/>
      <c r="S625" s="3311"/>
      <c r="T625" s="1891"/>
      <c r="U625" s="1849"/>
      <c r="V625" s="1883"/>
      <c r="W625" s="1864"/>
      <c r="X625" s="3637"/>
      <c r="Y625" s="3214"/>
      <c r="Z625" s="3214"/>
      <c r="AA625" s="3214"/>
      <c r="AB625" s="3638"/>
      <c r="AC625" s="3637"/>
      <c r="AD625" s="3206"/>
      <c r="AE625" s="3206"/>
      <c r="AF625" s="5301"/>
    </row>
    <row r="626" spans="1:32" ht="30.75" customHeight="1">
      <c r="A626" s="4564"/>
      <c r="B626" s="4570"/>
      <c r="C626" s="4573"/>
      <c r="D626" s="4515"/>
      <c r="E626" s="4515"/>
      <c r="F626" s="4515"/>
      <c r="G626" s="4515"/>
      <c r="H626" s="4515"/>
      <c r="I626" s="4515"/>
      <c r="J626" s="4515"/>
      <c r="K626" s="4515"/>
      <c r="L626" s="4515"/>
      <c r="M626" s="5222"/>
      <c r="N626" s="5222"/>
      <c r="O626" s="5222"/>
      <c r="P626" s="4515"/>
      <c r="Q626" s="4515"/>
      <c r="R626" s="4519"/>
      <c r="S626" s="3312"/>
      <c r="T626" s="3819"/>
      <c r="U626" s="3268"/>
      <c r="V626" s="3641"/>
      <c r="W626" s="3233"/>
      <c r="X626" s="3642"/>
      <c r="Y626" s="3282"/>
      <c r="Z626" s="3282"/>
      <c r="AA626" s="3282"/>
      <c r="AB626" s="3643"/>
      <c r="AC626" s="3642"/>
      <c r="AD626" s="4117"/>
      <c r="AE626" s="4117"/>
      <c r="AF626" s="5303"/>
    </row>
    <row r="627" spans="1:32">
      <c r="A627" s="4564"/>
      <c r="B627" s="4570"/>
      <c r="C627" s="5236" t="s">
        <v>272</v>
      </c>
      <c r="D627" s="4395" t="s">
        <v>302</v>
      </c>
      <c r="E627" s="4395" t="s">
        <v>303</v>
      </c>
      <c r="F627" s="4395" t="s">
        <v>304</v>
      </c>
      <c r="G627" s="4930" t="s">
        <v>305</v>
      </c>
      <c r="H627" s="4395" t="s">
        <v>240</v>
      </c>
      <c r="I627" s="4395" t="s">
        <v>257</v>
      </c>
      <c r="J627" s="4395" t="s">
        <v>1883</v>
      </c>
      <c r="K627" s="4395" t="s">
        <v>1884</v>
      </c>
      <c r="L627" s="4395" t="s">
        <v>1885</v>
      </c>
      <c r="M627" s="4401">
        <v>1</v>
      </c>
      <c r="N627" s="4401">
        <v>1</v>
      </c>
      <c r="O627" s="4401">
        <v>1</v>
      </c>
      <c r="P627" s="4395" t="s">
        <v>1886</v>
      </c>
      <c r="Q627" s="4395" t="s">
        <v>1886</v>
      </c>
      <c r="R627" s="4897" t="s">
        <v>6127</v>
      </c>
      <c r="S627" s="3313"/>
      <c r="T627" s="3071"/>
      <c r="U627" s="3274"/>
      <c r="V627" s="4069"/>
      <c r="W627" s="4070"/>
      <c r="X627" s="4033"/>
      <c r="Y627" s="3295"/>
      <c r="Z627" s="3295"/>
      <c r="AA627" s="3295"/>
      <c r="AB627" s="4115"/>
      <c r="AC627" s="4033"/>
      <c r="AD627" s="4116"/>
      <c r="AE627" s="4116"/>
      <c r="AF627" s="5209"/>
    </row>
    <row r="628" spans="1:32">
      <c r="A628" s="4564"/>
      <c r="B628" s="4570"/>
      <c r="C628" s="4545"/>
      <c r="D628" s="4514"/>
      <c r="E628" s="4514"/>
      <c r="F628" s="4514"/>
      <c r="G628" s="4514"/>
      <c r="H628" s="4514"/>
      <c r="I628" s="4514"/>
      <c r="J628" s="4514"/>
      <c r="K628" s="4514"/>
      <c r="L628" s="4514"/>
      <c r="M628" s="4901"/>
      <c r="N628" s="4901"/>
      <c r="O628" s="4901"/>
      <c r="P628" s="4514"/>
      <c r="Q628" s="4514"/>
      <c r="R628" s="4518"/>
      <c r="S628" s="3311"/>
      <c r="T628" s="1891"/>
      <c r="U628" s="1849"/>
      <c r="V628" s="1883"/>
      <c r="W628" s="1864"/>
      <c r="X628" s="3637"/>
      <c r="Y628" s="3214"/>
      <c r="Z628" s="3214"/>
      <c r="AA628" s="3214"/>
      <c r="AB628" s="3638"/>
      <c r="AC628" s="3637"/>
      <c r="AD628" s="3206"/>
      <c r="AE628" s="3206"/>
      <c r="AF628" s="5301"/>
    </row>
    <row r="629" spans="1:32">
      <c r="A629" s="4564"/>
      <c r="B629" s="4570"/>
      <c r="C629" s="4545"/>
      <c r="D629" s="4514"/>
      <c r="E629" s="4514"/>
      <c r="F629" s="4514"/>
      <c r="G629" s="4514"/>
      <c r="H629" s="4514"/>
      <c r="I629" s="4514"/>
      <c r="J629" s="4514"/>
      <c r="K629" s="4514"/>
      <c r="L629" s="4514"/>
      <c r="M629" s="4901"/>
      <c r="N629" s="4901"/>
      <c r="O629" s="4901"/>
      <c r="P629" s="4514"/>
      <c r="Q629" s="4514"/>
      <c r="R629" s="4518"/>
      <c r="S629" s="3311"/>
      <c r="T629" s="1891"/>
      <c r="U629" s="1849"/>
      <c r="V629" s="1883"/>
      <c r="W629" s="1864"/>
      <c r="X629" s="3637"/>
      <c r="Y629" s="3214"/>
      <c r="Z629" s="3214"/>
      <c r="AA629" s="3214"/>
      <c r="AB629" s="3638"/>
      <c r="AC629" s="3637"/>
      <c r="AD629" s="3206"/>
      <c r="AE629" s="3206"/>
      <c r="AF629" s="5301"/>
    </row>
    <row r="630" spans="1:32">
      <c r="A630" s="4564"/>
      <c r="B630" s="4570"/>
      <c r="C630" s="4545"/>
      <c r="D630" s="4514"/>
      <c r="E630" s="4514"/>
      <c r="F630" s="4514"/>
      <c r="G630" s="4514"/>
      <c r="H630" s="4514"/>
      <c r="I630" s="4514"/>
      <c r="J630" s="4514"/>
      <c r="K630" s="4514"/>
      <c r="L630" s="4514"/>
      <c r="M630" s="4901"/>
      <c r="N630" s="4901"/>
      <c r="O630" s="4901"/>
      <c r="P630" s="4514"/>
      <c r="Q630" s="4514"/>
      <c r="R630" s="4518"/>
      <c r="S630" s="3311"/>
      <c r="T630" s="1891"/>
      <c r="U630" s="1849"/>
      <c r="V630" s="1883"/>
      <c r="W630" s="1864"/>
      <c r="X630" s="3637"/>
      <c r="Y630" s="3214"/>
      <c r="Z630" s="3214"/>
      <c r="AA630" s="3214"/>
      <c r="AB630" s="3638"/>
      <c r="AC630" s="3637"/>
      <c r="AD630" s="3206"/>
      <c r="AE630" s="3206"/>
      <c r="AF630" s="5301"/>
    </row>
    <row r="631" spans="1:32" ht="33.75" customHeight="1" thickBot="1">
      <c r="A631" s="4564"/>
      <c r="B631" s="4570"/>
      <c r="C631" s="5287"/>
      <c r="D631" s="5285"/>
      <c r="E631" s="5285"/>
      <c r="F631" s="5285"/>
      <c r="G631" s="5285"/>
      <c r="H631" s="5285"/>
      <c r="I631" s="5285"/>
      <c r="J631" s="5285"/>
      <c r="K631" s="5285"/>
      <c r="L631" s="5285"/>
      <c r="M631" s="5294"/>
      <c r="N631" s="5294"/>
      <c r="O631" s="5294"/>
      <c r="P631" s="5285"/>
      <c r="Q631" s="5285"/>
      <c r="R631" s="5295"/>
      <c r="S631" s="4136"/>
      <c r="T631" s="4105"/>
      <c r="U631" s="4106"/>
      <c r="V631" s="4107"/>
      <c r="W631" s="4108"/>
      <c r="X631" s="4109"/>
      <c r="Y631" s="4110"/>
      <c r="Z631" s="4110"/>
      <c r="AA631" s="4110"/>
      <c r="AB631" s="4111"/>
      <c r="AC631" s="4109"/>
      <c r="AD631" s="4112"/>
      <c r="AE631" s="4112"/>
      <c r="AF631" s="5304"/>
    </row>
    <row r="632" spans="1:32" ht="30" customHeight="1" thickBot="1">
      <c r="A632" s="4564"/>
      <c r="B632" s="4479"/>
      <c r="C632" s="5323"/>
      <c r="D632" s="4807"/>
      <c r="E632" s="4807"/>
      <c r="F632" s="4807"/>
      <c r="G632" s="4807"/>
      <c r="H632" s="4807"/>
      <c r="I632" s="4807"/>
      <c r="J632" s="4807"/>
      <c r="K632" s="4807"/>
      <c r="L632" s="4807"/>
      <c r="M632" s="4807"/>
      <c r="N632" s="4807"/>
      <c r="O632" s="4807"/>
      <c r="P632" s="4807"/>
      <c r="Q632" s="4807"/>
      <c r="R632" s="4807"/>
      <c r="S632" s="4138" t="s">
        <v>1904</v>
      </c>
      <c r="T632" s="4073"/>
      <c r="U632" s="4073"/>
      <c r="V632" s="4073"/>
      <c r="W632" s="4074"/>
      <c r="X632" s="4075"/>
      <c r="Y632" s="4076"/>
      <c r="Z632" s="4143"/>
      <c r="AA632" s="4144" t="s">
        <v>340</v>
      </c>
      <c r="AB632" s="4146">
        <f>SUM(AB557:AB631)</f>
        <v>0</v>
      </c>
      <c r="AC632" s="4145"/>
      <c r="AD632" s="4075"/>
      <c r="AE632" s="4075"/>
      <c r="AF632" s="4080"/>
    </row>
    <row r="633" spans="1:32" ht="21" customHeight="1">
      <c r="A633" s="4564"/>
      <c r="B633" s="4571" t="s">
        <v>1905</v>
      </c>
      <c r="C633" s="5288" t="s">
        <v>272</v>
      </c>
      <c r="D633" s="4421" t="s">
        <v>236</v>
      </c>
      <c r="E633" s="4421" t="s">
        <v>244</v>
      </c>
      <c r="F633" s="4421" t="s">
        <v>337</v>
      </c>
      <c r="G633" s="5286" t="s">
        <v>239</v>
      </c>
      <c r="H633" s="4421" t="s">
        <v>240</v>
      </c>
      <c r="I633" s="4421" t="s">
        <v>257</v>
      </c>
      <c r="J633" s="4421" t="s">
        <v>6021</v>
      </c>
      <c r="K633" s="4421" t="s">
        <v>1821</v>
      </c>
      <c r="L633" s="4421" t="s">
        <v>1822</v>
      </c>
      <c r="M633" s="4426">
        <v>2</v>
      </c>
      <c r="N633" s="4426">
        <v>3</v>
      </c>
      <c r="O633" s="4426">
        <v>3</v>
      </c>
      <c r="P633" s="4421" t="s">
        <v>1901</v>
      </c>
      <c r="Q633" s="4421" t="s">
        <v>1824</v>
      </c>
      <c r="R633" s="5290" t="s">
        <v>6128</v>
      </c>
      <c r="S633" s="4135"/>
      <c r="T633" s="3853"/>
      <c r="U633" s="3874"/>
      <c r="V633" s="3854"/>
      <c r="W633" s="3855"/>
      <c r="X633" s="4091"/>
      <c r="Y633" s="4092"/>
      <c r="Z633" s="4092"/>
      <c r="AA633" s="4092"/>
      <c r="AB633" s="4093"/>
      <c r="AC633" s="4091"/>
      <c r="AD633" s="4094"/>
      <c r="AE633" s="4094"/>
      <c r="AF633" s="5321"/>
    </row>
    <row r="634" spans="1:32" ht="21" customHeight="1">
      <c r="A634" s="4564"/>
      <c r="B634" s="4570"/>
      <c r="C634" s="4545"/>
      <c r="D634" s="4514"/>
      <c r="E634" s="4514"/>
      <c r="F634" s="4514"/>
      <c r="G634" s="4514"/>
      <c r="H634" s="4514"/>
      <c r="I634" s="4514"/>
      <c r="J634" s="4514"/>
      <c r="K634" s="4514"/>
      <c r="L634" s="4514"/>
      <c r="M634" s="4901"/>
      <c r="N634" s="4901"/>
      <c r="O634" s="4901"/>
      <c r="P634" s="4514"/>
      <c r="Q634" s="4514"/>
      <c r="R634" s="4518"/>
      <c r="S634" s="3311"/>
      <c r="T634" s="1891"/>
      <c r="U634" s="1849"/>
      <c r="V634" s="1883"/>
      <c r="W634" s="1864"/>
      <c r="X634" s="3637"/>
      <c r="Y634" s="3214"/>
      <c r="Z634" s="3214"/>
      <c r="AA634" s="3214"/>
      <c r="AB634" s="3638"/>
      <c r="AC634" s="3637"/>
      <c r="AD634" s="3206"/>
      <c r="AE634" s="3206"/>
      <c r="AF634" s="5301"/>
    </row>
    <row r="635" spans="1:32" ht="21" customHeight="1">
      <c r="A635" s="4564"/>
      <c r="B635" s="4570"/>
      <c r="C635" s="4545"/>
      <c r="D635" s="4514"/>
      <c r="E635" s="4514"/>
      <c r="F635" s="4514"/>
      <c r="G635" s="4514"/>
      <c r="H635" s="4514"/>
      <c r="I635" s="4514"/>
      <c r="J635" s="4514"/>
      <c r="K635" s="4514"/>
      <c r="L635" s="4514"/>
      <c r="M635" s="4901"/>
      <c r="N635" s="4901"/>
      <c r="O635" s="4901"/>
      <c r="P635" s="4514"/>
      <c r="Q635" s="4514"/>
      <c r="R635" s="4518"/>
      <c r="S635" s="3311"/>
      <c r="T635" s="1891"/>
      <c r="U635" s="1849"/>
      <c r="V635" s="1883"/>
      <c r="W635" s="1864"/>
      <c r="X635" s="3637"/>
      <c r="Y635" s="3214"/>
      <c r="Z635" s="3214"/>
      <c r="AA635" s="3214"/>
      <c r="AB635" s="3638"/>
      <c r="AC635" s="3637"/>
      <c r="AD635" s="3206"/>
      <c r="AE635" s="3206"/>
      <c r="AF635" s="5301"/>
    </row>
    <row r="636" spans="1:32" ht="21" customHeight="1">
      <c r="A636" s="4564"/>
      <c r="B636" s="4570"/>
      <c r="C636" s="4545"/>
      <c r="D636" s="4514"/>
      <c r="E636" s="4514"/>
      <c r="F636" s="4514"/>
      <c r="G636" s="4514"/>
      <c r="H636" s="4514"/>
      <c r="I636" s="4514"/>
      <c r="J636" s="4514"/>
      <c r="K636" s="4514"/>
      <c r="L636" s="4514"/>
      <c r="M636" s="4901"/>
      <c r="N636" s="4901"/>
      <c r="O636" s="4901"/>
      <c r="P636" s="4514"/>
      <c r="Q636" s="4514"/>
      <c r="R636" s="4518"/>
      <c r="S636" s="3311"/>
      <c r="T636" s="1891"/>
      <c r="U636" s="1849"/>
      <c r="V636" s="1883"/>
      <c r="W636" s="1864"/>
      <c r="X636" s="3637"/>
      <c r="Y636" s="3214"/>
      <c r="Z636" s="3214"/>
      <c r="AA636" s="3214"/>
      <c r="AB636" s="3638"/>
      <c r="AC636" s="3637"/>
      <c r="AD636" s="3206"/>
      <c r="AE636" s="3206"/>
      <c r="AF636" s="5301"/>
    </row>
    <row r="637" spans="1:32" ht="21" customHeight="1">
      <c r="A637" s="4564"/>
      <c r="B637" s="4570"/>
      <c r="C637" s="4566"/>
      <c r="D637" s="4525"/>
      <c r="E637" s="4525"/>
      <c r="F637" s="4525"/>
      <c r="G637" s="4525"/>
      <c r="H637" s="4525"/>
      <c r="I637" s="4525"/>
      <c r="J637" s="4525"/>
      <c r="K637" s="4525"/>
      <c r="L637" s="4525"/>
      <c r="M637" s="4902"/>
      <c r="N637" s="4902"/>
      <c r="O637" s="4902"/>
      <c r="P637" s="4525"/>
      <c r="Q637" s="4525"/>
      <c r="R637" s="4528"/>
      <c r="S637" s="3314"/>
      <c r="T637" s="3821"/>
      <c r="U637" s="3271"/>
      <c r="V637" s="3822"/>
      <c r="W637" s="3254"/>
      <c r="X637" s="4037"/>
      <c r="Y637" s="3291"/>
      <c r="Z637" s="3291"/>
      <c r="AA637" s="3291"/>
      <c r="AB637" s="4118"/>
      <c r="AC637" s="4037"/>
      <c r="AD637" s="4119"/>
      <c r="AE637" s="4119"/>
      <c r="AF637" s="5302"/>
    </row>
    <row r="638" spans="1:32" ht="19.5" customHeight="1">
      <c r="A638" s="4564"/>
      <c r="B638" s="4570"/>
      <c r="C638" s="5239" t="s">
        <v>272</v>
      </c>
      <c r="D638" s="4377" t="s">
        <v>302</v>
      </c>
      <c r="E638" s="4377" t="s">
        <v>303</v>
      </c>
      <c r="F638" s="4377" t="s">
        <v>304</v>
      </c>
      <c r="G638" s="4906" t="s">
        <v>305</v>
      </c>
      <c r="H638" s="4377" t="s">
        <v>240</v>
      </c>
      <c r="I638" s="4377" t="s">
        <v>241</v>
      </c>
      <c r="J638" s="4377" t="s">
        <v>1889</v>
      </c>
      <c r="K638" s="4377" t="s">
        <v>1825</v>
      </c>
      <c r="L638" s="4377" t="s">
        <v>1826</v>
      </c>
      <c r="M638" s="4392">
        <v>1</v>
      </c>
      <c r="N638" s="4392">
        <v>1</v>
      </c>
      <c r="O638" s="4392">
        <v>1</v>
      </c>
      <c r="P638" s="4377" t="s">
        <v>1827</v>
      </c>
      <c r="Q638" s="4377" t="s">
        <v>1824</v>
      </c>
      <c r="R638" s="4903" t="s">
        <v>6129</v>
      </c>
      <c r="S638" s="3310"/>
      <c r="T638" s="3270"/>
      <c r="U638" s="3272"/>
      <c r="V638" s="4068"/>
      <c r="W638" s="4071"/>
      <c r="X638" s="3632"/>
      <c r="Y638" s="3633"/>
      <c r="Z638" s="3633"/>
      <c r="AA638" s="3633"/>
      <c r="AB638" s="3634"/>
      <c r="AC638" s="3632"/>
      <c r="AD638" s="4120"/>
      <c r="AE638" s="4120"/>
      <c r="AF638" s="5217"/>
    </row>
    <row r="639" spans="1:32" ht="19.5" customHeight="1">
      <c r="A639" s="4564"/>
      <c r="B639" s="4570"/>
      <c r="C639" s="4545"/>
      <c r="D639" s="4514"/>
      <c r="E639" s="4514"/>
      <c r="F639" s="4514"/>
      <c r="G639" s="4514"/>
      <c r="H639" s="4514"/>
      <c r="I639" s="4514"/>
      <c r="J639" s="4514"/>
      <c r="K639" s="4514"/>
      <c r="L639" s="4514"/>
      <c r="M639" s="4901"/>
      <c r="N639" s="4901"/>
      <c r="O639" s="4901"/>
      <c r="P639" s="4514"/>
      <c r="Q639" s="4514"/>
      <c r="R639" s="4518"/>
      <c r="S639" s="3311"/>
      <c r="T639" s="1891"/>
      <c r="U639" s="1849"/>
      <c r="V639" s="1883"/>
      <c r="W639" s="1864"/>
      <c r="X639" s="3637"/>
      <c r="Y639" s="3214"/>
      <c r="Z639" s="3214"/>
      <c r="AA639" s="3214"/>
      <c r="AB639" s="3638"/>
      <c r="AC639" s="3637"/>
      <c r="AD639" s="3206"/>
      <c r="AE639" s="3206"/>
      <c r="AF639" s="5301"/>
    </row>
    <row r="640" spans="1:32" ht="19.5" customHeight="1">
      <c r="A640" s="4564"/>
      <c r="B640" s="4570"/>
      <c r="C640" s="4545"/>
      <c r="D640" s="4514"/>
      <c r="E640" s="4514"/>
      <c r="F640" s="4514"/>
      <c r="G640" s="4514"/>
      <c r="H640" s="4514"/>
      <c r="I640" s="4514"/>
      <c r="J640" s="4514"/>
      <c r="K640" s="4514"/>
      <c r="L640" s="4514"/>
      <c r="M640" s="4901"/>
      <c r="N640" s="4901"/>
      <c r="O640" s="4901"/>
      <c r="P640" s="4514"/>
      <c r="Q640" s="4514"/>
      <c r="R640" s="4518"/>
      <c r="S640" s="3311"/>
      <c r="T640" s="1891"/>
      <c r="U640" s="1849"/>
      <c r="V640" s="1883"/>
      <c r="W640" s="1864"/>
      <c r="X640" s="3637"/>
      <c r="Y640" s="3214"/>
      <c r="Z640" s="3214"/>
      <c r="AA640" s="3214"/>
      <c r="AB640" s="3638"/>
      <c r="AC640" s="3637"/>
      <c r="AD640" s="3206"/>
      <c r="AE640" s="3206"/>
      <c r="AF640" s="5301"/>
    </row>
    <row r="641" spans="1:32" ht="19.5" customHeight="1">
      <c r="A641" s="4564"/>
      <c r="B641" s="4570"/>
      <c r="C641" s="4545"/>
      <c r="D641" s="4514"/>
      <c r="E641" s="4514"/>
      <c r="F641" s="4514"/>
      <c r="G641" s="4514"/>
      <c r="H641" s="4514"/>
      <c r="I641" s="4514"/>
      <c r="J641" s="4514"/>
      <c r="K641" s="4514"/>
      <c r="L641" s="4514"/>
      <c r="M641" s="4901"/>
      <c r="N641" s="4901"/>
      <c r="O641" s="4901"/>
      <c r="P641" s="4514"/>
      <c r="Q641" s="4514"/>
      <c r="R641" s="4518"/>
      <c r="S641" s="3311"/>
      <c r="T641" s="1891"/>
      <c r="U641" s="1849"/>
      <c r="V641" s="1883"/>
      <c r="W641" s="1864"/>
      <c r="X641" s="3637"/>
      <c r="Y641" s="3214"/>
      <c r="Z641" s="3214"/>
      <c r="AA641" s="3214"/>
      <c r="AB641" s="3638"/>
      <c r="AC641" s="3637"/>
      <c r="AD641" s="3206"/>
      <c r="AE641" s="3206"/>
      <c r="AF641" s="5301"/>
    </row>
    <row r="642" spans="1:32" ht="19.5" customHeight="1">
      <c r="A642" s="4564"/>
      <c r="B642" s="4570"/>
      <c r="C642" s="4573"/>
      <c r="D642" s="4515"/>
      <c r="E642" s="4515"/>
      <c r="F642" s="4515"/>
      <c r="G642" s="4515"/>
      <c r="H642" s="4515"/>
      <c r="I642" s="4515"/>
      <c r="J642" s="4515"/>
      <c r="K642" s="4515"/>
      <c r="L642" s="4515"/>
      <c r="M642" s="5222"/>
      <c r="N642" s="5222"/>
      <c r="O642" s="5222"/>
      <c r="P642" s="4515"/>
      <c r="Q642" s="4515"/>
      <c r="R642" s="4519"/>
      <c r="S642" s="3312"/>
      <c r="T642" s="3819"/>
      <c r="U642" s="3268"/>
      <c r="V642" s="3641"/>
      <c r="W642" s="3233"/>
      <c r="X642" s="3642"/>
      <c r="Y642" s="3282"/>
      <c r="Z642" s="3282"/>
      <c r="AA642" s="3282"/>
      <c r="AB642" s="3643"/>
      <c r="AC642" s="3642"/>
      <c r="AD642" s="4117"/>
      <c r="AE642" s="4117"/>
      <c r="AF642" s="5303"/>
    </row>
    <row r="643" spans="1:32">
      <c r="A643" s="4564"/>
      <c r="B643" s="4570"/>
      <c r="C643" s="5236" t="s">
        <v>272</v>
      </c>
      <c r="D643" s="4395" t="s">
        <v>302</v>
      </c>
      <c r="E643" s="4395" t="s">
        <v>303</v>
      </c>
      <c r="F643" s="4395" t="s">
        <v>304</v>
      </c>
      <c r="G643" s="4930" t="s">
        <v>305</v>
      </c>
      <c r="H643" s="4395" t="s">
        <v>262</v>
      </c>
      <c r="I643" s="4395" t="s">
        <v>257</v>
      </c>
      <c r="J643" s="4395" t="s">
        <v>1890</v>
      </c>
      <c r="K643" s="4395" t="s">
        <v>1828</v>
      </c>
      <c r="L643" s="4395" t="s">
        <v>1829</v>
      </c>
      <c r="M643" s="4401">
        <v>0</v>
      </c>
      <c r="N643" s="4401">
        <v>1</v>
      </c>
      <c r="O643" s="4401">
        <v>1</v>
      </c>
      <c r="P643" s="4395" t="s">
        <v>1830</v>
      </c>
      <c r="Q643" s="4395" t="s">
        <v>1831</v>
      </c>
      <c r="R643" s="4897" t="s">
        <v>6130</v>
      </c>
      <c r="S643" s="3313"/>
      <c r="T643" s="3071"/>
      <c r="U643" s="3274"/>
      <c r="V643" s="4069"/>
      <c r="W643" s="4070"/>
      <c r="X643" s="4033"/>
      <c r="Y643" s="3295"/>
      <c r="Z643" s="3295"/>
      <c r="AA643" s="3295"/>
      <c r="AB643" s="4115"/>
      <c r="AC643" s="4033"/>
      <c r="AD643" s="4116"/>
      <c r="AE643" s="4116"/>
      <c r="AF643" s="5209"/>
    </row>
    <row r="644" spans="1:32">
      <c r="A644" s="4564"/>
      <c r="B644" s="4570"/>
      <c r="C644" s="4545"/>
      <c r="D644" s="4514"/>
      <c r="E644" s="4514"/>
      <c r="F644" s="4514"/>
      <c r="G644" s="4514"/>
      <c r="H644" s="4514"/>
      <c r="I644" s="4514"/>
      <c r="J644" s="4514"/>
      <c r="K644" s="4514"/>
      <c r="L644" s="4514"/>
      <c r="M644" s="4901"/>
      <c r="N644" s="4901"/>
      <c r="O644" s="4901"/>
      <c r="P644" s="4514"/>
      <c r="Q644" s="4514"/>
      <c r="R644" s="4518"/>
      <c r="S644" s="3311"/>
      <c r="T644" s="1891"/>
      <c r="U644" s="1849"/>
      <c r="V644" s="1883"/>
      <c r="W644" s="1864"/>
      <c r="X644" s="3637"/>
      <c r="Y644" s="3214"/>
      <c r="Z644" s="3214"/>
      <c r="AA644" s="3214"/>
      <c r="AB644" s="3638"/>
      <c r="AC644" s="3637"/>
      <c r="AD644" s="3206"/>
      <c r="AE644" s="3206"/>
      <c r="AF644" s="5301"/>
    </row>
    <row r="645" spans="1:32">
      <c r="A645" s="4564"/>
      <c r="B645" s="4570"/>
      <c r="C645" s="4545"/>
      <c r="D645" s="4514"/>
      <c r="E645" s="4514"/>
      <c r="F645" s="4514"/>
      <c r="G645" s="4514"/>
      <c r="H645" s="4514"/>
      <c r="I645" s="4514"/>
      <c r="J645" s="4514"/>
      <c r="K645" s="4514"/>
      <c r="L645" s="4514"/>
      <c r="M645" s="4901"/>
      <c r="N645" s="4901"/>
      <c r="O645" s="4901"/>
      <c r="P645" s="4514"/>
      <c r="Q645" s="4514"/>
      <c r="R645" s="4518"/>
      <c r="S645" s="3311"/>
      <c r="T645" s="1891"/>
      <c r="U645" s="1849"/>
      <c r="V645" s="1883"/>
      <c r="W645" s="1864"/>
      <c r="X645" s="3637"/>
      <c r="Y645" s="3214"/>
      <c r="Z645" s="3214"/>
      <c r="AA645" s="3214"/>
      <c r="AB645" s="3638"/>
      <c r="AC645" s="3637"/>
      <c r="AD645" s="3206"/>
      <c r="AE645" s="3206"/>
      <c r="AF645" s="5301"/>
    </row>
    <row r="646" spans="1:32">
      <c r="A646" s="4564"/>
      <c r="B646" s="4570"/>
      <c r="C646" s="4545"/>
      <c r="D646" s="4514"/>
      <c r="E646" s="4514"/>
      <c r="F646" s="4514"/>
      <c r="G646" s="4514"/>
      <c r="H646" s="4514"/>
      <c r="I646" s="4514"/>
      <c r="J646" s="4514"/>
      <c r="K646" s="4514"/>
      <c r="L646" s="4514"/>
      <c r="M646" s="4901"/>
      <c r="N646" s="4901"/>
      <c r="O646" s="4901"/>
      <c r="P646" s="4514"/>
      <c r="Q646" s="4514"/>
      <c r="R646" s="4518"/>
      <c r="S646" s="3311"/>
      <c r="T646" s="1891"/>
      <c r="U646" s="1849"/>
      <c r="V646" s="1883"/>
      <c r="W646" s="1864"/>
      <c r="X646" s="3637"/>
      <c r="Y646" s="3214"/>
      <c r="Z646" s="3214"/>
      <c r="AA646" s="3214"/>
      <c r="AB646" s="3638"/>
      <c r="AC646" s="3637"/>
      <c r="AD646" s="3206"/>
      <c r="AE646" s="3206"/>
      <c r="AF646" s="5301"/>
    </row>
    <row r="647" spans="1:32" ht="28.5" customHeight="1">
      <c r="A647" s="4564"/>
      <c r="B647" s="4570"/>
      <c r="C647" s="4566"/>
      <c r="D647" s="4525"/>
      <c r="E647" s="4525"/>
      <c r="F647" s="4525"/>
      <c r="G647" s="4525"/>
      <c r="H647" s="4525"/>
      <c r="I647" s="4525"/>
      <c r="J647" s="4525"/>
      <c r="K647" s="4525"/>
      <c r="L647" s="4525"/>
      <c r="M647" s="4902"/>
      <c r="N647" s="4902"/>
      <c r="O647" s="4902"/>
      <c r="P647" s="4525"/>
      <c r="Q647" s="4525"/>
      <c r="R647" s="4528"/>
      <c r="S647" s="3314"/>
      <c r="T647" s="3821"/>
      <c r="U647" s="3271"/>
      <c r="V647" s="3822"/>
      <c r="W647" s="3254"/>
      <c r="X647" s="4037"/>
      <c r="Y647" s="3291"/>
      <c r="Z647" s="3291"/>
      <c r="AA647" s="3291"/>
      <c r="AB647" s="4118"/>
      <c r="AC647" s="4037"/>
      <c r="AD647" s="4119"/>
      <c r="AE647" s="4119"/>
      <c r="AF647" s="5302"/>
    </row>
    <row r="648" spans="1:32" ht="18.75" customHeight="1">
      <c r="A648" s="4564"/>
      <c r="B648" s="4570"/>
      <c r="C648" s="5239" t="s">
        <v>272</v>
      </c>
      <c r="D648" s="4377" t="s">
        <v>302</v>
      </c>
      <c r="E648" s="4377" t="s">
        <v>303</v>
      </c>
      <c r="F648" s="4377" t="s">
        <v>304</v>
      </c>
      <c r="G648" s="4906" t="s">
        <v>305</v>
      </c>
      <c r="H648" s="4377" t="s">
        <v>262</v>
      </c>
      <c r="I648" s="4377" t="s">
        <v>257</v>
      </c>
      <c r="J648" s="4377" t="s">
        <v>1891</v>
      </c>
      <c r="K648" s="4377" t="s">
        <v>1832</v>
      </c>
      <c r="L648" s="4377" t="s">
        <v>1833</v>
      </c>
      <c r="M648" s="4392">
        <v>4</v>
      </c>
      <c r="N648" s="4392">
        <v>4</v>
      </c>
      <c r="O648" s="4392">
        <v>4</v>
      </c>
      <c r="P648" s="4377" t="s">
        <v>1834</v>
      </c>
      <c r="Q648" s="4377" t="s">
        <v>1835</v>
      </c>
      <c r="R648" s="4903" t="s">
        <v>6130</v>
      </c>
      <c r="S648" s="3310"/>
      <c r="T648" s="3270"/>
      <c r="U648" s="3272"/>
      <c r="V648" s="4068"/>
      <c r="W648" s="4071"/>
      <c r="X648" s="3632"/>
      <c r="Y648" s="3633"/>
      <c r="Z648" s="3633"/>
      <c r="AA648" s="3633"/>
      <c r="AB648" s="3634"/>
      <c r="AC648" s="3632"/>
      <c r="AD648" s="4120"/>
      <c r="AE648" s="4120"/>
      <c r="AF648" s="5217"/>
    </row>
    <row r="649" spans="1:32" ht="18.75" customHeight="1">
      <c r="A649" s="4564"/>
      <c r="B649" s="4570"/>
      <c r="C649" s="4545"/>
      <c r="D649" s="4514"/>
      <c r="E649" s="4514"/>
      <c r="F649" s="4514"/>
      <c r="G649" s="4514"/>
      <c r="H649" s="4514"/>
      <c r="I649" s="4514"/>
      <c r="J649" s="4514"/>
      <c r="K649" s="4514"/>
      <c r="L649" s="4514"/>
      <c r="M649" s="4901"/>
      <c r="N649" s="4901"/>
      <c r="O649" s="4901"/>
      <c r="P649" s="4514"/>
      <c r="Q649" s="4514"/>
      <c r="R649" s="4518"/>
      <c r="S649" s="3311"/>
      <c r="T649" s="1891"/>
      <c r="U649" s="1849"/>
      <c r="V649" s="1883"/>
      <c r="W649" s="1864"/>
      <c r="X649" s="3637"/>
      <c r="Y649" s="3214"/>
      <c r="Z649" s="3214"/>
      <c r="AA649" s="3214"/>
      <c r="AB649" s="3638"/>
      <c r="AC649" s="3637"/>
      <c r="AD649" s="3206"/>
      <c r="AE649" s="3206"/>
      <c r="AF649" s="5301"/>
    </row>
    <row r="650" spans="1:32" ht="18.75" customHeight="1">
      <c r="A650" s="4564"/>
      <c r="B650" s="4570"/>
      <c r="C650" s="4545"/>
      <c r="D650" s="4514"/>
      <c r="E650" s="4514"/>
      <c r="F650" s="4514"/>
      <c r="G650" s="4514"/>
      <c r="H650" s="4514"/>
      <c r="I650" s="4514"/>
      <c r="J650" s="4514"/>
      <c r="K650" s="4514"/>
      <c r="L650" s="4514"/>
      <c r="M650" s="4901"/>
      <c r="N650" s="4901"/>
      <c r="O650" s="4901"/>
      <c r="P650" s="4514"/>
      <c r="Q650" s="4514"/>
      <c r="R650" s="4518"/>
      <c r="S650" s="3311"/>
      <c r="T650" s="1891"/>
      <c r="U650" s="1849"/>
      <c r="V650" s="1883"/>
      <c r="W650" s="1864"/>
      <c r="X650" s="3637"/>
      <c r="Y650" s="3214"/>
      <c r="Z650" s="3214"/>
      <c r="AA650" s="3214"/>
      <c r="AB650" s="3638"/>
      <c r="AC650" s="3637"/>
      <c r="AD650" s="3206"/>
      <c r="AE650" s="3206"/>
      <c r="AF650" s="5301"/>
    </row>
    <row r="651" spans="1:32" ht="18.75" customHeight="1">
      <c r="A651" s="4564"/>
      <c r="B651" s="4570"/>
      <c r="C651" s="4545"/>
      <c r="D651" s="4514"/>
      <c r="E651" s="4514"/>
      <c r="F651" s="4514"/>
      <c r="G651" s="4514"/>
      <c r="H651" s="4514"/>
      <c r="I651" s="4514"/>
      <c r="J651" s="4514"/>
      <c r="K651" s="4514"/>
      <c r="L651" s="4514"/>
      <c r="M651" s="4901"/>
      <c r="N651" s="4901"/>
      <c r="O651" s="4901"/>
      <c r="P651" s="4514"/>
      <c r="Q651" s="4514"/>
      <c r="R651" s="4518"/>
      <c r="S651" s="3311"/>
      <c r="T651" s="1891"/>
      <c r="U651" s="1849"/>
      <c r="V651" s="1883"/>
      <c r="W651" s="1864"/>
      <c r="X651" s="3637"/>
      <c r="Y651" s="3214"/>
      <c r="Z651" s="3214"/>
      <c r="AA651" s="3214"/>
      <c r="AB651" s="3638"/>
      <c r="AC651" s="3637"/>
      <c r="AD651" s="3206"/>
      <c r="AE651" s="3206"/>
      <c r="AF651" s="5301"/>
    </row>
    <row r="652" spans="1:32" ht="18.75" customHeight="1">
      <c r="A652" s="4564"/>
      <c r="B652" s="4570"/>
      <c r="C652" s="4573"/>
      <c r="D652" s="4515"/>
      <c r="E652" s="4515"/>
      <c r="F652" s="4515"/>
      <c r="G652" s="4515"/>
      <c r="H652" s="4515"/>
      <c r="I652" s="4515"/>
      <c r="J652" s="4515"/>
      <c r="K652" s="4515"/>
      <c r="L652" s="4515"/>
      <c r="M652" s="5222"/>
      <c r="N652" s="5222"/>
      <c r="O652" s="5222"/>
      <c r="P652" s="4515"/>
      <c r="Q652" s="4515"/>
      <c r="R652" s="4519"/>
      <c r="S652" s="3312"/>
      <c r="T652" s="3819"/>
      <c r="U652" s="3268"/>
      <c r="V652" s="3641"/>
      <c r="W652" s="3233"/>
      <c r="X652" s="3642"/>
      <c r="Y652" s="3282"/>
      <c r="Z652" s="3282"/>
      <c r="AA652" s="3282"/>
      <c r="AB652" s="3643"/>
      <c r="AC652" s="3642"/>
      <c r="AD652" s="4117"/>
      <c r="AE652" s="4117"/>
      <c r="AF652" s="5303"/>
    </row>
    <row r="653" spans="1:32" ht="18.75" customHeight="1">
      <c r="A653" s="4564"/>
      <c r="B653" s="4570"/>
      <c r="C653" s="5236" t="s">
        <v>272</v>
      </c>
      <c r="D653" s="4395" t="s">
        <v>679</v>
      </c>
      <c r="E653" s="4395" t="s">
        <v>274</v>
      </c>
      <c r="F653" s="4395" t="s">
        <v>885</v>
      </c>
      <c r="G653" s="4930" t="s">
        <v>305</v>
      </c>
      <c r="H653" s="4395" t="s">
        <v>262</v>
      </c>
      <c r="I653" s="4395" t="s">
        <v>241</v>
      </c>
      <c r="J653" s="4395" t="s">
        <v>1893</v>
      </c>
      <c r="K653" s="4395" t="s">
        <v>1836</v>
      </c>
      <c r="L653" s="4395" t="s">
        <v>1837</v>
      </c>
      <c r="M653" s="4401">
        <v>2</v>
      </c>
      <c r="N653" s="4401">
        <v>0</v>
      </c>
      <c r="O653" s="4401">
        <v>2</v>
      </c>
      <c r="P653" s="4395" t="s">
        <v>1906</v>
      </c>
      <c r="Q653" s="4395" t="s">
        <v>1895</v>
      </c>
      <c r="R653" s="4897" t="s">
        <v>6131</v>
      </c>
      <c r="S653" s="3313"/>
      <c r="T653" s="3071"/>
      <c r="U653" s="3274"/>
      <c r="V653" s="4069"/>
      <c r="W653" s="4070"/>
      <c r="X653" s="4033"/>
      <c r="Y653" s="3295"/>
      <c r="Z653" s="3295"/>
      <c r="AA653" s="3295"/>
      <c r="AB653" s="4115"/>
      <c r="AC653" s="4033"/>
      <c r="AD653" s="4116"/>
      <c r="AE653" s="4116"/>
      <c r="AF653" s="5209"/>
    </row>
    <row r="654" spans="1:32" ht="18.75" customHeight="1">
      <c r="A654" s="4564"/>
      <c r="B654" s="4570"/>
      <c r="C654" s="4545"/>
      <c r="D654" s="4514"/>
      <c r="E654" s="4514"/>
      <c r="F654" s="4514"/>
      <c r="G654" s="4514"/>
      <c r="H654" s="4514"/>
      <c r="I654" s="4514"/>
      <c r="J654" s="4514"/>
      <c r="K654" s="4514"/>
      <c r="L654" s="4514"/>
      <c r="M654" s="4901"/>
      <c r="N654" s="4901"/>
      <c r="O654" s="4901"/>
      <c r="P654" s="4514"/>
      <c r="Q654" s="4514"/>
      <c r="R654" s="4518"/>
      <c r="S654" s="3311"/>
      <c r="T654" s="1891"/>
      <c r="U654" s="1849"/>
      <c r="V654" s="1883"/>
      <c r="W654" s="1864"/>
      <c r="X654" s="3637"/>
      <c r="Y654" s="3214"/>
      <c r="Z654" s="3214"/>
      <c r="AA654" s="3214"/>
      <c r="AB654" s="3638"/>
      <c r="AC654" s="3637"/>
      <c r="AD654" s="3206"/>
      <c r="AE654" s="3206"/>
      <c r="AF654" s="5301"/>
    </row>
    <row r="655" spans="1:32" ht="18.75" customHeight="1">
      <c r="A655" s="4564"/>
      <c r="B655" s="4570"/>
      <c r="C655" s="4545"/>
      <c r="D655" s="4514"/>
      <c r="E655" s="4514"/>
      <c r="F655" s="4514"/>
      <c r="G655" s="4514"/>
      <c r="H655" s="4514"/>
      <c r="I655" s="4514"/>
      <c r="J655" s="4514"/>
      <c r="K655" s="4514"/>
      <c r="L655" s="4514"/>
      <c r="M655" s="4901"/>
      <c r="N655" s="4901"/>
      <c r="O655" s="4901"/>
      <c r="P655" s="4514"/>
      <c r="Q655" s="4514"/>
      <c r="R655" s="4518"/>
      <c r="S655" s="3311"/>
      <c r="T655" s="1891"/>
      <c r="U655" s="1849"/>
      <c r="V655" s="1883"/>
      <c r="W655" s="1864"/>
      <c r="X655" s="3637"/>
      <c r="Y655" s="3214"/>
      <c r="Z655" s="3214"/>
      <c r="AA655" s="3214"/>
      <c r="AB655" s="3638"/>
      <c r="AC655" s="3637"/>
      <c r="AD655" s="3206"/>
      <c r="AE655" s="3206"/>
      <c r="AF655" s="5301"/>
    </row>
    <row r="656" spans="1:32" ht="18.75" customHeight="1">
      <c r="A656" s="4564"/>
      <c r="B656" s="4570"/>
      <c r="C656" s="4545"/>
      <c r="D656" s="4514"/>
      <c r="E656" s="4514"/>
      <c r="F656" s="4514"/>
      <c r="G656" s="4514"/>
      <c r="H656" s="4514"/>
      <c r="I656" s="4514"/>
      <c r="J656" s="4514"/>
      <c r="K656" s="4514"/>
      <c r="L656" s="4514"/>
      <c r="M656" s="4901"/>
      <c r="N656" s="4901"/>
      <c r="O656" s="4901"/>
      <c r="P656" s="4514"/>
      <c r="Q656" s="4514"/>
      <c r="R656" s="4518"/>
      <c r="S656" s="3311"/>
      <c r="T656" s="1891"/>
      <c r="U656" s="1849"/>
      <c r="V656" s="1883"/>
      <c r="W656" s="1864"/>
      <c r="X656" s="3637"/>
      <c r="Y656" s="3214"/>
      <c r="Z656" s="3214"/>
      <c r="AA656" s="3214"/>
      <c r="AB656" s="3638"/>
      <c r="AC656" s="3637"/>
      <c r="AD656" s="3206"/>
      <c r="AE656" s="3206"/>
      <c r="AF656" s="5301"/>
    </row>
    <row r="657" spans="1:32" ht="18.75" customHeight="1">
      <c r="A657" s="4564"/>
      <c r="B657" s="4570"/>
      <c r="C657" s="4566"/>
      <c r="D657" s="4525"/>
      <c r="E657" s="4525"/>
      <c r="F657" s="4525"/>
      <c r="G657" s="4525"/>
      <c r="H657" s="4525"/>
      <c r="I657" s="4525"/>
      <c r="J657" s="4525"/>
      <c r="K657" s="4525"/>
      <c r="L657" s="4525"/>
      <c r="M657" s="4902"/>
      <c r="N657" s="4902"/>
      <c r="O657" s="4902"/>
      <c r="P657" s="4525"/>
      <c r="Q657" s="4525"/>
      <c r="R657" s="4528"/>
      <c r="S657" s="3314"/>
      <c r="T657" s="3821"/>
      <c r="U657" s="3271"/>
      <c r="V657" s="3822"/>
      <c r="W657" s="3254"/>
      <c r="X657" s="4037"/>
      <c r="Y657" s="3291"/>
      <c r="Z657" s="3291"/>
      <c r="AA657" s="3291"/>
      <c r="AB657" s="4118"/>
      <c r="AC657" s="4037"/>
      <c r="AD657" s="4119"/>
      <c r="AE657" s="4119"/>
      <c r="AF657" s="5302"/>
    </row>
    <row r="658" spans="1:32">
      <c r="A658" s="4564"/>
      <c r="B658" s="4570"/>
      <c r="C658" s="5239" t="s">
        <v>272</v>
      </c>
      <c r="D658" s="4377" t="s">
        <v>302</v>
      </c>
      <c r="E658" s="4377" t="s">
        <v>303</v>
      </c>
      <c r="F658" s="4377" t="s">
        <v>304</v>
      </c>
      <c r="G658" s="4906" t="s">
        <v>305</v>
      </c>
      <c r="H658" s="4377" t="s">
        <v>240</v>
      </c>
      <c r="I658" s="4377" t="s">
        <v>241</v>
      </c>
      <c r="J658" s="4377" t="s">
        <v>1840</v>
      </c>
      <c r="K658" s="4377" t="s">
        <v>1841</v>
      </c>
      <c r="L658" s="4377" t="s">
        <v>1903</v>
      </c>
      <c r="M658" s="4392">
        <v>1</v>
      </c>
      <c r="N658" s="4392">
        <v>1</v>
      </c>
      <c r="O658" s="4392">
        <v>1</v>
      </c>
      <c r="P658" s="4377" t="s">
        <v>1843</v>
      </c>
      <c r="Q658" s="4377" t="s">
        <v>1824</v>
      </c>
      <c r="R658" s="4903" t="s">
        <v>6131</v>
      </c>
      <c r="S658" s="3310"/>
      <c r="T658" s="3270"/>
      <c r="U658" s="3272"/>
      <c r="V658" s="4068"/>
      <c r="W658" s="4071"/>
      <c r="X658" s="3632"/>
      <c r="Y658" s="3633"/>
      <c r="Z658" s="3633"/>
      <c r="AA658" s="3633"/>
      <c r="AB658" s="3634"/>
      <c r="AC658" s="3632"/>
      <c r="AD658" s="4120"/>
      <c r="AE658" s="4120"/>
      <c r="AF658" s="5217"/>
    </row>
    <row r="659" spans="1:32">
      <c r="A659" s="4564"/>
      <c r="B659" s="4570"/>
      <c r="C659" s="4545"/>
      <c r="D659" s="4514"/>
      <c r="E659" s="4514"/>
      <c r="F659" s="4514"/>
      <c r="G659" s="4514"/>
      <c r="H659" s="4514"/>
      <c r="I659" s="4514"/>
      <c r="J659" s="4514"/>
      <c r="K659" s="4514"/>
      <c r="L659" s="4514"/>
      <c r="M659" s="4901"/>
      <c r="N659" s="4901"/>
      <c r="O659" s="4901"/>
      <c r="P659" s="4514"/>
      <c r="Q659" s="4514"/>
      <c r="R659" s="4518"/>
      <c r="S659" s="3311"/>
      <c r="T659" s="1891"/>
      <c r="U659" s="1849"/>
      <c r="V659" s="1883"/>
      <c r="W659" s="1864"/>
      <c r="X659" s="3637"/>
      <c r="Y659" s="3214"/>
      <c r="Z659" s="3214"/>
      <c r="AA659" s="3214"/>
      <c r="AB659" s="3638"/>
      <c r="AC659" s="3637"/>
      <c r="AD659" s="3206"/>
      <c r="AE659" s="3206"/>
      <c r="AF659" s="5301"/>
    </row>
    <row r="660" spans="1:32">
      <c r="A660" s="4564"/>
      <c r="B660" s="4570"/>
      <c r="C660" s="4545"/>
      <c r="D660" s="4514"/>
      <c r="E660" s="4514"/>
      <c r="F660" s="4514"/>
      <c r="G660" s="4514"/>
      <c r="H660" s="4514"/>
      <c r="I660" s="4514"/>
      <c r="J660" s="4514"/>
      <c r="K660" s="4514"/>
      <c r="L660" s="4514"/>
      <c r="M660" s="4901"/>
      <c r="N660" s="4901"/>
      <c r="O660" s="4901"/>
      <c r="P660" s="4514"/>
      <c r="Q660" s="4514"/>
      <c r="R660" s="4518"/>
      <c r="S660" s="3311"/>
      <c r="T660" s="1891"/>
      <c r="U660" s="1849"/>
      <c r="V660" s="1883"/>
      <c r="W660" s="1864"/>
      <c r="X660" s="3637"/>
      <c r="Y660" s="3214"/>
      <c r="Z660" s="3214"/>
      <c r="AA660" s="3214"/>
      <c r="AB660" s="3638"/>
      <c r="AC660" s="3637"/>
      <c r="AD660" s="3206"/>
      <c r="AE660" s="3206"/>
      <c r="AF660" s="5301"/>
    </row>
    <row r="661" spans="1:32">
      <c r="A661" s="4564"/>
      <c r="B661" s="4570"/>
      <c r="C661" s="4545"/>
      <c r="D661" s="4514"/>
      <c r="E661" s="4514"/>
      <c r="F661" s="4514"/>
      <c r="G661" s="4514"/>
      <c r="H661" s="4514"/>
      <c r="I661" s="4514"/>
      <c r="J661" s="4514"/>
      <c r="K661" s="4514"/>
      <c r="L661" s="4514"/>
      <c r="M661" s="4901"/>
      <c r="N661" s="4901"/>
      <c r="O661" s="4901"/>
      <c r="P661" s="4514"/>
      <c r="Q661" s="4514"/>
      <c r="R661" s="4518"/>
      <c r="S661" s="3311"/>
      <c r="T661" s="1891"/>
      <c r="U661" s="1849"/>
      <c r="V661" s="1883"/>
      <c r="W661" s="1864"/>
      <c r="X661" s="3637"/>
      <c r="Y661" s="3214"/>
      <c r="Z661" s="3214"/>
      <c r="AA661" s="3214"/>
      <c r="AB661" s="3638"/>
      <c r="AC661" s="3637"/>
      <c r="AD661" s="3206"/>
      <c r="AE661" s="3206"/>
      <c r="AF661" s="5301"/>
    </row>
    <row r="662" spans="1:32" ht="27.75" customHeight="1">
      <c r="A662" s="4564"/>
      <c r="B662" s="4570"/>
      <c r="C662" s="4573"/>
      <c r="D662" s="4515"/>
      <c r="E662" s="4515"/>
      <c r="F662" s="4515"/>
      <c r="G662" s="4515"/>
      <c r="H662" s="4515"/>
      <c r="I662" s="4515"/>
      <c r="J662" s="4515"/>
      <c r="K662" s="4515"/>
      <c r="L662" s="4515"/>
      <c r="M662" s="5222"/>
      <c r="N662" s="5222"/>
      <c r="O662" s="5222"/>
      <c r="P662" s="4515"/>
      <c r="Q662" s="4515"/>
      <c r="R662" s="4519"/>
      <c r="S662" s="3312"/>
      <c r="T662" s="3819"/>
      <c r="U662" s="3268"/>
      <c r="V662" s="3641"/>
      <c r="W662" s="3233"/>
      <c r="X662" s="3642"/>
      <c r="Y662" s="3282"/>
      <c r="Z662" s="3282"/>
      <c r="AA662" s="3282"/>
      <c r="AB662" s="3643"/>
      <c r="AC662" s="3642"/>
      <c r="AD662" s="4117"/>
      <c r="AE662" s="4117"/>
      <c r="AF662" s="5303"/>
    </row>
    <row r="663" spans="1:32" ht="21.75" customHeight="1">
      <c r="A663" s="4564"/>
      <c r="B663" s="4570"/>
      <c r="C663" s="5236" t="s">
        <v>235</v>
      </c>
      <c r="D663" s="4395" t="s">
        <v>236</v>
      </c>
      <c r="E663" s="4395" t="s">
        <v>244</v>
      </c>
      <c r="F663" s="4395" t="s">
        <v>808</v>
      </c>
      <c r="G663" s="4930" t="s">
        <v>239</v>
      </c>
      <c r="H663" s="4395" t="s">
        <v>293</v>
      </c>
      <c r="I663" s="4395" t="s">
        <v>278</v>
      </c>
      <c r="J663" s="4395" t="s">
        <v>1844</v>
      </c>
      <c r="K663" s="4395" t="s">
        <v>1845</v>
      </c>
      <c r="L663" s="4395" t="s">
        <v>1846</v>
      </c>
      <c r="M663" s="4401">
        <v>1</v>
      </c>
      <c r="N663" s="4401">
        <v>0</v>
      </c>
      <c r="O663" s="4401">
        <v>1</v>
      </c>
      <c r="P663" s="4395" t="s">
        <v>1847</v>
      </c>
      <c r="Q663" s="4395" t="s">
        <v>1848</v>
      </c>
      <c r="R663" s="4897" t="s">
        <v>6132</v>
      </c>
      <c r="S663" s="3313"/>
      <c r="T663" s="3071"/>
      <c r="U663" s="3274"/>
      <c r="V663" s="4069"/>
      <c r="W663" s="4070"/>
      <c r="X663" s="4033"/>
      <c r="Y663" s="3295"/>
      <c r="Z663" s="3295"/>
      <c r="AA663" s="3295"/>
      <c r="AB663" s="4115"/>
      <c r="AC663" s="4033"/>
      <c r="AD663" s="4116"/>
      <c r="AE663" s="4116"/>
      <c r="AF663" s="5209"/>
    </row>
    <row r="664" spans="1:32" ht="21.75" customHeight="1">
      <c r="A664" s="4564"/>
      <c r="B664" s="4570"/>
      <c r="C664" s="4545"/>
      <c r="D664" s="4514"/>
      <c r="E664" s="4514"/>
      <c r="F664" s="4514"/>
      <c r="G664" s="4514"/>
      <c r="H664" s="4514"/>
      <c r="I664" s="4514"/>
      <c r="J664" s="4514"/>
      <c r="K664" s="4514"/>
      <c r="L664" s="4514"/>
      <c r="M664" s="4901"/>
      <c r="N664" s="4901"/>
      <c r="O664" s="4901"/>
      <c r="P664" s="4514"/>
      <c r="Q664" s="4514"/>
      <c r="R664" s="4518"/>
      <c r="S664" s="3311"/>
      <c r="T664" s="1891"/>
      <c r="U664" s="1849"/>
      <c r="V664" s="1883"/>
      <c r="W664" s="1864"/>
      <c r="X664" s="3637"/>
      <c r="Y664" s="3214"/>
      <c r="Z664" s="3214"/>
      <c r="AA664" s="3214"/>
      <c r="AB664" s="3638"/>
      <c r="AC664" s="3637"/>
      <c r="AD664" s="3206"/>
      <c r="AE664" s="3206"/>
      <c r="AF664" s="5301"/>
    </row>
    <row r="665" spans="1:32" ht="21.75" customHeight="1">
      <c r="A665" s="4564"/>
      <c r="B665" s="4570"/>
      <c r="C665" s="4545"/>
      <c r="D665" s="4514"/>
      <c r="E665" s="4514"/>
      <c r="F665" s="4514"/>
      <c r="G665" s="4514"/>
      <c r="H665" s="4514"/>
      <c r="I665" s="4514"/>
      <c r="J665" s="4514"/>
      <c r="K665" s="4514"/>
      <c r="L665" s="4514"/>
      <c r="M665" s="4901"/>
      <c r="N665" s="4901"/>
      <c r="O665" s="4901"/>
      <c r="P665" s="4514"/>
      <c r="Q665" s="4514"/>
      <c r="R665" s="4518"/>
      <c r="S665" s="3311"/>
      <c r="T665" s="1891"/>
      <c r="U665" s="1849"/>
      <c r="V665" s="1883"/>
      <c r="W665" s="1864"/>
      <c r="X665" s="3637"/>
      <c r="Y665" s="3214"/>
      <c r="Z665" s="3214"/>
      <c r="AA665" s="3214"/>
      <c r="AB665" s="3638"/>
      <c r="AC665" s="3637"/>
      <c r="AD665" s="3206"/>
      <c r="AE665" s="3206"/>
      <c r="AF665" s="5301"/>
    </row>
    <row r="666" spans="1:32" ht="21.75" customHeight="1">
      <c r="A666" s="4564"/>
      <c r="B666" s="4570"/>
      <c r="C666" s="4545"/>
      <c r="D666" s="4514"/>
      <c r="E666" s="4514"/>
      <c r="F666" s="4514"/>
      <c r="G666" s="4514"/>
      <c r="H666" s="4514"/>
      <c r="I666" s="4514"/>
      <c r="J666" s="4514"/>
      <c r="K666" s="4514"/>
      <c r="L666" s="4514"/>
      <c r="M666" s="4901"/>
      <c r="N666" s="4901"/>
      <c r="O666" s="4901"/>
      <c r="P666" s="4514"/>
      <c r="Q666" s="4514"/>
      <c r="R666" s="4518"/>
      <c r="S666" s="3311"/>
      <c r="T666" s="1891"/>
      <c r="U666" s="1849"/>
      <c r="V666" s="1883"/>
      <c r="W666" s="1864"/>
      <c r="X666" s="3637"/>
      <c r="Y666" s="3214"/>
      <c r="Z666" s="3214"/>
      <c r="AA666" s="3214"/>
      <c r="AB666" s="3638"/>
      <c r="AC666" s="3637"/>
      <c r="AD666" s="3206"/>
      <c r="AE666" s="3206"/>
      <c r="AF666" s="5301"/>
    </row>
    <row r="667" spans="1:32" ht="21.75" customHeight="1">
      <c r="A667" s="4564"/>
      <c r="B667" s="4570"/>
      <c r="C667" s="4566"/>
      <c r="D667" s="4525"/>
      <c r="E667" s="4525"/>
      <c r="F667" s="4525"/>
      <c r="G667" s="4525"/>
      <c r="H667" s="4525"/>
      <c r="I667" s="4525"/>
      <c r="J667" s="4525"/>
      <c r="K667" s="4525"/>
      <c r="L667" s="4525"/>
      <c r="M667" s="4902"/>
      <c r="N667" s="4902"/>
      <c r="O667" s="4902"/>
      <c r="P667" s="4525"/>
      <c r="Q667" s="4525"/>
      <c r="R667" s="4528"/>
      <c r="S667" s="3314"/>
      <c r="T667" s="3821"/>
      <c r="U667" s="3271"/>
      <c r="V667" s="3822"/>
      <c r="W667" s="3254"/>
      <c r="X667" s="4037"/>
      <c r="Y667" s="3291"/>
      <c r="Z667" s="3291"/>
      <c r="AA667" s="3291"/>
      <c r="AB667" s="4118"/>
      <c r="AC667" s="4037"/>
      <c r="AD667" s="4119"/>
      <c r="AE667" s="4119"/>
      <c r="AF667" s="5302"/>
    </row>
    <row r="668" spans="1:32" ht="21" customHeight="1">
      <c r="A668" s="4564"/>
      <c r="B668" s="4570"/>
      <c r="C668" s="5239" t="s">
        <v>272</v>
      </c>
      <c r="D668" s="4377" t="s">
        <v>302</v>
      </c>
      <c r="E668" s="4377" t="s">
        <v>303</v>
      </c>
      <c r="F668" s="4377" t="s">
        <v>318</v>
      </c>
      <c r="G668" s="4906" t="s">
        <v>305</v>
      </c>
      <c r="H668" s="4377" t="s">
        <v>240</v>
      </c>
      <c r="I668" s="4377" t="s">
        <v>241</v>
      </c>
      <c r="J668" s="4377" t="s">
        <v>1849</v>
      </c>
      <c r="K668" s="4377" t="s">
        <v>1850</v>
      </c>
      <c r="L668" s="4377" t="s">
        <v>1851</v>
      </c>
      <c r="M668" s="4392">
        <v>1</v>
      </c>
      <c r="N668" s="4392">
        <v>0</v>
      </c>
      <c r="O668" s="4392">
        <v>1</v>
      </c>
      <c r="P668" s="4377" t="s">
        <v>1852</v>
      </c>
      <c r="Q668" s="4377" t="s">
        <v>1896</v>
      </c>
      <c r="R668" s="4903" t="s">
        <v>6132</v>
      </c>
      <c r="S668" s="3310"/>
      <c r="T668" s="3270"/>
      <c r="U668" s="3272"/>
      <c r="V668" s="4068"/>
      <c r="W668" s="4071"/>
      <c r="X668" s="3632"/>
      <c r="Y668" s="3633"/>
      <c r="Z668" s="3633"/>
      <c r="AA668" s="3633"/>
      <c r="AB668" s="3634"/>
      <c r="AC668" s="3632"/>
      <c r="AD668" s="4120"/>
      <c r="AE668" s="4120"/>
      <c r="AF668" s="5217"/>
    </row>
    <row r="669" spans="1:32" ht="21" customHeight="1">
      <c r="A669" s="4564"/>
      <c r="B669" s="4570"/>
      <c r="C669" s="4545"/>
      <c r="D669" s="4514"/>
      <c r="E669" s="4514"/>
      <c r="F669" s="4514"/>
      <c r="G669" s="4514"/>
      <c r="H669" s="4514"/>
      <c r="I669" s="4514"/>
      <c r="J669" s="4514"/>
      <c r="K669" s="4514"/>
      <c r="L669" s="4514"/>
      <c r="M669" s="4901"/>
      <c r="N669" s="4901"/>
      <c r="O669" s="4901"/>
      <c r="P669" s="4514"/>
      <c r="Q669" s="4514"/>
      <c r="R669" s="4518"/>
      <c r="S669" s="3311"/>
      <c r="T669" s="1891"/>
      <c r="U669" s="1849"/>
      <c r="V669" s="1883"/>
      <c r="W669" s="1864"/>
      <c r="X669" s="3637"/>
      <c r="Y669" s="3214"/>
      <c r="Z669" s="3214"/>
      <c r="AA669" s="3214"/>
      <c r="AB669" s="3638"/>
      <c r="AC669" s="3637"/>
      <c r="AD669" s="3206"/>
      <c r="AE669" s="3206"/>
      <c r="AF669" s="5301"/>
    </row>
    <row r="670" spans="1:32" ht="21" customHeight="1">
      <c r="A670" s="4564"/>
      <c r="B670" s="4570"/>
      <c r="C670" s="4545"/>
      <c r="D670" s="4514"/>
      <c r="E670" s="4514"/>
      <c r="F670" s="4514"/>
      <c r="G670" s="4514"/>
      <c r="H670" s="4514"/>
      <c r="I670" s="4514"/>
      <c r="J670" s="4514"/>
      <c r="K670" s="4514"/>
      <c r="L670" s="4514"/>
      <c r="M670" s="4901"/>
      <c r="N670" s="4901"/>
      <c r="O670" s="4901"/>
      <c r="P670" s="4514"/>
      <c r="Q670" s="4514"/>
      <c r="R670" s="4518"/>
      <c r="S670" s="3311"/>
      <c r="T670" s="1891"/>
      <c r="U670" s="1849"/>
      <c r="V670" s="1883"/>
      <c r="W670" s="1864"/>
      <c r="X670" s="3637"/>
      <c r="Y670" s="3214"/>
      <c r="Z670" s="3214"/>
      <c r="AA670" s="3214"/>
      <c r="AB670" s="3638"/>
      <c r="AC670" s="3637"/>
      <c r="AD670" s="3206"/>
      <c r="AE670" s="3206"/>
      <c r="AF670" s="5301"/>
    </row>
    <row r="671" spans="1:32" ht="21" customHeight="1">
      <c r="A671" s="4564"/>
      <c r="B671" s="4570"/>
      <c r="C671" s="4545"/>
      <c r="D671" s="4514"/>
      <c r="E671" s="4514"/>
      <c r="F671" s="4514"/>
      <c r="G671" s="4514"/>
      <c r="H671" s="4514"/>
      <c r="I671" s="4514"/>
      <c r="J671" s="4514"/>
      <c r="K671" s="4514"/>
      <c r="L671" s="4514"/>
      <c r="M671" s="4901"/>
      <c r="N671" s="4901"/>
      <c r="O671" s="4901"/>
      <c r="P671" s="4514"/>
      <c r="Q671" s="4514"/>
      <c r="R671" s="4518"/>
      <c r="S671" s="3311"/>
      <c r="T671" s="1891"/>
      <c r="U671" s="1849"/>
      <c r="V671" s="1883"/>
      <c r="W671" s="1864"/>
      <c r="X671" s="3637"/>
      <c r="Y671" s="3214"/>
      <c r="Z671" s="3214"/>
      <c r="AA671" s="3214"/>
      <c r="AB671" s="3638"/>
      <c r="AC671" s="3637"/>
      <c r="AD671" s="3206"/>
      <c r="AE671" s="3206"/>
      <c r="AF671" s="5301"/>
    </row>
    <row r="672" spans="1:32" ht="21" customHeight="1">
      <c r="A672" s="4564"/>
      <c r="B672" s="4570"/>
      <c r="C672" s="4573"/>
      <c r="D672" s="4515"/>
      <c r="E672" s="4515"/>
      <c r="F672" s="4515"/>
      <c r="G672" s="4515"/>
      <c r="H672" s="4515"/>
      <c r="I672" s="4515"/>
      <c r="J672" s="4515"/>
      <c r="K672" s="4515"/>
      <c r="L672" s="4515"/>
      <c r="M672" s="5222"/>
      <c r="N672" s="5222"/>
      <c r="O672" s="5222"/>
      <c r="P672" s="4515"/>
      <c r="Q672" s="4515"/>
      <c r="R672" s="4519"/>
      <c r="S672" s="3312"/>
      <c r="T672" s="3819"/>
      <c r="U672" s="3268"/>
      <c r="V672" s="3641"/>
      <c r="W672" s="3233"/>
      <c r="X672" s="3642"/>
      <c r="Y672" s="3282"/>
      <c r="Z672" s="3282"/>
      <c r="AA672" s="3282"/>
      <c r="AB672" s="3643"/>
      <c r="AC672" s="3642"/>
      <c r="AD672" s="4117"/>
      <c r="AE672" s="4117"/>
      <c r="AF672" s="5303"/>
    </row>
    <row r="673" spans="1:32">
      <c r="A673" s="4564"/>
      <c r="B673" s="4570"/>
      <c r="C673" s="5236" t="s">
        <v>272</v>
      </c>
      <c r="D673" s="4395" t="s">
        <v>302</v>
      </c>
      <c r="E673" s="4395" t="s">
        <v>303</v>
      </c>
      <c r="F673" s="4395" t="s">
        <v>304</v>
      </c>
      <c r="G673" s="4930" t="s">
        <v>305</v>
      </c>
      <c r="H673" s="4395" t="s">
        <v>240</v>
      </c>
      <c r="I673" s="4395" t="s">
        <v>241</v>
      </c>
      <c r="J673" s="4395" t="s">
        <v>1897</v>
      </c>
      <c r="K673" s="4395" t="s">
        <v>1855</v>
      </c>
      <c r="L673" s="4395" t="s">
        <v>1856</v>
      </c>
      <c r="M673" s="4401">
        <v>4</v>
      </c>
      <c r="N673" s="4401">
        <v>8</v>
      </c>
      <c r="O673" s="4401">
        <v>8</v>
      </c>
      <c r="P673" s="4395" t="s">
        <v>1907</v>
      </c>
      <c r="Q673" s="4395" t="s">
        <v>1858</v>
      </c>
      <c r="R673" s="4897" t="s">
        <v>6130</v>
      </c>
      <c r="S673" s="3313"/>
      <c r="T673" s="3071"/>
      <c r="U673" s="3274"/>
      <c r="V673" s="4069"/>
      <c r="W673" s="4070"/>
      <c r="X673" s="4033"/>
      <c r="Y673" s="3295"/>
      <c r="Z673" s="3295"/>
      <c r="AA673" s="3295"/>
      <c r="AB673" s="4115"/>
      <c r="AC673" s="4033"/>
      <c r="AD673" s="4116"/>
      <c r="AE673" s="4116"/>
      <c r="AF673" s="5209"/>
    </row>
    <row r="674" spans="1:32">
      <c r="A674" s="4564"/>
      <c r="B674" s="4570"/>
      <c r="C674" s="4545"/>
      <c r="D674" s="4514"/>
      <c r="E674" s="4514"/>
      <c r="F674" s="4514"/>
      <c r="G674" s="4514"/>
      <c r="H674" s="4514"/>
      <c r="I674" s="4514"/>
      <c r="J674" s="4514"/>
      <c r="K674" s="4514"/>
      <c r="L674" s="4514"/>
      <c r="M674" s="4901"/>
      <c r="N674" s="4901"/>
      <c r="O674" s="4901"/>
      <c r="P674" s="4514"/>
      <c r="Q674" s="4514"/>
      <c r="R674" s="4518"/>
      <c r="S674" s="3311"/>
      <c r="T674" s="1891"/>
      <c r="U674" s="1849"/>
      <c r="V674" s="1883"/>
      <c r="W674" s="1864"/>
      <c r="X674" s="3637"/>
      <c r="Y674" s="3214"/>
      <c r="Z674" s="3214"/>
      <c r="AA674" s="3214"/>
      <c r="AB674" s="3638"/>
      <c r="AC674" s="3637"/>
      <c r="AD674" s="3206"/>
      <c r="AE674" s="3206"/>
      <c r="AF674" s="5301"/>
    </row>
    <row r="675" spans="1:32">
      <c r="A675" s="4564"/>
      <c r="B675" s="4570"/>
      <c r="C675" s="4545"/>
      <c r="D675" s="4514"/>
      <c r="E675" s="4514"/>
      <c r="F675" s="4514"/>
      <c r="G675" s="4514"/>
      <c r="H675" s="4514"/>
      <c r="I675" s="4514"/>
      <c r="J675" s="4514"/>
      <c r="K675" s="4514"/>
      <c r="L675" s="4514"/>
      <c r="M675" s="4901"/>
      <c r="N675" s="4901"/>
      <c r="O675" s="4901"/>
      <c r="P675" s="4514"/>
      <c r="Q675" s="4514"/>
      <c r="R675" s="4518"/>
      <c r="S675" s="3311"/>
      <c r="T675" s="1891"/>
      <c r="U675" s="1849"/>
      <c r="V675" s="1883"/>
      <c r="W675" s="1864"/>
      <c r="X675" s="3637"/>
      <c r="Y675" s="3214"/>
      <c r="Z675" s="3214"/>
      <c r="AA675" s="3214"/>
      <c r="AB675" s="3638"/>
      <c r="AC675" s="3637"/>
      <c r="AD675" s="3206"/>
      <c r="AE675" s="3206"/>
      <c r="AF675" s="5301"/>
    </row>
    <row r="676" spans="1:32">
      <c r="A676" s="4564"/>
      <c r="B676" s="4570"/>
      <c r="C676" s="4545"/>
      <c r="D676" s="4514"/>
      <c r="E676" s="4514"/>
      <c r="F676" s="4514"/>
      <c r="G676" s="4514"/>
      <c r="H676" s="4514"/>
      <c r="I676" s="4514"/>
      <c r="J676" s="4514"/>
      <c r="K676" s="4514"/>
      <c r="L676" s="4514"/>
      <c r="M676" s="4901"/>
      <c r="N676" s="4901"/>
      <c r="O676" s="4901"/>
      <c r="P676" s="4514"/>
      <c r="Q676" s="4514"/>
      <c r="R676" s="4518"/>
      <c r="S676" s="3311"/>
      <c r="T676" s="1891"/>
      <c r="U676" s="1849"/>
      <c r="V676" s="1883"/>
      <c r="W676" s="1864"/>
      <c r="X676" s="3637"/>
      <c r="Y676" s="3214"/>
      <c r="Z676" s="3214"/>
      <c r="AA676" s="3214"/>
      <c r="AB676" s="3638"/>
      <c r="AC676" s="3637"/>
      <c r="AD676" s="3206"/>
      <c r="AE676" s="3206"/>
      <c r="AF676" s="5301"/>
    </row>
    <row r="677" spans="1:32" ht="30" customHeight="1">
      <c r="A677" s="4564"/>
      <c r="B677" s="4570"/>
      <c r="C677" s="4566"/>
      <c r="D677" s="4525"/>
      <c r="E677" s="4525"/>
      <c r="F677" s="4525"/>
      <c r="G677" s="4525"/>
      <c r="H677" s="4525"/>
      <c r="I677" s="4525"/>
      <c r="J677" s="4525"/>
      <c r="K677" s="4525"/>
      <c r="L677" s="4525"/>
      <c r="M677" s="4902"/>
      <c r="N677" s="4902"/>
      <c r="O677" s="4902"/>
      <c r="P677" s="4525"/>
      <c r="Q677" s="4525"/>
      <c r="R677" s="4528"/>
      <c r="S677" s="3314"/>
      <c r="T677" s="3821"/>
      <c r="U677" s="3271"/>
      <c r="V677" s="3822"/>
      <c r="W677" s="3254"/>
      <c r="X677" s="4037"/>
      <c r="Y677" s="3291"/>
      <c r="Z677" s="3291"/>
      <c r="AA677" s="3291"/>
      <c r="AB677" s="4118"/>
      <c r="AC677" s="4037"/>
      <c r="AD677" s="4119"/>
      <c r="AE677" s="4119"/>
      <c r="AF677" s="5302"/>
    </row>
    <row r="678" spans="1:32">
      <c r="A678" s="4564"/>
      <c r="B678" s="4570"/>
      <c r="C678" s="5239" t="s">
        <v>272</v>
      </c>
      <c r="D678" s="4377" t="s">
        <v>302</v>
      </c>
      <c r="E678" s="4377" t="s">
        <v>303</v>
      </c>
      <c r="F678" s="4377" t="s">
        <v>304</v>
      </c>
      <c r="G678" s="4906" t="s">
        <v>305</v>
      </c>
      <c r="H678" s="4377" t="s">
        <v>240</v>
      </c>
      <c r="I678" s="4377" t="s">
        <v>257</v>
      </c>
      <c r="J678" s="4377" t="s">
        <v>1859</v>
      </c>
      <c r="K678" s="4377" t="s">
        <v>1860</v>
      </c>
      <c r="L678" s="4377" t="s">
        <v>1861</v>
      </c>
      <c r="M678" s="4392">
        <v>1</v>
      </c>
      <c r="N678" s="4392">
        <v>0</v>
      </c>
      <c r="O678" s="4392">
        <v>1</v>
      </c>
      <c r="P678" s="4377" t="s">
        <v>1862</v>
      </c>
      <c r="Q678" s="4377" t="s">
        <v>1863</v>
      </c>
      <c r="R678" s="4903" t="s">
        <v>6130</v>
      </c>
      <c r="S678" s="3310"/>
      <c r="T678" s="3270"/>
      <c r="U678" s="3272"/>
      <c r="V678" s="4068"/>
      <c r="W678" s="4071"/>
      <c r="X678" s="3632"/>
      <c r="Y678" s="3633"/>
      <c r="Z678" s="3633"/>
      <c r="AA678" s="3633"/>
      <c r="AB678" s="3634"/>
      <c r="AC678" s="3632"/>
      <c r="AD678" s="4120"/>
      <c r="AE678" s="4120"/>
      <c r="AF678" s="5217"/>
    </row>
    <row r="679" spans="1:32">
      <c r="A679" s="4564"/>
      <c r="B679" s="4570"/>
      <c r="C679" s="4545"/>
      <c r="D679" s="4514"/>
      <c r="E679" s="4514"/>
      <c r="F679" s="4514"/>
      <c r="G679" s="4514"/>
      <c r="H679" s="4514"/>
      <c r="I679" s="4514"/>
      <c r="J679" s="4514"/>
      <c r="K679" s="4514"/>
      <c r="L679" s="4514"/>
      <c r="M679" s="4901"/>
      <c r="N679" s="4901"/>
      <c r="O679" s="4901"/>
      <c r="P679" s="4514"/>
      <c r="Q679" s="4514"/>
      <c r="R679" s="4518"/>
      <c r="S679" s="3311"/>
      <c r="T679" s="1891"/>
      <c r="U679" s="1849"/>
      <c r="V679" s="1883"/>
      <c r="W679" s="1864"/>
      <c r="X679" s="3637"/>
      <c r="Y679" s="3214"/>
      <c r="Z679" s="3214"/>
      <c r="AA679" s="3214"/>
      <c r="AB679" s="3638"/>
      <c r="AC679" s="3637"/>
      <c r="AD679" s="3206"/>
      <c r="AE679" s="3206"/>
      <c r="AF679" s="5301"/>
    </row>
    <row r="680" spans="1:32">
      <c r="A680" s="4564"/>
      <c r="B680" s="4570"/>
      <c r="C680" s="4545"/>
      <c r="D680" s="4514"/>
      <c r="E680" s="4514"/>
      <c r="F680" s="4514"/>
      <c r="G680" s="4514"/>
      <c r="H680" s="4514"/>
      <c r="I680" s="4514"/>
      <c r="J680" s="4514"/>
      <c r="K680" s="4514"/>
      <c r="L680" s="4514"/>
      <c r="M680" s="4901"/>
      <c r="N680" s="4901"/>
      <c r="O680" s="4901"/>
      <c r="P680" s="4514"/>
      <c r="Q680" s="4514"/>
      <c r="R680" s="4518"/>
      <c r="S680" s="3311"/>
      <c r="T680" s="1891"/>
      <c r="U680" s="1849"/>
      <c r="V680" s="1883"/>
      <c r="W680" s="1864"/>
      <c r="X680" s="3637"/>
      <c r="Y680" s="3214"/>
      <c r="Z680" s="3214"/>
      <c r="AA680" s="3214"/>
      <c r="AB680" s="3638"/>
      <c r="AC680" s="3637"/>
      <c r="AD680" s="3206"/>
      <c r="AE680" s="3206"/>
      <c r="AF680" s="5301"/>
    </row>
    <row r="681" spans="1:32">
      <c r="A681" s="4564"/>
      <c r="B681" s="4570"/>
      <c r="C681" s="4545"/>
      <c r="D681" s="4514"/>
      <c r="E681" s="4514"/>
      <c r="F681" s="4514"/>
      <c r="G681" s="4514"/>
      <c r="H681" s="4514"/>
      <c r="I681" s="4514"/>
      <c r="J681" s="4514"/>
      <c r="K681" s="4514"/>
      <c r="L681" s="4514"/>
      <c r="M681" s="4901"/>
      <c r="N681" s="4901"/>
      <c r="O681" s="4901"/>
      <c r="P681" s="4514"/>
      <c r="Q681" s="4514"/>
      <c r="R681" s="4518"/>
      <c r="S681" s="3311"/>
      <c r="T681" s="1891"/>
      <c r="U681" s="1849"/>
      <c r="V681" s="1883"/>
      <c r="W681" s="1864"/>
      <c r="X681" s="3637"/>
      <c r="Y681" s="3214"/>
      <c r="Z681" s="3214"/>
      <c r="AA681" s="3214"/>
      <c r="AB681" s="3638"/>
      <c r="AC681" s="3637"/>
      <c r="AD681" s="3206"/>
      <c r="AE681" s="3206"/>
      <c r="AF681" s="5301"/>
    </row>
    <row r="682" spans="1:32" ht="30" customHeight="1">
      <c r="A682" s="4564"/>
      <c r="B682" s="4570"/>
      <c r="C682" s="4573"/>
      <c r="D682" s="4515"/>
      <c r="E682" s="4515"/>
      <c r="F682" s="4515"/>
      <c r="G682" s="4515"/>
      <c r="H682" s="4515"/>
      <c r="I682" s="4515"/>
      <c r="J682" s="4515"/>
      <c r="K682" s="4515"/>
      <c r="L682" s="4515"/>
      <c r="M682" s="5222"/>
      <c r="N682" s="5222"/>
      <c r="O682" s="5222"/>
      <c r="P682" s="4515"/>
      <c r="Q682" s="4515"/>
      <c r="R682" s="4519"/>
      <c r="S682" s="3312"/>
      <c r="T682" s="3819"/>
      <c r="U682" s="3268"/>
      <c r="V682" s="3641"/>
      <c r="W682" s="3233"/>
      <c r="X682" s="3642"/>
      <c r="Y682" s="3282"/>
      <c r="Z682" s="3282"/>
      <c r="AA682" s="3282"/>
      <c r="AB682" s="3643"/>
      <c r="AC682" s="3642"/>
      <c r="AD682" s="4117"/>
      <c r="AE682" s="4117"/>
      <c r="AF682" s="5303"/>
    </row>
    <row r="683" spans="1:32">
      <c r="A683" s="4564"/>
      <c r="B683" s="4570"/>
      <c r="C683" s="5236" t="s">
        <v>272</v>
      </c>
      <c r="D683" s="4395" t="s">
        <v>302</v>
      </c>
      <c r="E683" s="4395" t="s">
        <v>303</v>
      </c>
      <c r="F683" s="4395" t="s">
        <v>304</v>
      </c>
      <c r="G683" s="4930" t="s">
        <v>305</v>
      </c>
      <c r="H683" s="4395" t="s">
        <v>240</v>
      </c>
      <c r="I683" s="4395" t="s">
        <v>257</v>
      </c>
      <c r="J683" s="4395" t="s">
        <v>1864</v>
      </c>
      <c r="K683" s="4395" t="s">
        <v>1865</v>
      </c>
      <c r="L683" s="4395" t="s">
        <v>1866</v>
      </c>
      <c r="M683" s="4401">
        <v>0</v>
      </c>
      <c r="N683" s="4401">
        <v>1</v>
      </c>
      <c r="O683" s="4401">
        <v>1</v>
      </c>
      <c r="P683" s="4395" t="s">
        <v>1867</v>
      </c>
      <c r="Q683" s="4395" t="s">
        <v>1868</v>
      </c>
      <c r="R683" s="4897" t="s">
        <v>6130</v>
      </c>
      <c r="S683" s="3313"/>
      <c r="T683" s="3071"/>
      <c r="U683" s="3274"/>
      <c r="V683" s="4069"/>
      <c r="W683" s="4070"/>
      <c r="X683" s="4033"/>
      <c r="Y683" s="3295"/>
      <c r="Z683" s="3295"/>
      <c r="AA683" s="3295"/>
      <c r="AB683" s="4115"/>
      <c r="AC683" s="4033"/>
      <c r="AD683" s="4116"/>
      <c r="AE683" s="4116"/>
      <c r="AF683" s="5209"/>
    </row>
    <row r="684" spans="1:32">
      <c r="A684" s="4564"/>
      <c r="B684" s="4570"/>
      <c r="C684" s="4545"/>
      <c r="D684" s="4514"/>
      <c r="E684" s="4514"/>
      <c r="F684" s="4514"/>
      <c r="G684" s="4514"/>
      <c r="H684" s="4514"/>
      <c r="I684" s="4514"/>
      <c r="J684" s="4514"/>
      <c r="K684" s="4514"/>
      <c r="L684" s="4514"/>
      <c r="M684" s="4901"/>
      <c r="N684" s="4901"/>
      <c r="O684" s="4901"/>
      <c r="P684" s="4514"/>
      <c r="Q684" s="4514"/>
      <c r="R684" s="4518"/>
      <c r="S684" s="3311"/>
      <c r="T684" s="1891"/>
      <c r="U684" s="1849"/>
      <c r="V684" s="1883"/>
      <c r="W684" s="1864"/>
      <c r="X684" s="3637"/>
      <c r="Y684" s="3214"/>
      <c r="Z684" s="3214"/>
      <c r="AA684" s="3214"/>
      <c r="AB684" s="3638"/>
      <c r="AC684" s="3637"/>
      <c r="AD684" s="3206"/>
      <c r="AE684" s="3206"/>
      <c r="AF684" s="5301"/>
    </row>
    <row r="685" spans="1:32">
      <c r="A685" s="4564"/>
      <c r="B685" s="4570"/>
      <c r="C685" s="4545"/>
      <c r="D685" s="4514"/>
      <c r="E685" s="4514"/>
      <c r="F685" s="4514"/>
      <c r="G685" s="4514"/>
      <c r="H685" s="4514"/>
      <c r="I685" s="4514"/>
      <c r="J685" s="4514"/>
      <c r="K685" s="4514"/>
      <c r="L685" s="4514"/>
      <c r="M685" s="4901"/>
      <c r="N685" s="4901"/>
      <c r="O685" s="4901"/>
      <c r="P685" s="4514"/>
      <c r="Q685" s="4514"/>
      <c r="R685" s="4518"/>
      <c r="S685" s="3311"/>
      <c r="T685" s="1891"/>
      <c r="U685" s="1849"/>
      <c r="V685" s="1883"/>
      <c r="W685" s="1864"/>
      <c r="X685" s="3637"/>
      <c r="Y685" s="3214"/>
      <c r="Z685" s="3214"/>
      <c r="AA685" s="3214"/>
      <c r="AB685" s="3638"/>
      <c r="AC685" s="3637"/>
      <c r="AD685" s="3206"/>
      <c r="AE685" s="3206"/>
      <c r="AF685" s="5301"/>
    </row>
    <row r="686" spans="1:32">
      <c r="A686" s="4564"/>
      <c r="B686" s="4570"/>
      <c r="C686" s="4545"/>
      <c r="D686" s="4514"/>
      <c r="E686" s="4514"/>
      <c r="F686" s="4514"/>
      <c r="G686" s="4514"/>
      <c r="H686" s="4514"/>
      <c r="I686" s="4514"/>
      <c r="J686" s="4514"/>
      <c r="K686" s="4514"/>
      <c r="L686" s="4514"/>
      <c r="M686" s="4901"/>
      <c r="N686" s="4901"/>
      <c r="O686" s="4901"/>
      <c r="P686" s="4514"/>
      <c r="Q686" s="4514"/>
      <c r="R686" s="4518"/>
      <c r="S686" s="3311"/>
      <c r="T686" s="1891"/>
      <c r="U686" s="1849"/>
      <c r="V686" s="1883"/>
      <c r="W686" s="1864"/>
      <c r="X686" s="3637"/>
      <c r="Y686" s="3214"/>
      <c r="Z686" s="3214"/>
      <c r="AA686" s="3214"/>
      <c r="AB686" s="3638"/>
      <c r="AC686" s="3637"/>
      <c r="AD686" s="3206"/>
      <c r="AE686" s="3206"/>
      <c r="AF686" s="5301"/>
    </row>
    <row r="687" spans="1:32" ht="31.5" customHeight="1">
      <c r="A687" s="4564"/>
      <c r="B687" s="4570"/>
      <c r="C687" s="4566"/>
      <c r="D687" s="4525"/>
      <c r="E687" s="4525"/>
      <c r="F687" s="4525"/>
      <c r="G687" s="4525"/>
      <c r="H687" s="4525"/>
      <c r="I687" s="4525"/>
      <c r="J687" s="4525"/>
      <c r="K687" s="4525"/>
      <c r="L687" s="4525"/>
      <c r="M687" s="4902"/>
      <c r="N687" s="4902"/>
      <c r="O687" s="4902"/>
      <c r="P687" s="4525"/>
      <c r="Q687" s="4525"/>
      <c r="R687" s="4528"/>
      <c r="S687" s="3314"/>
      <c r="T687" s="3821"/>
      <c r="U687" s="3271"/>
      <c r="V687" s="3822"/>
      <c r="W687" s="3254"/>
      <c r="X687" s="4037"/>
      <c r="Y687" s="3291"/>
      <c r="Z687" s="3291"/>
      <c r="AA687" s="3291"/>
      <c r="AB687" s="4118"/>
      <c r="AC687" s="4037"/>
      <c r="AD687" s="4119"/>
      <c r="AE687" s="4119"/>
      <c r="AF687" s="5302"/>
    </row>
    <row r="688" spans="1:32">
      <c r="A688" s="4564"/>
      <c r="B688" s="4570"/>
      <c r="C688" s="5239" t="s">
        <v>272</v>
      </c>
      <c r="D688" s="4377" t="s">
        <v>302</v>
      </c>
      <c r="E688" s="4377" t="s">
        <v>303</v>
      </c>
      <c r="F688" s="4377" t="s">
        <v>304</v>
      </c>
      <c r="G688" s="4906" t="s">
        <v>305</v>
      </c>
      <c r="H688" s="4377" t="s">
        <v>240</v>
      </c>
      <c r="I688" s="4377" t="s">
        <v>241</v>
      </c>
      <c r="J688" s="4377" t="s">
        <v>1898</v>
      </c>
      <c r="K688" s="4377" t="s">
        <v>1870</v>
      </c>
      <c r="L688" s="4377" t="s">
        <v>1871</v>
      </c>
      <c r="M688" s="4392">
        <v>0</v>
      </c>
      <c r="N688" s="4392">
        <v>1</v>
      </c>
      <c r="O688" s="4392">
        <v>1</v>
      </c>
      <c r="P688" s="4377" t="s">
        <v>1872</v>
      </c>
      <c r="Q688" s="4377" t="s">
        <v>1873</v>
      </c>
      <c r="R688" s="4903" t="s">
        <v>6130</v>
      </c>
      <c r="S688" s="3310"/>
      <c r="T688" s="3270"/>
      <c r="U688" s="3272"/>
      <c r="V688" s="4068"/>
      <c r="W688" s="4071"/>
      <c r="X688" s="3632"/>
      <c r="Y688" s="3633"/>
      <c r="Z688" s="3633"/>
      <c r="AA688" s="3633"/>
      <c r="AB688" s="3634"/>
      <c r="AC688" s="3632"/>
      <c r="AD688" s="4120"/>
      <c r="AE688" s="4120"/>
      <c r="AF688" s="5217"/>
    </row>
    <row r="689" spans="1:32">
      <c r="A689" s="4564"/>
      <c r="B689" s="4570"/>
      <c r="C689" s="4545"/>
      <c r="D689" s="4514"/>
      <c r="E689" s="4514"/>
      <c r="F689" s="4514"/>
      <c r="G689" s="4514"/>
      <c r="H689" s="4514"/>
      <c r="I689" s="4514"/>
      <c r="J689" s="4514"/>
      <c r="K689" s="4514"/>
      <c r="L689" s="4514"/>
      <c r="M689" s="4901"/>
      <c r="N689" s="4901"/>
      <c r="O689" s="4901"/>
      <c r="P689" s="4514"/>
      <c r="Q689" s="4514"/>
      <c r="R689" s="4518"/>
      <c r="S689" s="3311"/>
      <c r="T689" s="1891"/>
      <c r="U689" s="1849"/>
      <c r="V689" s="1883"/>
      <c r="W689" s="1864"/>
      <c r="X689" s="3637"/>
      <c r="Y689" s="3214"/>
      <c r="Z689" s="3214"/>
      <c r="AA689" s="3214"/>
      <c r="AB689" s="3638"/>
      <c r="AC689" s="3637"/>
      <c r="AD689" s="3206"/>
      <c r="AE689" s="3206"/>
      <c r="AF689" s="5301"/>
    </row>
    <row r="690" spans="1:32">
      <c r="A690" s="4564"/>
      <c r="B690" s="4570"/>
      <c r="C690" s="4545"/>
      <c r="D690" s="4514"/>
      <c r="E690" s="4514"/>
      <c r="F690" s="4514"/>
      <c r="G690" s="4514"/>
      <c r="H690" s="4514"/>
      <c r="I690" s="4514"/>
      <c r="J690" s="4514"/>
      <c r="K690" s="4514"/>
      <c r="L690" s="4514"/>
      <c r="M690" s="4901"/>
      <c r="N690" s="4901"/>
      <c r="O690" s="4901"/>
      <c r="P690" s="4514"/>
      <c r="Q690" s="4514"/>
      <c r="R690" s="4518"/>
      <c r="S690" s="3311"/>
      <c r="T690" s="1891"/>
      <c r="U690" s="1849"/>
      <c r="V690" s="1883"/>
      <c r="W690" s="1864"/>
      <c r="X690" s="3637"/>
      <c r="Y690" s="3214"/>
      <c r="Z690" s="3214"/>
      <c r="AA690" s="3214"/>
      <c r="AB690" s="3638"/>
      <c r="AC690" s="3637"/>
      <c r="AD690" s="3206"/>
      <c r="AE690" s="3206"/>
      <c r="AF690" s="5301"/>
    </row>
    <row r="691" spans="1:32">
      <c r="A691" s="4564"/>
      <c r="B691" s="4570"/>
      <c r="C691" s="4545"/>
      <c r="D691" s="4514"/>
      <c r="E691" s="4514"/>
      <c r="F691" s="4514"/>
      <c r="G691" s="4514"/>
      <c r="H691" s="4514"/>
      <c r="I691" s="4514"/>
      <c r="J691" s="4514"/>
      <c r="K691" s="4514"/>
      <c r="L691" s="4514"/>
      <c r="M691" s="4901"/>
      <c r="N691" s="4901"/>
      <c r="O691" s="4901"/>
      <c r="P691" s="4514"/>
      <c r="Q691" s="4514"/>
      <c r="R691" s="4518"/>
      <c r="S691" s="3311"/>
      <c r="T691" s="1891"/>
      <c r="U691" s="1849"/>
      <c r="V691" s="1883"/>
      <c r="W691" s="1864"/>
      <c r="X691" s="3637"/>
      <c r="Y691" s="3214"/>
      <c r="Z691" s="3214"/>
      <c r="AA691" s="3214"/>
      <c r="AB691" s="3638"/>
      <c r="AC691" s="3637"/>
      <c r="AD691" s="3206"/>
      <c r="AE691" s="3206"/>
      <c r="AF691" s="5301"/>
    </row>
    <row r="692" spans="1:32" ht="30.75" customHeight="1">
      <c r="A692" s="4564"/>
      <c r="B692" s="4570"/>
      <c r="C692" s="4573"/>
      <c r="D692" s="4515"/>
      <c r="E692" s="4515"/>
      <c r="F692" s="4515"/>
      <c r="G692" s="4515"/>
      <c r="H692" s="4515"/>
      <c r="I692" s="4515"/>
      <c r="J692" s="4515"/>
      <c r="K692" s="4515"/>
      <c r="L692" s="4515"/>
      <c r="M692" s="5222"/>
      <c r="N692" s="5222"/>
      <c r="O692" s="5222"/>
      <c r="P692" s="4515"/>
      <c r="Q692" s="4515"/>
      <c r="R692" s="4519"/>
      <c r="S692" s="3312"/>
      <c r="T692" s="3819"/>
      <c r="U692" s="3268"/>
      <c r="V692" s="3641"/>
      <c r="W692" s="3233"/>
      <c r="X692" s="3642"/>
      <c r="Y692" s="3282"/>
      <c r="Z692" s="3282"/>
      <c r="AA692" s="3282"/>
      <c r="AB692" s="3643"/>
      <c r="AC692" s="3642"/>
      <c r="AD692" s="4117"/>
      <c r="AE692" s="4117"/>
      <c r="AF692" s="5303"/>
    </row>
    <row r="693" spans="1:32" ht="21" customHeight="1">
      <c r="A693" s="4564"/>
      <c r="B693" s="4570"/>
      <c r="C693" s="5236" t="s">
        <v>272</v>
      </c>
      <c r="D693" s="4395" t="s">
        <v>302</v>
      </c>
      <c r="E693" s="4395" t="s">
        <v>388</v>
      </c>
      <c r="F693" s="4395" t="s">
        <v>847</v>
      </c>
      <c r="G693" s="4930" t="s">
        <v>305</v>
      </c>
      <c r="H693" s="4395" t="s">
        <v>306</v>
      </c>
      <c r="I693" s="4395" t="s">
        <v>257</v>
      </c>
      <c r="J693" s="4395" t="s">
        <v>1874</v>
      </c>
      <c r="K693" s="4395" t="s">
        <v>1875</v>
      </c>
      <c r="L693" s="4395" t="s">
        <v>1876</v>
      </c>
      <c r="M693" s="4401">
        <v>0</v>
      </c>
      <c r="N693" s="4401">
        <v>0</v>
      </c>
      <c r="O693" s="4401">
        <v>1</v>
      </c>
      <c r="P693" s="4395" t="s">
        <v>1877</v>
      </c>
      <c r="Q693" s="4395" t="s">
        <v>500</v>
      </c>
      <c r="R693" s="4897" t="s">
        <v>6128</v>
      </c>
      <c r="S693" s="3313"/>
      <c r="T693" s="3071"/>
      <c r="U693" s="3274"/>
      <c r="V693" s="4069"/>
      <c r="W693" s="4070"/>
      <c r="X693" s="4033"/>
      <c r="Y693" s="3295"/>
      <c r="Z693" s="3295"/>
      <c r="AA693" s="3295"/>
      <c r="AB693" s="4115"/>
      <c r="AC693" s="4033"/>
      <c r="AD693" s="4116"/>
      <c r="AE693" s="4116"/>
      <c r="AF693" s="5209"/>
    </row>
    <row r="694" spans="1:32" ht="21" customHeight="1">
      <c r="A694" s="4564"/>
      <c r="B694" s="4570"/>
      <c r="C694" s="4545"/>
      <c r="D694" s="4514"/>
      <c r="E694" s="4514"/>
      <c r="F694" s="4514"/>
      <c r="G694" s="4514"/>
      <c r="H694" s="4514"/>
      <c r="I694" s="4514"/>
      <c r="J694" s="4514"/>
      <c r="K694" s="4514"/>
      <c r="L694" s="4514"/>
      <c r="M694" s="4901"/>
      <c r="N694" s="4901"/>
      <c r="O694" s="4901"/>
      <c r="P694" s="4514"/>
      <c r="Q694" s="4514"/>
      <c r="R694" s="4518"/>
      <c r="S694" s="3311"/>
      <c r="T694" s="1891"/>
      <c r="U694" s="1849"/>
      <c r="V694" s="1883"/>
      <c r="W694" s="1864"/>
      <c r="X694" s="3637"/>
      <c r="Y694" s="3214"/>
      <c r="Z694" s="3214"/>
      <c r="AA694" s="3214"/>
      <c r="AB694" s="3638"/>
      <c r="AC694" s="3637"/>
      <c r="AD694" s="3206"/>
      <c r="AE694" s="3206"/>
      <c r="AF694" s="5301"/>
    </row>
    <row r="695" spans="1:32" ht="21" customHeight="1">
      <c r="A695" s="4564"/>
      <c r="B695" s="4570"/>
      <c r="C695" s="4545"/>
      <c r="D695" s="4514"/>
      <c r="E695" s="4514"/>
      <c r="F695" s="4514"/>
      <c r="G695" s="4514"/>
      <c r="H695" s="4514"/>
      <c r="I695" s="4514"/>
      <c r="J695" s="4514"/>
      <c r="K695" s="4514"/>
      <c r="L695" s="4514"/>
      <c r="M695" s="4901"/>
      <c r="N695" s="4901"/>
      <c r="O695" s="4901"/>
      <c r="P695" s="4514"/>
      <c r="Q695" s="4514"/>
      <c r="R695" s="4518"/>
      <c r="S695" s="3311"/>
      <c r="T695" s="1891"/>
      <c r="U695" s="1849"/>
      <c r="V695" s="1883"/>
      <c r="W695" s="1864"/>
      <c r="X695" s="3637"/>
      <c r="Y695" s="3214"/>
      <c r="Z695" s="3214"/>
      <c r="AA695" s="3214"/>
      <c r="AB695" s="3638"/>
      <c r="AC695" s="3637"/>
      <c r="AD695" s="3206"/>
      <c r="AE695" s="3206"/>
      <c r="AF695" s="5301"/>
    </row>
    <row r="696" spans="1:32" ht="21" customHeight="1">
      <c r="A696" s="4564"/>
      <c r="B696" s="4570"/>
      <c r="C696" s="4545"/>
      <c r="D696" s="4514"/>
      <c r="E696" s="4514"/>
      <c r="F696" s="4514"/>
      <c r="G696" s="4514"/>
      <c r="H696" s="4514"/>
      <c r="I696" s="4514"/>
      <c r="J696" s="4514"/>
      <c r="K696" s="4514"/>
      <c r="L696" s="4514"/>
      <c r="M696" s="4901"/>
      <c r="N696" s="4901"/>
      <c r="O696" s="4901"/>
      <c r="P696" s="4514"/>
      <c r="Q696" s="4514"/>
      <c r="R696" s="4518"/>
      <c r="S696" s="3311"/>
      <c r="T696" s="1891"/>
      <c r="U696" s="1849"/>
      <c r="V696" s="1883"/>
      <c r="W696" s="1864"/>
      <c r="X696" s="3637"/>
      <c r="Y696" s="3214"/>
      <c r="Z696" s="3214"/>
      <c r="AA696" s="3214"/>
      <c r="AB696" s="3638"/>
      <c r="AC696" s="3637"/>
      <c r="AD696" s="3206"/>
      <c r="AE696" s="3206"/>
      <c r="AF696" s="5301"/>
    </row>
    <row r="697" spans="1:32" ht="21" customHeight="1">
      <c r="A697" s="4564"/>
      <c r="B697" s="4570"/>
      <c r="C697" s="4566"/>
      <c r="D697" s="4525"/>
      <c r="E697" s="4525"/>
      <c r="F697" s="4525"/>
      <c r="G697" s="4525"/>
      <c r="H697" s="4525"/>
      <c r="I697" s="4525"/>
      <c r="J697" s="4525"/>
      <c r="K697" s="4525"/>
      <c r="L697" s="4525"/>
      <c r="M697" s="4902"/>
      <c r="N697" s="4902"/>
      <c r="O697" s="4902"/>
      <c r="P697" s="4525"/>
      <c r="Q697" s="4525"/>
      <c r="R697" s="4528"/>
      <c r="S697" s="3314"/>
      <c r="T697" s="3821"/>
      <c r="U697" s="3271"/>
      <c r="V697" s="3822"/>
      <c r="W697" s="3254"/>
      <c r="X697" s="4037"/>
      <c r="Y697" s="3291"/>
      <c r="Z697" s="3291"/>
      <c r="AA697" s="3291"/>
      <c r="AB697" s="4118"/>
      <c r="AC697" s="4037"/>
      <c r="AD697" s="4119"/>
      <c r="AE697" s="4119"/>
      <c r="AF697" s="5302"/>
    </row>
    <row r="698" spans="1:32">
      <c r="A698" s="4564"/>
      <c r="B698" s="4570"/>
      <c r="C698" s="5239" t="s">
        <v>272</v>
      </c>
      <c r="D698" s="4377" t="s">
        <v>302</v>
      </c>
      <c r="E698" s="4377" t="s">
        <v>303</v>
      </c>
      <c r="F698" s="4377" t="s">
        <v>304</v>
      </c>
      <c r="G698" s="4906" t="s">
        <v>305</v>
      </c>
      <c r="H698" s="4377" t="s">
        <v>240</v>
      </c>
      <c r="I698" s="4377" t="s">
        <v>241</v>
      </c>
      <c r="J698" s="4377" t="s">
        <v>1878</v>
      </c>
      <c r="K698" s="4377" t="s">
        <v>1879</v>
      </c>
      <c r="L698" s="4377" t="s">
        <v>1880</v>
      </c>
      <c r="M698" s="4392">
        <v>20</v>
      </c>
      <c r="N698" s="4392">
        <v>20</v>
      </c>
      <c r="O698" s="4392">
        <v>20</v>
      </c>
      <c r="P698" s="4377" t="s">
        <v>1881</v>
      </c>
      <c r="Q698" s="4377" t="s">
        <v>1882</v>
      </c>
      <c r="R698" s="4903" t="s">
        <v>6130</v>
      </c>
      <c r="S698" s="3310"/>
      <c r="T698" s="3270"/>
      <c r="U698" s="3272"/>
      <c r="V698" s="4068"/>
      <c r="W698" s="4071"/>
      <c r="X698" s="3632"/>
      <c r="Y698" s="3633"/>
      <c r="Z698" s="3633"/>
      <c r="AA698" s="3633"/>
      <c r="AB698" s="3634"/>
      <c r="AC698" s="3632"/>
      <c r="AD698" s="4120"/>
      <c r="AE698" s="4120"/>
      <c r="AF698" s="5217"/>
    </row>
    <row r="699" spans="1:32">
      <c r="A699" s="4564"/>
      <c r="B699" s="4570"/>
      <c r="C699" s="4545"/>
      <c r="D699" s="4514"/>
      <c r="E699" s="4514"/>
      <c r="F699" s="4514"/>
      <c r="G699" s="4514"/>
      <c r="H699" s="4514"/>
      <c r="I699" s="4514"/>
      <c r="J699" s="4514"/>
      <c r="K699" s="4514"/>
      <c r="L699" s="4514"/>
      <c r="M699" s="4901"/>
      <c r="N699" s="4901"/>
      <c r="O699" s="4901"/>
      <c r="P699" s="4514"/>
      <c r="Q699" s="4514"/>
      <c r="R699" s="4518"/>
      <c r="S699" s="3311"/>
      <c r="T699" s="1891"/>
      <c r="U699" s="1849"/>
      <c r="V699" s="1883"/>
      <c r="W699" s="1864"/>
      <c r="X699" s="3637"/>
      <c r="Y699" s="3214"/>
      <c r="Z699" s="3214"/>
      <c r="AA699" s="3214"/>
      <c r="AB699" s="3638"/>
      <c r="AC699" s="3637"/>
      <c r="AD699" s="3206"/>
      <c r="AE699" s="3206"/>
      <c r="AF699" s="5301"/>
    </row>
    <row r="700" spans="1:32">
      <c r="A700" s="4564"/>
      <c r="B700" s="4570"/>
      <c r="C700" s="4545"/>
      <c r="D700" s="4514"/>
      <c r="E700" s="4514"/>
      <c r="F700" s="4514"/>
      <c r="G700" s="4514"/>
      <c r="H700" s="4514"/>
      <c r="I700" s="4514"/>
      <c r="J700" s="4514"/>
      <c r="K700" s="4514"/>
      <c r="L700" s="4514"/>
      <c r="M700" s="4901"/>
      <c r="N700" s="4901"/>
      <c r="O700" s="4901"/>
      <c r="P700" s="4514"/>
      <c r="Q700" s="4514"/>
      <c r="R700" s="4518"/>
      <c r="S700" s="3311"/>
      <c r="T700" s="1891"/>
      <c r="U700" s="1849"/>
      <c r="V700" s="1883"/>
      <c r="W700" s="1864"/>
      <c r="X700" s="3637"/>
      <c r="Y700" s="3214"/>
      <c r="Z700" s="3214"/>
      <c r="AA700" s="3214"/>
      <c r="AB700" s="3638"/>
      <c r="AC700" s="3637"/>
      <c r="AD700" s="3206"/>
      <c r="AE700" s="3206"/>
      <c r="AF700" s="5301"/>
    </row>
    <row r="701" spans="1:32">
      <c r="A701" s="4564"/>
      <c r="B701" s="4570"/>
      <c r="C701" s="4545"/>
      <c r="D701" s="4514"/>
      <c r="E701" s="4514"/>
      <c r="F701" s="4514"/>
      <c r="G701" s="4514"/>
      <c r="H701" s="4514"/>
      <c r="I701" s="4514"/>
      <c r="J701" s="4514"/>
      <c r="K701" s="4514"/>
      <c r="L701" s="4514"/>
      <c r="M701" s="4901"/>
      <c r="N701" s="4901"/>
      <c r="O701" s="4901"/>
      <c r="P701" s="4514"/>
      <c r="Q701" s="4514"/>
      <c r="R701" s="4518"/>
      <c r="S701" s="3311"/>
      <c r="T701" s="1891"/>
      <c r="U701" s="1849"/>
      <c r="V701" s="1883"/>
      <c r="W701" s="1864"/>
      <c r="X701" s="3637"/>
      <c r="Y701" s="3214"/>
      <c r="Z701" s="3214"/>
      <c r="AA701" s="3214"/>
      <c r="AB701" s="3638"/>
      <c r="AC701" s="3637"/>
      <c r="AD701" s="3206"/>
      <c r="AE701" s="3206"/>
      <c r="AF701" s="5301"/>
    </row>
    <row r="702" spans="1:32" ht="28.5" customHeight="1">
      <c r="A702" s="4564"/>
      <c r="B702" s="4570"/>
      <c r="C702" s="4573"/>
      <c r="D702" s="4515"/>
      <c r="E702" s="4515"/>
      <c r="F702" s="4515"/>
      <c r="G702" s="4515"/>
      <c r="H702" s="4515"/>
      <c r="I702" s="4515"/>
      <c r="J702" s="4515"/>
      <c r="K702" s="4515"/>
      <c r="L702" s="4515"/>
      <c r="M702" s="5222"/>
      <c r="N702" s="5222"/>
      <c r="O702" s="5222"/>
      <c r="P702" s="4515"/>
      <c r="Q702" s="4515"/>
      <c r="R702" s="4519"/>
      <c r="S702" s="3312"/>
      <c r="T702" s="3819"/>
      <c r="U702" s="3268"/>
      <c r="V702" s="3641"/>
      <c r="W702" s="3233"/>
      <c r="X702" s="3642"/>
      <c r="Y702" s="3282"/>
      <c r="Z702" s="3282"/>
      <c r="AA702" s="3282"/>
      <c r="AB702" s="3643"/>
      <c r="AC702" s="3642"/>
      <c r="AD702" s="4117"/>
      <c r="AE702" s="4117"/>
      <c r="AF702" s="5303"/>
    </row>
    <row r="703" spans="1:32">
      <c r="A703" s="4564"/>
      <c r="B703" s="4570"/>
      <c r="C703" s="5236" t="s">
        <v>272</v>
      </c>
      <c r="D703" s="4395" t="s">
        <v>302</v>
      </c>
      <c r="E703" s="4395" t="s">
        <v>303</v>
      </c>
      <c r="F703" s="4395" t="s">
        <v>304</v>
      </c>
      <c r="G703" s="4930" t="s">
        <v>305</v>
      </c>
      <c r="H703" s="4395" t="s">
        <v>240</v>
      </c>
      <c r="I703" s="4395" t="s">
        <v>257</v>
      </c>
      <c r="J703" s="4395" t="s">
        <v>1883</v>
      </c>
      <c r="K703" s="4395" t="s">
        <v>1884</v>
      </c>
      <c r="L703" s="4395" t="s">
        <v>1885</v>
      </c>
      <c r="M703" s="4401">
        <v>1</v>
      </c>
      <c r="N703" s="4401">
        <v>1</v>
      </c>
      <c r="O703" s="4401">
        <v>1</v>
      </c>
      <c r="P703" s="4395" t="s">
        <v>1886</v>
      </c>
      <c r="Q703" s="4395" t="s">
        <v>1886</v>
      </c>
      <c r="R703" s="4897" t="s">
        <v>6130</v>
      </c>
      <c r="S703" s="3313"/>
      <c r="T703" s="3071"/>
      <c r="U703" s="3274"/>
      <c r="V703" s="4069"/>
      <c r="W703" s="4070"/>
      <c r="X703" s="4033"/>
      <c r="Y703" s="3295"/>
      <c r="Z703" s="3295"/>
      <c r="AA703" s="3295"/>
      <c r="AB703" s="4115"/>
      <c r="AC703" s="4033"/>
      <c r="AD703" s="4116"/>
      <c r="AE703" s="4116"/>
      <c r="AF703" s="5209"/>
    </row>
    <row r="704" spans="1:32">
      <c r="A704" s="4564"/>
      <c r="B704" s="4570"/>
      <c r="C704" s="4545"/>
      <c r="D704" s="4514"/>
      <c r="E704" s="4514"/>
      <c r="F704" s="4514"/>
      <c r="G704" s="4514"/>
      <c r="H704" s="4514"/>
      <c r="I704" s="4514"/>
      <c r="J704" s="4514"/>
      <c r="K704" s="4514"/>
      <c r="L704" s="4514"/>
      <c r="M704" s="4901"/>
      <c r="N704" s="4901"/>
      <c r="O704" s="4901"/>
      <c r="P704" s="4514"/>
      <c r="Q704" s="4514"/>
      <c r="R704" s="4518"/>
      <c r="S704" s="3311"/>
      <c r="T704" s="1891"/>
      <c r="U704" s="1849"/>
      <c r="V704" s="1883"/>
      <c r="W704" s="1864"/>
      <c r="X704" s="3637"/>
      <c r="Y704" s="3214"/>
      <c r="Z704" s="3214"/>
      <c r="AA704" s="3214"/>
      <c r="AB704" s="3638"/>
      <c r="AC704" s="3637"/>
      <c r="AD704" s="3206"/>
      <c r="AE704" s="3206"/>
      <c r="AF704" s="5301"/>
    </row>
    <row r="705" spans="1:32">
      <c r="A705" s="4564"/>
      <c r="B705" s="4570"/>
      <c r="C705" s="4545"/>
      <c r="D705" s="4514"/>
      <c r="E705" s="4514"/>
      <c r="F705" s="4514"/>
      <c r="G705" s="4514"/>
      <c r="H705" s="4514"/>
      <c r="I705" s="4514"/>
      <c r="J705" s="4514"/>
      <c r="K705" s="4514"/>
      <c r="L705" s="4514"/>
      <c r="M705" s="4901"/>
      <c r="N705" s="4901"/>
      <c r="O705" s="4901"/>
      <c r="P705" s="4514"/>
      <c r="Q705" s="4514"/>
      <c r="R705" s="4518"/>
      <c r="S705" s="3311"/>
      <c r="T705" s="1891"/>
      <c r="U705" s="1849"/>
      <c r="V705" s="1883"/>
      <c r="W705" s="1864"/>
      <c r="X705" s="3637"/>
      <c r="Y705" s="3214"/>
      <c r="Z705" s="3214"/>
      <c r="AA705" s="3214"/>
      <c r="AB705" s="3638"/>
      <c r="AC705" s="3637"/>
      <c r="AD705" s="3206"/>
      <c r="AE705" s="3206"/>
      <c r="AF705" s="5301"/>
    </row>
    <row r="706" spans="1:32">
      <c r="A706" s="4564"/>
      <c r="B706" s="4570"/>
      <c r="C706" s="4545"/>
      <c r="D706" s="4514"/>
      <c r="E706" s="4514"/>
      <c r="F706" s="4514"/>
      <c r="G706" s="4514"/>
      <c r="H706" s="4514"/>
      <c r="I706" s="4514"/>
      <c r="J706" s="4514"/>
      <c r="K706" s="4514"/>
      <c r="L706" s="4514"/>
      <c r="M706" s="4901"/>
      <c r="N706" s="4901"/>
      <c r="O706" s="4901"/>
      <c r="P706" s="4514"/>
      <c r="Q706" s="4514"/>
      <c r="R706" s="4518"/>
      <c r="S706" s="3311"/>
      <c r="T706" s="1891"/>
      <c r="U706" s="1849"/>
      <c r="V706" s="1883"/>
      <c r="W706" s="1864"/>
      <c r="X706" s="3637"/>
      <c r="Y706" s="3214"/>
      <c r="Z706" s="3214"/>
      <c r="AA706" s="3214"/>
      <c r="AB706" s="3638"/>
      <c r="AC706" s="3637"/>
      <c r="AD706" s="3206"/>
      <c r="AE706" s="3206"/>
      <c r="AF706" s="5301"/>
    </row>
    <row r="707" spans="1:32" ht="26.25" customHeight="1" thickBot="1">
      <c r="A707" s="4564"/>
      <c r="B707" s="4570"/>
      <c r="C707" s="5287"/>
      <c r="D707" s="5285"/>
      <c r="E707" s="5285"/>
      <c r="F707" s="5285"/>
      <c r="G707" s="5285"/>
      <c r="H707" s="5285"/>
      <c r="I707" s="5285"/>
      <c r="J707" s="5285"/>
      <c r="K707" s="5285"/>
      <c r="L707" s="5285"/>
      <c r="M707" s="5294"/>
      <c r="N707" s="5294"/>
      <c r="O707" s="5294"/>
      <c r="P707" s="5285"/>
      <c r="Q707" s="5285"/>
      <c r="R707" s="5295"/>
      <c r="S707" s="4136"/>
      <c r="T707" s="4105"/>
      <c r="U707" s="4106"/>
      <c r="V707" s="4107"/>
      <c r="W707" s="4108"/>
      <c r="X707" s="4109"/>
      <c r="Y707" s="4110"/>
      <c r="Z707" s="4110"/>
      <c r="AA707" s="4110"/>
      <c r="AB707" s="4111"/>
      <c r="AC707" s="4109"/>
      <c r="AD707" s="4112"/>
      <c r="AE707" s="4112"/>
      <c r="AF707" s="5304"/>
    </row>
    <row r="708" spans="1:32" ht="22.5" customHeight="1">
      <c r="A708" s="4564"/>
      <c r="B708" s="5291"/>
      <c r="C708" s="5292"/>
      <c r="D708" s="5293"/>
      <c r="E708" s="5293"/>
      <c r="F708" s="5293"/>
      <c r="G708" s="5293"/>
      <c r="H708" s="5293"/>
      <c r="I708" s="5293"/>
      <c r="J708" s="5293"/>
      <c r="K708" s="5293"/>
      <c r="L708" s="5293"/>
      <c r="M708" s="5293"/>
      <c r="N708" s="5293"/>
      <c r="O708" s="5293"/>
      <c r="P708" s="5293"/>
      <c r="Q708" s="5293"/>
      <c r="R708" s="5293"/>
      <c r="S708" s="4088" t="s">
        <v>1908</v>
      </c>
      <c r="T708" s="4089"/>
      <c r="U708" s="4089"/>
      <c r="V708" s="4089"/>
      <c r="W708" s="4089"/>
      <c r="X708" s="4089"/>
      <c r="Y708" s="4089"/>
      <c r="Z708" s="4089"/>
      <c r="AA708" s="2388" t="s">
        <v>340</v>
      </c>
      <c r="AB708" s="4090">
        <f>SUM(AB633:AB707)</f>
        <v>0</v>
      </c>
      <c r="AC708" s="4077"/>
      <c r="AD708" s="4078"/>
      <c r="AE708" s="4078"/>
      <c r="AF708" s="4079"/>
    </row>
    <row r="709" spans="1:32" ht="22.5" customHeight="1" thickBot="1">
      <c r="A709" s="4362"/>
      <c r="B709" s="2221"/>
      <c r="C709" s="2222"/>
      <c r="D709" s="2222"/>
      <c r="E709" s="2222"/>
      <c r="F709" s="2222"/>
      <c r="G709" s="2222"/>
      <c r="H709" s="2222"/>
      <c r="I709" s="2222"/>
      <c r="J709" s="2222"/>
      <c r="K709" s="2222"/>
      <c r="L709" s="2222"/>
      <c r="M709" s="2222"/>
      <c r="N709" s="2222"/>
      <c r="O709" s="2222"/>
      <c r="P709" s="2222"/>
      <c r="Q709" s="2222"/>
      <c r="R709" s="2222"/>
      <c r="S709" s="2387" t="s">
        <v>1909</v>
      </c>
      <c r="T709" s="2231"/>
      <c r="U709" s="2231"/>
      <c r="V709" s="2231"/>
      <c r="W709" s="2231"/>
      <c r="X709" s="2231"/>
      <c r="Y709" s="2231"/>
      <c r="Z709" s="2231"/>
      <c r="AA709" s="2389" t="s">
        <v>340</v>
      </c>
      <c r="AB709" s="2390">
        <f>SUM(AB116,AB302,AB363,AB404,AB480,AB556,AB632,AB708)</f>
        <v>201107.09696</v>
      </c>
      <c r="AC709" s="5305"/>
      <c r="AD709" s="5306"/>
      <c r="AE709" s="5306"/>
      <c r="AF709" s="5307"/>
    </row>
    <row r="710" spans="1:32" ht="17.25" thickTop="1">
      <c r="A710" s="100"/>
      <c r="B710" s="100"/>
      <c r="C710" s="12" t="s">
        <v>442</v>
      </c>
      <c r="D710" s="221"/>
      <c r="E710" s="221"/>
      <c r="F710" s="221"/>
      <c r="G710" s="221"/>
      <c r="H710" s="221"/>
      <c r="I710" s="221"/>
      <c r="J710" s="221"/>
      <c r="K710" s="221"/>
      <c r="L710" s="221"/>
      <c r="M710" s="221"/>
      <c r="N710" s="221"/>
      <c r="O710" s="221"/>
      <c r="P710" s="221"/>
      <c r="Q710" s="221"/>
      <c r="R710" s="221"/>
      <c r="S710" s="703" t="s">
        <v>1910</v>
      </c>
      <c r="T710" s="704"/>
      <c r="U710" s="704"/>
      <c r="V710" s="704"/>
      <c r="W710" s="704"/>
      <c r="X710" s="704"/>
      <c r="Y710" s="704"/>
      <c r="Z710" s="704"/>
      <c r="AA710" s="704"/>
      <c r="AB710" s="704"/>
      <c r="AC710" s="704"/>
      <c r="AD710" s="704"/>
      <c r="AE710" s="704"/>
      <c r="AF710" s="704"/>
    </row>
    <row r="711" spans="1:32" ht="16.5">
      <c r="A711" s="705"/>
      <c r="B711" s="705"/>
      <c r="C711" s="681" t="s">
        <v>444</v>
      </c>
      <c r="D711" s="554"/>
      <c r="E711" s="554"/>
      <c r="F711" s="554"/>
      <c r="G711" s="554"/>
      <c r="H711" s="554"/>
      <c r="I711" s="554"/>
      <c r="J711" s="554"/>
      <c r="K711" s="554"/>
      <c r="L711" s="554"/>
      <c r="M711" s="554"/>
      <c r="N711" s="554"/>
      <c r="O711" s="554"/>
      <c r="P711" s="554"/>
      <c r="Q711" s="554"/>
      <c r="R711" s="554"/>
      <c r="S711" s="2193"/>
      <c r="T711" s="2193"/>
      <c r="U711" s="704"/>
      <c r="V711" s="704"/>
      <c r="W711" s="704"/>
      <c r="X711" s="704"/>
      <c r="Y711" s="704"/>
      <c r="Z711" s="704"/>
      <c r="AA711" s="2194"/>
      <c r="AB711" s="5310"/>
      <c r="AC711" s="5311"/>
      <c r="AD711" s="708"/>
      <c r="AE711" s="708"/>
    </row>
    <row r="712" spans="1:32" ht="18">
      <c r="A712" s="705"/>
      <c r="B712" s="705"/>
      <c r="C712" s="554"/>
      <c r="D712" s="554"/>
      <c r="E712" s="554"/>
      <c r="F712" s="554"/>
      <c r="G712" s="554"/>
      <c r="H712" s="554"/>
      <c r="I712" s="554"/>
      <c r="J712" s="554"/>
      <c r="K712" s="554"/>
      <c r="L712" s="554"/>
      <c r="M712" s="554"/>
      <c r="N712" s="554"/>
      <c r="O712" s="554"/>
      <c r="P712" s="554"/>
      <c r="Q712" s="554"/>
      <c r="R712" s="554"/>
      <c r="S712" s="2193"/>
      <c r="T712" s="2194"/>
      <c r="U712" s="5308" t="s">
        <v>1242</v>
      </c>
      <c r="V712" s="5309"/>
      <c r="W712" s="5309"/>
      <c r="X712" s="5309"/>
      <c r="Y712" s="5309"/>
      <c r="Z712" s="5309"/>
      <c r="AA712" s="2194"/>
      <c r="AB712" s="2199"/>
      <c r="AC712" s="2199"/>
      <c r="AD712" s="708"/>
      <c r="AE712" s="708"/>
    </row>
    <row r="713" spans="1:32" ht="17.25" thickBot="1">
      <c r="A713" s="705"/>
      <c r="B713" s="705"/>
      <c r="C713" s="554"/>
      <c r="D713" s="554"/>
      <c r="E713" s="554"/>
      <c r="F713" s="554"/>
      <c r="G713" s="554"/>
      <c r="H713" s="554"/>
      <c r="I713" s="554"/>
      <c r="J713" s="554"/>
      <c r="K713" s="554"/>
      <c r="L713" s="554"/>
      <c r="M713" s="554"/>
      <c r="N713" s="554"/>
      <c r="O713" s="554"/>
      <c r="P713" s="554"/>
      <c r="Q713" s="554"/>
      <c r="R713" s="554"/>
      <c r="S713" s="2200"/>
      <c r="T713" s="2194"/>
      <c r="U713" s="2196"/>
      <c r="V713" s="2196"/>
      <c r="W713" s="2197"/>
      <c r="X713" s="2198"/>
      <c r="Y713" s="2196"/>
      <c r="Z713" s="2196"/>
      <c r="AA713" s="2194"/>
      <c r="AB713" s="2201"/>
      <c r="AC713" s="2201"/>
      <c r="AD713" s="708"/>
      <c r="AE713" s="708"/>
    </row>
    <row r="714" spans="1:32" ht="18" thickTop="1" thickBot="1">
      <c r="A714" s="705"/>
      <c r="B714" s="705"/>
      <c r="C714" s="554"/>
      <c r="D714" s="554"/>
      <c r="E714" s="554"/>
      <c r="F714" s="554"/>
      <c r="G714" s="554"/>
      <c r="H714" s="554"/>
      <c r="I714" s="554"/>
      <c r="J714" s="554"/>
      <c r="K714" s="554"/>
      <c r="L714" s="554"/>
      <c r="M714" s="554"/>
      <c r="N714" s="554"/>
      <c r="O714" s="554"/>
      <c r="P714" s="554"/>
      <c r="Q714" s="554"/>
      <c r="R714" s="554"/>
      <c r="S714" s="2202"/>
      <c r="T714" s="2194"/>
      <c r="U714" s="2330" t="s">
        <v>4</v>
      </c>
      <c r="V714" s="2331" t="s">
        <v>344</v>
      </c>
      <c r="W714" s="2332" t="s">
        <v>6</v>
      </c>
      <c r="X714" s="2333" t="s">
        <v>345</v>
      </c>
      <c r="Y714" s="2333" t="s">
        <v>8</v>
      </c>
      <c r="Z714" s="2334" t="s">
        <v>346</v>
      </c>
      <c r="AA714" s="2194"/>
      <c r="AB714" s="2203"/>
      <c r="AC714" s="2204"/>
      <c r="AD714" s="708"/>
      <c r="AE714" s="708"/>
    </row>
    <row r="715" spans="1:32" ht="33">
      <c r="A715" s="705"/>
      <c r="B715" s="705"/>
      <c r="C715" s="554"/>
      <c r="D715" s="554"/>
      <c r="E715" s="554"/>
      <c r="F715" s="554"/>
      <c r="G715" s="554"/>
      <c r="H715" s="554"/>
      <c r="I715" s="554"/>
      <c r="J715" s="554"/>
      <c r="K715" s="554"/>
      <c r="L715" s="554"/>
      <c r="M715" s="554"/>
      <c r="N715" s="554"/>
      <c r="O715" s="554"/>
      <c r="P715" s="707"/>
      <c r="Q715" s="707"/>
      <c r="R715" s="707"/>
      <c r="S715" s="2194"/>
      <c r="T715" s="2194"/>
      <c r="U715" s="2335" t="s">
        <v>17</v>
      </c>
      <c r="V715" s="2336" t="s">
        <v>162</v>
      </c>
      <c r="W715" s="2320">
        <v>530204</v>
      </c>
      <c r="X715" s="2321" t="s">
        <v>13</v>
      </c>
      <c r="Y715" s="2321" t="s">
        <v>18</v>
      </c>
      <c r="Z715" s="2324">
        <f>SUM($AA$67)</f>
        <v>2240</v>
      </c>
      <c r="AA715" s="2194"/>
      <c r="AB715" s="2203"/>
      <c r="AC715" s="2204"/>
      <c r="AD715" s="708"/>
      <c r="AE715" s="708"/>
    </row>
    <row r="716" spans="1:32" ht="49.5">
      <c r="A716" s="705"/>
      <c r="B716" s="705"/>
      <c r="C716" s="554"/>
      <c r="D716" s="554"/>
      <c r="E716" s="554"/>
      <c r="F716" s="554"/>
      <c r="G716" s="554"/>
      <c r="H716" s="554"/>
      <c r="I716" s="554"/>
      <c r="J716" s="554"/>
      <c r="K716" s="554"/>
      <c r="L716" s="554"/>
      <c r="M716" s="554"/>
      <c r="N716" s="554"/>
      <c r="O716" s="554"/>
      <c r="P716" s="707"/>
      <c r="Q716" s="707"/>
      <c r="R716" s="707"/>
      <c r="S716" s="2194"/>
      <c r="T716" s="2194"/>
      <c r="U716" s="2337" t="s">
        <v>17</v>
      </c>
      <c r="V716" s="2338" t="s">
        <v>16</v>
      </c>
      <c r="W716" s="2315">
        <v>530402</v>
      </c>
      <c r="X716" s="2316" t="s">
        <v>13</v>
      </c>
      <c r="Y716" s="2316" t="s">
        <v>18</v>
      </c>
      <c r="Z716" s="2325">
        <f>$AA$71</f>
        <v>16800</v>
      </c>
      <c r="AA716" s="2194"/>
      <c r="AB716" s="2203"/>
      <c r="AC716" s="2204"/>
      <c r="AD716" s="708"/>
      <c r="AE716" s="708"/>
    </row>
    <row r="717" spans="1:32" ht="33">
      <c r="A717" s="705"/>
      <c r="B717" s="705"/>
      <c r="C717" s="554"/>
      <c r="D717" s="554"/>
      <c r="E717" s="554"/>
      <c r="F717" s="554"/>
      <c r="G717" s="554"/>
      <c r="H717" s="554"/>
      <c r="I717" s="554"/>
      <c r="J717" s="554"/>
      <c r="K717" s="554"/>
      <c r="L717" s="554"/>
      <c r="M717" s="554"/>
      <c r="N717" s="554"/>
      <c r="O717" s="554"/>
      <c r="P717" s="707"/>
      <c r="Q717" s="707"/>
      <c r="R717" s="707"/>
      <c r="S717" s="2194"/>
      <c r="T717" s="2194"/>
      <c r="U717" s="2337" t="s">
        <v>17</v>
      </c>
      <c r="V717" s="2338" t="s">
        <v>32</v>
      </c>
      <c r="W717" s="2315">
        <v>530404</v>
      </c>
      <c r="X717" s="2316" t="s">
        <v>13</v>
      </c>
      <c r="Y717" s="2316" t="s">
        <v>14</v>
      </c>
      <c r="Z717" s="2325">
        <f>SUM($AA$134+$AA$133)</f>
        <v>12768.000000000002</v>
      </c>
      <c r="AA717" s="2194"/>
      <c r="AB717" s="2203"/>
      <c r="AC717" s="2204"/>
      <c r="AD717" s="708"/>
      <c r="AE717" s="708"/>
    </row>
    <row r="718" spans="1:32" ht="16.5">
      <c r="A718" s="705"/>
      <c r="B718" s="705"/>
      <c r="C718" s="554"/>
      <c r="D718" s="554"/>
      <c r="E718" s="554"/>
      <c r="F718" s="554"/>
      <c r="G718" s="554"/>
      <c r="H718" s="554"/>
      <c r="I718" s="554"/>
      <c r="J718" s="554"/>
      <c r="K718" s="554"/>
      <c r="L718" s="554"/>
      <c r="M718" s="554"/>
      <c r="N718" s="554"/>
      <c r="O718" s="554"/>
      <c r="P718" s="707"/>
      <c r="Q718" s="707"/>
      <c r="R718" s="707"/>
      <c r="S718" s="2194"/>
      <c r="T718" s="2194"/>
      <c r="U718" s="2337" t="s">
        <v>17</v>
      </c>
      <c r="V718" s="2338" t="s">
        <v>36</v>
      </c>
      <c r="W718" s="2315">
        <v>530605</v>
      </c>
      <c r="X718" s="2316" t="s">
        <v>13</v>
      </c>
      <c r="Y718" s="2316" t="s">
        <v>18</v>
      </c>
      <c r="Z718" s="2325">
        <f>SUM($AA$60:$AA$61)</f>
        <v>25760</v>
      </c>
      <c r="AA718" s="2194"/>
      <c r="AB718" s="2203"/>
      <c r="AC718" s="2204"/>
      <c r="AD718" s="708"/>
      <c r="AE718" s="708"/>
    </row>
    <row r="719" spans="1:32" ht="16.5">
      <c r="A719" s="705"/>
      <c r="B719" s="705"/>
      <c r="C719" s="554"/>
      <c r="D719" s="554"/>
      <c r="E719" s="554"/>
      <c r="F719" s="554"/>
      <c r="G719" s="554"/>
      <c r="H719" s="554"/>
      <c r="I719" s="554"/>
      <c r="J719" s="554"/>
      <c r="K719" s="554"/>
      <c r="L719" s="554"/>
      <c r="M719" s="554"/>
      <c r="N719" s="554"/>
      <c r="O719" s="554"/>
      <c r="P719" s="707"/>
      <c r="Q719" s="707"/>
      <c r="R719" s="707"/>
      <c r="S719" s="2194"/>
      <c r="T719" s="2194"/>
      <c r="U719" s="2337" t="s">
        <v>29</v>
      </c>
      <c r="V719" s="2338" t="s">
        <v>36</v>
      </c>
      <c r="W719" s="2315">
        <v>530605</v>
      </c>
      <c r="X719" s="2316" t="s">
        <v>13</v>
      </c>
      <c r="Y719" s="2316" t="s">
        <v>30</v>
      </c>
      <c r="Z719" s="2325">
        <f>SUM($AA$153)</f>
        <v>22400.000000000004</v>
      </c>
      <c r="AA719" s="2194"/>
      <c r="AB719" s="2203"/>
      <c r="AC719" s="2204"/>
      <c r="AD719" s="708"/>
      <c r="AE719" s="708"/>
    </row>
    <row r="720" spans="1:32" ht="33">
      <c r="A720" s="705"/>
      <c r="B720" s="705"/>
      <c r="C720" s="554"/>
      <c r="D720" s="554"/>
      <c r="E720" s="554"/>
      <c r="F720" s="554"/>
      <c r="G720" s="554"/>
      <c r="H720" s="554"/>
      <c r="I720" s="554"/>
      <c r="J720" s="554"/>
      <c r="K720" s="554"/>
      <c r="L720" s="554"/>
      <c r="M720" s="554"/>
      <c r="N720" s="554"/>
      <c r="O720" s="554"/>
      <c r="P720" s="707"/>
      <c r="Q720" s="707"/>
      <c r="R720" s="707"/>
      <c r="S720" s="2194"/>
      <c r="T720" s="2194"/>
      <c r="U720" s="2337" t="s">
        <v>17</v>
      </c>
      <c r="V720" s="2338" t="s">
        <v>72</v>
      </c>
      <c r="W720" s="2315">
        <v>530810</v>
      </c>
      <c r="X720" s="2316" t="s">
        <v>13</v>
      </c>
      <c r="Y720" s="2316" t="s">
        <v>18</v>
      </c>
      <c r="Z720" s="2325">
        <f>SUM($AA$137)</f>
        <v>473.76000000000005</v>
      </c>
      <c r="AA720" s="2194"/>
      <c r="AB720" s="2203"/>
      <c r="AC720" s="2204"/>
      <c r="AD720" s="708"/>
      <c r="AE720" s="708"/>
    </row>
    <row r="721" spans="1:31" ht="66">
      <c r="A721" s="705"/>
      <c r="B721" s="705"/>
      <c r="C721" s="554"/>
      <c r="D721" s="554"/>
      <c r="E721" s="554"/>
      <c r="F721" s="554"/>
      <c r="G721" s="554"/>
      <c r="H721" s="554"/>
      <c r="I721" s="554"/>
      <c r="J721" s="554"/>
      <c r="K721" s="554"/>
      <c r="L721" s="554"/>
      <c r="M721" s="554"/>
      <c r="N721" s="554"/>
      <c r="O721" s="554"/>
      <c r="P721" s="707"/>
      <c r="Q721" s="707"/>
      <c r="R721" s="707"/>
      <c r="S721" s="2194"/>
      <c r="T721" s="2194"/>
      <c r="U721" s="2337" t="s">
        <v>39</v>
      </c>
      <c r="V721" s="2338" t="s">
        <v>83</v>
      </c>
      <c r="W721" s="2315">
        <v>530811</v>
      </c>
      <c r="X721" s="2316" t="s">
        <v>13</v>
      </c>
      <c r="Y721" s="2316" t="s">
        <v>18</v>
      </c>
      <c r="Z721" s="2325">
        <f>SUM($AA$26:$AA$41)</f>
        <v>7494.0521600000002</v>
      </c>
      <c r="AA721" s="2194"/>
      <c r="AB721" s="2203"/>
      <c r="AC721" s="2204"/>
      <c r="AD721" s="708"/>
      <c r="AE721" s="708"/>
    </row>
    <row r="722" spans="1:31" ht="16.5">
      <c r="A722" s="705"/>
      <c r="B722" s="705"/>
      <c r="C722" s="554"/>
      <c r="D722" s="554"/>
      <c r="E722" s="554"/>
      <c r="F722" s="554"/>
      <c r="G722" s="554"/>
      <c r="H722" s="554"/>
      <c r="I722" s="554"/>
      <c r="J722" s="554"/>
      <c r="K722" s="554"/>
      <c r="L722" s="554"/>
      <c r="M722" s="554"/>
      <c r="N722" s="554"/>
      <c r="O722" s="554"/>
      <c r="P722" s="707"/>
      <c r="Q722" s="707"/>
      <c r="R722" s="707"/>
      <c r="S722" s="2194"/>
      <c r="T722" s="2194"/>
      <c r="U722" s="2337" t="s">
        <v>29</v>
      </c>
      <c r="V722" s="2338" t="s">
        <v>163</v>
      </c>
      <c r="W722" s="2315">
        <v>530812</v>
      </c>
      <c r="X722" s="2316" t="s">
        <v>13</v>
      </c>
      <c r="Y722" s="2316" t="s">
        <v>30</v>
      </c>
      <c r="Z722" s="2325">
        <f>$AA$74</f>
        <v>1344.0000000000002</v>
      </c>
      <c r="AA722" s="2194"/>
      <c r="AB722" s="2203"/>
      <c r="AC722" s="2204"/>
      <c r="AD722" s="708"/>
      <c r="AE722" s="708"/>
    </row>
    <row r="723" spans="1:31" ht="16.5">
      <c r="A723" s="705"/>
      <c r="B723" s="705"/>
      <c r="C723" s="554"/>
      <c r="D723" s="554"/>
      <c r="E723" s="554"/>
      <c r="F723" s="554"/>
      <c r="G723" s="554"/>
      <c r="H723" s="554"/>
      <c r="I723" s="554"/>
      <c r="J723" s="554"/>
      <c r="K723" s="554"/>
      <c r="L723" s="554"/>
      <c r="M723" s="554"/>
      <c r="N723" s="554"/>
      <c r="O723" s="554"/>
      <c r="P723" s="707"/>
      <c r="Q723" s="707"/>
      <c r="R723" s="707"/>
      <c r="S723" s="2194"/>
      <c r="T723" s="2194"/>
      <c r="U723" s="2337" t="s">
        <v>39</v>
      </c>
      <c r="V723" s="2338" t="s">
        <v>157</v>
      </c>
      <c r="W723" s="2315">
        <v>530813</v>
      </c>
      <c r="X723" s="2316" t="s">
        <v>13</v>
      </c>
      <c r="Y723" s="2316" t="s">
        <v>18</v>
      </c>
      <c r="Z723" s="2325">
        <f>SUM($AA$200:$AA$204)</f>
        <v>497.28000000000003</v>
      </c>
      <c r="AA723" s="2194"/>
      <c r="AB723" s="2203"/>
      <c r="AC723" s="2204"/>
      <c r="AD723" s="708"/>
      <c r="AE723" s="708"/>
    </row>
    <row r="724" spans="1:31" ht="33">
      <c r="A724" s="705"/>
      <c r="B724" s="705"/>
      <c r="C724" s="554"/>
      <c r="D724" s="554"/>
      <c r="E724" s="554"/>
      <c r="F724" s="554"/>
      <c r="G724" s="554"/>
      <c r="H724" s="554"/>
      <c r="I724" s="554"/>
      <c r="J724" s="554"/>
      <c r="K724" s="554"/>
      <c r="L724" s="554"/>
      <c r="M724" s="554"/>
      <c r="N724" s="554"/>
      <c r="O724" s="554"/>
      <c r="P724" s="707"/>
      <c r="Q724" s="707"/>
      <c r="R724" s="707"/>
      <c r="S724" s="2194"/>
      <c r="T724" s="2194"/>
      <c r="U724" s="2337" t="s">
        <v>17</v>
      </c>
      <c r="V724" s="2338" t="s">
        <v>164</v>
      </c>
      <c r="W724" s="2315">
        <v>530814</v>
      </c>
      <c r="X724" s="2316" t="s">
        <v>13</v>
      </c>
      <c r="Y724" s="2316" t="s">
        <v>14</v>
      </c>
      <c r="Z724" s="2325">
        <f>SUM($AA$242:$AA$243)</f>
        <v>190.39999999999998</v>
      </c>
      <c r="AA724" s="2194"/>
      <c r="AB724" s="2203"/>
      <c r="AC724" s="2204"/>
      <c r="AD724" s="708"/>
      <c r="AE724" s="708"/>
    </row>
    <row r="725" spans="1:31" ht="16.5">
      <c r="A725" s="705"/>
      <c r="B725" s="705"/>
      <c r="C725" s="554"/>
      <c r="D725" s="554"/>
      <c r="E725" s="554"/>
      <c r="F725" s="554"/>
      <c r="G725" s="554"/>
      <c r="H725" s="554"/>
      <c r="I725" s="554"/>
      <c r="J725" s="554"/>
      <c r="K725" s="554"/>
      <c r="L725" s="554"/>
      <c r="M725" s="554"/>
      <c r="N725" s="554"/>
      <c r="O725" s="554"/>
      <c r="P725" s="707"/>
      <c r="Q725" s="707"/>
      <c r="R725" s="707"/>
      <c r="S725" s="2194"/>
      <c r="T725" s="2194"/>
      <c r="U725" s="2337" t="s">
        <v>17</v>
      </c>
      <c r="V725" s="2338" t="s">
        <v>165</v>
      </c>
      <c r="W725" s="2315">
        <v>530823</v>
      </c>
      <c r="X725" s="2316" t="s">
        <v>13</v>
      </c>
      <c r="Y725" s="2316" t="s">
        <v>14</v>
      </c>
      <c r="Z725" s="2325">
        <f>SUM($AA$254:$AA$255)</f>
        <v>194.88</v>
      </c>
      <c r="AA725" s="2194"/>
      <c r="AB725" s="2203"/>
      <c r="AC725" s="2204"/>
      <c r="AD725" s="708"/>
      <c r="AE725" s="708"/>
    </row>
    <row r="726" spans="1:31" ht="33">
      <c r="A726" s="705"/>
      <c r="B726" s="705"/>
      <c r="C726" s="554"/>
      <c r="D726" s="554"/>
      <c r="E726" s="554"/>
      <c r="F726" s="554"/>
      <c r="G726" s="554"/>
      <c r="H726" s="554"/>
      <c r="I726" s="554"/>
      <c r="J726" s="554"/>
      <c r="K726" s="554"/>
      <c r="L726" s="554"/>
      <c r="M726" s="554"/>
      <c r="N726" s="554"/>
      <c r="O726" s="554"/>
      <c r="P726" s="707"/>
      <c r="Q726" s="707"/>
      <c r="R726" s="707"/>
      <c r="S726" s="2194"/>
      <c r="T726" s="2194"/>
      <c r="U726" s="2337" t="s">
        <v>17</v>
      </c>
      <c r="V726" s="2338" t="s">
        <v>73</v>
      </c>
      <c r="W726" s="2315">
        <v>530829</v>
      </c>
      <c r="X726" s="2316" t="s">
        <v>13</v>
      </c>
      <c r="Y726" s="2316" t="s">
        <v>30</v>
      </c>
      <c r="Z726" s="2325">
        <f>SUM($AA$140)</f>
        <v>22400.000000000004</v>
      </c>
      <c r="AA726" s="2194"/>
      <c r="AB726" s="2203"/>
      <c r="AC726" s="2204"/>
      <c r="AD726" s="708"/>
      <c r="AE726" s="708"/>
    </row>
    <row r="727" spans="1:31" ht="16.5">
      <c r="A727" s="705"/>
      <c r="B727" s="705"/>
      <c r="C727" s="554"/>
      <c r="D727" s="554"/>
      <c r="E727" s="554"/>
      <c r="F727" s="554"/>
      <c r="G727" s="554"/>
      <c r="H727" s="554"/>
      <c r="I727" s="554"/>
      <c r="J727" s="554"/>
      <c r="K727" s="554"/>
      <c r="L727" s="554"/>
      <c r="M727" s="554"/>
      <c r="N727" s="554"/>
      <c r="O727" s="554"/>
      <c r="P727" s="707"/>
      <c r="Q727" s="707"/>
      <c r="R727" s="707"/>
      <c r="S727" s="2194"/>
      <c r="T727" s="2194"/>
      <c r="U727" s="2337" t="s">
        <v>39</v>
      </c>
      <c r="V727" s="2338" t="s">
        <v>160</v>
      </c>
      <c r="W727" s="2315">
        <v>531404</v>
      </c>
      <c r="X727" s="2316" t="s">
        <v>13</v>
      </c>
      <c r="Y727" s="2316" t="s">
        <v>18</v>
      </c>
      <c r="Z727" s="2325">
        <f>$AA$20</f>
        <v>156.80000000000001</v>
      </c>
      <c r="AA727" s="2194"/>
      <c r="AB727" s="2203"/>
      <c r="AC727" s="2204"/>
      <c r="AD727" s="708"/>
      <c r="AE727" s="708"/>
    </row>
    <row r="728" spans="1:31" ht="16.5">
      <c r="A728" s="705"/>
      <c r="B728" s="705"/>
      <c r="C728" s="554"/>
      <c r="D728" s="554"/>
      <c r="E728" s="554"/>
      <c r="F728" s="554"/>
      <c r="G728" s="554"/>
      <c r="H728" s="554"/>
      <c r="I728" s="554"/>
      <c r="J728" s="554"/>
      <c r="K728" s="554"/>
      <c r="L728" s="554"/>
      <c r="M728" s="554"/>
      <c r="N728" s="554"/>
      <c r="O728" s="554"/>
      <c r="P728" s="707"/>
      <c r="Q728" s="707"/>
      <c r="R728" s="707"/>
      <c r="S728" s="2194"/>
      <c r="T728" s="2194"/>
      <c r="U728" s="2337" t="s">
        <v>17</v>
      </c>
      <c r="V728" s="2338" t="s">
        <v>24</v>
      </c>
      <c r="W728" s="2315">
        <v>531404</v>
      </c>
      <c r="X728" s="2316" t="s">
        <v>13</v>
      </c>
      <c r="Y728" s="2316" t="s">
        <v>30</v>
      </c>
      <c r="Z728" s="2325">
        <f>SUM($AA$228)</f>
        <v>67.2</v>
      </c>
      <c r="AA728" s="2194"/>
      <c r="AB728" s="2203"/>
      <c r="AC728" s="2204"/>
      <c r="AD728" s="708"/>
      <c r="AE728" s="708"/>
    </row>
    <row r="729" spans="1:31" ht="16.5">
      <c r="A729" s="705"/>
      <c r="B729" s="705"/>
      <c r="C729" s="554"/>
      <c r="D729" s="554"/>
      <c r="E729" s="554"/>
      <c r="F729" s="554"/>
      <c r="G729" s="554"/>
      <c r="H729" s="554"/>
      <c r="I729" s="554"/>
      <c r="J729" s="554"/>
      <c r="K729" s="554"/>
      <c r="L729" s="554"/>
      <c r="M729" s="554"/>
      <c r="N729" s="554"/>
      <c r="O729" s="554"/>
      <c r="P729" s="707"/>
      <c r="Q729" s="707"/>
      <c r="R729" s="707"/>
      <c r="S729" s="2194"/>
      <c r="T729" s="2194"/>
      <c r="U729" s="2337" t="s">
        <v>17</v>
      </c>
      <c r="V729" s="2338" t="s">
        <v>24</v>
      </c>
      <c r="W729" s="2315">
        <v>531404</v>
      </c>
      <c r="X729" s="2316" t="s">
        <v>13</v>
      </c>
      <c r="Y729" s="2316" t="s">
        <v>30</v>
      </c>
      <c r="Z729" s="2325">
        <f>SUM($AA$239)</f>
        <v>50.4</v>
      </c>
      <c r="AA729" s="2194"/>
      <c r="AB729" s="2203"/>
      <c r="AC729" s="2204"/>
      <c r="AD729" s="708"/>
      <c r="AE729" s="708"/>
    </row>
    <row r="730" spans="1:31" ht="16.5">
      <c r="A730" s="705"/>
      <c r="B730" s="705"/>
      <c r="C730" s="554"/>
      <c r="D730" s="554"/>
      <c r="E730" s="554"/>
      <c r="F730" s="554"/>
      <c r="G730" s="554"/>
      <c r="H730" s="554"/>
      <c r="I730" s="554"/>
      <c r="J730" s="554"/>
      <c r="K730" s="554"/>
      <c r="L730" s="554"/>
      <c r="M730" s="554"/>
      <c r="N730" s="554"/>
      <c r="O730" s="554"/>
      <c r="P730" s="707"/>
      <c r="Q730" s="707"/>
      <c r="R730" s="707"/>
      <c r="S730" s="2194"/>
      <c r="T730" s="2194"/>
      <c r="U730" s="2337" t="s">
        <v>17</v>
      </c>
      <c r="V730" s="2338" t="s">
        <v>24</v>
      </c>
      <c r="W730" s="2315">
        <v>531404</v>
      </c>
      <c r="X730" s="2316" t="s">
        <v>13</v>
      </c>
      <c r="Y730" s="2316" t="s">
        <v>30</v>
      </c>
      <c r="Z730" s="2325">
        <f>SUM($AA$246)</f>
        <v>100.8</v>
      </c>
      <c r="AA730" s="2194"/>
      <c r="AB730" s="2203"/>
      <c r="AC730" s="2204"/>
      <c r="AD730" s="708"/>
      <c r="AE730" s="708"/>
    </row>
    <row r="731" spans="1:31" ht="16.5">
      <c r="A731" s="705"/>
      <c r="B731" s="705"/>
      <c r="C731" s="554"/>
      <c r="D731" s="554"/>
      <c r="E731" s="554"/>
      <c r="F731" s="554"/>
      <c r="G731" s="554"/>
      <c r="H731" s="554"/>
      <c r="I731" s="554"/>
      <c r="J731" s="554"/>
      <c r="K731" s="554"/>
      <c r="L731" s="554"/>
      <c r="M731" s="554"/>
      <c r="N731" s="554"/>
      <c r="O731" s="554"/>
      <c r="P731" s="707"/>
      <c r="Q731" s="707"/>
      <c r="R731" s="707"/>
      <c r="S731" s="2194"/>
      <c r="T731" s="2194"/>
      <c r="U731" s="2337" t="s">
        <v>17</v>
      </c>
      <c r="V731" s="2338" t="s">
        <v>24</v>
      </c>
      <c r="W731" s="2315">
        <v>531404</v>
      </c>
      <c r="X731" s="2316" t="s">
        <v>13</v>
      </c>
      <c r="Y731" s="2316" t="s">
        <v>30</v>
      </c>
      <c r="Z731" s="2325">
        <f>SUM($AA$268:$AA$275)</f>
        <v>647.08000000000004</v>
      </c>
      <c r="AA731" s="2194"/>
      <c r="AB731" s="2203"/>
      <c r="AC731" s="2204"/>
      <c r="AD731" s="708"/>
      <c r="AE731" s="708"/>
    </row>
    <row r="732" spans="1:31" ht="16.5">
      <c r="A732" s="705"/>
      <c r="B732" s="705"/>
      <c r="C732" s="554"/>
      <c r="D732" s="554"/>
      <c r="E732" s="554"/>
      <c r="F732" s="554"/>
      <c r="G732" s="554"/>
      <c r="H732" s="554"/>
      <c r="I732" s="554"/>
      <c r="J732" s="554"/>
      <c r="K732" s="554"/>
      <c r="L732" s="554"/>
      <c r="M732" s="554"/>
      <c r="N732" s="554"/>
      <c r="O732" s="554"/>
      <c r="P732" s="707"/>
      <c r="Q732" s="707"/>
      <c r="R732" s="707"/>
      <c r="S732" s="2194"/>
      <c r="T732" s="2194"/>
      <c r="U732" s="2337" t="s">
        <v>39</v>
      </c>
      <c r="V732" s="2338" t="s">
        <v>74</v>
      </c>
      <c r="W732" s="2315">
        <v>531406</v>
      </c>
      <c r="X732" s="2316" t="s">
        <v>13</v>
      </c>
      <c r="Y732" s="2316" t="s">
        <v>18</v>
      </c>
      <c r="Z732" s="2325">
        <f>SUM($AA$15:$AA$17)</f>
        <v>588</v>
      </c>
      <c r="AA732" s="2194"/>
      <c r="AB732" s="2203"/>
      <c r="AC732" s="2204"/>
      <c r="AD732" s="708"/>
      <c r="AE732" s="708"/>
    </row>
    <row r="733" spans="1:31" ht="16.5">
      <c r="A733" s="705"/>
      <c r="B733" s="705"/>
      <c r="C733" s="554"/>
      <c r="D733" s="554"/>
      <c r="E733" s="554"/>
      <c r="F733" s="554"/>
      <c r="G733" s="554"/>
      <c r="H733" s="554"/>
      <c r="I733" s="554"/>
      <c r="J733" s="554"/>
      <c r="K733" s="554"/>
      <c r="L733" s="554"/>
      <c r="M733" s="554"/>
      <c r="N733" s="554"/>
      <c r="O733" s="554"/>
      <c r="P733" s="707"/>
      <c r="Q733" s="707"/>
      <c r="R733" s="707"/>
      <c r="S733" s="2194"/>
      <c r="T733" s="2194"/>
      <c r="U733" s="2337" t="s">
        <v>39</v>
      </c>
      <c r="V733" s="2338" t="s">
        <v>20</v>
      </c>
      <c r="W733" s="2315">
        <v>531407</v>
      </c>
      <c r="X733" s="2316" t="s">
        <v>13</v>
      </c>
      <c r="Y733" s="2316" t="s">
        <v>18</v>
      </c>
      <c r="Z733" s="2325">
        <f>SUM($AA$23)</f>
        <v>109.76</v>
      </c>
      <c r="AA733" s="2194"/>
      <c r="AB733" s="2203"/>
      <c r="AC733" s="2204"/>
      <c r="AD733" s="708"/>
      <c r="AE733" s="708"/>
    </row>
    <row r="734" spans="1:31" ht="16.5">
      <c r="A734" s="705"/>
      <c r="B734" s="705"/>
      <c r="C734" s="554"/>
      <c r="D734" s="554"/>
      <c r="E734" s="554"/>
      <c r="F734" s="554"/>
      <c r="G734" s="554"/>
      <c r="H734" s="554"/>
      <c r="I734" s="554"/>
      <c r="J734" s="554"/>
      <c r="K734" s="554"/>
      <c r="L734" s="554"/>
      <c r="M734" s="554"/>
      <c r="N734" s="554"/>
      <c r="O734" s="554"/>
      <c r="P734" s="707"/>
      <c r="Q734" s="707"/>
      <c r="R734" s="707"/>
      <c r="S734" s="2194"/>
      <c r="T734" s="2194"/>
      <c r="U734" s="2337" t="s">
        <v>39</v>
      </c>
      <c r="V734" s="2338" t="s">
        <v>20</v>
      </c>
      <c r="W734" s="2315">
        <v>531407</v>
      </c>
      <c r="X734" s="2316" t="s">
        <v>13</v>
      </c>
      <c r="Y734" s="2316" t="s">
        <v>18</v>
      </c>
      <c r="Z734" s="2325">
        <f>SUM($AA$118:$AA$120)</f>
        <v>109.76</v>
      </c>
      <c r="AA734" s="2194"/>
      <c r="AB734" s="2203"/>
      <c r="AC734" s="2204"/>
      <c r="AD734" s="708"/>
      <c r="AE734" s="708"/>
    </row>
    <row r="735" spans="1:31" ht="16.5">
      <c r="A735" s="705"/>
      <c r="B735" s="705"/>
      <c r="C735" s="554"/>
      <c r="D735" s="554"/>
      <c r="E735" s="554"/>
      <c r="F735" s="554"/>
      <c r="G735" s="554"/>
      <c r="H735" s="554"/>
      <c r="I735" s="554"/>
      <c r="J735" s="554"/>
      <c r="K735" s="554"/>
      <c r="L735" s="554"/>
      <c r="M735" s="554"/>
      <c r="N735" s="554"/>
      <c r="O735" s="554"/>
      <c r="P735" s="707"/>
      <c r="Q735" s="707"/>
      <c r="R735" s="707"/>
      <c r="S735" s="2194"/>
      <c r="T735" s="2194"/>
      <c r="U735" s="2337" t="s">
        <v>39</v>
      </c>
      <c r="V735" s="2338" t="s">
        <v>20</v>
      </c>
      <c r="W735" s="2315">
        <v>531407</v>
      </c>
      <c r="X735" s="2316" t="s">
        <v>13</v>
      </c>
      <c r="Y735" s="2316" t="s">
        <v>18</v>
      </c>
      <c r="Z735" s="2325">
        <f>SUM($AA$179:$AA$181)</f>
        <v>70.56</v>
      </c>
      <c r="AA735" s="2194"/>
      <c r="AB735" s="2203"/>
      <c r="AC735" s="2204"/>
      <c r="AD735" s="708"/>
      <c r="AE735" s="708"/>
    </row>
    <row r="736" spans="1:31" ht="16.5">
      <c r="A736" s="705"/>
      <c r="B736" s="705"/>
      <c r="C736" s="554"/>
      <c r="D736" s="554"/>
      <c r="E736" s="554"/>
      <c r="F736" s="554"/>
      <c r="G736" s="554"/>
      <c r="H736" s="554"/>
      <c r="I736" s="554"/>
      <c r="J736" s="554"/>
      <c r="K736" s="554"/>
      <c r="L736" s="554"/>
      <c r="M736" s="554"/>
      <c r="N736" s="554"/>
      <c r="O736" s="554"/>
      <c r="P736" s="707"/>
      <c r="Q736" s="707"/>
      <c r="R736" s="707"/>
      <c r="S736" s="2194"/>
      <c r="T736" s="2194"/>
      <c r="U736" s="2337" t="s">
        <v>17</v>
      </c>
      <c r="V736" s="2338" t="s">
        <v>20</v>
      </c>
      <c r="W736" s="2315">
        <v>531407</v>
      </c>
      <c r="X736" s="2316" t="s">
        <v>13</v>
      </c>
      <c r="Y736" s="2316" t="s">
        <v>30</v>
      </c>
      <c r="Z736" s="2325">
        <f>SUM($AA$210:$AA$217)</f>
        <v>2456.3616000000002</v>
      </c>
      <c r="AA736" s="2194"/>
      <c r="AB736" s="2203"/>
      <c r="AC736" s="2204"/>
      <c r="AD736" s="708"/>
      <c r="AE736" s="708"/>
    </row>
    <row r="737" spans="1:31" ht="16.5">
      <c r="A737" s="705"/>
      <c r="B737" s="705"/>
      <c r="C737" s="554"/>
      <c r="D737" s="554"/>
      <c r="E737" s="554"/>
      <c r="F737" s="554"/>
      <c r="G737" s="554"/>
      <c r="H737" s="554"/>
      <c r="I737" s="554"/>
      <c r="J737" s="554"/>
      <c r="K737" s="554"/>
      <c r="L737" s="554"/>
      <c r="M737" s="554"/>
      <c r="N737" s="554"/>
      <c r="O737" s="554"/>
      <c r="P737" s="707"/>
      <c r="Q737" s="707"/>
      <c r="R737" s="707"/>
      <c r="S737" s="2194"/>
      <c r="T737" s="2194"/>
      <c r="U737" s="2337" t="s">
        <v>39</v>
      </c>
      <c r="V737" s="2338" t="s">
        <v>20</v>
      </c>
      <c r="W737" s="2315">
        <v>531407</v>
      </c>
      <c r="X737" s="2316" t="s">
        <v>13</v>
      </c>
      <c r="Y737" s="2316" t="s">
        <v>18</v>
      </c>
      <c r="Z737" s="2325">
        <f>SUM($AA$231:$AA$233)</f>
        <v>70.56</v>
      </c>
      <c r="AA737" s="2194"/>
      <c r="AB737" s="2203"/>
      <c r="AC737" s="2204"/>
      <c r="AD737" s="708"/>
      <c r="AE737" s="708"/>
    </row>
    <row r="738" spans="1:31" ht="16.5">
      <c r="A738" s="705"/>
      <c r="B738" s="705"/>
      <c r="C738" s="554"/>
      <c r="D738" s="554"/>
      <c r="E738" s="554"/>
      <c r="F738" s="554"/>
      <c r="G738" s="554"/>
      <c r="H738" s="554"/>
      <c r="I738" s="554"/>
      <c r="J738" s="554"/>
      <c r="K738" s="554"/>
      <c r="L738" s="554"/>
      <c r="M738" s="554"/>
      <c r="N738" s="554"/>
      <c r="O738" s="554"/>
      <c r="P738" s="707"/>
      <c r="Q738" s="707"/>
      <c r="R738" s="707"/>
      <c r="S738" s="2194"/>
      <c r="T738" s="2194"/>
      <c r="U738" s="2337" t="s">
        <v>39</v>
      </c>
      <c r="V738" s="2338" t="s">
        <v>20</v>
      </c>
      <c r="W738" s="2315">
        <v>531407</v>
      </c>
      <c r="X738" s="2316" t="s">
        <v>13</v>
      </c>
      <c r="Y738" s="2316" t="s">
        <v>18</v>
      </c>
      <c r="Z738" s="2325">
        <f>SUM($AA$236)</f>
        <v>70.56</v>
      </c>
      <c r="AA738" s="2194"/>
      <c r="AB738" s="2203"/>
      <c r="AC738" s="2204"/>
      <c r="AD738" s="708"/>
      <c r="AE738" s="708"/>
    </row>
    <row r="739" spans="1:31" ht="16.5">
      <c r="A739" s="705"/>
      <c r="B739" s="705"/>
      <c r="C739" s="554"/>
      <c r="D739" s="554"/>
      <c r="E739" s="554"/>
      <c r="F739" s="554"/>
      <c r="G739" s="554"/>
      <c r="H739" s="554"/>
      <c r="I739" s="554"/>
      <c r="J739" s="554"/>
      <c r="K739" s="554"/>
      <c r="L739" s="554"/>
      <c r="M739" s="554"/>
      <c r="N739" s="554"/>
      <c r="O739" s="554"/>
      <c r="P739" s="707"/>
      <c r="Q739" s="707"/>
      <c r="R739" s="707"/>
      <c r="S739" s="2194"/>
      <c r="T739" s="2194"/>
      <c r="U739" s="2337" t="s">
        <v>39</v>
      </c>
      <c r="V739" s="2338" t="s">
        <v>20</v>
      </c>
      <c r="W739" s="2315">
        <v>531407</v>
      </c>
      <c r="X739" s="2316" t="s">
        <v>13</v>
      </c>
      <c r="Y739" s="2316" t="s">
        <v>18</v>
      </c>
      <c r="Z739" s="2325">
        <f>SUM($AA$264:$AA$265)</f>
        <v>67.2</v>
      </c>
      <c r="AA739" s="2194"/>
      <c r="AB739" s="2203"/>
      <c r="AC739" s="2204"/>
      <c r="AD739" s="708"/>
      <c r="AE739" s="708"/>
    </row>
    <row r="740" spans="1:31" ht="16.5">
      <c r="A740" s="705"/>
      <c r="B740" s="705"/>
      <c r="C740" s="554"/>
      <c r="D740" s="554"/>
      <c r="E740" s="554"/>
      <c r="F740" s="554"/>
      <c r="G740" s="554"/>
      <c r="H740" s="554"/>
      <c r="I740" s="554"/>
      <c r="J740" s="554"/>
      <c r="K740" s="554"/>
      <c r="L740" s="554"/>
      <c r="M740" s="554"/>
      <c r="N740" s="554"/>
      <c r="O740" s="554"/>
      <c r="P740" s="707"/>
      <c r="Q740" s="707"/>
      <c r="R740" s="707"/>
      <c r="S740" s="2194"/>
      <c r="T740" s="2194"/>
      <c r="U740" s="2337" t="s">
        <v>39</v>
      </c>
      <c r="V740" s="2338" t="s">
        <v>20</v>
      </c>
      <c r="W740" s="2315">
        <v>531407</v>
      </c>
      <c r="X740" s="2316" t="s">
        <v>13</v>
      </c>
      <c r="Y740" s="2316" t="s">
        <v>18</v>
      </c>
      <c r="Z740" s="2325">
        <f>SUM($AA$278:$AA$280)</f>
        <v>85.12</v>
      </c>
      <c r="AA740" s="2194"/>
      <c r="AB740" s="2203"/>
      <c r="AC740" s="2204"/>
      <c r="AD740" s="708"/>
      <c r="AE740" s="708"/>
    </row>
    <row r="741" spans="1:31" ht="16.5">
      <c r="A741" s="705"/>
      <c r="B741" s="705"/>
      <c r="C741" s="554"/>
      <c r="D741" s="554"/>
      <c r="E741" s="554"/>
      <c r="F741" s="554"/>
      <c r="G741" s="554"/>
      <c r="H741" s="554"/>
      <c r="I741" s="554"/>
      <c r="J741" s="554"/>
      <c r="K741" s="554"/>
      <c r="L741" s="554"/>
      <c r="M741" s="554"/>
      <c r="N741" s="554"/>
      <c r="O741" s="554"/>
      <c r="P741" s="707"/>
      <c r="Q741" s="707"/>
      <c r="R741" s="707"/>
      <c r="S741" s="2194"/>
      <c r="T741" s="2194"/>
      <c r="U741" s="2337" t="s">
        <v>39</v>
      </c>
      <c r="V741" s="2338" t="s">
        <v>20</v>
      </c>
      <c r="W741" s="2315">
        <v>531407</v>
      </c>
      <c r="X741" s="2316" t="s">
        <v>13</v>
      </c>
      <c r="Y741" s="2316" t="s">
        <v>18</v>
      </c>
      <c r="Z741" s="2325">
        <f>SUM($AA$304:$AA$306)</f>
        <v>282.24</v>
      </c>
      <c r="AA741" s="2194"/>
      <c r="AB741" s="2203"/>
      <c r="AC741" s="2204"/>
      <c r="AD741" s="708"/>
      <c r="AE741" s="708"/>
    </row>
    <row r="742" spans="1:31" ht="16.5">
      <c r="A742" s="705"/>
      <c r="B742" s="705"/>
      <c r="C742" s="554"/>
      <c r="D742" s="554"/>
      <c r="E742" s="554"/>
      <c r="F742" s="554"/>
      <c r="G742" s="554"/>
      <c r="H742" s="554"/>
      <c r="I742" s="554"/>
      <c r="J742" s="554"/>
      <c r="K742" s="554"/>
      <c r="L742" s="554"/>
      <c r="M742" s="554"/>
      <c r="N742" s="554"/>
      <c r="O742" s="554"/>
      <c r="P742" s="707"/>
      <c r="Q742" s="707"/>
      <c r="R742" s="707"/>
      <c r="S742" s="2194"/>
      <c r="T742" s="2194"/>
      <c r="U742" s="2337" t="s">
        <v>39</v>
      </c>
      <c r="V742" s="2338" t="s">
        <v>166</v>
      </c>
      <c r="W742" s="2315">
        <v>531601</v>
      </c>
      <c r="X742" s="2316" t="s">
        <v>13</v>
      </c>
      <c r="Y742" s="2316" t="s">
        <v>18</v>
      </c>
      <c r="Z742" s="2325">
        <f>SUM($AA$44)</f>
        <v>672</v>
      </c>
      <c r="AA742" s="2205"/>
      <c r="AB742" s="2203"/>
      <c r="AC742" s="2204"/>
      <c r="AD742" s="708"/>
      <c r="AE742" s="708"/>
    </row>
    <row r="743" spans="1:31" ht="16.5">
      <c r="A743" s="100"/>
      <c r="B743" s="100"/>
      <c r="C743" s="221"/>
      <c r="D743" s="221"/>
      <c r="E743" s="221"/>
      <c r="F743" s="221"/>
      <c r="G743" s="221"/>
      <c r="H743" s="221"/>
      <c r="I743" s="221"/>
      <c r="J743" s="221"/>
      <c r="K743" s="221"/>
      <c r="L743" s="221"/>
      <c r="M743" s="221"/>
      <c r="N743" s="221"/>
      <c r="O743" s="221"/>
      <c r="P743" s="135"/>
      <c r="Q743" s="135"/>
      <c r="R743" s="135"/>
      <c r="S743" s="2205"/>
      <c r="T743" s="2205"/>
      <c r="U743" s="2339" t="s">
        <v>17</v>
      </c>
      <c r="V743" s="2340" t="s">
        <v>24</v>
      </c>
      <c r="W743" s="2317">
        <v>840104</v>
      </c>
      <c r="X743" s="2318" t="s">
        <v>13</v>
      </c>
      <c r="Y743" s="2318" t="s">
        <v>14</v>
      </c>
      <c r="Z743" s="2326">
        <f>$AA$64</f>
        <v>22400.000000000004</v>
      </c>
      <c r="AA743" s="2205"/>
      <c r="AB743" s="2203"/>
      <c r="AC743" s="2204"/>
      <c r="AD743" s="1"/>
      <c r="AE743" s="1"/>
    </row>
    <row r="744" spans="1:31" ht="16.5">
      <c r="A744" s="100"/>
      <c r="B744" s="100"/>
      <c r="C744" s="221"/>
      <c r="D744" s="221"/>
      <c r="E744" s="221"/>
      <c r="F744" s="221"/>
      <c r="G744" s="221"/>
      <c r="H744" s="221"/>
      <c r="I744" s="221"/>
      <c r="J744" s="221"/>
      <c r="K744" s="221"/>
      <c r="L744" s="221"/>
      <c r="M744" s="221"/>
      <c r="N744" s="221"/>
      <c r="O744" s="221"/>
      <c r="P744" s="135"/>
      <c r="Q744" s="135"/>
      <c r="R744" s="135"/>
      <c r="S744" s="2205"/>
      <c r="T744" s="2205"/>
      <c r="U744" s="2339" t="s">
        <v>17</v>
      </c>
      <c r="V744" s="2340" t="s">
        <v>24</v>
      </c>
      <c r="W744" s="2319">
        <v>840104</v>
      </c>
      <c r="X744" s="2318" t="s">
        <v>13</v>
      </c>
      <c r="Y744" s="2318" t="s">
        <v>14</v>
      </c>
      <c r="Z744" s="2327">
        <f>$AA$156</f>
        <v>40320.000000000007</v>
      </c>
      <c r="AA744" s="2205"/>
      <c r="AB744" s="2203"/>
      <c r="AC744" s="2204"/>
      <c r="AD744" s="1"/>
      <c r="AE744" s="1"/>
    </row>
    <row r="745" spans="1:31" ht="16.5">
      <c r="A745" s="100"/>
      <c r="B745" s="100"/>
      <c r="C745" s="221"/>
      <c r="D745" s="221"/>
      <c r="E745" s="221"/>
      <c r="F745" s="221"/>
      <c r="G745" s="221"/>
      <c r="H745" s="221"/>
      <c r="I745" s="221"/>
      <c r="J745" s="221"/>
      <c r="K745" s="221"/>
      <c r="L745" s="221"/>
      <c r="M745" s="221"/>
      <c r="N745" s="221"/>
      <c r="O745" s="221"/>
      <c r="P745" s="135"/>
      <c r="Q745" s="135"/>
      <c r="R745" s="135"/>
      <c r="S745" s="2205"/>
      <c r="T745" s="2205"/>
      <c r="U745" s="2339" t="s">
        <v>17</v>
      </c>
      <c r="V745" s="2340" t="s">
        <v>24</v>
      </c>
      <c r="W745" s="2317">
        <v>840104</v>
      </c>
      <c r="X745" s="2318" t="s">
        <v>13</v>
      </c>
      <c r="Y745" s="2318" t="s">
        <v>14</v>
      </c>
      <c r="Z745" s="2327">
        <f>SUM($AA$220:$AA$225)</f>
        <v>10584.000000000002</v>
      </c>
      <c r="AA745" s="2205"/>
      <c r="AB745" s="2203"/>
      <c r="AC745" s="2204"/>
      <c r="AD745" s="1"/>
      <c r="AE745" s="1"/>
    </row>
    <row r="746" spans="1:31" ht="16.5">
      <c r="A746" s="100"/>
      <c r="B746" s="100"/>
      <c r="C746" s="221"/>
      <c r="D746" s="221"/>
      <c r="E746" s="221"/>
      <c r="F746" s="221"/>
      <c r="G746" s="221"/>
      <c r="H746" s="221"/>
      <c r="I746" s="221"/>
      <c r="J746" s="221"/>
      <c r="K746" s="221"/>
      <c r="L746" s="221"/>
      <c r="M746" s="221"/>
      <c r="N746" s="221"/>
      <c r="O746" s="221"/>
      <c r="P746" s="135"/>
      <c r="Q746" s="135"/>
      <c r="R746" s="135"/>
      <c r="S746" s="2205"/>
      <c r="T746" s="2205"/>
      <c r="U746" s="2339" t="s">
        <v>17</v>
      </c>
      <c r="V746" s="2341" t="s">
        <v>24</v>
      </c>
      <c r="W746" s="2319">
        <v>840104</v>
      </c>
      <c r="X746" s="2318" t="s">
        <v>13</v>
      </c>
      <c r="Y746" s="2318" t="s">
        <v>14</v>
      </c>
      <c r="Z746" s="2327">
        <f>SUM($AA$249:$AA$251)</f>
        <v>1461.6</v>
      </c>
      <c r="AA746" s="2205"/>
      <c r="AB746" s="2203"/>
      <c r="AC746" s="2204"/>
      <c r="AD746" s="1"/>
      <c r="AE746" s="1"/>
    </row>
    <row r="747" spans="1:31" ht="16.5">
      <c r="A747" s="100"/>
      <c r="B747" s="100"/>
      <c r="C747" s="221"/>
      <c r="D747" s="221"/>
      <c r="E747" s="221"/>
      <c r="F747" s="221"/>
      <c r="G747" s="221"/>
      <c r="H747" s="221"/>
      <c r="I747" s="221"/>
      <c r="J747" s="221"/>
      <c r="K747" s="221"/>
      <c r="L747" s="221"/>
      <c r="M747" s="221"/>
      <c r="N747" s="221"/>
      <c r="O747" s="221"/>
      <c r="P747" s="135"/>
      <c r="Q747" s="135"/>
      <c r="R747" s="135"/>
      <c r="S747" s="2205"/>
      <c r="T747" s="2205"/>
      <c r="U747" s="2339" t="s">
        <v>17</v>
      </c>
      <c r="V747" s="2341" t="s">
        <v>24</v>
      </c>
      <c r="W747" s="2319">
        <v>840104</v>
      </c>
      <c r="X747" s="2318" t="s">
        <v>13</v>
      </c>
      <c r="Y747" s="2318" t="s">
        <v>14</v>
      </c>
      <c r="Z747" s="2327">
        <f>SUM($AA$258:$AA$261)</f>
        <v>6696.524800000002</v>
      </c>
      <c r="AA747" s="2205"/>
      <c r="AB747" s="2203"/>
      <c r="AC747" s="2204"/>
      <c r="AD747" s="1"/>
      <c r="AE747" s="1"/>
    </row>
    <row r="748" spans="1:31" ht="16.5">
      <c r="A748" s="100"/>
      <c r="B748" s="100"/>
      <c r="C748" s="221"/>
      <c r="D748" s="221"/>
      <c r="E748" s="221"/>
      <c r="F748" s="221"/>
      <c r="G748" s="221"/>
      <c r="H748" s="221"/>
      <c r="I748" s="221"/>
      <c r="J748" s="221"/>
      <c r="K748" s="221"/>
      <c r="L748" s="221"/>
      <c r="M748" s="221"/>
      <c r="N748" s="221"/>
      <c r="O748" s="221"/>
      <c r="P748" s="135"/>
      <c r="Q748" s="135"/>
      <c r="R748" s="135"/>
      <c r="S748" s="2205"/>
      <c r="T748" s="2205"/>
      <c r="U748" s="2342" t="s">
        <v>29</v>
      </c>
      <c r="V748" s="2340" t="s">
        <v>20</v>
      </c>
      <c r="W748" s="2317">
        <v>840107</v>
      </c>
      <c r="X748" s="2318" t="s">
        <v>13</v>
      </c>
      <c r="Y748" s="2318" t="s">
        <v>14</v>
      </c>
      <c r="Z748" s="2327">
        <f>SUM($AA$207)</f>
        <v>448.00000000000006</v>
      </c>
      <c r="AA748" s="2205"/>
      <c r="AB748" s="2203"/>
      <c r="AC748" s="2204"/>
      <c r="AD748" s="1"/>
      <c r="AE748" s="1"/>
    </row>
    <row r="749" spans="1:31" ht="17.25" thickBot="1">
      <c r="A749" s="100"/>
      <c r="B749" s="100"/>
      <c r="C749" s="221"/>
      <c r="D749" s="221"/>
      <c r="E749" s="221"/>
      <c r="F749" s="221"/>
      <c r="G749" s="221"/>
      <c r="H749" s="221"/>
      <c r="I749" s="221"/>
      <c r="J749" s="221"/>
      <c r="K749" s="221"/>
      <c r="L749" s="221"/>
      <c r="M749" s="221"/>
      <c r="N749" s="221"/>
      <c r="O749" s="221"/>
      <c r="P749" s="135"/>
      <c r="Q749" s="135"/>
      <c r="R749" s="135"/>
      <c r="S749" s="2205"/>
      <c r="T749" s="2205"/>
      <c r="U749" s="2343" t="s">
        <v>39</v>
      </c>
      <c r="V749" s="2344" t="s">
        <v>20</v>
      </c>
      <c r="W749" s="2322">
        <v>840107</v>
      </c>
      <c r="X749" s="2323" t="s">
        <v>13</v>
      </c>
      <c r="Y749" s="2323" t="s">
        <v>14</v>
      </c>
      <c r="Z749" s="2328">
        <f>SUM($AA$400:$AA$402)</f>
        <v>1030.1984000000002</v>
      </c>
      <c r="AA749" s="2194"/>
      <c r="AB749" s="2199"/>
      <c r="AC749" s="2199"/>
      <c r="AD749" s="1"/>
      <c r="AE749" s="1"/>
    </row>
    <row r="750" spans="1:31" ht="17.25" thickBot="1">
      <c r="A750" s="705"/>
      <c r="B750" s="705"/>
      <c r="C750" s="554"/>
      <c r="D750" s="554"/>
      <c r="E750" s="554"/>
      <c r="F750" s="554"/>
      <c r="G750" s="554"/>
      <c r="H750" s="554"/>
      <c r="I750" s="554"/>
      <c r="J750" s="554"/>
      <c r="K750" s="554"/>
      <c r="L750" s="554"/>
      <c r="M750" s="554"/>
      <c r="N750" s="554"/>
      <c r="O750" s="554"/>
      <c r="P750" s="707"/>
      <c r="Q750" s="707"/>
      <c r="R750" s="707"/>
      <c r="S750" s="2194"/>
      <c r="T750" s="2194"/>
      <c r="U750" s="2345"/>
      <c r="V750" s="2346" t="s">
        <v>183</v>
      </c>
      <c r="W750" s="2347"/>
      <c r="X750" s="2347"/>
      <c r="Y750" s="2246" t="s">
        <v>340</v>
      </c>
      <c r="Z750" s="2329">
        <f>SUM(Z715:Z749)</f>
        <v>201107.09696</v>
      </c>
      <c r="AA750" s="2196"/>
      <c r="AB750" s="2199"/>
      <c r="AC750" s="2207"/>
      <c r="AD750" s="708"/>
      <c r="AE750" s="708"/>
    </row>
    <row r="751" spans="1:31" ht="17.25" thickTop="1">
      <c r="A751" s="705"/>
      <c r="B751" s="705"/>
      <c r="C751" s="554"/>
      <c r="D751" s="554"/>
      <c r="E751" s="554"/>
      <c r="F751" s="554"/>
      <c r="G751" s="554"/>
      <c r="H751" s="554"/>
      <c r="I751" s="554"/>
      <c r="J751" s="554"/>
      <c r="K751" s="554"/>
      <c r="L751" s="554"/>
      <c r="M751" s="554"/>
      <c r="N751" s="554"/>
      <c r="O751" s="554"/>
      <c r="P751" s="707"/>
      <c r="Q751" s="707"/>
      <c r="R751" s="707"/>
      <c r="S751" s="2194"/>
      <c r="T751" s="2194"/>
      <c r="U751" s="2196"/>
      <c r="V751" s="2196"/>
      <c r="W751" s="2206" t="s">
        <v>347</v>
      </c>
      <c r="X751" s="2197"/>
      <c r="Y751" s="2198"/>
      <c r="Z751" s="2196"/>
      <c r="AA751" s="2196"/>
      <c r="AB751" s="2199"/>
      <c r="AC751" s="2207"/>
      <c r="AD751" s="708"/>
      <c r="AE751" s="708"/>
    </row>
    <row r="752" spans="1:31" ht="17.25" thickBot="1">
      <c r="A752" s="705"/>
      <c r="B752" s="705"/>
      <c r="C752" s="554"/>
      <c r="D752" s="554"/>
      <c r="E752" s="554"/>
      <c r="F752" s="554"/>
      <c r="G752" s="554"/>
      <c r="H752" s="554"/>
      <c r="I752" s="554"/>
      <c r="J752" s="554"/>
      <c r="K752" s="554"/>
      <c r="L752" s="554"/>
      <c r="M752" s="554"/>
      <c r="N752" s="554"/>
      <c r="O752" s="554"/>
      <c r="P752" s="707"/>
      <c r="Q752" s="707"/>
      <c r="R752" s="707"/>
      <c r="S752" s="2194"/>
      <c r="T752" s="2194"/>
      <c r="U752" s="2196"/>
      <c r="V752" s="2196"/>
      <c r="W752" s="2196"/>
      <c r="X752" s="2197"/>
      <c r="Y752" s="2198"/>
      <c r="Z752" s="2196"/>
      <c r="AA752" s="2196"/>
      <c r="AB752" s="2210"/>
      <c r="AC752" s="2199"/>
      <c r="AD752" s="708"/>
      <c r="AE752" s="708"/>
    </row>
    <row r="753" spans="1:31" ht="17.25" thickTop="1">
      <c r="A753" s="705"/>
      <c r="B753" s="705"/>
      <c r="C753" s="554"/>
      <c r="D753" s="554"/>
      <c r="E753" s="554"/>
      <c r="F753" s="554"/>
      <c r="G753" s="554"/>
      <c r="H753" s="554"/>
      <c r="I753" s="554"/>
      <c r="J753" s="554"/>
      <c r="K753" s="554"/>
      <c r="L753" s="554"/>
      <c r="M753" s="554"/>
      <c r="N753" s="554"/>
      <c r="O753" s="554"/>
      <c r="P753" s="707"/>
      <c r="Q753" s="707"/>
      <c r="R753" s="707"/>
      <c r="S753" s="2194"/>
      <c r="T753" s="2194"/>
      <c r="U753" s="5312" t="s">
        <v>348</v>
      </c>
      <c r="V753" s="5313"/>
      <c r="W753" s="5314"/>
      <c r="X753" s="2197"/>
      <c r="Y753" s="2208" t="s">
        <v>349</v>
      </c>
      <c r="Z753" s="2209" t="str">
        <f>IF(Z750=AB709,"OK","NO")</f>
        <v>OK</v>
      </c>
      <c r="AA753" s="2196"/>
      <c r="AB753" s="2210"/>
      <c r="AC753" s="2199"/>
      <c r="AD753" s="708"/>
      <c r="AE753" s="708"/>
    </row>
    <row r="754" spans="1:31" ht="16.5">
      <c r="A754" s="705"/>
      <c r="B754" s="705"/>
      <c r="C754" s="554"/>
      <c r="D754" s="554"/>
      <c r="E754" s="554"/>
      <c r="F754" s="554"/>
      <c r="G754" s="554"/>
      <c r="H754" s="554"/>
      <c r="I754" s="554"/>
      <c r="J754" s="554"/>
      <c r="K754" s="554"/>
      <c r="L754" s="554"/>
      <c r="M754" s="554"/>
      <c r="N754" s="554"/>
      <c r="O754" s="554"/>
      <c r="P754" s="707"/>
      <c r="Q754" s="707"/>
      <c r="R754" s="707"/>
      <c r="S754" s="2194"/>
      <c r="T754" s="2194"/>
      <c r="U754" s="5315" t="s">
        <v>3942</v>
      </c>
      <c r="V754" s="4636"/>
      <c r="W754" s="2384">
        <f>+SUM(Z715+Z716+Z718+Z720+Z721+Z723+Z727+Z732+Z733+Z734+Z735+Z737+Z738+Z739+Z740+Z741+Z742)</f>
        <v>55547.652159999998</v>
      </c>
      <c r="X754" s="2197"/>
      <c r="Y754" s="2198"/>
      <c r="Z754" s="2209" t="str">
        <f>IF(W758=AB709,"OK","NO")</f>
        <v>OK</v>
      </c>
      <c r="AA754" s="2196"/>
      <c r="AB754" s="2210"/>
      <c r="AC754" s="2199"/>
      <c r="AD754" s="708"/>
      <c r="AE754" s="708"/>
    </row>
    <row r="755" spans="1:31" ht="16.5">
      <c r="A755" s="705"/>
      <c r="B755" s="705"/>
      <c r="C755" s="554"/>
      <c r="D755" s="554"/>
      <c r="E755" s="554"/>
      <c r="F755" s="554"/>
      <c r="G755" s="554"/>
      <c r="H755" s="554"/>
      <c r="I755" s="554"/>
      <c r="J755" s="554"/>
      <c r="K755" s="554"/>
      <c r="L755" s="554"/>
      <c r="M755" s="554"/>
      <c r="N755" s="554"/>
      <c r="O755" s="554"/>
      <c r="P755" s="707"/>
      <c r="Q755" s="707"/>
      <c r="R755" s="707"/>
      <c r="S755" s="2194"/>
      <c r="T755" s="2194"/>
      <c r="U755" s="5316" t="s">
        <v>3943</v>
      </c>
      <c r="V755" s="4638"/>
      <c r="W755" s="2385">
        <f>+Z719+Z722+Z726+Z728+Z729+Z730+Z731+Z736</f>
        <v>49465.841600000014</v>
      </c>
      <c r="X755" s="2197"/>
      <c r="Y755" s="2198"/>
      <c r="Z755" s="2209" t="str">
        <f>IF(W768=AB709,"OK","NO")</f>
        <v>OK</v>
      </c>
      <c r="AA755" s="2196"/>
      <c r="AB755" s="2210"/>
      <c r="AC755" s="2199"/>
      <c r="AD755" s="708"/>
      <c r="AE755" s="708"/>
    </row>
    <row r="756" spans="1:31" ht="16.5">
      <c r="A756" s="705"/>
      <c r="B756" s="705"/>
      <c r="C756" s="554"/>
      <c r="D756" s="554"/>
      <c r="E756" s="554"/>
      <c r="F756" s="554"/>
      <c r="G756" s="554"/>
      <c r="H756" s="554"/>
      <c r="I756" s="554"/>
      <c r="J756" s="554"/>
      <c r="K756" s="554"/>
      <c r="L756" s="554"/>
      <c r="M756" s="554"/>
      <c r="N756" s="554"/>
      <c r="O756" s="554"/>
      <c r="P756" s="707"/>
      <c r="Q756" s="707"/>
      <c r="R756" s="707"/>
      <c r="S756" s="2194"/>
      <c r="T756" s="2194"/>
      <c r="U756" s="5316" t="s">
        <v>3944</v>
      </c>
      <c r="V756" s="4638"/>
      <c r="W756" s="2385">
        <f>+Z717+Z724+Z725+Z743+Z744+Z745+Z746+Z747+Z748+Z749</f>
        <v>96093.603200000012</v>
      </c>
      <c r="X756" s="2197"/>
      <c r="Y756" s="2211"/>
      <c r="Z756" s="145" t="str">
        <f>IF(Resumen!C365=AB709,"OK","NO")</f>
        <v>OK</v>
      </c>
      <c r="AA756" s="2196"/>
      <c r="AB756" s="2210"/>
      <c r="AC756" s="2199"/>
      <c r="AD756" s="708"/>
      <c r="AE756" s="708"/>
    </row>
    <row r="757" spans="1:31" ht="16.5">
      <c r="A757" s="705"/>
      <c r="B757" s="705"/>
      <c r="C757" s="554"/>
      <c r="D757" s="554"/>
      <c r="E757" s="554"/>
      <c r="F757" s="554"/>
      <c r="G757" s="554"/>
      <c r="H757" s="554"/>
      <c r="I757" s="554"/>
      <c r="J757" s="554"/>
      <c r="K757" s="554"/>
      <c r="L757" s="554"/>
      <c r="M757" s="554"/>
      <c r="N757" s="554"/>
      <c r="O757" s="554"/>
      <c r="P757" s="707"/>
      <c r="Q757" s="707"/>
      <c r="R757" s="707"/>
      <c r="S757" s="2194"/>
      <c r="T757" s="2194"/>
      <c r="U757" s="5316" t="s">
        <v>3945</v>
      </c>
      <c r="V757" s="4638"/>
      <c r="W757" s="2386">
        <v>0</v>
      </c>
      <c r="X757" s="2197"/>
      <c r="Y757" s="2211"/>
      <c r="Z757" s="2196"/>
      <c r="AA757" s="2196"/>
      <c r="AB757" s="2210"/>
      <c r="AC757" s="2199"/>
      <c r="AD757" s="708"/>
      <c r="AE757" s="708"/>
    </row>
    <row r="758" spans="1:31" ht="16.5">
      <c r="A758" s="705"/>
      <c r="B758" s="705"/>
      <c r="C758" s="554"/>
      <c r="D758" s="554"/>
      <c r="E758" s="554"/>
      <c r="F758" s="554"/>
      <c r="G758" s="554"/>
      <c r="H758" s="554"/>
      <c r="I758" s="554"/>
      <c r="J758" s="554"/>
      <c r="K758" s="554"/>
      <c r="L758" s="554"/>
      <c r="M758" s="554"/>
      <c r="N758" s="554"/>
      <c r="O758" s="554"/>
      <c r="P758" s="707"/>
      <c r="Q758" s="707"/>
      <c r="R758" s="707"/>
      <c r="S758" s="2194"/>
      <c r="T758" s="2194"/>
      <c r="U758" s="5296" t="s">
        <v>183</v>
      </c>
      <c r="V758" s="5221"/>
      <c r="W758" s="2348">
        <f>SUM(W754:W757)</f>
        <v>201107.09696000002</v>
      </c>
      <c r="X758" s="2197"/>
      <c r="Y758" s="2211"/>
      <c r="Z758" s="2196"/>
      <c r="AA758" s="2196"/>
      <c r="AB758" s="2210"/>
      <c r="AC758" s="2199"/>
      <c r="AD758" s="708"/>
      <c r="AE758" s="708"/>
    </row>
    <row r="759" spans="1:31" ht="16.5">
      <c r="A759" s="705"/>
      <c r="B759" s="705"/>
      <c r="C759" s="554"/>
      <c r="D759" s="554"/>
      <c r="E759" s="554"/>
      <c r="F759" s="554"/>
      <c r="G759" s="554"/>
      <c r="H759" s="554"/>
      <c r="I759" s="554"/>
      <c r="J759" s="554"/>
      <c r="K759" s="554"/>
      <c r="L759" s="554"/>
      <c r="M759" s="554"/>
      <c r="N759" s="554"/>
      <c r="O759" s="554"/>
      <c r="P759" s="707"/>
      <c r="Q759" s="707"/>
      <c r="R759" s="707"/>
      <c r="S759" s="2194"/>
      <c r="T759" s="2194"/>
      <c r="U759" s="5317" t="s">
        <v>350</v>
      </c>
      <c r="V759" s="5318"/>
      <c r="W759" s="5319"/>
      <c r="X759" s="2197"/>
      <c r="Y759" s="2212"/>
      <c r="Z759" s="2196"/>
      <c r="AA759" s="2196"/>
      <c r="AB759" s="2210"/>
      <c r="AC759" s="2199"/>
      <c r="AD759" s="708"/>
      <c r="AE759" s="708"/>
    </row>
    <row r="760" spans="1:31" ht="16.5">
      <c r="A760" s="705"/>
      <c r="B760" s="705"/>
      <c r="C760" s="554"/>
      <c r="D760" s="554"/>
      <c r="E760" s="554"/>
      <c r="F760" s="554"/>
      <c r="G760" s="554"/>
      <c r="H760" s="554"/>
      <c r="I760" s="554"/>
      <c r="J760" s="554"/>
      <c r="K760" s="554"/>
      <c r="L760" s="554"/>
      <c r="M760" s="554"/>
      <c r="N760" s="554"/>
      <c r="O760" s="554"/>
      <c r="P760" s="707"/>
      <c r="Q760" s="707"/>
      <c r="R760" s="707"/>
      <c r="S760" s="2194"/>
      <c r="T760" s="2194"/>
      <c r="U760" s="5297" t="s">
        <v>3946</v>
      </c>
      <c r="V760" s="4636"/>
      <c r="W760" s="2384">
        <v>0</v>
      </c>
      <c r="X760" s="2197"/>
      <c r="Y760" s="2212"/>
      <c r="Z760" s="2196"/>
      <c r="AA760" s="2196"/>
      <c r="AB760" s="2210"/>
      <c r="AC760" s="2199"/>
      <c r="AD760" s="708"/>
      <c r="AE760" s="708"/>
    </row>
    <row r="761" spans="1:31" ht="16.5">
      <c r="A761" s="705"/>
      <c r="B761" s="705"/>
      <c r="C761" s="554"/>
      <c r="D761" s="554"/>
      <c r="E761" s="554"/>
      <c r="F761" s="554"/>
      <c r="G761" s="554"/>
      <c r="H761" s="554"/>
      <c r="I761" s="554"/>
      <c r="J761" s="554"/>
      <c r="K761" s="554"/>
      <c r="L761" s="554"/>
      <c r="M761" s="554"/>
      <c r="N761" s="554"/>
      <c r="O761" s="554"/>
      <c r="P761" s="707"/>
      <c r="Q761" s="707"/>
      <c r="R761" s="707"/>
      <c r="S761" s="2194"/>
      <c r="T761" s="2194"/>
      <c r="U761" s="5298" t="s">
        <v>3947</v>
      </c>
      <c r="V761" s="4638"/>
      <c r="W761" s="2385">
        <f>+SUM(Z715:Z742)</f>
        <v>118166.77375999998</v>
      </c>
      <c r="X761" s="2197"/>
      <c r="Y761" s="2212"/>
      <c r="Z761" s="2196"/>
      <c r="AA761" s="2196"/>
      <c r="AB761" s="2210"/>
      <c r="AC761" s="2199"/>
      <c r="AD761" s="708"/>
      <c r="AE761" s="708"/>
    </row>
    <row r="762" spans="1:31" ht="16.5">
      <c r="A762" s="705"/>
      <c r="B762" s="705"/>
      <c r="C762" s="554"/>
      <c r="D762" s="554"/>
      <c r="E762" s="554"/>
      <c r="F762" s="554"/>
      <c r="G762" s="554"/>
      <c r="H762" s="554"/>
      <c r="I762" s="554"/>
      <c r="J762" s="554"/>
      <c r="K762" s="554"/>
      <c r="L762" s="554"/>
      <c r="M762" s="554"/>
      <c r="N762" s="554"/>
      <c r="O762" s="554"/>
      <c r="P762" s="707"/>
      <c r="Q762" s="707"/>
      <c r="R762" s="707"/>
      <c r="S762" s="2194"/>
      <c r="T762" s="2194"/>
      <c r="U762" s="5298" t="s">
        <v>3948</v>
      </c>
      <c r="V762" s="4638"/>
      <c r="W762" s="2385">
        <v>0</v>
      </c>
      <c r="X762" s="2197"/>
      <c r="Y762" s="2213"/>
      <c r="Z762" s="2196"/>
      <c r="AA762" s="2196"/>
      <c r="AB762" s="2210"/>
      <c r="AC762" s="2199"/>
      <c r="AD762" s="708"/>
      <c r="AE762" s="708"/>
    </row>
    <row r="763" spans="1:31" ht="16.5">
      <c r="A763" s="705"/>
      <c r="B763" s="705"/>
      <c r="C763" s="554"/>
      <c r="D763" s="554"/>
      <c r="E763" s="554"/>
      <c r="F763" s="554"/>
      <c r="G763" s="554"/>
      <c r="H763" s="554"/>
      <c r="I763" s="554"/>
      <c r="J763" s="554"/>
      <c r="K763" s="554"/>
      <c r="L763" s="554"/>
      <c r="M763" s="554"/>
      <c r="N763" s="554"/>
      <c r="O763" s="554"/>
      <c r="P763" s="554"/>
      <c r="Q763" s="707"/>
      <c r="R763" s="707"/>
      <c r="S763" s="2194"/>
      <c r="T763" s="2194"/>
      <c r="U763" s="5298" t="s">
        <v>3949</v>
      </c>
      <c r="V763" s="4638"/>
      <c r="W763" s="2385">
        <v>0</v>
      </c>
      <c r="X763" s="2197"/>
      <c r="Y763" s="2211"/>
      <c r="Z763" s="2196"/>
      <c r="AA763" s="2195"/>
      <c r="AB763" s="2195"/>
      <c r="AC763" s="2199"/>
      <c r="AD763" s="708"/>
      <c r="AE763" s="708"/>
    </row>
    <row r="764" spans="1:31" ht="15.75" customHeight="1">
      <c r="A764" s="705"/>
      <c r="B764" s="705"/>
      <c r="C764" s="554"/>
      <c r="D764" s="554"/>
      <c r="E764" s="554"/>
      <c r="F764" s="554"/>
      <c r="G764" s="554"/>
      <c r="H764" s="554"/>
      <c r="I764" s="554"/>
      <c r="J764" s="554"/>
      <c r="K764" s="554"/>
      <c r="L764" s="554"/>
      <c r="M764" s="554"/>
      <c r="N764" s="554"/>
      <c r="O764" s="554"/>
      <c r="P764" s="554"/>
      <c r="Q764" s="707"/>
      <c r="R764" s="707"/>
      <c r="S764" s="2194"/>
      <c r="T764" s="2194"/>
      <c r="U764" s="5298" t="s">
        <v>3950</v>
      </c>
      <c r="V764" s="4638"/>
      <c r="W764" s="2385">
        <v>0</v>
      </c>
      <c r="X764" s="2197"/>
      <c r="Y764" s="2214"/>
      <c r="Z764" s="2215"/>
      <c r="AA764" s="2215"/>
      <c r="AB764" s="2215"/>
      <c r="AC764" s="2199"/>
      <c r="AD764" s="708"/>
      <c r="AE764" s="708"/>
    </row>
    <row r="765" spans="1:31" ht="16.5">
      <c r="A765" s="705"/>
      <c r="B765" s="705"/>
      <c r="C765" s="554"/>
      <c r="D765" s="554"/>
      <c r="E765" s="554"/>
      <c r="F765" s="554"/>
      <c r="G765" s="554"/>
      <c r="H765" s="554"/>
      <c r="I765" s="554"/>
      <c r="J765" s="554"/>
      <c r="K765" s="554"/>
      <c r="L765" s="554"/>
      <c r="M765" s="554"/>
      <c r="N765" s="554"/>
      <c r="O765" s="554"/>
      <c r="P765" s="554"/>
      <c r="Q765" s="707"/>
      <c r="R765" s="707"/>
      <c r="S765" s="2194"/>
      <c r="T765" s="2194"/>
      <c r="U765" s="5298" t="s">
        <v>3951</v>
      </c>
      <c r="V765" s="4638"/>
      <c r="W765" s="2385">
        <v>0</v>
      </c>
      <c r="X765" s="2197"/>
      <c r="Y765" s="2214"/>
      <c r="Z765" s="2215"/>
      <c r="AA765" s="2198"/>
      <c r="AB765" s="2217"/>
      <c r="AC765" s="2199"/>
      <c r="AD765" s="708"/>
      <c r="AE765" s="708"/>
    </row>
    <row r="766" spans="1:31" ht="16.5">
      <c r="A766" s="705"/>
      <c r="B766" s="705"/>
      <c r="C766" s="554"/>
      <c r="D766" s="554"/>
      <c r="E766" s="554"/>
      <c r="F766" s="554"/>
      <c r="G766" s="554"/>
      <c r="H766" s="554"/>
      <c r="I766" s="554"/>
      <c r="J766" s="554"/>
      <c r="K766" s="554"/>
      <c r="L766" s="554"/>
      <c r="M766" s="554"/>
      <c r="N766" s="554"/>
      <c r="O766" s="554"/>
      <c r="P766" s="554"/>
      <c r="Q766" s="707"/>
      <c r="R766" s="707"/>
      <c r="S766" s="2194"/>
      <c r="T766" s="2194"/>
      <c r="U766" s="5298" t="s">
        <v>3952</v>
      </c>
      <c r="V766" s="4638"/>
      <c r="W766" s="2385">
        <f>+SUM(Z743:Z749)</f>
        <v>82940.323200000013</v>
      </c>
      <c r="X766" s="2197"/>
      <c r="Y766" s="2214"/>
      <c r="Z766" s="2216"/>
      <c r="AA766" s="2194"/>
      <c r="AB766" s="2210"/>
      <c r="AC766" s="2199"/>
      <c r="AD766" s="708"/>
      <c r="AE766" s="708"/>
    </row>
    <row r="767" spans="1:31" ht="16.5">
      <c r="A767" s="705"/>
      <c r="B767" s="705"/>
      <c r="C767" s="554"/>
      <c r="D767" s="554"/>
      <c r="E767" s="554"/>
      <c r="F767" s="554"/>
      <c r="G767" s="554"/>
      <c r="H767" s="554"/>
      <c r="I767" s="554"/>
      <c r="J767" s="554"/>
      <c r="K767" s="554"/>
      <c r="L767" s="554"/>
      <c r="M767" s="554"/>
      <c r="N767" s="554"/>
      <c r="O767" s="554"/>
      <c r="P767" s="554"/>
      <c r="Q767" s="707"/>
      <c r="R767" s="707"/>
      <c r="S767" s="2194"/>
      <c r="T767" s="2194"/>
      <c r="U767" s="5298" t="s">
        <v>3953</v>
      </c>
      <c r="V767" s="4638"/>
      <c r="W767" s="2386">
        <v>0</v>
      </c>
      <c r="X767" s="2197"/>
      <c r="Y767" s="2218"/>
      <c r="Z767" s="2194"/>
      <c r="AA767" s="2196"/>
      <c r="AB767" s="2210"/>
      <c r="AC767" s="2199"/>
      <c r="AD767" s="708"/>
      <c r="AE767" s="708"/>
    </row>
    <row r="768" spans="1:31" ht="17.25" thickBot="1">
      <c r="A768" s="705"/>
      <c r="B768" s="705"/>
      <c r="C768" s="554"/>
      <c r="D768" s="554"/>
      <c r="E768" s="554"/>
      <c r="F768" s="554"/>
      <c r="G768" s="554"/>
      <c r="H768" s="554"/>
      <c r="I768" s="554"/>
      <c r="J768" s="554"/>
      <c r="K768" s="554"/>
      <c r="L768" s="554"/>
      <c r="M768" s="554"/>
      <c r="N768" s="554"/>
      <c r="O768" s="554"/>
      <c r="P768" s="554"/>
      <c r="Q768" s="707"/>
      <c r="R768" s="707"/>
      <c r="S768" s="2194"/>
      <c r="T768" s="2194"/>
      <c r="U768" s="5299" t="s">
        <v>183</v>
      </c>
      <c r="V768" s="5300"/>
      <c r="W768" s="2349">
        <f>SUM(W760:W767)</f>
        <v>201107.09696</v>
      </c>
      <c r="X768" s="2197"/>
      <c r="Y768" s="2213"/>
      <c r="Z768" s="2196"/>
      <c r="AA768" s="2196"/>
      <c r="AB768" s="2210"/>
      <c r="AC768" s="2199"/>
      <c r="AD768" s="708"/>
      <c r="AE768" s="708"/>
    </row>
    <row r="769" spans="1:32" ht="17.25" thickTop="1">
      <c r="A769" s="705"/>
      <c r="B769" s="705"/>
      <c r="C769" s="554"/>
      <c r="D769" s="554"/>
      <c r="E769" s="554"/>
      <c r="F769" s="554"/>
      <c r="G769" s="554"/>
      <c r="H769" s="554"/>
      <c r="I769" s="554"/>
      <c r="J769" s="554"/>
      <c r="K769" s="554"/>
      <c r="L769" s="554"/>
      <c r="M769" s="554"/>
      <c r="N769" s="554"/>
      <c r="O769" s="554"/>
      <c r="P769" s="554"/>
      <c r="Q769" s="707"/>
      <c r="R769" s="707"/>
      <c r="S769" s="2194"/>
      <c r="T769" s="2194"/>
      <c r="U769" s="2196"/>
      <c r="V769" s="2196"/>
      <c r="W769" s="2219"/>
      <c r="X769" s="2197"/>
      <c r="Y769" s="2198"/>
      <c r="Z769" s="2196"/>
      <c r="AA769" s="2196"/>
      <c r="AB769" s="2210"/>
      <c r="AC769" s="2199"/>
      <c r="AD769" s="708"/>
      <c r="AE769" s="708"/>
    </row>
    <row r="770" spans="1:32" ht="16.5">
      <c r="A770" s="705"/>
      <c r="B770" s="705"/>
      <c r="C770" s="554"/>
      <c r="D770" s="554"/>
      <c r="E770" s="554"/>
      <c r="F770" s="554"/>
      <c r="G770" s="554"/>
      <c r="H770" s="554"/>
      <c r="I770" s="554"/>
      <c r="J770" s="554"/>
      <c r="K770" s="554"/>
      <c r="L770" s="554"/>
      <c r="M770" s="554"/>
      <c r="N770" s="554"/>
      <c r="O770" s="554"/>
      <c r="P770" s="554"/>
      <c r="Q770" s="707"/>
      <c r="R770" s="707"/>
      <c r="S770" s="2194"/>
      <c r="T770" s="2194"/>
      <c r="U770" s="2195"/>
      <c r="V770" s="2196"/>
      <c r="W770" s="2196"/>
      <c r="X770" s="2219"/>
      <c r="Y770" s="2197"/>
      <c r="Z770" s="2198"/>
      <c r="AA770" s="2196"/>
      <c r="AB770" s="2195"/>
      <c r="AC770" s="2195"/>
      <c r="AD770" s="2220"/>
      <c r="AE770" s="708"/>
      <c r="AF770" s="708"/>
    </row>
    <row r="771" spans="1:32" ht="15.75" customHeight="1">
      <c r="S771" s="2195"/>
      <c r="T771" s="2195"/>
      <c r="U771" s="2195"/>
      <c r="V771" s="2195"/>
      <c r="W771" s="2195"/>
      <c r="X771" s="2195"/>
      <c r="Y771" s="2195"/>
      <c r="Z771" s="2195"/>
      <c r="AA771" s="2195"/>
      <c r="AB771" s="2195"/>
      <c r="AC771" s="2195"/>
      <c r="AD771" s="2195"/>
    </row>
    <row r="772" spans="1:32" ht="15.75" customHeight="1">
      <c r="S772" s="2195"/>
      <c r="T772" s="2195"/>
      <c r="U772" s="2195"/>
      <c r="V772" s="2195"/>
      <c r="W772" s="2195"/>
      <c r="X772" s="2195"/>
      <c r="Y772" s="2195"/>
      <c r="Z772" s="2195"/>
      <c r="AA772" s="2195"/>
      <c r="AB772" s="2195"/>
      <c r="AC772" s="2195"/>
      <c r="AD772" s="2195"/>
    </row>
    <row r="773" spans="1:32" ht="15.75" customHeight="1">
      <c r="S773" s="2195"/>
      <c r="T773" s="2195"/>
      <c r="U773" s="2195"/>
      <c r="V773" s="2195"/>
      <c r="W773" s="2195"/>
      <c r="X773" s="2195"/>
      <c r="Y773" s="2195"/>
      <c r="Z773" s="2195"/>
      <c r="AA773" s="2195"/>
      <c r="AB773" s="2195"/>
      <c r="AC773" s="2195"/>
      <c r="AD773" s="2195"/>
    </row>
    <row r="774" spans="1:32" ht="15.75" customHeight="1">
      <c r="S774" s="2195"/>
      <c r="T774" s="2195"/>
      <c r="U774" s="2195"/>
      <c r="V774" s="2195"/>
      <c r="W774" s="2195"/>
      <c r="X774" s="2195"/>
      <c r="Y774" s="2195"/>
      <c r="Z774" s="2195"/>
      <c r="AA774" s="2195"/>
      <c r="AB774" s="2195"/>
      <c r="AC774" s="2195"/>
      <c r="AD774" s="2195"/>
    </row>
    <row r="775" spans="1:32" ht="15.75" customHeight="1">
      <c r="S775" s="2195"/>
      <c r="T775" s="2195"/>
      <c r="U775" s="2195"/>
      <c r="V775" s="2195"/>
      <c r="W775" s="2195"/>
      <c r="X775" s="2195"/>
      <c r="Y775" s="2195"/>
      <c r="Z775" s="2195"/>
      <c r="AA775" s="2195"/>
      <c r="AB775" s="2195"/>
      <c r="AC775" s="2195"/>
      <c r="AD775" s="2195"/>
    </row>
    <row r="776" spans="1:32" ht="15.75" customHeight="1">
      <c r="S776" s="2195"/>
      <c r="T776" s="2195"/>
      <c r="U776" s="2195"/>
      <c r="V776" s="2195"/>
      <c r="W776" s="2195"/>
      <c r="X776" s="2195"/>
      <c r="Y776" s="2195"/>
      <c r="Z776" s="2195"/>
      <c r="AA776" s="2195"/>
      <c r="AB776" s="2195"/>
      <c r="AC776" s="2195"/>
      <c r="AD776" s="2195"/>
    </row>
    <row r="777" spans="1:32" ht="15.75" customHeight="1">
      <c r="S777" s="2195"/>
      <c r="T777" s="2195"/>
      <c r="U777" s="2195"/>
      <c r="V777" s="2195"/>
      <c r="W777" s="2195"/>
      <c r="X777" s="2195"/>
      <c r="Y777" s="2195"/>
      <c r="Z777" s="2195"/>
      <c r="AA777" s="2195"/>
      <c r="AB777" s="2195"/>
      <c r="AC777" s="2195"/>
      <c r="AD777" s="2195"/>
    </row>
    <row r="778" spans="1:32" ht="15.75" customHeight="1">
      <c r="S778" s="2195"/>
      <c r="T778" s="2195"/>
      <c r="U778" s="2195"/>
      <c r="V778" s="2195"/>
      <c r="W778" s="2195"/>
      <c r="X778" s="2195"/>
      <c r="Y778" s="2195"/>
      <c r="Z778" s="2195"/>
      <c r="AA778" s="2195"/>
      <c r="AB778" s="2195"/>
      <c r="AC778" s="2195"/>
      <c r="AD778" s="2195"/>
    </row>
    <row r="779" spans="1:32" ht="15.75" customHeight="1">
      <c r="S779" s="2195"/>
      <c r="T779" s="2195"/>
      <c r="U779" s="2195"/>
      <c r="V779" s="2195"/>
      <c r="W779" s="2195"/>
      <c r="X779" s="2195"/>
      <c r="Y779" s="2195"/>
      <c r="Z779" s="2195"/>
      <c r="AA779" s="2195"/>
      <c r="AB779" s="2195"/>
      <c r="AC779" s="2195"/>
      <c r="AD779" s="2195"/>
    </row>
    <row r="780" spans="1:32" ht="15.75" customHeight="1">
      <c r="S780" s="2195"/>
      <c r="T780" s="2195"/>
      <c r="U780" s="2195"/>
      <c r="V780" s="2195"/>
      <c r="W780" s="2195"/>
      <c r="X780" s="2195"/>
      <c r="Y780" s="2195"/>
      <c r="Z780" s="2195"/>
      <c r="AA780" s="2195"/>
      <c r="AB780" s="2195"/>
      <c r="AC780" s="2195"/>
      <c r="AD780" s="2195"/>
    </row>
    <row r="781" spans="1:32" ht="15.75" customHeight="1">
      <c r="S781" s="2195"/>
      <c r="T781" s="2195"/>
      <c r="U781" s="2195"/>
      <c r="V781" s="2195"/>
      <c r="W781" s="2195"/>
      <c r="X781" s="2195"/>
      <c r="Y781" s="2195"/>
      <c r="Z781" s="2195"/>
      <c r="AA781" s="2195"/>
      <c r="AB781" s="2195"/>
      <c r="AC781" s="2195"/>
      <c r="AD781" s="2195"/>
    </row>
    <row r="782" spans="1:32" ht="15.75" customHeight="1">
      <c r="V782" s="2195"/>
      <c r="W782" s="2195"/>
      <c r="X782" s="2195"/>
      <c r="Y782" s="2195"/>
      <c r="Z782" s="2195"/>
      <c r="AA782" s="2195"/>
    </row>
  </sheetData>
  <mergeCells count="1997">
    <mergeCell ref="L142:L146"/>
    <mergeCell ref="M142:M146"/>
    <mergeCell ref="N142:N146"/>
    <mergeCell ref="O142:O146"/>
    <mergeCell ref="P142:P146"/>
    <mergeCell ref="Q142:Q146"/>
    <mergeCell ref="R142:R146"/>
    <mergeCell ref="AF142:AF146"/>
    <mergeCell ref="E142:E146"/>
    <mergeCell ref="F142:F146"/>
    <mergeCell ref="G142:G146"/>
    <mergeCell ref="H142:H146"/>
    <mergeCell ref="I142:I146"/>
    <mergeCell ref="J142:J146"/>
    <mergeCell ref="K142:K146"/>
    <mergeCell ref="L147:L151"/>
    <mergeCell ref="M147:M151"/>
    <mergeCell ref="P147:P151"/>
    <mergeCell ref="Q147:Q151"/>
    <mergeCell ref="E163:E167"/>
    <mergeCell ref="F163:F167"/>
    <mergeCell ref="G163:G167"/>
    <mergeCell ref="H163:H167"/>
    <mergeCell ref="I163:I167"/>
    <mergeCell ref="J163:J167"/>
    <mergeCell ref="K163:K167"/>
    <mergeCell ref="L168:L172"/>
    <mergeCell ref="M168:M172"/>
    <mergeCell ref="N168:N172"/>
    <mergeCell ref="O168:O172"/>
    <mergeCell ref="P168:P172"/>
    <mergeCell ref="Q168:Q172"/>
    <mergeCell ref="R168:R172"/>
    <mergeCell ref="AF168:AF172"/>
    <mergeCell ref="E168:E172"/>
    <mergeCell ref="F168:F172"/>
    <mergeCell ref="G168:G172"/>
    <mergeCell ref="H168:H172"/>
    <mergeCell ref="I168:I172"/>
    <mergeCell ref="J168:J172"/>
    <mergeCell ref="K168:K172"/>
    <mergeCell ref="R152:R157"/>
    <mergeCell ref="AF152:AF157"/>
    <mergeCell ref="E152:E157"/>
    <mergeCell ref="F152:F157"/>
    <mergeCell ref="G152:G157"/>
    <mergeCell ref="H152:H157"/>
    <mergeCell ref="I152:I157"/>
    <mergeCell ref="J152:J157"/>
    <mergeCell ref="K152:K157"/>
    <mergeCell ref="L173:L177"/>
    <mergeCell ref="M173:M177"/>
    <mergeCell ref="N173:N177"/>
    <mergeCell ref="O173:O177"/>
    <mergeCell ref="P173:P177"/>
    <mergeCell ref="Q173:Q177"/>
    <mergeCell ref="R173:R177"/>
    <mergeCell ref="AF173:AF177"/>
    <mergeCell ref="E173:E177"/>
    <mergeCell ref="F173:F177"/>
    <mergeCell ref="G173:G177"/>
    <mergeCell ref="H173:H177"/>
    <mergeCell ref="I173:I177"/>
    <mergeCell ref="J173:J177"/>
    <mergeCell ref="K173:K177"/>
    <mergeCell ref="L163:L167"/>
    <mergeCell ref="M163:M167"/>
    <mergeCell ref="N163:N167"/>
    <mergeCell ref="O163:O167"/>
    <mergeCell ref="P163:P167"/>
    <mergeCell ref="Q163:Q167"/>
    <mergeCell ref="R163:R167"/>
    <mergeCell ref="AF163:AF167"/>
    <mergeCell ref="L282:L286"/>
    <mergeCell ref="M282:M286"/>
    <mergeCell ref="N282:N286"/>
    <mergeCell ref="O282:O286"/>
    <mergeCell ref="P282:P286"/>
    <mergeCell ref="Q282:Q286"/>
    <mergeCell ref="R282:R286"/>
    <mergeCell ref="L287:L291"/>
    <mergeCell ref="M287:M291"/>
    <mergeCell ref="N287:N291"/>
    <mergeCell ref="O287:O291"/>
    <mergeCell ref="P287:P291"/>
    <mergeCell ref="Q287:Q291"/>
    <mergeCell ref="R287:R291"/>
    <mergeCell ref="R189:R193"/>
    <mergeCell ref="AF189:AF193"/>
    <mergeCell ref="AF194:AF198"/>
    <mergeCell ref="L230:L234"/>
    <mergeCell ref="M235:M244"/>
    <mergeCell ref="N235:N244"/>
    <mergeCell ref="O235:O244"/>
    <mergeCell ref="P235:P244"/>
    <mergeCell ref="Q235:Q244"/>
    <mergeCell ref="R235:R244"/>
    <mergeCell ref="L235:L244"/>
    <mergeCell ref="M245:M256"/>
    <mergeCell ref="N245:N256"/>
    <mergeCell ref="O245:O256"/>
    <mergeCell ref="P245:P256"/>
    <mergeCell ref="Q245:Q256"/>
    <mergeCell ref="R245:R256"/>
    <mergeCell ref="L219:L229"/>
    <mergeCell ref="L297:L301"/>
    <mergeCell ref="M297:M301"/>
    <mergeCell ref="N297:N301"/>
    <mergeCell ref="O297:O301"/>
    <mergeCell ref="P297:P301"/>
    <mergeCell ref="Q297:Q301"/>
    <mergeCell ref="R297:R301"/>
    <mergeCell ref="C302:R302"/>
    <mergeCell ref="L292:L296"/>
    <mergeCell ref="M292:M296"/>
    <mergeCell ref="N292:N296"/>
    <mergeCell ref="O292:O296"/>
    <mergeCell ref="P292:P296"/>
    <mergeCell ref="Q292:Q296"/>
    <mergeCell ref="R292:R296"/>
    <mergeCell ref="AF230:AF234"/>
    <mergeCell ref="AF235:AF244"/>
    <mergeCell ref="AF245:AF256"/>
    <mergeCell ref="AF257:AF266"/>
    <mergeCell ref="AF267:AF281"/>
    <mergeCell ref="AF282:AF286"/>
    <mergeCell ref="AF287:AF291"/>
    <mergeCell ref="M230:M234"/>
    <mergeCell ref="N230:N234"/>
    <mergeCell ref="O230:O234"/>
    <mergeCell ref="P230:P234"/>
    <mergeCell ref="Q230:Q234"/>
    <mergeCell ref="R230:R234"/>
    <mergeCell ref="L245:L256"/>
    <mergeCell ref="L257:L266"/>
    <mergeCell ref="M257:M266"/>
    <mergeCell ref="N257:N266"/>
    <mergeCell ref="AF303:AF307"/>
    <mergeCell ref="AF308:AF312"/>
    <mergeCell ref="AF313:AF317"/>
    <mergeCell ref="AF318:AF322"/>
    <mergeCell ref="AF323:AF327"/>
    <mergeCell ref="AF328:AF332"/>
    <mergeCell ref="AF333:AF337"/>
    <mergeCell ref="AF338:AF342"/>
    <mergeCell ref="AF343:AF347"/>
    <mergeCell ref="AF348:AF352"/>
    <mergeCell ref="AF353:AF357"/>
    <mergeCell ref="AF358:AF362"/>
    <mergeCell ref="AF364:AF368"/>
    <mergeCell ref="AF369:AF373"/>
    <mergeCell ref="AF374:AF378"/>
    <mergeCell ref="AF379:AF383"/>
    <mergeCell ref="AF384:AF388"/>
    <mergeCell ref="AF389:AF393"/>
    <mergeCell ref="AF394:AF398"/>
    <mergeCell ref="AF399:AF403"/>
    <mergeCell ref="AF405:AF409"/>
    <mergeCell ref="AF410:AF414"/>
    <mergeCell ref="AF415:AF419"/>
    <mergeCell ref="AF420:AF424"/>
    <mergeCell ref="AF425:AF429"/>
    <mergeCell ref="AF430:AF434"/>
    <mergeCell ref="AF435:AF439"/>
    <mergeCell ref="AF440:AF444"/>
    <mergeCell ref="AF481:AF485"/>
    <mergeCell ref="AF486:AF490"/>
    <mergeCell ref="AF491:AF495"/>
    <mergeCell ref="AF445:AF449"/>
    <mergeCell ref="AF450:AF454"/>
    <mergeCell ref="AF455:AF459"/>
    <mergeCell ref="AF460:AF464"/>
    <mergeCell ref="AF465:AF469"/>
    <mergeCell ref="AF470:AF474"/>
    <mergeCell ref="AF475:AF479"/>
    <mergeCell ref="Q333:Q337"/>
    <mergeCell ref="R333:R337"/>
    <mergeCell ref="C363:R363"/>
    <mergeCell ref="C404:R404"/>
    <mergeCell ref="C480:R480"/>
    <mergeCell ref="L338:L342"/>
    <mergeCell ref="M338:M342"/>
    <mergeCell ref="N338:N342"/>
    <mergeCell ref="O338:O342"/>
    <mergeCell ref="P338:P342"/>
    <mergeCell ref="Q338:Q342"/>
    <mergeCell ref="R338:R342"/>
    <mergeCell ref="L415:L419"/>
    <mergeCell ref="M415:M419"/>
    <mergeCell ref="N415:N419"/>
    <mergeCell ref="O415:O419"/>
    <mergeCell ref="P415:P419"/>
    <mergeCell ref="Q415:Q419"/>
    <mergeCell ref="R415:R419"/>
    <mergeCell ref="L420:L424"/>
    <mergeCell ref="M420:M424"/>
    <mergeCell ref="N420:N424"/>
    <mergeCell ref="O420:O424"/>
    <mergeCell ref="P420:P424"/>
    <mergeCell ref="Q420:Q424"/>
    <mergeCell ref="R420:R424"/>
    <mergeCell ref="L425:L429"/>
    <mergeCell ref="M425:M429"/>
    <mergeCell ref="N425:N429"/>
    <mergeCell ref="O425:O429"/>
    <mergeCell ref="P425:P429"/>
    <mergeCell ref="Q425:Q429"/>
    <mergeCell ref="R425:R429"/>
    <mergeCell ref="L430:L434"/>
    <mergeCell ref="M430:M434"/>
    <mergeCell ref="N430:N434"/>
    <mergeCell ref="O430:O434"/>
    <mergeCell ref="P430:P434"/>
    <mergeCell ref="Q430:Q434"/>
    <mergeCell ref="R430:R434"/>
    <mergeCell ref="L435:L439"/>
    <mergeCell ref="M435:M439"/>
    <mergeCell ref="N435:N439"/>
    <mergeCell ref="O435:O439"/>
    <mergeCell ref="P435:P439"/>
    <mergeCell ref="Q435:Q439"/>
    <mergeCell ref="R435:R439"/>
    <mergeCell ref="L440:L444"/>
    <mergeCell ref="M440:M444"/>
    <mergeCell ref="N440:N444"/>
    <mergeCell ref="O440:O444"/>
    <mergeCell ref="P440:P444"/>
    <mergeCell ref="Q440:Q444"/>
    <mergeCell ref="R440:R444"/>
    <mergeCell ref="L445:L449"/>
    <mergeCell ref="M445:M449"/>
    <mergeCell ref="N445:N449"/>
    <mergeCell ref="O445:O449"/>
    <mergeCell ref="P445:P449"/>
    <mergeCell ref="Q445:Q449"/>
    <mergeCell ref="R445:R449"/>
    <mergeCell ref="L486:L490"/>
    <mergeCell ref="M486:M490"/>
    <mergeCell ref="N486:N490"/>
    <mergeCell ref="O486:O490"/>
    <mergeCell ref="P486:P490"/>
    <mergeCell ref="Q486:Q490"/>
    <mergeCell ref="R486:R490"/>
    <mergeCell ref="L450:L454"/>
    <mergeCell ref="M450:M454"/>
    <mergeCell ref="N450:N454"/>
    <mergeCell ref="O450:O454"/>
    <mergeCell ref="P450:P454"/>
    <mergeCell ref="Q450:Q454"/>
    <mergeCell ref="R450:R454"/>
    <mergeCell ref="L455:L459"/>
    <mergeCell ref="M455:M459"/>
    <mergeCell ref="N455:N459"/>
    <mergeCell ref="O455:O459"/>
    <mergeCell ref="P455:P459"/>
    <mergeCell ref="Q455:Q459"/>
    <mergeCell ref="R455:R459"/>
    <mergeCell ref="L460:L464"/>
    <mergeCell ref="M460:M464"/>
    <mergeCell ref="N460:N464"/>
    <mergeCell ref="O460:O464"/>
    <mergeCell ref="P460:P464"/>
    <mergeCell ref="Q460:Q464"/>
    <mergeCell ref="R460:R464"/>
    <mergeCell ref="L475:L479"/>
    <mergeCell ref="M475:M479"/>
    <mergeCell ref="N475:N479"/>
    <mergeCell ref="O475:O479"/>
    <mergeCell ref="P475:P479"/>
    <mergeCell ref="Q475:Q479"/>
    <mergeCell ref="R475:R479"/>
    <mergeCell ref="L481:L485"/>
    <mergeCell ref="M481:M485"/>
    <mergeCell ref="N481:N485"/>
    <mergeCell ref="O481:O485"/>
    <mergeCell ref="P481:P485"/>
    <mergeCell ref="Q481:Q485"/>
    <mergeCell ref="R481:R485"/>
    <mergeCell ref="L465:L469"/>
    <mergeCell ref="M465:M469"/>
    <mergeCell ref="N465:N469"/>
    <mergeCell ref="O465:O469"/>
    <mergeCell ref="P465:P469"/>
    <mergeCell ref="Q465:Q469"/>
    <mergeCell ref="R465:R469"/>
    <mergeCell ref="L470:L474"/>
    <mergeCell ref="M470:M474"/>
    <mergeCell ref="N470:N474"/>
    <mergeCell ref="O470:O474"/>
    <mergeCell ref="P470:P474"/>
    <mergeCell ref="Q470:Q474"/>
    <mergeCell ref="R470:R474"/>
    <mergeCell ref="AF541:AF545"/>
    <mergeCell ref="AF546:AF550"/>
    <mergeCell ref="AF551:AF555"/>
    <mergeCell ref="AF496:AF500"/>
    <mergeCell ref="AF501:AF505"/>
    <mergeCell ref="AF506:AF510"/>
    <mergeCell ref="AF511:AF515"/>
    <mergeCell ref="AF516:AF520"/>
    <mergeCell ref="AF521:AF525"/>
    <mergeCell ref="AF526:AF530"/>
    <mergeCell ref="AF557:AF561"/>
    <mergeCell ref="AF562:AF566"/>
    <mergeCell ref="AF567:AF571"/>
    <mergeCell ref="L491:L495"/>
    <mergeCell ref="M491:M495"/>
    <mergeCell ref="N491:N495"/>
    <mergeCell ref="O491:O495"/>
    <mergeCell ref="P491:P495"/>
    <mergeCell ref="Q491:Q495"/>
    <mergeCell ref="R491:R495"/>
    <mergeCell ref="O506:O510"/>
    <mergeCell ref="P506:P510"/>
    <mergeCell ref="Q506:Q510"/>
    <mergeCell ref="R506:R510"/>
    <mergeCell ref="L511:L515"/>
    <mergeCell ref="M511:M515"/>
    <mergeCell ref="N511:N515"/>
    <mergeCell ref="O511:O515"/>
    <mergeCell ref="P511:P515"/>
    <mergeCell ref="Q511:Q515"/>
    <mergeCell ref="R511:R515"/>
    <mergeCell ref="L516:L520"/>
    <mergeCell ref="AF572:AF576"/>
    <mergeCell ref="AF577:AF581"/>
    <mergeCell ref="AF582:AF586"/>
    <mergeCell ref="AF587:AF591"/>
    <mergeCell ref="AF627:AF631"/>
    <mergeCell ref="AF592:AF596"/>
    <mergeCell ref="AF597:AF601"/>
    <mergeCell ref="AF602:AF606"/>
    <mergeCell ref="AF607:AF611"/>
    <mergeCell ref="AF612:AF616"/>
    <mergeCell ref="AF617:AF621"/>
    <mergeCell ref="AF622:AF626"/>
    <mergeCell ref="AF633:AF637"/>
    <mergeCell ref="L496:L500"/>
    <mergeCell ref="M496:M500"/>
    <mergeCell ref="N496:N500"/>
    <mergeCell ref="O496:O500"/>
    <mergeCell ref="P496:P500"/>
    <mergeCell ref="Q496:Q500"/>
    <mergeCell ref="R496:R500"/>
    <mergeCell ref="L501:L505"/>
    <mergeCell ref="M501:M505"/>
    <mergeCell ref="N501:N505"/>
    <mergeCell ref="O501:O505"/>
    <mergeCell ref="P501:P505"/>
    <mergeCell ref="Q501:Q505"/>
    <mergeCell ref="R501:R505"/>
    <mergeCell ref="L506:L510"/>
    <mergeCell ref="M506:M510"/>
    <mergeCell ref="N506:N510"/>
    <mergeCell ref="AF531:AF535"/>
    <mergeCell ref="AF536:AF540"/>
    <mergeCell ref="M516:M520"/>
    <mergeCell ref="N516:N520"/>
    <mergeCell ref="O516:O520"/>
    <mergeCell ref="P516:P520"/>
    <mergeCell ref="Q516:Q520"/>
    <mergeCell ref="R516:R520"/>
    <mergeCell ref="L521:L525"/>
    <mergeCell ref="M521:M525"/>
    <mergeCell ref="N521:N525"/>
    <mergeCell ref="O521:O525"/>
    <mergeCell ref="P521:P525"/>
    <mergeCell ref="Q521:Q525"/>
    <mergeCell ref="R521:R525"/>
    <mergeCell ref="L526:L530"/>
    <mergeCell ref="M526:M530"/>
    <mergeCell ref="N526:N530"/>
    <mergeCell ref="O526:O530"/>
    <mergeCell ref="P526:P530"/>
    <mergeCell ref="Q526:Q530"/>
    <mergeCell ref="R526:R530"/>
    <mergeCell ref="L531:L535"/>
    <mergeCell ref="M531:M535"/>
    <mergeCell ref="N531:N535"/>
    <mergeCell ref="O531:O535"/>
    <mergeCell ref="P531:P535"/>
    <mergeCell ref="Q531:Q535"/>
    <mergeCell ref="R531:R535"/>
    <mergeCell ref="L536:L540"/>
    <mergeCell ref="M536:M540"/>
    <mergeCell ref="N536:N540"/>
    <mergeCell ref="O536:O540"/>
    <mergeCell ref="P536:P540"/>
    <mergeCell ref="Q536:Q540"/>
    <mergeCell ref="R536:R540"/>
    <mergeCell ref="C556:R556"/>
    <mergeCell ref="C632:R632"/>
    <mergeCell ref="L541:L545"/>
    <mergeCell ref="M541:M545"/>
    <mergeCell ref="N541:N545"/>
    <mergeCell ref="O541:O545"/>
    <mergeCell ref="P541:P545"/>
    <mergeCell ref="Q541:Q545"/>
    <mergeCell ref="R541:R545"/>
    <mergeCell ref="L546:L550"/>
    <mergeCell ref="M546:M550"/>
    <mergeCell ref="N546:N550"/>
    <mergeCell ref="O546:O550"/>
    <mergeCell ref="P546:P550"/>
    <mergeCell ref="Q546:Q550"/>
    <mergeCell ref="R546:R550"/>
    <mergeCell ref="L551:L555"/>
    <mergeCell ref="M551:M555"/>
    <mergeCell ref="N551:N555"/>
    <mergeCell ref="O551:O555"/>
    <mergeCell ref="P551:P555"/>
    <mergeCell ref="Q551:Q555"/>
    <mergeCell ref="R551:R555"/>
    <mergeCell ref="L557:L561"/>
    <mergeCell ref="M557:M561"/>
    <mergeCell ref="N557:N561"/>
    <mergeCell ref="O557:O561"/>
    <mergeCell ref="P557:P561"/>
    <mergeCell ref="Q557:Q561"/>
    <mergeCell ref="R557:R561"/>
    <mergeCell ref="L562:L566"/>
    <mergeCell ref="M562:M566"/>
    <mergeCell ref="N562:N566"/>
    <mergeCell ref="O562:O566"/>
    <mergeCell ref="P562:P566"/>
    <mergeCell ref="Q562:Q566"/>
    <mergeCell ref="R562:R566"/>
    <mergeCell ref="L567:L571"/>
    <mergeCell ref="M567:M571"/>
    <mergeCell ref="N567:N571"/>
    <mergeCell ref="O567:O571"/>
    <mergeCell ref="P567:P571"/>
    <mergeCell ref="Q567:Q571"/>
    <mergeCell ref="R567:R571"/>
    <mergeCell ref="Q597:Q601"/>
    <mergeCell ref="R597:R601"/>
    <mergeCell ref="L572:L576"/>
    <mergeCell ref="M572:M576"/>
    <mergeCell ref="N572:N576"/>
    <mergeCell ref="O572:O576"/>
    <mergeCell ref="P572:P576"/>
    <mergeCell ref="Q572:Q576"/>
    <mergeCell ref="R572:R576"/>
    <mergeCell ref="L577:L581"/>
    <mergeCell ref="M577:M581"/>
    <mergeCell ref="N577:N581"/>
    <mergeCell ref="O577:O581"/>
    <mergeCell ref="P577:P581"/>
    <mergeCell ref="Q577:Q581"/>
    <mergeCell ref="R577:R581"/>
    <mergeCell ref="L582:L586"/>
    <mergeCell ref="M582:M586"/>
    <mergeCell ref="N582:N586"/>
    <mergeCell ref="O582:O586"/>
    <mergeCell ref="P582:P586"/>
    <mergeCell ref="Q582:Q586"/>
    <mergeCell ref="R582:R586"/>
    <mergeCell ref="M607:M611"/>
    <mergeCell ref="N607:N611"/>
    <mergeCell ref="O607:O611"/>
    <mergeCell ref="P607:P611"/>
    <mergeCell ref="Q607:Q611"/>
    <mergeCell ref="R607:R611"/>
    <mergeCell ref="L612:L616"/>
    <mergeCell ref="M612:M616"/>
    <mergeCell ref="N612:N616"/>
    <mergeCell ref="O612:O616"/>
    <mergeCell ref="P612:P616"/>
    <mergeCell ref="Q612:Q616"/>
    <mergeCell ref="R612:R616"/>
    <mergeCell ref="L587:L591"/>
    <mergeCell ref="M587:M591"/>
    <mergeCell ref="N587:N591"/>
    <mergeCell ref="O587:O591"/>
    <mergeCell ref="P587:P591"/>
    <mergeCell ref="Q587:Q591"/>
    <mergeCell ref="R587:R591"/>
    <mergeCell ref="L592:L596"/>
    <mergeCell ref="M592:M596"/>
    <mergeCell ref="N592:N596"/>
    <mergeCell ref="O592:O596"/>
    <mergeCell ref="P592:P596"/>
    <mergeCell ref="Q592:Q596"/>
    <mergeCell ref="R592:R596"/>
    <mergeCell ref="L597:L601"/>
    <mergeCell ref="M597:M601"/>
    <mergeCell ref="N597:N601"/>
    <mergeCell ref="O597:O601"/>
    <mergeCell ref="P597:P601"/>
    <mergeCell ref="L617:L621"/>
    <mergeCell ref="M617:M621"/>
    <mergeCell ref="N617:N621"/>
    <mergeCell ref="O617:O621"/>
    <mergeCell ref="P617:P621"/>
    <mergeCell ref="Q617:Q621"/>
    <mergeCell ref="R617:R621"/>
    <mergeCell ref="L622:L626"/>
    <mergeCell ref="M622:M626"/>
    <mergeCell ref="N622:N626"/>
    <mergeCell ref="O622:O626"/>
    <mergeCell ref="P622:P626"/>
    <mergeCell ref="Q622:Q626"/>
    <mergeCell ref="R622:R626"/>
    <mergeCell ref="L49:L53"/>
    <mergeCell ref="M49:M53"/>
    <mergeCell ref="N49:N53"/>
    <mergeCell ref="O49:O53"/>
    <mergeCell ref="P49:P53"/>
    <mergeCell ref="Q49:Q53"/>
    <mergeCell ref="R49:R53"/>
    <mergeCell ref="L59:L75"/>
    <mergeCell ref="M59:M75"/>
    <mergeCell ref="N59:N75"/>
    <mergeCell ref="L602:L606"/>
    <mergeCell ref="M602:M606"/>
    <mergeCell ref="N602:N606"/>
    <mergeCell ref="O602:O606"/>
    <mergeCell ref="P602:P606"/>
    <mergeCell ref="Q602:Q606"/>
    <mergeCell ref="R602:R606"/>
    <mergeCell ref="L607:L611"/>
    <mergeCell ref="D49:D53"/>
    <mergeCell ref="C54:C58"/>
    <mergeCell ref="E54:E58"/>
    <mergeCell ref="F54:F58"/>
    <mergeCell ref="G54:G58"/>
    <mergeCell ref="H54:H58"/>
    <mergeCell ref="I54:I58"/>
    <mergeCell ref="E9:E13"/>
    <mergeCell ref="F9:F13"/>
    <mergeCell ref="G9:G13"/>
    <mergeCell ref="H9:H13"/>
    <mergeCell ref="I9:I13"/>
    <mergeCell ref="E14:E48"/>
    <mergeCell ref="F14:F48"/>
    <mergeCell ref="G14:G48"/>
    <mergeCell ref="H14:H48"/>
    <mergeCell ref="I14:I48"/>
    <mergeCell ref="D54:D58"/>
    <mergeCell ref="D9:D13"/>
    <mergeCell ref="D14:D48"/>
    <mergeCell ref="E49:E53"/>
    <mergeCell ref="F49:F53"/>
    <mergeCell ref="G49:G53"/>
    <mergeCell ref="H49:H53"/>
    <mergeCell ref="I49:I53"/>
    <mergeCell ref="Q59:Q75"/>
    <mergeCell ref="R59:R75"/>
    <mergeCell ref="E59:E75"/>
    <mergeCell ref="F59:F75"/>
    <mergeCell ref="G59:G75"/>
    <mergeCell ref="H59:H75"/>
    <mergeCell ref="I59:I75"/>
    <mergeCell ref="J59:J75"/>
    <mergeCell ref="K59:K75"/>
    <mergeCell ref="L76:L80"/>
    <mergeCell ref="M76:M80"/>
    <mergeCell ref="N76:N80"/>
    <mergeCell ref="O76:O80"/>
    <mergeCell ref="P76:P80"/>
    <mergeCell ref="Q76:Q80"/>
    <mergeCell ref="R76:R80"/>
    <mergeCell ref="E76:E80"/>
    <mergeCell ref="F76:F80"/>
    <mergeCell ref="G76:G80"/>
    <mergeCell ref="H76:H80"/>
    <mergeCell ref="I76:I80"/>
    <mergeCell ref="J76:J80"/>
    <mergeCell ref="K76:K80"/>
    <mergeCell ref="R106:R110"/>
    <mergeCell ref="E106:E110"/>
    <mergeCell ref="F106:F110"/>
    <mergeCell ref="G106:G110"/>
    <mergeCell ref="H106:H110"/>
    <mergeCell ref="I106:I110"/>
    <mergeCell ref="J106:J110"/>
    <mergeCell ref="K106:K110"/>
    <mergeCell ref="L101:L105"/>
    <mergeCell ref="M101:M105"/>
    <mergeCell ref="N101:N105"/>
    <mergeCell ref="O101:O105"/>
    <mergeCell ref="P101:P105"/>
    <mergeCell ref="Q101:Q105"/>
    <mergeCell ref="R101:R105"/>
    <mergeCell ref="E101:E105"/>
    <mergeCell ref="F101:F105"/>
    <mergeCell ref="G101:G105"/>
    <mergeCell ref="H101:H105"/>
    <mergeCell ref="I101:I105"/>
    <mergeCell ref="J101:J105"/>
    <mergeCell ref="K101:K105"/>
    <mergeCell ref="I96:I100"/>
    <mergeCell ref="J96:J100"/>
    <mergeCell ref="K96:K100"/>
    <mergeCell ref="L91:L95"/>
    <mergeCell ref="M91:M95"/>
    <mergeCell ref="N91:N95"/>
    <mergeCell ref="O91:O95"/>
    <mergeCell ref="P91:P95"/>
    <mergeCell ref="O59:O75"/>
    <mergeCell ref="P59:P75"/>
    <mergeCell ref="L86:L90"/>
    <mergeCell ref="M86:M90"/>
    <mergeCell ref="N86:N90"/>
    <mergeCell ref="O86:O90"/>
    <mergeCell ref="P86:P90"/>
    <mergeCell ref="Q86:Q90"/>
    <mergeCell ref="R86:R90"/>
    <mergeCell ref="I86:I90"/>
    <mergeCell ref="J86:J90"/>
    <mergeCell ref="K86:K90"/>
    <mergeCell ref="L96:L100"/>
    <mergeCell ref="M96:M100"/>
    <mergeCell ref="N96:N100"/>
    <mergeCell ref="O96:O100"/>
    <mergeCell ref="P96:P100"/>
    <mergeCell ref="Q96:Q100"/>
    <mergeCell ref="R96:R100"/>
    <mergeCell ref="Q91:Q95"/>
    <mergeCell ref="R91:R95"/>
    <mergeCell ref="I91:I95"/>
    <mergeCell ref="J91:J95"/>
    <mergeCell ref="K91:K95"/>
    <mergeCell ref="D59:D75"/>
    <mergeCell ref="D76:D80"/>
    <mergeCell ref="D81:D85"/>
    <mergeCell ref="D86:D90"/>
    <mergeCell ref="D91:D95"/>
    <mergeCell ref="D96:D100"/>
    <mergeCell ref="D101:D105"/>
    <mergeCell ref="C106:C110"/>
    <mergeCell ref="C111:C115"/>
    <mergeCell ref="D106:D110"/>
    <mergeCell ref="D111:D115"/>
    <mergeCell ref="E117:E121"/>
    <mergeCell ref="F117:F121"/>
    <mergeCell ref="G117:G121"/>
    <mergeCell ref="H117:H121"/>
    <mergeCell ref="C101:C105"/>
    <mergeCell ref="G96:G100"/>
    <mergeCell ref="H96:H100"/>
    <mergeCell ref="E86:E90"/>
    <mergeCell ref="F86:F90"/>
    <mergeCell ref="G86:G90"/>
    <mergeCell ref="H86:H90"/>
    <mergeCell ref="E96:E100"/>
    <mergeCell ref="F96:F100"/>
    <mergeCell ref="E91:E95"/>
    <mergeCell ref="F91:F95"/>
    <mergeCell ref="G91:G95"/>
    <mergeCell ref="H91:H95"/>
    <mergeCell ref="A1:AF1"/>
    <mergeCell ref="A2:AF2"/>
    <mergeCell ref="A3:AF3"/>
    <mergeCell ref="A4:AF4"/>
    <mergeCell ref="Q9:Q13"/>
    <mergeCell ref="R9:R13"/>
    <mergeCell ref="AF9:AF13"/>
    <mergeCell ref="J9:J13"/>
    <mergeCell ref="K9:K13"/>
    <mergeCell ref="L9:L13"/>
    <mergeCell ref="M9:M13"/>
    <mergeCell ref="N9:N13"/>
    <mergeCell ref="O9:O13"/>
    <mergeCell ref="P9:P13"/>
    <mergeCell ref="A9:A709"/>
    <mergeCell ref="B9:B75"/>
    <mergeCell ref="B117:B302"/>
    <mergeCell ref="D703:D707"/>
    <mergeCell ref="D663:D667"/>
    <mergeCell ref="D668:D672"/>
    <mergeCell ref="C673:C677"/>
    <mergeCell ref="E122:E126"/>
    <mergeCell ref="F122:F126"/>
    <mergeCell ref="G122:G126"/>
    <mergeCell ref="H122:H126"/>
    <mergeCell ref="I122:I126"/>
    <mergeCell ref="J122:J126"/>
    <mergeCell ref="K122:K126"/>
    <mergeCell ref="C14:C48"/>
    <mergeCell ref="C49:C53"/>
    <mergeCell ref="Q14:Q48"/>
    <mergeCell ref="R14:R48"/>
    <mergeCell ref="AF14:AF48"/>
    <mergeCell ref="AF49:AF53"/>
    <mergeCell ref="J14:J48"/>
    <mergeCell ref="K14:K48"/>
    <mergeCell ref="L14:L48"/>
    <mergeCell ref="M14:M48"/>
    <mergeCell ref="N14:N48"/>
    <mergeCell ref="O14:O48"/>
    <mergeCell ref="P14:P48"/>
    <mergeCell ref="J54:J58"/>
    <mergeCell ref="K54:K58"/>
    <mergeCell ref="L54:L58"/>
    <mergeCell ref="M54:M58"/>
    <mergeCell ref="N54:N58"/>
    <mergeCell ref="O54:O58"/>
    <mergeCell ref="P54:P58"/>
    <mergeCell ref="J49:J53"/>
    <mergeCell ref="K49:K53"/>
    <mergeCell ref="AF91:AF95"/>
    <mergeCell ref="AF96:AF100"/>
    <mergeCell ref="AF101:AF105"/>
    <mergeCell ref="AF106:AF110"/>
    <mergeCell ref="AF111:AF115"/>
    <mergeCell ref="C116:O116"/>
    <mergeCell ref="Q54:Q58"/>
    <mergeCell ref="R54:R58"/>
    <mergeCell ref="AF54:AF58"/>
    <mergeCell ref="AF59:AF75"/>
    <mergeCell ref="AF76:AF80"/>
    <mergeCell ref="AF81:AF85"/>
    <mergeCell ref="AF86:AF90"/>
    <mergeCell ref="L81:L85"/>
    <mergeCell ref="M81:M85"/>
    <mergeCell ref="N81:N85"/>
    <mergeCell ref="O81:O85"/>
    <mergeCell ref="P81:P85"/>
    <mergeCell ref="Q81:Q85"/>
    <mergeCell ref="R81:R85"/>
    <mergeCell ref="E81:E85"/>
    <mergeCell ref="F81:F85"/>
    <mergeCell ref="G81:G85"/>
    <mergeCell ref="H81:H85"/>
    <mergeCell ref="I81:I85"/>
    <mergeCell ref="J81:J85"/>
    <mergeCell ref="K81:K85"/>
    <mergeCell ref="C81:C85"/>
    <mergeCell ref="C86:C90"/>
    <mergeCell ref="C91:C95"/>
    <mergeCell ref="C96:C100"/>
    <mergeCell ref="C59:C75"/>
    <mergeCell ref="AF117:AF121"/>
    <mergeCell ref="N122:N126"/>
    <mergeCell ref="O122:O126"/>
    <mergeCell ref="P122:P126"/>
    <mergeCell ref="Q122:Q126"/>
    <mergeCell ref="R122:R126"/>
    <mergeCell ref="AF122:AF126"/>
    <mergeCell ref="J117:J121"/>
    <mergeCell ref="K117:K121"/>
    <mergeCell ref="L117:L121"/>
    <mergeCell ref="M117:M121"/>
    <mergeCell ref="N117:N121"/>
    <mergeCell ref="O117:O121"/>
    <mergeCell ref="P117:P121"/>
    <mergeCell ref="D122:D126"/>
    <mergeCell ref="I117:I121"/>
    <mergeCell ref="D117:D121"/>
    <mergeCell ref="C122:C126"/>
    <mergeCell ref="Q111:Q115"/>
    <mergeCell ref="R111:R115"/>
    <mergeCell ref="I111:I115"/>
    <mergeCell ref="J111:J115"/>
    <mergeCell ref="K111:K115"/>
    <mergeCell ref="L106:L110"/>
    <mergeCell ref="M106:M110"/>
    <mergeCell ref="N106:N110"/>
    <mergeCell ref="O106:O110"/>
    <mergeCell ref="L127:L131"/>
    <mergeCell ref="M127:M131"/>
    <mergeCell ref="N127:N131"/>
    <mergeCell ref="O127:O131"/>
    <mergeCell ref="P127:P131"/>
    <mergeCell ref="Q127:Q131"/>
    <mergeCell ref="R127:R131"/>
    <mergeCell ref="C127:C131"/>
    <mergeCell ref="D127:D131"/>
    <mergeCell ref="Q117:Q121"/>
    <mergeCell ref="R117:R121"/>
    <mergeCell ref="E111:E115"/>
    <mergeCell ref="F111:F115"/>
    <mergeCell ref="G111:G115"/>
    <mergeCell ref="H111:H115"/>
    <mergeCell ref="L111:L115"/>
    <mergeCell ref="M111:M115"/>
    <mergeCell ref="N111:N115"/>
    <mergeCell ref="O111:O115"/>
    <mergeCell ref="P111:P115"/>
    <mergeCell ref="P106:P110"/>
    <mergeCell ref="Q106:Q110"/>
    <mergeCell ref="AF127:AF131"/>
    <mergeCell ref="L122:L126"/>
    <mergeCell ref="M122:M126"/>
    <mergeCell ref="E127:E131"/>
    <mergeCell ref="F127:F131"/>
    <mergeCell ref="G127:G131"/>
    <mergeCell ref="H127:H131"/>
    <mergeCell ref="I127:I131"/>
    <mergeCell ref="J127:J131"/>
    <mergeCell ref="K127:K131"/>
    <mergeCell ref="L132:L141"/>
    <mergeCell ref="M132:M141"/>
    <mergeCell ref="N132:N141"/>
    <mergeCell ref="O132:O141"/>
    <mergeCell ref="P132:P141"/>
    <mergeCell ref="Q132:Q141"/>
    <mergeCell ref="R132:R141"/>
    <mergeCell ref="AF132:AF141"/>
    <mergeCell ref="E132:E141"/>
    <mergeCell ref="F132:F141"/>
    <mergeCell ref="G132:G141"/>
    <mergeCell ref="H132:H141"/>
    <mergeCell ref="I132:I141"/>
    <mergeCell ref="J132:J141"/>
    <mergeCell ref="K132:K141"/>
    <mergeCell ref="L158:L162"/>
    <mergeCell ref="M158:M162"/>
    <mergeCell ref="N158:N162"/>
    <mergeCell ref="O158:O162"/>
    <mergeCell ref="P158:P162"/>
    <mergeCell ref="Q158:Q162"/>
    <mergeCell ref="R158:R162"/>
    <mergeCell ref="AF158:AF162"/>
    <mergeCell ref="E158:E162"/>
    <mergeCell ref="F158:F162"/>
    <mergeCell ref="G158:G162"/>
    <mergeCell ref="H158:H162"/>
    <mergeCell ref="I158:I162"/>
    <mergeCell ref="J158:J162"/>
    <mergeCell ref="K158:K162"/>
    <mergeCell ref="N147:N151"/>
    <mergeCell ref="O147:O151"/>
    <mergeCell ref="R147:R151"/>
    <mergeCell ref="AF147:AF151"/>
    <mergeCell ref="E147:E151"/>
    <mergeCell ref="F147:F151"/>
    <mergeCell ref="G147:G151"/>
    <mergeCell ref="H147:H151"/>
    <mergeCell ref="I147:I151"/>
    <mergeCell ref="J147:J151"/>
    <mergeCell ref="K147:K151"/>
    <mergeCell ref="L152:L157"/>
    <mergeCell ref="M152:M157"/>
    <mergeCell ref="N152:N157"/>
    <mergeCell ref="O152:O157"/>
    <mergeCell ref="P152:P157"/>
    <mergeCell ref="Q152:Q157"/>
    <mergeCell ref="M178:M182"/>
    <mergeCell ref="N178:N182"/>
    <mergeCell ref="O178:O182"/>
    <mergeCell ref="P178:P182"/>
    <mergeCell ref="Q178:Q182"/>
    <mergeCell ref="R178:R182"/>
    <mergeCell ref="AF178:AF182"/>
    <mergeCell ref="J178:J281"/>
    <mergeCell ref="K178:K281"/>
    <mergeCell ref="L267:L281"/>
    <mergeCell ref="M267:M281"/>
    <mergeCell ref="N267:N281"/>
    <mergeCell ref="O267:O281"/>
    <mergeCell ref="P267:P281"/>
    <mergeCell ref="Q267:Q281"/>
    <mergeCell ref="R267:R281"/>
    <mergeCell ref="M219:M229"/>
    <mergeCell ref="AF183:AF188"/>
    <mergeCell ref="L178:L182"/>
    <mergeCell ref="M183:M188"/>
    <mergeCell ref="N183:N188"/>
    <mergeCell ref="O183:O188"/>
    <mergeCell ref="P183:P188"/>
    <mergeCell ref="Q183:Q188"/>
    <mergeCell ref="R183:R188"/>
    <mergeCell ref="L199:L218"/>
    <mergeCell ref="M199:M218"/>
    <mergeCell ref="N199:N218"/>
    <mergeCell ref="O199:O218"/>
    <mergeCell ref="P199:P218"/>
    <mergeCell ref="Q199:Q218"/>
    <mergeCell ref="R199:R218"/>
    <mergeCell ref="AF199:AF218"/>
    <mergeCell ref="L194:L198"/>
    <mergeCell ref="M194:M198"/>
    <mergeCell ref="N194:N198"/>
    <mergeCell ref="O194:O198"/>
    <mergeCell ref="P194:P198"/>
    <mergeCell ref="Q194:Q198"/>
    <mergeCell ref="R194:R198"/>
    <mergeCell ref="L183:L188"/>
    <mergeCell ref="L189:L193"/>
    <mergeCell ref="M189:M193"/>
    <mergeCell ref="N189:N193"/>
    <mergeCell ref="O189:O193"/>
    <mergeCell ref="P189:P193"/>
    <mergeCell ref="Q189:Q193"/>
    <mergeCell ref="O257:O266"/>
    <mergeCell ref="P257:P266"/>
    <mergeCell ref="Q257:Q266"/>
    <mergeCell ref="R257:R266"/>
    <mergeCell ref="N219:N229"/>
    <mergeCell ref="O219:O229"/>
    <mergeCell ref="P219:P229"/>
    <mergeCell ref="Q219:Q229"/>
    <mergeCell ref="R219:R229"/>
    <mergeCell ref="AF219:AF229"/>
    <mergeCell ref="AF292:AF296"/>
    <mergeCell ref="AF297:AF301"/>
    <mergeCell ref="L343:L347"/>
    <mergeCell ref="M343:M347"/>
    <mergeCell ref="N343:N347"/>
    <mergeCell ref="O343:O347"/>
    <mergeCell ref="P343:P347"/>
    <mergeCell ref="Q343:Q347"/>
    <mergeCell ref="R343:R347"/>
    <mergeCell ref="L348:L352"/>
    <mergeCell ref="M348:M352"/>
    <mergeCell ref="N348:N352"/>
    <mergeCell ref="O348:O352"/>
    <mergeCell ref="P348:P352"/>
    <mergeCell ref="Q348:Q352"/>
    <mergeCell ref="R348:R352"/>
    <mergeCell ref="N318:N322"/>
    <mergeCell ref="O318:O322"/>
    <mergeCell ref="P318:P322"/>
    <mergeCell ref="Q318:Q322"/>
    <mergeCell ref="R318:R322"/>
    <mergeCell ref="L323:L327"/>
    <mergeCell ref="M323:M327"/>
    <mergeCell ref="N323:N327"/>
    <mergeCell ref="O323:O327"/>
    <mergeCell ref="P323:P327"/>
    <mergeCell ref="Q323:Q327"/>
    <mergeCell ref="L333:L337"/>
    <mergeCell ref="M333:M337"/>
    <mergeCell ref="N333:N337"/>
    <mergeCell ref="O333:O337"/>
    <mergeCell ref="P333:P337"/>
    <mergeCell ref="L353:L357"/>
    <mergeCell ref="M353:M357"/>
    <mergeCell ref="N353:N357"/>
    <mergeCell ref="O353:O357"/>
    <mergeCell ref="P353:P357"/>
    <mergeCell ref="Q353:Q357"/>
    <mergeCell ref="R353:R357"/>
    <mergeCell ref="L358:L362"/>
    <mergeCell ref="M358:M362"/>
    <mergeCell ref="N358:N362"/>
    <mergeCell ref="O358:O362"/>
    <mergeCell ref="P358:P362"/>
    <mergeCell ref="Q358:Q362"/>
    <mergeCell ref="R358:R362"/>
    <mergeCell ref="L364:L368"/>
    <mergeCell ref="M364:M368"/>
    <mergeCell ref="N364:N368"/>
    <mergeCell ref="O364:O368"/>
    <mergeCell ref="P364:P368"/>
    <mergeCell ref="Q364:Q368"/>
    <mergeCell ref="R364:R368"/>
    <mergeCell ref="L369:L373"/>
    <mergeCell ref="M369:M373"/>
    <mergeCell ref="N369:N373"/>
    <mergeCell ref="O369:O373"/>
    <mergeCell ref="P369:P373"/>
    <mergeCell ref="Q369:Q373"/>
    <mergeCell ref="R369:R373"/>
    <mergeCell ref="L374:L378"/>
    <mergeCell ref="M374:M378"/>
    <mergeCell ref="N374:N378"/>
    <mergeCell ref="O374:O378"/>
    <mergeCell ref="P374:P378"/>
    <mergeCell ref="Q374:Q378"/>
    <mergeCell ref="R374:R378"/>
    <mergeCell ref="L379:L383"/>
    <mergeCell ref="M379:M383"/>
    <mergeCell ref="N379:N383"/>
    <mergeCell ref="O379:O383"/>
    <mergeCell ref="P379:P383"/>
    <mergeCell ref="Q379:Q383"/>
    <mergeCell ref="R379:R383"/>
    <mergeCell ref="L384:L388"/>
    <mergeCell ref="M384:M388"/>
    <mergeCell ref="N384:N388"/>
    <mergeCell ref="O384:O388"/>
    <mergeCell ref="P384:P388"/>
    <mergeCell ref="Q384:Q388"/>
    <mergeCell ref="R384:R388"/>
    <mergeCell ref="L389:L393"/>
    <mergeCell ref="M389:M393"/>
    <mergeCell ref="N389:N393"/>
    <mergeCell ref="O389:O393"/>
    <mergeCell ref="P389:P393"/>
    <mergeCell ref="Q389:Q393"/>
    <mergeCell ref="R389:R393"/>
    <mergeCell ref="L394:L398"/>
    <mergeCell ref="M394:M398"/>
    <mergeCell ref="N394:N398"/>
    <mergeCell ref="O394:O398"/>
    <mergeCell ref="P394:P398"/>
    <mergeCell ref="Q394:Q398"/>
    <mergeCell ref="R394:R398"/>
    <mergeCell ref="O399:O403"/>
    <mergeCell ref="P399:P403"/>
    <mergeCell ref="Q399:Q403"/>
    <mergeCell ref="R399:R403"/>
    <mergeCell ref="L405:L409"/>
    <mergeCell ref="M405:M409"/>
    <mergeCell ref="N405:N409"/>
    <mergeCell ref="O405:O409"/>
    <mergeCell ref="P405:P409"/>
    <mergeCell ref="Q405:Q409"/>
    <mergeCell ref="R405:R409"/>
    <mergeCell ref="L410:L414"/>
    <mergeCell ref="M410:M414"/>
    <mergeCell ref="N410:N414"/>
    <mergeCell ref="O410:O414"/>
    <mergeCell ref="P410:P414"/>
    <mergeCell ref="Q410:Q414"/>
    <mergeCell ref="R410:R414"/>
    <mergeCell ref="AF638:AF642"/>
    <mergeCell ref="AF643:AF647"/>
    <mergeCell ref="AF648:AF652"/>
    <mergeCell ref="L638:L642"/>
    <mergeCell ref="M638:M642"/>
    <mergeCell ref="N638:N642"/>
    <mergeCell ref="O638:O642"/>
    <mergeCell ref="P638:P642"/>
    <mergeCell ref="Q638:Q642"/>
    <mergeCell ref="R638:R642"/>
    <mergeCell ref="L643:L647"/>
    <mergeCell ref="M643:M647"/>
    <mergeCell ref="N643:N647"/>
    <mergeCell ref="O643:O647"/>
    <mergeCell ref="P643:P647"/>
    <mergeCell ref="Q643:Q647"/>
    <mergeCell ref="R643:R647"/>
    <mergeCell ref="L648:L652"/>
    <mergeCell ref="U760:V760"/>
    <mergeCell ref="U767:V767"/>
    <mergeCell ref="U768:V768"/>
    <mergeCell ref="U761:V761"/>
    <mergeCell ref="U762:V762"/>
    <mergeCell ref="U763:V763"/>
    <mergeCell ref="U764:V764"/>
    <mergeCell ref="U765:V765"/>
    <mergeCell ref="U766:V766"/>
    <mergeCell ref="AF653:AF657"/>
    <mergeCell ref="AF658:AF662"/>
    <mergeCell ref="AF663:AF667"/>
    <mergeCell ref="AF668:AF672"/>
    <mergeCell ref="AF673:AF677"/>
    <mergeCell ref="AF678:AF682"/>
    <mergeCell ref="AF683:AF687"/>
    <mergeCell ref="AF688:AF692"/>
    <mergeCell ref="AF693:AF697"/>
    <mergeCell ref="AF698:AF702"/>
    <mergeCell ref="AF703:AF707"/>
    <mergeCell ref="AC709:AF709"/>
    <mergeCell ref="U712:Z712"/>
    <mergeCell ref="AB711:AC711"/>
    <mergeCell ref="U753:W753"/>
    <mergeCell ref="U754:V754"/>
    <mergeCell ref="U755:V755"/>
    <mergeCell ref="U756:V756"/>
    <mergeCell ref="U757:V757"/>
    <mergeCell ref="U759:W759"/>
    <mergeCell ref="O683:O687"/>
    <mergeCell ref="P683:P687"/>
    <mergeCell ref="Q683:Q687"/>
    <mergeCell ref="R683:R687"/>
    <mergeCell ref="L688:L692"/>
    <mergeCell ref="M688:M692"/>
    <mergeCell ref="N688:N692"/>
    <mergeCell ref="O688:O692"/>
    <mergeCell ref="P688:P692"/>
    <mergeCell ref="Q688:Q692"/>
    <mergeCell ref="R688:R692"/>
    <mergeCell ref="R663:R667"/>
    <mergeCell ref="L668:L672"/>
    <mergeCell ref="M668:M672"/>
    <mergeCell ref="N668:N672"/>
    <mergeCell ref="O668:O672"/>
    <mergeCell ref="P668:P672"/>
    <mergeCell ref="Q668:Q672"/>
    <mergeCell ref="R668:R672"/>
    <mergeCell ref="L673:L677"/>
    <mergeCell ref="M673:M677"/>
    <mergeCell ref="N673:N677"/>
    <mergeCell ref="O673:O677"/>
    <mergeCell ref="P673:P677"/>
    <mergeCell ref="Q673:Q677"/>
    <mergeCell ref="R673:R677"/>
    <mergeCell ref="L678:L682"/>
    <mergeCell ref="M678:M682"/>
    <mergeCell ref="N678:N682"/>
    <mergeCell ref="O678:O682"/>
    <mergeCell ref="O663:O667"/>
    <mergeCell ref="Q678:Q682"/>
    <mergeCell ref="M308:M312"/>
    <mergeCell ref="N308:N312"/>
    <mergeCell ref="O308:O312"/>
    <mergeCell ref="P308:P312"/>
    <mergeCell ref="Q308:Q312"/>
    <mergeCell ref="R308:R312"/>
    <mergeCell ref="L313:L317"/>
    <mergeCell ref="M313:M317"/>
    <mergeCell ref="N313:N317"/>
    <mergeCell ref="O313:O317"/>
    <mergeCell ref="P313:P317"/>
    <mergeCell ref="Q313:Q317"/>
    <mergeCell ref="R313:R317"/>
    <mergeCell ref="L318:L322"/>
    <mergeCell ref="M318:M322"/>
    <mergeCell ref="U758:V758"/>
    <mergeCell ref="L627:L631"/>
    <mergeCell ref="M627:M631"/>
    <mergeCell ref="N627:N631"/>
    <mergeCell ref="O627:O631"/>
    <mergeCell ref="P627:P631"/>
    <mergeCell ref="Q627:Q631"/>
    <mergeCell ref="R627:R631"/>
    <mergeCell ref="L633:L637"/>
    <mergeCell ref="M633:M637"/>
    <mergeCell ref="N633:N637"/>
    <mergeCell ref="O633:O637"/>
    <mergeCell ref="P633:P637"/>
    <mergeCell ref="Q633:Q637"/>
    <mergeCell ref="R633:R637"/>
    <mergeCell ref="L399:L403"/>
    <mergeCell ref="P678:P682"/>
    <mergeCell ref="R678:R682"/>
    <mergeCell ref="M648:M652"/>
    <mergeCell ref="N648:N652"/>
    <mergeCell ref="O648:O652"/>
    <mergeCell ref="P648:P652"/>
    <mergeCell ref="Q648:Q652"/>
    <mergeCell ref="R648:R652"/>
    <mergeCell ref="L653:L657"/>
    <mergeCell ref="M653:M657"/>
    <mergeCell ref="N653:N657"/>
    <mergeCell ref="O653:O657"/>
    <mergeCell ref="M328:M332"/>
    <mergeCell ref="N328:N332"/>
    <mergeCell ref="O328:O332"/>
    <mergeCell ref="P328:P332"/>
    <mergeCell ref="Q328:Q332"/>
    <mergeCell ref="R328:R332"/>
    <mergeCell ref="P653:P657"/>
    <mergeCell ref="Q653:Q657"/>
    <mergeCell ref="R653:R657"/>
    <mergeCell ref="L658:L662"/>
    <mergeCell ref="M658:M662"/>
    <mergeCell ref="N658:N662"/>
    <mergeCell ref="O658:O662"/>
    <mergeCell ref="P658:P662"/>
    <mergeCell ref="Q658:Q662"/>
    <mergeCell ref="R658:R662"/>
    <mergeCell ref="L663:L667"/>
    <mergeCell ref="M663:M667"/>
    <mergeCell ref="N663:N667"/>
    <mergeCell ref="M399:M403"/>
    <mergeCell ref="N399:N403"/>
    <mergeCell ref="M703:M707"/>
    <mergeCell ref="N703:N707"/>
    <mergeCell ref="O703:O707"/>
    <mergeCell ref="P703:P707"/>
    <mergeCell ref="Q703:Q707"/>
    <mergeCell ref="R703:R707"/>
    <mergeCell ref="L698:L702"/>
    <mergeCell ref="M698:M702"/>
    <mergeCell ref="N698:N702"/>
    <mergeCell ref="O698:O702"/>
    <mergeCell ref="P698:P702"/>
    <mergeCell ref="Q698:Q702"/>
    <mergeCell ref="R698:R702"/>
    <mergeCell ref="L693:L697"/>
    <mergeCell ref="M693:M697"/>
    <mergeCell ref="N693:N697"/>
    <mergeCell ref="O693:O697"/>
    <mergeCell ref="P693:P697"/>
    <mergeCell ref="Q693:Q697"/>
    <mergeCell ref="R693:R697"/>
    <mergeCell ref="M683:M687"/>
    <mergeCell ref="N683:N687"/>
    <mergeCell ref="P663:P667"/>
    <mergeCell ref="Q663:Q667"/>
    <mergeCell ref="D678:D682"/>
    <mergeCell ref="C683:C687"/>
    <mergeCell ref="C688:C692"/>
    <mergeCell ref="D683:D687"/>
    <mergeCell ref="D688:D692"/>
    <mergeCell ref="C693:C697"/>
    <mergeCell ref="C698:C702"/>
    <mergeCell ref="D693:D697"/>
    <mergeCell ref="D698:D702"/>
    <mergeCell ref="B303:B363"/>
    <mergeCell ref="C303:C307"/>
    <mergeCell ref="C708:R708"/>
    <mergeCell ref="D450:D454"/>
    <mergeCell ref="C455:C459"/>
    <mergeCell ref="C460:C464"/>
    <mergeCell ref="D455:D459"/>
    <mergeCell ref="D460:D464"/>
    <mergeCell ref="C465:C469"/>
    <mergeCell ref="C470:C474"/>
    <mergeCell ref="D465:D469"/>
    <mergeCell ref="D470:D474"/>
    <mergeCell ref="D597:D601"/>
    <mergeCell ref="C602:C606"/>
    <mergeCell ref="D602:D606"/>
    <mergeCell ref="D607:D611"/>
    <mergeCell ref="C607:C611"/>
    <mergeCell ref="C612:C616"/>
    <mergeCell ref="L703:L707"/>
    <mergeCell ref="L303:L307"/>
    <mergeCell ref="M303:M307"/>
    <mergeCell ref="N303:N307"/>
    <mergeCell ref="O303:O307"/>
    <mergeCell ref="P303:P307"/>
    <mergeCell ref="Q303:Q307"/>
    <mergeCell ref="R303:R307"/>
    <mergeCell ref="L308:L312"/>
    <mergeCell ref="D435:D439"/>
    <mergeCell ref="D440:D444"/>
    <mergeCell ref="D389:D393"/>
    <mergeCell ref="C343:C347"/>
    <mergeCell ref="C348:C352"/>
    <mergeCell ref="C353:C357"/>
    <mergeCell ref="C358:C362"/>
    <mergeCell ref="B633:B708"/>
    <mergeCell ref="C633:C637"/>
    <mergeCell ref="R323:R327"/>
    <mergeCell ref="L328:L332"/>
    <mergeCell ref="C638:C642"/>
    <mergeCell ref="C643:C647"/>
    <mergeCell ref="C648:C652"/>
    <mergeCell ref="C653:C657"/>
    <mergeCell ref="C658:C662"/>
    <mergeCell ref="C703:C707"/>
    <mergeCell ref="C546:C550"/>
    <mergeCell ref="D546:D550"/>
    <mergeCell ref="C551:C555"/>
    <mergeCell ref="C445:C449"/>
    <mergeCell ref="C450:C454"/>
    <mergeCell ref="D445:D449"/>
    <mergeCell ref="L683:L687"/>
    <mergeCell ref="C678:C682"/>
    <mergeCell ref="D673:D677"/>
    <mergeCell ref="B405:B480"/>
    <mergeCell ref="C405:C409"/>
    <mergeCell ref="C410:C414"/>
    <mergeCell ref="C415:C419"/>
    <mergeCell ref="C420:C424"/>
    <mergeCell ref="C425:C429"/>
    <mergeCell ref="C430:C434"/>
    <mergeCell ref="C475:C479"/>
    <mergeCell ref="D475:D479"/>
    <mergeCell ref="D405:D409"/>
    <mergeCell ref="D410:D414"/>
    <mergeCell ref="D415:D419"/>
    <mergeCell ref="D420:D424"/>
    <mergeCell ref="D425:D429"/>
    <mergeCell ref="D430:D434"/>
    <mergeCell ref="C435:C439"/>
    <mergeCell ref="C440:C444"/>
    <mergeCell ref="C501:C505"/>
    <mergeCell ref="D501:D505"/>
    <mergeCell ref="C506:C510"/>
    <mergeCell ref="D506:D510"/>
    <mergeCell ref="C511:C515"/>
    <mergeCell ref="D511:D515"/>
    <mergeCell ref="C516:C520"/>
    <mergeCell ref="D516:D520"/>
    <mergeCell ref="C521:C525"/>
    <mergeCell ref="D557:D561"/>
    <mergeCell ref="C562:C566"/>
    <mergeCell ref="D562:D566"/>
    <mergeCell ref="C567:C571"/>
    <mergeCell ref="D567:D571"/>
    <mergeCell ref="D521:D525"/>
    <mergeCell ref="C526:C530"/>
    <mergeCell ref="D526:D530"/>
    <mergeCell ref="C531:C535"/>
    <mergeCell ref="D531:D535"/>
    <mergeCell ref="C536:C540"/>
    <mergeCell ref="D536:D540"/>
    <mergeCell ref="C541:C545"/>
    <mergeCell ref="D541:D545"/>
    <mergeCell ref="B481:B556"/>
    <mergeCell ref="C481:C485"/>
    <mergeCell ref="D481:D485"/>
    <mergeCell ref="C486:C490"/>
    <mergeCell ref="D486:D490"/>
    <mergeCell ref="D491:D495"/>
    <mergeCell ref="D551:D555"/>
    <mergeCell ref="B557:B632"/>
    <mergeCell ref="C557:C561"/>
    <mergeCell ref="C491:C495"/>
    <mergeCell ref="C496:C500"/>
    <mergeCell ref="D496:D500"/>
    <mergeCell ref="D617:D621"/>
    <mergeCell ref="C622:C626"/>
    <mergeCell ref="D622:D626"/>
    <mergeCell ref="C627:C631"/>
    <mergeCell ref="D627:D631"/>
    <mergeCell ref="D633:D637"/>
    <mergeCell ref="D638:D642"/>
    <mergeCell ref="D643:D647"/>
    <mergeCell ref="D648:D652"/>
    <mergeCell ref="D653:D657"/>
    <mergeCell ref="C572:C576"/>
    <mergeCell ref="D572:D576"/>
    <mergeCell ref="C577:C581"/>
    <mergeCell ref="D577:D581"/>
    <mergeCell ref="C582:C586"/>
    <mergeCell ref="D582:D586"/>
    <mergeCell ref="C587:C591"/>
    <mergeCell ref="D587:D591"/>
    <mergeCell ref="C592:C596"/>
    <mergeCell ref="D592:D596"/>
    <mergeCell ref="D612:D616"/>
    <mergeCell ref="C617:C621"/>
    <mergeCell ref="C597:C601"/>
    <mergeCell ref="D658:D662"/>
    <mergeCell ref="C663:C667"/>
    <mergeCell ref="C668:C672"/>
    <mergeCell ref="F364:F368"/>
    <mergeCell ref="G364:G368"/>
    <mergeCell ref="H364:H368"/>
    <mergeCell ref="I364:I368"/>
    <mergeCell ref="E353:E357"/>
    <mergeCell ref="E358:E362"/>
    <mergeCell ref="F358:F362"/>
    <mergeCell ref="G358:G362"/>
    <mergeCell ref="H358:H362"/>
    <mergeCell ref="I358:I362"/>
    <mergeCell ref="E364:E368"/>
    <mergeCell ref="H323:H327"/>
    <mergeCell ref="I323:I327"/>
    <mergeCell ref="E313:E317"/>
    <mergeCell ref="E318:E322"/>
    <mergeCell ref="F318:F322"/>
    <mergeCell ref="G318:G322"/>
    <mergeCell ref="H318:H322"/>
    <mergeCell ref="I318:I322"/>
    <mergeCell ref="E323:E327"/>
    <mergeCell ref="G333:G337"/>
    <mergeCell ref="H333:H337"/>
    <mergeCell ref="E328:E332"/>
    <mergeCell ref="F328:F332"/>
    <mergeCell ref="G328:G332"/>
    <mergeCell ref="H328:H332"/>
    <mergeCell ref="I328:I332"/>
    <mergeCell ref="F333:F337"/>
    <mergeCell ref="I333:I337"/>
    <mergeCell ref="I384:I388"/>
    <mergeCell ref="D384:D388"/>
    <mergeCell ref="H343:H347"/>
    <mergeCell ref="I343:I347"/>
    <mergeCell ref="H348:H352"/>
    <mergeCell ref="I348:I352"/>
    <mergeCell ref="H353:H357"/>
    <mergeCell ref="I353:I357"/>
    <mergeCell ref="E333:E337"/>
    <mergeCell ref="E338:E342"/>
    <mergeCell ref="F338:F342"/>
    <mergeCell ref="G338:G342"/>
    <mergeCell ref="H338:H342"/>
    <mergeCell ref="I338:I342"/>
    <mergeCell ref="E343:E347"/>
    <mergeCell ref="F343:F347"/>
    <mergeCell ref="G343:G347"/>
    <mergeCell ref="E348:E352"/>
    <mergeCell ref="F348:F352"/>
    <mergeCell ref="G348:G352"/>
    <mergeCell ref="F353:F357"/>
    <mergeCell ref="G353:G357"/>
    <mergeCell ref="D374:D378"/>
    <mergeCell ref="D379:D383"/>
    <mergeCell ref="H389:H393"/>
    <mergeCell ref="I389:I393"/>
    <mergeCell ref="G399:G403"/>
    <mergeCell ref="H399:H403"/>
    <mergeCell ref="D394:D398"/>
    <mergeCell ref="E394:E398"/>
    <mergeCell ref="F394:F398"/>
    <mergeCell ref="G394:G398"/>
    <mergeCell ref="H394:H398"/>
    <mergeCell ref="I394:I398"/>
    <mergeCell ref="D399:D403"/>
    <mergeCell ref="I399:I403"/>
    <mergeCell ref="D333:D337"/>
    <mergeCell ref="D338:D342"/>
    <mergeCell ref="D343:D347"/>
    <mergeCell ref="D348:D352"/>
    <mergeCell ref="G379:G383"/>
    <mergeCell ref="H379:H383"/>
    <mergeCell ref="E374:E378"/>
    <mergeCell ref="F374:F378"/>
    <mergeCell ref="G374:G378"/>
    <mergeCell ref="H374:H378"/>
    <mergeCell ref="I374:I378"/>
    <mergeCell ref="E379:E383"/>
    <mergeCell ref="F379:F383"/>
    <mergeCell ref="I379:I383"/>
    <mergeCell ref="D353:D357"/>
    <mergeCell ref="D358:D362"/>
    <mergeCell ref="E384:E388"/>
    <mergeCell ref="F384:F388"/>
    <mergeCell ref="G384:G388"/>
    <mergeCell ref="H384:H388"/>
    <mergeCell ref="B364:B404"/>
    <mergeCell ref="C364:C368"/>
    <mergeCell ref="C369:C373"/>
    <mergeCell ref="C384:C388"/>
    <mergeCell ref="C389:C393"/>
    <mergeCell ref="C394:C398"/>
    <mergeCell ref="C399:C403"/>
    <mergeCell ref="D364:D368"/>
    <mergeCell ref="D369:D373"/>
    <mergeCell ref="E369:E373"/>
    <mergeCell ref="F369:F373"/>
    <mergeCell ref="G369:G373"/>
    <mergeCell ref="H369:H373"/>
    <mergeCell ref="I369:I373"/>
    <mergeCell ref="E399:E403"/>
    <mergeCell ref="F399:F403"/>
    <mergeCell ref="C9:C13"/>
    <mergeCell ref="C117:C121"/>
    <mergeCell ref="C158:C162"/>
    <mergeCell ref="D158:D162"/>
    <mergeCell ref="C163:C167"/>
    <mergeCell ref="D163:D167"/>
    <mergeCell ref="C168:C172"/>
    <mergeCell ref="D168:D172"/>
    <mergeCell ref="C173:C177"/>
    <mergeCell ref="D173:D177"/>
    <mergeCell ref="C282:C286"/>
    <mergeCell ref="D282:D286"/>
    <mergeCell ref="C287:C291"/>
    <mergeCell ref="D287:D291"/>
    <mergeCell ref="B76:B116"/>
    <mergeCell ref="C76:C80"/>
    <mergeCell ref="J282:J286"/>
    <mergeCell ref="K282:K286"/>
    <mergeCell ref="J287:J291"/>
    <mergeCell ref="K287:K291"/>
    <mergeCell ref="K292:K296"/>
    <mergeCell ref="J292:J296"/>
    <mergeCell ref="J297:J301"/>
    <mergeCell ref="J303:J307"/>
    <mergeCell ref="J308:J312"/>
    <mergeCell ref="K308:K312"/>
    <mergeCell ref="J313:J317"/>
    <mergeCell ref="K313:K317"/>
    <mergeCell ref="J318:J322"/>
    <mergeCell ref="K318:K322"/>
    <mergeCell ref="J323:J327"/>
    <mergeCell ref="K323:K327"/>
    <mergeCell ref="J328:J332"/>
    <mergeCell ref="K328:K332"/>
    <mergeCell ref="K333:K337"/>
    <mergeCell ref="J333:J337"/>
    <mergeCell ref="J338:J342"/>
    <mergeCell ref="J343:J347"/>
    <mergeCell ref="J348:J352"/>
    <mergeCell ref="J353:J357"/>
    <mergeCell ref="J358:J362"/>
    <mergeCell ref="J364:J368"/>
    <mergeCell ref="K374:K378"/>
    <mergeCell ref="K379:K383"/>
    <mergeCell ref="K384:K388"/>
    <mergeCell ref="K389:K393"/>
    <mergeCell ref="K394:K398"/>
    <mergeCell ref="K399:K403"/>
    <mergeCell ref="K405:K409"/>
    <mergeCell ref="K410:K414"/>
    <mergeCell ref="K338:K342"/>
    <mergeCell ref="K343:K347"/>
    <mergeCell ref="K348:K352"/>
    <mergeCell ref="K353:K357"/>
    <mergeCell ref="K358:K362"/>
    <mergeCell ref="K364:K368"/>
    <mergeCell ref="K369:K373"/>
    <mergeCell ref="J405:J409"/>
    <mergeCell ref="J410:J414"/>
    <mergeCell ref="J369:J373"/>
    <mergeCell ref="J374:J378"/>
    <mergeCell ref="J379:J383"/>
    <mergeCell ref="J384:J388"/>
    <mergeCell ref="J389:J393"/>
    <mergeCell ref="J394:J398"/>
    <mergeCell ref="J399:J403"/>
    <mergeCell ref="C132:C141"/>
    <mergeCell ref="D132:D141"/>
    <mergeCell ref="C142:C146"/>
    <mergeCell ref="D142:D146"/>
    <mergeCell ref="C147:C151"/>
    <mergeCell ref="D147:D151"/>
    <mergeCell ref="K297:K301"/>
    <mergeCell ref="K303:K307"/>
    <mergeCell ref="G313:G317"/>
    <mergeCell ref="H313:H317"/>
    <mergeCell ref="E308:E312"/>
    <mergeCell ref="F308:F312"/>
    <mergeCell ref="G308:G312"/>
    <mergeCell ref="H308:H312"/>
    <mergeCell ref="I308:I312"/>
    <mergeCell ref="F313:F317"/>
    <mergeCell ref="I313:I317"/>
    <mergeCell ref="C152:C157"/>
    <mergeCell ref="D152:D157"/>
    <mergeCell ref="E178:E281"/>
    <mergeCell ref="F178:F281"/>
    <mergeCell ref="G178:G281"/>
    <mergeCell ref="H178:H281"/>
    <mergeCell ref="I178:I281"/>
    <mergeCell ref="G287:G291"/>
    <mergeCell ref="H287:H291"/>
    <mergeCell ref="E282:E286"/>
    <mergeCell ref="F282:F286"/>
    <mergeCell ref="G282:G286"/>
    <mergeCell ref="H282:H286"/>
    <mergeCell ref="I282:I286"/>
    <mergeCell ref="F287:F291"/>
    <mergeCell ref="I287:I291"/>
    <mergeCell ref="H297:H301"/>
    <mergeCell ref="I297:I301"/>
    <mergeCell ref="E287:E291"/>
    <mergeCell ref="E292:E296"/>
    <mergeCell ref="F292:F296"/>
    <mergeCell ref="G292:G296"/>
    <mergeCell ref="H292:H296"/>
    <mergeCell ref="I292:I296"/>
    <mergeCell ref="E297:E301"/>
    <mergeCell ref="F297:F301"/>
    <mergeCell ref="G297:G301"/>
    <mergeCell ref="E303:E307"/>
    <mergeCell ref="F303:F307"/>
    <mergeCell ref="G303:G307"/>
    <mergeCell ref="H303:H307"/>
    <mergeCell ref="I303:I307"/>
    <mergeCell ref="F323:F327"/>
    <mergeCell ref="G323:G327"/>
    <mergeCell ref="C178:C281"/>
    <mergeCell ref="D178:D281"/>
    <mergeCell ref="C292:C296"/>
    <mergeCell ref="D292:D296"/>
    <mergeCell ref="C297:C301"/>
    <mergeCell ref="D297:D301"/>
    <mergeCell ref="D303:D307"/>
    <mergeCell ref="D308:D312"/>
    <mergeCell ref="D313:D317"/>
    <mergeCell ref="D318:D322"/>
    <mergeCell ref="C333:C337"/>
    <mergeCell ref="C338:C342"/>
    <mergeCell ref="D323:D327"/>
    <mergeCell ref="D328:D332"/>
    <mergeCell ref="E405:E409"/>
    <mergeCell ref="F405:F409"/>
    <mergeCell ref="G405:G409"/>
    <mergeCell ref="E389:E393"/>
    <mergeCell ref="F389:F393"/>
    <mergeCell ref="G389:G393"/>
    <mergeCell ref="C308:C312"/>
    <mergeCell ref="C313:C317"/>
    <mergeCell ref="C318:C322"/>
    <mergeCell ref="C323:C327"/>
    <mergeCell ref="C328:C332"/>
    <mergeCell ref="C374:C378"/>
    <mergeCell ref="C379:C383"/>
    <mergeCell ref="H405:H409"/>
    <mergeCell ref="I405:I409"/>
    <mergeCell ref="E435:E439"/>
    <mergeCell ref="F435:F439"/>
    <mergeCell ref="G435:G439"/>
    <mergeCell ref="H435:H439"/>
    <mergeCell ref="I435:I439"/>
    <mergeCell ref="J435:J439"/>
    <mergeCell ref="K435:K439"/>
    <mergeCell ref="E440:E444"/>
    <mergeCell ref="F440:F444"/>
    <mergeCell ref="G440:G444"/>
    <mergeCell ref="H440:H444"/>
    <mergeCell ref="I440:I444"/>
    <mergeCell ref="J440:J444"/>
    <mergeCell ref="K440:K444"/>
    <mergeCell ref="E445:E449"/>
    <mergeCell ref="F445:F449"/>
    <mergeCell ref="G445:G449"/>
    <mergeCell ref="H445:H449"/>
    <mergeCell ref="I445:I449"/>
    <mergeCell ref="J445:J449"/>
    <mergeCell ref="K445:K449"/>
    <mergeCell ref="E410:E414"/>
    <mergeCell ref="F410:F414"/>
    <mergeCell ref="G410:G414"/>
    <mergeCell ref="H410:H414"/>
    <mergeCell ref="I410:I414"/>
    <mergeCell ref="I425:I429"/>
    <mergeCell ref="J425:J429"/>
    <mergeCell ref="K425:K429"/>
    <mergeCell ref="E430:E434"/>
    <mergeCell ref="E450:E454"/>
    <mergeCell ref="F450:F454"/>
    <mergeCell ref="G450:G454"/>
    <mergeCell ref="H450:H454"/>
    <mergeCell ref="I450:I454"/>
    <mergeCell ref="J450:J454"/>
    <mergeCell ref="K450:K454"/>
    <mergeCell ref="E455:E459"/>
    <mergeCell ref="F455:F459"/>
    <mergeCell ref="G455:G459"/>
    <mergeCell ref="H455:H459"/>
    <mergeCell ref="I455:I459"/>
    <mergeCell ref="J455:J459"/>
    <mergeCell ref="K455:K459"/>
    <mergeCell ref="E460:E464"/>
    <mergeCell ref="F460:F464"/>
    <mergeCell ref="G460:G464"/>
    <mergeCell ref="H460:H464"/>
    <mergeCell ref="I460:I464"/>
    <mergeCell ref="J460:J464"/>
    <mergeCell ref="K460:K464"/>
    <mergeCell ref="E465:E469"/>
    <mergeCell ref="F465:F469"/>
    <mergeCell ref="G465:G469"/>
    <mergeCell ref="H465:H469"/>
    <mergeCell ref="I465:I469"/>
    <mergeCell ref="J465:J469"/>
    <mergeCell ref="K465:K469"/>
    <mergeCell ref="E470:E474"/>
    <mergeCell ref="F470:F474"/>
    <mergeCell ref="G470:G474"/>
    <mergeCell ref="H470:H474"/>
    <mergeCell ref="I470:I474"/>
    <mergeCell ref="J470:J474"/>
    <mergeCell ref="K470:K474"/>
    <mergeCell ref="E486:E490"/>
    <mergeCell ref="F486:F490"/>
    <mergeCell ref="G486:G490"/>
    <mergeCell ref="H486:H490"/>
    <mergeCell ref="I486:I490"/>
    <mergeCell ref="J486:J490"/>
    <mergeCell ref="K486:K490"/>
    <mergeCell ref="J481:J485"/>
    <mergeCell ref="K481:K485"/>
    <mergeCell ref="E491:E495"/>
    <mergeCell ref="F491:F495"/>
    <mergeCell ref="G491:G495"/>
    <mergeCell ref="H491:H495"/>
    <mergeCell ref="I491:I495"/>
    <mergeCell ref="J491:J495"/>
    <mergeCell ref="K491:K495"/>
    <mergeCell ref="E496:E500"/>
    <mergeCell ref="F496:F500"/>
    <mergeCell ref="G496:G500"/>
    <mergeCell ref="H496:H500"/>
    <mergeCell ref="I496:I500"/>
    <mergeCell ref="J496:J500"/>
    <mergeCell ref="K496:K500"/>
    <mergeCell ref="E501:E505"/>
    <mergeCell ref="F501:F505"/>
    <mergeCell ref="G501:G505"/>
    <mergeCell ref="H501:H505"/>
    <mergeCell ref="I501:I505"/>
    <mergeCell ref="J501:J505"/>
    <mergeCell ref="K501:K505"/>
    <mergeCell ref="E506:E510"/>
    <mergeCell ref="F506:F510"/>
    <mergeCell ref="G506:G510"/>
    <mergeCell ref="H506:H510"/>
    <mergeCell ref="I506:I510"/>
    <mergeCell ref="J506:J510"/>
    <mergeCell ref="K506:K510"/>
    <mergeCell ref="E511:E515"/>
    <mergeCell ref="F511:F515"/>
    <mergeCell ref="G511:G515"/>
    <mergeCell ref="H511:H515"/>
    <mergeCell ref="I511:I515"/>
    <mergeCell ref="J511:J515"/>
    <mergeCell ref="K511:K515"/>
    <mergeCell ref="E516:E520"/>
    <mergeCell ref="F516:F520"/>
    <mergeCell ref="G516:G520"/>
    <mergeCell ref="H516:H520"/>
    <mergeCell ref="I516:I520"/>
    <mergeCell ref="J516:J520"/>
    <mergeCell ref="K516:K520"/>
    <mergeCell ref="E521:E525"/>
    <mergeCell ref="F521:F525"/>
    <mergeCell ref="G521:G525"/>
    <mergeCell ref="H521:H525"/>
    <mergeCell ref="I521:I525"/>
    <mergeCell ref="J521:J525"/>
    <mergeCell ref="K521:K525"/>
    <mergeCell ref="E526:E530"/>
    <mergeCell ref="F526:F530"/>
    <mergeCell ref="G526:G530"/>
    <mergeCell ref="H526:H530"/>
    <mergeCell ref="I526:I530"/>
    <mergeCell ref="J526:J530"/>
    <mergeCell ref="K526:K530"/>
    <mergeCell ref="E531:E535"/>
    <mergeCell ref="F531:F535"/>
    <mergeCell ref="G531:G535"/>
    <mergeCell ref="H531:H535"/>
    <mergeCell ref="I531:I535"/>
    <mergeCell ref="J531:J535"/>
    <mergeCell ref="K531:K535"/>
    <mergeCell ref="E536:E540"/>
    <mergeCell ref="F536:F540"/>
    <mergeCell ref="G536:G540"/>
    <mergeCell ref="H536:H540"/>
    <mergeCell ref="I536:I540"/>
    <mergeCell ref="J536:J540"/>
    <mergeCell ref="K536:K540"/>
    <mergeCell ref="E541:E545"/>
    <mergeCell ref="F541:F545"/>
    <mergeCell ref="G541:G545"/>
    <mergeCell ref="H541:H545"/>
    <mergeCell ref="I541:I545"/>
    <mergeCell ref="J541:J545"/>
    <mergeCell ref="K541:K545"/>
    <mergeCell ref="E546:E550"/>
    <mergeCell ref="F546:F550"/>
    <mergeCell ref="G546:G550"/>
    <mergeCell ref="H546:H550"/>
    <mergeCell ref="I546:I550"/>
    <mergeCell ref="J546:J550"/>
    <mergeCell ref="K546:K550"/>
    <mergeCell ref="E551:E555"/>
    <mergeCell ref="F551:F555"/>
    <mergeCell ref="G551:G555"/>
    <mergeCell ref="H551:H555"/>
    <mergeCell ref="I551:I555"/>
    <mergeCell ref="J551:J555"/>
    <mergeCell ref="K551:K555"/>
    <mergeCell ref="E557:E561"/>
    <mergeCell ref="F557:F561"/>
    <mergeCell ref="G557:G561"/>
    <mergeCell ref="H557:H561"/>
    <mergeCell ref="I557:I561"/>
    <mergeCell ref="J557:J561"/>
    <mergeCell ref="K557:K561"/>
    <mergeCell ref="E562:E566"/>
    <mergeCell ref="F562:F566"/>
    <mergeCell ref="G562:G566"/>
    <mergeCell ref="H562:H566"/>
    <mergeCell ref="I562:I566"/>
    <mergeCell ref="J562:J566"/>
    <mergeCell ref="K562:K566"/>
    <mergeCell ref="E567:E571"/>
    <mergeCell ref="F567:F571"/>
    <mergeCell ref="G567:G571"/>
    <mergeCell ref="H567:H571"/>
    <mergeCell ref="I567:I571"/>
    <mergeCell ref="J567:J571"/>
    <mergeCell ref="K567:K571"/>
    <mergeCell ref="E572:E576"/>
    <mergeCell ref="F572:F576"/>
    <mergeCell ref="G572:G576"/>
    <mergeCell ref="H572:H576"/>
    <mergeCell ref="I572:I576"/>
    <mergeCell ref="J572:J576"/>
    <mergeCell ref="K572:K576"/>
    <mergeCell ref="E577:E581"/>
    <mergeCell ref="F577:F581"/>
    <mergeCell ref="G577:G581"/>
    <mergeCell ref="H577:H581"/>
    <mergeCell ref="I577:I581"/>
    <mergeCell ref="J577:J581"/>
    <mergeCell ref="K577:K581"/>
    <mergeCell ref="E582:E586"/>
    <mergeCell ref="F582:F586"/>
    <mergeCell ref="G582:G586"/>
    <mergeCell ref="H582:H586"/>
    <mergeCell ref="I582:I586"/>
    <mergeCell ref="J582:J586"/>
    <mergeCell ref="K582:K586"/>
    <mergeCell ref="E587:E591"/>
    <mergeCell ref="F587:F591"/>
    <mergeCell ref="G587:G591"/>
    <mergeCell ref="H587:H591"/>
    <mergeCell ref="I587:I591"/>
    <mergeCell ref="J587:J591"/>
    <mergeCell ref="K587:K591"/>
    <mergeCell ref="E592:E596"/>
    <mergeCell ref="F592:F596"/>
    <mergeCell ref="G592:G596"/>
    <mergeCell ref="H592:H596"/>
    <mergeCell ref="I592:I596"/>
    <mergeCell ref="J592:J596"/>
    <mergeCell ref="K592:K596"/>
    <mergeCell ref="E627:E631"/>
    <mergeCell ref="F627:F631"/>
    <mergeCell ref="G627:G631"/>
    <mergeCell ref="H627:H631"/>
    <mergeCell ref="I627:I631"/>
    <mergeCell ref="J627:J631"/>
    <mergeCell ref="K627:K631"/>
    <mergeCell ref="E633:E637"/>
    <mergeCell ref="F633:F637"/>
    <mergeCell ref="G633:G637"/>
    <mergeCell ref="H633:H637"/>
    <mergeCell ref="I633:I637"/>
    <mergeCell ref="J633:J637"/>
    <mergeCell ref="K633:K637"/>
    <mergeCell ref="E668:E672"/>
    <mergeCell ref="F668:F672"/>
    <mergeCell ref="G668:G672"/>
    <mergeCell ref="H668:H672"/>
    <mergeCell ref="I668:I672"/>
    <mergeCell ref="J668:J672"/>
    <mergeCell ref="K668:K672"/>
    <mergeCell ref="E638:E642"/>
    <mergeCell ref="F638:F642"/>
    <mergeCell ref="G638:G642"/>
    <mergeCell ref="H638:H642"/>
    <mergeCell ref="I638:I642"/>
    <mergeCell ref="J638:J642"/>
    <mergeCell ref="K638:K642"/>
    <mergeCell ref="E643:E647"/>
    <mergeCell ref="F643:F647"/>
    <mergeCell ref="G643:G647"/>
    <mergeCell ref="H643:H647"/>
    <mergeCell ref="E673:E677"/>
    <mergeCell ref="F673:F677"/>
    <mergeCell ref="G673:G677"/>
    <mergeCell ref="H673:H677"/>
    <mergeCell ref="I673:I677"/>
    <mergeCell ref="J673:J677"/>
    <mergeCell ref="K673:K677"/>
    <mergeCell ref="E678:E682"/>
    <mergeCell ref="F678:F682"/>
    <mergeCell ref="G678:G682"/>
    <mergeCell ref="H678:H682"/>
    <mergeCell ref="I678:I682"/>
    <mergeCell ref="J678:J682"/>
    <mergeCell ref="K678:K682"/>
    <mergeCell ref="E683:E687"/>
    <mergeCell ref="F683:F687"/>
    <mergeCell ref="G683:G687"/>
    <mergeCell ref="H683:H687"/>
    <mergeCell ref="I683:I687"/>
    <mergeCell ref="J683:J687"/>
    <mergeCell ref="K683:K687"/>
    <mergeCell ref="E688:E692"/>
    <mergeCell ref="F688:F692"/>
    <mergeCell ref="G688:G692"/>
    <mergeCell ref="H688:H692"/>
    <mergeCell ref="I688:I692"/>
    <mergeCell ref="J688:J692"/>
    <mergeCell ref="K688:K692"/>
    <mergeCell ref="E693:E697"/>
    <mergeCell ref="F693:F697"/>
    <mergeCell ref="G693:G697"/>
    <mergeCell ref="H693:H697"/>
    <mergeCell ref="I693:I697"/>
    <mergeCell ref="J693:J697"/>
    <mergeCell ref="K693:K697"/>
    <mergeCell ref="G415:G419"/>
    <mergeCell ref="H415:H419"/>
    <mergeCell ref="I415:I419"/>
    <mergeCell ref="J415:J419"/>
    <mergeCell ref="K415:K419"/>
    <mergeCell ref="E415:E419"/>
    <mergeCell ref="F415:F419"/>
    <mergeCell ref="E420:E424"/>
    <mergeCell ref="F420:F424"/>
    <mergeCell ref="G420:G424"/>
    <mergeCell ref="H420:H424"/>
    <mergeCell ref="I420:I424"/>
    <mergeCell ref="J420:J424"/>
    <mergeCell ref="K420:K424"/>
    <mergeCell ref="E425:E429"/>
    <mergeCell ref="F425:F429"/>
    <mergeCell ref="G425:G429"/>
    <mergeCell ref="H425:H429"/>
    <mergeCell ref="F430:F434"/>
    <mergeCell ref="G430:G434"/>
    <mergeCell ref="H430:H434"/>
    <mergeCell ref="I430:I434"/>
    <mergeCell ref="J430:J434"/>
    <mergeCell ref="K430:K434"/>
    <mergeCell ref="E703:E707"/>
    <mergeCell ref="F703:F707"/>
    <mergeCell ref="G703:G707"/>
    <mergeCell ref="H703:H707"/>
    <mergeCell ref="I703:I707"/>
    <mergeCell ref="J703:J707"/>
    <mergeCell ref="K703:K707"/>
    <mergeCell ref="E698:E702"/>
    <mergeCell ref="F698:F702"/>
    <mergeCell ref="G698:G702"/>
    <mergeCell ref="H698:H702"/>
    <mergeCell ref="I698:I702"/>
    <mergeCell ref="J698:J702"/>
    <mergeCell ref="K698:K702"/>
    <mergeCell ref="E475:E479"/>
    <mergeCell ref="F475:F479"/>
    <mergeCell ref="G475:G479"/>
    <mergeCell ref="H475:H479"/>
    <mergeCell ref="I475:I479"/>
    <mergeCell ref="J475:J479"/>
    <mergeCell ref="K475:K479"/>
    <mergeCell ref="E481:E485"/>
    <mergeCell ref="F481:F485"/>
    <mergeCell ref="G481:G485"/>
    <mergeCell ref="H481:H485"/>
    <mergeCell ref="I481:I485"/>
    <mergeCell ref="E597:E601"/>
    <mergeCell ref="F597:F601"/>
    <mergeCell ref="G597:G601"/>
    <mergeCell ref="H597:H601"/>
    <mergeCell ref="I597:I601"/>
    <mergeCell ref="J597:J601"/>
    <mergeCell ref="K597:K601"/>
    <mergeCell ref="E602:E606"/>
    <mergeCell ref="F602:F606"/>
    <mergeCell ref="G602:G606"/>
    <mergeCell ref="H602:H606"/>
    <mergeCell ref="I602:I606"/>
    <mergeCell ref="J602:J606"/>
    <mergeCell ref="K602:K606"/>
    <mergeCell ref="E607:E611"/>
    <mergeCell ref="F607:F611"/>
    <mergeCell ref="G607:G611"/>
    <mergeCell ref="H607:H611"/>
    <mergeCell ref="I607:I611"/>
    <mergeCell ref="J607:J611"/>
    <mergeCell ref="K607:K611"/>
    <mergeCell ref="E612:E616"/>
    <mergeCell ref="F612:F616"/>
    <mergeCell ref="G612:G616"/>
    <mergeCell ref="H612:H616"/>
    <mergeCell ref="I612:I616"/>
    <mergeCell ref="J612:J616"/>
    <mergeCell ref="K612:K616"/>
    <mergeCell ref="E617:E621"/>
    <mergeCell ref="F617:F621"/>
    <mergeCell ref="G617:G621"/>
    <mergeCell ref="H617:H621"/>
    <mergeCell ref="I617:I621"/>
    <mergeCell ref="J617:J621"/>
    <mergeCell ref="K617:K621"/>
    <mergeCell ref="E622:E626"/>
    <mergeCell ref="F622:F626"/>
    <mergeCell ref="G622:G626"/>
    <mergeCell ref="H622:H626"/>
    <mergeCell ref="I622:I626"/>
    <mergeCell ref="J622:J626"/>
    <mergeCell ref="K622:K626"/>
    <mergeCell ref="E658:E662"/>
    <mergeCell ref="F658:F662"/>
    <mergeCell ref="G658:G662"/>
    <mergeCell ref="H658:H662"/>
    <mergeCell ref="I658:I662"/>
    <mergeCell ref="J658:J662"/>
    <mergeCell ref="K658:K662"/>
    <mergeCell ref="E663:E667"/>
    <mergeCell ref="F663:F667"/>
    <mergeCell ref="G663:G667"/>
    <mergeCell ref="H663:H667"/>
    <mergeCell ref="I663:I667"/>
    <mergeCell ref="J663:J667"/>
    <mergeCell ref="K663:K667"/>
    <mergeCell ref="I643:I647"/>
    <mergeCell ref="J643:J647"/>
    <mergeCell ref="K643:K647"/>
    <mergeCell ref="E648:E652"/>
    <mergeCell ref="F648:F652"/>
    <mergeCell ref="G648:G652"/>
    <mergeCell ref="H648:H652"/>
    <mergeCell ref="I648:I652"/>
    <mergeCell ref="J648:J652"/>
    <mergeCell ref="K648:K652"/>
    <mergeCell ref="E653:E657"/>
    <mergeCell ref="F653:F657"/>
    <mergeCell ref="G653:G657"/>
    <mergeCell ref="H653:H657"/>
    <mergeCell ref="I653:I657"/>
    <mergeCell ref="J653:J657"/>
    <mergeCell ref="K653:K657"/>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5">
    <dataValidation type="list" allowBlank="1" showInputMessage="1" showErrorMessage="1" prompt="Orientación: - Escoja un Lineamiento Estratégico de la lista despegable." sqref="F9 F14 F117 F303 F364 F405 F410 F415 F420 F425 F430 F435 F440 F445 F450 F455 F460 F465 F470 F481 F486 F491 F496 F501 F506 F511 F516 F521 F526 F531 F536 F541 F546 F557 F562 F567 F572 F577 F582 F587 F592 F597 F602 F607 F612 F617 F622 F627 F688">
      <formula1>INDIRECT($E9)</formula1>
    </dataValidation>
    <dataValidation type="list" allowBlank="1" showInputMessage="1" showErrorMessage="1" prompt="Orientación: - Escoja un Eje Estratégico de la lista despegable." sqref="E9 E14 E117 E303 E364 E405 E410 E415 E420 E425 E430 E435 E440 E445 E450 E455 E460 E465 E470 E481 E486 E491 E496 E501 E506 E511 E516 E521 E526 E531 E536 E541 E546 E557 E562 E567 E572 E577 E582 E587 E592 E597 E602 E607 E612 E617 E622 E627 E688">
      <formula1>INDIRECT($G9)</formula1>
    </dataValidation>
    <dataValidation type="list" allowBlank="1" showErrorMessage="1" sqref="F49 F54 F59 F76 F81 F86 F91 F96 F101 F106 F111 F122 F127 F132 F142 F147 F152 F158 F163 F168 F173 F178 F282 F287 F292 F297 F308 F313 F318 F323 F328 F333 F338 F343 F348 F353 F358 F369 F374 F379 F384 F389 F394 F399 F475 F551 F633 F638 F643 F648 F653 F658 F663 F668 F673 F678 F683 F693 F698 F703">
      <formula1>INDIRECT($E49)</formula1>
    </dataValidation>
    <dataValidation type="list" allowBlank="1" showErrorMessage="1" sqref="E49 E54 E59 E76 E81 E86 E91 E96 E101 E106 E111 E122 E127 E132 E142 E147 E152 E158 E163 E168 E173 E178 E282 E287 E292 E297 E308 E313 E318 E323 E328 E333 E338 E343 E348 E353 E358 E369 E374 E379 E384 E389 E394 E399 E475 E551 E633 E638 E643 E648 E653 E658 E663 E668 E673 E678 E683 E693 E698 E703">
      <formula1>INDIRECT($G49)</formula1>
    </dataValidation>
    <dataValidation type="decimal" allowBlank="1" showInputMessage="1" showErrorMessage="1" prompt="DPLAN - Sólo debe ingresar valores, NO porcentajes." sqref="M9:O9 M59:O59 M76:O76 M86:O86 M91:O91 M101:O101 M106:O106 M111:O111 M117:O117 M142:O142 M147:O147 M158:O158 M163:O163 M173:O173 M178:O178 M183 O183 M189:O189 M194:O194 M199:O199 M219:O219 M230:O230 M235:O235 M245:O245 M257:O257 M267:O267 M282:O282 M287:O287 M292:O292 M297:O297 M303:O303 M323:O323 M328:O328 M338:O338 M343:O343 M353:O353 M358:O358 M364:O364 M389:O389 M394:O394 M405:O405 M410:O410 M415:O415 M420:O420 M425:O425 M430:O430 M435:O435 M440:O440 M445:O445 M450:O450 M455:O455 M460:O460 M465:O465 M470:O470 M481:O481 M486:O486 M491:O491 M496:O496 M501:O501 M506:O506 M511:O511 M516:O516 M521:O521 M526:O526 M531:O531 M536:O536 M541:O541 M546:O546 M557:O557 M562:O562 M567:O567 M572:O572 M577:O577 M582:O582 M587:O587 M592:O592 M597:O597 M602:O602 M607:O607 M612:O612 M617:O617 M622:O622 M688:O688">
      <formula1>0</formula1>
      <formula2>1000000</formula2>
    </dataValidation>
  </dataValidations>
  <printOptions horizontalCentered="1"/>
  <pageMargins left="0" right="0" top="0.78740157480314965" bottom="0.35433070866141736" header="0" footer="0"/>
  <pageSetup paperSize="9" scale="24" pageOrder="overThenDown" orientation="landscape" r:id="rId1"/>
  <headerFooter>
    <oddHeader>&amp;L&amp;"Britannic Bold,Normal"&amp;12&amp;K002060POA 2023&amp;"-,Normal"&amp;10&amp;K000000
&amp;"Cambria,Cursiva"&amp;12&amp;K0070C0Facultad de Ciencias Agropecuarias&amp;C&amp;"Century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prompt="Orientación: - Escoja un OEI de la lista despegable.">
          <x14:formula1>
            <xm:f>PEDI!#REF!</xm:f>
          </x14:formula1>
          <xm:sqref>G9 G14 G117 G303 G364 G405 G410 G415 G420 G425 G430 G435 G440 G445 G450 G455 G460 G465 G470 G481 G486 G491 G496 G501 G506 G511 G516 G521 G526 G531 G536 G541 G546 G557 G562 G567 G572 G577 G582 G587 G592 G597 G602 G607 G612 G617 G622 G627 G688</xm:sqref>
        </x14:dataValidation>
        <x14:dataValidation type="list" allowBlank="1" showInputMessage="1" showErrorMessage="1" prompt="Orientación: - Escoja una Estrategia DAFO de la lista despegable.">
          <x14:formula1>
            <xm:f>INDIRECT('Estrategias DAFO'!#REF!)</xm:f>
          </x14:formula1>
          <xm:sqref>I9 I14 I117 I303 I364 I405 I410 I415 I420 I425 I430 I435 I440 I445 I450 I455 I460 I465 I470 I481 I486 I491 I496 I501 I506 I511 I516 I521 I526 I531 I536 I541 I546 I557 I562 I567 I572 I577 I582 I587 I592 I597 I602 I607 I612 I617 I622 I627 I688</xm:sqref>
        </x14:dataValidation>
        <x14:dataValidation type="list" allowBlank="1" showInputMessage="1" showErrorMessage="1" prompt="Orientación: - Escoja una Política Pública/Meta Nacional de la lista despegable.">
          <x14:formula1>
            <xm:f>PND!#REF!</xm:f>
          </x14:formula1>
          <xm:sqref>D9 D14 D59 D117 D303 D364 D405 D410 D415 D420 D425 D430 D435 D440 D445 D450 D455 D460 D465 D470 D481 D486 D491 D496 D501 D506 D511 D516 D521 D526 D531 D536 D541 D546 D557 D562 D567 D572 D577 D582 D587 D592 D597 D602 D607 D612 D617 D622 D627 D688</xm:sqref>
        </x14:dataValidation>
        <x14:dataValidation type="list" allowBlank="1" showErrorMessage="1">
          <x14:formula1>
            <xm:f>INDIRECT('Estrategias DAFO'!#REF!)</xm:f>
          </x14:formula1>
          <xm:sqref>I49 I54 I59 I76 I81 I86 I91 I96 I101 I106 I111 I122 I127 I132 I142 I147 I152 I158 I163 I168 I173 I178 I282 I287 I292 I297 I308 I313 I318 I323 I328 I333 I338 I343 I348 I353 I358 I369 I374 I379 I384 I389 I394 I399 I475 I551 I633 I638 I643 I648 I653 I658 I663 I668 I673 I678 I683 I693 I698 I703</xm:sqref>
        </x14:dataValidation>
        <x14:dataValidation type="list" allowBlank="1" showInputMessage="1" showErrorMessage="1" prompt="Orientación: - Escoja un Objetivo Nacional de la lista despegable.">
          <x14:formula1>
            <xm:f>PND!#REF!</xm:f>
          </x14:formula1>
          <xm:sqref>C9 C117 C303 C364 C405 C410 C415 C420 C425 C430 C435 C440 C445 C450 C455 C460 C465 C470 C481 C486 C491 C496 C501 C506 C511 C516 C521 C526 C531 C536 C541 C546 C557 C562 C567 C572 C577 C582 C587 C592 C597 C602 C607 C612 C617 C622 C627 C688</xm:sqref>
        </x14:dataValidation>
        <x14:dataValidation type="list" allowBlank="1" showErrorMessage="1">
          <x14:formula1>
            <xm:f>(PEDI!#REF!)</xm:f>
          </x14:formula1>
          <xm:sqref>H49 H54 H59 H76 H81 H86 H91 H96 H101 H106 H111 H122 H127 H132 H142 H147 H152 H158 H163 H168 H173 H178 H282 H287 H292 H297 H308 H313 H318 H323 H328 H333 H338 H343 H348 H353 H358 H369 H374 H379 H384 H389 H394 H399 H475 H551 H633 H638 H643 H648 H653 H658 H663 H668 H673 H678 H683 H693 H698 H703</xm:sqref>
        </x14:dataValidation>
        <x14:dataValidation type="list" allowBlank="1" showErrorMessage="1">
          <x14:formula1>
            <xm:f>PEDI!#REF!</xm:f>
          </x14:formula1>
          <xm:sqref>G49 G54 G59 G76 G81 G86 G91 G96 G101 G106 G111 G122 G127 G132 G142 G147 G152 G158 G163 G168 G173 G178 G282 G287 G292 G297 G308 G313 G318 G323 G328 G333 G338 G343 G348 G353 G358 G369 G374 G379 G384 G389 G394 G399 G475 G551 G633 G638 G643 G648 G653 G658 G663 G668 G673 G678 G683 G693 G698 G703</xm:sqref>
        </x14:dataValidation>
        <x14:dataValidation type="list" allowBlank="1" showErrorMessage="1">
          <x14:formula1>
            <xm:f>PND!#REF!</xm:f>
          </x14:formula1>
          <xm:sqref>C14 C59 C49:D49 C54:D54 C76:D76 C81:D81 C86:D86 C91:D91 C96:D96 C101:D101 C106:D106 C111:D111 C122:D122 C127:D127 C132:D132 C142:D142 C147:D147 C152:D152 C158:D158 C163:D163 C168:D168 C173:D173 C178:D178 C282:D282 C287:D287 C292:D292 C297:D297 C308:D308 C313:D313 C318:D318 C323:D323 C328:D328 C333:D333 C338:D338 C343:D343 C348:D348 C353:D353 C358:D358 C369:D369 C374:D374 C379:D379 C384:D384 C389:D389 C394:D394 C399:D399 C475:D475 C551:D551 C633:D633 C638:D638 C643:D643 C648:D648 C653:D653 C658:D658 C663:D663 C668:D668 C673:D673 C678:D678 C683:D683 C693:D693 C698:D698 C703:D703</xm:sqref>
        </x14:dataValidation>
        <x14:dataValidation type="list" allowBlank="1" showInputMessage="1" showErrorMessage="1" prompt="Orientación: - Escoja un Producto Institucional de la lista despegable.">
          <x14:formula1>
            <xm:f>(PEDI!#REF!)</xm:f>
          </x14:formula1>
          <xm:sqref>H9 H14 H117 H303 H364 H405 H410 H415 H420 H425 H430 H435 H440 H445 H450 H455 H460 H465 H470 H481 H486 H491 H496 H501 H506 H511 H516 H521 H526 H531 H536 H541 H546 H557 H562 H567 H572 H577 H582 H587 H592 H597 H602 H607 H612 H617 H622 H627 H688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AE876"/>
  <sheetViews>
    <sheetView showGridLines="0" topLeftCell="S849" workbookViewId="0">
      <selection activeCell="Y860" sqref="Y860"/>
    </sheetView>
  </sheetViews>
  <sheetFormatPr baseColWidth="10" defaultColWidth="12.5703125" defaultRowHeight="15.75" customHeight="1"/>
  <cols>
    <col min="1" max="1" width="7.5703125" customWidth="1"/>
    <col min="2" max="11" width="22.42578125" customWidth="1"/>
    <col min="12" max="14" width="8.7109375" customWidth="1"/>
    <col min="15" max="17" width="22.42578125" customWidth="1"/>
    <col min="18" max="18" width="45" customWidth="1"/>
    <col min="19" max="19" width="16.42578125" customWidth="1"/>
    <col min="20" max="20" width="34.7109375" customWidth="1"/>
    <col min="21" max="21" width="57.7109375" customWidth="1"/>
    <col min="22" max="22" width="30.85546875" customWidth="1"/>
    <col min="23" max="24" width="12" customWidth="1"/>
    <col min="25" max="25" width="14.140625" customWidth="1"/>
    <col min="26" max="26" width="12" customWidth="1"/>
    <col min="27" max="27" width="16.42578125" customWidth="1"/>
    <col min="28" max="30" width="7.7109375" customWidth="1"/>
    <col min="31" max="31" width="19.7109375" customWidth="1"/>
  </cols>
  <sheetData>
    <row r="1" spans="1:31" ht="37.5"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row>
    <row r="2" spans="1:31"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row>
    <row r="3" spans="1:31" ht="30.75">
      <c r="A3" s="4254" t="s">
        <v>1911</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row>
    <row r="4" spans="1:31"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row>
    <row r="5" spans="1:31" ht="13.5" customHeight="1">
      <c r="A5" s="68"/>
      <c r="B5" s="68"/>
      <c r="C5" s="68"/>
      <c r="D5" s="68"/>
      <c r="E5" s="68"/>
      <c r="F5" s="68"/>
      <c r="G5" s="68"/>
      <c r="H5" s="68"/>
      <c r="I5" s="68"/>
      <c r="J5" s="68"/>
      <c r="K5" s="68"/>
      <c r="L5" s="68"/>
      <c r="M5" s="68"/>
      <c r="N5" s="68"/>
      <c r="O5" s="68"/>
      <c r="P5" s="68"/>
      <c r="Q5" s="68"/>
      <c r="R5" s="68"/>
      <c r="S5" s="68"/>
      <c r="T5" s="153"/>
      <c r="U5" s="68"/>
      <c r="V5" s="68"/>
      <c r="W5" s="68"/>
      <c r="X5" s="68"/>
      <c r="Y5" s="68"/>
      <c r="Z5" s="68"/>
      <c r="AA5" s="68"/>
      <c r="AB5" s="68"/>
      <c r="AC5" s="68"/>
      <c r="AD5" s="68"/>
      <c r="AE5" s="68"/>
    </row>
    <row r="6" spans="1:31" ht="26.25" customHeight="1">
      <c r="A6" s="5419" t="s">
        <v>200</v>
      </c>
      <c r="B6" s="5422" t="s">
        <v>201</v>
      </c>
      <c r="C6" s="5423"/>
      <c r="D6" s="5424" t="s">
        <v>202</v>
      </c>
      <c r="E6" s="5425"/>
      <c r="F6" s="5425"/>
      <c r="G6" s="5425"/>
      <c r="H6" s="5426"/>
      <c r="I6" s="5453" t="s">
        <v>203</v>
      </c>
      <c r="J6" s="5454"/>
      <c r="K6" s="5454"/>
      <c r="L6" s="5454"/>
      <c r="M6" s="5454"/>
      <c r="N6" s="5454"/>
      <c r="O6" s="5454"/>
      <c r="P6" s="5454"/>
      <c r="Q6" s="5455"/>
      <c r="R6" s="5456" t="s">
        <v>204</v>
      </c>
      <c r="S6" s="5457"/>
      <c r="T6" s="5457"/>
      <c r="U6" s="5457"/>
      <c r="V6" s="5457"/>
      <c r="W6" s="5457"/>
      <c r="X6" s="5457"/>
      <c r="Y6" s="5457"/>
      <c r="Z6" s="5457"/>
      <c r="AA6" s="5457"/>
      <c r="AB6" s="5457"/>
      <c r="AC6" s="5457"/>
      <c r="AD6" s="5457"/>
      <c r="AE6" s="5458"/>
    </row>
    <row r="7" spans="1:31" ht="49.5" customHeight="1">
      <c r="A7" s="5420"/>
      <c r="B7" s="5411" t="s">
        <v>205</v>
      </c>
      <c r="C7" s="5437" t="s">
        <v>206</v>
      </c>
      <c r="D7" s="5408" t="s">
        <v>207</v>
      </c>
      <c r="E7" s="5408" t="s">
        <v>208</v>
      </c>
      <c r="F7" s="5408" t="s">
        <v>209</v>
      </c>
      <c r="G7" s="5408" t="s">
        <v>210</v>
      </c>
      <c r="H7" s="5408" t="s">
        <v>211</v>
      </c>
      <c r="I7" s="5430" t="s">
        <v>212</v>
      </c>
      <c r="J7" s="5413" t="s">
        <v>213</v>
      </c>
      <c r="K7" s="5413" t="s">
        <v>214</v>
      </c>
      <c r="L7" s="5432" t="s">
        <v>215</v>
      </c>
      <c r="M7" s="5433"/>
      <c r="N7" s="5434"/>
      <c r="O7" s="5413" t="s">
        <v>216</v>
      </c>
      <c r="P7" s="5413" t="s">
        <v>217</v>
      </c>
      <c r="Q7" s="5435" t="s">
        <v>218</v>
      </c>
      <c r="R7" s="5459" t="s">
        <v>219</v>
      </c>
      <c r="S7" s="5460"/>
      <c r="T7" s="5460"/>
      <c r="U7" s="5460"/>
      <c r="V7" s="5460"/>
      <c r="W7" s="5460"/>
      <c r="X7" s="5461"/>
      <c r="Y7" s="5462" t="s">
        <v>220</v>
      </c>
      <c r="Z7" s="5460"/>
      <c r="AA7" s="5461"/>
      <c r="AB7" s="5462" t="s">
        <v>221</v>
      </c>
      <c r="AC7" s="5460"/>
      <c r="AD7" s="5461"/>
      <c r="AE7" s="5463" t="s">
        <v>222</v>
      </c>
    </row>
    <row r="8" spans="1:31" ht="49.5" customHeight="1">
      <c r="A8" s="5421"/>
      <c r="B8" s="5412"/>
      <c r="C8" s="5438"/>
      <c r="D8" s="5409"/>
      <c r="E8" s="5409"/>
      <c r="F8" s="5409"/>
      <c r="G8" s="5409"/>
      <c r="H8" s="5409"/>
      <c r="I8" s="5431"/>
      <c r="J8" s="5414"/>
      <c r="K8" s="5414"/>
      <c r="L8" s="713" t="s">
        <v>223</v>
      </c>
      <c r="M8" s="713" t="s">
        <v>224</v>
      </c>
      <c r="N8" s="713" t="s">
        <v>225</v>
      </c>
      <c r="O8" s="5414"/>
      <c r="P8" s="5414"/>
      <c r="Q8" s="5436"/>
      <c r="R8" s="714" t="s">
        <v>226</v>
      </c>
      <c r="S8" s="965" t="s">
        <v>227</v>
      </c>
      <c r="T8" s="715" t="s">
        <v>228</v>
      </c>
      <c r="U8" s="965" t="s">
        <v>229</v>
      </c>
      <c r="V8" s="965" t="s">
        <v>230</v>
      </c>
      <c r="W8" s="965" t="s">
        <v>1912</v>
      </c>
      <c r="X8" s="716" t="s">
        <v>231</v>
      </c>
      <c r="Y8" s="965" t="s">
        <v>232</v>
      </c>
      <c r="Z8" s="965" t="s">
        <v>233</v>
      </c>
      <c r="AA8" s="965" t="s">
        <v>234</v>
      </c>
      <c r="AB8" s="1755" t="s">
        <v>223</v>
      </c>
      <c r="AC8" s="1755" t="s">
        <v>224</v>
      </c>
      <c r="AD8" s="1755" t="s">
        <v>225</v>
      </c>
      <c r="AE8" s="5464"/>
    </row>
    <row r="9" spans="1:31" ht="37.5" customHeight="1">
      <c r="A9" s="4777" t="s">
        <v>1476</v>
      </c>
      <c r="B9" s="5373" t="s">
        <v>235</v>
      </c>
      <c r="C9" s="5387" t="s">
        <v>236</v>
      </c>
      <c r="D9" s="5387" t="s">
        <v>237</v>
      </c>
      <c r="E9" s="5387" t="s">
        <v>326</v>
      </c>
      <c r="F9" s="5410" t="s">
        <v>239</v>
      </c>
      <c r="G9" s="5387" t="s">
        <v>240</v>
      </c>
      <c r="H9" s="5387" t="s">
        <v>257</v>
      </c>
      <c r="I9" s="5387" t="s">
        <v>1913</v>
      </c>
      <c r="J9" s="5387" t="s">
        <v>1477</v>
      </c>
      <c r="K9" s="5387" t="s">
        <v>1914</v>
      </c>
      <c r="L9" s="5429">
        <v>1</v>
      </c>
      <c r="M9" s="5429">
        <v>1</v>
      </c>
      <c r="N9" s="5429">
        <v>2</v>
      </c>
      <c r="O9" s="5387" t="s">
        <v>1915</v>
      </c>
      <c r="P9" s="5387" t="s">
        <v>1916</v>
      </c>
      <c r="Q9" s="5427" t="s">
        <v>1917</v>
      </c>
      <c r="R9" s="717"/>
      <c r="S9" s="718"/>
      <c r="T9" s="718"/>
      <c r="U9" s="719"/>
      <c r="V9" s="720"/>
      <c r="W9" s="720"/>
      <c r="X9" s="721"/>
      <c r="Y9" s="721"/>
      <c r="Z9" s="721"/>
      <c r="AA9" s="722"/>
      <c r="AB9" s="155"/>
      <c r="AC9" s="156"/>
      <c r="AD9" s="156"/>
      <c r="AE9" s="5428"/>
    </row>
    <row r="10" spans="1:31" ht="37.5" customHeight="1">
      <c r="A10" s="5405"/>
      <c r="B10" s="5349"/>
      <c r="C10" s="5326"/>
      <c r="D10" s="5326"/>
      <c r="E10" s="5326"/>
      <c r="F10" s="5326"/>
      <c r="G10" s="5326"/>
      <c r="H10" s="5326"/>
      <c r="I10" s="5326"/>
      <c r="J10" s="5326"/>
      <c r="K10" s="5326"/>
      <c r="L10" s="5326"/>
      <c r="M10" s="5326"/>
      <c r="N10" s="5326"/>
      <c r="O10" s="5326"/>
      <c r="P10" s="5326"/>
      <c r="Q10" s="5330"/>
      <c r="R10" s="723"/>
      <c r="S10" s="724"/>
      <c r="T10" s="724"/>
      <c r="U10" s="798"/>
      <c r="V10" s="725"/>
      <c r="W10" s="725"/>
      <c r="X10" s="726"/>
      <c r="Y10" s="726"/>
      <c r="Z10" s="726"/>
      <c r="AA10" s="727"/>
      <c r="AB10" s="170"/>
      <c r="AC10" s="282"/>
      <c r="AD10" s="282"/>
      <c r="AE10" s="5416"/>
    </row>
    <row r="11" spans="1:31" ht="37.5" customHeight="1">
      <c r="A11" s="5405"/>
      <c r="B11" s="5349"/>
      <c r="C11" s="5326"/>
      <c r="D11" s="5326"/>
      <c r="E11" s="5326"/>
      <c r="F11" s="5326"/>
      <c r="G11" s="5326"/>
      <c r="H11" s="5326"/>
      <c r="I11" s="5326"/>
      <c r="J11" s="5326"/>
      <c r="K11" s="5326"/>
      <c r="L11" s="5326"/>
      <c r="M11" s="5326"/>
      <c r="N11" s="5326"/>
      <c r="O11" s="5326"/>
      <c r="P11" s="5326"/>
      <c r="Q11" s="5330"/>
      <c r="R11" s="728"/>
      <c r="S11" s="729"/>
      <c r="T11" s="729"/>
      <c r="U11" s="730"/>
      <c r="V11" s="731"/>
      <c r="W11" s="731"/>
      <c r="X11" s="732"/>
      <c r="Y11" s="726"/>
      <c r="Z11" s="726"/>
      <c r="AA11" s="727"/>
      <c r="AB11" s="170"/>
      <c r="AC11" s="282"/>
      <c r="AD11" s="282"/>
      <c r="AE11" s="5416"/>
    </row>
    <row r="12" spans="1:31" ht="37.5" customHeight="1">
      <c r="A12" s="5405"/>
      <c r="B12" s="5349"/>
      <c r="C12" s="5326"/>
      <c r="D12" s="5326"/>
      <c r="E12" s="5326"/>
      <c r="F12" s="5326"/>
      <c r="G12" s="5326"/>
      <c r="H12" s="5326"/>
      <c r="I12" s="5326"/>
      <c r="J12" s="5326"/>
      <c r="K12" s="5326"/>
      <c r="L12" s="5326"/>
      <c r="M12" s="5326"/>
      <c r="N12" s="5326"/>
      <c r="O12" s="5326"/>
      <c r="P12" s="5326"/>
      <c r="Q12" s="5330"/>
      <c r="R12" s="733"/>
      <c r="S12" s="734"/>
      <c r="T12" s="734"/>
      <c r="U12" s="730"/>
      <c r="V12" s="731"/>
      <c r="W12" s="731"/>
      <c r="X12" s="732"/>
      <c r="Y12" s="726"/>
      <c r="Z12" s="726"/>
      <c r="AA12" s="727"/>
      <c r="AB12" s="170"/>
      <c r="AC12" s="282"/>
      <c r="AD12" s="282"/>
      <c r="AE12" s="5416"/>
    </row>
    <row r="13" spans="1:31" ht="37.5" customHeight="1">
      <c r="A13" s="5405"/>
      <c r="B13" s="5350"/>
      <c r="C13" s="5327"/>
      <c r="D13" s="5327"/>
      <c r="E13" s="5327"/>
      <c r="F13" s="5327"/>
      <c r="G13" s="5327"/>
      <c r="H13" s="5327"/>
      <c r="I13" s="5327"/>
      <c r="J13" s="5327"/>
      <c r="K13" s="5327"/>
      <c r="L13" s="5327"/>
      <c r="M13" s="5327"/>
      <c r="N13" s="5327"/>
      <c r="O13" s="5327"/>
      <c r="P13" s="5327"/>
      <c r="Q13" s="5331"/>
      <c r="R13" s="735"/>
      <c r="S13" s="736"/>
      <c r="T13" s="736"/>
      <c r="U13" s="737"/>
      <c r="V13" s="738"/>
      <c r="W13" s="738"/>
      <c r="X13" s="739"/>
      <c r="Y13" s="739"/>
      <c r="Z13" s="739"/>
      <c r="AA13" s="740"/>
      <c r="AB13" s="165"/>
      <c r="AC13" s="166"/>
      <c r="AD13" s="166"/>
      <c r="AE13" s="5417"/>
    </row>
    <row r="14" spans="1:31" ht="56.25" customHeight="1">
      <c r="A14" s="5405"/>
      <c r="B14" s="5348" t="s">
        <v>235</v>
      </c>
      <c r="C14" s="5325" t="s">
        <v>236</v>
      </c>
      <c r="D14" s="5325" t="s">
        <v>237</v>
      </c>
      <c r="E14" s="5325" t="s">
        <v>326</v>
      </c>
      <c r="F14" s="5328" t="s">
        <v>239</v>
      </c>
      <c r="G14" s="5325" t="s">
        <v>240</v>
      </c>
      <c r="H14" s="5325" t="s">
        <v>257</v>
      </c>
      <c r="I14" s="5325" t="s">
        <v>1918</v>
      </c>
      <c r="J14" s="5325" t="s">
        <v>1482</v>
      </c>
      <c r="K14" s="5325" t="s">
        <v>1919</v>
      </c>
      <c r="L14" s="5332">
        <v>1</v>
      </c>
      <c r="M14" s="5332">
        <v>1</v>
      </c>
      <c r="N14" s="5332">
        <v>1</v>
      </c>
      <c r="O14" s="5325" t="s">
        <v>1920</v>
      </c>
      <c r="P14" s="5325" t="s">
        <v>1921</v>
      </c>
      <c r="Q14" s="5329" t="s">
        <v>1922</v>
      </c>
      <c r="R14" s="733"/>
      <c r="S14" s="734"/>
      <c r="T14" s="734"/>
      <c r="U14" s="741"/>
      <c r="V14" s="731"/>
      <c r="W14" s="731"/>
      <c r="X14" s="732"/>
      <c r="Y14" s="732"/>
      <c r="Z14" s="732"/>
      <c r="AA14" s="742"/>
      <c r="AB14" s="414"/>
      <c r="AC14" s="174"/>
      <c r="AD14" s="174"/>
      <c r="AE14" s="5415"/>
    </row>
    <row r="15" spans="1:31" ht="56.25" customHeight="1">
      <c r="A15" s="5405"/>
      <c r="B15" s="5349"/>
      <c r="C15" s="5326"/>
      <c r="D15" s="5326"/>
      <c r="E15" s="5326"/>
      <c r="F15" s="5326"/>
      <c r="G15" s="5326"/>
      <c r="H15" s="5326"/>
      <c r="I15" s="5326"/>
      <c r="J15" s="5326"/>
      <c r="K15" s="5326"/>
      <c r="L15" s="5326"/>
      <c r="M15" s="5326"/>
      <c r="N15" s="5326"/>
      <c r="O15" s="5326"/>
      <c r="P15" s="5326"/>
      <c r="Q15" s="5330"/>
      <c r="R15" s="723"/>
      <c r="S15" s="724"/>
      <c r="T15" s="724"/>
      <c r="U15" s="798"/>
      <c r="V15" s="725"/>
      <c r="W15" s="725"/>
      <c r="X15" s="726"/>
      <c r="Y15" s="726"/>
      <c r="Z15" s="726"/>
      <c r="AA15" s="727"/>
      <c r="AB15" s="170"/>
      <c r="AC15" s="282"/>
      <c r="AD15" s="282"/>
      <c r="AE15" s="5416"/>
    </row>
    <row r="16" spans="1:31" ht="56.25" customHeight="1">
      <c r="A16" s="5405"/>
      <c r="B16" s="5349"/>
      <c r="C16" s="5326"/>
      <c r="D16" s="5326"/>
      <c r="E16" s="5326"/>
      <c r="F16" s="5326"/>
      <c r="G16" s="5326"/>
      <c r="H16" s="5326"/>
      <c r="I16" s="5326"/>
      <c r="J16" s="5326"/>
      <c r="K16" s="5326"/>
      <c r="L16" s="5326"/>
      <c r="M16" s="5326"/>
      <c r="N16" s="5326"/>
      <c r="O16" s="5326"/>
      <c r="P16" s="5326"/>
      <c r="Q16" s="5330"/>
      <c r="R16" s="728"/>
      <c r="S16" s="729"/>
      <c r="T16" s="729"/>
      <c r="U16" s="730"/>
      <c r="V16" s="731"/>
      <c r="W16" s="731"/>
      <c r="X16" s="732"/>
      <c r="Y16" s="726"/>
      <c r="Z16" s="726"/>
      <c r="AA16" s="727"/>
      <c r="AB16" s="170"/>
      <c r="AC16" s="282"/>
      <c r="AD16" s="282"/>
      <c r="AE16" s="5416"/>
    </row>
    <row r="17" spans="1:31" ht="56.25" customHeight="1">
      <c r="A17" s="5405"/>
      <c r="B17" s="5349"/>
      <c r="C17" s="5326"/>
      <c r="D17" s="5326"/>
      <c r="E17" s="5326"/>
      <c r="F17" s="5326"/>
      <c r="G17" s="5326"/>
      <c r="H17" s="5326"/>
      <c r="I17" s="5326"/>
      <c r="J17" s="5326"/>
      <c r="K17" s="5326"/>
      <c r="L17" s="5326"/>
      <c r="M17" s="5326"/>
      <c r="N17" s="5326"/>
      <c r="O17" s="5326"/>
      <c r="P17" s="5326"/>
      <c r="Q17" s="5330"/>
      <c r="R17" s="733"/>
      <c r="S17" s="734"/>
      <c r="T17" s="734"/>
      <c r="U17" s="730"/>
      <c r="V17" s="731"/>
      <c r="W17" s="731"/>
      <c r="X17" s="732"/>
      <c r="Y17" s="726"/>
      <c r="Z17" s="726"/>
      <c r="AA17" s="727"/>
      <c r="AB17" s="170"/>
      <c r="AC17" s="282"/>
      <c r="AD17" s="282"/>
      <c r="AE17" s="5416"/>
    </row>
    <row r="18" spans="1:31" ht="56.25" customHeight="1">
      <c r="A18" s="5405"/>
      <c r="B18" s="5350"/>
      <c r="C18" s="5327"/>
      <c r="D18" s="5327"/>
      <c r="E18" s="5327"/>
      <c r="F18" s="5327"/>
      <c r="G18" s="5327"/>
      <c r="H18" s="5327"/>
      <c r="I18" s="5327"/>
      <c r="J18" s="5327"/>
      <c r="K18" s="5327"/>
      <c r="L18" s="5327"/>
      <c r="M18" s="5327"/>
      <c r="N18" s="5327"/>
      <c r="O18" s="5327"/>
      <c r="P18" s="5327"/>
      <c r="Q18" s="5331"/>
      <c r="R18" s="735"/>
      <c r="S18" s="736"/>
      <c r="T18" s="736"/>
      <c r="U18" s="737"/>
      <c r="V18" s="738"/>
      <c r="W18" s="738"/>
      <c r="X18" s="739"/>
      <c r="Y18" s="739"/>
      <c r="Z18" s="739"/>
      <c r="AA18" s="740"/>
      <c r="AB18" s="165"/>
      <c r="AC18" s="166"/>
      <c r="AD18" s="166"/>
      <c r="AE18" s="5417"/>
    </row>
    <row r="19" spans="1:31" ht="26.25" customHeight="1">
      <c r="A19" s="5405"/>
      <c r="B19" s="5348" t="s">
        <v>272</v>
      </c>
      <c r="C19" s="5325" t="s">
        <v>302</v>
      </c>
      <c r="D19" s="5325" t="s">
        <v>388</v>
      </c>
      <c r="E19" s="5325" t="s">
        <v>944</v>
      </c>
      <c r="F19" s="5328" t="s">
        <v>305</v>
      </c>
      <c r="G19" s="5325" t="s">
        <v>240</v>
      </c>
      <c r="H19" s="5325" t="s">
        <v>241</v>
      </c>
      <c r="I19" s="5325" t="s">
        <v>1923</v>
      </c>
      <c r="J19" s="5325" t="s">
        <v>1502</v>
      </c>
      <c r="K19" s="5325" t="s">
        <v>1924</v>
      </c>
      <c r="L19" s="5332">
        <v>1</v>
      </c>
      <c r="M19" s="5332">
        <v>0</v>
      </c>
      <c r="N19" s="5332">
        <v>1</v>
      </c>
      <c r="O19" s="5325" t="s">
        <v>1925</v>
      </c>
      <c r="P19" s="5325" t="s">
        <v>1926</v>
      </c>
      <c r="Q19" s="5329" t="s">
        <v>1927</v>
      </c>
      <c r="R19" s="733"/>
      <c r="S19" s="734"/>
      <c r="T19" s="734"/>
      <c r="U19" s="741"/>
      <c r="V19" s="731"/>
      <c r="W19" s="731"/>
      <c r="X19" s="732"/>
      <c r="Y19" s="732"/>
      <c r="Z19" s="732"/>
      <c r="AA19" s="742"/>
      <c r="AB19" s="414"/>
      <c r="AC19" s="174"/>
      <c r="AD19" s="174"/>
      <c r="AE19" s="5415"/>
    </row>
    <row r="20" spans="1:31" ht="26.25" customHeight="1">
      <c r="A20" s="5405"/>
      <c r="B20" s="5349"/>
      <c r="C20" s="5326"/>
      <c r="D20" s="5326"/>
      <c r="E20" s="5326"/>
      <c r="F20" s="5326"/>
      <c r="G20" s="5326"/>
      <c r="H20" s="5326"/>
      <c r="I20" s="5326"/>
      <c r="J20" s="5326"/>
      <c r="K20" s="5326"/>
      <c r="L20" s="5326"/>
      <c r="M20" s="5326"/>
      <c r="N20" s="5326"/>
      <c r="O20" s="5326"/>
      <c r="P20" s="5326"/>
      <c r="Q20" s="5330"/>
      <c r="R20" s="723"/>
      <c r="S20" s="724"/>
      <c r="T20" s="724"/>
      <c r="U20" s="798"/>
      <c r="V20" s="725"/>
      <c r="W20" s="725"/>
      <c r="X20" s="726"/>
      <c r="Y20" s="726"/>
      <c r="Z20" s="726"/>
      <c r="AA20" s="727"/>
      <c r="AB20" s="170"/>
      <c r="AC20" s="282"/>
      <c r="AD20" s="282"/>
      <c r="AE20" s="5416"/>
    </row>
    <row r="21" spans="1:31" ht="26.25" customHeight="1">
      <c r="A21" s="5405"/>
      <c r="B21" s="5349"/>
      <c r="C21" s="5326"/>
      <c r="D21" s="5326"/>
      <c r="E21" s="5326"/>
      <c r="F21" s="5326"/>
      <c r="G21" s="5326"/>
      <c r="H21" s="5326"/>
      <c r="I21" s="5326"/>
      <c r="J21" s="5326"/>
      <c r="K21" s="5326"/>
      <c r="L21" s="5326"/>
      <c r="M21" s="5326"/>
      <c r="N21" s="5326"/>
      <c r="O21" s="5326"/>
      <c r="P21" s="5326"/>
      <c r="Q21" s="5330"/>
      <c r="R21" s="728"/>
      <c r="S21" s="729"/>
      <c r="T21" s="729"/>
      <c r="U21" s="730"/>
      <c r="V21" s="731"/>
      <c r="W21" s="731"/>
      <c r="X21" s="732"/>
      <c r="Y21" s="726"/>
      <c r="Z21" s="726"/>
      <c r="AA21" s="727"/>
      <c r="AB21" s="170"/>
      <c r="AC21" s="282"/>
      <c r="AD21" s="282"/>
      <c r="AE21" s="5416"/>
    </row>
    <row r="22" spans="1:31" ht="26.25" customHeight="1">
      <c r="A22" s="5405"/>
      <c r="B22" s="5349"/>
      <c r="C22" s="5326"/>
      <c r="D22" s="5326"/>
      <c r="E22" s="5326"/>
      <c r="F22" s="5326"/>
      <c r="G22" s="5326"/>
      <c r="H22" s="5326"/>
      <c r="I22" s="5326"/>
      <c r="J22" s="5326"/>
      <c r="K22" s="5326"/>
      <c r="L22" s="5326"/>
      <c r="M22" s="5326"/>
      <c r="N22" s="5326"/>
      <c r="O22" s="5326"/>
      <c r="P22" s="5326"/>
      <c r="Q22" s="5330"/>
      <c r="R22" s="733"/>
      <c r="S22" s="734"/>
      <c r="T22" s="734"/>
      <c r="U22" s="730"/>
      <c r="V22" s="731"/>
      <c r="W22" s="731"/>
      <c r="X22" s="732"/>
      <c r="Y22" s="726"/>
      <c r="Z22" s="726"/>
      <c r="AA22" s="727"/>
      <c r="AB22" s="170"/>
      <c r="AC22" s="282"/>
      <c r="AD22" s="282"/>
      <c r="AE22" s="5416"/>
    </row>
    <row r="23" spans="1:31" ht="26.25" customHeight="1">
      <c r="A23" s="5405"/>
      <c r="B23" s="5350"/>
      <c r="C23" s="5327"/>
      <c r="D23" s="5327"/>
      <c r="E23" s="5327"/>
      <c r="F23" s="5327"/>
      <c r="G23" s="5327"/>
      <c r="H23" s="5327"/>
      <c r="I23" s="5327"/>
      <c r="J23" s="5327"/>
      <c r="K23" s="5327"/>
      <c r="L23" s="5327"/>
      <c r="M23" s="5327"/>
      <c r="N23" s="5327"/>
      <c r="O23" s="5327"/>
      <c r="P23" s="5327"/>
      <c r="Q23" s="5331"/>
      <c r="R23" s="735"/>
      <c r="S23" s="736"/>
      <c r="T23" s="736"/>
      <c r="U23" s="737"/>
      <c r="V23" s="738"/>
      <c r="W23" s="738"/>
      <c r="X23" s="739"/>
      <c r="Y23" s="739"/>
      <c r="Z23" s="739"/>
      <c r="AA23" s="740"/>
      <c r="AB23" s="165"/>
      <c r="AC23" s="166"/>
      <c r="AD23" s="166"/>
      <c r="AE23" s="5417"/>
    </row>
    <row r="24" spans="1:31" ht="26.25" customHeight="1">
      <c r="A24" s="5405"/>
      <c r="B24" s="5348" t="s">
        <v>235</v>
      </c>
      <c r="C24" s="5325" t="s">
        <v>236</v>
      </c>
      <c r="D24" s="5325" t="s">
        <v>244</v>
      </c>
      <c r="E24" s="5325" t="s">
        <v>309</v>
      </c>
      <c r="F24" s="5328" t="s">
        <v>239</v>
      </c>
      <c r="G24" s="5325" t="s">
        <v>240</v>
      </c>
      <c r="H24" s="5325" t="s">
        <v>257</v>
      </c>
      <c r="I24" s="5325" t="s">
        <v>1928</v>
      </c>
      <c r="J24" s="5325" t="s">
        <v>1929</v>
      </c>
      <c r="K24" s="5325" t="s">
        <v>1930</v>
      </c>
      <c r="L24" s="5332">
        <v>0</v>
      </c>
      <c r="M24" s="5332">
        <v>0</v>
      </c>
      <c r="N24" s="5332">
        <v>1</v>
      </c>
      <c r="O24" s="5325" t="s">
        <v>1931</v>
      </c>
      <c r="P24" s="5325" t="s">
        <v>1932</v>
      </c>
      <c r="Q24" s="5329" t="s">
        <v>1933</v>
      </c>
      <c r="R24" s="733"/>
      <c r="S24" s="734"/>
      <c r="T24" s="734"/>
      <c r="U24" s="741"/>
      <c r="V24" s="731"/>
      <c r="W24" s="731"/>
      <c r="X24" s="732"/>
      <c r="Y24" s="732"/>
      <c r="Z24" s="732"/>
      <c r="AA24" s="742"/>
      <c r="AB24" s="414"/>
      <c r="AC24" s="174"/>
      <c r="AD24" s="174"/>
      <c r="AE24" s="5415"/>
    </row>
    <row r="25" spans="1:31" ht="26.25" customHeight="1">
      <c r="A25" s="5405"/>
      <c r="B25" s="5349"/>
      <c r="C25" s="5326"/>
      <c r="D25" s="5326"/>
      <c r="E25" s="5326"/>
      <c r="F25" s="5326"/>
      <c r="G25" s="5326"/>
      <c r="H25" s="5326"/>
      <c r="I25" s="5326"/>
      <c r="J25" s="5326"/>
      <c r="K25" s="5326"/>
      <c r="L25" s="5326"/>
      <c r="M25" s="5326"/>
      <c r="N25" s="5326"/>
      <c r="O25" s="5326"/>
      <c r="P25" s="5326"/>
      <c r="Q25" s="5330"/>
      <c r="R25" s="723"/>
      <c r="S25" s="724"/>
      <c r="T25" s="724"/>
      <c r="U25" s="798"/>
      <c r="V25" s="725"/>
      <c r="W25" s="725"/>
      <c r="X25" s="726"/>
      <c r="Y25" s="726"/>
      <c r="Z25" s="726"/>
      <c r="AA25" s="727"/>
      <c r="AB25" s="170"/>
      <c r="AC25" s="282"/>
      <c r="AD25" s="282"/>
      <c r="AE25" s="5416"/>
    </row>
    <row r="26" spans="1:31" ht="26.25" customHeight="1">
      <c r="A26" s="5405"/>
      <c r="B26" s="5349"/>
      <c r="C26" s="5326"/>
      <c r="D26" s="5326"/>
      <c r="E26" s="5326"/>
      <c r="F26" s="5326"/>
      <c r="G26" s="5326"/>
      <c r="H26" s="5326"/>
      <c r="I26" s="5326"/>
      <c r="J26" s="5326"/>
      <c r="K26" s="5326"/>
      <c r="L26" s="5326"/>
      <c r="M26" s="5326"/>
      <c r="N26" s="5326"/>
      <c r="O26" s="5326"/>
      <c r="P26" s="5326"/>
      <c r="Q26" s="5330"/>
      <c r="R26" s="728"/>
      <c r="S26" s="729"/>
      <c r="T26" s="729"/>
      <c r="U26" s="730"/>
      <c r="V26" s="731"/>
      <c r="W26" s="731"/>
      <c r="X26" s="732"/>
      <c r="Y26" s="726"/>
      <c r="Z26" s="726"/>
      <c r="AA26" s="727"/>
      <c r="AB26" s="170"/>
      <c r="AC26" s="282"/>
      <c r="AD26" s="282"/>
      <c r="AE26" s="5416"/>
    </row>
    <row r="27" spans="1:31" ht="26.25" customHeight="1">
      <c r="A27" s="5405"/>
      <c r="B27" s="5349"/>
      <c r="C27" s="5326"/>
      <c r="D27" s="5326"/>
      <c r="E27" s="5326"/>
      <c r="F27" s="5326"/>
      <c r="G27" s="5326"/>
      <c r="H27" s="5326"/>
      <c r="I27" s="5326"/>
      <c r="J27" s="5326"/>
      <c r="K27" s="5326"/>
      <c r="L27" s="5326"/>
      <c r="M27" s="5326"/>
      <c r="N27" s="5326"/>
      <c r="O27" s="5326"/>
      <c r="P27" s="5326"/>
      <c r="Q27" s="5330"/>
      <c r="R27" s="733"/>
      <c r="S27" s="734"/>
      <c r="T27" s="734"/>
      <c r="U27" s="730"/>
      <c r="V27" s="731"/>
      <c r="W27" s="731"/>
      <c r="X27" s="732"/>
      <c r="Y27" s="726"/>
      <c r="Z27" s="726"/>
      <c r="AA27" s="727"/>
      <c r="AB27" s="170"/>
      <c r="AC27" s="282"/>
      <c r="AD27" s="282"/>
      <c r="AE27" s="5416"/>
    </row>
    <row r="28" spans="1:31" ht="26.25" customHeight="1">
      <c r="A28" s="5405"/>
      <c r="B28" s="5350"/>
      <c r="C28" s="5327"/>
      <c r="D28" s="5327"/>
      <c r="E28" s="5327"/>
      <c r="F28" s="5327"/>
      <c r="G28" s="5327"/>
      <c r="H28" s="5327"/>
      <c r="I28" s="5327"/>
      <c r="J28" s="5327"/>
      <c r="K28" s="5327"/>
      <c r="L28" s="5327"/>
      <c r="M28" s="5327"/>
      <c r="N28" s="5327"/>
      <c r="O28" s="5327"/>
      <c r="P28" s="5327"/>
      <c r="Q28" s="5331"/>
      <c r="R28" s="735"/>
      <c r="S28" s="736"/>
      <c r="T28" s="736"/>
      <c r="U28" s="737"/>
      <c r="V28" s="738"/>
      <c r="W28" s="738"/>
      <c r="X28" s="739"/>
      <c r="Y28" s="739"/>
      <c r="Z28" s="739"/>
      <c r="AA28" s="740"/>
      <c r="AB28" s="165"/>
      <c r="AC28" s="166"/>
      <c r="AD28" s="166"/>
      <c r="AE28" s="5417"/>
    </row>
    <row r="29" spans="1:31" ht="37.5" customHeight="1">
      <c r="A29" s="5405"/>
      <c r="B29" s="5348" t="s">
        <v>272</v>
      </c>
      <c r="C29" s="5325" t="s">
        <v>302</v>
      </c>
      <c r="D29" s="5325" t="s">
        <v>303</v>
      </c>
      <c r="E29" s="5325" t="s">
        <v>318</v>
      </c>
      <c r="F29" s="5328" t="s">
        <v>305</v>
      </c>
      <c r="G29" s="5325" t="s">
        <v>262</v>
      </c>
      <c r="H29" s="5325" t="s">
        <v>257</v>
      </c>
      <c r="I29" s="5325" t="s">
        <v>1934</v>
      </c>
      <c r="J29" s="5325" t="s">
        <v>1512</v>
      </c>
      <c r="K29" s="5325" t="s">
        <v>1935</v>
      </c>
      <c r="L29" s="5332">
        <v>1</v>
      </c>
      <c r="M29" s="5332">
        <v>0</v>
      </c>
      <c r="N29" s="5332">
        <v>1</v>
      </c>
      <c r="O29" s="5325" t="s">
        <v>1936</v>
      </c>
      <c r="P29" s="5325" t="s">
        <v>1937</v>
      </c>
      <c r="Q29" s="5329" t="s">
        <v>1938</v>
      </c>
      <c r="R29" s="743" t="s">
        <v>39</v>
      </c>
      <c r="S29" s="744">
        <v>530402</v>
      </c>
      <c r="T29" s="734"/>
      <c r="U29" s="745" t="s">
        <v>16</v>
      </c>
      <c r="V29" s="731"/>
      <c r="W29" s="731"/>
      <c r="X29" s="732"/>
      <c r="Y29" s="746"/>
      <c r="Z29" s="746"/>
      <c r="AA29" s="742">
        <f>SUM($Z$30)</f>
        <v>8736.9497600000013</v>
      </c>
      <c r="AB29" s="414"/>
      <c r="AC29" s="168"/>
      <c r="AD29" s="168"/>
      <c r="AE29" s="5415"/>
    </row>
    <row r="30" spans="1:31" ht="26.25" customHeight="1">
      <c r="A30" s="5405"/>
      <c r="B30" s="5349"/>
      <c r="C30" s="5326"/>
      <c r="D30" s="5326"/>
      <c r="E30" s="5326"/>
      <c r="F30" s="5326"/>
      <c r="G30" s="5326"/>
      <c r="H30" s="5326"/>
      <c r="I30" s="5326"/>
      <c r="J30" s="5326"/>
      <c r="K30" s="5326"/>
      <c r="L30" s="5326"/>
      <c r="M30" s="5326"/>
      <c r="N30" s="5326"/>
      <c r="O30" s="5326"/>
      <c r="P30" s="5326"/>
      <c r="Q30" s="5330"/>
      <c r="R30" s="747"/>
      <c r="S30" s="724"/>
      <c r="T30" s="724"/>
      <c r="U30" s="798"/>
      <c r="V30" s="748">
        <v>1</v>
      </c>
      <c r="W30" s="748" t="s">
        <v>250</v>
      </c>
      <c r="X30" s="749">
        <f>(8864.6)-8864.6*12/100</f>
        <v>7800.848</v>
      </c>
      <c r="Y30" s="463">
        <f>+V30*X30</f>
        <v>7800.848</v>
      </c>
      <c r="Z30" s="463">
        <f>+Y30*1.12</f>
        <v>8736.9497600000013</v>
      </c>
      <c r="AA30" s="750"/>
      <c r="AB30" s="170"/>
      <c r="AC30" s="751" t="s">
        <v>251</v>
      </c>
      <c r="AD30" s="752"/>
      <c r="AE30" s="5416"/>
    </row>
    <row r="31" spans="1:31" ht="26.25" customHeight="1">
      <c r="A31" s="5405"/>
      <c r="B31" s="5349"/>
      <c r="C31" s="5326"/>
      <c r="D31" s="5326"/>
      <c r="E31" s="5326"/>
      <c r="F31" s="5326"/>
      <c r="G31" s="5326"/>
      <c r="H31" s="5326"/>
      <c r="I31" s="5326"/>
      <c r="J31" s="5326"/>
      <c r="K31" s="5326"/>
      <c r="L31" s="5326"/>
      <c r="M31" s="5326"/>
      <c r="N31" s="5326"/>
      <c r="O31" s="5326"/>
      <c r="P31" s="5326"/>
      <c r="Q31" s="5330"/>
      <c r="R31" s="747"/>
      <c r="S31" s="753"/>
      <c r="T31" s="753"/>
      <c r="U31" s="754"/>
      <c r="V31" s="755"/>
      <c r="W31" s="755"/>
      <c r="X31" s="756"/>
      <c r="Y31" s="746"/>
      <c r="Z31" s="746"/>
      <c r="AA31" s="757"/>
      <c r="AB31" s="160"/>
      <c r="AC31" s="160"/>
      <c r="AD31" s="161"/>
      <c r="AE31" s="5416"/>
    </row>
    <row r="32" spans="1:31" ht="30" customHeight="1">
      <c r="A32" s="5405"/>
      <c r="B32" s="5349"/>
      <c r="C32" s="5326"/>
      <c r="D32" s="5326"/>
      <c r="E32" s="5326"/>
      <c r="F32" s="5326"/>
      <c r="G32" s="5326"/>
      <c r="H32" s="5326"/>
      <c r="I32" s="5326"/>
      <c r="J32" s="5326"/>
      <c r="K32" s="5326"/>
      <c r="L32" s="5326"/>
      <c r="M32" s="5326"/>
      <c r="N32" s="5326"/>
      <c r="O32" s="5326"/>
      <c r="P32" s="5326"/>
      <c r="Q32" s="5330"/>
      <c r="R32" s="758" t="s">
        <v>17</v>
      </c>
      <c r="S32" s="759">
        <v>530404</v>
      </c>
      <c r="T32" s="760"/>
      <c r="U32" s="761" t="s">
        <v>32</v>
      </c>
      <c r="V32" s="762"/>
      <c r="W32" s="762"/>
      <c r="X32" s="763"/>
      <c r="Y32" s="764"/>
      <c r="Z32" s="764"/>
      <c r="AA32" s="765">
        <f>SUM($Z$33)</f>
        <v>22400.000000000004</v>
      </c>
      <c r="AB32" s="178"/>
      <c r="AC32" s="178"/>
      <c r="AD32" s="181"/>
      <c r="AE32" s="5416"/>
    </row>
    <row r="33" spans="1:31" ht="26.25" customHeight="1">
      <c r="A33" s="5405"/>
      <c r="B33" s="5349"/>
      <c r="C33" s="5326"/>
      <c r="D33" s="5326"/>
      <c r="E33" s="5326"/>
      <c r="F33" s="5326"/>
      <c r="G33" s="5326"/>
      <c r="H33" s="5326"/>
      <c r="I33" s="5326"/>
      <c r="J33" s="5326"/>
      <c r="K33" s="5326"/>
      <c r="L33" s="5326"/>
      <c r="M33" s="5326"/>
      <c r="N33" s="5326"/>
      <c r="O33" s="5326"/>
      <c r="P33" s="5326"/>
      <c r="Q33" s="5330"/>
      <c r="R33" s="747"/>
      <c r="S33" s="724"/>
      <c r="T33" s="724"/>
      <c r="U33" s="798"/>
      <c r="V33" s="748">
        <v>1</v>
      </c>
      <c r="W33" s="748" t="s">
        <v>250</v>
      </c>
      <c r="X33" s="766">
        <v>20000</v>
      </c>
      <c r="Y33" s="463">
        <f>+V33*X33</f>
        <v>20000</v>
      </c>
      <c r="Z33" s="463">
        <f>+Y33*1.12</f>
        <v>22400.000000000004</v>
      </c>
      <c r="AA33" s="750"/>
      <c r="AB33" s="170"/>
      <c r="AC33" s="751" t="s">
        <v>251</v>
      </c>
      <c r="AD33" s="282"/>
      <c r="AE33" s="5416"/>
    </row>
    <row r="34" spans="1:31" ht="26.25" customHeight="1">
      <c r="A34" s="5405"/>
      <c r="B34" s="5349"/>
      <c r="C34" s="5326"/>
      <c r="D34" s="5326"/>
      <c r="E34" s="5326"/>
      <c r="F34" s="5326"/>
      <c r="G34" s="5326"/>
      <c r="H34" s="5326"/>
      <c r="I34" s="5326"/>
      <c r="J34" s="5326"/>
      <c r="K34" s="5326"/>
      <c r="L34" s="5326"/>
      <c r="M34" s="5326"/>
      <c r="N34" s="5326"/>
      <c r="O34" s="5326"/>
      <c r="P34" s="5326"/>
      <c r="Q34" s="5330"/>
      <c r="R34" s="747"/>
      <c r="S34" s="736"/>
      <c r="T34" s="736"/>
      <c r="U34" s="737"/>
      <c r="V34" s="738"/>
      <c r="W34" s="738"/>
      <c r="X34" s="739"/>
      <c r="Y34" s="767"/>
      <c r="Z34" s="767"/>
      <c r="AA34" s="740"/>
      <c r="AB34" s="165"/>
      <c r="AC34" s="165"/>
      <c r="AD34" s="166"/>
      <c r="AE34" s="5416"/>
    </row>
    <row r="35" spans="1:31" ht="57" customHeight="1">
      <c r="A35" s="5405"/>
      <c r="B35" s="5349"/>
      <c r="C35" s="5326"/>
      <c r="D35" s="5326"/>
      <c r="E35" s="5326"/>
      <c r="F35" s="5326"/>
      <c r="G35" s="5326"/>
      <c r="H35" s="5326"/>
      <c r="I35" s="5326"/>
      <c r="J35" s="5326"/>
      <c r="K35" s="5326"/>
      <c r="L35" s="5326"/>
      <c r="M35" s="5326"/>
      <c r="N35" s="5326"/>
      <c r="O35" s="5326"/>
      <c r="P35" s="5326"/>
      <c r="Q35" s="5330"/>
      <c r="R35" s="758" t="s">
        <v>17</v>
      </c>
      <c r="S35" s="744">
        <v>530204</v>
      </c>
      <c r="T35" s="734"/>
      <c r="U35" s="745" t="s">
        <v>26</v>
      </c>
      <c r="V35" s="731"/>
      <c r="W35" s="731"/>
      <c r="X35" s="732"/>
      <c r="Y35" s="746"/>
      <c r="Z35" s="746"/>
      <c r="AA35" s="742">
        <f>SUM($Z$36)</f>
        <v>33600</v>
      </c>
      <c r="AB35" s="414"/>
      <c r="AC35" s="414"/>
      <c r="AD35" s="174"/>
      <c r="AE35" s="5416"/>
    </row>
    <row r="36" spans="1:31" ht="26.25" customHeight="1">
      <c r="A36" s="5405"/>
      <c r="B36" s="5349"/>
      <c r="C36" s="5326"/>
      <c r="D36" s="5326"/>
      <c r="E36" s="5326"/>
      <c r="F36" s="5326"/>
      <c r="G36" s="5326"/>
      <c r="H36" s="5326"/>
      <c r="I36" s="5326"/>
      <c r="J36" s="5326"/>
      <c r="K36" s="5326"/>
      <c r="L36" s="5326"/>
      <c r="M36" s="5326"/>
      <c r="N36" s="5326"/>
      <c r="O36" s="5326"/>
      <c r="P36" s="5326"/>
      <c r="Q36" s="5330"/>
      <c r="R36" s="747"/>
      <c r="S36" s="768"/>
      <c r="T36" s="768"/>
      <c r="U36" s="769"/>
      <c r="V36" s="748">
        <v>1</v>
      </c>
      <c r="W36" s="748" t="s">
        <v>250</v>
      </c>
      <c r="X36" s="766">
        <v>30000</v>
      </c>
      <c r="Y36" s="463">
        <f t="shared" ref="Y36:Y37" si="0">+V36*X36</f>
        <v>30000</v>
      </c>
      <c r="Z36" s="463">
        <f t="shared" ref="Z36:Z37" si="1">+Y36*1.12</f>
        <v>33600</v>
      </c>
      <c r="AA36" s="750"/>
      <c r="AB36" s="751" t="s">
        <v>251</v>
      </c>
      <c r="AC36" s="751" t="s">
        <v>251</v>
      </c>
      <c r="AD36" s="770" t="s">
        <v>251</v>
      </c>
      <c r="AE36" s="5416"/>
    </row>
    <row r="37" spans="1:31" ht="26.25" customHeight="1">
      <c r="A37" s="5405"/>
      <c r="B37" s="5349"/>
      <c r="C37" s="5326"/>
      <c r="D37" s="5326"/>
      <c r="E37" s="5326"/>
      <c r="F37" s="5326"/>
      <c r="G37" s="5326"/>
      <c r="H37" s="5326"/>
      <c r="I37" s="5326"/>
      <c r="J37" s="5326"/>
      <c r="K37" s="5326"/>
      <c r="L37" s="5326"/>
      <c r="M37" s="5326"/>
      <c r="N37" s="5326"/>
      <c r="O37" s="5326"/>
      <c r="P37" s="5326"/>
      <c r="Q37" s="5330"/>
      <c r="R37" s="758"/>
      <c r="S37" s="771"/>
      <c r="T37" s="768"/>
      <c r="U37" s="772" t="s">
        <v>1939</v>
      </c>
      <c r="V37" s="748">
        <v>0</v>
      </c>
      <c r="W37" s="725"/>
      <c r="X37" s="766">
        <v>13000</v>
      </c>
      <c r="Y37" s="463">
        <f t="shared" si="0"/>
        <v>0</v>
      </c>
      <c r="Z37" s="463">
        <f t="shared" si="1"/>
        <v>0</v>
      </c>
      <c r="AA37" s="750"/>
      <c r="AB37" s="170"/>
      <c r="AC37" s="170"/>
      <c r="AD37" s="282"/>
      <c r="AE37" s="5416"/>
    </row>
    <row r="38" spans="1:31" ht="26.25" customHeight="1">
      <c r="A38" s="5405"/>
      <c r="B38" s="5349"/>
      <c r="C38" s="5326"/>
      <c r="D38" s="5326"/>
      <c r="E38" s="5326"/>
      <c r="F38" s="5326"/>
      <c r="G38" s="5326"/>
      <c r="H38" s="5326"/>
      <c r="I38" s="5326"/>
      <c r="J38" s="5326"/>
      <c r="K38" s="5326"/>
      <c r="L38" s="5326"/>
      <c r="M38" s="5326"/>
      <c r="N38" s="5326"/>
      <c r="O38" s="5326"/>
      <c r="P38" s="5326"/>
      <c r="Q38" s="5330"/>
      <c r="R38" s="758"/>
      <c r="S38" s="773"/>
      <c r="T38" s="774"/>
      <c r="U38" s="775"/>
      <c r="V38" s="738"/>
      <c r="W38" s="738"/>
      <c r="X38" s="739"/>
      <c r="Y38" s="767"/>
      <c r="Z38" s="767"/>
      <c r="AA38" s="740"/>
      <c r="AB38" s="165"/>
      <c r="AC38" s="165"/>
      <c r="AD38" s="166"/>
      <c r="AE38" s="5416"/>
    </row>
    <row r="39" spans="1:31" ht="26.25" customHeight="1">
      <c r="A39" s="5405"/>
      <c r="B39" s="5349"/>
      <c r="C39" s="5326"/>
      <c r="D39" s="5326"/>
      <c r="E39" s="5326"/>
      <c r="F39" s="5326"/>
      <c r="G39" s="5326"/>
      <c r="H39" s="5326"/>
      <c r="I39" s="5326"/>
      <c r="J39" s="5326"/>
      <c r="K39" s="5326"/>
      <c r="L39" s="5326"/>
      <c r="M39" s="5326"/>
      <c r="N39" s="5326"/>
      <c r="O39" s="5326"/>
      <c r="P39" s="5326"/>
      <c r="Q39" s="5330"/>
      <c r="R39" s="758" t="s">
        <v>17</v>
      </c>
      <c r="S39" s="744">
        <v>530829</v>
      </c>
      <c r="T39" s="734"/>
      <c r="U39" s="745" t="s">
        <v>73</v>
      </c>
      <c r="V39" s="731"/>
      <c r="W39" s="731"/>
      <c r="X39" s="732"/>
      <c r="Y39" s="746"/>
      <c r="Z39" s="746"/>
      <c r="AA39" s="742">
        <f>SUM($Z$40)</f>
        <v>56000.000000000007</v>
      </c>
      <c r="AB39" s="414"/>
      <c r="AC39" s="414"/>
      <c r="AD39" s="174"/>
      <c r="AE39" s="5416"/>
    </row>
    <row r="40" spans="1:31" ht="26.25" customHeight="1">
      <c r="A40" s="5405"/>
      <c r="B40" s="5349"/>
      <c r="C40" s="5326"/>
      <c r="D40" s="5326"/>
      <c r="E40" s="5326"/>
      <c r="F40" s="5326"/>
      <c r="G40" s="5326"/>
      <c r="H40" s="5326"/>
      <c r="I40" s="5326"/>
      <c r="J40" s="5326"/>
      <c r="K40" s="5326"/>
      <c r="L40" s="5326"/>
      <c r="M40" s="5326"/>
      <c r="N40" s="5326"/>
      <c r="O40" s="5326"/>
      <c r="P40" s="5326"/>
      <c r="Q40" s="5330"/>
      <c r="R40" s="747"/>
      <c r="S40" s="768"/>
      <c r="T40" s="768"/>
      <c r="U40" s="769"/>
      <c r="V40" s="748">
        <v>1</v>
      </c>
      <c r="W40" s="748" t="s">
        <v>269</v>
      </c>
      <c r="X40" s="766">
        <v>50000</v>
      </c>
      <c r="Y40" s="463">
        <f>+V40*X40</f>
        <v>50000</v>
      </c>
      <c r="Z40" s="463">
        <f>+Y40*1.12</f>
        <v>56000.000000000007</v>
      </c>
      <c r="AA40" s="750"/>
      <c r="AB40" s="751" t="s">
        <v>251</v>
      </c>
      <c r="AC40" s="751" t="s">
        <v>251</v>
      </c>
      <c r="AD40" s="770" t="s">
        <v>251</v>
      </c>
      <c r="AE40" s="5416"/>
    </row>
    <row r="41" spans="1:31" ht="26.25" customHeight="1">
      <c r="A41" s="5405"/>
      <c r="B41" s="5349"/>
      <c r="C41" s="5326"/>
      <c r="D41" s="5326"/>
      <c r="E41" s="5326"/>
      <c r="F41" s="5326"/>
      <c r="G41" s="5326"/>
      <c r="H41" s="5326"/>
      <c r="I41" s="5326"/>
      <c r="J41" s="5326"/>
      <c r="K41" s="5326"/>
      <c r="L41" s="5326"/>
      <c r="M41" s="5326"/>
      <c r="N41" s="5326"/>
      <c r="O41" s="5326"/>
      <c r="P41" s="5326"/>
      <c r="Q41" s="5330"/>
      <c r="R41" s="747"/>
      <c r="S41" s="774"/>
      <c r="T41" s="774"/>
      <c r="U41" s="776"/>
      <c r="V41" s="738"/>
      <c r="W41" s="738"/>
      <c r="X41" s="739"/>
      <c r="Y41" s="767"/>
      <c r="Z41" s="767"/>
      <c r="AA41" s="740"/>
      <c r="AB41" s="165"/>
      <c r="AC41" s="165"/>
      <c r="AD41" s="166"/>
      <c r="AE41" s="5416"/>
    </row>
    <row r="42" spans="1:31" ht="26.25" customHeight="1">
      <c r="A42" s="5405"/>
      <c r="B42" s="5349"/>
      <c r="C42" s="5326"/>
      <c r="D42" s="5326"/>
      <c r="E42" s="5326"/>
      <c r="F42" s="5326"/>
      <c r="G42" s="5326"/>
      <c r="H42" s="5326"/>
      <c r="I42" s="5326"/>
      <c r="J42" s="5326"/>
      <c r="K42" s="5326"/>
      <c r="L42" s="5326"/>
      <c r="M42" s="5326"/>
      <c r="N42" s="5326"/>
      <c r="O42" s="5326"/>
      <c r="P42" s="5326"/>
      <c r="Q42" s="5330"/>
      <c r="R42" s="758" t="s">
        <v>17</v>
      </c>
      <c r="S42" s="744">
        <v>840107</v>
      </c>
      <c r="T42" s="734"/>
      <c r="U42" s="745" t="s">
        <v>20</v>
      </c>
      <c r="V42" s="731"/>
      <c r="W42" s="731"/>
      <c r="X42" s="732"/>
      <c r="Y42" s="746"/>
      <c r="Z42" s="746"/>
      <c r="AA42" s="742">
        <f>SUM($Z$43)</f>
        <v>22400.000000000004</v>
      </c>
      <c r="AB42" s="414"/>
      <c r="AC42" s="777"/>
      <c r="AD42" s="174"/>
      <c r="AE42" s="5416"/>
    </row>
    <row r="43" spans="1:31" ht="26.25" customHeight="1">
      <c r="A43" s="5405"/>
      <c r="B43" s="5349"/>
      <c r="C43" s="5326"/>
      <c r="D43" s="5326"/>
      <c r="E43" s="5326"/>
      <c r="F43" s="5326"/>
      <c r="G43" s="5326"/>
      <c r="H43" s="5326"/>
      <c r="I43" s="5326"/>
      <c r="J43" s="5326"/>
      <c r="K43" s="5326"/>
      <c r="L43" s="5326"/>
      <c r="M43" s="5326"/>
      <c r="N43" s="5326"/>
      <c r="O43" s="5326"/>
      <c r="P43" s="5326"/>
      <c r="Q43" s="5330"/>
      <c r="R43" s="747"/>
      <c r="S43" s="724"/>
      <c r="T43" s="724"/>
      <c r="U43" s="798"/>
      <c r="V43" s="748">
        <v>1</v>
      </c>
      <c r="W43" s="748" t="s">
        <v>269</v>
      </c>
      <c r="X43" s="766">
        <v>20000</v>
      </c>
      <c r="Y43" s="463">
        <f>+V43*X43</f>
        <v>20000</v>
      </c>
      <c r="Z43" s="463">
        <f>+Y43*1.12</f>
        <v>22400.000000000004</v>
      </c>
      <c r="AA43" s="750"/>
      <c r="AB43" s="170"/>
      <c r="AC43" s="751" t="s">
        <v>251</v>
      </c>
      <c r="AD43" s="282"/>
      <c r="AE43" s="5416"/>
    </row>
    <row r="44" spans="1:31" ht="26.25" customHeight="1">
      <c r="A44" s="5405"/>
      <c r="B44" s="5349"/>
      <c r="C44" s="5326"/>
      <c r="D44" s="5326"/>
      <c r="E44" s="5326"/>
      <c r="F44" s="5326"/>
      <c r="G44" s="5326"/>
      <c r="H44" s="5326"/>
      <c r="I44" s="5326"/>
      <c r="J44" s="5326"/>
      <c r="K44" s="5326"/>
      <c r="L44" s="5326"/>
      <c r="M44" s="5326"/>
      <c r="N44" s="5326"/>
      <c r="O44" s="5326"/>
      <c r="P44" s="5326"/>
      <c r="Q44" s="5330"/>
      <c r="R44" s="747"/>
      <c r="S44" s="736"/>
      <c r="T44" s="736"/>
      <c r="U44" s="737"/>
      <c r="V44" s="738"/>
      <c r="W44" s="738"/>
      <c r="X44" s="739"/>
      <c r="Y44" s="767"/>
      <c r="Z44" s="767"/>
      <c r="AA44" s="740"/>
      <c r="AB44" s="165"/>
      <c r="AC44" s="165"/>
      <c r="AD44" s="166"/>
      <c r="AE44" s="5416"/>
    </row>
    <row r="45" spans="1:31" ht="26.25" customHeight="1">
      <c r="A45" s="5405"/>
      <c r="B45" s="5349"/>
      <c r="C45" s="5326"/>
      <c r="D45" s="5326"/>
      <c r="E45" s="5326"/>
      <c r="F45" s="5326"/>
      <c r="G45" s="5326"/>
      <c r="H45" s="5326"/>
      <c r="I45" s="5326"/>
      <c r="J45" s="5326"/>
      <c r="K45" s="5326"/>
      <c r="L45" s="5326"/>
      <c r="M45" s="5326"/>
      <c r="N45" s="5326"/>
      <c r="O45" s="5326"/>
      <c r="P45" s="5326"/>
      <c r="Q45" s="5330"/>
      <c r="R45" s="758" t="s">
        <v>29</v>
      </c>
      <c r="S45" s="744">
        <v>530611</v>
      </c>
      <c r="T45" s="729"/>
      <c r="U45" s="745" t="s">
        <v>168</v>
      </c>
      <c r="V45" s="135"/>
      <c r="W45" s="731"/>
      <c r="X45" s="732"/>
      <c r="Y45" s="746"/>
      <c r="Z45" s="746"/>
      <c r="AA45" s="742">
        <f>SUM($Z$46)</f>
        <v>20160.000000000004</v>
      </c>
      <c r="AB45" s="414"/>
      <c r="AC45" s="414"/>
      <c r="AD45" s="174"/>
      <c r="AE45" s="5416"/>
    </row>
    <row r="46" spans="1:31" ht="26.25" customHeight="1">
      <c r="A46" s="5405"/>
      <c r="B46" s="5349"/>
      <c r="C46" s="5326"/>
      <c r="D46" s="5326"/>
      <c r="E46" s="5326"/>
      <c r="F46" s="5326"/>
      <c r="G46" s="5326"/>
      <c r="H46" s="5326"/>
      <c r="I46" s="5326"/>
      <c r="J46" s="5326"/>
      <c r="K46" s="5326"/>
      <c r="L46" s="5326"/>
      <c r="M46" s="5326"/>
      <c r="N46" s="5326"/>
      <c r="O46" s="5326"/>
      <c r="P46" s="5326"/>
      <c r="Q46" s="5330"/>
      <c r="R46" s="747"/>
      <c r="S46" s="724"/>
      <c r="T46" s="724"/>
      <c r="U46" s="798"/>
      <c r="V46" s="748">
        <v>1</v>
      </c>
      <c r="W46" s="748" t="s">
        <v>250</v>
      </c>
      <c r="X46" s="778">
        <v>18000</v>
      </c>
      <c r="Y46" s="463">
        <f>+V46*X46</f>
        <v>18000</v>
      </c>
      <c r="Z46" s="463">
        <f>+Y46*1.12</f>
        <v>20160.000000000004</v>
      </c>
      <c r="AA46" s="750"/>
      <c r="AB46" s="751" t="s">
        <v>251</v>
      </c>
      <c r="AC46" s="751" t="s">
        <v>251</v>
      </c>
      <c r="AD46" s="770" t="s">
        <v>251</v>
      </c>
      <c r="AE46" s="5416"/>
    </row>
    <row r="47" spans="1:31" ht="26.25" customHeight="1">
      <c r="A47" s="5439"/>
      <c r="B47" s="5350"/>
      <c r="C47" s="5327"/>
      <c r="D47" s="5327"/>
      <c r="E47" s="5327"/>
      <c r="F47" s="5327"/>
      <c r="G47" s="5327"/>
      <c r="H47" s="5327"/>
      <c r="I47" s="5327"/>
      <c r="J47" s="5327"/>
      <c r="K47" s="5327"/>
      <c r="L47" s="5327"/>
      <c r="M47" s="5327"/>
      <c r="N47" s="5327"/>
      <c r="O47" s="5327"/>
      <c r="P47" s="5327"/>
      <c r="Q47" s="5331"/>
      <c r="R47" s="779"/>
      <c r="S47" s="736"/>
      <c r="T47" s="736"/>
      <c r="U47" s="737"/>
      <c r="V47" s="738"/>
      <c r="W47" s="738"/>
      <c r="X47" s="739"/>
      <c r="Y47" s="767"/>
      <c r="Z47" s="767"/>
      <c r="AA47" s="740"/>
      <c r="AB47" s="165"/>
      <c r="AC47" s="165"/>
      <c r="AD47" s="166"/>
      <c r="AE47" s="5417"/>
    </row>
    <row r="48" spans="1:31" ht="37.5" customHeight="1">
      <c r="A48" s="4942" t="s">
        <v>1476</v>
      </c>
      <c r="B48" s="5348" t="s">
        <v>235</v>
      </c>
      <c r="C48" s="5325" t="s">
        <v>236</v>
      </c>
      <c r="D48" s="5325" t="s">
        <v>244</v>
      </c>
      <c r="E48" s="5325" t="s">
        <v>245</v>
      </c>
      <c r="F48" s="5328" t="s">
        <v>239</v>
      </c>
      <c r="G48" s="5325" t="s">
        <v>240</v>
      </c>
      <c r="H48" s="5325" t="s">
        <v>278</v>
      </c>
      <c r="I48" s="5325" t="s">
        <v>1940</v>
      </c>
      <c r="J48" s="5325" t="s">
        <v>1941</v>
      </c>
      <c r="K48" s="5325" t="s">
        <v>1942</v>
      </c>
      <c r="L48" s="5332">
        <v>1</v>
      </c>
      <c r="M48" s="5332">
        <v>0</v>
      </c>
      <c r="N48" s="5332">
        <v>0</v>
      </c>
      <c r="O48" s="5325" t="s">
        <v>1943</v>
      </c>
      <c r="P48" s="5325" t="s">
        <v>1944</v>
      </c>
      <c r="Q48" s="5329" t="s">
        <v>1945</v>
      </c>
      <c r="R48" s="733"/>
      <c r="S48" s="734"/>
      <c r="T48" s="734"/>
      <c r="U48" s="780"/>
      <c r="V48" s="762"/>
      <c r="W48" s="762"/>
      <c r="X48" s="763"/>
      <c r="Y48" s="732"/>
      <c r="Z48" s="732"/>
      <c r="AA48" s="765"/>
      <c r="AB48" s="178"/>
      <c r="AC48" s="181"/>
      <c r="AD48" s="181"/>
      <c r="AE48" s="5418"/>
    </row>
    <row r="49" spans="1:31" ht="37.5" customHeight="1">
      <c r="A49" s="5405"/>
      <c r="B49" s="5349"/>
      <c r="C49" s="5326"/>
      <c r="D49" s="5326"/>
      <c r="E49" s="5326"/>
      <c r="F49" s="5326"/>
      <c r="G49" s="5326"/>
      <c r="H49" s="5326"/>
      <c r="I49" s="5326"/>
      <c r="J49" s="5326"/>
      <c r="K49" s="5326"/>
      <c r="L49" s="5326"/>
      <c r="M49" s="5326"/>
      <c r="N49" s="5326"/>
      <c r="O49" s="5326"/>
      <c r="P49" s="5326"/>
      <c r="Q49" s="5330"/>
      <c r="R49" s="723"/>
      <c r="S49" s="724"/>
      <c r="T49" s="724"/>
      <c r="U49" s="798"/>
      <c r="V49" s="725"/>
      <c r="W49" s="725"/>
      <c r="X49" s="726"/>
      <c r="Y49" s="726"/>
      <c r="Z49" s="726"/>
      <c r="AA49" s="727"/>
      <c r="AB49" s="170"/>
      <c r="AC49" s="282"/>
      <c r="AD49" s="282"/>
      <c r="AE49" s="5416"/>
    </row>
    <row r="50" spans="1:31" ht="37.5" customHeight="1">
      <c r="A50" s="5405"/>
      <c r="B50" s="5349"/>
      <c r="C50" s="5326"/>
      <c r="D50" s="5326"/>
      <c r="E50" s="5326"/>
      <c r="F50" s="5326"/>
      <c r="G50" s="5326"/>
      <c r="H50" s="5326"/>
      <c r="I50" s="5326"/>
      <c r="J50" s="5326"/>
      <c r="K50" s="5326"/>
      <c r="L50" s="5326"/>
      <c r="M50" s="5326"/>
      <c r="N50" s="5326"/>
      <c r="O50" s="5326"/>
      <c r="P50" s="5326"/>
      <c r="Q50" s="5330"/>
      <c r="R50" s="723"/>
      <c r="S50" s="724"/>
      <c r="T50" s="724"/>
      <c r="U50" s="798"/>
      <c r="V50" s="725"/>
      <c r="W50" s="725"/>
      <c r="X50" s="726"/>
      <c r="Y50" s="726"/>
      <c r="Z50" s="726"/>
      <c r="AA50" s="727"/>
      <c r="AB50" s="170"/>
      <c r="AC50" s="282"/>
      <c r="AD50" s="282"/>
      <c r="AE50" s="5416"/>
    </row>
    <row r="51" spans="1:31" ht="37.5" customHeight="1">
      <c r="A51" s="5405"/>
      <c r="B51" s="5350"/>
      <c r="C51" s="5327"/>
      <c r="D51" s="5327"/>
      <c r="E51" s="5327"/>
      <c r="F51" s="5327"/>
      <c r="G51" s="5327"/>
      <c r="H51" s="5327"/>
      <c r="I51" s="5327"/>
      <c r="J51" s="5327"/>
      <c r="K51" s="5327"/>
      <c r="L51" s="5327"/>
      <c r="M51" s="5327"/>
      <c r="N51" s="5327"/>
      <c r="O51" s="5327"/>
      <c r="P51" s="5327"/>
      <c r="Q51" s="5331"/>
      <c r="R51" s="723"/>
      <c r="S51" s="724"/>
      <c r="T51" s="724"/>
      <c r="U51" s="798"/>
      <c r="V51" s="725"/>
      <c r="W51" s="725"/>
      <c r="X51" s="726"/>
      <c r="Y51" s="726"/>
      <c r="Z51" s="726"/>
      <c r="AA51" s="727"/>
      <c r="AB51" s="170"/>
      <c r="AC51" s="282"/>
      <c r="AD51" s="282"/>
      <c r="AE51" s="5417"/>
    </row>
    <row r="52" spans="1:31" ht="37.5" customHeight="1">
      <c r="A52" s="5405"/>
      <c r="B52" s="5348" t="s">
        <v>235</v>
      </c>
      <c r="C52" s="5325" t="s">
        <v>236</v>
      </c>
      <c r="D52" s="5325" t="s">
        <v>237</v>
      </c>
      <c r="E52" s="5325" t="s">
        <v>326</v>
      </c>
      <c r="F52" s="5328" t="s">
        <v>239</v>
      </c>
      <c r="G52" s="5325" t="s">
        <v>240</v>
      </c>
      <c r="H52" s="5325" t="s">
        <v>257</v>
      </c>
      <c r="I52" s="5325" t="s">
        <v>1946</v>
      </c>
      <c r="J52" s="5325" t="s">
        <v>1529</v>
      </c>
      <c r="K52" s="5325" t="s">
        <v>1947</v>
      </c>
      <c r="L52" s="5332">
        <v>1</v>
      </c>
      <c r="M52" s="5332">
        <v>0</v>
      </c>
      <c r="N52" s="5332">
        <v>1</v>
      </c>
      <c r="O52" s="5325" t="s">
        <v>1948</v>
      </c>
      <c r="P52" s="5325" t="s">
        <v>1949</v>
      </c>
      <c r="Q52" s="5329" t="s">
        <v>1950</v>
      </c>
      <c r="R52" s="733"/>
      <c r="S52" s="734"/>
      <c r="T52" s="734"/>
      <c r="U52" s="741"/>
      <c r="V52" s="731"/>
      <c r="W52" s="731"/>
      <c r="X52" s="732"/>
      <c r="Y52" s="732"/>
      <c r="Z52" s="732"/>
      <c r="AA52" s="742"/>
      <c r="AB52" s="414"/>
      <c r="AC52" s="174"/>
      <c r="AD52" s="174"/>
      <c r="AE52" s="5415"/>
    </row>
    <row r="53" spans="1:31" ht="37.5" customHeight="1">
      <c r="A53" s="5405"/>
      <c r="B53" s="5349"/>
      <c r="C53" s="5326"/>
      <c r="D53" s="5326"/>
      <c r="E53" s="5326"/>
      <c r="F53" s="5326"/>
      <c r="G53" s="5326"/>
      <c r="H53" s="5326"/>
      <c r="I53" s="5326"/>
      <c r="J53" s="5326"/>
      <c r="K53" s="5326"/>
      <c r="L53" s="5326"/>
      <c r="M53" s="5326"/>
      <c r="N53" s="5326"/>
      <c r="O53" s="5326"/>
      <c r="P53" s="5326"/>
      <c r="Q53" s="5330"/>
      <c r="R53" s="723"/>
      <c r="S53" s="724"/>
      <c r="T53" s="724"/>
      <c r="U53" s="798"/>
      <c r="V53" s="725"/>
      <c r="W53" s="725"/>
      <c r="X53" s="726"/>
      <c r="Y53" s="726"/>
      <c r="Z53" s="726"/>
      <c r="AA53" s="727"/>
      <c r="AB53" s="170"/>
      <c r="AC53" s="282"/>
      <c r="AD53" s="282"/>
      <c r="AE53" s="5416"/>
    </row>
    <row r="54" spans="1:31" ht="37.5" customHeight="1">
      <c r="A54" s="5405"/>
      <c r="B54" s="5349"/>
      <c r="C54" s="5326"/>
      <c r="D54" s="5326"/>
      <c r="E54" s="5326"/>
      <c r="F54" s="5326"/>
      <c r="G54" s="5326"/>
      <c r="H54" s="5326"/>
      <c r="I54" s="5326"/>
      <c r="J54" s="5326"/>
      <c r="K54" s="5326"/>
      <c r="L54" s="5326"/>
      <c r="M54" s="5326"/>
      <c r="N54" s="5326"/>
      <c r="O54" s="5326"/>
      <c r="P54" s="5326"/>
      <c r="Q54" s="5330"/>
      <c r="R54" s="728"/>
      <c r="S54" s="729"/>
      <c r="T54" s="729"/>
      <c r="U54" s="730"/>
      <c r="V54" s="731"/>
      <c r="W54" s="731"/>
      <c r="X54" s="732"/>
      <c r="Y54" s="726"/>
      <c r="Z54" s="726"/>
      <c r="AA54" s="727"/>
      <c r="AB54" s="170"/>
      <c r="AC54" s="282"/>
      <c r="AD54" s="282"/>
      <c r="AE54" s="5416"/>
    </row>
    <row r="55" spans="1:31" ht="37.5" customHeight="1">
      <c r="A55" s="5405"/>
      <c r="B55" s="5350"/>
      <c r="C55" s="5327"/>
      <c r="D55" s="5327"/>
      <c r="E55" s="5327"/>
      <c r="F55" s="5327"/>
      <c r="G55" s="5327"/>
      <c r="H55" s="5327"/>
      <c r="I55" s="5327"/>
      <c r="J55" s="5327"/>
      <c r="K55" s="5327"/>
      <c r="L55" s="5327"/>
      <c r="M55" s="5327"/>
      <c r="N55" s="5327"/>
      <c r="O55" s="5327"/>
      <c r="P55" s="5327"/>
      <c r="Q55" s="5331"/>
      <c r="R55" s="733"/>
      <c r="S55" s="734"/>
      <c r="T55" s="734"/>
      <c r="U55" s="730"/>
      <c r="V55" s="731"/>
      <c r="W55" s="731"/>
      <c r="X55" s="732"/>
      <c r="Y55" s="726"/>
      <c r="Z55" s="726"/>
      <c r="AA55" s="727"/>
      <c r="AB55" s="170"/>
      <c r="AC55" s="282"/>
      <c r="AD55" s="282"/>
      <c r="AE55" s="5417"/>
    </row>
    <row r="56" spans="1:31" ht="37.5" customHeight="1">
      <c r="A56" s="5405"/>
      <c r="B56" s="5348" t="s">
        <v>235</v>
      </c>
      <c r="C56" s="5325" t="s">
        <v>236</v>
      </c>
      <c r="D56" s="5325" t="s">
        <v>237</v>
      </c>
      <c r="E56" s="5325" t="s">
        <v>553</v>
      </c>
      <c r="F56" s="5328" t="s">
        <v>239</v>
      </c>
      <c r="G56" s="5325" t="s">
        <v>314</v>
      </c>
      <c r="H56" s="5325" t="s">
        <v>278</v>
      </c>
      <c r="I56" s="5325" t="s">
        <v>1951</v>
      </c>
      <c r="J56" s="5325" t="s">
        <v>1952</v>
      </c>
      <c r="K56" s="5325" t="s">
        <v>1953</v>
      </c>
      <c r="L56" s="5332">
        <v>0</v>
      </c>
      <c r="M56" s="5332">
        <v>1</v>
      </c>
      <c r="N56" s="5332">
        <v>1</v>
      </c>
      <c r="O56" s="5325" t="s">
        <v>1954</v>
      </c>
      <c r="P56" s="5325" t="s">
        <v>1955</v>
      </c>
      <c r="Q56" s="5329" t="s">
        <v>1956</v>
      </c>
      <c r="R56" s="733"/>
      <c r="S56" s="734"/>
      <c r="T56" s="734"/>
      <c r="U56" s="741"/>
      <c r="V56" s="731"/>
      <c r="W56" s="731"/>
      <c r="X56" s="732"/>
      <c r="Y56" s="732"/>
      <c r="Z56" s="732"/>
      <c r="AA56" s="742"/>
      <c r="AB56" s="414"/>
      <c r="AC56" s="168"/>
      <c r="AD56" s="168"/>
      <c r="AE56" s="5415"/>
    </row>
    <row r="57" spans="1:31" ht="37.5" customHeight="1">
      <c r="A57" s="5405"/>
      <c r="B57" s="5349"/>
      <c r="C57" s="5326"/>
      <c r="D57" s="5326"/>
      <c r="E57" s="5326"/>
      <c r="F57" s="5326"/>
      <c r="G57" s="5326"/>
      <c r="H57" s="5326"/>
      <c r="I57" s="5326"/>
      <c r="J57" s="5326"/>
      <c r="K57" s="5326"/>
      <c r="L57" s="5326"/>
      <c r="M57" s="5326"/>
      <c r="N57" s="5326"/>
      <c r="O57" s="5326"/>
      <c r="P57" s="5326"/>
      <c r="Q57" s="5330"/>
      <c r="R57" s="723"/>
      <c r="S57" s="724"/>
      <c r="T57" s="724"/>
      <c r="U57" s="798"/>
      <c r="V57" s="725"/>
      <c r="W57" s="725"/>
      <c r="X57" s="726"/>
      <c r="Y57" s="726"/>
      <c r="Z57" s="726"/>
      <c r="AA57" s="727"/>
      <c r="AB57" s="170"/>
      <c r="AC57" s="170"/>
      <c r="AD57" s="171"/>
      <c r="AE57" s="5416"/>
    </row>
    <row r="58" spans="1:31" ht="37.5" customHeight="1">
      <c r="A58" s="5405"/>
      <c r="B58" s="5349"/>
      <c r="C58" s="5326"/>
      <c r="D58" s="5326"/>
      <c r="E58" s="5326"/>
      <c r="F58" s="5326"/>
      <c r="G58" s="5326"/>
      <c r="H58" s="5326"/>
      <c r="I58" s="5326"/>
      <c r="J58" s="5326"/>
      <c r="K58" s="5326"/>
      <c r="L58" s="5326"/>
      <c r="M58" s="5326"/>
      <c r="N58" s="5326"/>
      <c r="O58" s="5326"/>
      <c r="P58" s="5326"/>
      <c r="Q58" s="5330"/>
      <c r="R58" s="723"/>
      <c r="S58" s="724"/>
      <c r="T58" s="724"/>
      <c r="U58" s="798"/>
      <c r="V58" s="725"/>
      <c r="W58" s="725"/>
      <c r="X58" s="726"/>
      <c r="Y58" s="726"/>
      <c r="Z58" s="726"/>
      <c r="AA58" s="727"/>
      <c r="AB58" s="170"/>
      <c r="AC58" s="170"/>
      <c r="AD58" s="282"/>
      <c r="AE58" s="5416"/>
    </row>
    <row r="59" spans="1:31" ht="37.5" customHeight="1">
      <c r="A59" s="5405"/>
      <c r="B59" s="5350"/>
      <c r="C59" s="5327"/>
      <c r="D59" s="5327"/>
      <c r="E59" s="5327"/>
      <c r="F59" s="5327"/>
      <c r="G59" s="5327"/>
      <c r="H59" s="5327"/>
      <c r="I59" s="5327"/>
      <c r="J59" s="5327"/>
      <c r="K59" s="5327"/>
      <c r="L59" s="5327"/>
      <c r="M59" s="5327"/>
      <c r="N59" s="5327"/>
      <c r="O59" s="5327"/>
      <c r="P59" s="5327"/>
      <c r="Q59" s="5331"/>
      <c r="R59" s="723"/>
      <c r="S59" s="724"/>
      <c r="T59" s="724"/>
      <c r="U59" s="798"/>
      <c r="V59" s="725"/>
      <c r="W59" s="725"/>
      <c r="X59" s="726"/>
      <c r="Y59" s="726"/>
      <c r="Z59" s="726"/>
      <c r="AA59" s="727"/>
      <c r="AB59" s="170"/>
      <c r="AC59" s="170"/>
      <c r="AD59" s="282"/>
      <c r="AE59" s="5417"/>
    </row>
    <row r="60" spans="1:31" ht="37.5" customHeight="1">
      <c r="A60" s="5405"/>
      <c r="B60" s="5348" t="s">
        <v>235</v>
      </c>
      <c r="C60" s="5325" t="s">
        <v>236</v>
      </c>
      <c r="D60" s="5325" t="s">
        <v>237</v>
      </c>
      <c r="E60" s="5325" t="s">
        <v>255</v>
      </c>
      <c r="F60" s="5328" t="s">
        <v>239</v>
      </c>
      <c r="G60" s="5325" t="s">
        <v>306</v>
      </c>
      <c r="H60" s="5325" t="s">
        <v>278</v>
      </c>
      <c r="I60" s="5325" t="s">
        <v>1957</v>
      </c>
      <c r="J60" s="5325" t="s">
        <v>1539</v>
      </c>
      <c r="K60" s="5325" t="s">
        <v>1958</v>
      </c>
      <c r="L60" s="5332">
        <v>0</v>
      </c>
      <c r="M60" s="5332">
        <v>1</v>
      </c>
      <c r="N60" s="5332">
        <v>1</v>
      </c>
      <c r="O60" s="5325" t="s">
        <v>1959</v>
      </c>
      <c r="P60" s="5325" t="s">
        <v>1960</v>
      </c>
      <c r="Q60" s="5329" t="s">
        <v>1933</v>
      </c>
      <c r="R60" s="733"/>
      <c r="S60" s="734"/>
      <c r="T60" s="734"/>
      <c r="U60" s="780"/>
      <c r="V60" s="762"/>
      <c r="W60" s="762"/>
      <c r="X60" s="763"/>
      <c r="Y60" s="732"/>
      <c r="Z60" s="732"/>
      <c r="AA60" s="765"/>
      <c r="AB60" s="178"/>
      <c r="AC60" s="181"/>
      <c r="AD60" s="181"/>
      <c r="AE60" s="5418"/>
    </row>
    <row r="61" spans="1:31" ht="37.5" customHeight="1">
      <c r="A61" s="5405"/>
      <c r="B61" s="5349"/>
      <c r="C61" s="5326"/>
      <c r="D61" s="5326"/>
      <c r="E61" s="5326"/>
      <c r="F61" s="5326"/>
      <c r="G61" s="5326"/>
      <c r="H61" s="5326"/>
      <c r="I61" s="5326"/>
      <c r="J61" s="5326"/>
      <c r="K61" s="5326"/>
      <c r="L61" s="5326"/>
      <c r="M61" s="5326"/>
      <c r="N61" s="5326"/>
      <c r="O61" s="5326"/>
      <c r="P61" s="5326"/>
      <c r="Q61" s="5330"/>
      <c r="R61" s="723"/>
      <c r="S61" s="724"/>
      <c r="T61" s="724"/>
      <c r="U61" s="798"/>
      <c r="V61" s="725"/>
      <c r="W61" s="725"/>
      <c r="X61" s="726"/>
      <c r="Y61" s="726"/>
      <c r="Z61" s="726"/>
      <c r="AA61" s="727"/>
      <c r="AB61" s="170"/>
      <c r="AC61" s="282"/>
      <c r="AD61" s="282"/>
      <c r="AE61" s="5416"/>
    </row>
    <row r="62" spans="1:31" ht="37.5" customHeight="1">
      <c r="A62" s="5405"/>
      <c r="B62" s="5349"/>
      <c r="C62" s="5326"/>
      <c r="D62" s="5326"/>
      <c r="E62" s="5326"/>
      <c r="F62" s="5326"/>
      <c r="G62" s="5326"/>
      <c r="H62" s="5326"/>
      <c r="I62" s="5326"/>
      <c r="J62" s="5326"/>
      <c r="K62" s="5326"/>
      <c r="L62" s="5326"/>
      <c r="M62" s="5326"/>
      <c r="N62" s="5326"/>
      <c r="O62" s="5326"/>
      <c r="P62" s="5326"/>
      <c r="Q62" s="5330"/>
      <c r="R62" s="723"/>
      <c r="S62" s="724"/>
      <c r="T62" s="724"/>
      <c r="U62" s="798"/>
      <c r="V62" s="725"/>
      <c r="W62" s="725"/>
      <c r="X62" s="726"/>
      <c r="Y62" s="726"/>
      <c r="Z62" s="726"/>
      <c r="AA62" s="727"/>
      <c r="AB62" s="170"/>
      <c r="AC62" s="282"/>
      <c r="AD62" s="282"/>
      <c r="AE62" s="5416"/>
    </row>
    <row r="63" spans="1:31" ht="37.5" customHeight="1">
      <c r="A63" s="5405"/>
      <c r="B63" s="5350"/>
      <c r="C63" s="5327"/>
      <c r="D63" s="5327"/>
      <c r="E63" s="5327"/>
      <c r="F63" s="5327"/>
      <c r="G63" s="5327"/>
      <c r="H63" s="5327"/>
      <c r="I63" s="5327"/>
      <c r="J63" s="5327"/>
      <c r="K63" s="5327"/>
      <c r="L63" s="5327"/>
      <c r="M63" s="5327"/>
      <c r="N63" s="5327"/>
      <c r="O63" s="5327"/>
      <c r="P63" s="5327"/>
      <c r="Q63" s="5331"/>
      <c r="R63" s="723"/>
      <c r="S63" s="724"/>
      <c r="T63" s="724"/>
      <c r="U63" s="798"/>
      <c r="V63" s="725"/>
      <c r="W63" s="725"/>
      <c r="X63" s="726"/>
      <c r="Y63" s="726"/>
      <c r="Z63" s="726"/>
      <c r="AA63" s="727"/>
      <c r="AB63" s="170"/>
      <c r="AC63" s="282"/>
      <c r="AD63" s="282"/>
      <c r="AE63" s="5417"/>
    </row>
    <row r="64" spans="1:31" ht="37.5" customHeight="1">
      <c r="A64" s="5405"/>
      <c r="B64" s="5348" t="s">
        <v>272</v>
      </c>
      <c r="C64" s="5325" t="s">
        <v>302</v>
      </c>
      <c r="D64" s="5325" t="s">
        <v>303</v>
      </c>
      <c r="E64" s="5325" t="s">
        <v>318</v>
      </c>
      <c r="F64" s="5328" t="s">
        <v>305</v>
      </c>
      <c r="G64" s="5325" t="s">
        <v>240</v>
      </c>
      <c r="H64" s="5325" t="s">
        <v>294</v>
      </c>
      <c r="I64" s="5325" t="s">
        <v>1961</v>
      </c>
      <c r="J64" s="5325" t="s">
        <v>1545</v>
      </c>
      <c r="K64" s="5325" t="s">
        <v>1962</v>
      </c>
      <c r="L64" s="5332">
        <v>0</v>
      </c>
      <c r="M64" s="5332">
        <v>1</v>
      </c>
      <c r="N64" s="5332">
        <v>1</v>
      </c>
      <c r="O64" s="5325" t="s">
        <v>1963</v>
      </c>
      <c r="P64" s="5325" t="s">
        <v>1964</v>
      </c>
      <c r="Q64" s="5329" t="s">
        <v>1945</v>
      </c>
      <c r="R64" s="733"/>
      <c r="S64" s="734"/>
      <c r="T64" s="734"/>
      <c r="U64" s="741"/>
      <c r="V64" s="731"/>
      <c r="W64" s="731"/>
      <c r="X64" s="732"/>
      <c r="Y64" s="732"/>
      <c r="Z64" s="732"/>
      <c r="AA64" s="742"/>
      <c r="AB64" s="414"/>
      <c r="AC64" s="174"/>
      <c r="AD64" s="174"/>
      <c r="AE64" s="5415"/>
    </row>
    <row r="65" spans="1:31" ht="37.5" customHeight="1">
      <c r="A65" s="5405"/>
      <c r="B65" s="5349"/>
      <c r="C65" s="5326"/>
      <c r="D65" s="5326"/>
      <c r="E65" s="5326"/>
      <c r="F65" s="5326"/>
      <c r="G65" s="5326"/>
      <c r="H65" s="5326"/>
      <c r="I65" s="5326"/>
      <c r="J65" s="5326"/>
      <c r="K65" s="5326"/>
      <c r="L65" s="5326"/>
      <c r="M65" s="5326"/>
      <c r="N65" s="5326"/>
      <c r="O65" s="5326"/>
      <c r="P65" s="5326"/>
      <c r="Q65" s="5330"/>
      <c r="R65" s="723"/>
      <c r="S65" s="724"/>
      <c r="T65" s="724"/>
      <c r="U65" s="798"/>
      <c r="V65" s="725"/>
      <c r="W65" s="725"/>
      <c r="X65" s="726"/>
      <c r="Y65" s="726"/>
      <c r="Z65" s="726"/>
      <c r="AA65" s="727"/>
      <c r="AB65" s="170"/>
      <c r="AC65" s="282"/>
      <c r="AD65" s="282"/>
      <c r="AE65" s="5416"/>
    </row>
    <row r="66" spans="1:31" ht="37.5" customHeight="1">
      <c r="A66" s="5405"/>
      <c r="B66" s="5350"/>
      <c r="C66" s="5327"/>
      <c r="D66" s="5327"/>
      <c r="E66" s="5327"/>
      <c r="F66" s="5327"/>
      <c r="G66" s="5327"/>
      <c r="H66" s="5327"/>
      <c r="I66" s="5327"/>
      <c r="J66" s="5327"/>
      <c r="K66" s="5327"/>
      <c r="L66" s="5327"/>
      <c r="M66" s="5327"/>
      <c r="N66" s="5327"/>
      <c r="O66" s="5327"/>
      <c r="P66" s="5327"/>
      <c r="Q66" s="5331"/>
      <c r="R66" s="728"/>
      <c r="S66" s="729"/>
      <c r="T66" s="729"/>
      <c r="U66" s="730"/>
      <c r="V66" s="731"/>
      <c r="W66" s="731"/>
      <c r="X66" s="732"/>
      <c r="Y66" s="726"/>
      <c r="Z66" s="726"/>
      <c r="AA66" s="727"/>
      <c r="AB66" s="170"/>
      <c r="AC66" s="282"/>
      <c r="AD66" s="282"/>
      <c r="AE66" s="5417"/>
    </row>
    <row r="67" spans="1:31" ht="37.5" customHeight="1">
      <c r="A67" s="5405"/>
      <c r="B67" s="5348" t="s">
        <v>235</v>
      </c>
      <c r="C67" s="5325" t="s">
        <v>236</v>
      </c>
      <c r="D67" s="5325" t="s">
        <v>237</v>
      </c>
      <c r="E67" s="5325" t="s">
        <v>326</v>
      </c>
      <c r="F67" s="5328" t="s">
        <v>239</v>
      </c>
      <c r="G67" s="5325" t="s">
        <v>240</v>
      </c>
      <c r="H67" s="5325" t="s">
        <v>257</v>
      </c>
      <c r="I67" s="5325" t="s">
        <v>1965</v>
      </c>
      <c r="J67" s="5325" t="s">
        <v>1966</v>
      </c>
      <c r="K67" s="5325" t="s">
        <v>1919</v>
      </c>
      <c r="L67" s="5332">
        <v>0</v>
      </c>
      <c r="M67" s="5332">
        <v>1</v>
      </c>
      <c r="N67" s="5332">
        <v>1</v>
      </c>
      <c r="O67" s="5325" t="s">
        <v>1967</v>
      </c>
      <c r="P67" s="5325" t="s">
        <v>1968</v>
      </c>
      <c r="Q67" s="5329" t="s">
        <v>1969</v>
      </c>
      <c r="R67" s="733"/>
      <c r="S67" s="734"/>
      <c r="T67" s="734"/>
      <c r="U67" s="741"/>
      <c r="V67" s="731"/>
      <c r="W67" s="731"/>
      <c r="X67" s="732"/>
      <c r="Y67" s="732"/>
      <c r="Z67" s="732"/>
      <c r="AA67" s="742"/>
      <c r="AB67" s="414"/>
      <c r="AC67" s="168"/>
      <c r="AD67" s="168"/>
      <c r="AE67" s="5415"/>
    </row>
    <row r="68" spans="1:31" ht="37.5" customHeight="1">
      <c r="A68" s="5405"/>
      <c r="B68" s="5349"/>
      <c r="C68" s="5326"/>
      <c r="D68" s="5326"/>
      <c r="E68" s="5326"/>
      <c r="F68" s="5326"/>
      <c r="G68" s="5326"/>
      <c r="H68" s="5326"/>
      <c r="I68" s="5326"/>
      <c r="J68" s="5326"/>
      <c r="K68" s="5326"/>
      <c r="L68" s="5326"/>
      <c r="M68" s="5326"/>
      <c r="N68" s="5326"/>
      <c r="O68" s="5326"/>
      <c r="P68" s="5326"/>
      <c r="Q68" s="5330"/>
      <c r="R68" s="723"/>
      <c r="S68" s="724"/>
      <c r="T68" s="724"/>
      <c r="U68" s="798"/>
      <c r="V68" s="725"/>
      <c r="W68" s="725"/>
      <c r="X68" s="726"/>
      <c r="Y68" s="726"/>
      <c r="Z68" s="726"/>
      <c r="AA68" s="727"/>
      <c r="AB68" s="170"/>
      <c r="AC68" s="170"/>
      <c r="AD68" s="171"/>
      <c r="AE68" s="5416"/>
    </row>
    <row r="69" spans="1:31" ht="37.5" customHeight="1">
      <c r="A69" s="5405"/>
      <c r="B69" s="5349"/>
      <c r="C69" s="5326"/>
      <c r="D69" s="5326"/>
      <c r="E69" s="5326"/>
      <c r="F69" s="5326"/>
      <c r="G69" s="5326"/>
      <c r="H69" s="5326"/>
      <c r="I69" s="5326"/>
      <c r="J69" s="5326"/>
      <c r="K69" s="5326"/>
      <c r="L69" s="5326"/>
      <c r="M69" s="5326"/>
      <c r="N69" s="5326"/>
      <c r="O69" s="5326"/>
      <c r="P69" s="5326"/>
      <c r="Q69" s="5330"/>
      <c r="R69" s="723"/>
      <c r="S69" s="724"/>
      <c r="T69" s="724"/>
      <c r="U69" s="798"/>
      <c r="V69" s="725"/>
      <c r="W69" s="725"/>
      <c r="X69" s="726"/>
      <c r="Y69" s="726"/>
      <c r="Z69" s="726"/>
      <c r="AA69" s="727"/>
      <c r="AB69" s="170"/>
      <c r="AC69" s="170"/>
      <c r="AD69" s="282"/>
      <c r="AE69" s="5416"/>
    </row>
    <row r="70" spans="1:31" ht="37.5" customHeight="1">
      <c r="A70" s="5405"/>
      <c r="B70" s="5350"/>
      <c r="C70" s="5327"/>
      <c r="D70" s="5327"/>
      <c r="E70" s="5327"/>
      <c r="F70" s="5327"/>
      <c r="G70" s="5327"/>
      <c r="H70" s="5327"/>
      <c r="I70" s="5327"/>
      <c r="J70" s="5327"/>
      <c r="K70" s="5327"/>
      <c r="L70" s="5327"/>
      <c r="M70" s="5327"/>
      <c r="N70" s="5327"/>
      <c r="O70" s="5327"/>
      <c r="P70" s="5327"/>
      <c r="Q70" s="5331"/>
      <c r="R70" s="723"/>
      <c r="S70" s="724"/>
      <c r="T70" s="724"/>
      <c r="U70" s="798"/>
      <c r="V70" s="725"/>
      <c r="W70" s="725"/>
      <c r="X70" s="726"/>
      <c r="Y70" s="726"/>
      <c r="Z70" s="726"/>
      <c r="AA70" s="727"/>
      <c r="AB70" s="170"/>
      <c r="AC70" s="170"/>
      <c r="AD70" s="282"/>
      <c r="AE70" s="5417"/>
    </row>
    <row r="71" spans="1:31" ht="37.5" customHeight="1">
      <c r="A71" s="5405"/>
      <c r="B71" s="5348" t="s">
        <v>235</v>
      </c>
      <c r="C71" s="5325" t="s">
        <v>236</v>
      </c>
      <c r="D71" s="5325" t="s">
        <v>237</v>
      </c>
      <c r="E71" s="5325" t="s">
        <v>326</v>
      </c>
      <c r="F71" s="5328" t="s">
        <v>239</v>
      </c>
      <c r="G71" s="5325" t="s">
        <v>240</v>
      </c>
      <c r="H71" s="5325" t="s">
        <v>257</v>
      </c>
      <c r="I71" s="5325" t="s">
        <v>1970</v>
      </c>
      <c r="J71" s="5325" t="s">
        <v>338</v>
      </c>
      <c r="K71" s="5325" t="s">
        <v>1971</v>
      </c>
      <c r="L71" s="5332">
        <v>0</v>
      </c>
      <c r="M71" s="5332">
        <v>1</v>
      </c>
      <c r="N71" s="5332">
        <v>1</v>
      </c>
      <c r="O71" s="5325" t="s">
        <v>1972</v>
      </c>
      <c r="P71" s="5325" t="s">
        <v>1973</v>
      </c>
      <c r="Q71" s="5329" t="s">
        <v>1974</v>
      </c>
      <c r="R71" s="733"/>
      <c r="S71" s="734"/>
      <c r="T71" s="734"/>
      <c r="U71" s="780"/>
      <c r="V71" s="762"/>
      <c r="W71" s="762"/>
      <c r="X71" s="763"/>
      <c r="Y71" s="732"/>
      <c r="Z71" s="732"/>
      <c r="AA71" s="765"/>
      <c r="AB71" s="178"/>
      <c r="AC71" s="181"/>
      <c r="AD71" s="181"/>
      <c r="AE71" s="5418"/>
    </row>
    <row r="72" spans="1:31" ht="37.5" customHeight="1">
      <c r="A72" s="5405"/>
      <c r="B72" s="5349"/>
      <c r="C72" s="5326"/>
      <c r="D72" s="5326"/>
      <c r="E72" s="5326"/>
      <c r="F72" s="5326"/>
      <c r="G72" s="5326"/>
      <c r="H72" s="5326"/>
      <c r="I72" s="5326"/>
      <c r="J72" s="5326"/>
      <c r="K72" s="5326"/>
      <c r="L72" s="5326"/>
      <c r="M72" s="5326"/>
      <c r="N72" s="5326"/>
      <c r="O72" s="5326"/>
      <c r="P72" s="5326"/>
      <c r="Q72" s="5330"/>
      <c r="R72" s="723"/>
      <c r="S72" s="724"/>
      <c r="T72" s="724"/>
      <c r="U72" s="798"/>
      <c r="V72" s="725"/>
      <c r="W72" s="725"/>
      <c r="X72" s="726"/>
      <c r="Y72" s="726"/>
      <c r="Z72" s="726"/>
      <c r="AA72" s="727"/>
      <c r="AB72" s="170"/>
      <c r="AC72" s="282"/>
      <c r="AD72" s="282"/>
      <c r="AE72" s="5416"/>
    </row>
    <row r="73" spans="1:31" ht="37.5" customHeight="1">
      <c r="A73" s="5405"/>
      <c r="B73" s="5349"/>
      <c r="C73" s="5326"/>
      <c r="D73" s="5326"/>
      <c r="E73" s="5326"/>
      <c r="F73" s="5326"/>
      <c r="G73" s="5326"/>
      <c r="H73" s="5326"/>
      <c r="I73" s="5326"/>
      <c r="J73" s="5326"/>
      <c r="K73" s="5326"/>
      <c r="L73" s="5326"/>
      <c r="M73" s="5326"/>
      <c r="N73" s="5326"/>
      <c r="O73" s="5326"/>
      <c r="P73" s="5326"/>
      <c r="Q73" s="5330"/>
      <c r="R73" s="723"/>
      <c r="S73" s="724"/>
      <c r="T73" s="724"/>
      <c r="U73" s="798"/>
      <c r="V73" s="725"/>
      <c r="W73" s="725"/>
      <c r="X73" s="726"/>
      <c r="Y73" s="726"/>
      <c r="Z73" s="726"/>
      <c r="AA73" s="727"/>
      <c r="AB73" s="170"/>
      <c r="AC73" s="282"/>
      <c r="AD73" s="282"/>
      <c r="AE73" s="5416"/>
    </row>
    <row r="74" spans="1:31" ht="37.5" customHeight="1">
      <c r="A74" s="5405"/>
      <c r="B74" s="5350"/>
      <c r="C74" s="5327"/>
      <c r="D74" s="5327"/>
      <c r="E74" s="5327"/>
      <c r="F74" s="5327"/>
      <c r="G74" s="5327"/>
      <c r="H74" s="5327"/>
      <c r="I74" s="5327"/>
      <c r="J74" s="5327"/>
      <c r="K74" s="5327"/>
      <c r="L74" s="5327"/>
      <c r="M74" s="5327"/>
      <c r="N74" s="5327"/>
      <c r="O74" s="5327"/>
      <c r="P74" s="5327"/>
      <c r="Q74" s="5331"/>
      <c r="R74" s="723"/>
      <c r="S74" s="724"/>
      <c r="T74" s="724"/>
      <c r="U74" s="798"/>
      <c r="V74" s="725"/>
      <c r="W74" s="725"/>
      <c r="X74" s="726"/>
      <c r="Y74" s="726"/>
      <c r="Z74" s="726"/>
      <c r="AA74" s="727"/>
      <c r="AB74" s="170"/>
      <c r="AC74" s="282"/>
      <c r="AD74" s="282"/>
      <c r="AE74" s="5417"/>
    </row>
    <row r="75" spans="1:31" ht="37.5" customHeight="1">
      <c r="A75" s="5405"/>
      <c r="B75" s="5348" t="s">
        <v>235</v>
      </c>
      <c r="C75" s="5325" t="s">
        <v>236</v>
      </c>
      <c r="D75" s="5325" t="s">
        <v>237</v>
      </c>
      <c r="E75" s="5325" t="s">
        <v>326</v>
      </c>
      <c r="F75" s="5328" t="s">
        <v>239</v>
      </c>
      <c r="G75" s="5325" t="s">
        <v>240</v>
      </c>
      <c r="H75" s="5325" t="s">
        <v>257</v>
      </c>
      <c r="I75" s="5325" t="s">
        <v>1975</v>
      </c>
      <c r="J75" s="5325" t="s">
        <v>707</v>
      </c>
      <c r="K75" s="5325" t="s">
        <v>1776</v>
      </c>
      <c r="L75" s="5332">
        <v>240</v>
      </c>
      <c r="M75" s="5332">
        <v>210</v>
      </c>
      <c r="N75" s="5332">
        <v>200</v>
      </c>
      <c r="O75" s="5325" t="s">
        <v>1976</v>
      </c>
      <c r="P75" s="5325" t="s">
        <v>1977</v>
      </c>
      <c r="Q75" s="5329" t="s">
        <v>1978</v>
      </c>
      <c r="R75" s="781"/>
      <c r="S75" s="782"/>
      <c r="T75" s="782"/>
      <c r="U75" s="783"/>
      <c r="V75" s="762"/>
      <c r="W75" s="762"/>
      <c r="X75" s="763"/>
      <c r="Y75" s="763"/>
      <c r="Z75" s="763"/>
      <c r="AA75" s="765"/>
      <c r="AB75" s="178"/>
      <c r="AC75" s="181"/>
      <c r="AD75" s="181"/>
      <c r="AE75" s="5418"/>
    </row>
    <row r="76" spans="1:31" ht="37.5" customHeight="1">
      <c r="A76" s="5405"/>
      <c r="B76" s="5349"/>
      <c r="C76" s="5326"/>
      <c r="D76" s="5326"/>
      <c r="E76" s="5326"/>
      <c r="F76" s="5326"/>
      <c r="G76" s="5326"/>
      <c r="H76" s="5326"/>
      <c r="I76" s="5326"/>
      <c r="J76" s="5326"/>
      <c r="K76" s="5326"/>
      <c r="L76" s="5326"/>
      <c r="M76" s="5326"/>
      <c r="N76" s="5326"/>
      <c r="O76" s="5326"/>
      <c r="P76" s="5326"/>
      <c r="Q76" s="5330"/>
      <c r="R76" s="728"/>
      <c r="S76" s="729"/>
      <c r="T76" s="729"/>
      <c r="U76" s="798"/>
      <c r="V76" s="725"/>
      <c r="W76" s="725"/>
      <c r="X76" s="726"/>
      <c r="Y76" s="726"/>
      <c r="Z76" s="726"/>
      <c r="AA76" s="727"/>
      <c r="AB76" s="170"/>
      <c r="AC76" s="282"/>
      <c r="AD76" s="282"/>
      <c r="AE76" s="5416"/>
    </row>
    <row r="77" spans="1:31" ht="37.5" customHeight="1">
      <c r="A77" s="5405"/>
      <c r="B77" s="5349"/>
      <c r="C77" s="5326"/>
      <c r="D77" s="5326"/>
      <c r="E77" s="5326"/>
      <c r="F77" s="5326"/>
      <c r="G77" s="5326"/>
      <c r="H77" s="5326"/>
      <c r="I77" s="5326"/>
      <c r="J77" s="5326"/>
      <c r="K77" s="5326"/>
      <c r="L77" s="5326"/>
      <c r="M77" s="5326"/>
      <c r="N77" s="5326"/>
      <c r="O77" s="5326"/>
      <c r="P77" s="5326"/>
      <c r="Q77" s="5330"/>
      <c r="R77" s="723"/>
      <c r="S77" s="724"/>
      <c r="T77" s="724"/>
      <c r="U77" s="798"/>
      <c r="V77" s="725"/>
      <c r="W77" s="725"/>
      <c r="X77" s="726"/>
      <c r="Y77" s="726"/>
      <c r="Z77" s="726"/>
      <c r="AA77" s="727"/>
      <c r="AB77" s="170"/>
      <c r="AC77" s="282"/>
      <c r="AD77" s="282"/>
      <c r="AE77" s="5416"/>
    </row>
    <row r="78" spans="1:31" ht="37.5" customHeight="1">
      <c r="A78" s="5406"/>
      <c r="B78" s="5350"/>
      <c r="C78" s="5327"/>
      <c r="D78" s="5327"/>
      <c r="E78" s="5327"/>
      <c r="F78" s="5327"/>
      <c r="G78" s="5327"/>
      <c r="H78" s="5327"/>
      <c r="I78" s="5327"/>
      <c r="J78" s="5327"/>
      <c r="K78" s="5327"/>
      <c r="L78" s="5327"/>
      <c r="M78" s="5327"/>
      <c r="N78" s="5327"/>
      <c r="O78" s="5327"/>
      <c r="P78" s="5327"/>
      <c r="Q78" s="5331"/>
      <c r="R78" s="723"/>
      <c r="S78" s="724"/>
      <c r="T78" s="724"/>
      <c r="U78" s="798"/>
      <c r="V78" s="725"/>
      <c r="W78" s="725"/>
      <c r="X78" s="726"/>
      <c r="Y78" s="726"/>
      <c r="Z78" s="726"/>
      <c r="AA78" s="727"/>
      <c r="AB78" s="170"/>
      <c r="AC78" s="282"/>
      <c r="AD78" s="282"/>
      <c r="AE78" s="5417"/>
    </row>
    <row r="79" spans="1:31" ht="37.5" customHeight="1">
      <c r="A79" s="2158"/>
      <c r="B79" s="785"/>
      <c r="C79" s="785"/>
      <c r="D79" s="785"/>
      <c r="E79" s="785"/>
      <c r="F79" s="785"/>
      <c r="G79" s="785"/>
      <c r="H79" s="785"/>
      <c r="I79" s="785"/>
      <c r="J79" s="785"/>
      <c r="K79" s="785"/>
      <c r="L79" s="785"/>
      <c r="M79" s="785"/>
      <c r="N79" s="785"/>
      <c r="O79" s="785"/>
      <c r="P79" s="785"/>
      <c r="Q79" s="786"/>
      <c r="R79" s="5473" t="s">
        <v>1561</v>
      </c>
      <c r="S79" s="5474"/>
      <c r="T79" s="5474"/>
      <c r="U79" s="5474"/>
      <c r="V79" s="5474"/>
      <c r="W79" s="5474"/>
      <c r="X79" s="5474"/>
      <c r="Y79" s="5475"/>
      <c r="Z79" s="787" t="s">
        <v>340</v>
      </c>
      <c r="AA79" s="788">
        <f>SUM(AA9:AA78)</f>
        <v>163296.94976000002</v>
      </c>
      <c r="AB79" s="5476"/>
      <c r="AC79" s="5474"/>
      <c r="AD79" s="5474"/>
      <c r="AE79" s="5477"/>
    </row>
    <row r="80" spans="1:31" ht="37.5" customHeight="1">
      <c r="A80" s="5366" t="s">
        <v>1562</v>
      </c>
      <c r="B80" s="5351" t="s">
        <v>272</v>
      </c>
      <c r="C80" s="5355" t="s">
        <v>302</v>
      </c>
      <c r="D80" s="5355" t="s">
        <v>303</v>
      </c>
      <c r="E80" s="5355" t="s">
        <v>304</v>
      </c>
      <c r="F80" s="5364" t="s">
        <v>305</v>
      </c>
      <c r="G80" s="5355" t="s">
        <v>240</v>
      </c>
      <c r="H80" s="5355" t="s">
        <v>241</v>
      </c>
      <c r="I80" s="5360" t="s">
        <v>1979</v>
      </c>
      <c r="J80" s="5355" t="s">
        <v>1980</v>
      </c>
      <c r="K80" s="5355" t="s">
        <v>1564</v>
      </c>
      <c r="L80" s="5363">
        <v>2</v>
      </c>
      <c r="M80" s="5343">
        <v>0</v>
      </c>
      <c r="N80" s="5363">
        <v>2</v>
      </c>
      <c r="O80" s="5355" t="s">
        <v>1981</v>
      </c>
      <c r="P80" s="5355" t="s">
        <v>1982</v>
      </c>
      <c r="Q80" s="5392" t="s">
        <v>1983</v>
      </c>
      <c r="R80" s="789"/>
      <c r="S80" s="718"/>
      <c r="T80" s="718"/>
      <c r="U80" s="719"/>
      <c r="V80" s="720"/>
      <c r="W80" s="720"/>
      <c r="X80" s="721"/>
      <c r="Y80" s="721"/>
      <c r="Z80" s="721"/>
      <c r="AA80" s="722"/>
      <c r="AB80" s="155"/>
      <c r="AC80" s="156"/>
      <c r="AD80" s="156"/>
      <c r="AE80" s="5428" t="s">
        <v>1984</v>
      </c>
    </row>
    <row r="81" spans="1:31" ht="37.5" customHeight="1">
      <c r="A81" s="5367"/>
      <c r="B81" s="5334"/>
      <c r="C81" s="5337"/>
      <c r="D81" s="5337"/>
      <c r="E81" s="5337"/>
      <c r="F81" s="5337"/>
      <c r="G81" s="5337"/>
      <c r="H81" s="5337"/>
      <c r="I81" s="5361"/>
      <c r="J81" s="5337"/>
      <c r="K81" s="5337"/>
      <c r="L81" s="5337"/>
      <c r="M81" s="5337"/>
      <c r="N81" s="5337"/>
      <c r="O81" s="5337"/>
      <c r="P81" s="5337"/>
      <c r="Q81" s="5345"/>
      <c r="R81" s="790"/>
      <c r="S81" s="724"/>
      <c r="T81" s="724"/>
      <c r="U81" s="798"/>
      <c r="V81" s="725"/>
      <c r="W81" s="725"/>
      <c r="X81" s="726"/>
      <c r="Y81" s="726"/>
      <c r="Z81" s="726"/>
      <c r="AA81" s="727"/>
      <c r="AB81" s="170"/>
      <c r="AC81" s="282"/>
      <c r="AD81" s="282"/>
      <c r="AE81" s="5416"/>
    </row>
    <row r="82" spans="1:31" ht="37.5" customHeight="1">
      <c r="A82" s="5367"/>
      <c r="B82" s="5334"/>
      <c r="C82" s="5337"/>
      <c r="D82" s="5337"/>
      <c r="E82" s="5337"/>
      <c r="F82" s="5337"/>
      <c r="G82" s="5337"/>
      <c r="H82" s="5337"/>
      <c r="I82" s="5361"/>
      <c r="J82" s="5337"/>
      <c r="K82" s="5337"/>
      <c r="L82" s="5337"/>
      <c r="M82" s="5337"/>
      <c r="N82" s="5337"/>
      <c r="O82" s="5337"/>
      <c r="P82" s="5337"/>
      <c r="Q82" s="5345"/>
      <c r="R82" s="791"/>
      <c r="S82" s="729"/>
      <c r="T82" s="729"/>
      <c r="U82" s="730"/>
      <c r="V82" s="731"/>
      <c r="W82" s="731"/>
      <c r="X82" s="732"/>
      <c r="Y82" s="726"/>
      <c r="Z82" s="726"/>
      <c r="AA82" s="727"/>
      <c r="AB82" s="170"/>
      <c r="AC82" s="282"/>
      <c r="AD82" s="282"/>
      <c r="AE82" s="5416"/>
    </row>
    <row r="83" spans="1:31" ht="37.5" customHeight="1">
      <c r="A83" s="5367"/>
      <c r="B83" s="5335"/>
      <c r="C83" s="5338"/>
      <c r="D83" s="5338"/>
      <c r="E83" s="5338"/>
      <c r="F83" s="5338"/>
      <c r="G83" s="5338"/>
      <c r="H83" s="5338"/>
      <c r="I83" s="5362"/>
      <c r="J83" s="5338"/>
      <c r="K83" s="5338"/>
      <c r="L83" s="5338"/>
      <c r="M83" s="5338"/>
      <c r="N83" s="5338"/>
      <c r="O83" s="5338"/>
      <c r="P83" s="5338"/>
      <c r="Q83" s="5346"/>
      <c r="R83" s="791"/>
      <c r="S83" s="729"/>
      <c r="T83" s="729"/>
      <c r="U83" s="730"/>
      <c r="V83" s="731"/>
      <c r="W83" s="731"/>
      <c r="X83" s="732"/>
      <c r="Y83" s="726"/>
      <c r="Z83" s="726"/>
      <c r="AA83" s="727"/>
      <c r="AB83" s="170"/>
      <c r="AC83" s="282"/>
      <c r="AD83" s="282"/>
      <c r="AE83" s="5417"/>
    </row>
    <row r="84" spans="1:31" ht="37.5" customHeight="1">
      <c r="A84" s="5367"/>
      <c r="B84" s="5333" t="s">
        <v>272</v>
      </c>
      <c r="C84" s="5336" t="s">
        <v>302</v>
      </c>
      <c r="D84" s="5336" t="s">
        <v>303</v>
      </c>
      <c r="E84" s="5336" t="s">
        <v>304</v>
      </c>
      <c r="F84" s="5341" t="s">
        <v>305</v>
      </c>
      <c r="G84" s="5336" t="s">
        <v>240</v>
      </c>
      <c r="H84" s="5336" t="s">
        <v>241</v>
      </c>
      <c r="I84" s="5336" t="s">
        <v>1985</v>
      </c>
      <c r="J84" s="5347" t="s">
        <v>1568</v>
      </c>
      <c r="K84" s="5336" t="s">
        <v>1569</v>
      </c>
      <c r="L84" s="5343">
        <v>10</v>
      </c>
      <c r="M84" s="5343">
        <v>10</v>
      </c>
      <c r="N84" s="5343">
        <v>10</v>
      </c>
      <c r="O84" s="5336" t="s">
        <v>1570</v>
      </c>
      <c r="P84" s="5336" t="s">
        <v>1986</v>
      </c>
      <c r="Q84" s="5370" t="s">
        <v>1987</v>
      </c>
      <c r="R84" s="792"/>
      <c r="S84" s="734"/>
      <c r="T84" s="734"/>
      <c r="U84" s="741"/>
      <c r="V84" s="731"/>
      <c r="W84" s="731"/>
      <c r="X84" s="732"/>
      <c r="Y84" s="732"/>
      <c r="Z84" s="732"/>
      <c r="AA84" s="742"/>
      <c r="AB84" s="414"/>
      <c r="AC84" s="174"/>
      <c r="AD84" s="174"/>
      <c r="AE84" s="5415"/>
    </row>
    <row r="85" spans="1:31" ht="37.5" customHeight="1">
      <c r="A85" s="5367"/>
      <c r="B85" s="5334"/>
      <c r="C85" s="5337"/>
      <c r="D85" s="5337"/>
      <c r="E85" s="5337"/>
      <c r="F85" s="5337"/>
      <c r="G85" s="5337"/>
      <c r="H85" s="5337"/>
      <c r="I85" s="5337"/>
      <c r="J85" s="5337"/>
      <c r="K85" s="5337"/>
      <c r="L85" s="5337"/>
      <c r="M85" s="5337"/>
      <c r="N85" s="5337"/>
      <c r="O85" s="5337"/>
      <c r="P85" s="5337"/>
      <c r="Q85" s="5345"/>
      <c r="R85" s="790"/>
      <c r="S85" s="724"/>
      <c r="T85" s="724"/>
      <c r="U85" s="798"/>
      <c r="V85" s="725"/>
      <c r="W85" s="725"/>
      <c r="X85" s="726"/>
      <c r="Y85" s="726"/>
      <c r="Z85" s="726"/>
      <c r="AA85" s="727"/>
      <c r="AB85" s="170"/>
      <c r="AC85" s="282"/>
      <c r="AD85" s="282"/>
      <c r="AE85" s="5416"/>
    </row>
    <row r="86" spans="1:31" ht="37.5" customHeight="1">
      <c r="A86" s="5367"/>
      <c r="B86" s="5335"/>
      <c r="C86" s="5338"/>
      <c r="D86" s="5338"/>
      <c r="E86" s="5338"/>
      <c r="F86" s="5338"/>
      <c r="G86" s="5338"/>
      <c r="H86" s="5338"/>
      <c r="I86" s="5338"/>
      <c r="J86" s="5338"/>
      <c r="K86" s="5338"/>
      <c r="L86" s="5338"/>
      <c r="M86" s="5338"/>
      <c r="N86" s="5338"/>
      <c r="O86" s="5338"/>
      <c r="P86" s="5338"/>
      <c r="Q86" s="5346"/>
      <c r="R86" s="791"/>
      <c r="S86" s="729"/>
      <c r="T86" s="729"/>
      <c r="U86" s="730"/>
      <c r="V86" s="731"/>
      <c r="W86" s="731"/>
      <c r="X86" s="732"/>
      <c r="Y86" s="726"/>
      <c r="Z86" s="726"/>
      <c r="AA86" s="727"/>
      <c r="AB86" s="170"/>
      <c r="AC86" s="282"/>
      <c r="AD86" s="282"/>
      <c r="AE86" s="5417"/>
    </row>
    <row r="87" spans="1:31" ht="37.5" customHeight="1">
      <c r="A87" s="5367"/>
      <c r="B87" s="5333" t="s">
        <v>272</v>
      </c>
      <c r="C87" s="5336" t="s">
        <v>302</v>
      </c>
      <c r="D87" s="5336" t="s">
        <v>388</v>
      </c>
      <c r="E87" s="5336" t="s">
        <v>847</v>
      </c>
      <c r="F87" s="5341" t="s">
        <v>305</v>
      </c>
      <c r="G87" s="5336" t="s">
        <v>306</v>
      </c>
      <c r="H87" s="5336" t="s">
        <v>257</v>
      </c>
      <c r="I87" s="5336" t="s">
        <v>1988</v>
      </c>
      <c r="J87" s="5347" t="s">
        <v>1573</v>
      </c>
      <c r="K87" s="5336" t="s">
        <v>1989</v>
      </c>
      <c r="L87" s="5343">
        <v>0</v>
      </c>
      <c r="M87" s="5343">
        <v>0</v>
      </c>
      <c r="N87" s="5343">
        <v>0</v>
      </c>
      <c r="O87" s="5336"/>
      <c r="P87" s="5336"/>
      <c r="Q87" s="5370"/>
      <c r="R87" s="792"/>
      <c r="S87" s="734"/>
      <c r="T87" s="734"/>
      <c r="U87" s="741"/>
      <c r="V87" s="731"/>
      <c r="W87" s="731"/>
      <c r="X87" s="732"/>
      <c r="Y87" s="732"/>
      <c r="Z87" s="732"/>
      <c r="AA87" s="742"/>
      <c r="AB87" s="414"/>
      <c r="AC87" s="174"/>
      <c r="AD87" s="174"/>
      <c r="AE87" s="5418" t="s">
        <v>1990</v>
      </c>
    </row>
    <row r="88" spans="1:31" ht="37.5" customHeight="1">
      <c r="A88" s="5367"/>
      <c r="B88" s="5334"/>
      <c r="C88" s="5337"/>
      <c r="D88" s="5337"/>
      <c r="E88" s="5337"/>
      <c r="F88" s="5337"/>
      <c r="G88" s="5337"/>
      <c r="H88" s="5337"/>
      <c r="I88" s="5337"/>
      <c r="J88" s="5337"/>
      <c r="K88" s="5337"/>
      <c r="L88" s="5337"/>
      <c r="M88" s="5337"/>
      <c r="N88" s="5337"/>
      <c r="O88" s="5337"/>
      <c r="P88" s="5337"/>
      <c r="Q88" s="5345"/>
      <c r="R88" s="790"/>
      <c r="S88" s="724"/>
      <c r="T88" s="724"/>
      <c r="U88" s="798"/>
      <c r="V88" s="725"/>
      <c r="W88" s="725"/>
      <c r="X88" s="726"/>
      <c r="Y88" s="726"/>
      <c r="Z88" s="726"/>
      <c r="AA88" s="727"/>
      <c r="AB88" s="170"/>
      <c r="AC88" s="282"/>
      <c r="AD88" s="282"/>
      <c r="AE88" s="5416"/>
    </row>
    <row r="89" spans="1:31" ht="37.5" customHeight="1">
      <c r="A89" s="5367"/>
      <c r="B89" s="5334"/>
      <c r="C89" s="5337"/>
      <c r="D89" s="5337"/>
      <c r="E89" s="5337"/>
      <c r="F89" s="5337"/>
      <c r="G89" s="5337"/>
      <c r="H89" s="5337"/>
      <c r="I89" s="5337"/>
      <c r="J89" s="5337"/>
      <c r="K89" s="5337"/>
      <c r="L89" s="5337"/>
      <c r="M89" s="5337"/>
      <c r="N89" s="5337"/>
      <c r="O89" s="5337"/>
      <c r="P89" s="5337"/>
      <c r="Q89" s="5345"/>
      <c r="R89" s="791"/>
      <c r="S89" s="729"/>
      <c r="T89" s="729"/>
      <c r="U89" s="730"/>
      <c r="V89" s="731"/>
      <c r="W89" s="731"/>
      <c r="X89" s="732"/>
      <c r="Y89" s="726"/>
      <c r="Z89" s="726"/>
      <c r="AA89" s="727"/>
      <c r="AB89" s="170"/>
      <c r="AC89" s="282"/>
      <c r="AD89" s="282"/>
      <c r="AE89" s="5416"/>
    </row>
    <row r="90" spans="1:31" ht="37.5" customHeight="1">
      <c r="A90" s="5367"/>
      <c r="B90" s="5335"/>
      <c r="C90" s="5338"/>
      <c r="D90" s="5338"/>
      <c r="E90" s="5338"/>
      <c r="F90" s="5338"/>
      <c r="G90" s="5338"/>
      <c r="H90" s="5338"/>
      <c r="I90" s="5338"/>
      <c r="J90" s="5338"/>
      <c r="K90" s="5338"/>
      <c r="L90" s="5338"/>
      <c r="M90" s="5338"/>
      <c r="N90" s="5338"/>
      <c r="O90" s="5338"/>
      <c r="P90" s="5338"/>
      <c r="Q90" s="5346"/>
      <c r="R90" s="792"/>
      <c r="S90" s="734"/>
      <c r="T90" s="734"/>
      <c r="U90" s="730"/>
      <c r="V90" s="731"/>
      <c r="W90" s="731"/>
      <c r="X90" s="732"/>
      <c r="Y90" s="726"/>
      <c r="Z90" s="726"/>
      <c r="AA90" s="727"/>
      <c r="AB90" s="170"/>
      <c r="AC90" s="282"/>
      <c r="AD90" s="282"/>
      <c r="AE90" s="5417"/>
    </row>
    <row r="91" spans="1:31" ht="37.5" customHeight="1">
      <c r="A91" s="5367"/>
      <c r="B91" s="5333" t="s">
        <v>272</v>
      </c>
      <c r="C91" s="5336" t="s">
        <v>302</v>
      </c>
      <c r="D91" s="5336" t="s">
        <v>303</v>
      </c>
      <c r="E91" s="5336" t="s">
        <v>304</v>
      </c>
      <c r="F91" s="5341" t="s">
        <v>305</v>
      </c>
      <c r="G91" s="5336" t="s">
        <v>240</v>
      </c>
      <c r="H91" s="5336" t="s">
        <v>257</v>
      </c>
      <c r="I91" s="5347" t="s">
        <v>1991</v>
      </c>
      <c r="J91" s="5347" t="s">
        <v>1578</v>
      </c>
      <c r="K91" s="5336" t="s">
        <v>1579</v>
      </c>
      <c r="L91" s="5343">
        <v>0</v>
      </c>
      <c r="M91" s="5343">
        <v>6</v>
      </c>
      <c r="N91" s="5343">
        <v>6</v>
      </c>
      <c r="O91" s="5336" t="s">
        <v>1992</v>
      </c>
      <c r="P91" s="5336" t="s">
        <v>1581</v>
      </c>
      <c r="Q91" s="5370" t="s">
        <v>1993</v>
      </c>
      <c r="R91" s="792"/>
      <c r="S91" s="734"/>
      <c r="T91" s="734"/>
      <c r="U91" s="741"/>
      <c r="V91" s="731"/>
      <c r="W91" s="731"/>
      <c r="X91" s="732"/>
      <c r="Y91" s="732"/>
      <c r="Z91" s="732"/>
      <c r="AA91" s="742"/>
      <c r="AB91" s="414"/>
      <c r="AC91" s="174"/>
      <c r="AD91" s="174"/>
      <c r="AE91" s="5415" t="s">
        <v>1994</v>
      </c>
    </row>
    <row r="92" spans="1:31" ht="37.5" customHeight="1">
      <c r="A92" s="5367"/>
      <c r="B92" s="5334"/>
      <c r="C92" s="5337"/>
      <c r="D92" s="5337"/>
      <c r="E92" s="5337"/>
      <c r="F92" s="5337"/>
      <c r="G92" s="5337"/>
      <c r="H92" s="5337"/>
      <c r="I92" s="5337"/>
      <c r="J92" s="5337"/>
      <c r="K92" s="5337"/>
      <c r="L92" s="5337"/>
      <c r="M92" s="5337"/>
      <c r="N92" s="5337"/>
      <c r="O92" s="5337"/>
      <c r="P92" s="5337"/>
      <c r="Q92" s="5345"/>
      <c r="R92" s="790"/>
      <c r="S92" s="724"/>
      <c r="T92" s="724"/>
      <c r="U92" s="798"/>
      <c r="V92" s="725"/>
      <c r="W92" s="725"/>
      <c r="X92" s="726"/>
      <c r="Y92" s="726"/>
      <c r="Z92" s="726"/>
      <c r="AA92" s="727"/>
      <c r="AB92" s="170"/>
      <c r="AC92" s="282"/>
      <c r="AD92" s="282"/>
      <c r="AE92" s="5416"/>
    </row>
    <row r="93" spans="1:31" ht="37.5" customHeight="1">
      <c r="A93" s="5367"/>
      <c r="B93" s="5334"/>
      <c r="C93" s="5337"/>
      <c r="D93" s="5337"/>
      <c r="E93" s="5337"/>
      <c r="F93" s="5337"/>
      <c r="G93" s="5337"/>
      <c r="H93" s="5337"/>
      <c r="I93" s="5337"/>
      <c r="J93" s="5337"/>
      <c r="K93" s="5337"/>
      <c r="L93" s="5337"/>
      <c r="M93" s="5337"/>
      <c r="N93" s="5337"/>
      <c r="O93" s="5337"/>
      <c r="P93" s="5337"/>
      <c r="Q93" s="5345"/>
      <c r="R93" s="791"/>
      <c r="S93" s="729"/>
      <c r="T93" s="729"/>
      <c r="U93" s="730"/>
      <c r="V93" s="731"/>
      <c r="W93" s="731"/>
      <c r="X93" s="732"/>
      <c r="Y93" s="726"/>
      <c r="Z93" s="726"/>
      <c r="AA93" s="727"/>
      <c r="AB93" s="170"/>
      <c r="AC93" s="282"/>
      <c r="AD93" s="282"/>
      <c r="AE93" s="5416"/>
    </row>
    <row r="94" spans="1:31" ht="37.5" customHeight="1">
      <c r="A94" s="5367"/>
      <c r="B94" s="5335"/>
      <c r="C94" s="5338"/>
      <c r="D94" s="5338"/>
      <c r="E94" s="5338"/>
      <c r="F94" s="5338"/>
      <c r="G94" s="5338"/>
      <c r="H94" s="5338"/>
      <c r="I94" s="5338"/>
      <c r="J94" s="5338"/>
      <c r="K94" s="5338"/>
      <c r="L94" s="5338"/>
      <c r="M94" s="5338"/>
      <c r="N94" s="5338"/>
      <c r="O94" s="5338"/>
      <c r="P94" s="5338"/>
      <c r="Q94" s="5346"/>
      <c r="R94" s="792"/>
      <c r="S94" s="734"/>
      <c r="T94" s="734"/>
      <c r="U94" s="730"/>
      <c r="V94" s="731"/>
      <c r="W94" s="731"/>
      <c r="X94" s="732"/>
      <c r="Y94" s="726"/>
      <c r="Z94" s="726"/>
      <c r="AA94" s="727"/>
      <c r="AB94" s="170"/>
      <c r="AC94" s="282"/>
      <c r="AD94" s="282"/>
      <c r="AE94" s="5417"/>
    </row>
    <row r="95" spans="1:31" ht="37.5" customHeight="1">
      <c r="A95" s="5367"/>
      <c r="B95" s="5333" t="s">
        <v>272</v>
      </c>
      <c r="C95" s="5336" t="s">
        <v>302</v>
      </c>
      <c r="D95" s="5336" t="s">
        <v>303</v>
      </c>
      <c r="E95" s="5336" t="s">
        <v>318</v>
      </c>
      <c r="F95" s="5341" t="s">
        <v>305</v>
      </c>
      <c r="G95" s="5336" t="s">
        <v>240</v>
      </c>
      <c r="H95" s="5336" t="s">
        <v>241</v>
      </c>
      <c r="I95" s="5360" t="s">
        <v>1995</v>
      </c>
      <c r="J95" s="5347" t="s">
        <v>1591</v>
      </c>
      <c r="K95" s="5336" t="s">
        <v>1996</v>
      </c>
      <c r="L95" s="5343">
        <v>1</v>
      </c>
      <c r="M95" s="5343">
        <v>0</v>
      </c>
      <c r="N95" s="5343">
        <v>1</v>
      </c>
      <c r="O95" s="5336" t="s">
        <v>1997</v>
      </c>
      <c r="P95" s="5336" t="s">
        <v>1998</v>
      </c>
      <c r="Q95" s="5370" t="s">
        <v>1999</v>
      </c>
      <c r="R95" s="792"/>
      <c r="S95" s="734"/>
      <c r="T95" s="734"/>
      <c r="U95" s="741"/>
      <c r="V95" s="731"/>
      <c r="W95" s="731"/>
      <c r="X95" s="732"/>
      <c r="Y95" s="732"/>
      <c r="Z95" s="732"/>
      <c r="AA95" s="742"/>
      <c r="AB95" s="414"/>
      <c r="AC95" s="174"/>
      <c r="AD95" s="174"/>
      <c r="AE95" s="5415" t="s">
        <v>2000</v>
      </c>
    </row>
    <row r="96" spans="1:31" ht="37.5" customHeight="1">
      <c r="A96" s="5367"/>
      <c r="B96" s="5334"/>
      <c r="C96" s="5337"/>
      <c r="D96" s="5337"/>
      <c r="E96" s="5337"/>
      <c r="F96" s="5337"/>
      <c r="G96" s="5337"/>
      <c r="H96" s="5337"/>
      <c r="I96" s="5361"/>
      <c r="J96" s="5337"/>
      <c r="K96" s="5337"/>
      <c r="L96" s="5337"/>
      <c r="M96" s="5337"/>
      <c r="N96" s="5337"/>
      <c r="O96" s="5337"/>
      <c r="P96" s="5337"/>
      <c r="Q96" s="5345"/>
      <c r="R96" s="790"/>
      <c r="S96" s="724"/>
      <c r="T96" s="724"/>
      <c r="U96" s="798"/>
      <c r="V96" s="725"/>
      <c r="W96" s="725"/>
      <c r="X96" s="726"/>
      <c r="Y96" s="726"/>
      <c r="Z96" s="726"/>
      <c r="AA96" s="727"/>
      <c r="AB96" s="170"/>
      <c r="AC96" s="282"/>
      <c r="AD96" s="282"/>
      <c r="AE96" s="5416"/>
    </row>
    <row r="97" spans="1:31" ht="37.5" customHeight="1">
      <c r="A97" s="5367"/>
      <c r="B97" s="5334"/>
      <c r="C97" s="5337"/>
      <c r="D97" s="5337"/>
      <c r="E97" s="5337"/>
      <c r="F97" s="5337"/>
      <c r="G97" s="5337"/>
      <c r="H97" s="5337"/>
      <c r="I97" s="5361"/>
      <c r="J97" s="5337"/>
      <c r="K97" s="5337"/>
      <c r="L97" s="5337"/>
      <c r="M97" s="5337"/>
      <c r="N97" s="5337"/>
      <c r="O97" s="5337"/>
      <c r="P97" s="5337"/>
      <c r="Q97" s="5345"/>
      <c r="R97" s="791"/>
      <c r="S97" s="729"/>
      <c r="T97" s="729"/>
      <c r="U97" s="730"/>
      <c r="V97" s="731"/>
      <c r="W97" s="731"/>
      <c r="X97" s="732"/>
      <c r="Y97" s="726"/>
      <c r="Z97" s="726"/>
      <c r="AA97" s="727"/>
      <c r="AB97" s="170"/>
      <c r="AC97" s="282"/>
      <c r="AD97" s="282"/>
      <c r="AE97" s="5416"/>
    </row>
    <row r="98" spans="1:31" ht="37.5" customHeight="1">
      <c r="A98" s="5367"/>
      <c r="B98" s="5334"/>
      <c r="C98" s="5337"/>
      <c r="D98" s="5337"/>
      <c r="E98" s="5337"/>
      <c r="F98" s="5337"/>
      <c r="G98" s="5337"/>
      <c r="H98" s="5337"/>
      <c r="I98" s="5361"/>
      <c r="J98" s="5337"/>
      <c r="K98" s="5337"/>
      <c r="L98" s="5337"/>
      <c r="M98" s="5337"/>
      <c r="N98" s="5337"/>
      <c r="O98" s="5337"/>
      <c r="P98" s="5337"/>
      <c r="Q98" s="5345"/>
      <c r="R98" s="792"/>
      <c r="S98" s="734"/>
      <c r="T98" s="734"/>
      <c r="U98" s="730"/>
      <c r="V98" s="731"/>
      <c r="W98" s="731"/>
      <c r="X98" s="732"/>
      <c r="Y98" s="726"/>
      <c r="Z98" s="726"/>
      <c r="AA98" s="727"/>
      <c r="AB98" s="170"/>
      <c r="AC98" s="282"/>
      <c r="AD98" s="282"/>
      <c r="AE98" s="5416"/>
    </row>
    <row r="99" spans="1:31" ht="37.5" customHeight="1">
      <c r="A99" s="5367"/>
      <c r="B99" s="5334"/>
      <c r="C99" s="5337"/>
      <c r="D99" s="5337"/>
      <c r="E99" s="5337"/>
      <c r="F99" s="5337"/>
      <c r="G99" s="5337"/>
      <c r="H99" s="5337"/>
      <c r="I99" s="5361"/>
      <c r="J99" s="5337"/>
      <c r="K99" s="5337"/>
      <c r="L99" s="5337"/>
      <c r="M99" s="5337"/>
      <c r="N99" s="5337"/>
      <c r="O99" s="5337"/>
      <c r="P99" s="5337"/>
      <c r="Q99" s="5345"/>
      <c r="R99" s="793"/>
      <c r="S99" s="794"/>
      <c r="T99" s="794"/>
      <c r="U99" s="1729"/>
      <c r="V99" s="795"/>
      <c r="W99" s="795"/>
      <c r="X99" s="746"/>
      <c r="Y99" s="756"/>
      <c r="Z99" s="756"/>
      <c r="AA99" s="757"/>
      <c r="AB99" s="160"/>
      <c r="AC99" s="161"/>
      <c r="AD99" s="161"/>
      <c r="AE99" s="5416"/>
    </row>
    <row r="100" spans="1:31" ht="37.5" customHeight="1">
      <c r="A100" s="5367"/>
      <c r="B100" s="5335"/>
      <c r="C100" s="5338"/>
      <c r="D100" s="5338"/>
      <c r="E100" s="5338"/>
      <c r="F100" s="5338"/>
      <c r="G100" s="5338"/>
      <c r="H100" s="5338"/>
      <c r="I100" s="5362"/>
      <c r="J100" s="5338"/>
      <c r="K100" s="5338"/>
      <c r="L100" s="5338"/>
      <c r="M100" s="5338"/>
      <c r="N100" s="5338"/>
      <c r="O100" s="5338"/>
      <c r="P100" s="5338"/>
      <c r="Q100" s="5346"/>
      <c r="R100" s="796"/>
      <c r="S100" s="736"/>
      <c r="T100" s="736"/>
      <c r="U100" s="737"/>
      <c r="V100" s="738"/>
      <c r="W100" s="738"/>
      <c r="X100" s="739"/>
      <c r="Y100" s="739"/>
      <c r="Z100" s="739"/>
      <c r="AA100" s="740"/>
      <c r="AB100" s="165"/>
      <c r="AC100" s="166"/>
      <c r="AD100" s="166"/>
      <c r="AE100" s="5417"/>
    </row>
    <row r="101" spans="1:31" ht="37.5" customHeight="1">
      <c r="A101" s="5367"/>
      <c r="B101" s="5333" t="s">
        <v>272</v>
      </c>
      <c r="C101" s="5336" t="s">
        <v>302</v>
      </c>
      <c r="D101" s="5336" t="s">
        <v>303</v>
      </c>
      <c r="E101" s="5336" t="s">
        <v>304</v>
      </c>
      <c r="F101" s="5341" t="s">
        <v>305</v>
      </c>
      <c r="G101" s="5336" t="s">
        <v>240</v>
      </c>
      <c r="H101" s="5336" t="s">
        <v>257</v>
      </c>
      <c r="I101" s="5360" t="s">
        <v>2001</v>
      </c>
      <c r="J101" s="5347" t="s">
        <v>2002</v>
      </c>
      <c r="K101" s="5336" t="s">
        <v>2003</v>
      </c>
      <c r="L101" s="5343">
        <v>10</v>
      </c>
      <c r="M101" s="5343">
        <v>100</v>
      </c>
      <c r="N101" s="5343">
        <v>80</v>
      </c>
      <c r="O101" s="5336" t="s">
        <v>2004</v>
      </c>
      <c r="P101" s="5336" t="s">
        <v>2005</v>
      </c>
      <c r="Q101" s="5370" t="s">
        <v>2006</v>
      </c>
      <c r="R101" s="797"/>
      <c r="S101" s="734"/>
      <c r="T101" s="734"/>
      <c r="U101" s="741"/>
      <c r="V101" s="731"/>
      <c r="W101" s="731"/>
      <c r="X101" s="732"/>
      <c r="Y101" s="732"/>
      <c r="Z101" s="732"/>
      <c r="AA101" s="742"/>
      <c r="AB101" s="414"/>
      <c r="AC101" s="168"/>
      <c r="AD101" s="168"/>
      <c r="AE101" s="5415" t="s">
        <v>2007</v>
      </c>
    </row>
    <row r="102" spans="1:31" ht="37.5" customHeight="1">
      <c r="A102" s="5367"/>
      <c r="B102" s="5334"/>
      <c r="C102" s="5337"/>
      <c r="D102" s="5337"/>
      <c r="E102" s="5337"/>
      <c r="F102" s="5337"/>
      <c r="G102" s="5337"/>
      <c r="H102" s="5337"/>
      <c r="I102" s="5361"/>
      <c r="J102" s="5337"/>
      <c r="K102" s="5337"/>
      <c r="L102" s="5337"/>
      <c r="M102" s="5337"/>
      <c r="N102" s="5337"/>
      <c r="O102" s="5337"/>
      <c r="P102" s="5337"/>
      <c r="Q102" s="5345"/>
      <c r="R102" s="790"/>
      <c r="S102" s="724"/>
      <c r="T102" s="724"/>
      <c r="U102" s="798"/>
      <c r="V102" s="748"/>
      <c r="W102" s="725"/>
      <c r="X102" s="726"/>
      <c r="Y102" s="726"/>
      <c r="Z102" s="726"/>
      <c r="AA102" s="727"/>
      <c r="AB102" s="170"/>
      <c r="AC102" s="170"/>
      <c r="AD102" s="171"/>
      <c r="AE102" s="5416"/>
    </row>
    <row r="103" spans="1:31" ht="37.5" customHeight="1">
      <c r="A103" s="5367"/>
      <c r="B103" s="5334"/>
      <c r="C103" s="5337"/>
      <c r="D103" s="5337"/>
      <c r="E103" s="5337"/>
      <c r="F103" s="5337"/>
      <c r="G103" s="5337"/>
      <c r="H103" s="5337"/>
      <c r="I103" s="5361"/>
      <c r="J103" s="5337"/>
      <c r="K103" s="5337"/>
      <c r="L103" s="5337"/>
      <c r="M103" s="5337"/>
      <c r="N103" s="5337"/>
      <c r="O103" s="5337"/>
      <c r="P103" s="5337"/>
      <c r="Q103" s="5345"/>
      <c r="R103" s="790"/>
      <c r="S103" s="724"/>
      <c r="T103" s="724"/>
      <c r="U103" s="798"/>
      <c r="V103" s="725"/>
      <c r="W103" s="725"/>
      <c r="X103" s="726"/>
      <c r="Y103" s="726"/>
      <c r="Z103" s="726"/>
      <c r="AA103" s="727"/>
      <c r="AB103" s="170"/>
      <c r="AC103" s="170"/>
      <c r="AD103" s="282"/>
      <c r="AE103" s="5416"/>
    </row>
    <row r="104" spans="1:31" ht="37.5" customHeight="1">
      <c r="A104" s="5367"/>
      <c r="B104" s="5335"/>
      <c r="C104" s="5338"/>
      <c r="D104" s="5338"/>
      <c r="E104" s="5338"/>
      <c r="F104" s="5338"/>
      <c r="G104" s="5338"/>
      <c r="H104" s="5338"/>
      <c r="I104" s="5362"/>
      <c r="J104" s="5338"/>
      <c r="K104" s="5338"/>
      <c r="L104" s="5338"/>
      <c r="M104" s="5338"/>
      <c r="N104" s="5338"/>
      <c r="O104" s="5338"/>
      <c r="P104" s="5338"/>
      <c r="Q104" s="5346"/>
      <c r="R104" s="790"/>
      <c r="S104" s="724"/>
      <c r="T104" s="724"/>
      <c r="U104" s="798"/>
      <c r="V104" s="725"/>
      <c r="W104" s="725"/>
      <c r="X104" s="726"/>
      <c r="Y104" s="726"/>
      <c r="Z104" s="726"/>
      <c r="AA104" s="727"/>
      <c r="AB104" s="170"/>
      <c r="AC104" s="170"/>
      <c r="AD104" s="282"/>
      <c r="AE104" s="5417"/>
    </row>
    <row r="105" spans="1:31" ht="37.5" customHeight="1">
      <c r="A105" s="5367"/>
      <c r="B105" s="5352" t="s">
        <v>272</v>
      </c>
      <c r="C105" s="5347" t="s">
        <v>302</v>
      </c>
      <c r="D105" s="5347" t="s">
        <v>303</v>
      </c>
      <c r="E105" s="5347" t="s">
        <v>304</v>
      </c>
      <c r="F105" s="5341" t="s">
        <v>305</v>
      </c>
      <c r="G105" s="5347" t="s">
        <v>293</v>
      </c>
      <c r="H105" s="5347" t="s">
        <v>278</v>
      </c>
      <c r="I105" s="5360" t="s">
        <v>2008</v>
      </c>
      <c r="J105" s="5347" t="s">
        <v>1596</v>
      </c>
      <c r="K105" s="5347" t="s">
        <v>2009</v>
      </c>
      <c r="L105" s="5399">
        <v>0</v>
      </c>
      <c r="M105" s="5343">
        <v>6</v>
      </c>
      <c r="N105" s="5399">
        <v>6</v>
      </c>
      <c r="O105" s="5347" t="s">
        <v>2010</v>
      </c>
      <c r="P105" s="5347" t="s">
        <v>2011</v>
      </c>
      <c r="Q105" s="5370" t="s">
        <v>2012</v>
      </c>
      <c r="R105" s="792"/>
      <c r="S105" s="734"/>
      <c r="T105" s="734"/>
      <c r="U105" s="780"/>
      <c r="V105" s="762"/>
      <c r="W105" s="762"/>
      <c r="X105" s="763"/>
      <c r="Y105" s="732"/>
      <c r="Z105" s="732"/>
      <c r="AA105" s="765"/>
      <c r="AB105" s="178"/>
      <c r="AC105" s="181"/>
      <c r="AD105" s="181"/>
      <c r="AE105" s="5418" t="s">
        <v>2013</v>
      </c>
    </row>
    <row r="106" spans="1:31" ht="37.5" customHeight="1">
      <c r="A106" s="5367"/>
      <c r="B106" s="5334"/>
      <c r="C106" s="5337"/>
      <c r="D106" s="5337"/>
      <c r="E106" s="5337"/>
      <c r="F106" s="5337"/>
      <c r="G106" s="5337"/>
      <c r="H106" s="5337"/>
      <c r="I106" s="5361"/>
      <c r="J106" s="5337"/>
      <c r="K106" s="5337"/>
      <c r="L106" s="5337"/>
      <c r="M106" s="5337"/>
      <c r="N106" s="5337"/>
      <c r="O106" s="5337"/>
      <c r="P106" s="5337"/>
      <c r="Q106" s="5345"/>
      <c r="R106" s="790"/>
      <c r="S106" s="724"/>
      <c r="T106" s="724"/>
      <c r="U106" s="798"/>
      <c r="V106" s="725"/>
      <c r="W106" s="725"/>
      <c r="X106" s="726"/>
      <c r="Y106" s="726"/>
      <c r="Z106" s="726"/>
      <c r="AA106" s="727"/>
      <c r="AB106" s="170"/>
      <c r="AC106" s="282"/>
      <c r="AD106" s="282"/>
      <c r="AE106" s="5416"/>
    </row>
    <row r="107" spans="1:31" ht="37.5" customHeight="1">
      <c r="A107" s="5367"/>
      <c r="B107" s="5334"/>
      <c r="C107" s="5337"/>
      <c r="D107" s="5337"/>
      <c r="E107" s="5337"/>
      <c r="F107" s="5337"/>
      <c r="G107" s="5337"/>
      <c r="H107" s="5337"/>
      <c r="I107" s="5361"/>
      <c r="J107" s="5337"/>
      <c r="K107" s="5337"/>
      <c r="L107" s="5337"/>
      <c r="M107" s="5337"/>
      <c r="N107" s="5337"/>
      <c r="O107" s="5337"/>
      <c r="P107" s="5337"/>
      <c r="Q107" s="5345"/>
      <c r="R107" s="790"/>
      <c r="S107" s="724"/>
      <c r="T107" s="724"/>
      <c r="U107" s="798"/>
      <c r="V107" s="725"/>
      <c r="W107" s="725"/>
      <c r="X107" s="726"/>
      <c r="Y107" s="726"/>
      <c r="Z107" s="726"/>
      <c r="AA107" s="727"/>
      <c r="AB107" s="170"/>
      <c r="AC107" s="282"/>
      <c r="AD107" s="282"/>
      <c r="AE107" s="5416"/>
    </row>
    <row r="108" spans="1:31" ht="37.5" customHeight="1">
      <c r="A108" s="5403"/>
      <c r="B108" s="5334"/>
      <c r="C108" s="5337"/>
      <c r="D108" s="5337"/>
      <c r="E108" s="5337"/>
      <c r="F108" s="5337"/>
      <c r="G108" s="5337"/>
      <c r="H108" s="5337"/>
      <c r="I108" s="5361"/>
      <c r="J108" s="5337"/>
      <c r="K108" s="5337"/>
      <c r="L108" s="5337"/>
      <c r="M108" s="5337"/>
      <c r="N108" s="5337"/>
      <c r="O108" s="5337"/>
      <c r="P108" s="5337"/>
      <c r="Q108" s="5345"/>
      <c r="R108" s="790"/>
      <c r="S108" s="724"/>
      <c r="T108" s="724"/>
      <c r="U108" s="798"/>
      <c r="V108" s="725"/>
      <c r="W108" s="725"/>
      <c r="X108" s="726"/>
      <c r="Y108" s="726"/>
      <c r="Z108" s="726"/>
      <c r="AA108" s="727"/>
      <c r="AB108" s="170"/>
      <c r="AC108" s="282"/>
      <c r="AD108" s="282"/>
      <c r="AE108" s="5416"/>
    </row>
    <row r="109" spans="1:31" ht="37.5" customHeight="1">
      <c r="A109" s="5404" t="s">
        <v>1562</v>
      </c>
      <c r="B109" s="5335"/>
      <c r="C109" s="5338"/>
      <c r="D109" s="5338"/>
      <c r="E109" s="5338"/>
      <c r="F109" s="5338"/>
      <c r="G109" s="5338"/>
      <c r="H109" s="5338"/>
      <c r="I109" s="5362"/>
      <c r="J109" s="5338"/>
      <c r="K109" s="5338"/>
      <c r="L109" s="5338"/>
      <c r="M109" s="5338"/>
      <c r="N109" s="5338"/>
      <c r="O109" s="5338"/>
      <c r="P109" s="5338"/>
      <c r="Q109" s="5346"/>
      <c r="R109" s="796"/>
      <c r="S109" s="736"/>
      <c r="T109" s="736"/>
      <c r="U109" s="737"/>
      <c r="V109" s="738"/>
      <c r="W109" s="738"/>
      <c r="X109" s="739"/>
      <c r="Y109" s="739"/>
      <c r="Z109" s="739"/>
      <c r="AA109" s="740"/>
      <c r="AB109" s="165"/>
      <c r="AC109" s="166"/>
      <c r="AD109" s="166"/>
      <c r="AE109" s="5417"/>
    </row>
    <row r="110" spans="1:31" ht="37.5" customHeight="1">
      <c r="A110" s="5367"/>
      <c r="B110" s="5352" t="s">
        <v>272</v>
      </c>
      <c r="C110" s="5347" t="s">
        <v>302</v>
      </c>
      <c r="D110" s="5347" t="s">
        <v>274</v>
      </c>
      <c r="E110" s="5347" t="s">
        <v>885</v>
      </c>
      <c r="F110" s="5353" t="s">
        <v>305</v>
      </c>
      <c r="G110" s="5347" t="s">
        <v>262</v>
      </c>
      <c r="H110" s="5347" t="s">
        <v>241</v>
      </c>
      <c r="I110" s="5336" t="s">
        <v>2014</v>
      </c>
      <c r="J110" s="5347" t="s">
        <v>1601</v>
      </c>
      <c r="K110" s="5347" t="s">
        <v>2015</v>
      </c>
      <c r="L110" s="5399">
        <v>0</v>
      </c>
      <c r="M110" s="5343">
        <v>1</v>
      </c>
      <c r="N110" s="5399">
        <v>1</v>
      </c>
      <c r="O110" s="5347" t="s">
        <v>2016</v>
      </c>
      <c r="P110" s="5347" t="s">
        <v>2017</v>
      </c>
      <c r="Q110" s="5370" t="s">
        <v>2012</v>
      </c>
      <c r="R110" s="792"/>
      <c r="S110" s="734"/>
      <c r="T110" s="734"/>
      <c r="U110" s="780"/>
      <c r="V110" s="762"/>
      <c r="W110" s="762"/>
      <c r="X110" s="763"/>
      <c r="Y110" s="732"/>
      <c r="Z110" s="732"/>
      <c r="AA110" s="765"/>
      <c r="AB110" s="178"/>
      <c r="AC110" s="181"/>
      <c r="AD110" s="181"/>
      <c r="AE110" s="5418" t="s">
        <v>2013</v>
      </c>
    </row>
    <row r="111" spans="1:31" ht="37.5" customHeight="1">
      <c r="A111" s="5367"/>
      <c r="B111" s="5334"/>
      <c r="C111" s="5337"/>
      <c r="D111" s="5337"/>
      <c r="E111" s="5337"/>
      <c r="F111" s="5337"/>
      <c r="G111" s="5337"/>
      <c r="H111" s="5337"/>
      <c r="I111" s="5337"/>
      <c r="J111" s="5337"/>
      <c r="K111" s="5337"/>
      <c r="L111" s="5337"/>
      <c r="M111" s="5337"/>
      <c r="N111" s="5337"/>
      <c r="O111" s="5337"/>
      <c r="P111" s="5337"/>
      <c r="Q111" s="5345"/>
      <c r="R111" s="790"/>
      <c r="S111" s="724"/>
      <c r="T111" s="724"/>
      <c r="U111" s="798"/>
      <c r="V111" s="725"/>
      <c r="W111" s="725"/>
      <c r="X111" s="726"/>
      <c r="Y111" s="726"/>
      <c r="Z111" s="726"/>
      <c r="AA111" s="727"/>
      <c r="AB111" s="170"/>
      <c r="AC111" s="282"/>
      <c r="AD111" s="282"/>
      <c r="AE111" s="5416"/>
    </row>
    <row r="112" spans="1:31" ht="37.5" customHeight="1">
      <c r="A112" s="5367"/>
      <c r="B112" s="5334"/>
      <c r="C112" s="5337"/>
      <c r="D112" s="5337"/>
      <c r="E112" s="5337"/>
      <c r="F112" s="5337"/>
      <c r="G112" s="5337"/>
      <c r="H112" s="5337"/>
      <c r="I112" s="5337"/>
      <c r="J112" s="5337"/>
      <c r="K112" s="5337"/>
      <c r="L112" s="5337"/>
      <c r="M112" s="5337"/>
      <c r="N112" s="5337"/>
      <c r="O112" s="5337"/>
      <c r="P112" s="5337"/>
      <c r="Q112" s="5345"/>
      <c r="R112" s="790"/>
      <c r="S112" s="724"/>
      <c r="T112" s="724"/>
      <c r="U112" s="798"/>
      <c r="V112" s="725"/>
      <c r="W112" s="725"/>
      <c r="X112" s="726"/>
      <c r="Y112" s="726"/>
      <c r="Z112" s="726"/>
      <c r="AA112" s="727"/>
      <c r="AB112" s="170"/>
      <c r="AC112" s="282"/>
      <c r="AD112" s="282"/>
      <c r="AE112" s="5416"/>
    </row>
    <row r="113" spans="1:31" ht="37.5" customHeight="1">
      <c r="A113" s="5367"/>
      <c r="B113" s="5334"/>
      <c r="C113" s="5337"/>
      <c r="D113" s="5337"/>
      <c r="E113" s="5337"/>
      <c r="F113" s="5337"/>
      <c r="G113" s="5337"/>
      <c r="H113" s="5337"/>
      <c r="I113" s="5337"/>
      <c r="J113" s="5337"/>
      <c r="K113" s="5337"/>
      <c r="L113" s="5337"/>
      <c r="M113" s="5337"/>
      <c r="N113" s="5337"/>
      <c r="O113" s="5337"/>
      <c r="P113" s="5337"/>
      <c r="Q113" s="5345"/>
      <c r="R113" s="790"/>
      <c r="S113" s="724"/>
      <c r="T113" s="724"/>
      <c r="U113" s="798"/>
      <c r="V113" s="725"/>
      <c r="W113" s="725"/>
      <c r="X113" s="726"/>
      <c r="Y113" s="726"/>
      <c r="Z113" s="726"/>
      <c r="AA113" s="727"/>
      <c r="AB113" s="170"/>
      <c r="AC113" s="282"/>
      <c r="AD113" s="282"/>
      <c r="AE113" s="5416"/>
    </row>
    <row r="114" spans="1:31" ht="37.5" customHeight="1">
      <c r="A114" s="5367"/>
      <c r="B114" s="5335"/>
      <c r="C114" s="5338"/>
      <c r="D114" s="5338"/>
      <c r="E114" s="5338"/>
      <c r="F114" s="5338"/>
      <c r="G114" s="5338"/>
      <c r="H114" s="5338"/>
      <c r="I114" s="5338"/>
      <c r="J114" s="5338"/>
      <c r="K114" s="5338"/>
      <c r="L114" s="5338"/>
      <c r="M114" s="5338"/>
      <c r="N114" s="5338"/>
      <c r="O114" s="5338"/>
      <c r="P114" s="5338"/>
      <c r="Q114" s="5346"/>
      <c r="R114" s="796"/>
      <c r="S114" s="736"/>
      <c r="T114" s="736"/>
      <c r="U114" s="737"/>
      <c r="V114" s="738"/>
      <c r="W114" s="738"/>
      <c r="X114" s="739"/>
      <c r="Y114" s="739"/>
      <c r="Z114" s="739"/>
      <c r="AA114" s="740"/>
      <c r="AB114" s="165"/>
      <c r="AC114" s="166"/>
      <c r="AD114" s="166"/>
      <c r="AE114" s="5417"/>
    </row>
    <row r="115" spans="1:31" ht="37.5" customHeight="1">
      <c r="A115" s="5367"/>
      <c r="B115" s="5333" t="s">
        <v>235</v>
      </c>
      <c r="C115" s="5336" t="s">
        <v>236</v>
      </c>
      <c r="D115" s="5336" t="s">
        <v>237</v>
      </c>
      <c r="E115" s="5336" t="s">
        <v>255</v>
      </c>
      <c r="F115" s="5341" t="s">
        <v>239</v>
      </c>
      <c r="G115" s="5336" t="s">
        <v>256</v>
      </c>
      <c r="H115" s="5336" t="s">
        <v>241</v>
      </c>
      <c r="I115" s="5360" t="s">
        <v>2018</v>
      </c>
      <c r="J115" s="5347" t="s">
        <v>1610</v>
      </c>
      <c r="K115" s="5336" t="s">
        <v>1611</v>
      </c>
      <c r="L115" s="5343">
        <v>0</v>
      </c>
      <c r="M115" s="5343">
        <v>0</v>
      </c>
      <c r="N115" s="5343">
        <v>2</v>
      </c>
      <c r="O115" s="5336" t="s">
        <v>2019</v>
      </c>
      <c r="P115" s="5336" t="s">
        <v>2020</v>
      </c>
      <c r="Q115" s="5370" t="s">
        <v>2021</v>
      </c>
      <c r="R115" s="792"/>
      <c r="S115" s="734"/>
      <c r="T115" s="734"/>
      <c r="U115" s="741"/>
      <c r="V115" s="731"/>
      <c r="W115" s="731"/>
      <c r="X115" s="732"/>
      <c r="Y115" s="732"/>
      <c r="Z115" s="732"/>
      <c r="AA115" s="742"/>
      <c r="AB115" s="414"/>
      <c r="AC115" s="174"/>
      <c r="AD115" s="174"/>
      <c r="AE115" s="5418"/>
    </row>
    <row r="116" spans="1:31" ht="37.5" customHeight="1">
      <c r="A116" s="5367"/>
      <c r="B116" s="5334"/>
      <c r="C116" s="5337"/>
      <c r="D116" s="5337"/>
      <c r="E116" s="5337"/>
      <c r="F116" s="5337"/>
      <c r="G116" s="5337"/>
      <c r="H116" s="5337"/>
      <c r="I116" s="5361"/>
      <c r="J116" s="5337"/>
      <c r="K116" s="5337"/>
      <c r="L116" s="5337"/>
      <c r="M116" s="5337"/>
      <c r="N116" s="5337"/>
      <c r="O116" s="5337"/>
      <c r="P116" s="5337"/>
      <c r="Q116" s="5345"/>
      <c r="R116" s="790"/>
      <c r="S116" s="724"/>
      <c r="T116" s="724"/>
      <c r="U116" s="798"/>
      <c r="V116" s="725"/>
      <c r="W116" s="725"/>
      <c r="X116" s="726"/>
      <c r="Y116" s="726"/>
      <c r="Z116" s="726"/>
      <c r="AA116" s="727"/>
      <c r="AB116" s="170"/>
      <c r="AC116" s="282"/>
      <c r="AD116" s="282"/>
      <c r="AE116" s="5416"/>
    </row>
    <row r="117" spans="1:31" ht="37.5" customHeight="1">
      <c r="A117" s="5367"/>
      <c r="B117" s="5334"/>
      <c r="C117" s="5337"/>
      <c r="D117" s="5337"/>
      <c r="E117" s="5337"/>
      <c r="F117" s="5337"/>
      <c r="G117" s="5337"/>
      <c r="H117" s="5337"/>
      <c r="I117" s="5361"/>
      <c r="J117" s="5337"/>
      <c r="K117" s="5337"/>
      <c r="L117" s="5337"/>
      <c r="M117" s="5337"/>
      <c r="N117" s="5337"/>
      <c r="O117" s="5337"/>
      <c r="P117" s="5337"/>
      <c r="Q117" s="5345"/>
      <c r="R117" s="791"/>
      <c r="S117" s="729"/>
      <c r="T117" s="729"/>
      <c r="U117" s="730"/>
      <c r="V117" s="731"/>
      <c r="W117" s="731"/>
      <c r="X117" s="732"/>
      <c r="Y117" s="726"/>
      <c r="Z117" s="726"/>
      <c r="AA117" s="727"/>
      <c r="AB117" s="170"/>
      <c r="AC117" s="282"/>
      <c r="AD117" s="282"/>
      <c r="AE117" s="5416"/>
    </row>
    <row r="118" spans="1:31" ht="37.5" customHeight="1">
      <c r="A118" s="5367"/>
      <c r="B118" s="5334"/>
      <c r="C118" s="5337"/>
      <c r="D118" s="5337"/>
      <c r="E118" s="5337"/>
      <c r="F118" s="5337"/>
      <c r="G118" s="5337"/>
      <c r="H118" s="5337"/>
      <c r="I118" s="5361"/>
      <c r="J118" s="5337"/>
      <c r="K118" s="5337"/>
      <c r="L118" s="5337"/>
      <c r="M118" s="5337"/>
      <c r="N118" s="5337"/>
      <c r="O118" s="5337"/>
      <c r="P118" s="5337"/>
      <c r="Q118" s="5345"/>
      <c r="R118" s="792"/>
      <c r="S118" s="734"/>
      <c r="T118" s="734"/>
      <c r="U118" s="730"/>
      <c r="V118" s="731"/>
      <c r="W118" s="731"/>
      <c r="X118" s="732"/>
      <c r="Y118" s="726"/>
      <c r="Z118" s="726"/>
      <c r="AA118" s="727"/>
      <c r="AB118" s="170"/>
      <c r="AC118" s="282"/>
      <c r="AD118" s="282"/>
      <c r="AE118" s="5416"/>
    </row>
    <row r="119" spans="1:31" ht="37.5" customHeight="1">
      <c r="A119" s="5367"/>
      <c r="B119" s="5335"/>
      <c r="C119" s="5338"/>
      <c r="D119" s="5338"/>
      <c r="E119" s="5338"/>
      <c r="F119" s="5338"/>
      <c r="G119" s="5338"/>
      <c r="H119" s="5338"/>
      <c r="I119" s="5362"/>
      <c r="J119" s="5338"/>
      <c r="K119" s="5338"/>
      <c r="L119" s="5338"/>
      <c r="M119" s="5338"/>
      <c r="N119" s="5338"/>
      <c r="O119" s="5338"/>
      <c r="P119" s="5338"/>
      <c r="Q119" s="5346"/>
      <c r="R119" s="796"/>
      <c r="S119" s="736"/>
      <c r="T119" s="736"/>
      <c r="U119" s="737"/>
      <c r="V119" s="738"/>
      <c r="W119" s="738"/>
      <c r="X119" s="739"/>
      <c r="Y119" s="739"/>
      <c r="Z119" s="739"/>
      <c r="AA119" s="740"/>
      <c r="AB119" s="165"/>
      <c r="AC119" s="166"/>
      <c r="AD119" s="166"/>
      <c r="AE119" s="5417"/>
    </row>
    <row r="120" spans="1:31" ht="37.5" customHeight="1">
      <c r="A120" s="5367"/>
      <c r="B120" s="5333" t="s">
        <v>272</v>
      </c>
      <c r="C120" s="5336" t="s">
        <v>302</v>
      </c>
      <c r="D120" s="5336" t="s">
        <v>303</v>
      </c>
      <c r="E120" s="5336" t="s">
        <v>304</v>
      </c>
      <c r="F120" s="5341" t="s">
        <v>305</v>
      </c>
      <c r="G120" s="5336" t="s">
        <v>262</v>
      </c>
      <c r="H120" s="5336" t="s">
        <v>257</v>
      </c>
      <c r="I120" s="5360" t="s">
        <v>2022</v>
      </c>
      <c r="J120" s="5347" t="s">
        <v>1616</v>
      </c>
      <c r="K120" s="5336" t="s">
        <v>2023</v>
      </c>
      <c r="L120" s="5343">
        <v>0</v>
      </c>
      <c r="M120" s="5343">
        <v>6</v>
      </c>
      <c r="N120" s="5343">
        <v>6</v>
      </c>
      <c r="O120" s="5336" t="s">
        <v>2024</v>
      </c>
      <c r="P120" s="5336" t="s">
        <v>2025</v>
      </c>
      <c r="Q120" s="5370" t="s">
        <v>1999</v>
      </c>
      <c r="R120" s="792"/>
      <c r="S120" s="734"/>
      <c r="T120" s="734"/>
      <c r="U120" s="741"/>
      <c r="V120" s="731"/>
      <c r="W120" s="731"/>
      <c r="X120" s="732"/>
      <c r="Y120" s="732"/>
      <c r="Z120" s="732"/>
      <c r="AA120" s="742"/>
      <c r="AB120" s="414"/>
      <c r="AC120" s="174"/>
      <c r="AD120" s="174"/>
      <c r="AE120" s="5418" t="s">
        <v>2013</v>
      </c>
    </row>
    <row r="121" spans="1:31" ht="37.5" customHeight="1">
      <c r="A121" s="5367"/>
      <c r="B121" s="5334"/>
      <c r="C121" s="5337"/>
      <c r="D121" s="5337"/>
      <c r="E121" s="5337"/>
      <c r="F121" s="5337"/>
      <c r="G121" s="5337"/>
      <c r="H121" s="5337"/>
      <c r="I121" s="5361"/>
      <c r="J121" s="5337"/>
      <c r="K121" s="5337"/>
      <c r="L121" s="5337"/>
      <c r="M121" s="5337"/>
      <c r="N121" s="5337"/>
      <c r="O121" s="5337"/>
      <c r="P121" s="5337"/>
      <c r="Q121" s="5345"/>
      <c r="R121" s="790"/>
      <c r="S121" s="724"/>
      <c r="T121" s="724"/>
      <c r="U121" s="798"/>
      <c r="V121" s="725"/>
      <c r="W121" s="725"/>
      <c r="X121" s="726"/>
      <c r="Y121" s="726"/>
      <c r="Z121" s="726"/>
      <c r="AA121" s="727"/>
      <c r="AB121" s="170"/>
      <c r="AC121" s="282"/>
      <c r="AD121" s="282"/>
      <c r="AE121" s="5416"/>
    </row>
    <row r="122" spans="1:31" ht="37.5" customHeight="1">
      <c r="A122" s="5367"/>
      <c r="B122" s="5334"/>
      <c r="C122" s="5337"/>
      <c r="D122" s="5337"/>
      <c r="E122" s="5337"/>
      <c r="F122" s="5337"/>
      <c r="G122" s="5337"/>
      <c r="H122" s="5337"/>
      <c r="I122" s="5361"/>
      <c r="J122" s="5337"/>
      <c r="K122" s="5337"/>
      <c r="L122" s="5337"/>
      <c r="M122" s="5337"/>
      <c r="N122" s="5337"/>
      <c r="O122" s="5337"/>
      <c r="P122" s="5337"/>
      <c r="Q122" s="5345"/>
      <c r="R122" s="791"/>
      <c r="S122" s="729"/>
      <c r="T122" s="729"/>
      <c r="U122" s="730"/>
      <c r="V122" s="731"/>
      <c r="W122" s="731"/>
      <c r="X122" s="732"/>
      <c r="Y122" s="726"/>
      <c r="Z122" s="726"/>
      <c r="AA122" s="727"/>
      <c r="AB122" s="170"/>
      <c r="AC122" s="282"/>
      <c r="AD122" s="282"/>
      <c r="AE122" s="5416"/>
    </row>
    <row r="123" spans="1:31" ht="37.5" customHeight="1">
      <c r="A123" s="5367"/>
      <c r="B123" s="5334"/>
      <c r="C123" s="5337"/>
      <c r="D123" s="5337"/>
      <c r="E123" s="5337"/>
      <c r="F123" s="5337"/>
      <c r="G123" s="5337"/>
      <c r="H123" s="5337"/>
      <c r="I123" s="5361"/>
      <c r="J123" s="5337"/>
      <c r="K123" s="5337"/>
      <c r="L123" s="5337"/>
      <c r="M123" s="5337"/>
      <c r="N123" s="5337"/>
      <c r="O123" s="5337"/>
      <c r="P123" s="5337"/>
      <c r="Q123" s="5345"/>
      <c r="R123" s="792"/>
      <c r="S123" s="734"/>
      <c r="T123" s="734"/>
      <c r="U123" s="730"/>
      <c r="V123" s="731"/>
      <c r="W123" s="731"/>
      <c r="X123" s="732"/>
      <c r="Y123" s="726"/>
      <c r="Z123" s="726"/>
      <c r="AA123" s="727"/>
      <c r="AB123" s="170"/>
      <c r="AC123" s="282"/>
      <c r="AD123" s="282"/>
      <c r="AE123" s="5416"/>
    </row>
    <row r="124" spans="1:31" ht="37.5" customHeight="1">
      <c r="A124" s="5367"/>
      <c r="B124" s="5335"/>
      <c r="C124" s="5338"/>
      <c r="D124" s="5338"/>
      <c r="E124" s="5338"/>
      <c r="F124" s="5338"/>
      <c r="G124" s="5338"/>
      <c r="H124" s="5338"/>
      <c r="I124" s="5362"/>
      <c r="J124" s="5338"/>
      <c r="K124" s="5338"/>
      <c r="L124" s="5338"/>
      <c r="M124" s="5338"/>
      <c r="N124" s="5338"/>
      <c r="O124" s="5338"/>
      <c r="P124" s="5338"/>
      <c r="Q124" s="5346"/>
      <c r="R124" s="796"/>
      <c r="S124" s="736"/>
      <c r="T124" s="736"/>
      <c r="U124" s="737"/>
      <c r="V124" s="738"/>
      <c r="W124" s="738"/>
      <c r="X124" s="739"/>
      <c r="Y124" s="739"/>
      <c r="Z124" s="739"/>
      <c r="AA124" s="740"/>
      <c r="AB124" s="165"/>
      <c r="AC124" s="166"/>
      <c r="AD124" s="166"/>
      <c r="AE124" s="5417"/>
    </row>
    <row r="125" spans="1:31" ht="37.5" customHeight="1">
      <c r="A125" s="5367"/>
      <c r="B125" s="5333" t="s">
        <v>272</v>
      </c>
      <c r="C125" s="5336" t="s">
        <v>302</v>
      </c>
      <c r="D125" s="5336" t="s">
        <v>303</v>
      </c>
      <c r="E125" s="5336" t="s">
        <v>304</v>
      </c>
      <c r="F125" s="5341" t="s">
        <v>305</v>
      </c>
      <c r="G125" s="5336" t="s">
        <v>240</v>
      </c>
      <c r="H125" s="5336" t="s">
        <v>257</v>
      </c>
      <c r="I125" s="5336" t="s">
        <v>2026</v>
      </c>
      <c r="J125" s="5336" t="s">
        <v>1622</v>
      </c>
      <c r="K125" s="5336" t="s">
        <v>2027</v>
      </c>
      <c r="L125" s="5343">
        <v>0</v>
      </c>
      <c r="M125" s="5343">
        <v>1</v>
      </c>
      <c r="N125" s="5343">
        <v>1</v>
      </c>
      <c r="O125" s="5336" t="s">
        <v>2028</v>
      </c>
      <c r="P125" s="5336" t="s">
        <v>2029</v>
      </c>
      <c r="Q125" s="5370" t="s">
        <v>1999</v>
      </c>
      <c r="R125" s="792"/>
      <c r="S125" s="734"/>
      <c r="T125" s="734"/>
      <c r="U125" s="741"/>
      <c r="V125" s="731"/>
      <c r="W125" s="731"/>
      <c r="X125" s="732"/>
      <c r="Y125" s="732"/>
      <c r="Z125" s="732"/>
      <c r="AA125" s="742"/>
      <c r="AB125" s="414"/>
      <c r="AC125" s="168"/>
      <c r="AD125" s="168"/>
      <c r="AE125" s="5418" t="s">
        <v>2013</v>
      </c>
    </row>
    <row r="126" spans="1:31" ht="37.5" customHeight="1">
      <c r="A126" s="5367"/>
      <c r="B126" s="5334"/>
      <c r="C126" s="5337"/>
      <c r="D126" s="5337"/>
      <c r="E126" s="5337"/>
      <c r="F126" s="5337"/>
      <c r="G126" s="5337"/>
      <c r="H126" s="5337"/>
      <c r="I126" s="5337"/>
      <c r="J126" s="5337"/>
      <c r="K126" s="5337"/>
      <c r="L126" s="5337"/>
      <c r="M126" s="5337"/>
      <c r="N126" s="5337"/>
      <c r="O126" s="5337"/>
      <c r="P126" s="5337"/>
      <c r="Q126" s="5345"/>
      <c r="R126" s="790"/>
      <c r="S126" s="724"/>
      <c r="T126" s="724"/>
      <c r="U126" s="798"/>
      <c r="V126" s="725"/>
      <c r="W126" s="725"/>
      <c r="X126" s="726"/>
      <c r="Y126" s="726"/>
      <c r="Z126" s="726"/>
      <c r="AA126" s="727"/>
      <c r="AB126" s="170"/>
      <c r="AC126" s="170"/>
      <c r="AD126" s="171"/>
      <c r="AE126" s="5416"/>
    </row>
    <row r="127" spans="1:31" ht="37.5" customHeight="1">
      <c r="A127" s="5367"/>
      <c r="B127" s="5334"/>
      <c r="C127" s="5337"/>
      <c r="D127" s="5337"/>
      <c r="E127" s="5337"/>
      <c r="F127" s="5337"/>
      <c r="G127" s="5337"/>
      <c r="H127" s="5337"/>
      <c r="I127" s="5337"/>
      <c r="J127" s="5337"/>
      <c r="K127" s="5337"/>
      <c r="L127" s="5337"/>
      <c r="M127" s="5337"/>
      <c r="N127" s="5337"/>
      <c r="O127" s="5337"/>
      <c r="P127" s="5337"/>
      <c r="Q127" s="5345"/>
      <c r="R127" s="790"/>
      <c r="S127" s="724"/>
      <c r="T127" s="724"/>
      <c r="U127" s="798"/>
      <c r="V127" s="725"/>
      <c r="W127" s="725"/>
      <c r="X127" s="726"/>
      <c r="Y127" s="726"/>
      <c r="Z127" s="726"/>
      <c r="AA127" s="727"/>
      <c r="AB127" s="170"/>
      <c r="AC127" s="170"/>
      <c r="AD127" s="282"/>
      <c r="AE127" s="5416"/>
    </row>
    <row r="128" spans="1:31" ht="37.5" customHeight="1">
      <c r="A128" s="5367"/>
      <c r="B128" s="5334"/>
      <c r="C128" s="5337"/>
      <c r="D128" s="5337"/>
      <c r="E128" s="5337"/>
      <c r="F128" s="5337"/>
      <c r="G128" s="5337"/>
      <c r="H128" s="5337"/>
      <c r="I128" s="5337"/>
      <c r="J128" s="5337"/>
      <c r="K128" s="5337"/>
      <c r="L128" s="5337"/>
      <c r="M128" s="5337"/>
      <c r="N128" s="5337"/>
      <c r="O128" s="5337"/>
      <c r="P128" s="5337"/>
      <c r="Q128" s="5345"/>
      <c r="R128" s="790"/>
      <c r="S128" s="724"/>
      <c r="T128" s="724"/>
      <c r="U128" s="798"/>
      <c r="V128" s="725"/>
      <c r="W128" s="725"/>
      <c r="X128" s="726"/>
      <c r="Y128" s="726"/>
      <c r="Z128" s="726"/>
      <c r="AA128" s="727"/>
      <c r="AB128" s="170"/>
      <c r="AC128" s="170"/>
      <c r="AD128" s="282"/>
      <c r="AE128" s="5416"/>
    </row>
    <row r="129" spans="1:31" ht="37.5" customHeight="1">
      <c r="A129" s="5367"/>
      <c r="B129" s="5335"/>
      <c r="C129" s="5338"/>
      <c r="D129" s="5338"/>
      <c r="E129" s="5338"/>
      <c r="F129" s="5338"/>
      <c r="G129" s="5338"/>
      <c r="H129" s="5338"/>
      <c r="I129" s="5338"/>
      <c r="J129" s="5337"/>
      <c r="K129" s="5338"/>
      <c r="L129" s="5338"/>
      <c r="M129" s="5338"/>
      <c r="N129" s="5338"/>
      <c r="O129" s="5338"/>
      <c r="P129" s="5338"/>
      <c r="Q129" s="5346"/>
      <c r="R129" s="796"/>
      <c r="S129" s="736"/>
      <c r="T129" s="736"/>
      <c r="U129" s="737"/>
      <c r="V129" s="738"/>
      <c r="W129" s="738"/>
      <c r="X129" s="739"/>
      <c r="Y129" s="739"/>
      <c r="Z129" s="739"/>
      <c r="AA129" s="740"/>
      <c r="AB129" s="165"/>
      <c r="AC129" s="165"/>
      <c r="AD129" s="166"/>
      <c r="AE129" s="5417"/>
    </row>
    <row r="130" spans="1:31" ht="37.5" customHeight="1">
      <c r="A130" s="5367"/>
      <c r="B130" s="5352" t="s">
        <v>272</v>
      </c>
      <c r="C130" s="5347" t="s">
        <v>302</v>
      </c>
      <c r="D130" s="5347" t="s">
        <v>303</v>
      </c>
      <c r="E130" s="5347" t="s">
        <v>955</v>
      </c>
      <c r="F130" s="5353" t="s">
        <v>305</v>
      </c>
      <c r="G130" s="5347" t="s">
        <v>256</v>
      </c>
      <c r="H130" s="5347" t="s">
        <v>241</v>
      </c>
      <c r="I130" s="5360" t="s">
        <v>2030</v>
      </c>
      <c r="J130" s="5347" t="s">
        <v>1627</v>
      </c>
      <c r="K130" s="5347" t="s">
        <v>1628</v>
      </c>
      <c r="L130" s="5399">
        <v>0</v>
      </c>
      <c r="M130" s="5343">
        <v>1</v>
      </c>
      <c r="N130" s="5399">
        <v>1</v>
      </c>
      <c r="O130" s="5347" t="s">
        <v>2031</v>
      </c>
      <c r="P130" s="5347" t="s">
        <v>2032</v>
      </c>
      <c r="Q130" s="5370" t="s">
        <v>2033</v>
      </c>
      <c r="R130" s="792"/>
      <c r="S130" s="734"/>
      <c r="T130" s="734"/>
      <c r="U130" s="780"/>
      <c r="V130" s="762"/>
      <c r="W130" s="762"/>
      <c r="X130" s="763"/>
      <c r="Y130" s="732"/>
      <c r="Z130" s="732"/>
      <c r="AA130" s="765"/>
      <c r="AB130" s="178"/>
      <c r="AC130" s="181"/>
      <c r="AD130" s="181"/>
      <c r="AE130" s="5418" t="s">
        <v>2013</v>
      </c>
    </row>
    <row r="131" spans="1:31" ht="37.5" customHeight="1">
      <c r="A131" s="5367"/>
      <c r="B131" s="5334"/>
      <c r="C131" s="5337"/>
      <c r="D131" s="5337"/>
      <c r="E131" s="5337"/>
      <c r="F131" s="5337"/>
      <c r="G131" s="5337"/>
      <c r="H131" s="5337"/>
      <c r="I131" s="5361"/>
      <c r="J131" s="5337"/>
      <c r="K131" s="5337"/>
      <c r="L131" s="5337"/>
      <c r="M131" s="5337"/>
      <c r="N131" s="5337"/>
      <c r="O131" s="5337"/>
      <c r="P131" s="5337"/>
      <c r="Q131" s="5345"/>
      <c r="R131" s="790"/>
      <c r="S131" s="724"/>
      <c r="T131" s="724"/>
      <c r="U131" s="798"/>
      <c r="V131" s="725"/>
      <c r="W131" s="725"/>
      <c r="X131" s="726"/>
      <c r="Y131" s="726"/>
      <c r="Z131" s="726"/>
      <c r="AA131" s="727"/>
      <c r="AB131" s="170"/>
      <c r="AC131" s="282"/>
      <c r="AD131" s="282"/>
      <c r="AE131" s="5416"/>
    </row>
    <row r="132" spans="1:31" ht="37.5" customHeight="1">
      <c r="A132" s="5367"/>
      <c r="B132" s="5334"/>
      <c r="C132" s="5337"/>
      <c r="D132" s="5337"/>
      <c r="E132" s="5337"/>
      <c r="F132" s="5337"/>
      <c r="G132" s="5337"/>
      <c r="H132" s="5337"/>
      <c r="I132" s="5361"/>
      <c r="J132" s="5337"/>
      <c r="K132" s="5337"/>
      <c r="L132" s="5337"/>
      <c r="M132" s="5337"/>
      <c r="N132" s="5337"/>
      <c r="O132" s="5337"/>
      <c r="P132" s="5337"/>
      <c r="Q132" s="5345"/>
      <c r="R132" s="790"/>
      <c r="S132" s="724"/>
      <c r="T132" s="724"/>
      <c r="U132" s="798"/>
      <c r="V132" s="725"/>
      <c r="W132" s="725"/>
      <c r="X132" s="726"/>
      <c r="Y132" s="726"/>
      <c r="Z132" s="726"/>
      <c r="AA132" s="727"/>
      <c r="AB132" s="170"/>
      <c r="AC132" s="282"/>
      <c r="AD132" s="282"/>
      <c r="AE132" s="5416"/>
    </row>
    <row r="133" spans="1:31" ht="37.5" customHeight="1">
      <c r="A133" s="5367"/>
      <c r="B133" s="5334"/>
      <c r="C133" s="5337"/>
      <c r="D133" s="5337"/>
      <c r="E133" s="5337"/>
      <c r="F133" s="5337"/>
      <c r="G133" s="5337"/>
      <c r="H133" s="5337"/>
      <c r="I133" s="5361"/>
      <c r="J133" s="5337"/>
      <c r="K133" s="5337"/>
      <c r="L133" s="5337"/>
      <c r="M133" s="5337"/>
      <c r="N133" s="5337"/>
      <c r="O133" s="5337"/>
      <c r="P133" s="5337"/>
      <c r="Q133" s="5345"/>
      <c r="R133" s="790"/>
      <c r="S133" s="724"/>
      <c r="T133" s="724"/>
      <c r="U133" s="798"/>
      <c r="V133" s="725"/>
      <c r="W133" s="725"/>
      <c r="X133" s="726"/>
      <c r="Y133" s="726"/>
      <c r="Z133" s="726"/>
      <c r="AA133" s="727"/>
      <c r="AB133" s="170"/>
      <c r="AC133" s="282"/>
      <c r="AD133" s="282"/>
      <c r="AE133" s="5416"/>
    </row>
    <row r="134" spans="1:31" ht="37.5" customHeight="1">
      <c r="A134" s="5367"/>
      <c r="B134" s="5335"/>
      <c r="C134" s="5338"/>
      <c r="D134" s="5338"/>
      <c r="E134" s="5338"/>
      <c r="F134" s="5338"/>
      <c r="G134" s="5338"/>
      <c r="H134" s="5338"/>
      <c r="I134" s="5362"/>
      <c r="J134" s="5338"/>
      <c r="K134" s="5338"/>
      <c r="L134" s="5338"/>
      <c r="M134" s="5338"/>
      <c r="N134" s="5338"/>
      <c r="O134" s="5338"/>
      <c r="P134" s="5338"/>
      <c r="Q134" s="5346"/>
      <c r="R134" s="796"/>
      <c r="S134" s="736"/>
      <c r="T134" s="736"/>
      <c r="U134" s="737"/>
      <c r="V134" s="738"/>
      <c r="W134" s="738"/>
      <c r="X134" s="739"/>
      <c r="Y134" s="739"/>
      <c r="Z134" s="739"/>
      <c r="AA134" s="740"/>
      <c r="AB134" s="165"/>
      <c r="AC134" s="166"/>
      <c r="AD134" s="166"/>
      <c r="AE134" s="5417"/>
    </row>
    <row r="135" spans="1:31" ht="37.5" customHeight="1">
      <c r="A135" s="5367"/>
      <c r="B135" s="5333" t="s">
        <v>272</v>
      </c>
      <c r="C135" s="5336" t="s">
        <v>302</v>
      </c>
      <c r="D135" s="5336" t="s">
        <v>303</v>
      </c>
      <c r="E135" s="5336" t="s">
        <v>304</v>
      </c>
      <c r="F135" s="5341" t="s">
        <v>305</v>
      </c>
      <c r="G135" s="5336" t="s">
        <v>240</v>
      </c>
      <c r="H135" s="5336" t="s">
        <v>257</v>
      </c>
      <c r="I135" s="5336" t="s">
        <v>2034</v>
      </c>
      <c r="J135" s="5347" t="s">
        <v>1633</v>
      </c>
      <c r="K135" s="5336" t="s">
        <v>2003</v>
      </c>
      <c r="L135" s="5343">
        <v>0</v>
      </c>
      <c r="M135" s="5343">
        <v>0</v>
      </c>
      <c r="N135" s="5343">
        <v>0</v>
      </c>
      <c r="O135" s="5336"/>
      <c r="P135" s="5336"/>
      <c r="Q135" s="5370"/>
      <c r="R135" s="792"/>
      <c r="S135" s="734"/>
      <c r="T135" s="734"/>
      <c r="U135" s="741"/>
      <c r="V135" s="731"/>
      <c r="W135" s="731"/>
      <c r="X135" s="732"/>
      <c r="Y135" s="732"/>
      <c r="Z135" s="732"/>
      <c r="AA135" s="742"/>
      <c r="AB135" s="414"/>
      <c r="AC135" s="174"/>
      <c r="AD135" s="174"/>
      <c r="AE135" s="5415" t="s">
        <v>2035</v>
      </c>
    </row>
    <row r="136" spans="1:31" ht="37.5" customHeight="1">
      <c r="A136" s="5367"/>
      <c r="B136" s="5334"/>
      <c r="C136" s="5337"/>
      <c r="D136" s="5337"/>
      <c r="E136" s="5337"/>
      <c r="F136" s="5337"/>
      <c r="G136" s="5337"/>
      <c r="H136" s="5337"/>
      <c r="I136" s="5337"/>
      <c r="J136" s="5337"/>
      <c r="K136" s="5337"/>
      <c r="L136" s="5337"/>
      <c r="M136" s="5337"/>
      <c r="N136" s="5337"/>
      <c r="O136" s="5337"/>
      <c r="P136" s="5337"/>
      <c r="Q136" s="5345"/>
      <c r="R136" s="790"/>
      <c r="S136" s="724"/>
      <c r="T136" s="724"/>
      <c r="U136" s="798"/>
      <c r="V136" s="725"/>
      <c r="W136" s="725"/>
      <c r="X136" s="726"/>
      <c r="Y136" s="726"/>
      <c r="Z136" s="726"/>
      <c r="AA136" s="727"/>
      <c r="AB136" s="170"/>
      <c r="AC136" s="282"/>
      <c r="AD136" s="282"/>
      <c r="AE136" s="5416"/>
    </row>
    <row r="137" spans="1:31" ht="37.5" customHeight="1">
      <c r="A137" s="5367"/>
      <c r="B137" s="5334"/>
      <c r="C137" s="5337"/>
      <c r="D137" s="5337"/>
      <c r="E137" s="5337"/>
      <c r="F137" s="5337"/>
      <c r="G137" s="5337"/>
      <c r="H137" s="5337"/>
      <c r="I137" s="5337"/>
      <c r="J137" s="5337"/>
      <c r="K137" s="5337"/>
      <c r="L137" s="5337"/>
      <c r="M137" s="5337"/>
      <c r="N137" s="5337"/>
      <c r="O137" s="5337"/>
      <c r="P137" s="5337"/>
      <c r="Q137" s="5345"/>
      <c r="R137" s="791"/>
      <c r="S137" s="729"/>
      <c r="T137" s="729"/>
      <c r="U137" s="730"/>
      <c r="V137" s="731"/>
      <c r="W137" s="731"/>
      <c r="X137" s="732"/>
      <c r="Y137" s="726"/>
      <c r="Z137" s="726"/>
      <c r="AA137" s="727"/>
      <c r="AB137" s="170"/>
      <c r="AC137" s="282"/>
      <c r="AD137" s="282"/>
      <c r="AE137" s="5416"/>
    </row>
    <row r="138" spans="1:31" ht="37.5" customHeight="1">
      <c r="A138" s="5367"/>
      <c r="B138" s="5334"/>
      <c r="C138" s="5337"/>
      <c r="D138" s="5337"/>
      <c r="E138" s="5337"/>
      <c r="F138" s="5337"/>
      <c r="G138" s="5337"/>
      <c r="H138" s="5337"/>
      <c r="I138" s="5337"/>
      <c r="J138" s="5337"/>
      <c r="K138" s="5337"/>
      <c r="L138" s="5337"/>
      <c r="M138" s="5337"/>
      <c r="N138" s="5337"/>
      <c r="O138" s="5337"/>
      <c r="P138" s="5337"/>
      <c r="Q138" s="5345"/>
      <c r="R138" s="792"/>
      <c r="S138" s="734"/>
      <c r="T138" s="734"/>
      <c r="U138" s="730"/>
      <c r="V138" s="731"/>
      <c r="W138" s="731"/>
      <c r="X138" s="732"/>
      <c r="Y138" s="726"/>
      <c r="Z138" s="726"/>
      <c r="AA138" s="727"/>
      <c r="AB138" s="170"/>
      <c r="AC138" s="282"/>
      <c r="AD138" s="282"/>
      <c r="AE138" s="5416"/>
    </row>
    <row r="139" spans="1:31" ht="37.5" customHeight="1">
      <c r="A139" s="5367"/>
      <c r="B139" s="5335"/>
      <c r="C139" s="5338"/>
      <c r="D139" s="5338"/>
      <c r="E139" s="5338"/>
      <c r="F139" s="5338"/>
      <c r="G139" s="5338"/>
      <c r="H139" s="5338"/>
      <c r="I139" s="5338"/>
      <c r="J139" s="5338"/>
      <c r="K139" s="5338"/>
      <c r="L139" s="5338"/>
      <c r="M139" s="5338"/>
      <c r="N139" s="5338"/>
      <c r="O139" s="5338"/>
      <c r="P139" s="5338"/>
      <c r="Q139" s="5346"/>
      <c r="R139" s="796"/>
      <c r="S139" s="736"/>
      <c r="T139" s="736"/>
      <c r="U139" s="737"/>
      <c r="V139" s="738"/>
      <c r="W139" s="738"/>
      <c r="X139" s="739"/>
      <c r="Y139" s="739"/>
      <c r="Z139" s="739"/>
      <c r="AA139" s="740"/>
      <c r="AB139" s="165"/>
      <c r="AC139" s="166"/>
      <c r="AD139" s="166"/>
      <c r="AE139" s="5417"/>
    </row>
    <row r="140" spans="1:31" ht="37.5" customHeight="1">
      <c r="A140" s="5367"/>
      <c r="B140" s="5333" t="s">
        <v>272</v>
      </c>
      <c r="C140" s="5347" t="s">
        <v>302</v>
      </c>
      <c r="D140" s="5347" t="s">
        <v>274</v>
      </c>
      <c r="E140" s="5336" t="s">
        <v>2036</v>
      </c>
      <c r="F140" s="5341" t="s">
        <v>305</v>
      </c>
      <c r="G140" s="5336" t="s">
        <v>240</v>
      </c>
      <c r="H140" s="5336" t="s">
        <v>257</v>
      </c>
      <c r="I140" s="5360" t="s">
        <v>2037</v>
      </c>
      <c r="J140" s="5347" t="s">
        <v>2038</v>
      </c>
      <c r="K140" s="5336" t="s">
        <v>2039</v>
      </c>
      <c r="L140" s="5343">
        <v>0</v>
      </c>
      <c r="M140" s="5343">
        <v>12</v>
      </c>
      <c r="N140" s="5343">
        <v>12</v>
      </c>
      <c r="O140" s="5336" t="s">
        <v>2040</v>
      </c>
      <c r="P140" s="5336" t="s">
        <v>2041</v>
      </c>
      <c r="Q140" s="5370" t="s">
        <v>1999</v>
      </c>
      <c r="R140" s="792"/>
      <c r="S140" s="734"/>
      <c r="T140" s="734"/>
      <c r="U140" s="741"/>
      <c r="V140" s="731"/>
      <c r="W140" s="731"/>
      <c r="X140" s="732"/>
      <c r="Y140" s="732"/>
      <c r="Z140" s="732"/>
      <c r="AA140" s="742"/>
      <c r="AB140" s="414"/>
      <c r="AC140" s="168"/>
      <c r="AD140" s="168"/>
      <c r="AE140" s="5418" t="s">
        <v>2013</v>
      </c>
    </row>
    <row r="141" spans="1:31" ht="37.5" customHeight="1">
      <c r="A141" s="5367"/>
      <c r="B141" s="5334"/>
      <c r="C141" s="5337"/>
      <c r="D141" s="5337"/>
      <c r="E141" s="5337"/>
      <c r="F141" s="5337"/>
      <c r="G141" s="5337"/>
      <c r="H141" s="5337"/>
      <c r="I141" s="5361"/>
      <c r="J141" s="5337"/>
      <c r="K141" s="5337"/>
      <c r="L141" s="5337"/>
      <c r="M141" s="5337"/>
      <c r="N141" s="5337"/>
      <c r="O141" s="5337"/>
      <c r="P141" s="5337"/>
      <c r="Q141" s="5345"/>
      <c r="R141" s="790"/>
      <c r="S141" s="724"/>
      <c r="T141" s="724"/>
      <c r="U141" s="798"/>
      <c r="V141" s="725"/>
      <c r="W141" s="725"/>
      <c r="X141" s="726"/>
      <c r="Y141" s="726"/>
      <c r="Z141" s="726"/>
      <c r="AA141" s="727"/>
      <c r="AB141" s="170"/>
      <c r="AC141" s="170"/>
      <c r="AD141" s="171"/>
      <c r="AE141" s="5416"/>
    </row>
    <row r="142" spans="1:31" ht="37.5" customHeight="1">
      <c r="A142" s="5367"/>
      <c r="B142" s="5334"/>
      <c r="C142" s="5337"/>
      <c r="D142" s="5337"/>
      <c r="E142" s="5337"/>
      <c r="F142" s="5337"/>
      <c r="G142" s="5337"/>
      <c r="H142" s="5337"/>
      <c r="I142" s="5361"/>
      <c r="J142" s="5337"/>
      <c r="K142" s="5337"/>
      <c r="L142" s="5337"/>
      <c r="M142" s="5337"/>
      <c r="N142" s="5337"/>
      <c r="O142" s="5337"/>
      <c r="P142" s="5337"/>
      <c r="Q142" s="5345"/>
      <c r="R142" s="790"/>
      <c r="S142" s="724"/>
      <c r="T142" s="724"/>
      <c r="U142" s="798"/>
      <c r="V142" s="725"/>
      <c r="W142" s="725"/>
      <c r="X142" s="726"/>
      <c r="Y142" s="726"/>
      <c r="Z142" s="726"/>
      <c r="AA142" s="727"/>
      <c r="AB142" s="170"/>
      <c r="AC142" s="170"/>
      <c r="AD142" s="282"/>
      <c r="AE142" s="5416"/>
    </row>
    <row r="143" spans="1:31" ht="37.5" customHeight="1">
      <c r="A143" s="5367"/>
      <c r="B143" s="5334"/>
      <c r="C143" s="5337"/>
      <c r="D143" s="5337"/>
      <c r="E143" s="5337"/>
      <c r="F143" s="5337"/>
      <c r="G143" s="5337"/>
      <c r="H143" s="5337"/>
      <c r="I143" s="5361"/>
      <c r="J143" s="5337"/>
      <c r="K143" s="5337"/>
      <c r="L143" s="5337"/>
      <c r="M143" s="5337"/>
      <c r="N143" s="5337"/>
      <c r="O143" s="5337"/>
      <c r="P143" s="5337"/>
      <c r="Q143" s="5345"/>
      <c r="R143" s="790"/>
      <c r="S143" s="724"/>
      <c r="T143" s="724"/>
      <c r="U143" s="798"/>
      <c r="V143" s="725"/>
      <c r="W143" s="725"/>
      <c r="X143" s="726"/>
      <c r="Y143" s="726"/>
      <c r="Z143" s="726"/>
      <c r="AA143" s="727"/>
      <c r="AB143" s="170"/>
      <c r="AC143" s="170"/>
      <c r="AD143" s="282"/>
      <c r="AE143" s="5416"/>
    </row>
    <row r="144" spans="1:31" ht="37.5" customHeight="1">
      <c r="A144" s="5367"/>
      <c r="B144" s="5335"/>
      <c r="C144" s="5338"/>
      <c r="D144" s="5338"/>
      <c r="E144" s="5338"/>
      <c r="F144" s="5338"/>
      <c r="G144" s="5338"/>
      <c r="H144" s="5338"/>
      <c r="I144" s="5362"/>
      <c r="J144" s="5338"/>
      <c r="K144" s="5338"/>
      <c r="L144" s="5338"/>
      <c r="M144" s="5338"/>
      <c r="N144" s="5338"/>
      <c r="O144" s="5338"/>
      <c r="P144" s="5338"/>
      <c r="Q144" s="5346"/>
      <c r="R144" s="796"/>
      <c r="S144" s="736"/>
      <c r="T144" s="736"/>
      <c r="U144" s="737"/>
      <c r="V144" s="738"/>
      <c r="W144" s="738"/>
      <c r="X144" s="739"/>
      <c r="Y144" s="739"/>
      <c r="Z144" s="739"/>
      <c r="AA144" s="740"/>
      <c r="AB144" s="165"/>
      <c r="AC144" s="165"/>
      <c r="AD144" s="166"/>
      <c r="AE144" s="5417"/>
    </row>
    <row r="145" spans="1:31" ht="37.5" customHeight="1">
      <c r="A145" s="5367"/>
      <c r="B145" s="5352" t="s">
        <v>235</v>
      </c>
      <c r="C145" s="5347" t="s">
        <v>236</v>
      </c>
      <c r="D145" s="5347" t="s">
        <v>244</v>
      </c>
      <c r="E145" s="5347" t="s">
        <v>808</v>
      </c>
      <c r="F145" s="5353" t="s">
        <v>239</v>
      </c>
      <c r="G145" s="5347" t="s">
        <v>240</v>
      </c>
      <c r="H145" s="5347" t="s">
        <v>241</v>
      </c>
      <c r="I145" s="5360" t="s">
        <v>2042</v>
      </c>
      <c r="J145" s="5347" t="s">
        <v>1709</v>
      </c>
      <c r="K145" s="5347" t="s">
        <v>2043</v>
      </c>
      <c r="L145" s="5399">
        <v>5</v>
      </c>
      <c r="M145" s="5343">
        <v>5</v>
      </c>
      <c r="N145" s="5399">
        <v>10</v>
      </c>
      <c r="O145" s="5347" t="s">
        <v>2044</v>
      </c>
      <c r="P145" s="5347" t="s">
        <v>2045</v>
      </c>
      <c r="Q145" s="5370" t="s">
        <v>2033</v>
      </c>
      <c r="R145" s="799"/>
      <c r="S145" s="782"/>
      <c r="T145" s="782"/>
      <c r="U145" s="783"/>
      <c r="V145" s="762"/>
      <c r="W145" s="762"/>
      <c r="X145" s="763"/>
      <c r="Y145" s="763"/>
      <c r="Z145" s="763"/>
      <c r="AA145" s="765"/>
      <c r="AB145" s="178"/>
      <c r="AC145" s="181"/>
      <c r="AD145" s="181"/>
      <c r="AE145" s="5418" t="s">
        <v>2013</v>
      </c>
    </row>
    <row r="146" spans="1:31" ht="37.5" customHeight="1">
      <c r="A146" s="5367"/>
      <c r="B146" s="5334"/>
      <c r="C146" s="5337"/>
      <c r="D146" s="5337"/>
      <c r="E146" s="5337"/>
      <c r="F146" s="5337"/>
      <c r="G146" s="5337"/>
      <c r="H146" s="5337"/>
      <c r="I146" s="5361"/>
      <c r="J146" s="5337"/>
      <c r="K146" s="5337"/>
      <c r="L146" s="5337"/>
      <c r="M146" s="5337"/>
      <c r="N146" s="5337"/>
      <c r="O146" s="5337"/>
      <c r="P146" s="5337"/>
      <c r="Q146" s="5345"/>
      <c r="R146" s="791"/>
      <c r="S146" s="729"/>
      <c r="T146" s="729"/>
      <c r="U146" s="798"/>
      <c r="V146" s="725"/>
      <c r="W146" s="725"/>
      <c r="X146" s="726"/>
      <c r="Y146" s="726"/>
      <c r="Z146" s="726"/>
      <c r="AA146" s="727"/>
      <c r="AB146" s="170"/>
      <c r="AC146" s="282"/>
      <c r="AD146" s="282"/>
      <c r="AE146" s="5416"/>
    </row>
    <row r="147" spans="1:31" ht="37.5" customHeight="1">
      <c r="A147" s="5367"/>
      <c r="B147" s="5334"/>
      <c r="C147" s="5337"/>
      <c r="D147" s="5337"/>
      <c r="E147" s="5337"/>
      <c r="F147" s="5337"/>
      <c r="G147" s="5337"/>
      <c r="H147" s="5337"/>
      <c r="I147" s="5361"/>
      <c r="J147" s="5337"/>
      <c r="K147" s="5337"/>
      <c r="L147" s="5337"/>
      <c r="M147" s="5337"/>
      <c r="N147" s="5337"/>
      <c r="O147" s="5337"/>
      <c r="P147" s="5337"/>
      <c r="Q147" s="5345"/>
      <c r="R147" s="790"/>
      <c r="S147" s="724"/>
      <c r="T147" s="724"/>
      <c r="U147" s="798"/>
      <c r="V147" s="725"/>
      <c r="W147" s="725"/>
      <c r="X147" s="726"/>
      <c r="Y147" s="726"/>
      <c r="Z147" s="726"/>
      <c r="AA147" s="727"/>
      <c r="AB147" s="170"/>
      <c r="AC147" s="282"/>
      <c r="AD147" s="282"/>
      <c r="AE147" s="5416"/>
    </row>
    <row r="148" spans="1:31" ht="37.5" customHeight="1">
      <c r="A148" s="5367"/>
      <c r="B148" s="5334"/>
      <c r="C148" s="5337"/>
      <c r="D148" s="5337"/>
      <c r="E148" s="5337"/>
      <c r="F148" s="5337"/>
      <c r="G148" s="5337"/>
      <c r="H148" s="5337"/>
      <c r="I148" s="5361"/>
      <c r="J148" s="5337"/>
      <c r="K148" s="5337"/>
      <c r="L148" s="5337"/>
      <c r="M148" s="5337"/>
      <c r="N148" s="5337"/>
      <c r="O148" s="5337"/>
      <c r="P148" s="5337"/>
      <c r="Q148" s="5345"/>
      <c r="R148" s="790"/>
      <c r="S148" s="724"/>
      <c r="T148" s="724"/>
      <c r="U148" s="798"/>
      <c r="V148" s="725"/>
      <c r="W148" s="725"/>
      <c r="X148" s="726"/>
      <c r="Y148" s="726"/>
      <c r="Z148" s="726"/>
      <c r="AA148" s="727"/>
      <c r="AB148" s="170"/>
      <c r="AC148" s="282"/>
      <c r="AD148" s="282"/>
      <c r="AE148" s="5416"/>
    </row>
    <row r="149" spans="1:31" ht="37.5" customHeight="1">
      <c r="A149" s="5367"/>
      <c r="B149" s="5335"/>
      <c r="C149" s="5338"/>
      <c r="D149" s="5338"/>
      <c r="E149" s="5338"/>
      <c r="F149" s="5338"/>
      <c r="G149" s="5338"/>
      <c r="H149" s="5338"/>
      <c r="I149" s="5362"/>
      <c r="J149" s="5338"/>
      <c r="K149" s="5338"/>
      <c r="L149" s="5338"/>
      <c r="M149" s="5338"/>
      <c r="N149" s="5338"/>
      <c r="O149" s="5338"/>
      <c r="P149" s="5338"/>
      <c r="Q149" s="5346"/>
      <c r="R149" s="796"/>
      <c r="S149" s="736"/>
      <c r="T149" s="736"/>
      <c r="U149" s="737"/>
      <c r="V149" s="738"/>
      <c r="W149" s="738"/>
      <c r="X149" s="739"/>
      <c r="Y149" s="739"/>
      <c r="Z149" s="739"/>
      <c r="AA149" s="740"/>
      <c r="AB149" s="165"/>
      <c r="AC149" s="166"/>
      <c r="AD149" s="166"/>
      <c r="AE149" s="5417"/>
    </row>
    <row r="150" spans="1:31" ht="37.5" customHeight="1">
      <c r="A150" s="5367"/>
      <c r="B150" s="5352" t="s">
        <v>235</v>
      </c>
      <c r="C150" s="5347" t="s">
        <v>236</v>
      </c>
      <c r="D150" s="5347" t="s">
        <v>237</v>
      </c>
      <c r="E150" s="5347" t="s">
        <v>255</v>
      </c>
      <c r="F150" s="5353" t="s">
        <v>239</v>
      </c>
      <c r="G150" s="5347" t="s">
        <v>240</v>
      </c>
      <c r="H150" s="5347" t="s">
        <v>257</v>
      </c>
      <c r="I150" s="5360" t="s">
        <v>2046</v>
      </c>
      <c r="J150" s="5347" t="s">
        <v>338</v>
      </c>
      <c r="K150" s="5347" t="s">
        <v>2047</v>
      </c>
      <c r="L150" s="5399">
        <v>0</v>
      </c>
      <c r="M150" s="5343">
        <v>1</v>
      </c>
      <c r="N150" s="5399">
        <v>1</v>
      </c>
      <c r="O150" s="5347" t="s">
        <v>2048</v>
      </c>
      <c r="P150" s="5347" t="s">
        <v>1359</v>
      </c>
      <c r="Q150" s="5394" t="s">
        <v>1983</v>
      </c>
      <c r="R150" s="792"/>
      <c r="S150" s="734"/>
      <c r="T150" s="734"/>
      <c r="U150" s="780"/>
      <c r="V150" s="762"/>
      <c r="W150" s="762"/>
      <c r="X150" s="763"/>
      <c r="Y150" s="732"/>
      <c r="Z150" s="732"/>
      <c r="AA150" s="765"/>
      <c r="AB150" s="178"/>
      <c r="AC150" s="181"/>
      <c r="AD150" s="181"/>
      <c r="AE150" s="5418"/>
    </row>
    <row r="151" spans="1:31" ht="37.5" customHeight="1">
      <c r="A151" s="5367"/>
      <c r="B151" s="5334"/>
      <c r="C151" s="5337"/>
      <c r="D151" s="5337"/>
      <c r="E151" s="5337"/>
      <c r="F151" s="5337"/>
      <c r="G151" s="5337"/>
      <c r="H151" s="5337"/>
      <c r="I151" s="5361"/>
      <c r="J151" s="5337"/>
      <c r="K151" s="5337"/>
      <c r="L151" s="5337"/>
      <c r="M151" s="5337"/>
      <c r="N151" s="5337"/>
      <c r="O151" s="5337"/>
      <c r="P151" s="5337"/>
      <c r="Q151" s="5345"/>
      <c r="R151" s="790"/>
      <c r="S151" s="724"/>
      <c r="T151" s="724"/>
      <c r="U151" s="798"/>
      <c r="V151" s="725"/>
      <c r="W151" s="725"/>
      <c r="X151" s="726"/>
      <c r="Y151" s="726"/>
      <c r="Z151" s="726"/>
      <c r="AA151" s="727"/>
      <c r="AB151" s="170"/>
      <c r="AC151" s="282"/>
      <c r="AD151" s="282"/>
      <c r="AE151" s="5416"/>
    </row>
    <row r="152" spans="1:31" ht="37.5" customHeight="1">
      <c r="A152" s="5367"/>
      <c r="B152" s="5334"/>
      <c r="C152" s="5337"/>
      <c r="D152" s="5337"/>
      <c r="E152" s="5337"/>
      <c r="F152" s="5337"/>
      <c r="G152" s="5337"/>
      <c r="H152" s="5337"/>
      <c r="I152" s="5361"/>
      <c r="J152" s="5337"/>
      <c r="K152" s="5337"/>
      <c r="L152" s="5337"/>
      <c r="M152" s="5337"/>
      <c r="N152" s="5337"/>
      <c r="O152" s="5337"/>
      <c r="P152" s="5337"/>
      <c r="Q152" s="5345"/>
      <c r="R152" s="790"/>
      <c r="S152" s="724"/>
      <c r="T152" s="724"/>
      <c r="U152" s="798"/>
      <c r="V152" s="725"/>
      <c r="W152" s="725"/>
      <c r="X152" s="726"/>
      <c r="Y152" s="726"/>
      <c r="Z152" s="726"/>
      <c r="AA152" s="727"/>
      <c r="AB152" s="170"/>
      <c r="AC152" s="282"/>
      <c r="AD152" s="282"/>
      <c r="AE152" s="5416"/>
    </row>
    <row r="153" spans="1:31" ht="37.5" customHeight="1">
      <c r="A153" s="5367"/>
      <c r="B153" s="5334"/>
      <c r="C153" s="5337"/>
      <c r="D153" s="5337"/>
      <c r="E153" s="5337"/>
      <c r="F153" s="5337"/>
      <c r="G153" s="5337"/>
      <c r="H153" s="5337"/>
      <c r="I153" s="5361"/>
      <c r="J153" s="5337"/>
      <c r="K153" s="5337"/>
      <c r="L153" s="5337"/>
      <c r="M153" s="5337"/>
      <c r="N153" s="5337"/>
      <c r="O153" s="5337"/>
      <c r="P153" s="5337"/>
      <c r="Q153" s="5345"/>
      <c r="R153" s="790"/>
      <c r="S153" s="724"/>
      <c r="T153" s="724"/>
      <c r="U153" s="798"/>
      <c r="V153" s="725"/>
      <c r="W153" s="725"/>
      <c r="X153" s="726"/>
      <c r="Y153" s="726"/>
      <c r="Z153" s="726"/>
      <c r="AA153" s="727"/>
      <c r="AB153" s="170"/>
      <c r="AC153" s="282"/>
      <c r="AD153" s="282"/>
      <c r="AE153" s="5416"/>
    </row>
    <row r="154" spans="1:31" ht="37.5" customHeight="1">
      <c r="A154" s="5367"/>
      <c r="B154" s="5335"/>
      <c r="C154" s="5338"/>
      <c r="D154" s="5338"/>
      <c r="E154" s="5338"/>
      <c r="F154" s="5338"/>
      <c r="G154" s="5338"/>
      <c r="H154" s="5338"/>
      <c r="I154" s="5362"/>
      <c r="J154" s="5338"/>
      <c r="K154" s="5338"/>
      <c r="L154" s="5338"/>
      <c r="M154" s="5338"/>
      <c r="N154" s="5338"/>
      <c r="O154" s="5338"/>
      <c r="P154" s="5338"/>
      <c r="Q154" s="5346"/>
      <c r="R154" s="796"/>
      <c r="S154" s="736"/>
      <c r="T154" s="736"/>
      <c r="U154" s="737"/>
      <c r="V154" s="738"/>
      <c r="W154" s="738"/>
      <c r="X154" s="739"/>
      <c r="Y154" s="739"/>
      <c r="Z154" s="739"/>
      <c r="AA154" s="740"/>
      <c r="AB154" s="165"/>
      <c r="AC154" s="166"/>
      <c r="AD154" s="166"/>
      <c r="AE154" s="5417"/>
    </row>
    <row r="155" spans="1:31" ht="37.5" customHeight="1">
      <c r="A155" s="5367"/>
      <c r="B155" s="5352" t="s">
        <v>235</v>
      </c>
      <c r="C155" s="5347" t="s">
        <v>236</v>
      </c>
      <c r="D155" s="5347" t="s">
        <v>237</v>
      </c>
      <c r="E155" s="5347" t="s">
        <v>255</v>
      </c>
      <c r="F155" s="5353" t="s">
        <v>239</v>
      </c>
      <c r="G155" s="5347" t="s">
        <v>240</v>
      </c>
      <c r="H155" s="5347" t="s">
        <v>257</v>
      </c>
      <c r="I155" s="5360" t="s">
        <v>2049</v>
      </c>
      <c r="J155" s="5347" t="s">
        <v>707</v>
      </c>
      <c r="K155" s="5347" t="s">
        <v>1183</v>
      </c>
      <c r="L155" s="5399">
        <v>0</v>
      </c>
      <c r="M155" s="5343">
        <v>1</v>
      </c>
      <c r="N155" s="5399">
        <v>0</v>
      </c>
      <c r="O155" s="5347" t="s">
        <v>1720</v>
      </c>
      <c r="P155" s="5347" t="s">
        <v>408</v>
      </c>
      <c r="Q155" s="5394" t="s">
        <v>2050</v>
      </c>
      <c r="R155" s="799"/>
      <c r="S155" s="782"/>
      <c r="T155" s="782"/>
      <c r="U155" s="783"/>
      <c r="V155" s="762"/>
      <c r="W155" s="762"/>
      <c r="X155" s="763"/>
      <c r="Y155" s="763"/>
      <c r="Z155" s="763"/>
      <c r="AA155" s="765"/>
      <c r="AB155" s="178"/>
      <c r="AC155" s="181"/>
      <c r="AD155" s="181"/>
      <c r="AE155" s="5418"/>
    </row>
    <row r="156" spans="1:31" ht="37.5" customHeight="1">
      <c r="A156" s="5367"/>
      <c r="B156" s="5334"/>
      <c r="C156" s="5337"/>
      <c r="D156" s="5337"/>
      <c r="E156" s="5337"/>
      <c r="F156" s="5337"/>
      <c r="G156" s="5337"/>
      <c r="H156" s="5337"/>
      <c r="I156" s="5361"/>
      <c r="J156" s="5337"/>
      <c r="K156" s="5337"/>
      <c r="L156" s="5337"/>
      <c r="M156" s="5337"/>
      <c r="N156" s="5337"/>
      <c r="O156" s="5337"/>
      <c r="P156" s="5337"/>
      <c r="Q156" s="5345"/>
      <c r="R156" s="791"/>
      <c r="S156" s="729"/>
      <c r="T156" s="729"/>
      <c r="U156" s="798"/>
      <c r="V156" s="725"/>
      <c r="W156" s="725"/>
      <c r="X156" s="726"/>
      <c r="Y156" s="726"/>
      <c r="Z156" s="726"/>
      <c r="AA156" s="727"/>
      <c r="AB156" s="170"/>
      <c r="AC156" s="282"/>
      <c r="AD156" s="282"/>
      <c r="AE156" s="5416"/>
    </row>
    <row r="157" spans="1:31" ht="37.5" customHeight="1">
      <c r="A157" s="5367"/>
      <c r="B157" s="5334"/>
      <c r="C157" s="5337"/>
      <c r="D157" s="5337"/>
      <c r="E157" s="5337"/>
      <c r="F157" s="5337"/>
      <c r="G157" s="5337"/>
      <c r="H157" s="5337"/>
      <c r="I157" s="5361"/>
      <c r="J157" s="5337"/>
      <c r="K157" s="5337"/>
      <c r="L157" s="5337"/>
      <c r="M157" s="5337"/>
      <c r="N157" s="5337"/>
      <c r="O157" s="5337"/>
      <c r="P157" s="5337"/>
      <c r="Q157" s="5345"/>
      <c r="R157" s="790"/>
      <c r="S157" s="724"/>
      <c r="T157" s="724"/>
      <c r="U157" s="798"/>
      <c r="V157" s="725"/>
      <c r="W157" s="725"/>
      <c r="X157" s="726"/>
      <c r="Y157" s="726"/>
      <c r="Z157" s="726"/>
      <c r="AA157" s="727"/>
      <c r="AB157" s="170"/>
      <c r="AC157" s="282"/>
      <c r="AD157" s="282"/>
      <c r="AE157" s="5416"/>
    </row>
    <row r="158" spans="1:31" ht="37.5" customHeight="1">
      <c r="A158" s="5367"/>
      <c r="B158" s="5334"/>
      <c r="C158" s="5337"/>
      <c r="D158" s="5337"/>
      <c r="E158" s="5337"/>
      <c r="F158" s="5337"/>
      <c r="G158" s="5337"/>
      <c r="H158" s="5337"/>
      <c r="I158" s="5361"/>
      <c r="J158" s="5337"/>
      <c r="K158" s="5337"/>
      <c r="L158" s="5337"/>
      <c r="M158" s="5337"/>
      <c r="N158" s="5337"/>
      <c r="O158" s="5337"/>
      <c r="P158" s="5337"/>
      <c r="Q158" s="5345"/>
      <c r="R158" s="790"/>
      <c r="S158" s="724"/>
      <c r="T158" s="724"/>
      <c r="U158" s="798"/>
      <c r="V158" s="725"/>
      <c r="W158" s="725"/>
      <c r="X158" s="726"/>
      <c r="Y158" s="726"/>
      <c r="Z158" s="726"/>
      <c r="AA158" s="727"/>
      <c r="AB158" s="170"/>
      <c r="AC158" s="282"/>
      <c r="AD158" s="282"/>
      <c r="AE158" s="5416"/>
    </row>
    <row r="159" spans="1:31" ht="37.5" customHeight="1">
      <c r="A159" s="5368"/>
      <c r="B159" s="5335"/>
      <c r="C159" s="5338"/>
      <c r="D159" s="5338"/>
      <c r="E159" s="5338"/>
      <c r="F159" s="5338"/>
      <c r="G159" s="5338"/>
      <c r="H159" s="5338"/>
      <c r="I159" s="5362"/>
      <c r="J159" s="5338"/>
      <c r="K159" s="5338"/>
      <c r="L159" s="5338"/>
      <c r="M159" s="5338"/>
      <c r="N159" s="5338"/>
      <c r="O159" s="5338"/>
      <c r="P159" s="5338"/>
      <c r="Q159" s="5346"/>
      <c r="R159" s="796"/>
      <c r="S159" s="736"/>
      <c r="T159" s="736"/>
      <c r="U159" s="737"/>
      <c r="V159" s="738"/>
      <c r="W159" s="738"/>
      <c r="X159" s="739"/>
      <c r="Y159" s="739"/>
      <c r="Z159" s="739"/>
      <c r="AA159" s="740"/>
      <c r="AB159" s="165"/>
      <c r="AC159" s="166"/>
      <c r="AD159" s="166"/>
      <c r="AE159" s="5417"/>
    </row>
    <row r="160" spans="1:31" ht="37.5" customHeight="1">
      <c r="A160" s="2159"/>
      <c r="B160" s="785"/>
      <c r="C160" s="785"/>
      <c r="D160" s="785"/>
      <c r="E160" s="785"/>
      <c r="F160" s="785"/>
      <c r="G160" s="785"/>
      <c r="H160" s="785"/>
      <c r="I160" s="785"/>
      <c r="J160" s="785"/>
      <c r="K160" s="785"/>
      <c r="L160" s="785"/>
      <c r="M160" s="785"/>
      <c r="N160" s="785"/>
      <c r="O160" s="785"/>
      <c r="P160" s="785"/>
      <c r="Q160" s="786"/>
      <c r="R160" s="5473" t="s">
        <v>1721</v>
      </c>
      <c r="S160" s="5474"/>
      <c r="T160" s="5474"/>
      <c r="U160" s="5474"/>
      <c r="V160" s="5474"/>
      <c r="W160" s="5474"/>
      <c r="X160" s="5474"/>
      <c r="Y160" s="5475"/>
      <c r="Z160" s="787" t="s">
        <v>340</v>
      </c>
      <c r="AA160" s="788">
        <f>SUM(AA80:AA159)</f>
        <v>0</v>
      </c>
      <c r="AB160" s="5476"/>
      <c r="AC160" s="5474"/>
      <c r="AD160" s="5474"/>
      <c r="AE160" s="5477"/>
    </row>
    <row r="161" spans="1:31" ht="37.5" customHeight="1">
      <c r="A161" s="5366" t="s">
        <v>1722</v>
      </c>
      <c r="B161" s="5348" t="s">
        <v>235</v>
      </c>
      <c r="C161" s="5325" t="s">
        <v>236</v>
      </c>
      <c r="D161" s="5325" t="s">
        <v>237</v>
      </c>
      <c r="E161" s="5325" t="s">
        <v>326</v>
      </c>
      <c r="F161" s="5328" t="s">
        <v>239</v>
      </c>
      <c r="G161" s="5325" t="s">
        <v>2051</v>
      </c>
      <c r="H161" s="5325" t="s">
        <v>257</v>
      </c>
      <c r="I161" s="5325" t="s">
        <v>2052</v>
      </c>
      <c r="J161" s="5400" t="s">
        <v>1723</v>
      </c>
      <c r="K161" s="5325" t="s">
        <v>2053</v>
      </c>
      <c r="L161" s="5401">
        <v>1</v>
      </c>
      <c r="M161" s="5401">
        <v>0</v>
      </c>
      <c r="N161" s="5401">
        <v>1</v>
      </c>
      <c r="O161" s="5402" t="s">
        <v>2054</v>
      </c>
      <c r="P161" s="5400" t="s">
        <v>2055</v>
      </c>
      <c r="Q161" s="5329" t="s">
        <v>2056</v>
      </c>
      <c r="R161" s="789"/>
      <c r="S161" s="718"/>
      <c r="T161" s="718"/>
      <c r="U161" s="719"/>
      <c r="V161" s="720"/>
      <c r="W161" s="720"/>
      <c r="X161" s="721"/>
      <c r="Y161" s="721"/>
      <c r="Z161" s="721"/>
      <c r="AA161" s="722"/>
      <c r="AB161" s="155"/>
      <c r="AC161" s="156"/>
      <c r="AD161" s="156"/>
      <c r="AE161" s="5428" t="s">
        <v>2057</v>
      </c>
    </row>
    <row r="162" spans="1:31" ht="37.5" customHeight="1">
      <c r="A162" s="5367"/>
      <c r="B162" s="5349"/>
      <c r="C162" s="5326"/>
      <c r="D162" s="5326"/>
      <c r="E162" s="5326"/>
      <c r="F162" s="5326"/>
      <c r="G162" s="5326"/>
      <c r="H162" s="5326"/>
      <c r="I162" s="5326"/>
      <c r="J162" s="5326"/>
      <c r="K162" s="5326"/>
      <c r="L162" s="5326"/>
      <c r="M162" s="5326"/>
      <c r="N162" s="5326"/>
      <c r="O162" s="5326"/>
      <c r="P162" s="5326"/>
      <c r="Q162" s="5330"/>
      <c r="R162" s="790"/>
      <c r="S162" s="724"/>
      <c r="T162" s="724"/>
      <c r="U162" s="798"/>
      <c r="V162" s="725"/>
      <c r="W162" s="725"/>
      <c r="X162" s="726"/>
      <c r="Y162" s="726"/>
      <c r="Z162" s="726"/>
      <c r="AA162" s="727"/>
      <c r="AB162" s="170"/>
      <c r="AC162" s="282"/>
      <c r="AD162" s="282"/>
      <c r="AE162" s="5416"/>
    </row>
    <row r="163" spans="1:31" ht="37.5" customHeight="1">
      <c r="A163" s="5367"/>
      <c r="B163" s="5349"/>
      <c r="C163" s="5326"/>
      <c r="D163" s="5326"/>
      <c r="E163" s="5326"/>
      <c r="F163" s="5326"/>
      <c r="G163" s="5326"/>
      <c r="H163" s="5326"/>
      <c r="I163" s="5326"/>
      <c r="J163" s="5326"/>
      <c r="K163" s="5326"/>
      <c r="L163" s="5326"/>
      <c r="M163" s="5326"/>
      <c r="N163" s="5326"/>
      <c r="O163" s="5326"/>
      <c r="P163" s="5326"/>
      <c r="Q163" s="5330"/>
      <c r="R163" s="791"/>
      <c r="S163" s="729"/>
      <c r="T163" s="729"/>
      <c r="U163" s="730"/>
      <c r="V163" s="731"/>
      <c r="W163" s="731"/>
      <c r="X163" s="732"/>
      <c r="Y163" s="726"/>
      <c r="Z163" s="726"/>
      <c r="AA163" s="727"/>
      <c r="AB163" s="170"/>
      <c r="AC163" s="282"/>
      <c r="AD163" s="282"/>
      <c r="AE163" s="5416"/>
    </row>
    <row r="164" spans="1:31" ht="37.5" customHeight="1">
      <c r="A164" s="5367"/>
      <c r="B164" s="5349"/>
      <c r="C164" s="5326"/>
      <c r="D164" s="5326"/>
      <c r="E164" s="5326"/>
      <c r="F164" s="5326"/>
      <c r="G164" s="5326"/>
      <c r="H164" s="5326"/>
      <c r="I164" s="5326"/>
      <c r="J164" s="5326"/>
      <c r="K164" s="5326"/>
      <c r="L164" s="5326"/>
      <c r="M164" s="5326"/>
      <c r="N164" s="5326"/>
      <c r="O164" s="5326"/>
      <c r="P164" s="5326"/>
      <c r="Q164" s="5330"/>
      <c r="R164" s="792"/>
      <c r="S164" s="734"/>
      <c r="T164" s="734"/>
      <c r="U164" s="730"/>
      <c r="V164" s="731"/>
      <c r="W164" s="731"/>
      <c r="X164" s="732"/>
      <c r="Y164" s="726"/>
      <c r="Z164" s="726"/>
      <c r="AA164" s="727"/>
      <c r="AB164" s="170"/>
      <c r="AC164" s="282"/>
      <c r="AD164" s="282"/>
      <c r="AE164" s="5416"/>
    </row>
    <row r="165" spans="1:31" ht="37.5" customHeight="1">
      <c r="A165" s="5367"/>
      <c r="B165" s="5350"/>
      <c r="C165" s="5327"/>
      <c r="D165" s="5327"/>
      <c r="E165" s="5327"/>
      <c r="F165" s="5327"/>
      <c r="G165" s="5327"/>
      <c r="H165" s="5327"/>
      <c r="I165" s="5327"/>
      <c r="J165" s="5327"/>
      <c r="K165" s="5327"/>
      <c r="L165" s="5327"/>
      <c r="M165" s="5327"/>
      <c r="N165" s="5327"/>
      <c r="O165" s="5327"/>
      <c r="P165" s="5327"/>
      <c r="Q165" s="5331"/>
      <c r="R165" s="796"/>
      <c r="S165" s="736"/>
      <c r="T165" s="736"/>
      <c r="U165" s="737"/>
      <c r="V165" s="738"/>
      <c r="W165" s="738"/>
      <c r="X165" s="739"/>
      <c r="Y165" s="739"/>
      <c r="Z165" s="739"/>
      <c r="AA165" s="740"/>
      <c r="AB165" s="165"/>
      <c r="AC165" s="166"/>
      <c r="AD165" s="166"/>
      <c r="AE165" s="5417"/>
    </row>
    <row r="166" spans="1:31" ht="37.5" customHeight="1">
      <c r="A166" s="5367"/>
      <c r="B166" s="5348" t="s">
        <v>235</v>
      </c>
      <c r="C166" s="5325" t="s">
        <v>236</v>
      </c>
      <c r="D166" s="5325" t="s">
        <v>237</v>
      </c>
      <c r="E166" s="5325" t="s">
        <v>326</v>
      </c>
      <c r="F166" s="5328" t="s">
        <v>239</v>
      </c>
      <c r="G166" s="5325" t="s">
        <v>240</v>
      </c>
      <c r="H166" s="5325" t="s">
        <v>257</v>
      </c>
      <c r="I166" s="5387" t="s">
        <v>2058</v>
      </c>
      <c r="J166" s="5387" t="s">
        <v>1728</v>
      </c>
      <c r="K166" s="5325" t="s">
        <v>2059</v>
      </c>
      <c r="L166" s="5397">
        <v>35</v>
      </c>
      <c r="M166" s="5398">
        <v>0</v>
      </c>
      <c r="N166" s="5397">
        <v>35</v>
      </c>
      <c r="O166" s="5325" t="s">
        <v>2060</v>
      </c>
      <c r="P166" s="5325" t="s">
        <v>2061</v>
      </c>
      <c r="Q166" s="5329" t="s">
        <v>2062</v>
      </c>
      <c r="R166" s="792"/>
      <c r="S166" s="734"/>
      <c r="T166" s="734"/>
      <c r="U166" s="741"/>
      <c r="V166" s="731"/>
      <c r="W166" s="731"/>
      <c r="X166" s="732"/>
      <c r="Y166" s="732"/>
      <c r="Z166" s="732"/>
      <c r="AA166" s="742"/>
      <c r="AB166" s="414"/>
      <c r="AC166" s="174"/>
      <c r="AD166" s="174"/>
      <c r="AE166" s="5415"/>
    </row>
    <row r="167" spans="1:31" ht="37.5" customHeight="1">
      <c r="A167" s="5367"/>
      <c r="B167" s="5349"/>
      <c r="C167" s="5326"/>
      <c r="D167" s="5326"/>
      <c r="E167" s="5326"/>
      <c r="F167" s="5326"/>
      <c r="G167" s="5326"/>
      <c r="H167" s="5326"/>
      <c r="I167" s="5326"/>
      <c r="J167" s="5326"/>
      <c r="K167" s="5326"/>
      <c r="L167" s="5326"/>
      <c r="M167" s="5326"/>
      <c r="N167" s="5326"/>
      <c r="O167" s="5326"/>
      <c r="P167" s="5326"/>
      <c r="Q167" s="5330"/>
      <c r="R167" s="790"/>
      <c r="S167" s="724"/>
      <c r="T167" s="724"/>
      <c r="U167" s="798"/>
      <c r="V167" s="725"/>
      <c r="W167" s="725"/>
      <c r="X167" s="726"/>
      <c r="Y167" s="726"/>
      <c r="Z167" s="726"/>
      <c r="AA167" s="727"/>
      <c r="AB167" s="170"/>
      <c r="AC167" s="282"/>
      <c r="AD167" s="282"/>
      <c r="AE167" s="5416"/>
    </row>
    <row r="168" spans="1:31" ht="37.5" customHeight="1">
      <c r="A168" s="5367"/>
      <c r="B168" s="5349"/>
      <c r="C168" s="5326"/>
      <c r="D168" s="5326"/>
      <c r="E168" s="5326"/>
      <c r="F168" s="5326"/>
      <c r="G168" s="5326"/>
      <c r="H168" s="5326"/>
      <c r="I168" s="5326"/>
      <c r="J168" s="5326"/>
      <c r="K168" s="5326"/>
      <c r="L168" s="5326"/>
      <c r="M168" s="5326"/>
      <c r="N168" s="5326"/>
      <c r="O168" s="5326"/>
      <c r="P168" s="5326"/>
      <c r="Q168" s="5330"/>
      <c r="R168" s="791"/>
      <c r="S168" s="729"/>
      <c r="T168" s="729"/>
      <c r="U168" s="730"/>
      <c r="V168" s="731"/>
      <c r="W168" s="731"/>
      <c r="X168" s="732"/>
      <c r="Y168" s="726"/>
      <c r="Z168" s="726"/>
      <c r="AA168" s="727"/>
      <c r="AB168" s="170"/>
      <c r="AC168" s="282"/>
      <c r="AD168" s="282"/>
      <c r="AE168" s="5416"/>
    </row>
    <row r="169" spans="1:31" ht="37.5" customHeight="1">
      <c r="A169" s="5367"/>
      <c r="B169" s="5349"/>
      <c r="C169" s="5326"/>
      <c r="D169" s="5326"/>
      <c r="E169" s="5326"/>
      <c r="F169" s="5326"/>
      <c r="G169" s="5326"/>
      <c r="H169" s="5326"/>
      <c r="I169" s="5326"/>
      <c r="J169" s="5326"/>
      <c r="K169" s="5326"/>
      <c r="L169" s="5326"/>
      <c r="M169" s="5326"/>
      <c r="N169" s="5326"/>
      <c r="O169" s="5326"/>
      <c r="P169" s="5326"/>
      <c r="Q169" s="5330"/>
      <c r="R169" s="792"/>
      <c r="S169" s="734"/>
      <c r="T169" s="734"/>
      <c r="U169" s="730"/>
      <c r="V169" s="731"/>
      <c r="W169" s="731"/>
      <c r="X169" s="732"/>
      <c r="Y169" s="726"/>
      <c r="Z169" s="726"/>
      <c r="AA169" s="727"/>
      <c r="AB169" s="170"/>
      <c r="AC169" s="282"/>
      <c r="AD169" s="282"/>
      <c r="AE169" s="5416"/>
    </row>
    <row r="170" spans="1:31" ht="37.5" customHeight="1">
      <c r="A170" s="5367"/>
      <c r="B170" s="5350"/>
      <c r="C170" s="5327"/>
      <c r="D170" s="5327"/>
      <c r="E170" s="5327"/>
      <c r="F170" s="5327"/>
      <c r="G170" s="5327"/>
      <c r="H170" s="5327"/>
      <c r="I170" s="5327"/>
      <c r="J170" s="5326"/>
      <c r="K170" s="5327"/>
      <c r="L170" s="5327"/>
      <c r="M170" s="5327"/>
      <c r="N170" s="5327"/>
      <c r="O170" s="5327"/>
      <c r="P170" s="5327"/>
      <c r="Q170" s="5331"/>
      <c r="R170" s="796"/>
      <c r="S170" s="736"/>
      <c r="T170" s="736"/>
      <c r="U170" s="737"/>
      <c r="V170" s="738"/>
      <c r="W170" s="738"/>
      <c r="X170" s="739"/>
      <c r="Y170" s="739"/>
      <c r="Z170" s="739"/>
      <c r="AA170" s="740"/>
      <c r="AB170" s="165"/>
      <c r="AC170" s="166"/>
      <c r="AD170" s="166"/>
      <c r="AE170" s="5417"/>
    </row>
    <row r="171" spans="1:31" ht="37.5" customHeight="1">
      <c r="A171" s="5367"/>
      <c r="B171" s="5348" t="s">
        <v>235</v>
      </c>
      <c r="C171" s="5325" t="s">
        <v>236</v>
      </c>
      <c r="D171" s="5325" t="s">
        <v>237</v>
      </c>
      <c r="E171" s="5325" t="s">
        <v>326</v>
      </c>
      <c r="F171" s="5328" t="s">
        <v>239</v>
      </c>
      <c r="G171" s="5325" t="s">
        <v>240</v>
      </c>
      <c r="H171" s="5325" t="s">
        <v>257</v>
      </c>
      <c r="I171" s="5387" t="s">
        <v>2063</v>
      </c>
      <c r="J171" s="5325" t="s">
        <v>1733</v>
      </c>
      <c r="K171" s="5325" t="s">
        <v>2064</v>
      </c>
      <c r="L171" s="5397">
        <v>15</v>
      </c>
      <c r="M171" s="5398">
        <v>0</v>
      </c>
      <c r="N171" s="5397">
        <v>15</v>
      </c>
      <c r="O171" s="5325" t="s">
        <v>2065</v>
      </c>
      <c r="P171" s="5325" t="s">
        <v>2066</v>
      </c>
      <c r="Q171" s="5329" t="s">
        <v>2067</v>
      </c>
      <c r="R171" s="792"/>
      <c r="S171" s="734"/>
      <c r="T171" s="734"/>
      <c r="U171" s="741"/>
      <c r="V171" s="731"/>
      <c r="W171" s="731"/>
      <c r="X171" s="732"/>
      <c r="Y171" s="732"/>
      <c r="Z171" s="732"/>
      <c r="AA171" s="742"/>
      <c r="AB171" s="414"/>
      <c r="AC171" s="174"/>
      <c r="AD171" s="174"/>
      <c r="AE171" s="5479" t="s">
        <v>2057</v>
      </c>
    </row>
    <row r="172" spans="1:31" ht="37.5" customHeight="1">
      <c r="A172" s="5367"/>
      <c r="B172" s="5349"/>
      <c r="C172" s="5326"/>
      <c r="D172" s="5326"/>
      <c r="E172" s="5326"/>
      <c r="F172" s="5326"/>
      <c r="G172" s="5326"/>
      <c r="H172" s="5326"/>
      <c r="I172" s="5326"/>
      <c r="J172" s="5326"/>
      <c r="K172" s="5326"/>
      <c r="L172" s="5326"/>
      <c r="M172" s="5326"/>
      <c r="N172" s="5326"/>
      <c r="O172" s="5326"/>
      <c r="P172" s="5326"/>
      <c r="Q172" s="5330"/>
      <c r="R172" s="790"/>
      <c r="S172" s="724"/>
      <c r="T172" s="724"/>
      <c r="U172" s="798"/>
      <c r="V172" s="725"/>
      <c r="W172" s="725"/>
      <c r="X172" s="726"/>
      <c r="Y172" s="726"/>
      <c r="Z172" s="726"/>
      <c r="AA172" s="727"/>
      <c r="AB172" s="170"/>
      <c r="AC172" s="282"/>
      <c r="AD172" s="282"/>
      <c r="AE172" s="5480"/>
    </row>
    <row r="173" spans="1:31" ht="37.5" customHeight="1">
      <c r="A173" s="5367"/>
      <c r="B173" s="5349"/>
      <c r="C173" s="5326"/>
      <c r="D173" s="5326"/>
      <c r="E173" s="5326"/>
      <c r="F173" s="5326"/>
      <c r="G173" s="5326"/>
      <c r="H173" s="5326"/>
      <c r="I173" s="5326"/>
      <c r="J173" s="5326"/>
      <c r="K173" s="5326"/>
      <c r="L173" s="5326"/>
      <c r="M173" s="5326"/>
      <c r="N173" s="5326"/>
      <c r="O173" s="5326"/>
      <c r="P173" s="5326"/>
      <c r="Q173" s="5330"/>
      <c r="R173" s="791"/>
      <c r="S173" s="729"/>
      <c r="T173" s="729"/>
      <c r="U173" s="730"/>
      <c r="V173" s="731"/>
      <c r="W173" s="731"/>
      <c r="X173" s="732"/>
      <c r="Y173" s="726"/>
      <c r="Z173" s="726"/>
      <c r="AA173" s="727"/>
      <c r="AB173" s="170"/>
      <c r="AC173" s="282"/>
      <c r="AD173" s="282"/>
      <c r="AE173" s="5480"/>
    </row>
    <row r="174" spans="1:31" ht="37.5" customHeight="1">
      <c r="A174" s="5367"/>
      <c r="B174" s="5349"/>
      <c r="C174" s="5326"/>
      <c r="D174" s="5326"/>
      <c r="E174" s="5326"/>
      <c r="F174" s="5326"/>
      <c r="G174" s="5326"/>
      <c r="H174" s="5326"/>
      <c r="I174" s="5326"/>
      <c r="J174" s="5326"/>
      <c r="K174" s="5326"/>
      <c r="L174" s="5326"/>
      <c r="M174" s="5326"/>
      <c r="N174" s="5326"/>
      <c r="O174" s="5326"/>
      <c r="P174" s="5326"/>
      <c r="Q174" s="5330"/>
      <c r="R174" s="792"/>
      <c r="S174" s="734"/>
      <c r="T174" s="734"/>
      <c r="U174" s="730"/>
      <c r="V174" s="731"/>
      <c r="W174" s="731"/>
      <c r="X174" s="732"/>
      <c r="Y174" s="726"/>
      <c r="Z174" s="726"/>
      <c r="AA174" s="727"/>
      <c r="AB174" s="170"/>
      <c r="AC174" s="282"/>
      <c r="AD174" s="282"/>
      <c r="AE174" s="5480"/>
    </row>
    <row r="175" spans="1:31" ht="37.5" customHeight="1">
      <c r="A175" s="5367"/>
      <c r="B175" s="5350"/>
      <c r="C175" s="5327"/>
      <c r="D175" s="5327"/>
      <c r="E175" s="5327"/>
      <c r="F175" s="5327"/>
      <c r="G175" s="5327"/>
      <c r="H175" s="5327"/>
      <c r="I175" s="5327"/>
      <c r="J175" s="5327"/>
      <c r="K175" s="5327"/>
      <c r="L175" s="5327"/>
      <c r="M175" s="5327"/>
      <c r="N175" s="5327"/>
      <c r="O175" s="5327"/>
      <c r="P175" s="5327"/>
      <c r="Q175" s="5331"/>
      <c r="R175" s="796"/>
      <c r="S175" s="736"/>
      <c r="T175" s="736"/>
      <c r="U175" s="737"/>
      <c r="V175" s="738"/>
      <c r="W175" s="738"/>
      <c r="X175" s="739"/>
      <c r="Y175" s="739"/>
      <c r="Z175" s="739"/>
      <c r="AA175" s="740"/>
      <c r="AB175" s="165"/>
      <c r="AC175" s="166"/>
      <c r="AD175" s="166"/>
      <c r="AE175" s="5481"/>
    </row>
    <row r="176" spans="1:31" ht="37.5" customHeight="1">
      <c r="A176" s="5367"/>
      <c r="B176" s="5348" t="s">
        <v>235</v>
      </c>
      <c r="C176" s="5325" t="s">
        <v>236</v>
      </c>
      <c r="D176" s="5325" t="s">
        <v>237</v>
      </c>
      <c r="E176" s="5325" t="s">
        <v>326</v>
      </c>
      <c r="F176" s="5328" t="s">
        <v>239</v>
      </c>
      <c r="G176" s="5325" t="s">
        <v>240</v>
      </c>
      <c r="H176" s="5325" t="s">
        <v>257</v>
      </c>
      <c r="I176" s="5395" t="s">
        <v>2068</v>
      </c>
      <c r="J176" s="5387" t="s">
        <v>1738</v>
      </c>
      <c r="K176" s="5395" t="s">
        <v>2068</v>
      </c>
      <c r="L176" s="5395" t="s">
        <v>2068</v>
      </c>
      <c r="M176" s="5395" t="s">
        <v>2068</v>
      </c>
      <c r="N176" s="5395" t="s">
        <v>2068</v>
      </c>
      <c r="O176" s="5395" t="s">
        <v>2068</v>
      </c>
      <c r="P176" s="5395" t="s">
        <v>2068</v>
      </c>
      <c r="Q176" s="5396" t="s">
        <v>2068</v>
      </c>
      <c r="R176" s="792"/>
      <c r="S176" s="734"/>
      <c r="T176" s="734"/>
      <c r="U176" s="741"/>
      <c r="V176" s="731"/>
      <c r="W176" s="731"/>
      <c r="X176" s="732"/>
      <c r="Y176" s="732"/>
      <c r="Z176" s="732"/>
      <c r="AA176" s="742"/>
      <c r="AB176" s="414"/>
      <c r="AC176" s="174"/>
      <c r="AD176" s="174"/>
      <c r="AE176" s="5465" t="s">
        <v>2069</v>
      </c>
    </row>
    <row r="177" spans="1:31" ht="37.5" customHeight="1">
      <c r="A177" s="5367"/>
      <c r="B177" s="5349"/>
      <c r="C177" s="5326"/>
      <c r="D177" s="5326"/>
      <c r="E177" s="5326"/>
      <c r="F177" s="5326"/>
      <c r="G177" s="5326"/>
      <c r="H177" s="5326"/>
      <c r="I177" s="5326"/>
      <c r="J177" s="5326"/>
      <c r="K177" s="5326"/>
      <c r="L177" s="5326"/>
      <c r="M177" s="5326"/>
      <c r="N177" s="5326"/>
      <c r="O177" s="5326"/>
      <c r="P177" s="5326"/>
      <c r="Q177" s="5330"/>
      <c r="R177" s="790"/>
      <c r="S177" s="724"/>
      <c r="T177" s="724"/>
      <c r="U177" s="798"/>
      <c r="V177" s="725"/>
      <c r="W177" s="725"/>
      <c r="X177" s="726"/>
      <c r="Y177" s="726"/>
      <c r="Z177" s="726"/>
      <c r="AA177" s="727"/>
      <c r="AB177" s="170"/>
      <c r="AC177" s="282"/>
      <c r="AD177" s="282"/>
      <c r="AE177" s="5466"/>
    </row>
    <row r="178" spans="1:31" ht="37.5" customHeight="1">
      <c r="A178" s="5367"/>
      <c r="B178" s="5349"/>
      <c r="C178" s="5326"/>
      <c r="D178" s="5326"/>
      <c r="E178" s="5326"/>
      <c r="F178" s="5326"/>
      <c r="G178" s="5326"/>
      <c r="H178" s="5326"/>
      <c r="I178" s="5326"/>
      <c r="J178" s="5326"/>
      <c r="K178" s="5326"/>
      <c r="L178" s="5326"/>
      <c r="M178" s="5326"/>
      <c r="N178" s="5326"/>
      <c r="O178" s="5326"/>
      <c r="P178" s="5326"/>
      <c r="Q178" s="5330"/>
      <c r="R178" s="791"/>
      <c r="S178" s="729"/>
      <c r="T178" s="729"/>
      <c r="U178" s="730"/>
      <c r="V178" s="731"/>
      <c r="W178" s="731"/>
      <c r="X178" s="732"/>
      <c r="Y178" s="726"/>
      <c r="Z178" s="726"/>
      <c r="AA178" s="727"/>
      <c r="AB178" s="170"/>
      <c r="AC178" s="282"/>
      <c r="AD178" s="282"/>
      <c r="AE178" s="5466"/>
    </row>
    <row r="179" spans="1:31" ht="37.5" customHeight="1">
      <c r="A179" s="5367"/>
      <c r="B179" s="5349"/>
      <c r="C179" s="5326"/>
      <c r="D179" s="5326"/>
      <c r="E179" s="5326"/>
      <c r="F179" s="5326"/>
      <c r="G179" s="5326"/>
      <c r="H179" s="5326"/>
      <c r="I179" s="5326"/>
      <c r="J179" s="5326"/>
      <c r="K179" s="5326"/>
      <c r="L179" s="5326"/>
      <c r="M179" s="5326"/>
      <c r="N179" s="5326"/>
      <c r="O179" s="5326"/>
      <c r="P179" s="5326"/>
      <c r="Q179" s="5330"/>
      <c r="R179" s="792"/>
      <c r="S179" s="734"/>
      <c r="T179" s="734"/>
      <c r="U179" s="730"/>
      <c r="V179" s="731"/>
      <c r="W179" s="731"/>
      <c r="X179" s="732"/>
      <c r="Y179" s="726"/>
      <c r="Z179" s="726"/>
      <c r="AA179" s="727"/>
      <c r="AB179" s="170"/>
      <c r="AC179" s="282"/>
      <c r="AD179" s="282"/>
      <c r="AE179" s="5466"/>
    </row>
    <row r="180" spans="1:31" ht="37.5" customHeight="1">
      <c r="A180" s="5367"/>
      <c r="B180" s="5350"/>
      <c r="C180" s="5327"/>
      <c r="D180" s="5327"/>
      <c r="E180" s="5327"/>
      <c r="F180" s="5327"/>
      <c r="G180" s="5327"/>
      <c r="H180" s="5327"/>
      <c r="I180" s="5327"/>
      <c r="J180" s="5326"/>
      <c r="K180" s="5327"/>
      <c r="L180" s="5327"/>
      <c r="M180" s="5327"/>
      <c r="N180" s="5327"/>
      <c r="O180" s="5327"/>
      <c r="P180" s="5327"/>
      <c r="Q180" s="5331"/>
      <c r="R180" s="796"/>
      <c r="S180" s="736"/>
      <c r="T180" s="736"/>
      <c r="U180" s="737"/>
      <c r="V180" s="738"/>
      <c r="W180" s="738"/>
      <c r="X180" s="739"/>
      <c r="Y180" s="739"/>
      <c r="Z180" s="739"/>
      <c r="AA180" s="740"/>
      <c r="AB180" s="165"/>
      <c r="AC180" s="166"/>
      <c r="AD180" s="166"/>
      <c r="AE180" s="5467"/>
    </row>
    <row r="181" spans="1:31" ht="37.5" customHeight="1">
      <c r="A181" s="5367"/>
      <c r="B181" s="5348" t="s">
        <v>235</v>
      </c>
      <c r="C181" s="5325" t="s">
        <v>236</v>
      </c>
      <c r="D181" s="5325" t="s">
        <v>237</v>
      </c>
      <c r="E181" s="5325" t="s">
        <v>326</v>
      </c>
      <c r="F181" s="5328" t="s">
        <v>239</v>
      </c>
      <c r="G181" s="5325" t="s">
        <v>240</v>
      </c>
      <c r="H181" s="5325" t="s">
        <v>257</v>
      </c>
      <c r="I181" s="5325" t="s">
        <v>2070</v>
      </c>
      <c r="J181" s="5325" t="s">
        <v>1743</v>
      </c>
      <c r="K181" s="5325" t="s">
        <v>2071</v>
      </c>
      <c r="L181" s="5397">
        <v>10</v>
      </c>
      <c r="M181" s="5397">
        <v>10</v>
      </c>
      <c r="N181" s="5397">
        <v>10</v>
      </c>
      <c r="O181" s="5325" t="s">
        <v>2072</v>
      </c>
      <c r="P181" s="5325" t="s">
        <v>2073</v>
      </c>
      <c r="Q181" s="5329" t="s">
        <v>2074</v>
      </c>
      <c r="R181" s="792"/>
      <c r="S181" s="734"/>
      <c r="T181" s="734"/>
      <c r="U181" s="741"/>
      <c r="V181" s="731"/>
      <c r="W181" s="731"/>
      <c r="X181" s="732"/>
      <c r="Y181" s="732"/>
      <c r="Z181" s="732"/>
      <c r="AA181" s="742"/>
      <c r="AB181" s="414"/>
      <c r="AC181" s="168"/>
      <c r="AD181" s="168"/>
      <c r="AE181" s="5465" t="s">
        <v>2075</v>
      </c>
    </row>
    <row r="182" spans="1:31" ht="37.5" customHeight="1">
      <c r="A182" s="5367"/>
      <c r="B182" s="5349"/>
      <c r="C182" s="5326"/>
      <c r="D182" s="5326"/>
      <c r="E182" s="5326"/>
      <c r="F182" s="5326"/>
      <c r="G182" s="5326"/>
      <c r="H182" s="5326"/>
      <c r="I182" s="5326"/>
      <c r="J182" s="5326"/>
      <c r="K182" s="5326"/>
      <c r="L182" s="5326"/>
      <c r="M182" s="5326"/>
      <c r="N182" s="5326"/>
      <c r="O182" s="5326"/>
      <c r="P182" s="5326"/>
      <c r="Q182" s="5330"/>
      <c r="R182" s="790"/>
      <c r="S182" s="724"/>
      <c r="T182" s="724"/>
      <c r="U182" s="798"/>
      <c r="V182" s="725"/>
      <c r="W182" s="725"/>
      <c r="X182" s="726"/>
      <c r="Y182" s="726"/>
      <c r="Z182" s="726"/>
      <c r="AA182" s="727"/>
      <c r="AB182" s="170"/>
      <c r="AC182" s="170"/>
      <c r="AD182" s="171"/>
      <c r="AE182" s="5466"/>
    </row>
    <row r="183" spans="1:31" ht="37.5" customHeight="1">
      <c r="A183" s="5403"/>
      <c r="B183" s="5349"/>
      <c r="C183" s="5326"/>
      <c r="D183" s="5326"/>
      <c r="E183" s="5326"/>
      <c r="F183" s="5326"/>
      <c r="G183" s="5326"/>
      <c r="H183" s="5326"/>
      <c r="I183" s="5326"/>
      <c r="J183" s="5326"/>
      <c r="K183" s="5326"/>
      <c r="L183" s="5326"/>
      <c r="M183" s="5326"/>
      <c r="N183" s="5326"/>
      <c r="O183" s="5326"/>
      <c r="P183" s="5326"/>
      <c r="Q183" s="5330"/>
      <c r="R183" s="790"/>
      <c r="S183" s="724"/>
      <c r="T183" s="724"/>
      <c r="U183" s="798"/>
      <c r="V183" s="725"/>
      <c r="W183" s="725"/>
      <c r="X183" s="726"/>
      <c r="Y183" s="726"/>
      <c r="Z183" s="726"/>
      <c r="AA183" s="727"/>
      <c r="AB183" s="170"/>
      <c r="AC183" s="170"/>
      <c r="AD183" s="282"/>
      <c r="AE183" s="5466"/>
    </row>
    <row r="184" spans="1:31" ht="37.5" customHeight="1">
      <c r="A184" s="5404" t="s">
        <v>1722</v>
      </c>
      <c r="B184" s="5349"/>
      <c r="C184" s="5326"/>
      <c r="D184" s="5326"/>
      <c r="E184" s="5326"/>
      <c r="F184" s="5326"/>
      <c r="G184" s="5326"/>
      <c r="H184" s="5326"/>
      <c r="I184" s="5326"/>
      <c r="J184" s="5326"/>
      <c r="K184" s="5326"/>
      <c r="L184" s="5326"/>
      <c r="M184" s="5326"/>
      <c r="N184" s="5326"/>
      <c r="O184" s="5326"/>
      <c r="P184" s="5326"/>
      <c r="Q184" s="5330"/>
      <c r="R184" s="790"/>
      <c r="S184" s="724"/>
      <c r="T184" s="724"/>
      <c r="U184" s="798"/>
      <c r="V184" s="725"/>
      <c r="W184" s="725"/>
      <c r="X184" s="726"/>
      <c r="Y184" s="726"/>
      <c r="Z184" s="726"/>
      <c r="AA184" s="727"/>
      <c r="AB184" s="170"/>
      <c r="AC184" s="170"/>
      <c r="AD184" s="282"/>
      <c r="AE184" s="5466"/>
    </row>
    <row r="185" spans="1:31" ht="37.5" customHeight="1">
      <c r="A185" s="5367"/>
      <c r="B185" s="5350"/>
      <c r="C185" s="5327"/>
      <c r="D185" s="5327"/>
      <c r="E185" s="5327"/>
      <c r="F185" s="5327"/>
      <c r="G185" s="5327"/>
      <c r="H185" s="5327"/>
      <c r="I185" s="5327"/>
      <c r="J185" s="5327"/>
      <c r="K185" s="5327"/>
      <c r="L185" s="5327"/>
      <c r="M185" s="5327"/>
      <c r="N185" s="5327"/>
      <c r="O185" s="5327"/>
      <c r="P185" s="5327"/>
      <c r="Q185" s="5331"/>
      <c r="R185" s="796"/>
      <c r="S185" s="736"/>
      <c r="T185" s="736"/>
      <c r="U185" s="737"/>
      <c r="V185" s="738"/>
      <c r="W185" s="738"/>
      <c r="X185" s="739"/>
      <c r="Y185" s="739"/>
      <c r="Z185" s="739"/>
      <c r="AA185" s="740"/>
      <c r="AB185" s="165"/>
      <c r="AC185" s="165"/>
      <c r="AD185" s="166"/>
      <c r="AE185" s="5467"/>
    </row>
    <row r="186" spans="1:31" ht="37.5" customHeight="1">
      <c r="A186" s="5367"/>
      <c r="B186" s="5348" t="s">
        <v>235</v>
      </c>
      <c r="C186" s="5325" t="s">
        <v>236</v>
      </c>
      <c r="D186" s="5325" t="s">
        <v>237</v>
      </c>
      <c r="E186" s="5325" t="s">
        <v>326</v>
      </c>
      <c r="F186" s="5328" t="s">
        <v>239</v>
      </c>
      <c r="G186" s="5325" t="s">
        <v>240</v>
      </c>
      <c r="H186" s="5325" t="s">
        <v>257</v>
      </c>
      <c r="I186" s="5325" t="s">
        <v>2076</v>
      </c>
      <c r="J186" s="5325" t="s">
        <v>1748</v>
      </c>
      <c r="K186" s="5325" t="s">
        <v>2077</v>
      </c>
      <c r="L186" s="5398">
        <v>1</v>
      </c>
      <c r="M186" s="5398">
        <v>0</v>
      </c>
      <c r="N186" s="5398">
        <v>1</v>
      </c>
      <c r="O186" s="5325" t="s">
        <v>2078</v>
      </c>
      <c r="P186" s="5325" t="s">
        <v>2079</v>
      </c>
      <c r="Q186" s="5329" t="s">
        <v>2080</v>
      </c>
      <c r="R186" s="792"/>
      <c r="S186" s="734"/>
      <c r="T186" s="734"/>
      <c r="U186" s="780"/>
      <c r="V186" s="762"/>
      <c r="W186" s="762"/>
      <c r="X186" s="763"/>
      <c r="Y186" s="732"/>
      <c r="Z186" s="732"/>
      <c r="AA186" s="765"/>
      <c r="AB186" s="178"/>
      <c r="AC186" s="181"/>
      <c r="AD186" s="181"/>
      <c r="AE186" s="5465" t="s">
        <v>2081</v>
      </c>
    </row>
    <row r="187" spans="1:31" ht="37.5" customHeight="1">
      <c r="A187" s="5367"/>
      <c r="B187" s="5349"/>
      <c r="C187" s="5326"/>
      <c r="D187" s="5326"/>
      <c r="E187" s="5326"/>
      <c r="F187" s="5326"/>
      <c r="G187" s="5326"/>
      <c r="H187" s="5326"/>
      <c r="I187" s="5326"/>
      <c r="J187" s="5326"/>
      <c r="K187" s="5326"/>
      <c r="L187" s="5326"/>
      <c r="M187" s="5326"/>
      <c r="N187" s="5326"/>
      <c r="O187" s="5326"/>
      <c r="P187" s="5326"/>
      <c r="Q187" s="5330"/>
      <c r="R187" s="790"/>
      <c r="S187" s="724"/>
      <c r="T187" s="724"/>
      <c r="U187" s="798"/>
      <c r="V187" s="725"/>
      <c r="W187" s="725"/>
      <c r="X187" s="726"/>
      <c r="Y187" s="726"/>
      <c r="Z187" s="726"/>
      <c r="AA187" s="727"/>
      <c r="AB187" s="170"/>
      <c r="AC187" s="282"/>
      <c r="AD187" s="282"/>
      <c r="AE187" s="5466"/>
    </row>
    <row r="188" spans="1:31" ht="37.5" customHeight="1">
      <c r="A188" s="5367"/>
      <c r="B188" s="5349"/>
      <c r="C188" s="5326"/>
      <c r="D188" s="5326"/>
      <c r="E188" s="5326"/>
      <c r="F188" s="5326"/>
      <c r="G188" s="5326"/>
      <c r="H188" s="5326"/>
      <c r="I188" s="5326"/>
      <c r="J188" s="5326"/>
      <c r="K188" s="5326"/>
      <c r="L188" s="5326"/>
      <c r="M188" s="5326"/>
      <c r="N188" s="5326"/>
      <c r="O188" s="5326"/>
      <c r="P188" s="5326"/>
      <c r="Q188" s="5330"/>
      <c r="R188" s="790"/>
      <c r="S188" s="724"/>
      <c r="T188" s="724"/>
      <c r="U188" s="798"/>
      <c r="V188" s="725"/>
      <c r="W188" s="725"/>
      <c r="X188" s="726"/>
      <c r="Y188" s="726"/>
      <c r="Z188" s="726"/>
      <c r="AA188" s="727"/>
      <c r="AB188" s="170"/>
      <c r="AC188" s="282"/>
      <c r="AD188" s="282"/>
      <c r="AE188" s="5466"/>
    </row>
    <row r="189" spans="1:31" ht="37.5" customHeight="1">
      <c r="A189" s="5367"/>
      <c r="B189" s="5349"/>
      <c r="C189" s="5326"/>
      <c r="D189" s="5326"/>
      <c r="E189" s="5326"/>
      <c r="F189" s="5326"/>
      <c r="G189" s="5326"/>
      <c r="H189" s="5326"/>
      <c r="I189" s="5326"/>
      <c r="J189" s="5326"/>
      <c r="K189" s="5326"/>
      <c r="L189" s="5326"/>
      <c r="M189" s="5326"/>
      <c r="N189" s="5326"/>
      <c r="O189" s="5326"/>
      <c r="P189" s="5326"/>
      <c r="Q189" s="5330"/>
      <c r="R189" s="790"/>
      <c r="S189" s="724"/>
      <c r="T189" s="724"/>
      <c r="U189" s="798"/>
      <c r="V189" s="725"/>
      <c r="W189" s="725"/>
      <c r="X189" s="726"/>
      <c r="Y189" s="726"/>
      <c r="Z189" s="726"/>
      <c r="AA189" s="727"/>
      <c r="AB189" s="170"/>
      <c r="AC189" s="282"/>
      <c r="AD189" s="282"/>
      <c r="AE189" s="5466"/>
    </row>
    <row r="190" spans="1:31" ht="37.5" customHeight="1">
      <c r="A190" s="5367"/>
      <c r="B190" s="5350"/>
      <c r="C190" s="5327"/>
      <c r="D190" s="5327"/>
      <c r="E190" s="5327"/>
      <c r="F190" s="5327"/>
      <c r="G190" s="5327"/>
      <c r="H190" s="5327"/>
      <c r="I190" s="5327"/>
      <c r="J190" s="5327"/>
      <c r="K190" s="5327"/>
      <c r="L190" s="5327"/>
      <c r="M190" s="5327"/>
      <c r="N190" s="5327"/>
      <c r="O190" s="5327"/>
      <c r="P190" s="5327"/>
      <c r="Q190" s="5331"/>
      <c r="R190" s="796"/>
      <c r="S190" s="736"/>
      <c r="T190" s="736"/>
      <c r="U190" s="737"/>
      <c r="V190" s="738"/>
      <c r="W190" s="738"/>
      <c r="X190" s="739"/>
      <c r="Y190" s="739"/>
      <c r="Z190" s="739"/>
      <c r="AA190" s="740"/>
      <c r="AB190" s="165"/>
      <c r="AC190" s="166"/>
      <c r="AD190" s="166"/>
      <c r="AE190" s="5467"/>
    </row>
    <row r="191" spans="1:31" ht="37.5" customHeight="1">
      <c r="A191" s="5367"/>
      <c r="B191" s="5348" t="s">
        <v>235</v>
      </c>
      <c r="C191" s="5325" t="s">
        <v>236</v>
      </c>
      <c r="D191" s="5325" t="s">
        <v>237</v>
      </c>
      <c r="E191" s="5325" t="s">
        <v>326</v>
      </c>
      <c r="F191" s="5328" t="s">
        <v>239</v>
      </c>
      <c r="G191" s="5325" t="s">
        <v>240</v>
      </c>
      <c r="H191" s="5325" t="s">
        <v>257</v>
      </c>
      <c r="I191" s="5387" t="s">
        <v>2082</v>
      </c>
      <c r="J191" s="5387" t="s">
        <v>1753</v>
      </c>
      <c r="K191" s="5325" t="s">
        <v>2083</v>
      </c>
      <c r="L191" s="5397">
        <v>1</v>
      </c>
      <c r="M191" s="5398">
        <v>0</v>
      </c>
      <c r="N191" s="5397">
        <v>1</v>
      </c>
      <c r="O191" s="5325" t="s">
        <v>2084</v>
      </c>
      <c r="P191" s="5325" t="s">
        <v>2085</v>
      </c>
      <c r="Q191" s="5329" t="s">
        <v>2086</v>
      </c>
      <c r="R191" s="792"/>
      <c r="S191" s="734"/>
      <c r="T191" s="734"/>
      <c r="U191" s="741"/>
      <c r="V191" s="731"/>
      <c r="W191" s="731"/>
      <c r="X191" s="732"/>
      <c r="Y191" s="732"/>
      <c r="Z191" s="732"/>
      <c r="AA191" s="742"/>
      <c r="AB191" s="414"/>
      <c r="AC191" s="174"/>
      <c r="AD191" s="174"/>
      <c r="AE191" s="5465" t="s">
        <v>2087</v>
      </c>
    </row>
    <row r="192" spans="1:31" ht="37.5" customHeight="1">
      <c r="A192" s="5367"/>
      <c r="B192" s="5349"/>
      <c r="C192" s="5326"/>
      <c r="D192" s="5326"/>
      <c r="E192" s="5326"/>
      <c r="F192" s="5326"/>
      <c r="G192" s="5326"/>
      <c r="H192" s="5326"/>
      <c r="I192" s="5326"/>
      <c r="J192" s="5326"/>
      <c r="K192" s="5326"/>
      <c r="L192" s="5326"/>
      <c r="M192" s="5326"/>
      <c r="N192" s="5326"/>
      <c r="O192" s="5326"/>
      <c r="P192" s="5326"/>
      <c r="Q192" s="5330"/>
      <c r="R192" s="790"/>
      <c r="S192" s="724"/>
      <c r="T192" s="724"/>
      <c r="U192" s="798"/>
      <c r="V192" s="725"/>
      <c r="W192" s="725"/>
      <c r="X192" s="726"/>
      <c r="Y192" s="726"/>
      <c r="Z192" s="726"/>
      <c r="AA192" s="727"/>
      <c r="AB192" s="170"/>
      <c r="AC192" s="282"/>
      <c r="AD192" s="282"/>
      <c r="AE192" s="5466"/>
    </row>
    <row r="193" spans="1:31" ht="37.5" customHeight="1">
      <c r="A193" s="5367"/>
      <c r="B193" s="5349"/>
      <c r="C193" s="5326"/>
      <c r="D193" s="5326"/>
      <c r="E193" s="5326"/>
      <c r="F193" s="5326"/>
      <c r="G193" s="5326"/>
      <c r="H193" s="5326"/>
      <c r="I193" s="5326"/>
      <c r="J193" s="5326"/>
      <c r="K193" s="5326"/>
      <c r="L193" s="5326"/>
      <c r="M193" s="5326"/>
      <c r="N193" s="5326"/>
      <c r="O193" s="5326"/>
      <c r="P193" s="5326"/>
      <c r="Q193" s="5330"/>
      <c r="R193" s="791"/>
      <c r="S193" s="729"/>
      <c r="T193" s="729"/>
      <c r="U193" s="730"/>
      <c r="V193" s="731"/>
      <c r="W193" s="731"/>
      <c r="X193" s="732"/>
      <c r="Y193" s="726"/>
      <c r="Z193" s="726"/>
      <c r="AA193" s="727"/>
      <c r="AB193" s="170"/>
      <c r="AC193" s="282"/>
      <c r="AD193" s="282"/>
      <c r="AE193" s="5466"/>
    </row>
    <row r="194" spans="1:31" ht="37.5" customHeight="1">
      <c r="A194" s="5367"/>
      <c r="B194" s="5349"/>
      <c r="C194" s="5326"/>
      <c r="D194" s="5326"/>
      <c r="E194" s="5326"/>
      <c r="F194" s="5326"/>
      <c r="G194" s="5326"/>
      <c r="H194" s="5326"/>
      <c r="I194" s="5326"/>
      <c r="J194" s="5326"/>
      <c r="K194" s="5326"/>
      <c r="L194" s="5326"/>
      <c r="M194" s="5326"/>
      <c r="N194" s="5326"/>
      <c r="O194" s="5326"/>
      <c r="P194" s="5326"/>
      <c r="Q194" s="5330"/>
      <c r="R194" s="792"/>
      <c r="S194" s="734"/>
      <c r="T194" s="734"/>
      <c r="U194" s="730"/>
      <c r="V194" s="731"/>
      <c r="W194" s="731"/>
      <c r="X194" s="732"/>
      <c r="Y194" s="726"/>
      <c r="Z194" s="726"/>
      <c r="AA194" s="727"/>
      <c r="AB194" s="170"/>
      <c r="AC194" s="282"/>
      <c r="AD194" s="282"/>
      <c r="AE194" s="5466"/>
    </row>
    <row r="195" spans="1:31" ht="37.5" customHeight="1">
      <c r="A195" s="5367"/>
      <c r="B195" s="5350"/>
      <c r="C195" s="5327"/>
      <c r="D195" s="5327"/>
      <c r="E195" s="5327"/>
      <c r="F195" s="5327"/>
      <c r="G195" s="5327"/>
      <c r="H195" s="5327"/>
      <c r="I195" s="5327"/>
      <c r="J195" s="5326"/>
      <c r="K195" s="5327"/>
      <c r="L195" s="5327"/>
      <c r="M195" s="5327"/>
      <c r="N195" s="5327"/>
      <c r="O195" s="5327"/>
      <c r="P195" s="5327"/>
      <c r="Q195" s="5331"/>
      <c r="R195" s="796"/>
      <c r="S195" s="736"/>
      <c r="T195" s="736"/>
      <c r="U195" s="737"/>
      <c r="V195" s="738"/>
      <c r="W195" s="738"/>
      <c r="X195" s="739"/>
      <c r="Y195" s="739"/>
      <c r="Z195" s="739"/>
      <c r="AA195" s="740"/>
      <c r="AB195" s="165"/>
      <c r="AC195" s="166"/>
      <c r="AD195" s="166"/>
      <c r="AE195" s="5467"/>
    </row>
    <row r="196" spans="1:31" ht="37.5" customHeight="1">
      <c r="A196" s="5367"/>
      <c r="B196" s="5348" t="s">
        <v>235</v>
      </c>
      <c r="C196" s="5325" t="s">
        <v>236</v>
      </c>
      <c r="D196" s="5325" t="s">
        <v>237</v>
      </c>
      <c r="E196" s="5325" t="s">
        <v>326</v>
      </c>
      <c r="F196" s="5328" t="s">
        <v>239</v>
      </c>
      <c r="G196" s="5325" t="s">
        <v>240</v>
      </c>
      <c r="H196" s="5325" t="s">
        <v>257</v>
      </c>
      <c r="I196" s="5482" t="s">
        <v>2088</v>
      </c>
      <c r="J196" s="5325" t="s">
        <v>1758</v>
      </c>
      <c r="K196" s="5325" t="s">
        <v>2089</v>
      </c>
      <c r="L196" s="5397">
        <v>6</v>
      </c>
      <c r="M196" s="5398">
        <v>0</v>
      </c>
      <c r="N196" s="5397">
        <v>6</v>
      </c>
      <c r="O196" s="5325" t="s">
        <v>2090</v>
      </c>
      <c r="P196" s="5325" t="s">
        <v>2091</v>
      </c>
      <c r="Q196" s="5329" t="s">
        <v>2092</v>
      </c>
      <c r="R196" s="792"/>
      <c r="S196" s="734"/>
      <c r="T196" s="734"/>
      <c r="U196" s="741"/>
      <c r="V196" s="731"/>
      <c r="W196" s="731"/>
      <c r="X196" s="732"/>
      <c r="Y196" s="732"/>
      <c r="Z196" s="732"/>
      <c r="AA196" s="742"/>
      <c r="AB196" s="414"/>
      <c r="AC196" s="168"/>
      <c r="AD196" s="168"/>
      <c r="AE196" s="5465" t="s">
        <v>2087</v>
      </c>
    </row>
    <row r="197" spans="1:31" ht="37.5" customHeight="1">
      <c r="A197" s="5367"/>
      <c r="B197" s="5349"/>
      <c r="C197" s="5326"/>
      <c r="D197" s="5326"/>
      <c r="E197" s="5326"/>
      <c r="F197" s="5326"/>
      <c r="G197" s="5326"/>
      <c r="H197" s="5326"/>
      <c r="I197" s="5326"/>
      <c r="J197" s="5326"/>
      <c r="K197" s="5326"/>
      <c r="L197" s="5326"/>
      <c r="M197" s="5326"/>
      <c r="N197" s="5326"/>
      <c r="O197" s="5326"/>
      <c r="P197" s="5326"/>
      <c r="Q197" s="5330"/>
      <c r="R197" s="790"/>
      <c r="S197" s="724"/>
      <c r="T197" s="724"/>
      <c r="U197" s="798"/>
      <c r="V197" s="725"/>
      <c r="W197" s="725"/>
      <c r="X197" s="726"/>
      <c r="Y197" s="726"/>
      <c r="Z197" s="726"/>
      <c r="AA197" s="727"/>
      <c r="AB197" s="170"/>
      <c r="AC197" s="170"/>
      <c r="AD197" s="171"/>
      <c r="AE197" s="5466"/>
    </row>
    <row r="198" spans="1:31" ht="37.5" customHeight="1">
      <c r="A198" s="5367"/>
      <c r="B198" s="5349"/>
      <c r="C198" s="5326"/>
      <c r="D198" s="5326"/>
      <c r="E198" s="5326"/>
      <c r="F198" s="5326"/>
      <c r="G198" s="5326"/>
      <c r="H198" s="5326"/>
      <c r="I198" s="5326"/>
      <c r="J198" s="5326"/>
      <c r="K198" s="5326"/>
      <c r="L198" s="5326"/>
      <c r="M198" s="5326"/>
      <c r="N198" s="5326"/>
      <c r="O198" s="5326"/>
      <c r="P198" s="5326"/>
      <c r="Q198" s="5330"/>
      <c r="R198" s="790"/>
      <c r="S198" s="724"/>
      <c r="T198" s="724"/>
      <c r="U198" s="798"/>
      <c r="V198" s="725"/>
      <c r="W198" s="725"/>
      <c r="X198" s="726"/>
      <c r="Y198" s="726"/>
      <c r="Z198" s="726"/>
      <c r="AA198" s="727"/>
      <c r="AB198" s="170"/>
      <c r="AC198" s="170"/>
      <c r="AD198" s="282"/>
      <c r="AE198" s="5466"/>
    </row>
    <row r="199" spans="1:31" ht="37.5" customHeight="1">
      <c r="A199" s="5367"/>
      <c r="B199" s="5349"/>
      <c r="C199" s="5326"/>
      <c r="D199" s="5326"/>
      <c r="E199" s="5326"/>
      <c r="F199" s="5326"/>
      <c r="G199" s="5326"/>
      <c r="H199" s="5326"/>
      <c r="I199" s="5326"/>
      <c r="J199" s="5326"/>
      <c r="K199" s="5326"/>
      <c r="L199" s="5326"/>
      <c r="M199" s="5326"/>
      <c r="N199" s="5326"/>
      <c r="O199" s="5326"/>
      <c r="P199" s="5326"/>
      <c r="Q199" s="5330"/>
      <c r="R199" s="790"/>
      <c r="S199" s="724"/>
      <c r="T199" s="724"/>
      <c r="U199" s="798"/>
      <c r="V199" s="725"/>
      <c r="W199" s="725"/>
      <c r="X199" s="726"/>
      <c r="Y199" s="726"/>
      <c r="Z199" s="726"/>
      <c r="AA199" s="727"/>
      <c r="AB199" s="170"/>
      <c r="AC199" s="170"/>
      <c r="AD199" s="282"/>
      <c r="AE199" s="5466"/>
    </row>
    <row r="200" spans="1:31" ht="37.5" customHeight="1">
      <c r="A200" s="5367"/>
      <c r="B200" s="5350"/>
      <c r="C200" s="5327"/>
      <c r="D200" s="5327"/>
      <c r="E200" s="5327"/>
      <c r="F200" s="5327"/>
      <c r="G200" s="5327"/>
      <c r="H200" s="5327"/>
      <c r="I200" s="5327"/>
      <c r="J200" s="5327"/>
      <c r="K200" s="5327"/>
      <c r="L200" s="5327"/>
      <c r="M200" s="5327"/>
      <c r="N200" s="5327"/>
      <c r="O200" s="5327"/>
      <c r="P200" s="5327"/>
      <c r="Q200" s="5331"/>
      <c r="R200" s="796"/>
      <c r="S200" s="736"/>
      <c r="T200" s="736"/>
      <c r="U200" s="737"/>
      <c r="V200" s="738"/>
      <c r="W200" s="738"/>
      <c r="X200" s="739"/>
      <c r="Y200" s="739"/>
      <c r="Z200" s="739"/>
      <c r="AA200" s="740"/>
      <c r="AB200" s="165"/>
      <c r="AC200" s="165"/>
      <c r="AD200" s="166"/>
      <c r="AE200" s="5467"/>
    </row>
    <row r="201" spans="1:31" ht="37.5" customHeight="1">
      <c r="A201" s="5367"/>
      <c r="B201" s="5348" t="s">
        <v>235</v>
      </c>
      <c r="C201" s="5325" t="s">
        <v>236</v>
      </c>
      <c r="D201" s="5325" t="s">
        <v>237</v>
      </c>
      <c r="E201" s="5325" t="s">
        <v>326</v>
      </c>
      <c r="F201" s="5328" t="s">
        <v>239</v>
      </c>
      <c r="G201" s="5325" t="s">
        <v>240</v>
      </c>
      <c r="H201" s="5325" t="s">
        <v>257</v>
      </c>
      <c r="I201" s="5325" t="s">
        <v>2093</v>
      </c>
      <c r="J201" s="5325" t="s">
        <v>1763</v>
      </c>
      <c r="K201" s="5325" t="s">
        <v>2094</v>
      </c>
      <c r="L201" s="5398">
        <v>400</v>
      </c>
      <c r="M201" s="5398">
        <v>400</v>
      </c>
      <c r="N201" s="5398">
        <v>400</v>
      </c>
      <c r="O201" s="5325" t="s">
        <v>2095</v>
      </c>
      <c r="P201" s="5325" t="s">
        <v>2096</v>
      </c>
      <c r="Q201" s="5329" t="s">
        <v>2097</v>
      </c>
      <c r="R201" s="792"/>
      <c r="S201" s="734"/>
      <c r="T201" s="734"/>
      <c r="U201" s="780"/>
      <c r="V201" s="762"/>
      <c r="W201" s="762"/>
      <c r="X201" s="763"/>
      <c r="Y201" s="732"/>
      <c r="Z201" s="732"/>
      <c r="AA201" s="765"/>
      <c r="AB201" s="178"/>
      <c r="AC201" s="181"/>
      <c r="AD201" s="181"/>
      <c r="AE201" s="5418"/>
    </row>
    <row r="202" spans="1:31" ht="37.5" customHeight="1">
      <c r="A202" s="5367"/>
      <c r="B202" s="5349"/>
      <c r="C202" s="5326"/>
      <c r="D202" s="5326"/>
      <c r="E202" s="5326"/>
      <c r="F202" s="5326"/>
      <c r="G202" s="5326"/>
      <c r="H202" s="5326"/>
      <c r="I202" s="5326"/>
      <c r="J202" s="5326"/>
      <c r="K202" s="5326"/>
      <c r="L202" s="5326"/>
      <c r="M202" s="5326"/>
      <c r="N202" s="5326"/>
      <c r="O202" s="5326"/>
      <c r="P202" s="5326"/>
      <c r="Q202" s="5330"/>
      <c r="R202" s="790"/>
      <c r="S202" s="724"/>
      <c r="T202" s="724"/>
      <c r="U202" s="798"/>
      <c r="V202" s="725"/>
      <c r="W202" s="725"/>
      <c r="X202" s="726"/>
      <c r="Y202" s="726"/>
      <c r="Z202" s="726"/>
      <c r="AA202" s="727"/>
      <c r="AB202" s="170"/>
      <c r="AC202" s="282"/>
      <c r="AD202" s="282"/>
      <c r="AE202" s="5416"/>
    </row>
    <row r="203" spans="1:31" ht="37.5" customHeight="1">
      <c r="A203" s="5367"/>
      <c r="B203" s="5349"/>
      <c r="C203" s="5326"/>
      <c r="D203" s="5326"/>
      <c r="E203" s="5326"/>
      <c r="F203" s="5326"/>
      <c r="G203" s="5326"/>
      <c r="H203" s="5326"/>
      <c r="I203" s="5326"/>
      <c r="J203" s="5326"/>
      <c r="K203" s="5326"/>
      <c r="L203" s="5326"/>
      <c r="M203" s="5326"/>
      <c r="N203" s="5326"/>
      <c r="O203" s="5326"/>
      <c r="P203" s="5326"/>
      <c r="Q203" s="5330"/>
      <c r="R203" s="790"/>
      <c r="S203" s="724"/>
      <c r="T203" s="724"/>
      <c r="U203" s="798"/>
      <c r="V203" s="725"/>
      <c r="W203" s="725"/>
      <c r="X203" s="726"/>
      <c r="Y203" s="726"/>
      <c r="Z203" s="726"/>
      <c r="AA203" s="727"/>
      <c r="AB203" s="170"/>
      <c r="AC203" s="282"/>
      <c r="AD203" s="282"/>
      <c r="AE203" s="5416"/>
    </row>
    <row r="204" spans="1:31" ht="37.5" customHeight="1">
      <c r="A204" s="5367"/>
      <c r="B204" s="5349"/>
      <c r="C204" s="5326"/>
      <c r="D204" s="5326"/>
      <c r="E204" s="5326"/>
      <c r="F204" s="5326"/>
      <c r="G204" s="5326"/>
      <c r="H204" s="5326"/>
      <c r="I204" s="5326"/>
      <c r="J204" s="5326"/>
      <c r="K204" s="5326"/>
      <c r="L204" s="5326"/>
      <c r="M204" s="5326"/>
      <c r="N204" s="5326"/>
      <c r="O204" s="5326"/>
      <c r="P204" s="5326"/>
      <c r="Q204" s="5330"/>
      <c r="R204" s="790"/>
      <c r="S204" s="724"/>
      <c r="T204" s="724"/>
      <c r="U204" s="798"/>
      <c r="V204" s="725"/>
      <c r="W204" s="725"/>
      <c r="X204" s="726"/>
      <c r="Y204" s="726"/>
      <c r="Z204" s="726"/>
      <c r="AA204" s="727"/>
      <c r="AB204" s="170"/>
      <c r="AC204" s="282"/>
      <c r="AD204" s="282"/>
      <c r="AE204" s="5416"/>
    </row>
    <row r="205" spans="1:31" ht="37.5" customHeight="1">
      <c r="A205" s="5367"/>
      <c r="B205" s="5350"/>
      <c r="C205" s="5327"/>
      <c r="D205" s="5327"/>
      <c r="E205" s="5327"/>
      <c r="F205" s="5327"/>
      <c r="G205" s="5327"/>
      <c r="H205" s="5327"/>
      <c r="I205" s="5327"/>
      <c r="J205" s="5327"/>
      <c r="K205" s="5327"/>
      <c r="L205" s="5327"/>
      <c r="M205" s="5327"/>
      <c r="N205" s="5327"/>
      <c r="O205" s="5327"/>
      <c r="P205" s="5327"/>
      <c r="Q205" s="5331"/>
      <c r="R205" s="796"/>
      <c r="S205" s="736"/>
      <c r="T205" s="736"/>
      <c r="U205" s="737"/>
      <c r="V205" s="738"/>
      <c r="W205" s="738"/>
      <c r="X205" s="739"/>
      <c r="Y205" s="739"/>
      <c r="Z205" s="739"/>
      <c r="AA205" s="740"/>
      <c r="AB205" s="165"/>
      <c r="AC205" s="166"/>
      <c r="AD205" s="166"/>
      <c r="AE205" s="5417"/>
    </row>
    <row r="206" spans="1:31" ht="37.5" customHeight="1">
      <c r="A206" s="5367"/>
      <c r="B206" s="5348" t="s">
        <v>235</v>
      </c>
      <c r="C206" s="5325" t="s">
        <v>236</v>
      </c>
      <c r="D206" s="5325" t="s">
        <v>237</v>
      </c>
      <c r="E206" s="5325" t="s">
        <v>326</v>
      </c>
      <c r="F206" s="5328" t="s">
        <v>239</v>
      </c>
      <c r="G206" s="5325" t="s">
        <v>240</v>
      </c>
      <c r="H206" s="5325" t="s">
        <v>257</v>
      </c>
      <c r="I206" s="5387" t="s">
        <v>2098</v>
      </c>
      <c r="J206" s="5387" t="s">
        <v>1768</v>
      </c>
      <c r="K206" s="5325" t="s">
        <v>2099</v>
      </c>
      <c r="L206" s="5397">
        <v>1</v>
      </c>
      <c r="M206" s="5398">
        <v>0</v>
      </c>
      <c r="N206" s="5397">
        <v>1</v>
      </c>
      <c r="O206" s="5325" t="s">
        <v>2100</v>
      </c>
      <c r="P206" s="5325" t="s">
        <v>2101</v>
      </c>
      <c r="Q206" s="5329" t="s">
        <v>2097</v>
      </c>
      <c r="R206" s="792"/>
      <c r="S206" s="734"/>
      <c r="T206" s="734"/>
      <c r="U206" s="741"/>
      <c r="V206" s="731"/>
      <c r="W206" s="731"/>
      <c r="X206" s="732"/>
      <c r="Y206" s="732"/>
      <c r="Z206" s="732"/>
      <c r="AA206" s="742"/>
      <c r="AB206" s="414"/>
      <c r="AC206" s="174"/>
      <c r="AD206" s="174"/>
      <c r="AE206" s="5465" t="s">
        <v>2075</v>
      </c>
    </row>
    <row r="207" spans="1:31" ht="37.5" customHeight="1">
      <c r="A207" s="5367"/>
      <c r="B207" s="5349"/>
      <c r="C207" s="5326"/>
      <c r="D207" s="5326"/>
      <c r="E207" s="5326"/>
      <c r="F207" s="5326"/>
      <c r="G207" s="5326"/>
      <c r="H207" s="5326"/>
      <c r="I207" s="5326"/>
      <c r="J207" s="5326"/>
      <c r="K207" s="5326"/>
      <c r="L207" s="5326"/>
      <c r="M207" s="5326"/>
      <c r="N207" s="5326"/>
      <c r="O207" s="5326"/>
      <c r="P207" s="5326"/>
      <c r="Q207" s="5330"/>
      <c r="R207" s="790"/>
      <c r="S207" s="724"/>
      <c r="T207" s="724"/>
      <c r="U207" s="798"/>
      <c r="V207" s="725"/>
      <c r="W207" s="725"/>
      <c r="X207" s="726"/>
      <c r="Y207" s="726"/>
      <c r="Z207" s="726"/>
      <c r="AA207" s="727"/>
      <c r="AB207" s="170"/>
      <c r="AC207" s="282"/>
      <c r="AD207" s="282"/>
      <c r="AE207" s="5466"/>
    </row>
    <row r="208" spans="1:31" ht="37.5" customHeight="1">
      <c r="A208" s="5367"/>
      <c r="B208" s="5349"/>
      <c r="C208" s="5326"/>
      <c r="D208" s="5326"/>
      <c r="E208" s="5326"/>
      <c r="F208" s="5326"/>
      <c r="G208" s="5326"/>
      <c r="H208" s="5326"/>
      <c r="I208" s="5326"/>
      <c r="J208" s="5326"/>
      <c r="K208" s="5326"/>
      <c r="L208" s="5326"/>
      <c r="M208" s="5326"/>
      <c r="N208" s="5326"/>
      <c r="O208" s="5326"/>
      <c r="P208" s="5326"/>
      <c r="Q208" s="5330"/>
      <c r="R208" s="791"/>
      <c r="S208" s="729"/>
      <c r="T208" s="729"/>
      <c r="U208" s="730"/>
      <c r="V208" s="731"/>
      <c r="W208" s="731"/>
      <c r="X208" s="732"/>
      <c r="Y208" s="726"/>
      <c r="Z208" s="726"/>
      <c r="AA208" s="727"/>
      <c r="AB208" s="170"/>
      <c r="AC208" s="282"/>
      <c r="AD208" s="282"/>
      <c r="AE208" s="5466"/>
    </row>
    <row r="209" spans="1:31" ht="37.5" customHeight="1">
      <c r="A209" s="5367"/>
      <c r="B209" s="5349"/>
      <c r="C209" s="5326"/>
      <c r="D209" s="5326"/>
      <c r="E209" s="5326"/>
      <c r="F209" s="5326"/>
      <c r="G209" s="5326"/>
      <c r="H209" s="5326"/>
      <c r="I209" s="5326"/>
      <c r="J209" s="5326"/>
      <c r="K209" s="5326"/>
      <c r="L209" s="5326"/>
      <c r="M209" s="5326"/>
      <c r="N209" s="5326"/>
      <c r="O209" s="5326"/>
      <c r="P209" s="5326"/>
      <c r="Q209" s="5330"/>
      <c r="R209" s="792"/>
      <c r="S209" s="734"/>
      <c r="T209" s="734"/>
      <c r="U209" s="730"/>
      <c r="V209" s="731"/>
      <c r="W209" s="731"/>
      <c r="X209" s="732"/>
      <c r="Y209" s="726"/>
      <c r="Z209" s="726"/>
      <c r="AA209" s="727"/>
      <c r="AB209" s="170"/>
      <c r="AC209" s="282"/>
      <c r="AD209" s="282"/>
      <c r="AE209" s="5466"/>
    </row>
    <row r="210" spans="1:31" ht="37.5" customHeight="1">
      <c r="A210" s="5367"/>
      <c r="B210" s="5350"/>
      <c r="C210" s="5327"/>
      <c r="D210" s="5327"/>
      <c r="E210" s="5327"/>
      <c r="F210" s="5327"/>
      <c r="G210" s="5327"/>
      <c r="H210" s="5327"/>
      <c r="I210" s="5327"/>
      <c r="J210" s="5326"/>
      <c r="K210" s="5327"/>
      <c r="L210" s="5327"/>
      <c r="M210" s="5327"/>
      <c r="N210" s="5327"/>
      <c r="O210" s="5327"/>
      <c r="P210" s="5327"/>
      <c r="Q210" s="5331"/>
      <c r="R210" s="796"/>
      <c r="S210" s="736"/>
      <c r="T210" s="736"/>
      <c r="U210" s="737"/>
      <c r="V210" s="738"/>
      <c r="W210" s="738"/>
      <c r="X210" s="739"/>
      <c r="Y210" s="739"/>
      <c r="Z210" s="739"/>
      <c r="AA210" s="740"/>
      <c r="AB210" s="165"/>
      <c r="AC210" s="166"/>
      <c r="AD210" s="166"/>
      <c r="AE210" s="5467"/>
    </row>
    <row r="211" spans="1:31" ht="37.5" customHeight="1">
      <c r="A211" s="5367"/>
      <c r="B211" s="5348" t="s">
        <v>235</v>
      </c>
      <c r="C211" s="5325" t="s">
        <v>236</v>
      </c>
      <c r="D211" s="5325" t="s">
        <v>244</v>
      </c>
      <c r="E211" s="5325" t="s">
        <v>292</v>
      </c>
      <c r="F211" s="5328" t="s">
        <v>239</v>
      </c>
      <c r="G211" s="5325" t="s">
        <v>240</v>
      </c>
      <c r="H211" s="5325" t="s">
        <v>257</v>
      </c>
      <c r="I211" s="5325" t="s">
        <v>2102</v>
      </c>
      <c r="J211" s="5325" t="s">
        <v>338</v>
      </c>
      <c r="K211" s="5325" t="s">
        <v>2103</v>
      </c>
      <c r="L211" s="5483">
        <v>0</v>
      </c>
      <c r="M211" s="1726"/>
      <c r="N211" s="5397">
        <v>1</v>
      </c>
      <c r="O211" s="5325" t="s">
        <v>2104</v>
      </c>
      <c r="P211" s="5325" t="s">
        <v>435</v>
      </c>
      <c r="Q211" s="5329" t="s">
        <v>2105</v>
      </c>
      <c r="R211" s="792"/>
      <c r="S211" s="734"/>
      <c r="T211" s="734"/>
      <c r="U211" s="741"/>
      <c r="V211" s="731"/>
      <c r="W211" s="731"/>
      <c r="X211" s="732"/>
      <c r="Y211" s="732"/>
      <c r="Z211" s="732"/>
      <c r="AA211" s="742"/>
      <c r="AB211" s="414"/>
      <c r="AC211" s="168"/>
      <c r="AD211" s="168"/>
      <c r="AE211" s="5415"/>
    </row>
    <row r="212" spans="1:31" ht="37.5" customHeight="1">
      <c r="A212" s="5367"/>
      <c r="B212" s="5349"/>
      <c r="C212" s="5326"/>
      <c r="D212" s="5326"/>
      <c r="E212" s="5326"/>
      <c r="F212" s="5326"/>
      <c r="G212" s="5326"/>
      <c r="H212" s="5326"/>
      <c r="I212" s="5326"/>
      <c r="J212" s="5326"/>
      <c r="K212" s="5326"/>
      <c r="L212" s="5326"/>
      <c r="M212" s="1726"/>
      <c r="N212" s="5326"/>
      <c r="O212" s="5326"/>
      <c r="P212" s="5326"/>
      <c r="Q212" s="5330"/>
      <c r="R212" s="790"/>
      <c r="S212" s="724"/>
      <c r="T212" s="724"/>
      <c r="U212" s="798"/>
      <c r="V212" s="725"/>
      <c r="W212" s="725"/>
      <c r="X212" s="726"/>
      <c r="Y212" s="726"/>
      <c r="Z212" s="726"/>
      <c r="AA212" s="727"/>
      <c r="AB212" s="170"/>
      <c r="AC212" s="170"/>
      <c r="AD212" s="171"/>
      <c r="AE212" s="5416"/>
    </row>
    <row r="213" spans="1:31" ht="37.5" customHeight="1">
      <c r="A213" s="5367"/>
      <c r="B213" s="5349"/>
      <c r="C213" s="5326"/>
      <c r="D213" s="5326"/>
      <c r="E213" s="5326"/>
      <c r="F213" s="5326"/>
      <c r="G213" s="5326"/>
      <c r="H213" s="5326"/>
      <c r="I213" s="5326"/>
      <c r="J213" s="5326"/>
      <c r="K213" s="5326"/>
      <c r="L213" s="5326"/>
      <c r="M213" s="1726">
        <v>1</v>
      </c>
      <c r="N213" s="5326"/>
      <c r="O213" s="5326"/>
      <c r="P213" s="5326"/>
      <c r="Q213" s="5330"/>
      <c r="R213" s="790"/>
      <c r="S213" s="724"/>
      <c r="T213" s="724"/>
      <c r="U213" s="798"/>
      <c r="V213" s="725"/>
      <c r="W213" s="725"/>
      <c r="X213" s="726"/>
      <c r="Y213" s="726"/>
      <c r="Z213" s="726"/>
      <c r="AA213" s="727"/>
      <c r="AB213" s="170"/>
      <c r="AC213" s="170"/>
      <c r="AD213" s="282"/>
      <c r="AE213" s="5416"/>
    </row>
    <row r="214" spans="1:31" ht="37.5" customHeight="1">
      <c r="A214" s="5367"/>
      <c r="B214" s="5349"/>
      <c r="C214" s="5326"/>
      <c r="D214" s="5326"/>
      <c r="E214" s="5326"/>
      <c r="F214" s="5326"/>
      <c r="G214" s="5326"/>
      <c r="H214" s="5326"/>
      <c r="I214" s="5326"/>
      <c r="J214" s="5326"/>
      <c r="K214" s="5326"/>
      <c r="L214" s="5326"/>
      <c r="M214" s="1726"/>
      <c r="N214" s="5326"/>
      <c r="O214" s="5326"/>
      <c r="P214" s="5326"/>
      <c r="Q214" s="5330"/>
      <c r="R214" s="790"/>
      <c r="S214" s="724"/>
      <c r="T214" s="724"/>
      <c r="U214" s="798"/>
      <c r="V214" s="725"/>
      <c r="W214" s="725"/>
      <c r="X214" s="726"/>
      <c r="Y214" s="726"/>
      <c r="Z214" s="726"/>
      <c r="AA214" s="727"/>
      <c r="AB214" s="170"/>
      <c r="AC214" s="170"/>
      <c r="AD214" s="282"/>
      <c r="AE214" s="5416"/>
    </row>
    <row r="215" spans="1:31" ht="37.5" customHeight="1">
      <c r="A215" s="5367"/>
      <c r="B215" s="5350"/>
      <c r="C215" s="5327"/>
      <c r="D215" s="5327"/>
      <c r="E215" s="5327"/>
      <c r="F215" s="5327"/>
      <c r="G215" s="5327"/>
      <c r="H215" s="5327"/>
      <c r="I215" s="5327"/>
      <c r="J215" s="5327"/>
      <c r="K215" s="5327"/>
      <c r="L215" s="5327"/>
      <c r="M215" s="800"/>
      <c r="N215" s="5327"/>
      <c r="O215" s="5327"/>
      <c r="P215" s="5327"/>
      <c r="Q215" s="5331"/>
      <c r="R215" s="796"/>
      <c r="S215" s="736"/>
      <c r="T215" s="736"/>
      <c r="U215" s="737"/>
      <c r="V215" s="738"/>
      <c r="W215" s="738"/>
      <c r="X215" s="739"/>
      <c r="Y215" s="739"/>
      <c r="Z215" s="739"/>
      <c r="AA215" s="740"/>
      <c r="AB215" s="165"/>
      <c r="AC215" s="165"/>
      <c r="AD215" s="166"/>
      <c r="AE215" s="5417"/>
    </row>
    <row r="216" spans="1:31" ht="37.5" customHeight="1">
      <c r="A216" s="5367"/>
      <c r="B216" s="5348" t="s">
        <v>235</v>
      </c>
      <c r="C216" s="5325" t="s">
        <v>236</v>
      </c>
      <c r="D216" s="5325" t="s">
        <v>237</v>
      </c>
      <c r="E216" s="5325" t="s">
        <v>326</v>
      </c>
      <c r="F216" s="5328" t="s">
        <v>239</v>
      </c>
      <c r="G216" s="5325" t="s">
        <v>240</v>
      </c>
      <c r="H216" s="5325" t="s">
        <v>257</v>
      </c>
      <c r="I216" s="5325" t="s">
        <v>2106</v>
      </c>
      <c r="J216" s="5325" t="s">
        <v>707</v>
      </c>
      <c r="K216" s="5325" t="s">
        <v>2107</v>
      </c>
      <c r="L216" s="5398">
        <v>50</v>
      </c>
      <c r="M216" s="5398">
        <v>50</v>
      </c>
      <c r="N216" s="5398">
        <v>50</v>
      </c>
      <c r="O216" s="5325" t="s">
        <v>2108</v>
      </c>
      <c r="P216" s="5325" t="s">
        <v>2109</v>
      </c>
      <c r="Q216" s="5329" t="s">
        <v>2110</v>
      </c>
      <c r="R216" s="799"/>
      <c r="S216" s="782"/>
      <c r="T216" s="782"/>
      <c r="U216" s="783"/>
      <c r="V216" s="762"/>
      <c r="W216" s="762"/>
      <c r="X216" s="763"/>
      <c r="Y216" s="763"/>
      <c r="Z216" s="763"/>
      <c r="AA216" s="765"/>
      <c r="AB216" s="178"/>
      <c r="AC216" s="181"/>
      <c r="AD216" s="181"/>
      <c r="AE216" s="5418" t="s">
        <v>2111</v>
      </c>
    </row>
    <row r="217" spans="1:31" ht="37.5" customHeight="1">
      <c r="A217" s="5367"/>
      <c r="B217" s="5349"/>
      <c r="C217" s="5326"/>
      <c r="D217" s="5326"/>
      <c r="E217" s="5326"/>
      <c r="F217" s="5326"/>
      <c r="G217" s="5326"/>
      <c r="H217" s="5326"/>
      <c r="I217" s="5326"/>
      <c r="J217" s="5326"/>
      <c r="K217" s="5326"/>
      <c r="L217" s="5326"/>
      <c r="M217" s="5326"/>
      <c r="N217" s="5326"/>
      <c r="O217" s="5326"/>
      <c r="P217" s="5326"/>
      <c r="Q217" s="5330"/>
      <c r="R217" s="791"/>
      <c r="S217" s="729"/>
      <c r="T217" s="729"/>
      <c r="U217" s="798"/>
      <c r="V217" s="725"/>
      <c r="W217" s="725"/>
      <c r="X217" s="726"/>
      <c r="Y217" s="726"/>
      <c r="Z217" s="726"/>
      <c r="AA217" s="727"/>
      <c r="AB217" s="170"/>
      <c r="AC217" s="282"/>
      <c r="AD217" s="282"/>
      <c r="AE217" s="5416"/>
    </row>
    <row r="218" spans="1:31" ht="37.5" customHeight="1">
      <c r="A218" s="5367"/>
      <c r="B218" s="5349"/>
      <c r="C218" s="5326"/>
      <c r="D218" s="5326"/>
      <c r="E218" s="5326"/>
      <c r="F218" s="5326"/>
      <c r="G218" s="5326"/>
      <c r="H218" s="5326"/>
      <c r="I218" s="5326"/>
      <c r="J218" s="5326"/>
      <c r="K218" s="5326"/>
      <c r="L218" s="5326"/>
      <c r="M218" s="5326"/>
      <c r="N218" s="5326"/>
      <c r="O218" s="5326"/>
      <c r="P218" s="5326"/>
      <c r="Q218" s="5330"/>
      <c r="R218" s="790"/>
      <c r="S218" s="724"/>
      <c r="T218" s="724"/>
      <c r="U218" s="798"/>
      <c r="V218" s="725"/>
      <c r="W218" s="725"/>
      <c r="X218" s="726"/>
      <c r="Y218" s="726"/>
      <c r="Z218" s="726"/>
      <c r="AA218" s="727"/>
      <c r="AB218" s="170"/>
      <c r="AC218" s="282"/>
      <c r="AD218" s="282"/>
      <c r="AE218" s="5416"/>
    </row>
    <row r="219" spans="1:31" ht="37.5" customHeight="1">
      <c r="A219" s="5367"/>
      <c r="B219" s="5349"/>
      <c r="C219" s="5326"/>
      <c r="D219" s="5326"/>
      <c r="E219" s="5326"/>
      <c r="F219" s="5326"/>
      <c r="G219" s="5326"/>
      <c r="H219" s="5326"/>
      <c r="I219" s="5326"/>
      <c r="J219" s="5326"/>
      <c r="K219" s="5326"/>
      <c r="L219" s="5326"/>
      <c r="M219" s="5326"/>
      <c r="N219" s="5326"/>
      <c r="O219" s="5326"/>
      <c r="P219" s="5326"/>
      <c r="Q219" s="5330"/>
      <c r="R219" s="790"/>
      <c r="S219" s="724"/>
      <c r="T219" s="724"/>
      <c r="U219" s="798"/>
      <c r="V219" s="725"/>
      <c r="W219" s="725"/>
      <c r="X219" s="726"/>
      <c r="Y219" s="726"/>
      <c r="Z219" s="726"/>
      <c r="AA219" s="727"/>
      <c r="AB219" s="170"/>
      <c r="AC219" s="282"/>
      <c r="AD219" s="282"/>
      <c r="AE219" s="5416"/>
    </row>
    <row r="220" spans="1:31" ht="37.5" customHeight="1">
      <c r="A220" s="5368"/>
      <c r="B220" s="5350"/>
      <c r="C220" s="5327"/>
      <c r="D220" s="5327"/>
      <c r="E220" s="5327"/>
      <c r="F220" s="5327"/>
      <c r="G220" s="5327"/>
      <c r="H220" s="5327"/>
      <c r="I220" s="5327"/>
      <c r="J220" s="5327"/>
      <c r="K220" s="5327"/>
      <c r="L220" s="5327"/>
      <c r="M220" s="5327"/>
      <c r="N220" s="5327"/>
      <c r="O220" s="5327"/>
      <c r="P220" s="5327"/>
      <c r="Q220" s="5331"/>
      <c r="R220" s="796"/>
      <c r="S220" s="736"/>
      <c r="T220" s="736"/>
      <c r="U220" s="737"/>
      <c r="V220" s="738"/>
      <c r="W220" s="738"/>
      <c r="X220" s="739"/>
      <c r="Y220" s="739"/>
      <c r="Z220" s="739"/>
      <c r="AA220" s="740"/>
      <c r="AB220" s="165"/>
      <c r="AC220" s="166"/>
      <c r="AD220" s="166"/>
      <c r="AE220" s="5417"/>
    </row>
    <row r="221" spans="1:31" ht="37.5" customHeight="1">
      <c r="A221" s="2159"/>
      <c r="B221" s="785"/>
      <c r="C221" s="785"/>
      <c r="D221" s="785"/>
      <c r="E221" s="785"/>
      <c r="F221" s="785"/>
      <c r="G221" s="785"/>
      <c r="H221" s="785"/>
      <c r="I221" s="785"/>
      <c r="J221" s="785"/>
      <c r="K221" s="785"/>
      <c r="L221" s="785"/>
      <c r="M221" s="785"/>
      <c r="N221" s="785"/>
      <c r="O221" s="785"/>
      <c r="P221" s="785"/>
      <c r="Q221" s="786"/>
      <c r="R221" s="5473" t="s">
        <v>1779</v>
      </c>
      <c r="S221" s="5474"/>
      <c r="T221" s="5474"/>
      <c r="U221" s="5474"/>
      <c r="V221" s="5474"/>
      <c r="W221" s="5474"/>
      <c r="X221" s="5474"/>
      <c r="Y221" s="5475"/>
      <c r="Z221" s="787" t="s">
        <v>340</v>
      </c>
      <c r="AA221" s="788">
        <f>SUM(AA161:AA220)</f>
        <v>0</v>
      </c>
      <c r="AB221" s="5476"/>
      <c r="AC221" s="5474"/>
      <c r="AD221" s="5474"/>
      <c r="AE221" s="5477"/>
    </row>
    <row r="222" spans="1:31" ht="37.5" customHeight="1">
      <c r="A222" s="5366" t="s">
        <v>1780</v>
      </c>
      <c r="B222" s="5351" t="s">
        <v>235</v>
      </c>
      <c r="C222" s="5355" t="s">
        <v>236</v>
      </c>
      <c r="D222" s="5355" t="s">
        <v>237</v>
      </c>
      <c r="E222" s="5355" t="s">
        <v>326</v>
      </c>
      <c r="F222" s="5364" t="s">
        <v>239</v>
      </c>
      <c r="G222" s="5355" t="s">
        <v>240</v>
      </c>
      <c r="H222" s="5355" t="s">
        <v>257</v>
      </c>
      <c r="I222" s="5360" t="s">
        <v>2112</v>
      </c>
      <c r="J222" s="5355" t="s">
        <v>1781</v>
      </c>
      <c r="K222" s="5355" t="s">
        <v>1782</v>
      </c>
      <c r="L222" s="5363">
        <v>10</v>
      </c>
      <c r="M222" s="5363">
        <v>10</v>
      </c>
      <c r="N222" s="5363">
        <v>10</v>
      </c>
      <c r="O222" s="5355" t="s">
        <v>2113</v>
      </c>
      <c r="P222" s="5355" t="s">
        <v>2114</v>
      </c>
      <c r="Q222" s="5392" t="s">
        <v>2115</v>
      </c>
      <c r="R222" s="789"/>
      <c r="S222" s="718"/>
      <c r="T222" s="718"/>
      <c r="U222" s="719"/>
      <c r="V222" s="720"/>
      <c r="W222" s="720"/>
      <c r="X222" s="721"/>
      <c r="Y222" s="721"/>
      <c r="Z222" s="721"/>
      <c r="AA222" s="722"/>
      <c r="AB222" s="155"/>
      <c r="AC222" s="156"/>
      <c r="AD222" s="156"/>
      <c r="AE222" s="5428"/>
    </row>
    <row r="223" spans="1:31" ht="37.5" customHeight="1">
      <c r="A223" s="5367"/>
      <c r="B223" s="5334"/>
      <c r="C223" s="5337"/>
      <c r="D223" s="5337"/>
      <c r="E223" s="5337"/>
      <c r="F223" s="5337"/>
      <c r="G223" s="5337"/>
      <c r="H223" s="5337"/>
      <c r="I223" s="5361"/>
      <c r="J223" s="5337"/>
      <c r="K223" s="5337"/>
      <c r="L223" s="5337"/>
      <c r="M223" s="5337"/>
      <c r="N223" s="5337"/>
      <c r="O223" s="5337"/>
      <c r="P223" s="5337"/>
      <c r="Q223" s="5345"/>
      <c r="R223" s="790"/>
      <c r="S223" s="724"/>
      <c r="T223" s="724"/>
      <c r="U223" s="798"/>
      <c r="V223" s="725"/>
      <c r="W223" s="725"/>
      <c r="X223" s="726"/>
      <c r="Y223" s="726"/>
      <c r="Z223" s="726"/>
      <c r="AA223" s="727"/>
      <c r="AB223" s="170"/>
      <c r="AC223" s="282"/>
      <c r="AD223" s="282"/>
      <c r="AE223" s="5416"/>
    </row>
    <row r="224" spans="1:31" ht="37.5" customHeight="1">
      <c r="A224" s="5367"/>
      <c r="B224" s="5334"/>
      <c r="C224" s="5337"/>
      <c r="D224" s="5337"/>
      <c r="E224" s="5337"/>
      <c r="F224" s="5337"/>
      <c r="G224" s="5337"/>
      <c r="H224" s="5337"/>
      <c r="I224" s="5361"/>
      <c r="J224" s="5337"/>
      <c r="K224" s="5337"/>
      <c r="L224" s="5337"/>
      <c r="M224" s="5337"/>
      <c r="N224" s="5337"/>
      <c r="O224" s="5337"/>
      <c r="P224" s="5337"/>
      <c r="Q224" s="5345"/>
      <c r="R224" s="791"/>
      <c r="S224" s="729"/>
      <c r="T224" s="729"/>
      <c r="U224" s="730"/>
      <c r="V224" s="731"/>
      <c r="W224" s="731"/>
      <c r="X224" s="732"/>
      <c r="Y224" s="726"/>
      <c r="Z224" s="726"/>
      <c r="AA224" s="727"/>
      <c r="AB224" s="170"/>
      <c r="AC224" s="282"/>
      <c r="AD224" s="282"/>
      <c r="AE224" s="5416"/>
    </row>
    <row r="225" spans="1:31" ht="37.5" customHeight="1">
      <c r="A225" s="5367"/>
      <c r="B225" s="5334"/>
      <c r="C225" s="5337"/>
      <c r="D225" s="5337"/>
      <c r="E225" s="5337"/>
      <c r="F225" s="5337"/>
      <c r="G225" s="5337"/>
      <c r="H225" s="5337"/>
      <c r="I225" s="5361"/>
      <c r="J225" s="5337"/>
      <c r="K225" s="5337"/>
      <c r="L225" s="5337"/>
      <c r="M225" s="5337"/>
      <c r="N225" s="5337"/>
      <c r="O225" s="5337"/>
      <c r="P225" s="5337"/>
      <c r="Q225" s="5345"/>
      <c r="R225" s="792"/>
      <c r="S225" s="734"/>
      <c r="T225" s="734"/>
      <c r="U225" s="730"/>
      <c r="V225" s="731"/>
      <c r="W225" s="731"/>
      <c r="X225" s="732"/>
      <c r="Y225" s="726"/>
      <c r="Z225" s="726"/>
      <c r="AA225" s="727"/>
      <c r="AB225" s="170"/>
      <c r="AC225" s="282"/>
      <c r="AD225" s="282"/>
      <c r="AE225" s="5416"/>
    </row>
    <row r="226" spans="1:31" ht="37.5" customHeight="1">
      <c r="A226" s="5367"/>
      <c r="B226" s="5335"/>
      <c r="C226" s="5338"/>
      <c r="D226" s="5338"/>
      <c r="E226" s="5338"/>
      <c r="F226" s="5338"/>
      <c r="G226" s="5338"/>
      <c r="H226" s="5338"/>
      <c r="I226" s="5362"/>
      <c r="J226" s="5338"/>
      <c r="K226" s="5338"/>
      <c r="L226" s="5338"/>
      <c r="M226" s="5338"/>
      <c r="N226" s="5338"/>
      <c r="O226" s="5338"/>
      <c r="P226" s="5338"/>
      <c r="Q226" s="5346"/>
      <c r="R226" s="796"/>
      <c r="S226" s="736"/>
      <c r="T226" s="736"/>
      <c r="U226" s="737"/>
      <c r="V226" s="738"/>
      <c r="W226" s="738"/>
      <c r="X226" s="739"/>
      <c r="Y226" s="739"/>
      <c r="Z226" s="739"/>
      <c r="AA226" s="740"/>
      <c r="AB226" s="165"/>
      <c r="AC226" s="166"/>
      <c r="AD226" s="166"/>
      <c r="AE226" s="5417"/>
    </row>
    <row r="227" spans="1:31" ht="37.5" customHeight="1">
      <c r="A227" s="5367"/>
      <c r="B227" s="5333" t="s">
        <v>235</v>
      </c>
      <c r="C227" s="5336" t="s">
        <v>236</v>
      </c>
      <c r="D227" s="5336" t="s">
        <v>237</v>
      </c>
      <c r="E227" s="5336" t="s">
        <v>326</v>
      </c>
      <c r="F227" s="5341" t="s">
        <v>239</v>
      </c>
      <c r="G227" s="5336" t="s">
        <v>240</v>
      </c>
      <c r="H227" s="5336" t="s">
        <v>257</v>
      </c>
      <c r="I227" s="5336" t="s">
        <v>2116</v>
      </c>
      <c r="J227" s="5336" t="s">
        <v>1786</v>
      </c>
      <c r="K227" s="5336" t="s">
        <v>2117</v>
      </c>
      <c r="L227" s="5343">
        <v>350</v>
      </c>
      <c r="M227" s="5399">
        <v>400</v>
      </c>
      <c r="N227" s="5343">
        <v>450</v>
      </c>
      <c r="O227" s="5336" t="s">
        <v>2118</v>
      </c>
      <c r="P227" s="5336" t="s">
        <v>2119</v>
      </c>
      <c r="Q227" s="5370" t="s">
        <v>2115</v>
      </c>
      <c r="R227" s="792"/>
      <c r="S227" s="734"/>
      <c r="T227" s="734"/>
      <c r="U227" s="741"/>
      <c r="V227" s="731"/>
      <c r="W227" s="731"/>
      <c r="X227" s="732"/>
      <c r="Y227" s="732"/>
      <c r="Z227" s="732"/>
      <c r="AA227" s="742"/>
      <c r="AB227" s="414"/>
      <c r="AC227" s="174"/>
      <c r="AD227" s="174"/>
      <c r="AE227" s="5415"/>
    </row>
    <row r="228" spans="1:31" ht="37.5" customHeight="1">
      <c r="A228" s="5367"/>
      <c r="B228" s="5334"/>
      <c r="C228" s="5337"/>
      <c r="D228" s="5337"/>
      <c r="E228" s="5337"/>
      <c r="F228" s="5337"/>
      <c r="G228" s="5337"/>
      <c r="H228" s="5337"/>
      <c r="I228" s="5337"/>
      <c r="J228" s="5337"/>
      <c r="K228" s="5337"/>
      <c r="L228" s="5337"/>
      <c r="M228" s="5337"/>
      <c r="N228" s="5337"/>
      <c r="O228" s="5337"/>
      <c r="P228" s="5337"/>
      <c r="Q228" s="5345"/>
      <c r="R228" s="790"/>
      <c r="S228" s="724"/>
      <c r="T228" s="724"/>
      <c r="U228" s="798"/>
      <c r="V228" s="725"/>
      <c r="W228" s="725"/>
      <c r="X228" s="726"/>
      <c r="Y228" s="726"/>
      <c r="Z228" s="726"/>
      <c r="AA228" s="727"/>
      <c r="AB228" s="170"/>
      <c r="AC228" s="282"/>
      <c r="AD228" s="282"/>
      <c r="AE228" s="5416"/>
    </row>
    <row r="229" spans="1:31" ht="37.5" customHeight="1">
      <c r="A229" s="5367"/>
      <c r="B229" s="5334"/>
      <c r="C229" s="5337"/>
      <c r="D229" s="5337"/>
      <c r="E229" s="5337"/>
      <c r="F229" s="5337"/>
      <c r="G229" s="5337"/>
      <c r="H229" s="5337"/>
      <c r="I229" s="5337"/>
      <c r="J229" s="5337"/>
      <c r="K229" s="5337"/>
      <c r="L229" s="5337"/>
      <c r="M229" s="5337"/>
      <c r="N229" s="5337"/>
      <c r="O229" s="5337"/>
      <c r="P229" s="5337"/>
      <c r="Q229" s="5345"/>
      <c r="R229" s="791"/>
      <c r="S229" s="729"/>
      <c r="T229" s="729"/>
      <c r="U229" s="730"/>
      <c r="V229" s="731"/>
      <c r="W229" s="731"/>
      <c r="X229" s="732"/>
      <c r="Y229" s="726"/>
      <c r="Z229" s="726"/>
      <c r="AA229" s="727"/>
      <c r="AB229" s="170"/>
      <c r="AC229" s="282"/>
      <c r="AD229" s="282"/>
      <c r="AE229" s="5416"/>
    </row>
    <row r="230" spans="1:31" ht="37.5" customHeight="1">
      <c r="A230" s="5367"/>
      <c r="B230" s="5334"/>
      <c r="C230" s="5337"/>
      <c r="D230" s="5337"/>
      <c r="E230" s="5337"/>
      <c r="F230" s="5337"/>
      <c r="G230" s="5337"/>
      <c r="H230" s="5337"/>
      <c r="I230" s="5337"/>
      <c r="J230" s="5337"/>
      <c r="K230" s="5337"/>
      <c r="L230" s="5337"/>
      <c r="M230" s="5337"/>
      <c r="N230" s="5337"/>
      <c r="O230" s="5337"/>
      <c r="P230" s="5337"/>
      <c r="Q230" s="5345"/>
      <c r="R230" s="792"/>
      <c r="S230" s="734"/>
      <c r="T230" s="734"/>
      <c r="U230" s="730"/>
      <c r="V230" s="731"/>
      <c r="W230" s="731"/>
      <c r="X230" s="732"/>
      <c r="Y230" s="726"/>
      <c r="Z230" s="726"/>
      <c r="AA230" s="727"/>
      <c r="AB230" s="170"/>
      <c r="AC230" s="282"/>
      <c r="AD230" s="282"/>
      <c r="AE230" s="5416"/>
    </row>
    <row r="231" spans="1:31" ht="37.5" customHeight="1">
      <c r="A231" s="5367"/>
      <c r="B231" s="5335"/>
      <c r="C231" s="5338"/>
      <c r="D231" s="5338"/>
      <c r="E231" s="5338"/>
      <c r="F231" s="5338"/>
      <c r="G231" s="5338"/>
      <c r="H231" s="5338"/>
      <c r="I231" s="5338"/>
      <c r="J231" s="5337"/>
      <c r="K231" s="5338"/>
      <c r="L231" s="5338"/>
      <c r="M231" s="5338"/>
      <c r="N231" s="5338"/>
      <c r="O231" s="5338"/>
      <c r="P231" s="5338"/>
      <c r="Q231" s="5346"/>
      <c r="R231" s="796"/>
      <c r="S231" s="736"/>
      <c r="T231" s="736"/>
      <c r="U231" s="737"/>
      <c r="V231" s="738"/>
      <c r="W231" s="738"/>
      <c r="X231" s="739"/>
      <c r="Y231" s="739"/>
      <c r="Z231" s="739"/>
      <c r="AA231" s="740"/>
      <c r="AB231" s="165"/>
      <c r="AC231" s="166"/>
      <c r="AD231" s="166"/>
      <c r="AE231" s="5417"/>
    </row>
    <row r="232" spans="1:31" ht="37.5" customHeight="1">
      <c r="A232" s="5367"/>
      <c r="B232" s="5333" t="s">
        <v>235</v>
      </c>
      <c r="C232" s="5336" t="s">
        <v>236</v>
      </c>
      <c r="D232" s="5336" t="s">
        <v>237</v>
      </c>
      <c r="E232" s="5336" t="s">
        <v>326</v>
      </c>
      <c r="F232" s="5341" t="s">
        <v>239</v>
      </c>
      <c r="G232" s="5336" t="s">
        <v>240</v>
      </c>
      <c r="H232" s="5336" t="s">
        <v>257</v>
      </c>
      <c r="I232" s="5336" t="s">
        <v>2120</v>
      </c>
      <c r="J232" s="5347" t="s">
        <v>1791</v>
      </c>
      <c r="K232" s="5336" t="s">
        <v>2121</v>
      </c>
      <c r="L232" s="5343">
        <v>1800</v>
      </c>
      <c r="M232" s="5399">
        <v>2300</v>
      </c>
      <c r="N232" s="5343">
        <v>2800</v>
      </c>
      <c r="O232" s="5336" t="s">
        <v>2122</v>
      </c>
      <c r="P232" s="5336" t="s">
        <v>2123</v>
      </c>
      <c r="Q232" s="5370" t="s">
        <v>2124</v>
      </c>
      <c r="R232" s="792"/>
      <c r="S232" s="734"/>
      <c r="T232" s="734"/>
      <c r="U232" s="741"/>
      <c r="V232" s="731"/>
      <c r="W232" s="731"/>
      <c r="X232" s="732"/>
      <c r="Y232" s="732"/>
      <c r="Z232" s="732"/>
      <c r="AA232" s="742"/>
      <c r="AB232" s="414"/>
      <c r="AC232" s="174"/>
      <c r="AD232" s="174"/>
      <c r="AE232" s="5415"/>
    </row>
    <row r="233" spans="1:31" ht="37.5" customHeight="1">
      <c r="A233" s="5367"/>
      <c r="B233" s="5334"/>
      <c r="C233" s="5337"/>
      <c r="D233" s="5337"/>
      <c r="E233" s="5337"/>
      <c r="F233" s="5337"/>
      <c r="G233" s="5337"/>
      <c r="H233" s="5337"/>
      <c r="I233" s="5337"/>
      <c r="J233" s="5337"/>
      <c r="K233" s="5337"/>
      <c r="L233" s="5337"/>
      <c r="M233" s="5337"/>
      <c r="N233" s="5337"/>
      <c r="O233" s="5337"/>
      <c r="P233" s="5337"/>
      <c r="Q233" s="5345"/>
      <c r="R233" s="790"/>
      <c r="S233" s="724"/>
      <c r="T233" s="724"/>
      <c r="U233" s="798"/>
      <c r="V233" s="725"/>
      <c r="W233" s="725"/>
      <c r="X233" s="726"/>
      <c r="Y233" s="726"/>
      <c r="Z233" s="726"/>
      <c r="AA233" s="727"/>
      <c r="AB233" s="170"/>
      <c r="AC233" s="282"/>
      <c r="AD233" s="282"/>
      <c r="AE233" s="5416"/>
    </row>
    <row r="234" spans="1:31" ht="37.5" customHeight="1">
      <c r="A234" s="5367"/>
      <c r="B234" s="5334"/>
      <c r="C234" s="5337"/>
      <c r="D234" s="5337"/>
      <c r="E234" s="5337"/>
      <c r="F234" s="5337"/>
      <c r="G234" s="5337"/>
      <c r="H234" s="5337"/>
      <c r="I234" s="5337"/>
      <c r="J234" s="5337"/>
      <c r="K234" s="5337"/>
      <c r="L234" s="5337"/>
      <c r="M234" s="5337"/>
      <c r="N234" s="5337"/>
      <c r="O234" s="5337"/>
      <c r="P234" s="5337"/>
      <c r="Q234" s="5345"/>
      <c r="R234" s="791"/>
      <c r="S234" s="729"/>
      <c r="T234" s="729"/>
      <c r="U234" s="730"/>
      <c r="V234" s="731"/>
      <c r="W234" s="731"/>
      <c r="X234" s="732"/>
      <c r="Y234" s="726"/>
      <c r="Z234" s="726"/>
      <c r="AA234" s="727"/>
      <c r="AB234" s="170"/>
      <c r="AC234" s="282"/>
      <c r="AD234" s="282"/>
      <c r="AE234" s="5416"/>
    </row>
    <row r="235" spans="1:31" ht="37.5" customHeight="1">
      <c r="A235" s="5367"/>
      <c r="B235" s="5334"/>
      <c r="C235" s="5337"/>
      <c r="D235" s="5337"/>
      <c r="E235" s="5337"/>
      <c r="F235" s="5337"/>
      <c r="G235" s="5337"/>
      <c r="H235" s="5337"/>
      <c r="I235" s="5337"/>
      <c r="J235" s="5337"/>
      <c r="K235" s="5337"/>
      <c r="L235" s="5337"/>
      <c r="M235" s="5337"/>
      <c r="N235" s="5337"/>
      <c r="O235" s="5337"/>
      <c r="P235" s="5337"/>
      <c r="Q235" s="5345"/>
      <c r="R235" s="792"/>
      <c r="S235" s="734"/>
      <c r="T235" s="734"/>
      <c r="U235" s="730"/>
      <c r="V235" s="731"/>
      <c r="W235" s="731"/>
      <c r="X235" s="732"/>
      <c r="Y235" s="726"/>
      <c r="Z235" s="726"/>
      <c r="AA235" s="727"/>
      <c r="AB235" s="170"/>
      <c r="AC235" s="282"/>
      <c r="AD235" s="282"/>
      <c r="AE235" s="5416"/>
    </row>
    <row r="236" spans="1:31" ht="37.5" customHeight="1">
      <c r="A236" s="5367"/>
      <c r="B236" s="5335"/>
      <c r="C236" s="5338"/>
      <c r="D236" s="5338"/>
      <c r="E236" s="5338"/>
      <c r="F236" s="5338"/>
      <c r="G236" s="5338"/>
      <c r="H236" s="5338"/>
      <c r="I236" s="5338"/>
      <c r="J236" s="5338"/>
      <c r="K236" s="5338"/>
      <c r="L236" s="5338"/>
      <c r="M236" s="5338"/>
      <c r="N236" s="5338"/>
      <c r="O236" s="5338"/>
      <c r="P236" s="5338"/>
      <c r="Q236" s="5346"/>
      <c r="R236" s="796"/>
      <c r="S236" s="736"/>
      <c r="T236" s="736"/>
      <c r="U236" s="737"/>
      <c r="V236" s="738"/>
      <c r="W236" s="738"/>
      <c r="X236" s="739"/>
      <c r="Y236" s="739"/>
      <c r="Z236" s="739"/>
      <c r="AA236" s="740"/>
      <c r="AB236" s="165"/>
      <c r="AC236" s="166"/>
      <c r="AD236" s="166"/>
      <c r="AE236" s="5417"/>
    </row>
    <row r="237" spans="1:31" ht="37.5" customHeight="1">
      <c r="A237" s="5367"/>
      <c r="B237" s="5333" t="s">
        <v>235</v>
      </c>
      <c r="C237" s="5336" t="s">
        <v>236</v>
      </c>
      <c r="D237" s="5336" t="s">
        <v>237</v>
      </c>
      <c r="E237" s="5336" t="s">
        <v>326</v>
      </c>
      <c r="F237" s="5341" t="s">
        <v>239</v>
      </c>
      <c r="G237" s="5336" t="s">
        <v>240</v>
      </c>
      <c r="H237" s="5336" t="s">
        <v>257</v>
      </c>
      <c r="I237" s="5336" t="s">
        <v>2125</v>
      </c>
      <c r="J237" s="5336" t="s">
        <v>1796</v>
      </c>
      <c r="K237" s="5336" t="s">
        <v>2126</v>
      </c>
      <c r="L237" s="5343">
        <v>2</v>
      </c>
      <c r="M237" s="5399">
        <v>2</v>
      </c>
      <c r="N237" s="5343">
        <v>2</v>
      </c>
      <c r="O237" s="5336" t="s">
        <v>2127</v>
      </c>
      <c r="P237" s="5336" t="s">
        <v>2128</v>
      </c>
      <c r="Q237" s="5370" t="s">
        <v>2129</v>
      </c>
      <c r="R237" s="792"/>
      <c r="S237" s="734"/>
      <c r="T237" s="734"/>
      <c r="U237" s="741"/>
      <c r="V237" s="731"/>
      <c r="W237" s="731"/>
      <c r="X237" s="732"/>
      <c r="Y237" s="732"/>
      <c r="Z237" s="732"/>
      <c r="AA237" s="742"/>
      <c r="AB237" s="414"/>
      <c r="AC237" s="174"/>
      <c r="AD237" s="174"/>
      <c r="AE237" s="5415"/>
    </row>
    <row r="238" spans="1:31" ht="37.5" customHeight="1">
      <c r="A238" s="5367"/>
      <c r="B238" s="5334"/>
      <c r="C238" s="5337"/>
      <c r="D238" s="5337"/>
      <c r="E238" s="5337"/>
      <c r="F238" s="5337"/>
      <c r="G238" s="5337"/>
      <c r="H238" s="5337"/>
      <c r="I238" s="5337"/>
      <c r="J238" s="5337"/>
      <c r="K238" s="5337"/>
      <c r="L238" s="5337"/>
      <c r="M238" s="5337"/>
      <c r="N238" s="5337"/>
      <c r="O238" s="5337"/>
      <c r="P238" s="5337"/>
      <c r="Q238" s="5345"/>
      <c r="R238" s="790"/>
      <c r="S238" s="724"/>
      <c r="T238" s="724"/>
      <c r="U238" s="798"/>
      <c r="V238" s="725"/>
      <c r="W238" s="725"/>
      <c r="X238" s="726"/>
      <c r="Y238" s="726"/>
      <c r="Z238" s="726"/>
      <c r="AA238" s="727"/>
      <c r="AB238" s="170"/>
      <c r="AC238" s="282"/>
      <c r="AD238" s="282"/>
      <c r="AE238" s="5416"/>
    </row>
    <row r="239" spans="1:31" ht="37.5" customHeight="1">
      <c r="A239" s="5367"/>
      <c r="B239" s="5334"/>
      <c r="C239" s="5337"/>
      <c r="D239" s="5337"/>
      <c r="E239" s="5337"/>
      <c r="F239" s="5337"/>
      <c r="G239" s="5337"/>
      <c r="H239" s="5337"/>
      <c r="I239" s="5337"/>
      <c r="J239" s="5337"/>
      <c r="K239" s="5337"/>
      <c r="L239" s="5337"/>
      <c r="M239" s="5337"/>
      <c r="N239" s="5337"/>
      <c r="O239" s="5337"/>
      <c r="P239" s="5337"/>
      <c r="Q239" s="5345"/>
      <c r="R239" s="791"/>
      <c r="S239" s="729"/>
      <c r="T239" s="729"/>
      <c r="U239" s="730"/>
      <c r="V239" s="731"/>
      <c r="W239" s="731"/>
      <c r="X239" s="732"/>
      <c r="Y239" s="726"/>
      <c r="Z239" s="726"/>
      <c r="AA239" s="727"/>
      <c r="AB239" s="170"/>
      <c r="AC239" s="282"/>
      <c r="AD239" s="282"/>
      <c r="AE239" s="5416"/>
    </row>
    <row r="240" spans="1:31" ht="37.5" customHeight="1">
      <c r="A240" s="5367"/>
      <c r="B240" s="5334"/>
      <c r="C240" s="5337"/>
      <c r="D240" s="5337"/>
      <c r="E240" s="5337"/>
      <c r="F240" s="5337"/>
      <c r="G240" s="5337"/>
      <c r="H240" s="5337"/>
      <c r="I240" s="5337"/>
      <c r="J240" s="5337"/>
      <c r="K240" s="5337"/>
      <c r="L240" s="5337"/>
      <c r="M240" s="5337"/>
      <c r="N240" s="5337"/>
      <c r="O240" s="5337"/>
      <c r="P240" s="5337"/>
      <c r="Q240" s="5345"/>
      <c r="R240" s="792"/>
      <c r="S240" s="734"/>
      <c r="T240" s="734"/>
      <c r="U240" s="730"/>
      <c r="V240" s="731"/>
      <c r="W240" s="731"/>
      <c r="X240" s="732"/>
      <c r="Y240" s="726"/>
      <c r="Z240" s="726"/>
      <c r="AA240" s="727"/>
      <c r="AB240" s="170"/>
      <c r="AC240" s="282"/>
      <c r="AD240" s="282"/>
      <c r="AE240" s="5416"/>
    </row>
    <row r="241" spans="1:31" ht="37.5" customHeight="1">
      <c r="A241" s="5367"/>
      <c r="B241" s="5335"/>
      <c r="C241" s="5338"/>
      <c r="D241" s="5338"/>
      <c r="E241" s="5338"/>
      <c r="F241" s="5338"/>
      <c r="G241" s="5338"/>
      <c r="H241" s="5338"/>
      <c r="I241" s="5338"/>
      <c r="J241" s="5337"/>
      <c r="K241" s="5338"/>
      <c r="L241" s="5338"/>
      <c r="M241" s="5338"/>
      <c r="N241" s="5338"/>
      <c r="O241" s="5338"/>
      <c r="P241" s="5338"/>
      <c r="Q241" s="5346"/>
      <c r="R241" s="796"/>
      <c r="S241" s="736"/>
      <c r="T241" s="736"/>
      <c r="U241" s="737"/>
      <c r="V241" s="738"/>
      <c r="W241" s="738"/>
      <c r="X241" s="739"/>
      <c r="Y241" s="739"/>
      <c r="Z241" s="739"/>
      <c r="AA241" s="740"/>
      <c r="AB241" s="165"/>
      <c r="AC241" s="166"/>
      <c r="AD241" s="166"/>
      <c r="AE241" s="5417"/>
    </row>
    <row r="242" spans="1:31" ht="37.5" customHeight="1">
      <c r="A242" s="5367"/>
      <c r="B242" s="5333" t="s">
        <v>235</v>
      </c>
      <c r="C242" s="5336" t="s">
        <v>236</v>
      </c>
      <c r="D242" s="5336" t="s">
        <v>237</v>
      </c>
      <c r="E242" s="5336" t="s">
        <v>326</v>
      </c>
      <c r="F242" s="5341" t="s">
        <v>239</v>
      </c>
      <c r="G242" s="5336" t="s">
        <v>240</v>
      </c>
      <c r="H242" s="5336" t="s">
        <v>257</v>
      </c>
      <c r="I242" s="5360" t="s">
        <v>2130</v>
      </c>
      <c r="J242" s="5347" t="s">
        <v>1801</v>
      </c>
      <c r="K242" s="5336" t="s">
        <v>2131</v>
      </c>
      <c r="L242" s="5343">
        <v>10</v>
      </c>
      <c r="M242" s="5399">
        <v>15</v>
      </c>
      <c r="N242" s="5343">
        <v>18</v>
      </c>
      <c r="O242" s="5336" t="s">
        <v>2132</v>
      </c>
      <c r="P242" s="5336" t="s">
        <v>2133</v>
      </c>
      <c r="Q242" s="5370" t="s">
        <v>2129</v>
      </c>
      <c r="R242" s="792"/>
      <c r="S242" s="734"/>
      <c r="T242" s="734"/>
      <c r="U242" s="741"/>
      <c r="V242" s="731"/>
      <c r="W242" s="731"/>
      <c r="X242" s="732"/>
      <c r="Y242" s="732"/>
      <c r="Z242" s="732"/>
      <c r="AA242" s="742"/>
      <c r="AB242" s="414"/>
      <c r="AC242" s="168"/>
      <c r="AD242" s="168"/>
      <c r="AE242" s="5415"/>
    </row>
    <row r="243" spans="1:31" ht="37.5" customHeight="1">
      <c r="A243" s="5367"/>
      <c r="B243" s="5334"/>
      <c r="C243" s="5337"/>
      <c r="D243" s="5337"/>
      <c r="E243" s="5337"/>
      <c r="F243" s="5337"/>
      <c r="G243" s="5337"/>
      <c r="H243" s="5337"/>
      <c r="I243" s="5361"/>
      <c r="J243" s="5337"/>
      <c r="K243" s="5337"/>
      <c r="L243" s="5337"/>
      <c r="M243" s="5337"/>
      <c r="N243" s="5337"/>
      <c r="O243" s="5337"/>
      <c r="P243" s="5337"/>
      <c r="Q243" s="5345"/>
      <c r="R243" s="790"/>
      <c r="S243" s="724"/>
      <c r="T243" s="724"/>
      <c r="U243" s="798"/>
      <c r="V243" s="725"/>
      <c r="W243" s="725"/>
      <c r="X243" s="726"/>
      <c r="Y243" s="726"/>
      <c r="Z243" s="726"/>
      <c r="AA243" s="727"/>
      <c r="AB243" s="170"/>
      <c r="AC243" s="170"/>
      <c r="AD243" s="171"/>
      <c r="AE243" s="5416"/>
    </row>
    <row r="244" spans="1:31" ht="37.5" customHeight="1">
      <c r="A244" s="5367"/>
      <c r="B244" s="5334"/>
      <c r="C244" s="5337"/>
      <c r="D244" s="5337"/>
      <c r="E244" s="5337"/>
      <c r="F244" s="5337"/>
      <c r="G244" s="5337"/>
      <c r="H244" s="5337"/>
      <c r="I244" s="5361"/>
      <c r="J244" s="5337"/>
      <c r="K244" s="5337"/>
      <c r="L244" s="5337"/>
      <c r="M244" s="5337"/>
      <c r="N244" s="5337"/>
      <c r="O244" s="5337"/>
      <c r="P244" s="5337"/>
      <c r="Q244" s="5345"/>
      <c r="R244" s="790"/>
      <c r="S244" s="724"/>
      <c r="T244" s="724"/>
      <c r="U244" s="798"/>
      <c r="V244" s="725"/>
      <c r="W244" s="725"/>
      <c r="X244" s="726"/>
      <c r="Y244" s="726"/>
      <c r="Z244" s="726"/>
      <c r="AA244" s="727"/>
      <c r="AB244" s="170"/>
      <c r="AC244" s="170"/>
      <c r="AD244" s="282"/>
      <c r="AE244" s="5416"/>
    </row>
    <row r="245" spans="1:31" ht="37.5" customHeight="1">
      <c r="A245" s="5367"/>
      <c r="B245" s="5334"/>
      <c r="C245" s="5337"/>
      <c r="D245" s="5337"/>
      <c r="E245" s="5337"/>
      <c r="F245" s="5337"/>
      <c r="G245" s="5337"/>
      <c r="H245" s="5337"/>
      <c r="I245" s="5361"/>
      <c r="J245" s="5337"/>
      <c r="K245" s="5337"/>
      <c r="L245" s="5337"/>
      <c r="M245" s="5337"/>
      <c r="N245" s="5337"/>
      <c r="O245" s="5337"/>
      <c r="P245" s="5337"/>
      <c r="Q245" s="5345"/>
      <c r="R245" s="790"/>
      <c r="S245" s="724"/>
      <c r="T245" s="724"/>
      <c r="U245" s="798"/>
      <c r="V245" s="725"/>
      <c r="W245" s="725"/>
      <c r="X245" s="726"/>
      <c r="Y245" s="726"/>
      <c r="Z245" s="726"/>
      <c r="AA245" s="727"/>
      <c r="AB245" s="170"/>
      <c r="AC245" s="170"/>
      <c r="AD245" s="282"/>
      <c r="AE245" s="5416"/>
    </row>
    <row r="246" spans="1:31" ht="37.5" customHeight="1">
      <c r="A246" s="5367"/>
      <c r="B246" s="5335"/>
      <c r="C246" s="5338"/>
      <c r="D246" s="5338"/>
      <c r="E246" s="5338"/>
      <c r="F246" s="5338"/>
      <c r="G246" s="5338"/>
      <c r="H246" s="5338"/>
      <c r="I246" s="5362"/>
      <c r="J246" s="5338"/>
      <c r="K246" s="5338"/>
      <c r="L246" s="5338"/>
      <c r="M246" s="5338"/>
      <c r="N246" s="5338"/>
      <c r="O246" s="5338"/>
      <c r="P246" s="5338"/>
      <c r="Q246" s="5346"/>
      <c r="R246" s="796"/>
      <c r="S246" s="736"/>
      <c r="T246" s="736"/>
      <c r="U246" s="737"/>
      <c r="V246" s="738"/>
      <c r="W246" s="738"/>
      <c r="X246" s="739"/>
      <c r="Y246" s="739"/>
      <c r="Z246" s="739"/>
      <c r="AA246" s="740"/>
      <c r="AB246" s="165"/>
      <c r="AC246" s="165"/>
      <c r="AD246" s="166"/>
      <c r="AE246" s="5417"/>
    </row>
    <row r="247" spans="1:31" ht="37.5" customHeight="1">
      <c r="A247" s="5367"/>
      <c r="B247" s="5352" t="s">
        <v>235</v>
      </c>
      <c r="C247" s="5347" t="s">
        <v>236</v>
      </c>
      <c r="D247" s="5347" t="s">
        <v>237</v>
      </c>
      <c r="E247" s="5347" t="s">
        <v>326</v>
      </c>
      <c r="F247" s="5353" t="s">
        <v>239</v>
      </c>
      <c r="G247" s="5347" t="s">
        <v>240</v>
      </c>
      <c r="H247" s="5347" t="s">
        <v>257</v>
      </c>
      <c r="I247" s="5353" t="s">
        <v>2134</v>
      </c>
      <c r="J247" s="5347" t="s">
        <v>2135</v>
      </c>
      <c r="K247" s="5347" t="s">
        <v>2136</v>
      </c>
      <c r="L247" s="5399">
        <v>7</v>
      </c>
      <c r="M247" s="5399">
        <v>8</v>
      </c>
      <c r="N247" s="5399">
        <v>8</v>
      </c>
      <c r="O247" s="5347" t="s">
        <v>2137</v>
      </c>
      <c r="P247" s="5347" t="s">
        <v>2138</v>
      </c>
      <c r="Q247" s="5394" t="s">
        <v>2129</v>
      </c>
      <c r="R247" s="793"/>
      <c r="S247" s="794"/>
      <c r="T247" s="794"/>
      <c r="U247" s="1729"/>
      <c r="V247" s="795"/>
      <c r="W247" s="795"/>
      <c r="X247" s="746"/>
      <c r="Y247" s="746"/>
      <c r="Z247" s="746"/>
      <c r="AA247" s="801"/>
      <c r="AB247" s="1719"/>
      <c r="AC247" s="1719"/>
      <c r="AD247" s="410"/>
      <c r="AE247" s="1715"/>
    </row>
    <row r="248" spans="1:31" ht="37.5" customHeight="1">
      <c r="A248" s="5367"/>
      <c r="B248" s="5334"/>
      <c r="C248" s="5337"/>
      <c r="D248" s="5337"/>
      <c r="E248" s="5337"/>
      <c r="F248" s="5337"/>
      <c r="G248" s="5337"/>
      <c r="H248" s="5337"/>
      <c r="I248" s="5337"/>
      <c r="J248" s="5337"/>
      <c r="K248" s="5337"/>
      <c r="L248" s="5337"/>
      <c r="M248" s="5337"/>
      <c r="N248" s="5337"/>
      <c r="O248" s="5337"/>
      <c r="P248" s="5337"/>
      <c r="Q248" s="5345"/>
      <c r="R248" s="793"/>
      <c r="S248" s="794"/>
      <c r="T248" s="794"/>
      <c r="U248" s="1729"/>
      <c r="V248" s="795"/>
      <c r="W248" s="795"/>
      <c r="X248" s="746"/>
      <c r="Y248" s="746"/>
      <c r="Z248" s="746"/>
      <c r="AA248" s="801"/>
      <c r="AB248" s="1719"/>
      <c r="AC248" s="1719"/>
      <c r="AD248" s="410"/>
      <c r="AE248" s="1715"/>
    </row>
    <row r="249" spans="1:31" ht="37.5" customHeight="1">
      <c r="A249" s="5367"/>
      <c r="B249" s="5334"/>
      <c r="C249" s="5337"/>
      <c r="D249" s="5337"/>
      <c r="E249" s="5337"/>
      <c r="F249" s="5337"/>
      <c r="G249" s="5337"/>
      <c r="H249" s="5337"/>
      <c r="I249" s="5337"/>
      <c r="J249" s="5337"/>
      <c r="K249" s="5337"/>
      <c r="L249" s="5337"/>
      <c r="M249" s="5337"/>
      <c r="N249" s="5337"/>
      <c r="O249" s="5337"/>
      <c r="P249" s="5337"/>
      <c r="Q249" s="5345"/>
      <c r="R249" s="793"/>
      <c r="S249" s="794"/>
      <c r="T249" s="794"/>
      <c r="U249" s="1729"/>
      <c r="V249" s="795"/>
      <c r="W249" s="795"/>
      <c r="X249" s="746"/>
      <c r="Y249" s="746"/>
      <c r="Z249" s="746"/>
      <c r="AA249" s="801"/>
      <c r="AB249" s="1719"/>
      <c r="AC249" s="1719"/>
      <c r="AD249" s="410"/>
      <c r="AE249" s="1715"/>
    </row>
    <row r="250" spans="1:31" ht="37.5" customHeight="1">
      <c r="A250" s="5367"/>
      <c r="B250" s="5334"/>
      <c r="C250" s="5337"/>
      <c r="D250" s="5337"/>
      <c r="E250" s="5337"/>
      <c r="F250" s="5337"/>
      <c r="G250" s="5337"/>
      <c r="H250" s="5337"/>
      <c r="I250" s="5337"/>
      <c r="J250" s="5337"/>
      <c r="K250" s="5337"/>
      <c r="L250" s="5337"/>
      <c r="M250" s="5337"/>
      <c r="N250" s="5337"/>
      <c r="O250" s="5337"/>
      <c r="P250" s="5337"/>
      <c r="Q250" s="5345"/>
      <c r="R250" s="793"/>
      <c r="S250" s="794"/>
      <c r="T250" s="794"/>
      <c r="U250" s="1729"/>
      <c r="V250" s="795"/>
      <c r="W250" s="795"/>
      <c r="X250" s="746"/>
      <c r="Y250" s="746"/>
      <c r="Z250" s="746"/>
      <c r="AA250" s="801"/>
      <c r="AB250" s="1719"/>
      <c r="AC250" s="1719"/>
      <c r="AD250" s="410"/>
      <c r="AE250" s="1715"/>
    </row>
    <row r="251" spans="1:31" ht="37.5" customHeight="1">
      <c r="A251" s="5367"/>
      <c r="B251" s="5335"/>
      <c r="C251" s="5338"/>
      <c r="D251" s="5338"/>
      <c r="E251" s="5338"/>
      <c r="F251" s="5338"/>
      <c r="G251" s="5338"/>
      <c r="H251" s="5338"/>
      <c r="I251" s="5338"/>
      <c r="J251" s="5338"/>
      <c r="K251" s="5338"/>
      <c r="L251" s="5338"/>
      <c r="M251" s="5338"/>
      <c r="N251" s="5338"/>
      <c r="O251" s="5338"/>
      <c r="P251" s="5338"/>
      <c r="Q251" s="5346"/>
      <c r="R251" s="802"/>
      <c r="S251" s="803"/>
      <c r="T251" s="803"/>
      <c r="U251" s="1729"/>
      <c r="V251" s="795"/>
      <c r="W251" s="795"/>
      <c r="X251" s="746"/>
      <c r="Y251" s="746"/>
      <c r="Z251" s="746"/>
      <c r="AA251" s="801"/>
      <c r="AB251" s="1719"/>
      <c r="AC251" s="1719"/>
      <c r="AD251" s="410"/>
      <c r="AE251" s="1715"/>
    </row>
    <row r="252" spans="1:31" ht="37.5" customHeight="1">
      <c r="A252" s="5367"/>
      <c r="B252" s="5352" t="s">
        <v>235</v>
      </c>
      <c r="C252" s="5347" t="s">
        <v>236</v>
      </c>
      <c r="D252" s="5347" t="s">
        <v>237</v>
      </c>
      <c r="E252" s="5347" t="s">
        <v>326</v>
      </c>
      <c r="F252" s="5353" t="s">
        <v>239</v>
      </c>
      <c r="G252" s="5347" t="s">
        <v>240</v>
      </c>
      <c r="H252" s="5347" t="s">
        <v>257</v>
      </c>
      <c r="I252" s="5360" t="s">
        <v>2139</v>
      </c>
      <c r="J252" s="5347" t="s">
        <v>338</v>
      </c>
      <c r="K252" s="5347" t="s">
        <v>2140</v>
      </c>
      <c r="L252" s="5399">
        <v>0</v>
      </c>
      <c r="M252" s="5399">
        <v>1</v>
      </c>
      <c r="N252" s="5399">
        <v>1</v>
      </c>
      <c r="O252" s="5347" t="s">
        <v>2141</v>
      </c>
      <c r="P252" s="5347" t="s">
        <v>2142</v>
      </c>
      <c r="Q252" s="5394" t="s">
        <v>2143</v>
      </c>
      <c r="R252" s="792"/>
      <c r="S252" s="734"/>
      <c r="T252" s="734"/>
      <c r="U252" s="780"/>
      <c r="V252" s="762"/>
      <c r="W252" s="762"/>
      <c r="X252" s="763"/>
      <c r="Y252" s="732"/>
      <c r="Z252" s="732"/>
      <c r="AA252" s="765"/>
      <c r="AB252" s="178"/>
      <c r="AC252" s="181"/>
      <c r="AD252" s="181"/>
      <c r="AE252" s="5418"/>
    </row>
    <row r="253" spans="1:31" ht="37.5" customHeight="1">
      <c r="A253" s="5367"/>
      <c r="B253" s="5334"/>
      <c r="C253" s="5337"/>
      <c r="D253" s="5337"/>
      <c r="E253" s="5337"/>
      <c r="F253" s="5337"/>
      <c r="G253" s="5337"/>
      <c r="H253" s="5337"/>
      <c r="I253" s="5361"/>
      <c r="J253" s="5337"/>
      <c r="K253" s="5337"/>
      <c r="L253" s="5337"/>
      <c r="M253" s="5337"/>
      <c r="N253" s="5337"/>
      <c r="O253" s="5337"/>
      <c r="P253" s="5337"/>
      <c r="Q253" s="5345"/>
      <c r="R253" s="790"/>
      <c r="S253" s="724"/>
      <c r="T253" s="724"/>
      <c r="U253" s="798"/>
      <c r="V253" s="725"/>
      <c r="W253" s="725"/>
      <c r="X253" s="726"/>
      <c r="Y253" s="726"/>
      <c r="Z253" s="726"/>
      <c r="AA253" s="727"/>
      <c r="AB253" s="170"/>
      <c r="AC253" s="282"/>
      <c r="AD253" s="282"/>
      <c r="AE253" s="5416"/>
    </row>
    <row r="254" spans="1:31" ht="37.5" customHeight="1">
      <c r="A254" s="5367"/>
      <c r="B254" s="5334"/>
      <c r="C254" s="5337"/>
      <c r="D254" s="5337"/>
      <c r="E254" s="5337"/>
      <c r="F254" s="5337"/>
      <c r="G254" s="5337"/>
      <c r="H254" s="5337"/>
      <c r="I254" s="5361"/>
      <c r="J254" s="5337"/>
      <c r="K254" s="5337"/>
      <c r="L254" s="5337"/>
      <c r="M254" s="5337"/>
      <c r="N254" s="5337"/>
      <c r="O254" s="5337"/>
      <c r="P254" s="5337"/>
      <c r="Q254" s="5345"/>
      <c r="R254" s="790"/>
      <c r="S254" s="724"/>
      <c r="T254" s="724"/>
      <c r="U254" s="798"/>
      <c r="V254" s="725"/>
      <c r="W254" s="725"/>
      <c r="X254" s="726"/>
      <c r="Y254" s="726"/>
      <c r="Z254" s="726"/>
      <c r="AA254" s="727"/>
      <c r="AB254" s="170"/>
      <c r="AC254" s="282"/>
      <c r="AD254" s="282"/>
      <c r="AE254" s="5416"/>
    </row>
    <row r="255" spans="1:31" ht="37.5" customHeight="1">
      <c r="A255" s="5367"/>
      <c r="B255" s="5334"/>
      <c r="C255" s="5337"/>
      <c r="D255" s="5337"/>
      <c r="E255" s="5337"/>
      <c r="F255" s="5337"/>
      <c r="G255" s="5337"/>
      <c r="H255" s="5337"/>
      <c r="I255" s="5361"/>
      <c r="J255" s="5337"/>
      <c r="K255" s="5337"/>
      <c r="L255" s="5337"/>
      <c r="M255" s="5337"/>
      <c r="N255" s="5337"/>
      <c r="O255" s="5337"/>
      <c r="P255" s="5337"/>
      <c r="Q255" s="5345"/>
      <c r="R255" s="790"/>
      <c r="S255" s="724"/>
      <c r="T255" s="724"/>
      <c r="U255" s="798"/>
      <c r="V255" s="725"/>
      <c r="W255" s="725"/>
      <c r="X255" s="726"/>
      <c r="Y255" s="726"/>
      <c r="Z255" s="726"/>
      <c r="AA255" s="727"/>
      <c r="AB255" s="170"/>
      <c r="AC255" s="282"/>
      <c r="AD255" s="282"/>
      <c r="AE255" s="5416"/>
    </row>
    <row r="256" spans="1:31" ht="37.5" customHeight="1">
      <c r="A256" s="5367"/>
      <c r="B256" s="5335"/>
      <c r="C256" s="5338"/>
      <c r="D256" s="5338"/>
      <c r="E256" s="5338"/>
      <c r="F256" s="5338"/>
      <c r="G256" s="5338"/>
      <c r="H256" s="5338"/>
      <c r="I256" s="5362"/>
      <c r="J256" s="5338"/>
      <c r="K256" s="5338"/>
      <c r="L256" s="5338"/>
      <c r="M256" s="5338"/>
      <c r="N256" s="5338"/>
      <c r="O256" s="5338"/>
      <c r="P256" s="5338"/>
      <c r="Q256" s="5346"/>
      <c r="R256" s="796"/>
      <c r="S256" s="736"/>
      <c r="T256" s="736"/>
      <c r="U256" s="737"/>
      <c r="V256" s="738"/>
      <c r="W256" s="738"/>
      <c r="X256" s="739"/>
      <c r="Y256" s="739"/>
      <c r="Z256" s="739"/>
      <c r="AA256" s="740"/>
      <c r="AB256" s="165"/>
      <c r="AC256" s="166"/>
      <c r="AD256" s="166"/>
      <c r="AE256" s="5417"/>
    </row>
    <row r="257" spans="1:31" ht="37.5" customHeight="1">
      <c r="A257" s="5367"/>
      <c r="B257" s="5333" t="s">
        <v>235</v>
      </c>
      <c r="C257" s="5336" t="s">
        <v>236</v>
      </c>
      <c r="D257" s="5336" t="s">
        <v>237</v>
      </c>
      <c r="E257" s="5336" t="s">
        <v>326</v>
      </c>
      <c r="F257" s="5341" t="s">
        <v>239</v>
      </c>
      <c r="G257" s="5336" t="s">
        <v>240</v>
      </c>
      <c r="H257" s="5336" t="s">
        <v>257</v>
      </c>
      <c r="I257" s="5336" t="s">
        <v>2144</v>
      </c>
      <c r="J257" s="5347" t="s">
        <v>1814</v>
      </c>
      <c r="K257" s="5336" t="s">
        <v>2145</v>
      </c>
      <c r="L257" s="5343">
        <v>3</v>
      </c>
      <c r="M257" s="5399">
        <v>3</v>
      </c>
      <c r="N257" s="5343">
        <v>3</v>
      </c>
      <c r="O257" s="5336" t="s">
        <v>2146</v>
      </c>
      <c r="P257" s="5336" t="s">
        <v>2147</v>
      </c>
      <c r="Q257" s="5370" t="s">
        <v>2124</v>
      </c>
      <c r="R257" s="792"/>
      <c r="S257" s="734"/>
      <c r="T257" s="734"/>
      <c r="U257" s="741"/>
      <c r="V257" s="731"/>
      <c r="W257" s="731"/>
      <c r="X257" s="732"/>
      <c r="Y257" s="732"/>
      <c r="Z257" s="732"/>
      <c r="AA257" s="742"/>
      <c r="AB257" s="414"/>
      <c r="AC257" s="174"/>
      <c r="AD257" s="174"/>
      <c r="AE257" s="5415" t="s">
        <v>2148</v>
      </c>
    </row>
    <row r="258" spans="1:31" ht="37.5" customHeight="1">
      <c r="A258" s="5367"/>
      <c r="B258" s="5334"/>
      <c r="C258" s="5337"/>
      <c r="D258" s="5337"/>
      <c r="E258" s="5337"/>
      <c r="F258" s="5337"/>
      <c r="G258" s="5337"/>
      <c r="H258" s="5337"/>
      <c r="I258" s="5337"/>
      <c r="J258" s="5337"/>
      <c r="K258" s="5337"/>
      <c r="L258" s="5337"/>
      <c r="M258" s="5337"/>
      <c r="N258" s="5337"/>
      <c r="O258" s="5337"/>
      <c r="P258" s="5337"/>
      <c r="Q258" s="5345"/>
      <c r="R258" s="790"/>
      <c r="S258" s="724"/>
      <c r="T258" s="724"/>
      <c r="U258" s="798"/>
      <c r="V258" s="725"/>
      <c r="W258" s="725"/>
      <c r="X258" s="726"/>
      <c r="Y258" s="726"/>
      <c r="Z258" s="726"/>
      <c r="AA258" s="727"/>
      <c r="AB258" s="170"/>
      <c r="AC258" s="282"/>
      <c r="AD258" s="282"/>
      <c r="AE258" s="5416"/>
    </row>
    <row r="259" spans="1:31" ht="37.5" customHeight="1">
      <c r="A259" s="5367"/>
      <c r="B259" s="5334"/>
      <c r="C259" s="5337"/>
      <c r="D259" s="5337"/>
      <c r="E259" s="5337"/>
      <c r="F259" s="5337"/>
      <c r="G259" s="5337"/>
      <c r="H259" s="5337"/>
      <c r="I259" s="5337"/>
      <c r="J259" s="5337"/>
      <c r="K259" s="5337"/>
      <c r="L259" s="5337"/>
      <c r="M259" s="5337"/>
      <c r="N259" s="5337"/>
      <c r="O259" s="5337"/>
      <c r="P259" s="5337"/>
      <c r="Q259" s="5345"/>
      <c r="R259" s="791"/>
      <c r="S259" s="729"/>
      <c r="T259" s="729"/>
      <c r="U259" s="730"/>
      <c r="V259" s="731"/>
      <c r="W259" s="731"/>
      <c r="X259" s="732"/>
      <c r="Y259" s="726"/>
      <c r="Z259" s="726"/>
      <c r="AA259" s="727"/>
      <c r="AB259" s="170"/>
      <c r="AC259" s="282"/>
      <c r="AD259" s="282"/>
      <c r="AE259" s="5416"/>
    </row>
    <row r="260" spans="1:31" ht="37.5" customHeight="1">
      <c r="A260" s="5367"/>
      <c r="B260" s="5334"/>
      <c r="C260" s="5337"/>
      <c r="D260" s="5337"/>
      <c r="E260" s="5337"/>
      <c r="F260" s="5337"/>
      <c r="G260" s="5337"/>
      <c r="H260" s="5337"/>
      <c r="I260" s="5337"/>
      <c r="J260" s="5337"/>
      <c r="K260" s="5337"/>
      <c r="L260" s="5337"/>
      <c r="M260" s="5337"/>
      <c r="N260" s="5337"/>
      <c r="O260" s="5337"/>
      <c r="P260" s="5337"/>
      <c r="Q260" s="5345"/>
      <c r="R260" s="792"/>
      <c r="S260" s="734"/>
      <c r="T260" s="734"/>
      <c r="U260" s="730"/>
      <c r="V260" s="731"/>
      <c r="W260" s="731"/>
      <c r="X260" s="732"/>
      <c r="Y260" s="726"/>
      <c r="Z260" s="726"/>
      <c r="AA260" s="727"/>
      <c r="AB260" s="170"/>
      <c r="AC260" s="282"/>
      <c r="AD260" s="282"/>
      <c r="AE260" s="5416"/>
    </row>
    <row r="261" spans="1:31" ht="37.5" customHeight="1">
      <c r="A261" s="5368"/>
      <c r="B261" s="5335"/>
      <c r="C261" s="5338"/>
      <c r="D261" s="5338"/>
      <c r="E261" s="5338"/>
      <c r="F261" s="5338"/>
      <c r="G261" s="5338"/>
      <c r="H261" s="5338"/>
      <c r="I261" s="5338"/>
      <c r="J261" s="5338"/>
      <c r="K261" s="5338"/>
      <c r="L261" s="5338"/>
      <c r="M261" s="5338"/>
      <c r="N261" s="5338"/>
      <c r="O261" s="5338"/>
      <c r="P261" s="5338"/>
      <c r="Q261" s="5346"/>
      <c r="R261" s="796"/>
      <c r="S261" s="736"/>
      <c r="T261" s="736"/>
      <c r="U261" s="737"/>
      <c r="V261" s="738"/>
      <c r="W261" s="738"/>
      <c r="X261" s="739"/>
      <c r="Y261" s="739"/>
      <c r="Z261" s="739"/>
      <c r="AA261" s="740"/>
      <c r="AB261" s="165"/>
      <c r="AC261" s="166"/>
      <c r="AD261" s="166"/>
      <c r="AE261" s="5417"/>
    </row>
    <row r="262" spans="1:31" ht="37.5" customHeight="1">
      <c r="A262" s="2158"/>
      <c r="B262" s="785"/>
      <c r="C262" s="785"/>
      <c r="D262" s="785"/>
      <c r="E262" s="785"/>
      <c r="F262" s="785"/>
      <c r="G262" s="785"/>
      <c r="H262" s="785"/>
      <c r="I262" s="785"/>
      <c r="J262" s="785"/>
      <c r="K262" s="785"/>
      <c r="L262" s="785"/>
      <c r="M262" s="785"/>
      <c r="N262" s="785"/>
      <c r="O262" s="785"/>
      <c r="P262" s="785"/>
      <c r="Q262" s="786"/>
      <c r="R262" s="5473" t="s">
        <v>1819</v>
      </c>
      <c r="S262" s="5474"/>
      <c r="T262" s="5474"/>
      <c r="U262" s="5474"/>
      <c r="V262" s="5474"/>
      <c r="W262" s="5474"/>
      <c r="X262" s="5474"/>
      <c r="Y262" s="5475"/>
      <c r="Z262" s="787" t="s">
        <v>340</v>
      </c>
      <c r="AA262" s="788">
        <f>SUM(AA222:AA261)</f>
        <v>0</v>
      </c>
      <c r="AB262" s="5476"/>
      <c r="AC262" s="5474"/>
      <c r="AD262" s="5474"/>
      <c r="AE262" s="5477"/>
    </row>
    <row r="263" spans="1:31" ht="37.5" customHeight="1">
      <c r="A263" s="5366" t="s">
        <v>2149</v>
      </c>
      <c r="B263" s="5351" t="s">
        <v>235</v>
      </c>
      <c r="C263" s="5355" t="s">
        <v>236</v>
      </c>
      <c r="D263" s="5355" t="s">
        <v>237</v>
      </c>
      <c r="E263" s="5355" t="s">
        <v>289</v>
      </c>
      <c r="F263" s="5364" t="s">
        <v>239</v>
      </c>
      <c r="G263" s="5355" t="s">
        <v>240</v>
      </c>
      <c r="H263" s="5355" t="s">
        <v>257</v>
      </c>
      <c r="I263" s="5360" t="s">
        <v>2150</v>
      </c>
      <c r="J263" s="5355" t="s">
        <v>1821</v>
      </c>
      <c r="K263" s="5355" t="s">
        <v>2151</v>
      </c>
      <c r="L263" s="5363">
        <v>0</v>
      </c>
      <c r="M263" s="5363">
        <v>1</v>
      </c>
      <c r="N263" s="5363">
        <v>1</v>
      </c>
      <c r="O263" s="5355" t="s">
        <v>2152</v>
      </c>
      <c r="P263" s="5355" t="s">
        <v>2153</v>
      </c>
      <c r="Q263" s="5392" t="s">
        <v>2154</v>
      </c>
      <c r="R263" s="789"/>
      <c r="S263" s="718"/>
      <c r="T263" s="718"/>
      <c r="U263" s="719"/>
      <c r="V263" s="720"/>
      <c r="W263" s="720"/>
      <c r="X263" s="721"/>
      <c r="Y263" s="721"/>
      <c r="Z263" s="721"/>
      <c r="AA263" s="722"/>
      <c r="AB263" s="155"/>
      <c r="AC263" s="156"/>
      <c r="AD263" s="156"/>
      <c r="AE263" s="5428"/>
    </row>
    <row r="264" spans="1:31" ht="37.5" customHeight="1">
      <c r="A264" s="5367"/>
      <c r="B264" s="5334"/>
      <c r="C264" s="5337"/>
      <c r="D264" s="5337"/>
      <c r="E264" s="5337"/>
      <c r="F264" s="5337"/>
      <c r="G264" s="5337"/>
      <c r="H264" s="5337"/>
      <c r="I264" s="5361"/>
      <c r="J264" s="5337"/>
      <c r="K264" s="5337"/>
      <c r="L264" s="5337"/>
      <c r="M264" s="5337"/>
      <c r="N264" s="5337"/>
      <c r="O264" s="5337"/>
      <c r="P264" s="5337"/>
      <c r="Q264" s="5345"/>
      <c r="R264" s="790"/>
      <c r="S264" s="724"/>
      <c r="T264" s="724"/>
      <c r="U264" s="798"/>
      <c r="V264" s="725"/>
      <c r="W264" s="725"/>
      <c r="X264" s="726"/>
      <c r="Y264" s="726"/>
      <c r="Z264" s="726"/>
      <c r="AA264" s="727"/>
      <c r="AB264" s="170"/>
      <c r="AC264" s="282"/>
      <c r="AD264" s="282"/>
      <c r="AE264" s="5416"/>
    </row>
    <row r="265" spans="1:31" ht="37.5" customHeight="1">
      <c r="A265" s="5367"/>
      <c r="B265" s="5334"/>
      <c r="C265" s="5337"/>
      <c r="D265" s="5337"/>
      <c r="E265" s="5337"/>
      <c r="F265" s="5337"/>
      <c r="G265" s="5337"/>
      <c r="H265" s="5337"/>
      <c r="I265" s="5361"/>
      <c r="J265" s="5337"/>
      <c r="K265" s="5337"/>
      <c r="L265" s="5337"/>
      <c r="M265" s="5337"/>
      <c r="N265" s="5337"/>
      <c r="O265" s="5337"/>
      <c r="P265" s="5337"/>
      <c r="Q265" s="5345"/>
      <c r="R265" s="791"/>
      <c r="S265" s="729"/>
      <c r="T265" s="729"/>
      <c r="U265" s="730"/>
      <c r="V265" s="731"/>
      <c r="W265" s="731"/>
      <c r="X265" s="732"/>
      <c r="Y265" s="726"/>
      <c r="Z265" s="726"/>
      <c r="AA265" s="727"/>
      <c r="AB265" s="170"/>
      <c r="AC265" s="282"/>
      <c r="AD265" s="282"/>
      <c r="AE265" s="5416"/>
    </row>
    <row r="266" spans="1:31" ht="37.5" customHeight="1">
      <c r="A266" s="5367"/>
      <c r="B266" s="5334"/>
      <c r="C266" s="5337"/>
      <c r="D266" s="5337"/>
      <c r="E266" s="5337"/>
      <c r="F266" s="5337"/>
      <c r="G266" s="5337"/>
      <c r="H266" s="5337"/>
      <c r="I266" s="5361"/>
      <c r="J266" s="5337"/>
      <c r="K266" s="5337"/>
      <c r="L266" s="5337"/>
      <c r="M266" s="5337"/>
      <c r="N266" s="5337"/>
      <c r="O266" s="5337"/>
      <c r="P266" s="5337"/>
      <c r="Q266" s="5345"/>
      <c r="R266" s="792"/>
      <c r="S266" s="734"/>
      <c r="T266" s="734"/>
      <c r="U266" s="730"/>
      <c r="V266" s="731"/>
      <c r="W266" s="731"/>
      <c r="X266" s="732"/>
      <c r="Y266" s="726"/>
      <c r="Z266" s="726"/>
      <c r="AA266" s="727"/>
      <c r="AB266" s="170"/>
      <c r="AC266" s="282"/>
      <c r="AD266" s="282"/>
      <c r="AE266" s="5416"/>
    </row>
    <row r="267" spans="1:31" ht="37.5" customHeight="1">
      <c r="A267" s="5367"/>
      <c r="B267" s="5335"/>
      <c r="C267" s="5338"/>
      <c r="D267" s="5338"/>
      <c r="E267" s="5338"/>
      <c r="F267" s="5338"/>
      <c r="G267" s="5338"/>
      <c r="H267" s="5338"/>
      <c r="I267" s="5362"/>
      <c r="J267" s="5338"/>
      <c r="K267" s="5338"/>
      <c r="L267" s="5338"/>
      <c r="M267" s="5338"/>
      <c r="N267" s="5338"/>
      <c r="O267" s="5338"/>
      <c r="P267" s="5338"/>
      <c r="Q267" s="5346"/>
      <c r="R267" s="796"/>
      <c r="S267" s="736"/>
      <c r="T267" s="736"/>
      <c r="U267" s="737"/>
      <c r="V267" s="738"/>
      <c r="W267" s="738"/>
      <c r="X267" s="739"/>
      <c r="Y267" s="739"/>
      <c r="Z267" s="739"/>
      <c r="AA267" s="740"/>
      <c r="AB267" s="165"/>
      <c r="AC267" s="166"/>
      <c r="AD267" s="166"/>
      <c r="AE267" s="5417"/>
    </row>
    <row r="268" spans="1:31" ht="37.5" customHeight="1">
      <c r="A268" s="5367"/>
      <c r="B268" s="5333" t="s">
        <v>235</v>
      </c>
      <c r="C268" s="5336" t="s">
        <v>236</v>
      </c>
      <c r="D268" s="5336" t="s">
        <v>237</v>
      </c>
      <c r="E268" s="5336" t="s">
        <v>289</v>
      </c>
      <c r="F268" s="5341" t="s">
        <v>239</v>
      </c>
      <c r="G268" s="5336" t="s">
        <v>240</v>
      </c>
      <c r="H268" s="5336" t="s">
        <v>257</v>
      </c>
      <c r="I268" s="5336" t="s">
        <v>2155</v>
      </c>
      <c r="J268" s="5347" t="s">
        <v>1825</v>
      </c>
      <c r="K268" s="5340" t="s">
        <v>2156</v>
      </c>
      <c r="L268" s="5343">
        <v>0</v>
      </c>
      <c r="M268" s="5343">
        <v>4</v>
      </c>
      <c r="N268" s="5343">
        <v>4</v>
      </c>
      <c r="O268" s="5340" t="s">
        <v>2157</v>
      </c>
      <c r="P268" s="5340" t="s">
        <v>2158</v>
      </c>
      <c r="Q268" s="5393" t="s">
        <v>2159</v>
      </c>
      <c r="R268" s="792"/>
      <c r="S268" s="734"/>
      <c r="T268" s="734"/>
      <c r="U268" s="741"/>
      <c r="V268" s="731"/>
      <c r="W268" s="731"/>
      <c r="X268" s="732"/>
      <c r="Y268" s="732"/>
      <c r="Z268" s="732"/>
      <c r="AA268" s="742"/>
      <c r="AB268" s="414"/>
      <c r="AC268" s="174"/>
      <c r="AD268" s="174"/>
      <c r="AE268" s="5415" t="s">
        <v>2160</v>
      </c>
    </row>
    <row r="269" spans="1:31" ht="37.5" customHeight="1">
      <c r="A269" s="5367"/>
      <c r="B269" s="5334"/>
      <c r="C269" s="5337"/>
      <c r="D269" s="5337"/>
      <c r="E269" s="5337"/>
      <c r="F269" s="5337"/>
      <c r="G269" s="5337"/>
      <c r="H269" s="5337"/>
      <c r="I269" s="5337"/>
      <c r="J269" s="5337"/>
      <c r="K269" s="5337"/>
      <c r="L269" s="5337"/>
      <c r="M269" s="5337"/>
      <c r="N269" s="5337"/>
      <c r="O269" s="5337"/>
      <c r="P269" s="5337"/>
      <c r="Q269" s="5345"/>
      <c r="R269" s="790"/>
      <c r="S269" s="724"/>
      <c r="T269" s="724"/>
      <c r="U269" s="798"/>
      <c r="V269" s="725"/>
      <c r="W269" s="725"/>
      <c r="X269" s="726"/>
      <c r="Y269" s="726"/>
      <c r="Z269" s="726"/>
      <c r="AA269" s="727"/>
      <c r="AB269" s="170"/>
      <c r="AC269" s="282"/>
      <c r="AD269" s="282"/>
      <c r="AE269" s="5416"/>
    </row>
    <row r="270" spans="1:31" ht="37.5" customHeight="1">
      <c r="A270" s="5367"/>
      <c r="B270" s="5334"/>
      <c r="C270" s="5337"/>
      <c r="D270" s="5337"/>
      <c r="E270" s="5337"/>
      <c r="F270" s="5337"/>
      <c r="G270" s="5337"/>
      <c r="H270" s="5337"/>
      <c r="I270" s="5337"/>
      <c r="J270" s="5337"/>
      <c r="K270" s="5337"/>
      <c r="L270" s="5337"/>
      <c r="M270" s="5337"/>
      <c r="N270" s="5337"/>
      <c r="O270" s="5337"/>
      <c r="P270" s="5337"/>
      <c r="Q270" s="5345"/>
      <c r="R270" s="791"/>
      <c r="S270" s="729"/>
      <c r="T270" s="729"/>
      <c r="U270" s="730"/>
      <c r="V270" s="731"/>
      <c r="W270" s="731"/>
      <c r="X270" s="732"/>
      <c r="Y270" s="726"/>
      <c r="Z270" s="726"/>
      <c r="AA270" s="727"/>
      <c r="AB270" s="170"/>
      <c r="AC270" s="282"/>
      <c r="AD270" s="282"/>
      <c r="AE270" s="5416"/>
    </row>
    <row r="271" spans="1:31" ht="37.5" customHeight="1">
      <c r="A271" s="5367"/>
      <c r="B271" s="5334"/>
      <c r="C271" s="5337"/>
      <c r="D271" s="5337"/>
      <c r="E271" s="5337"/>
      <c r="F271" s="5337"/>
      <c r="G271" s="5337"/>
      <c r="H271" s="5337"/>
      <c r="I271" s="5337"/>
      <c r="J271" s="5337"/>
      <c r="K271" s="5337"/>
      <c r="L271" s="5337"/>
      <c r="M271" s="5337"/>
      <c r="N271" s="5337"/>
      <c r="O271" s="5337"/>
      <c r="P271" s="5337"/>
      <c r="Q271" s="5345"/>
      <c r="R271" s="792"/>
      <c r="S271" s="734"/>
      <c r="T271" s="734"/>
      <c r="U271" s="730"/>
      <c r="V271" s="731"/>
      <c r="W271" s="731"/>
      <c r="X271" s="732"/>
      <c r="Y271" s="726"/>
      <c r="Z271" s="726"/>
      <c r="AA271" s="727"/>
      <c r="AB271" s="170"/>
      <c r="AC271" s="282"/>
      <c r="AD271" s="282"/>
      <c r="AE271" s="5416"/>
    </row>
    <row r="272" spans="1:31" ht="37.5" customHeight="1">
      <c r="A272" s="5367"/>
      <c r="B272" s="5335"/>
      <c r="C272" s="5338"/>
      <c r="D272" s="5338"/>
      <c r="E272" s="5338"/>
      <c r="F272" s="5338"/>
      <c r="G272" s="5338"/>
      <c r="H272" s="5338"/>
      <c r="I272" s="5338"/>
      <c r="J272" s="5338"/>
      <c r="K272" s="5338"/>
      <c r="L272" s="5338"/>
      <c r="M272" s="5338"/>
      <c r="N272" s="5338"/>
      <c r="O272" s="5338"/>
      <c r="P272" s="5338"/>
      <c r="Q272" s="5346"/>
      <c r="R272" s="796"/>
      <c r="S272" s="736"/>
      <c r="T272" s="736"/>
      <c r="U272" s="737"/>
      <c r="V272" s="738"/>
      <c r="W272" s="738"/>
      <c r="X272" s="739"/>
      <c r="Y272" s="739"/>
      <c r="Z272" s="739"/>
      <c r="AA272" s="740"/>
      <c r="AB272" s="165"/>
      <c r="AC272" s="166"/>
      <c r="AD272" s="166"/>
      <c r="AE272" s="5417"/>
    </row>
    <row r="273" spans="1:31" ht="37.5" customHeight="1">
      <c r="A273" s="5367"/>
      <c r="B273" s="5333" t="s">
        <v>235</v>
      </c>
      <c r="C273" s="5340" t="s">
        <v>236</v>
      </c>
      <c r="D273" s="5336" t="s">
        <v>237</v>
      </c>
      <c r="E273" s="5336" t="s">
        <v>289</v>
      </c>
      <c r="F273" s="5341" t="s">
        <v>239</v>
      </c>
      <c r="G273" s="5336" t="s">
        <v>240</v>
      </c>
      <c r="H273" s="5336" t="s">
        <v>257</v>
      </c>
      <c r="I273" s="5336" t="s">
        <v>2161</v>
      </c>
      <c r="J273" s="5347" t="s">
        <v>1828</v>
      </c>
      <c r="K273" s="5340" t="s">
        <v>2162</v>
      </c>
      <c r="L273" s="5343">
        <v>0</v>
      </c>
      <c r="M273" s="5343">
        <v>1</v>
      </c>
      <c r="N273" s="5343">
        <v>1</v>
      </c>
      <c r="O273" s="5340" t="s">
        <v>2163</v>
      </c>
      <c r="P273" s="5340" t="s">
        <v>2164</v>
      </c>
      <c r="Q273" s="5393" t="s">
        <v>2165</v>
      </c>
      <c r="R273" s="792"/>
      <c r="S273" s="734"/>
      <c r="T273" s="734"/>
      <c r="U273" s="741"/>
      <c r="V273" s="731"/>
      <c r="W273" s="731"/>
      <c r="X273" s="732"/>
      <c r="Y273" s="732"/>
      <c r="Z273" s="732"/>
      <c r="AA273" s="742"/>
      <c r="AB273" s="414"/>
      <c r="AC273" s="174"/>
      <c r="AD273" s="174"/>
      <c r="AE273" s="5415" t="s">
        <v>2166</v>
      </c>
    </row>
    <row r="274" spans="1:31" ht="37.5" customHeight="1">
      <c r="A274" s="5367"/>
      <c r="B274" s="5334"/>
      <c r="C274" s="5337"/>
      <c r="D274" s="5337"/>
      <c r="E274" s="5337"/>
      <c r="F274" s="5337"/>
      <c r="G274" s="5337"/>
      <c r="H274" s="5337"/>
      <c r="I274" s="5337"/>
      <c r="J274" s="5337"/>
      <c r="K274" s="5337"/>
      <c r="L274" s="5337"/>
      <c r="M274" s="5337"/>
      <c r="N274" s="5337"/>
      <c r="O274" s="5337"/>
      <c r="P274" s="5337"/>
      <c r="Q274" s="5345"/>
      <c r="R274" s="790"/>
      <c r="S274" s="724"/>
      <c r="T274" s="724"/>
      <c r="U274" s="798"/>
      <c r="V274" s="725"/>
      <c r="W274" s="725"/>
      <c r="X274" s="726"/>
      <c r="Y274" s="726"/>
      <c r="Z274" s="726"/>
      <c r="AA274" s="727"/>
      <c r="AB274" s="170"/>
      <c r="AC274" s="282"/>
      <c r="AD274" s="282"/>
      <c r="AE274" s="5416"/>
    </row>
    <row r="275" spans="1:31" ht="37.5" customHeight="1">
      <c r="A275" s="5367"/>
      <c r="B275" s="5334"/>
      <c r="C275" s="5337"/>
      <c r="D275" s="5337"/>
      <c r="E275" s="5337"/>
      <c r="F275" s="5337"/>
      <c r="G275" s="5337"/>
      <c r="H275" s="5337"/>
      <c r="I275" s="5337"/>
      <c r="J275" s="5337"/>
      <c r="K275" s="5337"/>
      <c r="L275" s="5337"/>
      <c r="M275" s="5337"/>
      <c r="N275" s="5337"/>
      <c r="O275" s="5337"/>
      <c r="P275" s="5337"/>
      <c r="Q275" s="5345"/>
      <c r="R275" s="791"/>
      <c r="S275" s="729"/>
      <c r="T275" s="729"/>
      <c r="U275" s="730"/>
      <c r="V275" s="731"/>
      <c r="W275" s="731"/>
      <c r="X275" s="732"/>
      <c r="Y275" s="726"/>
      <c r="Z275" s="726"/>
      <c r="AA275" s="727"/>
      <c r="AB275" s="170"/>
      <c r="AC275" s="282"/>
      <c r="AD275" s="282"/>
      <c r="AE275" s="5416"/>
    </row>
    <row r="276" spans="1:31" ht="37.5" customHeight="1">
      <c r="A276" s="5367"/>
      <c r="B276" s="5334"/>
      <c r="C276" s="5337"/>
      <c r="D276" s="5337"/>
      <c r="E276" s="5337"/>
      <c r="F276" s="5337"/>
      <c r="G276" s="5337"/>
      <c r="H276" s="5337"/>
      <c r="I276" s="5337"/>
      <c r="J276" s="5337"/>
      <c r="K276" s="5337"/>
      <c r="L276" s="5337"/>
      <c r="M276" s="5337"/>
      <c r="N276" s="5337"/>
      <c r="O276" s="5337"/>
      <c r="P276" s="5337"/>
      <c r="Q276" s="5345"/>
      <c r="R276" s="792"/>
      <c r="S276" s="734"/>
      <c r="T276" s="734"/>
      <c r="U276" s="730"/>
      <c r="V276" s="731"/>
      <c r="W276" s="731"/>
      <c r="X276" s="732"/>
      <c r="Y276" s="726"/>
      <c r="Z276" s="726"/>
      <c r="AA276" s="727"/>
      <c r="AB276" s="187"/>
      <c r="AC276" s="282"/>
      <c r="AD276" s="282"/>
      <c r="AE276" s="5416"/>
    </row>
    <row r="277" spans="1:31" ht="37.5" customHeight="1">
      <c r="A277" s="5367"/>
      <c r="B277" s="5335"/>
      <c r="C277" s="5338"/>
      <c r="D277" s="5338"/>
      <c r="E277" s="5338"/>
      <c r="F277" s="5338"/>
      <c r="G277" s="5338"/>
      <c r="H277" s="5338"/>
      <c r="I277" s="5338"/>
      <c r="J277" s="5338"/>
      <c r="K277" s="5338"/>
      <c r="L277" s="5338"/>
      <c r="M277" s="5338"/>
      <c r="N277" s="5338"/>
      <c r="O277" s="5338"/>
      <c r="P277" s="5338"/>
      <c r="Q277" s="5346"/>
      <c r="R277" s="796"/>
      <c r="S277" s="736"/>
      <c r="T277" s="736"/>
      <c r="U277" s="737"/>
      <c r="V277" s="738"/>
      <c r="W277" s="738"/>
      <c r="X277" s="739"/>
      <c r="Y277" s="739"/>
      <c r="Z277" s="739"/>
      <c r="AA277" s="740"/>
      <c r="AB277" s="187"/>
      <c r="AC277" s="166"/>
      <c r="AD277" s="166"/>
      <c r="AE277" s="5417"/>
    </row>
    <row r="278" spans="1:31" ht="37.5" customHeight="1">
      <c r="A278" s="5367"/>
      <c r="B278" s="5333" t="s">
        <v>235</v>
      </c>
      <c r="C278" s="5336" t="s">
        <v>236</v>
      </c>
      <c r="D278" s="5336" t="s">
        <v>237</v>
      </c>
      <c r="E278" s="5336" t="s">
        <v>289</v>
      </c>
      <c r="F278" s="5341" t="s">
        <v>239</v>
      </c>
      <c r="G278" s="5336" t="s">
        <v>240</v>
      </c>
      <c r="H278" s="5336" t="s">
        <v>257</v>
      </c>
      <c r="I278" s="5336" t="s">
        <v>2167</v>
      </c>
      <c r="J278" s="5347" t="s">
        <v>2168</v>
      </c>
      <c r="K278" s="5340" t="s">
        <v>2169</v>
      </c>
      <c r="L278" s="5343">
        <v>0</v>
      </c>
      <c r="M278" s="5343">
        <v>1</v>
      </c>
      <c r="N278" s="5343">
        <v>1</v>
      </c>
      <c r="O278" s="5340" t="s">
        <v>2170</v>
      </c>
      <c r="P278" s="5340" t="s">
        <v>2171</v>
      </c>
      <c r="Q278" s="5393" t="s">
        <v>2172</v>
      </c>
      <c r="R278" s="792"/>
      <c r="S278" s="734"/>
      <c r="T278" s="734"/>
      <c r="U278" s="741"/>
      <c r="V278" s="731"/>
      <c r="W278" s="731"/>
      <c r="X278" s="732"/>
      <c r="Y278" s="732"/>
      <c r="Z278" s="732"/>
      <c r="AA278" s="742"/>
      <c r="AB278" s="187"/>
      <c r="AC278" s="174"/>
      <c r="AD278" s="174"/>
      <c r="AE278" s="5415" t="s">
        <v>2173</v>
      </c>
    </row>
    <row r="279" spans="1:31" ht="37.5" customHeight="1">
      <c r="A279" s="5367"/>
      <c r="B279" s="5334"/>
      <c r="C279" s="5337"/>
      <c r="D279" s="5337"/>
      <c r="E279" s="5337"/>
      <c r="F279" s="5337"/>
      <c r="G279" s="5337"/>
      <c r="H279" s="5337"/>
      <c r="I279" s="5337"/>
      <c r="J279" s="5337"/>
      <c r="K279" s="5337"/>
      <c r="L279" s="5337"/>
      <c r="M279" s="5337"/>
      <c r="N279" s="5337"/>
      <c r="O279" s="5337"/>
      <c r="P279" s="5337"/>
      <c r="Q279" s="5345"/>
      <c r="R279" s="790"/>
      <c r="S279" s="724"/>
      <c r="T279" s="724"/>
      <c r="U279" s="798"/>
      <c r="V279" s="725"/>
      <c r="W279" s="725"/>
      <c r="X279" s="726"/>
      <c r="Y279" s="726"/>
      <c r="Z279" s="726"/>
      <c r="AA279" s="727"/>
      <c r="AB279" s="187"/>
      <c r="AC279" s="282"/>
      <c r="AD279" s="282"/>
      <c r="AE279" s="5416"/>
    </row>
    <row r="280" spans="1:31" ht="37.5" customHeight="1">
      <c r="A280" s="5367"/>
      <c r="B280" s="5334"/>
      <c r="C280" s="5337"/>
      <c r="D280" s="5337"/>
      <c r="E280" s="5337"/>
      <c r="F280" s="5337"/>
      <c r="G280" s="5337"/>
      <c r="H280" s="5337"/>
      <c r="I280" s="5337"/>
      <c r="J280" s="5337"/>
      <c r="K280" s="5337"/>
      <c r="L280" s="5337"/>
      <c r="M280" s="5337"/>
      <c r="N280" s="5337"/>
      <c r="O280" s="5337"/>
      <c r="P280" s="5337"/>
      <c r="Q280" s="5345"/>
      <c r="R280" s="791"/>
      <c r="S280" s="729"/>
      <c r="T280" s="729"/>
      <c r="U280" s="730"/>
      <c r="V280" s="731"/>
      <c r="W280" s="731"/>
      <c r="X280" s="732"/>
      <c r="Y280" s="726"/>
      <c r="Z280" s="726"/>
      <c r="AA280" s="727"/>
      <c r="AB280" s="187"/>
      <c r="AC280" s="282"/>
      <c r="AD280" s="282"/>
      <c r="AE280" s="5416"/>
    </row>
    <row r="281" spans="1:31" ht="37.5" customHeight="1">
      <c r="A281" s="5367"/>
      <c r="B281" s="5334"/>
      <c r="C281" s="5337"/>
      <c r="D281" s="5337"/>
      <c r="E281" s="5337"/>
      <c r="F281" s="5337"/>
      <c r="G281" s="5337"/>
      <c r="H281" s="5337"/>
      <c r="I281" s="5337"/>
      <c r="J281" s="5337"/>
      <c r="K281" s="5337"/>
      <c r="L281" s="5337"/>
      <c r="M281" s="5337"/>
      <c r="N281" s="5337"/>
      <c r="O281" s="5337"/>
      <c r="P281" s="5337"/>
      <c r="Q281" s="5345"/>
      <c r="R281" s="792"/>
      <c r="S281" s="734"/>
      <c r="T281" s="734"/>
      <c r="U281" s="730"/>
      <c r="V281" s="731"/>
      <c r="W281" s="731"/>
      <c r="X281" s="732"/>
      <c r="Y281" s="726"/>
      <c r="Z281" s="726"/>
      <c r="AA281" s="727"/>
      <c r="AB281" s="187"/>
      <c r="AC281" s="282"/>
      <c r="AD281" s="282"/>
      <c r="AE281" s="5416"/>
    </row>
    <row r="282" spans="1:31" ht="37.5" customHeight="1">
      <c r="A282" s="5367"/>
      <c r="B282" s="5335"/>
      <c r="C282" s="5338"/>
      <c r="D282" s="5338"/>
      <c r="E282" s="5338"/>
      <c r="F282" s="5338"/>
      <c r="G282" s="5338"/>
      <c r="H282" s="5338"/>
      <c r="I282" s="5338"/>
      <c r="J282" s="5338"/>
      <c r="K282" s="5338"/>
      <c r="L282" s="5338"/>
      <c r="M282" s="5338"/>
      <c r="N282" s="5338"/>
      <c r="O282" s="5338"/>
      <c r="P282" s="5338"/>
      <c r="Q282" s="5346"/>
      <c r="R282" s="796"/>
      <c r="S282" s="736"/>
      <c r="T282" s="736"/>
      <c r="U282" s="737"/>
      <c r="V282" s="738"/>
      <c r="W282" s="738"/>
      <c r="X282" s="739"/>
      <c r="Y282" s="739"/>
      <c r="Z282" s="739"/>
      <c r="AA282" s="740"/>
      <c r="AB282" s="165"/>
      <c r="AC282" s="166"/>
      <c r="AD282" s="166"/>
      <c r="AE282" s="5417"/>
    </row>
    <row r="283" spans="1:31" ht="48" customHeight="1">
      <c r="A283" s="5367"/>
      <c r="B283" s="5339" t="s">
        <v>272</v>
      </c>
      <c r="C283" s="5340" t="s">
        <v>679</v>
      </c>
      <c r="D283" s="5336" t="s">
        <v>680</v>
      </c>
      <c r="E283" s="5336" t="s">
        <v>2174</v>
      </c>
      <c r="F283" s="5341" t="s">
        <v>682</v>
      </c>
      <c r="G283" s="5336" t="s">
        <v>262</v>
      </c>
      <c r="H283" s="5336" t="s">
        <v>257</v>
      </c>
      <c r="I283" s="5372" t="s">
        <v>2175</v>
      </c>
      <c r="J283" s="5347" t="s">
        <v>1836</v>
      </c>
      <c r="K283" s="5340" t="s">
        <v>2176</v>
      </c>
      <c r="L283" s="5343">
        <v>0</v>
      </c>
      <c r="M283" s="5343">
        <v>1</v>
      </c>
      <c r="N283" s="5343">
        <v>1</v>
      </c>
      <c r="O283" s="5340" t="s">
        <v>2177</v>
      </c>
      <c r="P283" s="5340" t="s">
        <v>2178</v>
      </c>
      <c r="Q283" s="5393" t="s">
        <v>2172</v>
      </c>
      <c r="R283" s="804"/>
      <c r="S283" s="805"/>
      <c r="T283" s="805"/>
      <c r="U283" s="806"/>
      <c r="V283" s="807"/>
      <c r="W283" s="807"/>
      <c r="X283" s="808"/>
      <c r="Y283" s="808"/>
      <c r="Z283" s="809"/>
      <c r="AA283" s="810"/>
      <c r="AB283" s="363"/>
      <c r="AC283" s="367"/>
      <c r="AD283" s="356"/>
      <c r="AE283" s="5478" t="s">
        <v>2179</v>
      </c>
    </row>
    <row r="284" spans="1:31" ht="37.5" customHeight="1">
      <c r="A284" s="5367"/>
      <c r="B284" s="5334"/>
      <c r="C284" s="5337"/>
      <c r="D284" s="5337"/>
      <c r="E284" s="5337"/>
      <c r="F284" s="5337"/>
      <c r="G284" s="5337"/>
      <c r="H284" s="5337"/>
      <c r="I284" s="5337"/>
      <c r="J284" s="5337"/>
      <c r="K284" s="5337"/>
      <c r="L284" s="5337"/>
      <c r="M284" s="5337"/>
      <c r="N284" s="5337"/>
      <c r="O284" s="5337"/>
      <c r="P284" s="5337"/>
      <c r="Q284" s="5345"/>
      <c r="R284" s="811"/>
      <c r="S284" s="812"/>
      <c r="T284" s="813"/>
      <c r="U284" s="814"/>
      <c r="V284" s="815"/>
      <c r="W284" s="815"/>
      <c r="X284" s="816"/>
      <c r="Y284" s="816"/>
      <c r="Z284" s="817"/>
      <c r="AA284" s="818"/>
      <c r="AB284" s="819"/>
      <c r="AC284" s="356"/>
      <c r="AD284" s="356"/>
      <c r="AE284" s="5416"/>
    </row>
    <row r="285" spans="1:31" ht="37.5" customHeight="1">
      <c r="A285" s="5367"/>
      <c r="B285" s="5334"/>
      <c r="C285" s="5337"/>
      <c r="D285" s="5337"/>
      <c r="E285" s="5337"/>
      <c r="F285" s="5337"/>
      <c r="G285" s="5337"/>
      <c r="H285" s="5337"/>
      <c r="I285" s="5337"/>
      <c r="J285" s="5337"/>
      <c r="K285" s="5337"/>
      <c r="L285" s="5337"/>
      <c r="M285" s="5337"/>
      <c r="N285" s="5337"/>
      <c r="O285" s="5337"/>
      <c r="P285" s="5337"/>
      <c r="Q285" s="5345"/>
      <c r="R285" s="811"/>
      <c r="S285" s="812"/>
      <c r="T285" s="813"/>
      <c r="U285" s="820"/>
      <c r="V285" s="821"/>
      <c r="W285" s="822"/>
      <c r="X285" s="823"/>
      <c r="Y285" s="824"/>
      <c r="Z285" s="824"/>
      <c r="AA285" s="818"/>
      <c r="AB285" s="819"/>
      <c r="AC285" s="356"/>
      <c r="AD285" s="356"/>
      <c r="AE285" s="5416"/>
    </row>
    <row r="286" spans="1:31" ht="37.5" customHeight="1">
      <c r="A286" s="5367"/>
      <c r="B286" s="5334"/>
      <c r="C286" s="5337"/>
      <c r="D286" s="5337"/>
      <c r="E286" s="5337"/>
      <c r="F286" s="5337"/>
      <c r="G286" s="5337"/>
      <c r="H286" s="5337"/>
      <c r="I286" s="5337"/>
      <c r="J286" s="5337"/>
      <c r="K286" s="5337"/>
      <c r="L286" s="5337"/>
      <c r="M286" s="5337"/>
      <c r="N286" s="5337"/>
      <c r="O286" s="5337"/>
      <c r="P286" s="5337"/>
      <c r="Q286" s="5345"/>
      <c r="R286" s="811"/>
      <c r="S286" s="812"/>
      <c r="T286" s="825"/>
      <c r="U286" s="826"/>
      <c r="V286" s="827"/>
      <c r="W286" s="827"/>
      <c r="X286" s="828"/>
      <c r="Y286" s="828"/>
      <c r="Z286" s="829"/>
      <c r="AA286" s="830"/>
      <c r="AB286" s="355"/>
      <c r="AC286" s="356"/>
      <c r="AD286" s="356"/>
      <c r="AE286" s="5416"/>
    </row>
    <row r="287" spans="1:31" ht="37.5" customHeight="1">
      <c r="A287" s="5367"/>
      <c r="B287" s="5334"/>
      <c r="C287" s="5337"/>
      <c r="D287" s="5337"/>
      <c r="E287" s="5337"/>
      <c r="F287" s="5337"/>
      <c r="G287" s="5337"/>
      <c r="H287" s="5337"/>
      <c r="I287" s="5337"/>
      <c r="J287" s="5337"/>
      <c r="K287" s="5337"/>
      <c r="L287" s="5337"/>
      <c r="M287" s="5337"/>
      <c r="N287" s="5337"/>
      <c r="O287" s="5337"/>
      <c r="P287" s="5337"/>
      <c r="Q287" s="5345"/>
      <c r="R287" s="804"/>
      <c r="S287" s="831"/>
      <c r="T287" s="832"/>
      <c r="U287" s="833"/>
      <c r="V287" s="834"/>
      <c r="W287" s="834"/>
      <c r="X287" s="835"/>
      <c r="Y287" s="835"/>
      <c r="Z287" s="836"/>
      <c r="AA287" s="837"/>
      <c r="AB287" s="357"/>
      <c r="AC287" s="358"/>
      <c r="AD287" s="358"/>
      <c r="AE287" s="5416"/>
    </row>
    <row r="288" spans="1:31" ht="37.5" customHeight="1">
      <c r="A288" s="5367"/>
      <c r="B288" s="5334"/>
      <c r="C288" s="5337"/>
      <c r="D288" s="5337"/>
      <c r="E288" s="5337"/>
      <c r="F288" s="5337"/>
      <c r="G288" s="5337"/>
      <c r="H288" s="5337"/>
      <c r="I288" s="5337"/>
      <c r="J288" s="5337"/>
      <c r="K288" s="5337"/>
      <c r="L288" s="5337"/>
      <c r="M288" s="5337"/>
      <c r="N288" s="5337"/>
      <c r="O288" s="5337"/>
      <c r="P288" s="5337"/>
      <c r="Q288" s="5345"/>
      <c r="R288" s="811"/>
      <c r="S288" s="812"/>
      <c r="T288" s="838"/>
      <c r="U288" s="839"/>
      <c r="V288" s="834"/>
      <c r="W288" s="834"/>
      <c r="X288" s="835"/>
      <c r="Y288" s="835"/>
      <c r="Z288" s="836"/>
      <c r="AA288" s="837"/>
      <c r="AB288" s="357"/>
      <c r="AC288" s="358"/>
      <c r="AD288" s="358"/>
      <c r="AE288" s="5416"/>
    </row>
    <row r="289" spans="1:31" ht="37.5" customHeight="1">
      <c r="A289" s="5367"/>
      <c r="B289" s="5334"/>
      <c r="C289" s="5337"/>
      <c r="D289" s="5337"/>
      <c r="E289" s="5337"/>
      <c r="F289" s="5337"/>
      <c r="G289" s="5337"/>
      <c r="H289" s="5337"/>
      <c r="I289" s="5337"/>
      <c r="J289" s="5337"/>
      <c r="K289" s="5337"/>
      <c r="L289" s="5337"/>
      <c r="M289" s="5337"/>
      <c r="N289" s="5337"/>
      <c r="O289" s="5337"/>
      <c r="P289" s="5337"/>
      <c r="Q289" s="5345"/>
      <c r="R289" s="811"/>
      <c r="S289" s="812"/>
      <c r="T289" s="840"/>
      <c r="U289" s="841"/>
      <c r="V289" s="834"/>
      <c r="W289" s="834"/>
      <c r="X289" s="835"/>
      <c r="Y289" s="835"/>
      <c r="Z289" s="836"/>
      <c r="AA289" s="837"/>
      <c r="AB289" s="357"/>
      <c r="AC289" s="358"/>
      <c r="AD289" s="358"/>
      <c r="AE289" s="5416"/>
    </row>
    <row r="290" spans="1:31" ht="37.5" customHeight="1">
      <c r="A290" s="5367"/>
      <c r="B290" s="5334"/>
      <c r="C290" s="5337"/>
      <c r="D290" s="5337"/>
      <c r="E290" s="5337"/>
      <c r="F290" s="5337"/>
      <c r="G290" s="5337"/>
      <c r="H290" s="5337"/>
      <c r="I290" s="5337"/>
      <c r="J290" s="5337"/>
      <c r="K290" s="5337"/>
      <c r="L290" s="5337"/>
      <c r="M290" s="5337"/>
      <c r="N290" s="5337"/>
      <c r="O290" s="5337"/>
      <c r="P290" s="5337"/>
      <c r="Q290" s="5345"/>
      <c r="R290" s="842"/>
      <c r="S290" s="812"/>
      <c r="T290" s="825"/>
      <c r="U290" s="826"/>
      <c r="V290" s="827"/>
      <c r="W290" s="827"/>
      <c r="X290" s="828"/>
      <c r="Y290" s="835"/>
      <c r="Z290" s="836"/>
      <c r="AA290" s="837"/>
      <c r="AB290" s="357"/>
      <c r="AC290" s="358"/>
      <c r="AD290" s="358"/>
      <c r="AE290" s="5416"/>
    </row>
    <row r="291" spans="1:31" ht="37.5" customHeight="1">
      <c r="A291" s="5367"/>
      <c r="B291" s="5334"/>
      <c r="C291" s="5337"/>
      <c r="D291" s="5337"/>
      <c r="E291" s="5337"/>
      <c r="F291" s="5337"/>
      <c r="G291" s="5337"/>
      <c r="H291" s="5337"/>
      <c r="I291" s="5337"/>
      <c r="J291" s="5337"/>
      <c r="K291" s="5337"/>
      <c r="L291" s="5337"/>
      <c r="M291" s="5337"/>
      <c r="N291" s="5337"/>
      <c r="O291" s="5337"/>
      <c r="P291" s="5337"/>
      <c r="Q291" s="5345"/>
      <c r="R291" s="843"/>
      <c r="S291" s="812"/>
      <c r="T291" s="825"/>
      <c r="U291" s="826"/>
      <c r="V291" s="827"/>
      <c r="W291" s="827"/>
      <c r="X291" s="828"/>
      <c r="Y291" s="835"/>
      <c r="Z291" s="836"/>
      <c r="AA291" s="837"/>
      <c r="AB291" s="357"/>
      <c r="AC291" s="358"/>
      <c r="AD291" s="358"/>
      <c r="AE291" s="5416"/>
    </row>
    <row r="292" spans="1:31" ht="37.5" customHeight="1">
      <c r="A292" s="5367"/>
      <c r="B292" s="5334"/>
      <c r="C292" s="5337"/>
      <c r="D292" s="5337"/>
      <c r="E292" s="5337"/>
      <c r="F292" s="5337"/>
      <c r="G292" s="5337"/>
      <c r="H292" s="5337"/>
      <c r="I292" s="5337"/>
      <c r="J292" s="5337"/>
      <c r="K292" s="5337"/>
      <c r="L292" s="5337"/>
      <c r="M292" s="5337"/>
      <c r="N292" s="5337"/>
      <c r="O292" s="5337"/>
      <c r="P292" s="5337"/>
      <c r="Q292" s="5345"/>
      <c r="R292" s="843"/>
      <c r="S292" s="812"/>
      <c r="T292" s="812"/>
      <c r="U292" s="844"/>
      <c r="V292" s="827"/>
      <c r="W292" s="827"/>
      <c r="X292" s="828"/>
      <c r="Y292" s="835"/>
      <c r="Z292" s="836"/>
      <c r="AA292" s="837"/>
      <c r="AB292" s="479"/>
      <c r="AC292" s="358"/>
      <c r="AD292" s="358"/>
      <c r="AE292" s="5416"/>
    </row>
    <row r="293" spans="1:31" ht="37.5" customHeight="1">
      <c r="A293" s="5367"/>
      <c r="B293" s="5334"/>
      <c r="C293" s="5337"/>
      <c r="D293" s="5337"/>
      <c r="E293" s="5337"/>
      <c r="F293" s="5337"/>
      <c r="G293" s="5337"/>
      <c r="H293" s="5337"/>
      <c r="I293" s="5337"/>
      <c r="J293" s="5337"/>
      <c r="K293" s="5337"/>
      <c r="L293" s="5337"/>
      <c r="M293" s="5337"/>
      <c r="N293" s="5337"/>
      <c r="O293" s="5337"/>
      <c r="P293" s="5337"/>
      <c r="Q293" s="5345"/>
      <c r="R293" s="843"/>
      <c r="S293" s="812"/>
      <c r="T293" s="812"/>
      <c r="U293" s="826"/>
      <c r="V293" s="827"/>
      <c r="W293" s="827"/>
      <c r="X293" s="828"/>
      <c r="Y293" s="835"/>
      <c r="Z293" s="836"/>
      <c r="AA293" s="837"/>
      <c r="AB293" s="479"/>
      <c r="AC293" s="358"/>
      <c r="AD293" s="358"/>
      <c r="AE293" s="5416"/>
    </row>
    <row r="294" spans="1:31" ht="37.5" customHeight="1">
      <c r="A294" s="5367"/>
      <c r="B294" s="5334"/>
      <c r="C294" s="5337"/>
      <c r="D294" s="5337"/>
      <c r="E294" s="5337"/>
      <c r="F294" s="5337"/>
      <c r="G294" s="5337"/>
      <c r="H294" s="5337"/>
      <c r="I294" s="5337"/>
      <c r="J294" s="5337"/>
      <c r="K294" s="5337"/>
      <c r="L294" s="5337"/>
      <c r="M294" s="5337"/>
      <c r="N294" s="5337"/>
      <c r="O294" s="5337"/>
      <c r="P294" s="5337"/>
      <c r="Q294" s="5345"/>
      <c r="R294" s="842"/>
      <c r="S294" s="812"/>
      <c r="T294" s="812"/>
      <c r="U294" s="826"/>
      <c r="V294" s="827"/>
      <c r="W294" s="827"/>
      <c r="X294" s="828"/>
      <c r="Y294" s="835"/>
      <c r="Z294" s="836"/>
      <c r="AA294" s="837"/>
      <c r="AB294" s="479"/>
      <c r="AC294" s="358"/>
      <c r="AD294" s="358"/>
      <c r="AE294" s="5416"/>
    </row>
    <row r="295" spans="1:31" ht="37.5" customHeight="1">
      <c r="A295" s="5367"/>
      <c r="B295" s="5334"/>
      <c r="C295" s="5337"/>
      <c r="D295" s="5337"/>
      <c r="E295" s="5337"/>
      <c r="F295" s="5337"/>
      <c r="G295" s="5337"/>
      <c r="H295" s="5337"/>
      <c r="I295" s="5337"/>
      <c r="J295" s="5337"/>
      <c r="K295" s="5337"/>
      <c r="L295" s="5337"/>
      <c r="M295" s="5337"/>
      <c r="N295" s="5337"/>
      <c r="O295" s="5337"/>
      <c r="P295" s="5337"/>
      <c r="Q295" s="5345"/>
      <c r="R295" s="843"/>
      <c r="S295" s="812"/>
      <c r="T295" s="812"/>
      <c r="U295" s="841"/>
      <c r="V295" s="827"/>
      <c r="W295" s="827"/>
      <c r="X295" s="828"/>
      <c r="Y295" s="835"/>
      <c r="Z295" s="836"/>
      <c r="AA295" s="837"/>
      <c r="AB295" s="479"/>
      <c r="AC295" s="358"/>
      <c r="AD295" s="358"/>
      <c r="AE295" s="5416"/>
    </row>
    <row r="296" spans="1:31" ht="37.5" customHeight="1">
      <c r="A296" s="5367"/>
      <c r="B296" s="5334"/>
      <c r="C296" s="5337"/>
      <c r="D296" s="5337"/>
      <c r="E296" s="5337"/>
      <c r="F296" s="5337"/>
      <c r="G296" s="5337"/>
      <c r="H296" s="5337"/>
      <c r="I296" s="5337"/>
      <c r="J296" s="5337"/>
      <c r="K296" s="5337"/>
      <c r="L296" s="5337"/>
      <c r="M296" s="5337"/>
      <c r="N296" s="5337"/>
      <c r="O296" s="5337"/>
      <c r="P296" s="5337"/>
      <c r="Q296" s="5345"/>
      <c r="R296" s="845"/>
      <c r="S296" s="846"/>
      <c r="T296" s="838"/>
      <c r="U296" s="839"/>
      <c r="V296" s="827"/>
      <c r="W296" s="827"/>
      <c r="X296" s="828"/>
      <c r="Y296" s="835"/>
      <c r="Z296" s="836"/>
      <c r="AA296" s="847"/>
      <c r="AB296" s="479"/>
      <c r="AC296" s="366"/>
      <c r="AD296" s="366"/>
      <c r="AE296" s="5416"/>
    </row>
    <row r="297" spans="1:31" ht="37.5" customHeight="1">
      <c r="A297" s="5367"/>
      <c r="B297" s="5334"/>
      <c r="C297" s="5337"/>
      <c r="D297" s="5337"/>
      <c r="E297" s="5337"/>
      <c r="F297" s="5337"/>
      <c r="G297" s="5337"/>
      <c r="H297" s="5337"/>
      <c r="I297" s="5337"/>
      <c r="J297" s="5337"/>
      <c r="K297" s="5337"/>
      <c r="L297" s="5337"/>
      <c r="M297" s="5337"/>
      <c r="N297" s="5337"/>
      <c r="O297" s="5337"/>
      <c r="P297" s="5337"/>
      <c r="Q297" s="5345"/>
      <c r="R297" s="845"/>
      <c r="S297" s="846"/>
      <c r="T297" s="848"/>
      <c r="U297" s="849"/>
      <c r="V297" s="827"/>
      <c r="W297" s="827"/>
      <c r="X297" s="828"/>
      <c r="Y297" s="835"/>
      <c r="Z297" s="836"/>
      <c r="AA297" s="847"/>
      <c r="AB297" s="479"/>
      <c r="AC297" s="366"/>
      <c r="AD297" s="366"/>
      <c r="AE297" s="5416"/>
    </row>
    <row r="298" spans="1:31" ht="37.5" customHeight="1">
      <c r="A298" s="5367"/>
      <c r="B298" s="5334"/>
      <c r="C298" s="5337"/>
      <c r="D298" s="5337"/>
      <c r="E298" s="5337"/>
      <c r="F298" s="5337"/>
      <c r="G298" s="5337"/>
      <c r="H298" s="5337"/>
      <c r="I298" s="5337"/>
      <c r="J298" s="5337"/>
      <c r="K298" s="5337"/>
      <c r="L298" s="5337"/>
      <c r="M298" s="5337"/>
      <c r="N298" s="5337"/>
      <c r="O298" s="5337"/>
      <c r="P298" s="5337"/>
      <c r="Q298" s="5345"/>
      <c r="R298" s="842"/>
      <c r="S298" s="846"/>
      <c r="T298" s="846"/>
      <c r="U298" s="850"/>
      <c r="V298" s="851"/>
      <c r="W298" s="851"/>
      <c r="X298" s="828"/>
      <c r="Y298" s="835"/>
      <c r="Z298" s="852"/>
      <c r="AA298" s="847"/>
      <c r="AB298" s="365"/>
      <c r="AC298" s="366"/>
      <c r="AD298" s="366"/>
      <c r="AE298" s="5416"/>
    </row>
    <row r="299" spans="1:31" ht="37.5" customHeight="1">
      <c r="A299" s="5367"/>
      <c r="B299" s="5334"/>
      <c r="C299" s="5337"/>
      <c r="D299" s="5337"/>
      <c r="E299" s="5337"/>
      <c r="F299" s="5337"/>
      <c r="G299" s="5337"/>
      <c r="H299" s="5337"/>
      <c r="I299" s="5337"/>
      <c r="J299" s="5337"/>
      <c r="K299" s="5337"/>
      <c r="L299" s="5337"/>
      <c r="M299" s="5337"/>
      <c r="N299" s="5337"/>
      <c r="O299" s="5337"/>
      <c r="P299" s="5337"/>
      <c r="Q299" s="5345"/>
      <c r="R299" s="843"/>
      <c r="S299" s="846"/>
      <c r="T299" s="846"/>
      <c r="U299" s="849"/>
      <c r="V299" s="851"/>
      <c r="W299" s="851"/>
      <c r="X299" s="828"/>
      <c r="Y299" s="835"/>
      <c r="Z299" s="852"/>
      <c r="AA299" s="847"/>
      <c r="AB299" s="365"/>
      <c r="AC299" s="366"/>
      <c r="AD299" s="366"/>
      <c r="AE299" s="5416"/>
    </row>
    <row r="300" spans="1:31" ht="37.5" customHeight="1">
      <c r="A300" s="5367"/>
      <c r="B300" s="5334"/>
      <c r="C300" s="5337"/>
      <c r="D300" s="5337"/>
      <c r="E300" s="5337"/>
      <c r="F300" s="5337"/>
      <c r="G300" s="5337"/>
      <c r="H300" s="5337"/>
      <c r="I300" s="5337"/>
      <c r="J300" s="5337"/>
      <c r="K300" s="5337"/>
      <c r="L300" s="5337"/>
      <c r="M300" s="5337"/>
      <c r="N300" s="5337"/>
      <c r="O300" s="5337"/>
      <c r="P300" s="5337"/>
      <c r="Q300" s="5345"/>
      <c r="R300" s="845"/>
      <c r="S300" s="846"/>
      <c r="T300" s="848"/>
      <c r="U300" s="853"/>
      <c r="V300" s="851"/>
      <c r="W300" s="851"/>
      <c r="X300" s="828"/>
      <c r="Y300" s="835"/>
      <c r="Z300" s="852"/>
      <c r="AA300" s="847"/>
      <c r="AB300" s="365"/>
      <c r="AC300" s="366"/>
      <c r="AD300" s="366"/>
      <c r="AE300" s="5416"/>
    </row>
    <row r="301" spans="1:31" ht="37.5" customHeight="1">
      <c r="A301" s="5367"/>
      <c r="B301" s="5334"/>
      <c r="C301" s="5337"/>
      <c r="D301" s="5337"/>
      <c r="E301" s="5337"/>
      <c r="F301" s="5337"/>
      <c r="G301" s="5337"/>
      <c r="H301" s="5337"/>
      <c r="I301" s="5337"/>
      <c r="J301" s="5337"/>
      <c r="K301" s="5337"/>
      <c r="L301" s="5337"/>
      <c r="M301" s="5337"/>
      <c r="N301" s="5337"/>
      <c r="O301" s="5337"/>
      <c r="P301" s="5337"/>
      <c r="Q301" s="5345"/>
      <c r="R301" s="845"/>
      <c r="S301" s="846"/>
      <c r="T301" s="848"/>
      <c r="U301" s="853"/>
      <c r="V301" s="851"/>
      <c r="W301" s="851"/>
      <c r="X301" s="828"/>
      <c r="Y301" s="835"/>
      <c r="Z301" s="852"/>
      <c r="AA301" s="847"/>
      <c r="AB301" s="365"/>
      <c r="AC301" s="366"/>
      <c r="AD301" s="366"/>
      <c r="AE301" s="5416"/>
    </row>
    <row r="302" spans="1:31" ht="37.5" customHeight="1">
      <c r="A302" s="5367"/>
      <c r="B302" s="5334"/>
      <c r="C302" s="5337"/>
      <c r="D302" s="5337"/>
      <c r="E302" s="5337"/>
      <c r="F302" s="5337"/>
      <c r="G302" s="5337"/>
      <c r="H302" s="5337"/>
      <c r="I302" s="5337"/>
      <c r="J302" s="5337"/>
      <c r="K302" s="5337"/>
      <c r="L302" s="5337"/>
      <c r="M302" s="5337"/>
      <c r="N302" s="5337"/>
      <c r="O302" s="5337"/>
      <c r="P302" s="5337"/>
      <c r="Q302" s="5345"/>
      <c r="R302" s="854"/>
      <c r="S302" s="855"/>
      <c r="T302" s="855"/>
      <c r="U302" s="856"/>
      <c r="V302" s="857"/>
      <c r="W302" s="857"/>
      <c r="X302" s="858"/>
      <c r="Y302" s="859"/>
      <c r="Z302" s="859"/>
      <c r="AA302" s="859"/>
      <c r="AB302" s="361"/>
      <c r="AC302" s="354"/>
      <c r="AD302" s="366"/>
      <c r="AE302" s="5416"/>
    </row>
    <row r="303" spans="1:31" ht="37.5" customHeight="1">
      <c r="A303" s="5367"/>
      <c r="B303" s="5334"/>
      <c r="C303" s="5337"/>
      <c r="D303" s="5337"/>
      <c r="E303" s="5337"/>
      <c r="F303" s="5337"/>
      <c r="G303" s="5337"/>
      <c r="H303" s="5337"/>
      <c r="I303" s="5337"/>
      <c r="J303" s="5337"/>
      <c r="K303" s="5337"/>
      <c r="L303" s="5337"/>
      <c r="M303" s="5337"/>
      <c r="N303" s="5337"/>
      <c r="O303" s="5337"/>
      <c r="P303" s="5337"/>
      <c r="Q303" s="5345"/>
      <c r="R303" s="842"/>
      <c r="S303" s="846"/>
      <c r="T303" s="846"/>
      <c r="U303" s="860"/>
      <c r="V303" s="851"/>
      <c r="W303" s="851"/>
      <c r="X303" s="861"/>
      <c r="Y303" s="828"/>
      <c r="Z303" s="862"/>
      <c r="AA303" s="863"/>
      <c r="AB303" s="864"/>
      <c r="AC303" s="865"/>
      <c r="AD303" s="366"/>
      <c r="AE303" s="5416"/>
    </row>
    <row r="304" spans="1:31" ht="37.5" customHeight="1">
      <c r="A304" s="5367"/>
      <c r="B304" s="5334"/>
      <c r="C304" s="5337"/>
      <c r="D304" s="5337"/>
      <c r="E304" s="5337"/>
      <c r="F304" s="5337"/>
      <c r="G304" s="5337"/>
      <c r="H304" s="5337"/>
      <c r="I304" s="5337"/>
      <c r="J304" s="5337"/>
      <c r="K304" s="5337"/>
      <c r="L304" s="5337"/>
      <c r="M304" s="5337"/>
      <c r="N304" s="5337"/>
      <c r="O304" s="5337"/>
      <c r="P304" s="5337"/>
      <c r="Q304" s="5345"/>
      <c r="R304" s="843"/>
      <c r="S304" s="812"/>
      <c r="T304" s="812"/>
      <c r="U304" s="826"/>
      <c r="V304" s="827"/>
      <c r="W304" s="827"/>
      <c r="X304" s="828"/>
      <c r="Y304" s="835"/>
      <c r="Z304" s="835"/>
      <c r="AA304" s="866"/>
      <c r="AB304" s="365"/>
      <c r="AC304" s="366"/>
      <c r="AD304" s="366"/>
      <c r="AE304" s="5416"/>
    </row>
    <row r="305" spans="1:31" ht="37.5" customHeight="1">
      <c r="A305" s="5367"/>
      <c r="B305" s="5334"/>
      <c r="C305" s="5337"/>
      <c r="D305" s="5337"/>
      <c r="E305" s="5337"/>
      <c r="F305" s="5337"/>
      <c r="G305" s="5337"/>
      <c r="H305" s="5337"/>
      <c r="I305" s="5337"/>
      <c r="J305" s="5337"/>
      <c r="K305" s="5337"/>
      <c r="L305" s="5337"/>
      <c r="M305" s="5337"/>
      <c r="N305" s="5337"/>
      <c r="O305" s="5337"/>
      <c r="P305" s="5337"/>
      <c r="Q305" s="5345"/>
      <c r="R305" s="811"/>
      <c r="S305" s="812"/>
      <c r="T305" s="840"/>
      <c r="U305" s="841"/>
      <c r="V305" s="827"/>
      <c r="W305" s="827"/>
      <c r="X305" s="828"/>
      <c r="Y305" s="835"/>
      <c r="Z305" s="835"/>
      <c r="AA305" s="830"/>
      <c r="AB305" s="365"/>
      <c r="AC305" s="366"/>
      <c r="AD305" s="366"/>
      <c r="AE305" s="5416"/>
    </row>
    <row r="306" spans="1:31" ht="37.5" customHeight="1">
      <c r="A306" s="5367"/>
      <c r="B306" s="5334"/>
      <c r="C306" s="5337"/>
      <c r="D306" s="5337"/>
      <c r="E306" s="5337"/>
      <c r="F306" s="5337"/>
      <c r="G306" s="5337"/>
      <c r="H306" s="5337"/>
      <c r="I306" s="5337"/>
      <c r="J306" s="5337"/>
      <c r="K306" s="5337"/>
      <c r="L306" s="5337"/>
      <c r="M306" s="5337"/>
      <c r="N306" s="5337"/>
      <c r="O306" s="5337"/>
      <c r="P306" s="5337"/>
      <c r="Q306" s="5345"/>
      <c r="R306" s="811"/>
      <c r="S306" s="812"/>
      <c r="T306" s="840"/>
      <c r="U306" s="841"/>
      <c r="V306" s="827"/>
      <c r="W306" s="827"/>
      <c r="X306" s="828"/>
      <c r="Y306" s="835"/>
      <c r="Z306" s="835"/>
      <c r="AA306" s="830"/>
      <c r="AB306" s="365"/>
      <c r="AC306" s="366"/>
      <c r="AD306" s="366"/>
      <c r="AE306" s="5416"/>
    </row>
    <row r="307" spans="1:31" ht="37.5" customHeight="1">
      <c r="A307" s="5367"/>
      <c r="B307" s="5334"/>
      <c r="C307" s="5337"/>
      <c r="D307" s="5337"/>
      <c r="E307" s="5337"/>
      <c r="F307" s="5337"/>
      <c r="G307" s="5337"/>
      <c r="H307" s="5337"/>
      <c r="I307" s="5337"/>
      <c r="J307" s="5337"/>
      <c r="K307" s="5337"/>
      <c r="L307" s="5337"/>
      <c r="M307" s="5337"/>
      <c r="N307" s="5337"/>
      <c r="O307" s="5337"/>
      <c r="P307" s="5337"/>
      <c r="Q307" s="5345"/>
      <c r="R307" s="867"/>
      <c r="S307" s="812"/>
      <c r="T307" s="840"/>
      <c r="U307" s="826"/>
      <c r="V307" s="827"/>
      <c r="W307" s="827"/>
      <c r="X307" s="828"/>
      <c r="Y307" s="835"/>
      <c r="Z307" s="835"/>
      <c r="AA307" s="830"/>
      <c r="AB307" s="868"/>
      <c r="AC307" s="366"/>
      <c r="AD307" s="366"/>
      <c r="AE307" s="5416"/>
    </row>
    <row r="308" spans="1:31" ht="37.5" customHeight="1">
      <c r="A308" s="5367"/>
      <c r="B308" s="5334"/>
      <c r="C308" s="5337"/>
      <c r="D308" s="5337"/>
      <c r="E308" s="5337"/>
      <c r="F308" s="5337"/>
      <c r="G308" s="5337"/>
      <c r="H308" s="5337"/>
      <c r="I308" s="5337"/>
      <c r="J308" s="5337"/>
      <c r="K308" s="5337"/>
      <c r="L308" s="5337"/>
      <c r="M308" s="5337"/>
      <c r="N308" s="5337"/>
      <c r="O308" s="5337"/>
      <c r="P308" s="5337"/>
      <c r="Q308" s="5345"/>
      <c r="R308" s="843"/>
      <c r="S308" s="831"/>
      <c r="T308" s="869"/>
      <c r="U308" s="833"/>
      <c r="V308" s="834"/>
      <c r="W308" s="834"/>
      <c r="X308" s="835"/>
      <c r="Y308" s="835"/>
      <c r="Z308" s="835"/>
      <c r="AA308" s="837"/>
      <c r="AB308" s="870"/>
      <c r="AC308" s="366"/>
      <c r="AD308" s="366"/>
      <c r="AE308" s="5416"/>
    </row>
    <row r="309" spans="1:31" ht="37.5" customHeight="1">
      <c r="A309" s="5367"/>
      <c r="B309" s="5334"/>
      <c r="C309" s="5337"/>
      <c r="D309" s="5337"/>
      <c r="E309" s="5337"/>
      <c r="F309" s="5337"/>
      <c r="G309" s="5337"/>
      <c r="H309" s="5337"/>
      <c r="I309" s="5337"/>
      <c r="J309" s="5337"/>
      <c r="K309" s="5337"/>
      <c r="L309" s="5337"/>
      <c r="M309" s="5337"/>
      <c r="N309" s="5337"/>
      <c r="O309" s="5337"/>
      <c r="P309" s="5337"/>
      <c r="Q309" s="5345"/>
      <c r="R309" s="811"/>
      <c r="S309" s="812"/>
      <c r="T309" s="838"/>
      <c r="U309" s="839"/>
      <c r="V309" s="834"/>
      <c r="W309" s="834"/>
      <c r="X309" s="835"/>
      <c r="Y309" s="835"/>
      <c r="Z309" s="835"/>
      <c r="AA309" s="837"/>
      <c r="AB309" s="871"/>
      <c r="AC309" s="366"/>
      <c r="AD309" s="366"/>
      <c r="AE309" s="5416"/>
    </row>
    <row r="310" spans="1:31" ht="37.5" customHeight="1">
      <c r="A310" s="5367"/>
      <c r="B310" s="5334"/>
      <c r="C310" s="5337"/>
      <c r="D310" s="5337"/>
      <c r="E310" s="5337"/>
      <c r="F310" s="5337"/>
      <c r="G310" s="5337"/>
      <c r="H310" s="5337"/>
      <c r="I310" s="5337"/>
      <c r="J310" s="5337"/>
      <c r="K310" s="5337"/>
      <c r="L310" s="5337"/>
      <c r="M310" s="5337"/>
      <c r="N310" s="5337"/>
      <c r="O310" s="5337"/>
      <c r="P310" s="5337"/>
      <c r="Q310" s="5345"/>
      <c r="R310" s="811"/>
      <c r="S310" s="812"/>
      <c r="T310" s="838"/>
      <c r="U310" s="841"/>
      <c r="V310" s="834"/>
      <c r="W310" s="834"/>
      <c r="X310" s="835"/>
      <c r="Y310" s="835"/>
      <c r="Z310" s="835"/>
      <c r="AA310" s="837"/>
      <c r="AB310" s="479"/>
      <c r="AC310" s="366"/>
      <c r="AD310" s="366"/>
      <c r="AE310" s="5416"/>
    </row>
    <row r="311" spans="1:31" ht="37.5" customHeight="1">
      <c r="A311" s="5367"/>
      <c r="B311" s="5334"/>
      <c r="C311" s="5337"/>
      <c r="D311" s="5337"/>
      <c r="E311" s="5337"/>
      <c r="F311" s="5337"/>
      <c r="G311" s="5337"/>
      <c r="H311" s="5337"/>
      <c r="I311" s="5337"/>
      <c r="J311" s="5337"/>
      <c r="K311" s="5337"/>
      <c r="L311" s="5337"/>
      <c r="M311" s="5337"/>
      <c r="N311" s="5337"/>
      <c r="O311" s="5337"/>
      <c r="P311" s="5337"/>
      <c r="Q311" s="5345"/>
      <c r="R311" s="872"/>
      <c r="S311" s="812"/>
      <c r="T311" s="838"/>
      <c r="U311" s="826"/>
      <c r="V311" s="827"/>
      <c r="W311" s="827"/>
      <c r="X311" s="828"/>
      <c r="Y311" s="835"/>
      <c r="Z311" s="835"/>
      <c r="AA311" s="837"/>
      <c r="AB311" s="873"/>
      <c r="AC311" s="366"/>
      <c r="AD311" s="366"/>
      <c r="AE311" s="5416"/>
    </row>
    <row r="312" spans="1:31" ht="37.5" customHeight="1">
      <c r="A312" s="5367"/>
      <c r="B312" s="5334"/>
      <c r="C312" s="5337"/>
      <c r="D312" s="5337"/>
      <c r="E312" s="5337"/>
      <c r="F312" s="5337"/>
      <c r="G312" s="5337"/>
      <c r="H312" s="5337"/>
      <c r="I312" s="5337"/>
      <c r="J312" s="5337"/>
      <c r="K312" s="5337"/>
      <c r="L312" s="5337"/>
      <c r="M312" s="5337"/>
      <c r="N312" s="5337"/>
      <c r="O312" s="5337"/>
      <c r="P312" s="5337"/>
      <c r="Q312" s="5345"/>
      <c r="R312" s="804"/>
      <c r="S312" s="812"/>
      <c r="T312" s="838"/>
      <c r="U312" s="841"/>
      <c r="V312" s="827"/>
      <c r="W312" s="827"/>
      <c r="X312" s="828"/>
      <c r="Y312" s="835"/>
      <c r="Z312" s="835"/>
      <c r="AA312" s="837"/>
      <c r="AB312" s="868"/>
      <c r="AC312" s="366"/>
      <c r="AD312" s="366"/>
      <c r="AE312" s="5416"/>
    </row>
    <row r="313" spans="1:31" ht="37.5" customHeight="1">
      <c r="A313" s="5367"/>
      <c r="B313" s="5334"/>
      <c r="C313" s="5337"/>
      <c r="D313" s="5337"/>
      <c r="E313" s="5337"/>
      <c r="F313" s="5337"/>
      <c r="G313" s="5337"/>
      <c r="H313" s="5337"/>
      <c r="I313" s="5337"/>
      <c r="J313" s="5337"/>
      <c r="K313" s="5337"/>
      <c r="L313" s="5337"/>
      <c r="M313" s="5337"/>
      <c r="N313" s="5337"/>
      <c r="O313" s="5337"/>
      <c r="P313" s="5337"/>
      <c r="Q313" s="5345"/>
      <c r="R313" s="843"/>
      <c r="S313" s="812"/>
      <c r="T313" s="838"/>
      <c r="U313" s="839"/>
      <c r="V313" s="827"/>
      <c r="W313" s="827"/>
      <c r="X313" s="828"/>
      <c r="Y313" s="835"/>
      <c r="Z313" s="835"/>
      <c r="AA313" s="837"/>
      <c r="AB313" s="874"/>
      <c r="AC313" s="366"/>
      <c r="AD313" s="366"/>
      <c r="AE313" s="5416"/>
    </row>
    <row r="314" spans="1:31" ht="37.5" customHeight="1">
      <c r="A314" s="5367"/>
      <c r="B314" s="5334"/>
      <c r="C314" s="5337"/>
      <c r="D314" s="5337"/>
      <c r="E314" s="5337"/>
      <c r="F314" s="5337"/>
      <c r="G314" s="5337"/>
      <c r="H314" s="5337"/>
      <c r="I314" s="5337"/>
      <c r="J314" s="5337"/>
      <c r="K314" s="5337"/>
      <c r="L314" s="5337"/>
      <c r="M314" s="5337"/>
      <c r="N314" s="5337"/>
      <c r="O314" s="5337"/>
      <c r="P314" s="5337"/>
      <c r="Q314" s="5345"/>
      <c r="R314" s="843"/>
      <c r="S314" s="812"/>
      <c r="T314" s="838"/>
      <c r="U314" s="841"/>
      <c r="V314" s="827"/>
      <c r="W314" s="827"/>
      <c r="X314" s="828"/>
      <c r="Y314" s="835"/>
      <c r="Z314" s="835"/>
      <c r="AA314" s="837"/>
      <c r="AB314" s="365"/>
      <c r="AC314" s="366"/>
      <c r="AD314" s="366"/>
      <c r="AE314" s="5416"/>
    </row>
    <row r="315" spans="1:31" ht="37.5" customHeight="1">
      <c r="A315" s="5367"/>
      <c r="B315" s="5334"/>
      <c r="C315" s="5337"/>
      <c r="D315" s="5337"/>
      <c r="E315" s="5337"/>
      <c r="F315" s="5337"/>
      <c r="G315" s="5337"/>
      <c r="H315" s="5337"/>
      <c r="I315" s="5337"/>
      <c r="J315" s="5337"/>
      <c r="K315" s="5337"/>
      <c r="L315" s="5337"/>
      <c r="M315" s="5337"/>
      <c r="N315" s="5337"/>
      <c r="O315" s="5337"/>
      <c r="P315" s="5337"/>
      <c r="Q315" s="5345"/>
      <c r="R315" s="845"/>
      <c r="S315" s="812"/>
      <c r="T315" s="838"/>
      <c r="U315" s="826"/>
      <c r="V315" s="827"/>
      <c r="W315" s="827"/>
      <c r="X315" s="828"/>
      <c r="Y315" s="835"/>
      <c r="Z315" s="835"/>
      <c r="AA315" s="837"/>
      <c r="AB315" s="365"/>
      <c r="AC315" s="366"/>
      <c r="AD315" s="366"/>
      <c r="AE315" s="5416"/>
    </row>
    <row r="316" spans="1:31" ht="51" customHeight="1">
      <c r="A316" s="5367"/>
      <c r="B316" s="5334"/>
      <c r="C316" s="5337"/>
      <c r="D316" s="5337"/>
      <c r="E316" s="5337"/>
      <c r="F316" s="5337"/>
      <c r="G316" s="5337"/>
      <c r="H316" s="5337"/>
      <c r="I316" s="5337"/>
      <c r="J316" s="5337"/>
      <c r="K316" s="5337"/>
      <c r="L316" s="5337"/>
      <c r="M316" s="5337"/>
      <c r="N316" s="5337"/>
      <c r="O316" s="5337"/>
      <c r="P316" s="5337"/>
      <c r="Q316" s="5345"/>
      <c r="R316" s="804"/>
      <c r="S316" s="812"/>
      <c r="T316" s="838"/>
      <c r="U316" s="826"/>
      <c r="V316" s="827"/>
      <c r="W316" s="827"/>
      <c r="X316" s="828"/>
      <c r="Y316" s="835"/>
      <c r="Z316" s="835"/>
      <c r="AA316" s="837"/>
      <c r="AB316" s="365"/>
      <c r="AC316" s="366"/>
      <c r="AD316" s="366"/>
      <c r="AE316" s="5416"/>
    </row>
    <row r="317" spans="1:31" ht="37.5" customHeight="1">
      <c r="A317" s="5367"/>
      <c r="B317" s="5334"/>
      <c r="C317" s="5337"/>
      <c r="D317" s="5337"/>
      <c r="E317" s="5337"/>
      <c r="F317" s="5337"/>
      <c r="G317" s="5337"/>
      <c r="H317" s="5337"/>
      <c r="I317" s="5337"/>
      <c r="J317" s="5337"/>
      <c r="K317" s="5337"/>
      <c r="L317" s="5337"/>
      <c r="M317" s="5337"/>
      <c r="N317" s="5337"/>
      <c r="O317" s="5337"/>
      <c r="P317" s="5337"/>
      <c r="Q317" s="5345"/>
      <c r="R317" s="845"/>
      <c r="S317" s="846"/>
      <c r="T317" s="848"/>
      <c r="U317" s="839"/>
      <c r="V317" s="827"/>
      <c r="W317" s="827"/>
      <c r="X317" s="828"/>
      <c r="Y317" s="835"/>
      <c r="Z317" s="835"/>
      <c r="AA317" s="847"/>
      <c r="AB317" s="365"/>
      <c r="AC317" s="366"/>
      <c r="AD317" s="366"/>
      <c r="AE317" s="5416"/>
    </row>
    <row r="318" spans="1:31" ht="37.5" customHeight="1">
      <c r="A318" s="5367"/>
      <c r="B318" s="5334"/>
      <c r="C318" s="5337"/>
      <c r="D318" s="5337"/>
      <c r="E318" s="5337"/>
      <c r="F318" s="5337"/>
      <c r="G318" s="5337"/>
      <c r="H318" s="5337"/>
      <c r="I318" s="5337"/>
      <c r="J318" s="5337"/>
      <c r="K318" s="5337"/>
      <c r="L318" s="5337"/>
      <c r="M318" s="5337"/>
      <c r="N318" s="5337"/>
      <c r="O318" s="5337"/>
      <c r="P318" s="5337"/>
      <c r="Q318" s="5345"/>
      <c r="R318" s="845"/>
      <c r="S318" s="846"/>
      <c r="T318" s="848"/>
      <c r="U318" s="849"/>
      <c r="V318" s="827"/>
      <c r="W318" s="827"/>
      <c r="X318" s="828"/>
      <c r="Y318" s="835"/>
      <c r="Z318" s="835"/>
      <c r="AA318" s="847"/>
      <c r="AB318" s="365"/>
      <c r="AC318" s="366"/>
      <c r="AD318" s="366"/>
      <c r="AE318" s="5416"/>
    </row>
    <row r="319" spans="1:31" ht="37.5" customHeight="1">
      <c r="A319" s="5367"/>
      <c r="B319" s="5334"/>
      <c r="C319" s="5337"/>
      <c r="D319" s="5337"/>
      <c r="E319" s="5337"/>
      <c r="F319" s="5337"/>
      <c r="G319" s="5337"/>
      <c r="H319" s="5337"/>
      <c r="I319" s="5337"/>
      <c r="J319" s="5337"/>
      <c r="K319" s="5337"/>
      <c r="L319" s="5337"/>
      <c r="M319" s="5337"/>
      <c r="N319" s="5337"/>
      <c r="O319" s="5337"/>
      <c r="P319" s="5337"/>
      <c r="Q319" s="5345"/>
      <c r="R319" s="845"/>
      <c r="S319" s="846"/>
      <c r="T319" s="848"/>
      <c r="U319" s="850"/>
      <c r="V319" s="851"/>
      <c r="W319" s="851"/>
      <c r="X319" s="861"/>
      <c r="Y319" s="875"/>
      <c r="Z319" s="875"/>
      <c r="AA319" s="847"/>
      <c r="AB319" s="365"/>
      <c r="AC319" s="366"/>
      <c r="AD319" s="366"/>
      <c r="AE319" s="5416"/>
    </row>
    <row r="320" spans="1:31" ht="37.5" customHeight="1">
      <c r="A320" s="5367"/>
      <c r="B320" s="5334"/>
      <c r="C320" s="5337"/>
      <c r="D320" s="5337"/>
      <c r="E320" s="5337"/>
      <c r="F320" s="5337"/>
      <c r="G320" s="5337"/>
      <c r="H320" s="5337"/>
      <c r="I320" s="5337"/>
      <c r="J320" s="5337"/>
      <c r="K320" s="5337"/>
      <c r="L320" s="5337"/>
      <c r="M320" s="5337"/>
      <c r="N320" s="5337"/>
      <c r="O320" s="5337"/>
      <c r="P320" s="5337"/>
      <c r="Q320" s="5345"/>
      <c r="R320" s="876"/>
      <c r="S320" s="846"/>
      <c r="T320" s="848"/>
      <c r="U320" s="849"/>
      <c r="V320" s="851"/>
      <c r="W320" s="851"/>
      <c r="X320" s="861"/>
      <c r="Y320" s="875"/>
      <c r="Z320" s="875"/>
      <c r="AA320" s="847"/>
      <c r="AB320" s="365"/>
      <c r="AC320" s="366"/>
      <c r="AD320" s="366"/>
      <c r="AE320" s="5416"/>
    </row>
    <row r="321" spans="1:31" ht="37.5" customHeight="1">
      <c r="A321" s="5367"/>
      <c r="B321" s="5334"/>
      <c r="C321" s="5337"/>
      <c r="D321" s="5337"/>
      <c r="E321" s="5337"/>
      <c r="F321" s="5337"/>
      <c r="G321" s="5337"/>
      <c r="H321" s="5337"/>
      <c r="I321" s="5337"/>
      <c r="J321" s="5337"/>
      <c r="K321" s="5337"/>
      <c r="L321" s="5337"/>
      <c r="M321" s="5337"/>
      <c r="N321" s="5337"/>
      <c r="O321" s="5337"/>
      <c r="P321" s="5337"/>
      <c r="Q321" s="5345"/>
      <c r="R321" s="845"/>
      <c r="S321" s="846"/>
      <c r="T321" s="848"/>
      <c r="U321" s="853"/>
      <c r="V321" s="851"/>
      <c r="W321" s="851"/>
      <c r="X321" s="861"/>
      <c r="Y321" s="875"/>
      <c r="Z321" s="875"/>
      <c r="AA321" s="847"/>
      <c r="AB321" s="365"/>
      <c r="AC321" s="366"/>
      <c r="AD321" s="366"/>
      <c r="AE321" s="5416"/>
    </row>
    <row r="322" spans="1:31" ht="37.5" customHeight="1">
      <c r="A322" s="5367"/>
      <c r="B322" s="5334"/>
      <c r="C322" s="5337"/>
      <c r="D322" s="5337"/>
      <c r="E322" s="5337"/>
      <c r="F322" s="5337"/>
      <c r="G322" s="5337"/>
      <c r="H322" s="5337"/>
      <c r="I322" s="5337"/>
      <c r="J322" s="5337"/>
      <c r="K322" s="5337"/>
      <c r="L322" s="5337"/>
      <c r="M322" s="5337"/>
      <c r="N322" s="5337"/>
      <c r="O322" s="5337"/>
      <c r="P322" s="5337"/>
      <c r="Q322" s="5345"/>
      <c r="R322" s="845"/>
      <c r="S322" s="846"/>
      <c r="T322" s="877"/>
      <c r="U322" s="849"/>
      <c r="V322" s="851"/>
      <c r="W322" s="851"/>
      <c r="X322" s="861"/>
      <c r="Y322" s="875"/>
      <c r="Z322" s="875"/>
      <c r="AA322" s="847"/>
      <c r="AB322" s="365"/>
      <c r="AC322" s="366"/>
      <c r="AD322" s="366"/>
      <c r="AE322" s="5416"/>
    </row>
    <row r="323" spans="1:31" ht="37.5" customHeight="1">
      <c r="A323" s="5367"/>
      <c r="B323" s="5334"/>
      <c r="C323" s="5337"/>
      <c r="D323" s="5337"/>
      <c r="E323" s="5337"/>
      <c r="F323" s="5337"/>
      <c r="G323" s="5337"/>
      <c r="H323" s="5337"/>
      <c r="I323" s="5337"/>
      <c r="J323" s="5337"/>
      <c r="K323" s="5337"/>
      <c r="L323" s="5337"/>
      <c r="M323" s="5337"/>
      <c r="N323" s="5337"/>
      <c r="O323" s="5337"/>
      <c r="P323" s="5337"/>
      <c r="Q323" s="5345"/>
      <c r="R323" s="845"/>
      <c r="S323" s="846"/>
      <c r="T323" s="877"/>
      <c r="U323" s="850"/>
      <c r="V323" s="851"/>
      <c r="W323" s="851"/>
      <c r="X323" s="861"/>
      <c r="Y323" s="875"/>
      <c r="Z323" s="875"/>
      <c r="AA323" s="847"/>
      <c r="AB323" s="365"/>
      <c r="AC323" s="366"/>
      <c r="AD323" s="366"/>
      <c r="AE323" s="5416"/>
    </row>
    <row r="324" spans="1:31" ht="37.5" customHeight="1">
      <c r="A324" s="5367"/>
      <c r="B324" s="5334"/>
      <c r="C324" s="5337"/>
      <c r="D324" s="5337"/>
      <c r="E324" s="5337"/>
      <c r="F324" s="5337"/>
      <c r="G324" s="5337"/>
      <c r="H324" s="5337"/>
      <c r="I324" s="5337"/>
      <c r="J324" s="5337"/>
      <c r="K324" s="5337"/>
      <c r="L324" s="5337"/>
      <c r="M324" s="5337"/>
      <c r="N324" s="5337"/>
      <c r="O324" s="5337"/>
      <c r="P324" s="5337"/>
      <c r="Q324" s="5345"/>
      <c r="R324" s="876"/>
      <c r="S324" s="846"/>
      <c r="T324" s="878"/>
      <c r="U324" s="850"/>
      <c r="V324" s="879"/>
      <c r="W324" s="879"/>
      <c r="X324" s="875"/>
      <c r="Y324" s="875"/>
      <c r="Z324" s="875"/>
      <c r="AA324" s="847"/>
      <c r="AB324" s="365"/>
      <c r="AC324" s="366"/>
      <c r="AD324" s="366"/>
      <c r="AE324" s="5416"/>
    </row>
    <row r="325" spans="1:31" ht="37.5" customHeight="1">
      <c r="A325" s="5367"/>
      <c r="B325" s="5334"/>
      <c r="C325" s="5337"/>
      <c r="D325" s="5337"/>
      <c r="E325" s="5337"/>
      <c r="F325" s="5337"/>
      <c r="G325" s="5337"/>
      <c r="H325" s="5337"/>
      <c r="I325" s="5337"/>
      <c r="J325" s="5337"/>
      <c r="K325" s="5337"/>
      <c r="L325" s="5337"/>
      <c r="M325" s="5337"/>
      <c r="N325" s="5337"/>
      <c r="O325" s="5337"/>
      <c r="P325" s="5337"/>
      <c r="Q325" s="5345"/>
      <c r="R325" s="880"/>
      <c r="S325" s="862"/>
      <c r="T325" s="881"/>
      <c r="U325" s="844"/>
      <c r="V325" s="879"/>
      <c r="W325" s="879"/>
      <c r="X325" s="875"/>
      <c r="Y325" s="875"/>
      <c r="Z325" s="875"/>
      <c r="AA325" s="882"/>
      <c r="AB325" s="365"/>
      <c r="AC325" s="366"/>
      <c r="AD325" s="366"/>
      <c r="AE325" s="5416"/>
    </row>
    <row r="326" spans="1:31" ht="37.5" customHeight="1">
      <c r="A326" s="5367"/>
      <c r="B326" s="5335"/>
      <c r="C326" s="5338"/>
      <c r="D326" s="5338"/>
      <c r="E326" s="5338"/>
      <c r="F326" s="5338"/>
      <c r="G326" s="5338"/>
      <c r="H326" s="5338"/>
      <c r="I326" s="5338"/>
      <c r="J326" s="5338"/>
      <c r="K326" s="5338"/>
      <c r="L326" s="5338"/>
      <c r="M326" s="5338"/>
      <c r="N326" s="5338"/>
      <c r="O326" s="5338"/>
      <c r="P326" s="5338"/>
      <c r="Q326" s="5346"/>
      <c r="R326" s="883"/>
      <c r="S326" s="884"/>
      <c r="T326" s="885"/>
      <c r="U326" s="884"/>
      <c r="V326" s="879"/>
      <c r="W326" s="879"/>
      <c r="X326" s="875"/>
      <c r="Y326" s="875"/>
      <c r="Z326" s="875"/>
      <c r="AA326" s="886"/>
      <c r="AB326" s="361"/>
      <c r="AC326" s="354"/>
      <c r="AD326" s="354"/>
      <c r="AE326" s="5417"/>
    </row>
    <row r="327" spans="1:31" ht="37.5" customHeight="1">
      <c r="A327" s="5367"/>
      <c r="B327" s="5333" t="s">
        <v>235</v>
      </c>
      <c r="C327" s="5336" t="s">
        <v>236</v>
      </c>
      <c r="D327" s="5336" t="s">
        <v>237</v>
      </c>
      <c r="E327" s="5336" t="s">
        <v>289</v>
      </c>
      <c r="F327" s="5341" t="s">
        <v>239</v>
      </c>
      <c r="G327" s="5336" t="s">
        <v>240</v>
      </c>
      <c r="H327" s="5336" t="s">
        <v>257</v>
      </c>
      <c r="I327" s="5336" t="s">
        <v>2180</v>
      </c>
      <c r="J327" s="5347" t="s">
        <v>2181</v>
      </c>
      <c r="K327" s="5340" t="s">
        <v>2182</v>
      </c>
      <c r="L327" s="5343">
        <v>0</v>
      </c>
      <c r="M327" s="5343">
        <v>4</v>
      </c>
      <c r="N327" s="5343">
        <v>4</v>
      </c>
      <c r="O327" s="5340" t="s">
        <v>2183</v>
      </c>
      <c r="P327" s="5340" t="s">
        <v>2184</v>
      </c>
      <c r="Q327" s="5393" t="s">
        <v>2185</v>
      </c>
      <c r="R327" s="792"/>
      <c r="S327" s="734"/>
      <c r="T327" s="734"/>
      <c r="U327" s="741"/>
      <c r="V327" s="731"/>
      <c r="W327" s="731"/>
      <c r="X327" s="732"/>
      <c r="Y327" s="732"/>
      <c r="Z327" s="732"/>
      <c r="AA327" s="742"/>
      <c r="AB327" s="414"/>
      <c r="AC327" s="174"/>
      <c r="AD327" s="174"/>
      <c r="AE327" s="5415" t="s">
        <v>2166</v>
      </c>
    </row>
    <row r="328" spans="1:31" ht="37.5" customHeight="1">
      <c r="A328" s="5367"/>
      <c r="B328" s="5334"/>
      <c r="C328" s="5337"/>
      <c r="D328" s="5337"/>
      <c r="E328" s="5337"/>
      <c r="F328" s="5337"/>
      <c r="G328" s="5337"/>
      <c r="H328" s="5337"/>
      <c r="I328" s="5337"/>
      <c r="J328" s="5337"/>
      <c r="K328" s="5337"/>
      <c r="L328" s="5337"/>
      <c r="M328" s="5337"/>
      <c r="N328" s="5337"/>
      <c r="O328" s="5337"/>
      <c r="P328" s="5337"/>
      <c r="Q328" s="5345"/>
      <c r="R328" s="790"/>
      <c r="S328" s="724"/>
      <c r="T328" s="724"/>
      <c r="U328" s="798"/>
      <c r="V328" s="725"/>
      <c r="W328" s="725"/>
      <c r="X328" s="726"/>
      <c r="Y328" s="726"/>
      <c r="Z328" s="726"/>
      <c r="AA328" s="727"/>
      <c r="AB328" s="170"/>
      <c r="AC328" s="282"/>
      <c r="AD328" s="282"/>
      <c r="AE328" s="5416"/>
    </row>
    <row r="329" spans="1:31" ht="37.5" customHeight="1">
      <c r="A329" s="5367"/>
      <c r="B329" s="5334"/>
      <c r="C329" s="5337"/>
      <c r="D329" s="5337"/>
      <c r="E329" s="5337"/>
      <c r="F329" s="5337"/>
      <c r="G329" s="5337"/>
      <c r="H329" s="5337"/>
      <c r="I329" s="5337"/>
      <c r="J329" s="5337"/>
      <c r="K329" s="5337"/>
      <c r="L329" s="5337"/>
      <c r="M329" s="5337"/>
      <c r="N329" s="5337"/>
      <c r="O329" s="5337"/>
      <c r="P329" s="5337"/>
      <c r="Q329" s="5345"/>
      <c r="R329" s="791"/>
      <c r="S329" s="729"/>
      <c r="T329" s="729"/>
      <c r="U329" s="730"/>
      <c r="V329" s="731"/>
      <c r="W329" s="731"/>
      <c r="X329" s="732"/>
      <c r="Y329" s="726"/>
      <c r="Z329" s="726"/>
      <c r="AA329" s="727"/>
      <c r="AB329" s="170"/>
      <c r="AC329" s="282"/>
      <c r="AD329" s="282"/>
      <c r="AE329" s="5416"/>
    </row>
    <row r="330" spans="1:31" ht="37.5" customHeight="1">
      <c r="A330" s="5367"/>
      <c r="B330" s="5334"/>
      <c r="C330" s="5337"/>
      <c r="D330" s="5337"/>
      <c r="E330" s="5337"/>
      <c r="F330" s="5337"/>
      <c r="G330" s="5337"/>
      <c r="H330" s="5337"/>
      <c r="I330" s="5337"/>
      <c r="J330" s="5337"/>
      <c r="K330" s="5337"/>
      <c r="L330" s="5337"/>
      <c r="M330" s="5337"/>
      <c r="N330" s="5337"/>
      <c r="O330" s="5337"/>
      <c r="P330" s="5337"/>
      <c r="Q330" s="5345"/>
      <c r="R330" s="792"/>
      <c r="S330" s="734"/>
      <c r="T330" s="734"/>
      <c r="U330" s="730"/>
      <c r="V330" s="731"/>
      <c r="W330" s="731"/>
      <c r="X330" s="732"/>
      <c r="Y330" s="726"/>
      <c r="Z330" s="726"/>
      <c r="AA330" s="727"/>
      <c r="AB330" s="170"/>
      <c r="AC330" s="282"/>
      <c r="AD330" s="282"/>
      <c r="AE330" s="5416"/>
    </row>
    <row r="331" spans="1:31" ht="37.5" customHeight="1">
      <c r="A331" s="5367"/>
      <c r="B331" s="5335"/>
      <c r="C331" s="5338"/>
      <c r="D331" s="5338"/>
      <c r="E331" s="5338"/>
      <c r="F331" s="5338"/>
      <c r="G331" s="5338"/>
      <c r="H331" s="5338"/>
      <c r="I331" s="5338"/>
      <c r="J331" s="5338"/>
      <c r="K331" s="5338"/>
      <c r="L331" s="5338"/>
      <c r="M331" s="5338"/>
      <c r="N331" s="5338"/>
      <c r="O331" s="5338"/>
      <c r="P331" s="5338"/>
      <c r="Q331" s="5346"/>
      <c r="R331" s="796"/>
      <c r="S331" s="736"/>
      <c r="T331" s="736"/>
      <c r="U331" s="737"/>
      <c r="V331" s="738"/>
      <c r="W331" s="738"/>
      <c r="X331" s="739"/>
      <c r="Y331" s="739"/>
      <c r="Z331" s="739"/>
      <c r="AA331" s="740"/>
      <c r="AB331" s="165"/>
      <c r="AC331" s="166"/>
      <c r="AD331" s="166"/>
      <c r="AE331" s="5417"/>
    </row>
    <row r="332" spans="1:31" ht="37.5" customHeight="1">
      <c r="A332" s="5367"/>
      <c r="B332" s="5339" t="s">
        <v>235</v>
      </c>
      <c r="C332" s="5340" t="s">
        <v>236</v>
      </c>
      <c r="D332" s="5347" t="s">
        <v>244</v>
      </c>
      <c r="E332" s="5347" t="s">
        <v>808</v>
      </c>
      <c r="F332" s="5371" t="s">
        <v>239</v>
      </c>
      <c r="G332" s="5336" t="s">
        <v>240</v>
      </c>
      <c r="H332" s="5336" t="s">
        <v>257</v>
      </c>
      <c r="I332" s="5336" t="s">
        <v>2186</v>
      </c>
      <c r="J332" s="5347" t="s">
        <v>2187</v>
      </c>
      <c r="K332" s="5340" t="s">
        <v>2188</v>
      </c>
      <c r="L332" s="5343">
        <v>0</v>
      </c>
      <c r="M332" s="5343">
        <v>3</v>
      </c>
      <c r="N332" s="5343">
        <v>3</v>
      </c>
      <c r="O332" s="5340" t="s">
        <v>2189</v>
      </c>
      <c r="P332" s="5340" t="s">
        <v>2190</v>
      </c>
      <c r="Q332" s="5393" t="s">
        <v>2165</v>
      </c>
      <c r="R332" s="792"/>
      <c r="S332" s="734"/>
      <c r="T332" s="734"/>
      <c r="U332" s="741"/>
      <c r="V332" s="731"/>
      <c r="W332" s="731"/>
      <c r="X332" s="732"/>
      <c r="Y332" s="732"/>
      <c r="Z332" s="732"/>
      <c r="AA332" s="742"/>
      <c r="AB332" s="414"/>
      <c r="AC332" s="174"/>
      <c r="AD332" s="174"/>
      <c r="AE332" s="5415"/>
    </row>
    <row r="333" spans="1:31" ht="37.5" customHeight="1">
      <c r="A333" s="5367"/>
      <c r="B333" s="5334"/>
      <c r="C333" s="5337"/>
      <c r="D333" s="5337"/>
      <c r="E333" s="5337"/>
      <c r="F333" s="5337"/>
      <c r="G333" s="5337"/>
      <c r="H333" s="5337"/>
      <c r="I333" s="5337"/>
      <c r="J333" s="5337"/>
      <c r="K333" s="5337"/>
      <c r="L333" s="5337"/>
      <c r="M333" s="5337"/>
      <c r="N333" s="5337"/>
      <c r="O333" s="5337"/>
      <c r="P333" s="5337"/>
      <c r="Q333" s="5345"/>
      <c r="R333" s="790"/>
      <c r="S333" s="724"/>
      <c r="T333" s="724"/>
      <c r="U333" s="798"/>
      <c r="V333" s="725"/>
      <c r="W333" s="725"/>
      <c r="X333" s="726"/>
      <c r="Y333" s="726"/>
      <c r="Z333" s="726"/>
      <c r="AA333" s="727"/>
      <c r="AB333" s="170"/>
      <c r="AC333" s="282"/>
      <c r="AD333" s="282"/>
      <c r="AE333" s="5416"/>
    </row>
    <row r="334" spans="1:31" ht="37.5" customHeight="1">
      <c r="A334" s="5367"/>
      <c r="B334" s="5334"/>
      <c r="C334" s="5337"/>
      <c r="D334" s="5337"/>
      <c r="E334" s="5337"/>
      <c r="F334" s="5337"/>
      <c r="G334" s="5337"/>
      <c r="H334" s="5337"/>
      <c r="I334" s="5337"/>
      <c r="J334" s="5337"/>
      <c r="K334" s="5337"/>
      <c r="L334" s="5337"/>
      <c r="M334" s="5337"/>
      <c r="N334" s="5337"/>
      <c r="O334" s="5337"/>
      <c r="P334" s="5337"/>
      <c r="Q334" s="5345"/>
      <c r="R334" s="791"/>
      <c r="S334" s="729"/>
      <c r="T334" s="729"/>
      <c r="U334" s="730"/>
      <c r="V334" s="731"/>
      <c r="W334" s="731"/>
      <c r="X334" s="732"/>
      <c r="Y334" s="726"/>
      <c r="Z334" s="726"/>
      <c r="AA334" s="727"/>
      <c r="AB334" s="170"/>
      <c r="AC334" s="282"/>
      <c r="AD334" s="282"/>
      <c r="AE334" s="5416"/>
    </row>
    <row r="335" spans="1:31" ht="37.5" customHeight="1">
      <c r="A335" s="5367"/>
      <c r="B335" s="5334"/>
      <c r="C335" s="5337"/>
      <c r="D335" s="5337"/>
      <c r="E335" s="5337"/>
      <c r="F335" s="5337"/>
      <c r="G335" s="5337"/>
      <c r="H335" s="5337"/>
      <c r="I335" s="5337"/>
      <c r="J335" s="5337"/>
      <c r="K335" s="5337"/>
      <c r="L335" s="5337"/>
      <c r="M335" s="5337"/>
      <c r="N335" s="5337"/>
      <c r="O335" s="5337"/>
      <c r="P335" s="5337"/>
      <c r="Q335" s="5345"/>
      <c r="R335" s="792"/>
      <c r="S335" s="734"/>
      <c r="T335" s="734"/>
      <c r="U335" s="730"/>
      <c r="V335" s="731"/>
      <c r="W335" s="731"/>
      <c r="X335" s="732"/>
      <c r="Y335" s="726"/>
      <c r="Z335" s="726"/>
      <c r="AA335" s="727"/>
      <c r="AB335" s="170"/>
      <c r="AC335" s="282"/>
      <c r="AD335" s="282"/>
      <c r="AE335" s="5416"/>
    </row>
    <row r="336" spans="1:31" ht="37.5" customHeight="1">
      <c r="A336" s="5367"/>
      <c r="B336" s="5335"/>
      <c r="C336" s="5338"/>
      <c r="D336" s="5338"/>
      <c r="E336" s="5338"/>
      <c r="F336" s="5338"/>
      <c r="G336" s="5338"/>
      <c r="H336" s="5338"/>
      <c r="I336" s="5338"/>
      <c r="J336" s="5338"/>
      <c r="K336" s="5338"/>
      <c r="L336" s="5338"/>
      <c r="M336" s="5338"/>
      <c r="N336" s="5338"/>
      <c r="O336" s="5338"/>
      <c r="P336" s="5338"/>
      <c r="Q336" s="5346"/>
      <c r="R336" s="796"/>
      <c r="S336" s="736"/>
      <c r="T336" s="736"/>
      <c r="U336" s="737"/>
      <c r="V336" s="738"/>
      <c r="W336" s="738"/>
      <c r="X336" s="739"/>
      <c r="Y336" s="739"/>
      <c r="Z336" s="739"/>
      <c r="AA336" s="740"/>
      <c r="AB336" s="165"/>
      <c r="AC336" s="166"/>
      <c r="AD336" s="166"/>
      <c r="AE336" s="5417"/>
    </row>
    <row r="337" spans="1:31" ht="37.5" customHeight="1">
      <c r="A337" s="5367"/>
      <c r="B337" s="5333" t="s">
        <v>272</v>
      </c>
      <c r="C337" s="5336" t="s">
        <v>302</v>
      </c>
      <c r="D337" s="5336" t="s">
        <v>303</v>
      </c>
      <c r="E337" s="5336" t="s">
        <v>318</v>
      </c>
      <c r="F337" s="5341" t="s">
        <v>305</v>
      </c>
      <c r="G337" s="5336" t="s">
        <v>240</v>
      </c>
      <c r="H337" s="5336" t="s">
        <v>278</v>
      </c>
      <c r="I337" s="5336" t="s">
        <v>2191</v>
      </c>
      <c r="J337" s="5347" t="s">
        <v>1850</v>
      </c>
      <c r="K337" s="5336" t="s">
        <v>2192</v>
      </c>
      <c r="L337" s="5343">
        <v>0</v>
      </c>
      <c r="M337" s="5343">
        <v>1</v>
      </c>
      <c r="N337" s="5343">
        <v>1</v>
      </c>
      <c r="O337" s="5340" t="s">
        <v>2193</v>
      </c>
      <c r="P337" s="5340" t="s">
        <v>2194</v>
      </c>
      <c r="Q337" s="5393" t="s">
        <v>2165</v>
      </c>
      <c r="R337" s="792"/>
      <c r="S337" s="734"/>
      <c r="T337" s="734"/>
      <c r="U337" s="741"/>
      <c r="V337" s="731"/>
      <c r="W337" s="731"/>
      <c r="X337" s="732"/>
      <c r="Y337" s="732"/>
      <c r="Z337" s="732"/>
      <c r="AA337" s="742"/>
      <c r="AB337" s="414"/>
      <c r="AC337" s="174"/>
      <c r="AD337" s="174"/>
      <c r="AE337" s="5415"/>
    </row>
    <row r="338" spans="1:31" ht="37.5" customHeight="1">
      <c r="A338" s="5367"/>
      <c r="B338" s="5334"/>
      <c r="C338" s="5337"/>
      <c r="D338" s="5337"/>
      <c r="E338" s="5337"/>
      <c r="F338" s="5337"/>
      <c r="G338" s="5337"/>
      <c r="H338" s="5337"/>
      <c r="I338" s="5337"/>
      <c r="J338" s="5337"/>
      <c r="K338" s="5337"/>
      <c r="L338" s="5337"/>
      <c r="M338" s="5337"/>
      <c r="N338" s="5337"/>
      <c r="O338" s="5337"/>
      <c r="P338" s="5337"/>
      <c r="Q338" s="5345"/>
      <c r="R338" s="790"/>
      <c r="S338" s="724"/>
      <c r="T338" s="724"/>
      <c r="U338" s="798"/>
      <c r="V338" s="725"/>
      <c r="W338" s="725"/>
      <c r="X338" s="726"/>
      <c r="Y338" s="726"/>
      <c r="Z338" s="726"/>
      <c r="AA338" s="727"/>
      <c r="AB338" s="170"/>
      <c r="AC338" s="282"/>
      <c r="AD338" s="282"/>
      <c r="AE338" s="5416"/>
    </row>
    <row r="339" spans="1:31" ht="37.5" customHeight="1">
      <c r="A339" s="5367"/>
      <c r="B339" s="5334"/>
      <c r="C339" s="5337"/>
      <c r="D339" s="5337"/>
      <c r="E339" s="5337"/>
      <c r="F339" s="5337"/>
      <c r="G339" s="5337"/>
      <c r="H339" s="5337"/>
      <c r="I339" s="5337"/>
      <c r="J339" s="5337"/>
      <c r="K339" s="5337"/>
      <c r="L339" s="5337"/>
      <c r="M339" s="5337"/>
      <c r="N339" s="5337"/>
      <c r="O339" s="5337"/>
      <c r="P339" s="5337"/>
      <c r="Q339" s="5345"/>
      <c r="R339" s="791"/>
      <c r="S339" s="729"/>
      <c r="T339" s="729"/>
      <c r="U339" s="730"/>
      <c r="V339" s="731"/>
      <c r="W339" s="731"/>
      <c r="X339" s="732"/>
      <c r="Y339" s="726"/>
      <c r="Z339" s="726"/>
      <c r="AA339" s="727"/>
      <c r="AB339" s="170"/>
      <c r="AC339" s="282"/>
      <c r="AD339" s="282"/>
      <c r="AE339" s="5416"/>
    </row>
    <row r="340" spans="1:31" ht="37.5" customHeight="1">
      <c r="A340" s="5367"/>
      <c r="B340" s="5334"/>
      <c r="C340" s="5337"/>
      <c r="D340" s="5337"/>
      <c r="E340" s="5337"/>
      <c r="F340" s="5337"/>
      <c r="G340" s="5337"/>
      <c r="H340" s="5337"/>
      <c r="I340" s="5337"/>
      <c r="J340" s="5337"/>
      <c r="K340" s="5337"/>
      <c r="L340" s="5337"/>
      <c r="M340" s="5337"/>
      <c r="N340" s="5337"/>
      <c r="O340" s="5337"/>
      <c r="P340" s="5337"/>
      <c r="Q340" s="5345"/>
      <c r="R340" s="792"/>
      <c r="S340" s="734"/>
      <c r="T340" s="734"/>
      <c r="U340" s="730"/>
      <c r="V340" s="731"/>
      <c r="W340" s="731"/>
      <c r="X340" s="732"/>
      <c r="Y340" s="726"/>
      <c r="Z340" s="726"/>
      <c r="AA340" s="727"/>
      <c r="AB340" s="170"/>
      <c r="AC340" s="282"/>
      <c r="AD340" s="282"/>
      <c r="AE340" s="5416"/>
    </row>
    <row r="341" spans="1:31" ht="37.5" customHeight="1">
      <c r="A341" s="5367"/>
      <c r="B341" s="5335"/>
      <c r="C341" s="5338"/>
      <c r="D341" s="5338"/>
      <c r="E341" s="5338"/>
      <c r="F341" s="5338"/>
      <c r="G341" s="5338"/>
      <c r="H341" s="5338"/>
      <c r="I341" s="5338"/>
      <c r="J341" s="5338"/>
      <c r="K341" s="5338"/>
      <c r="L341" s="5338"/>
      <c r="M341" s="5338"/>
      <c r="N341" s="5338"/>
      <c r="O341" s="5338"/>
      <c r="P341" s="5338"/>
      <c r="Q341" s="5346"/>
      <c r="R341" s="796"/>
      <c r="S341" s="736"/>
      <c r="T341" s="736"/>
      <c r="U341" s="737"/>
      <c r="V341" s="738"/>
      <c r="W341" s="738"/>
      <c r="X341" s="739"/>
      <c r="Y341" s="739"/>
      <c r="Z341" s="739"/>
      <c r="AA341" s="740"/>
      <c r="AB341" s="165"/>
      <c r="AC341" s="166"/>
      <c r="AD341" s="166"/>
      <c r="AE341" s="5417"/>
    </row>
    <row r="342" spans="1:31" ht="37.5" customHeight="1">
      <c r="A342" s="5367"/>
      <c r="B342" s="5333" t="s">
        <v>272</v>
      </c>
      <c r="C342" s="5336" t="s">
        <v>302</v>
      </c>
      <c r="D342" s="5340" t="s">
        <v>303</v>
      </c>
      <c r="E342" s="5340" t="s">
        <v>304</v>
      </c>
      <c r="F342" s="5341" t="s">
        <v>305</v>
      </c>
      <c r="G342" s="5336" t="s">
        <v>240</v>
      </c>
      <c r="H342" s="5336" t="s">
        <v>278</v>
      </c>
      <c r="I342" s="5336" t="s">
        <v>2195</v>
      </c>
      <c r="J342" s="5347" t="s">
        <v>1855</v>
      </c>
      <c r="K342" s="5340" t="s">
        <v>2196</v>
      </c>
      <c r="L342" s="5343">
        <v>0</v>
      </c>
      <c r="M342" s="5343">
        <v>16</v>
      </c>
      <c r="N342" s="5343">
        <v>16</v>
      </c>
      <c r="O342" s="5340" t="s">
        <v>2197</v>
      </c>
      <c r="P342" s="5340" t="s">
        <v>2198</v>
      </c>
      <c r="Q342" s="5393" t="s">
        <v>2199</v>
      </c>
      <c r="R342" s="792"/>
      <c r="S342" s="734"/>
      <c r="T342" s="734"/>
      <c r="U342" s="741"/>
      <c r="V342" s="731"/>
      <c r="W342" s="731"/>
      <c r="X342" s="732"/>
      <c r="Y342" s="732"/>
      <c r="Z342" s="732"/>
      <c r="AA342" s="742"/>
      <c r="AB342" s="414"/>
      <c r="AC342" s="174"/>
      <c r="AD342" s="174"/>
      <c r="AE342" s="5415"/>
    </row>
    <row r="343" spans="1:31" ht="37.5" customHeight="1">
      <c r="A343" s="5367"/>
      <c r="B343" s="5334"/>
      <c r="C343" s="5337"/>
      <c r="D343" s="5337"/>
      <c r="E343" s="5337"/>
      <c r="F343" s="5337"/>
      <c r="G343" s="5337"/>
      <c r="H343" s="5337"/>
      <c r="I343" s="5337"/>
      <c r="J343" s="5337"/>
      <c r="K343" s="5337"/>
      <c r="L343" s="5337"/>
      <c r="M343" s="5337"/>
      <c r="N343" s="5337"/>
      <c r="O343" s="5337"/>
      <c r="P343" s="5337"/>
      <c r="Q343" s="5345"/>
      <c r="R343" s="790"/>
      <c r="S343" s="724"/>
      <c r="T343" s="724"/>
      <c r="U343" s="798"/>
      <c r="V343" s="725"/>
      <c r="W343" s="725"/>
      <c r="X343" s="726"/>
      <c r="Y343" s="726"/>
      <c r="Z343" s="726"/>
      <c r="AA343" s="727"/>
      <c r="AB343" s="170"/>
      <c r="AC343" s="282"/>
      <c r="AD343" s="282"/>
      <c r="AE343" s="5416"/>
    </row>
    <row r="344" spans="1:31" ht="37.5" customHeight="1">
      <c r="A344" s="5367"/>
      <c r="B344" s="5334"/>
      <c r="C344" s="5337"/>
      <c r="D344" s="5337"/>
      <c r="E344" s="5337"/>
      <c r="F344" s="5337"/>
      <c r="G344" s="5337"/>
      <c r="H344" s="5337"/>
      <c r="I344" s="5337"/>
      <c r="J344" s="5337"/>
      <c r="K344" s="5337"/>
      <c r="L344" s="5337"/>
      <c r="M344" s="5337"/>
      <c r="N344" s="5337"/>
      <c r="O344" s="5337"/>
      <c r="P344" s="5337"/>
      <c r="Q344" s="5345"/>
      <c r="R344" s="791"/>
      <c r="S344" s="729"/>
      <c r="T344" s="729"/>
      <c r="U344" s="730"/>
      <c r="V344" s="731"/>
      <c r="W344" s="731"/>
      <c r="X344" s="732"/>
      <c r="Y344" s="726"/>
      <c r="Z344" s="726"/>
      <c r="AA344" s="727"/>
      <c r="AB344" s="170"/>
      <c r="AC344" s="282"/>
      <c r="AD344" s="282"/>
      <c r="AE344" s="5416"/>
    </row>
    <row r="345" spans="1:31" ht="37.5" customHeight="1">
      <c r="A345" s="5367"/>
      <c r="B345" s="5334"/>
      <c r="C345" s="5337"/>
      <c r="D345" s="5337"/>
      <c r="E345" s="5337"/>
      <c r="F345" s="5337"/>
      <c r="G345" s="5337"/>
      <c r="H345" s="5337"/>
      <c r="I345" s="5337"/>
      <c r="J345" s="5337"/>
      <c r="K345" s="5337"/>
      <c r="L345" s="5337"/>
      <c r="M345" s="5337"/>
      <c r="N345" s="5337"/>
      <c r="O345" s="5337"/>
      <c r="P345" s="5337"/>
      <c r="Q345" s="5345"/>
      <c r="R345" s="792"/>
      <c r="S345" s="734"/>
      <c r="T345" s="734"/>
      <c r="U345" s="730"/>
      <c r="V345" s="731"/>
      <c r="W345" s="731"/>
      <c r="X345" s="732"/>
      <c r="Y345" s="726"/>
      <c r="Z345" s="726"/>
      <c r="AA345" s="727"/>
      <c r="AB345" s="170"/>
      <c r="AC345" s="282"/>
      <c r="AD345" s="282"/>
      <c r="AE345" s="5416"/>
    </row>
    <row r="346" spans="1:31" ht="37.5" customHeight="1">
      <c r="A346" s="5367"/>
      <c r="B346" s="5335"/>
      <c r="C346" s="5338"/>
      <c r="D346" s="5338"/>
      <c r="E346" s="5338"/>
      <c r="F346" s="5338"/>
      <c r="G346" s="5338"/>
      <c r="H346" s="5338"/>
      <c r="I346" s="5338"/>
      <c r="J346" s="5338"/>
      <c r="K346" s="5338"/>
      <c r="L346" s="5338"/>
      <c r="M346" s="5338"/>
      <c r="N346" s="5338"/>
      <c r="O346" s="5338"/>
      <c r="P346" s="5338"/>
      <c r="Q346" s="5346"/>
      <c r="R346" s="796"/>
      <c r="S346" s="736"/>
      <c r="T346" s="736"/>
      <c r="U346" s="737"/>
      <c r="V346" s="738"/>
      <c r="W346" s="738"/>
      <c r="X346" s="739"/>
      <c r="Y346" s="739"/>
      <c r="Z346" s="739"/>
      <c r="AA346" s="740"/>
      <c r="AB346" s="165"/>
      <c r="AC346" s="166"/>
      <c r="AD346" s="166"/>
      <c r="AE346" s="5417"/>
    </row>
    <row r="347" spans="1:31" ht="37.5" customHeight="1">
      <c r="A347" s="5367"/>
      <c r="B347" s="5333" t="s">
        <v>272</v>
      </c>
      <c r="C347" s="5336" t="s">
        <v>302</v>
      </c>
      <c r="D347" s="5336" t="s">
        <v>303</v>
      </c>
      <c r="E347" s="5336" t="s">
        <v>318</v>
      </c>
      <c r="F347" s="5341" t="s">
        <v>305</v>
      </c>
      <c r="G347" s="5336" t="s">
        <v>262</v>
      </c>
      <c r="H347" s="5336" t="s">
        <v>257</v>
      </c>
      <c r="I347" s="5336" t="s">
        <v>2200</v>
      </c>
      <c r="J347" s="5347" t="s">
        <v>2201</v>
      </c>
      <c r="K347" s="5340" t="s">
        <v>2202</v>
      </c>
      <c r="L347" s="5343">
        <v>0</v>
      </c>
      <c r="M347" s="5343">
        <v>2</v>
      </c>
      <c r="N347" s="5343">
        <v>2</v>
      </c>
      <c r="O347" s="5340" t="s">
        <v>2203</v>
      </c>
      <c r="P347" s="5340" t="s">
        <v>2204</v>
      </c>
      <c r="Q347" s="5393" t="s">
        <v>2205</v>
      </c>
      <c r="R347" s="792"/>
      <c r="S347" s="734"/>
      <c r="T347" s="734"/>
      <c r="U347" s="741"/>
      <c r="V347" s="731"/>
      <c r="W347" s="731"/>
      <c r="X347" s="732"/>
      <c r="Y347" s="732"/>
      <c r="Z347" s="732"/>
      <c r="AA347" s="742"/>
      <c r="AB347" s="414"/>
      <c r="AC347" s="174"/>
      <c r="AD347" s="174"/>
      <c r="AE347" s="5415" t="s">
        <v>2166</v>
      </c>
    </row>
    <row r="348" spans="1:31" ht="37.5" customHeight="1">
      <c r="A348" s="5367"/>
      <c r="B348" s="5334"/>
      <c r="C348" s="5337"/>
      <c r="D348" s="5337"/>
      <c r="E348" s="5337"/>
      <c r="F348" s="5337"/>
      <c r="G348" s="5337"/>
      <c r="H348" s="5337"/>
      <c r="I348" s="5337"/>
      <c r="J348" s="5337"/>
      <c r="K348" s="5337"/>
      <c r="L348" s="5337"/>
      <c r="M348" s="5337"/>
      <c r="N348" s="5337"/>
      <c r="O348" s="5337"/>
      <c r="P348" s="5337"/>
      <c r="Q348" s="5345"/>
      <c r="R348" s="790"/>
      <c r="S348" s="724"/>
      <c r="T348" s="724"/>
      <c r="U348" s="798"/>
      <c r="V348" s="725"/>
      <c r="W348" s="725"/>
      <c r="X348" s="726"/>
      <c r="Y348" s="726"/>
      <c r="Z348" s="726"/>
      <c r="AA348" s="727"/>
      <c r="AB348" s="170"/>
      <c r="AC348" s="282"/>
      <c r="AD348" s="282"/>
      <c r="AE348" s="5416"/>
    </row>
    <row r="349" spans="1:31" ht="37.5" customHeight="1">
      <c r="A349" s="5367"/>
      <c r="B349" s="5334"/>
      <c r="C349" s="5337"/>
      <c r="D349" s="5337"/>
      <c r="E349" s="5337"/>
      <c r="F349" s="5337"/>
      <c r="G349" s="5337"/>
      <c r="H349" s="5337"/>
      <c r="I349" s="5337"/>
      <c r="J349" s="5337"/>
      <c r="K349" s="5337"/>
      <c r="L349" s="5337"/>
      <c r="M349" s="5337"/>
      <c r="N349" s="5337"/>
      <c r="O349" s="5337"/>
      <c r="P349" s="5337"/>
      <c r="Q349" s="5345"/>
      <c r="R349" s="791"/>
      <c r="S349" s="729"/>
      <c r="T349" s="729"/>
      <c r="U349" s="730"/>
      <c r="V349" s="731"/>
      <c r="W349" s="731"/>
      <c r="X349" s="732"/>
      <c r="Y349" s="726"/>
      <c r="Z349" s="726"/>
      <c r="AA349" s="727"/>
      <c r="AB349" s="170"/>
      <c r="AC349" s="282"/>
      <c r="AD349" s="282"/>
      <c r="AE349" s="5416"/>
    </row>
    <row r="350" spans="1:31" ht="37.5" customHeight="1">
      <c r="A350" s="5367"/>
      <c r="B350" s="5334"/>
      <c r="C350" s="5337"/>
      <c r="D350" s="5337"/>
      <c r="E350" s="5337"/>
      <c r="F350" s="5337"/>
      <c r="G350" s="5337"/>
      <c r="H350" s="5337"/>
      <c r="I350" s="5337"/>
      <c r="J350" s="5337"/>
      <c r="K350" s="5337"/>
      <c r="L350" s="5337"/>
      <c r="M350" s="5337"/>
      <c r="N350" s="5337"/>
      <c r="O350" s="5337"/>
      <c r="P350" s="5337"/>
      <c r="Q350" s="5345"/>
      <c r="R350" s="792"/>
      <c r="S350" s="734"/>
      <c r="T350" s="734"/>
      <c r="U350" s="730"/>
      <c r="V350" s="731"/>
      <c r="W350" s="731"/>
      <c r="X350" s="732"/>
      <c r="Y350" s="726"/>
      <c r="Z350" s="726"/>
      <c r="AA350" s="727"/>
      <c r="AB350" s="170"/>
      <c r="AC350" s="282"/>
      <c r="AD350" s="282"/>
      <c r="AE350" s="5416"/>
    </row>
    <row r="351" spans="1:31" ht="37.5" customHeight="1">
      <c r="A351" s="5367"/>
      <c r="B351" s="5335"/>
      <c r="C351" s="5338"/>
      <c r="D351" s="5338"/>
      <c r="E351" s="5338"/>
      <c r="F351" s="5338"/>
      <c r="G351" s="5338"/>
      <c r="H351" s="5338"/>
      <c r="I351" s="5338"/>
      <c r="J351" s="5338"/>
      <c r="K351" s="5338"/>
      <c r="L351" s="5338"/>
      <c r="M351" s="5338"/>
      <c r="N351" s="5338"/>
      <c r="O351" s="5338"/>
      <c r="P351" s="5338"/>
      <c r="Q351" s="5346"/>
      <c r="R351" s="796"/>
      <c r="S351" s="736"/>
      <c r="T351" s="736"/>
      <c r="U351" s="737"/>
      <c r="V351" s="738"/>
      <c r="W351" s="738"/>
      <c r="X351" s="739"/>
      <c r="Y351" s="739"/>
      <c r="Z351" s="739"/>
      <c r="AA351" s="740"/>
      <c r="AB351" s="165"/>
      <c r="AC351" s="166"/>
      <c r="AD351" s="166"/>
      <c r="AE351" s="5417"/>
    </row>
    <row r="352" spans="1:31" ht="37.5" customHeight="1">
      <c r="A352" s="5367"/>
      <c r="B352" s="5333" t="s">
        <v>272</v>
      </c>
      <c r="C352" s="5336" t="s">
        <v>302</v>
      </c>
      <c r="D352" s="5336" t="s">
        <v>303</v>
      </c>
      <c r="E352" s="5336" t="s">
        <v>304</v>
      </c>
      <c r="F352" s="5341" t="s">
        <v>305</v>
      </c>
      <c r="G352" s="5336" t="s">
        <v>262</v>
      </c>
      <c r="H352" s="5336" t="s">
        <v>257</v>
      </c>
      <c r="I352" s="5336" t="s">
        <v>2206</v>
      </c>
      <c r="J352" s="5347" t="s">
        <v>1865</v>
      </c>
      <c r="K352" s="5336" t="s">
        <v>2207</v>
      </c>
      <c r="L352" s="5343">
        <v>0</v>
      </c>
      <c r="M352" s="5343">
        <v>1</v>
      </c>
      <c r="N352" s="5343">
        <v>1</v>
      </c>
      <c r="O352" s="5340" t="s">
        <v>2208</v>
      </c>
      <c r="P352" s="5340" t="s">
        <v>2209</v>
      </c>
      <c r="Q352" s="5393" t="s">
        <v>2210</v>
      </c>
      <c r="R352" s="792"/>
      <c r="S352" s="734"/>
      <c r="T352" s="734"/>
      <c r="U352" s="741"/>
      <c r="V352" s="731"/>
      <c r="W352" s="731"/>
      <c r="X352" s="732"/>
      <c r="Y352" s="732"/>
      <c r="Z352" s="732"/>
      <c r="AA352" s="742"/>
      <c r="AB352" s="414"/>
      <c r="AC352" s="174"/>
      <c r="AD352" s="174"/>
      <c r="AE352" s="5415"/>
    </row>
    <row r="353" spans="1:31" ht="37.5" customHeight="1">
      <c r="A353" s="5367"/>
      <c r="B353" s="5334"/>
      <c r="C353" s="5337"/>
      <c r="D353" s="5337"/>
      <c r="E353" s="5337"/>
      <c r="F353" s="5337"/>
      <c r="G353" s="5337"/>
      <c r="H353" s="5337"/>
      <c r="I353" s="5337"/>
      <c r="J353" s="5337"/>
      <c r="K353" s="5337"/>
      <c r="L353" s="5337"/>
      <c r="M353" s="5337"/>
      <c r="N353" s="5337"/>
      <c r="O353" s="5337"/>
      <c r="P353" s="5337"/>
      <c r="Q353" s="5345"/>
      <c r="R353" s="790"/>
      <c r="S353" s="724"/>
      <c r="T353" s="724"/>
      <c r="U353" s="798"/>
      <c r="V353" s="725"/>
      <c r="W353" s="725"/>
      <c r="X353" s="726"/>
      <c r="Y353" s="726"/>
      <c r="Z353" s="726"/>
      <c r="AA353" s="727"/>
      <c r="AB353" s="170"/>
      <c r="AC353" s="282"/>
      <c r="AD353" s="282"/>
      <c r="AE353" s="5416"/>
    </row>
    <row r="354" spans="1:31" ht="37.5" customHeight="1">
      <c r="A354" s="5367"/>
      <c r="B354" s="5334"/>
      <c r="C354" s="5337"/>
      <c r="D354" s="5337"/>
      <c r="E354" s="5337"/>
      <c r="F354" s="5337"/>
      <c r="G354" s="5337"/>
      <c r="H354" s="5337"/>
      <c r="I354" s="5337"/>
      <c r="J354" s="5337"/>
      <c r="K354" s="5337"/>
      <c r="L354" s="5337"/>
      <c r="M354" s="5337"/>
      <c r="N354" s="5337"/>
      <c r="O354" s="5337"/>
      <c r="P354" s="5337"/>
      <c r="Q354" s="5345"/>
      <c r="R354" s="791"/>
      <c r="S354" s="729"/>
      <c r="T354" s="729"/>
      <c r="U354" s="730"/>
      <c r="V354" s="731"/>
      <c r="W354" s="731"/>
      <c r="X354" s="732"/>
      <c r="Y354" s="726"/>
      <c r="Z354" s="726"/>
      <c r="AA354" s="727"/>
      <c r="AB354" s="170"/>
      <c r="AC354" s="282"/>
      <c r="AD354" s="282"/>
      <c r="AE354" s="5416"/>
    </row>
    <row r="355" spans="1:31" ht="37.5" customHeight="1">
      <c r="A355" s="5367"/>
      <c r="B355" s="5334"/>
      <c r="C355" s="5337"/>
      <c r="D355" s="5337"/>
      <c r="E355" s="5337"/>
      <c r="F355" s="5337"/>
      <c r="G355" s="5337"/>
      <c r="H355" s="5337"/>
      <c r="I355" s="5337"/>
      <c r="J355" s="5337"/>
      <c r="K355" s="5337"/>
      <c r="L355" s="5337"/>
      <c r="M355" s="5337"/>
      <c r="N355" s="5337"/>
      <c r="O355" s="5337"/>
      <c r="P355" s="5337"/>
      <c r="Q355" s="5345"/>
      <c r="R355" s="792"/>
      <c r="S355" s="734"/>
      <c r="T355" s="734"/>
      <c r="U355" s="730"/>
      <c r="V355" s="731"/>
      <c r="W355" s="731"/>
      <c r="X355" s="732"/>
      <c r="Y355" s="726"/>
      <c r="Z355" s="726"/>
      <c r="AA355" s="727"/>
      <c r="AB355" s="170"/>
      <c r="AC355" s="282"/>
      <c r="AD355" s="282"/>
      <c r="AE355" s="5416"/>
    </row>
    <row r="356" spans="1:31" ht="37.5" customHeight="1">
      <c r="A356" s="5367"/>
      <c r="B356" s="5335"/>
      <c r="C356" s="5338"/>
      <c r="D356" s="5338"/>
      <c r="E356" s="5338"/>
      <c r="F356" s="5338"/>
      <c r="G356" s="5338"/>
      <c r="H356" s="5338"/>
      <c r="I356" s="5338"/>
      <c r="J356" s="5338"/>
      <c r="K356" s="5338"/>
      <c r="L356" s="5338"/>
      <c r="M356" s="5338"/>
      <c r="N356" s="5338"/>
      <c r="O356" s="5338"/>
      <c r="P356" s="5338"/>
      <c r="Q356" s="5346"/>
      <c r="R356" s="796"/>
      <c r="S356" s="736"/>
      <c r="T356" s="736"/>
      <c r="U356" s="737"/>
      <c r="V356" s="738"/>
      <c r="W356" s="738"/>
      <c r="X356" s="739"/>
      <c r="Y356" s="739"/>
      <c r="Z356" s="739"/>
      <c r="AA356" s="740"/>
      <c r="AB356" s="165"/>
      <c r="AC356" s="166"/>
      <c r="AD356" s="166"/>
      <c r="AE356" s="5417"/>
    </row>
    <row r="357" spans="1:31" ht="37.5" customHeight="1">
      <c r="A357" s="5367"/>
      <c r="B357" s="5333" t="s">
        <v>272</v>
      </c>
      <c r="C357" s="5336" t="s">
        <v>302</v>
      </c>
      <c r="D357" s="5336" t="s">
        <v>680</v>
      </c>
      <c r="E357" s="5336" t="s">
        <v>817</v>
      </c>
      <c r="F357" s="5341" t="s">
        <v>305</v>
      </c>
      <c r="G357" s="5336" t="s">
        <v>306</v>
      </c>
      <c r="H357" s="5336" t="s">
        <v>278</v>
      </c>
      <c r="I357" s="5336" t="s">
        <v>2211</v>
      </c>
      <c r="J357" s="5347" t="s">
        <v>1870</v>
      </c>
      <c r="K357" s="5340" t="s">
        <v>2212</v>
      </c>
      <c r="L357" s="5343">
        <v>0</v>
      </c>
      <c r="M357" s="5343">
        <v>2</v>
      </c>
      <c r="N357" s="5343">
        <v>2</v>
      </c>
      <c r="O357" s="5340" t="s">
        <v>2213</v>
      </c>
      <c r="P357" s="5340" t="s">
        <v>2214</v>
      </c>
      <c r="Q357" s="5393" t="s">
        <v>2165</v>
      </c>
      <c r="R357" s="792"/>
      <c r="S357" s="734"/>
      <c r="T357" s="734"/>
      <c r="U357" s="741"/>
      <c r="V357" s="731"/>
      <c r="W357" s="731"/>
      <c r="X357" s="732"/>
      <c r="Y357" s="732"/>
      <c r="Z357" s="732"/>
      <c r="AA357" s="742"/>
      <c r="AB357" s="414"/>
      <c r="AC357" s="174"/>
      <c r="AD357" s="174"/>
      <c r="AE357" s="5415" t="s">
        <v>2166</v>
      </c>
    </row>
    <row r="358" spans="1:31" ht="37.5" customHeight="1">
      <c r="A358" s="5367"/>
      <c r="B358" s="5334"/>
      <c r="C358" s="5337"/>
      <c r="D358" s="5337"/>
      <c r="E358" s="5337"/>
      <c r="F358" s="5337"/>
      <c r="G358" s="5337"/>
      <c r="H358" s="5337"/>
      <c r="I358" s="5337"/>
      <c r="J358" s="5337"/>
      <c r="K358" s="5337"/>
      <c r="L358" s="5337"/>
      <c r="M358" s="5337"/>
      <c r="N358" s="5337"/>
      <c r="O358" s="5337"/>
      <c r="P358" s="5337"/>
      <c r="Q358" s="5345"/>
      <c r="R358" s="790"/>
      <c r="S358" s="724"/>
      <c r="T358" s="724"/>
      <c r="U358" s="798"/>
      <c r="V358" s="725"/>
      <c r="W358" s="725"/>
      <c r="X358" s="726"/>
      <c r="Y358" s="726"/>
      <c r="Z358" s="726"/>
      <c r="AA358" s="727"/>
      <c r="AB358" s="170"/>
      <c r="AC358" s="282"/>
      <c r="AD358" s="282"/>
      <c r="AE358" s="5416"/>
    </row>
    <row r="359" spans="1:31" ht="37.5" customHeight="1">
      <c r="A359" s="5367"/>
      <c r="B359" s="5334"/>
      <c r="C359" s="5337"/>
      <c r="D359" s="5337"/>
      <c r="E359" s="5337"/>
      <c r="F359" s="5337"/>
      <c r="G359" s="5337"/>
      <c r="H359" s="5337"/>
      <c r="I359" s="5337"/>
      <c r="J359" s="5337"/>
      <c r="K359" s="5337"/>
      <c r="L359" s="5337"/>
      <c r="M359" s="5337"/>
      <c r="N359" s="5337"/>
      <c r="O359" s="5337"/>
      <c r="P359" s="5337"/>
      <c r="Q359" s="5345"/>
      <c r="R359" s="791"/>
      <c r="S359" s="729"/>
      <c r="T359" s="729"/>
      <c r="U359" s="730"/>
      <c r="V359" s="731"/>
      <c r="W359" s="731"/>
      <c r="X359" s="732"/>
      <c r="Y359" s="726"/>
      <c r="Z359" s="726"/>
      <c r="AA359" s="727"/>
      <c r="AB359" s="170"/>
      <c r="AC359" s="282"/>
      <c r="AD359" s="282"/>
      <c r="AE359" s="5416"/>
    </row>
    <row r="360" spans="1:31" ht="37.5" customHeight="1">
      <c r="A360" s="5367"/>
      <c r="B360" s="5334"/>
      <c r="C360" s="5337"/>
      <c r="D360" s="5337"/>
      <c r="E360" s="5337"/>
      <c r="F360" s="5337"/>
      <c r="G360" s="5337"/>
      <c r="H360" s="5337"/>
      <c r="I360" s="5337"/>
      <c r="J360" s="5337"/>
      <c r="K360" s="5337"/>
      <c r="L360" s="5337"/>
      <c r="M360" s="5337"/>
      <c r="N360" s="5337"/>
      <c r="O360" s="5337"/>
      <c r="P360" s="5337"/>
      <c r="Q360" s="5345"/>
      <c r="R360" s="792"/>
      <c r="S360" s="734"/>
      <c r="T360" s="734"/>
      <c r="U360" s="730"/>
      <c r="V360" s="731"/>
      <c r="W360" s="731"/>
      <c r="X360" s="732"/>
      <c r="Y360" s="726"/>
      <c r="Z360" s="726"/>
      <c r="AA360" s="727"/>
      <c r="AB360" s="170"/>
      <c r="AC360" s="282"/>
      <c r="AD360" s="282"/>
      <c r="AE360" s="5416"/>
    </row>
    <row r="361" spans="1:31" ht="37.5" customHeight="1">
      <c r="A361" s="5367"/>
      <c r="B361" s="5335"/>
      <c r="C361" s="5338"/>
      <c r="D361" s="5338"/>
      <c r="E361" s="5338"/>
      <c r="F361" s="5338"/>
      <c r="G361" s="5338"/>
      <c r="H361" s="5338"/>
      <c r="I361" s="5338"/>
      <c r="J361" s="5338"/>
      <c r="K361" s="5338"/>
      <c r="L361" s="5338"/>
      <c r="M361" s="5338"/>
      <c r="N361" s="5338"/>
      <c r="O361" s="5338"/>
      <c r="P361" s="5338"/>
      <c r="Q361" s="5346"/>
      <c r="R361" s="796"/>
      <c r="S361" s="736"/>
      <c r="T361" s="736"/>
      <c r="U361" s="737"/>
      <c r="V361" s="738"/>
      <c r="W361" s="738"/>
      <c r="X361" s="739"/>
      <c r="Y361" s="739"/>
      <c r="Z361" s="739"/>
      <c r="AA361" s="740"/>
      <c r="AB361" s="165"/>
      <c r="AC361" s="166"/>
      <c r="AD361" s="166"/>
      <c r="AE361" s="5417"/>
    </row>
    <row r="362" spans="1:31" ht="37.5" customHeight="1">
      <c r="A362" s="5367"/>
      <c r="B362" s="5339" t="s">
        <v>272</v>
      </c>
      <c r="C362" s="5336" t="s">
        <v>302</v>
      </c>
      <c r="D362" s="5336" t="s">
        <v>303</v>
      </c>
      <c r="E362" s="5336" t="s">
        <v>304</v>
      </c>
      <c r="F362" s="5341" t="s">
        <v>305</v>
      </c>
      <c r="G362" s="5336" t="s">
        <v>262</v>
      </c>
      <c r="H362" s="5336" t="s">
        <v>257</v>
      </c>
      <c r="I362" s="5336" t="s">
        <v>2215</v>
      </c>
      <c r="J362" s="5347" t="s">
        <v>2216</v>
      </c>
      <c r="K362" s="5340" t="s">
        <v>2217</v>
      </c>
      <c r="L362" s="5343">
        <v>0</v>
      </c>
      <c r="M362" s="5343">
        <v>4</v>
      </c>
      <c r="N362" s="5343">
        <v>4</v>
      </c>
      <c r="O362" s="5340" t="s">
        <v>2218</v>
      </c>
      <c r="P362" s="5340" t="s">
        <v>2219</v>
      </c>
      <c r="Q362" s="5393" t="s">
        <v>2165</v>
      </c>
      <c r="R362" s="792"/>
      <c r="S362" s="734"/>
      <c r="T362" s="734"/>
      <c r="U362" s="741"/>
      <c r="V362" s="731"/>
      <c r="W362" s="731"/>
      <c r="X362" s="732"/>
      <c r="Y362" s="732"/>
      <c r="Z362" s="732"/>
      <c r="AA362" s="742"/>
      <c r="AB362" s="414"/>
      <c r="AC362" s="174"/>
      <c r="AD362" s="174"/>
      <c r="AE362" s="5415" t="s">
        <v>2166</v>
      </c>
    </row>
    <row r="363" spans="1:31" ht="37.5" customHeight="1">
      <c r="A363" s="5367"/>
      <c r="B363" s="5334"/>
      <c r="C363" s="5337"/>
      <c r="D363" s="5337"/>
      <c r="E363" s="5337"/>
      <c r="F363" s="5337"/>
      <c r="G363" s="5337"/>
      <c r="H363" s="5337"/>
      <c r="I363" s="5337"/>
      <c r="J363" s="5337"/>
      <c r="K363" s="5337"/>
      <c r="L363" s="5337"/>
      <c r="M363" s="5337"/>
      <c r="N363" s="5337"/>
      <c r="O363" s="5337"/>
      <c r="P363" s="5337"/>
      <c r="Q363" s="5345"/>
      <c r="R363" s="790"/>
      <c r="S363" s="724"/>
      <c r="T363" s="724"/>
      <c r="U363" s="798"/>
      <c r="V363" s="725"/>
      <c r="W363" s="725"/>
      <c r="X363" s="726"/>
      <c r="Y363" s="726"/>
      <c r="Z363" s="726"/>
      <c r="AA363" s="727"/>
      <c r="AB363" s="170"/>
      <c r="AC363" s="282"/>
      <c r="AD363" s="282"/>
      <c r="AE363" s="5416"/>
    </row>
    <row r="364" spans="1:31" ht="37.5" customHeight="1">
      <c r="A364" s="5367"/>
      <c r="B364" s="5334"/>
      <c r="C364" s="5337"/>
      <c r="D364" s="5337"/>
      <c r="E364" s="5337"/>
      <c r="F364" s="5337"/>
      <c r="G364" s="5337"/>
      <c r="H364" s="5337"/>
      <c r="I364" s="5337"/>
      <c r="J364" s="5337"/>
      <c r="K364" s="5337"/>
      <c r="L364" s="5337"/>
      <c r="M364" s="5337"/>
      <c r="N364" s="5337"/>
      <c r="O364" s="5337"/>
      <c r="P364" s="5337"/>
      <c r="Q364" s="5345"/>
      <c r="R364" s="791"/>
      <c r="S364" s="729"/>
      <c r="T364" s="729"/>
      <c r="U364" s="730"/>
      <c r="V364" s="731"/>
      <c r="W364" s="731"/>
      <c r="X364" s="732"/>
      <c r="Y364" s="726"/>
      <c r="Z364" s="726"/>
      <c r="AA364" s="727"/>
      <c r="AB364" s="170"/>
      <c r="AC364" s="282"/>
      <c r="AD364" s="282"/>
      <c r="AE364" s="5416"/>
    </row>
    <row r="365" spans="1:31" ht="37.5" customHeight="1">
      <c r="A365" s="5367"/>
      <c r="B365" s="5334"/>
      <c r="C365" s="5337"/>
      <c r="D365" s="5337"/>
      <c r="E365" s="5337"/>
      <c r="F365" s="5337"/>
      <c r="G365" s="5337"/>
      <c r="H365" s="5337"/>
      <c r="I365" s="5337"/>
      <c r="J365" s="5337"/>
      <c r="K365" s="5337"/>
      <c r="L365" s="5337"/>
      <c r="M365" s="5337"/>
      <c r="N365" s="5337"/>
      <c r="O365" s="5337"/>
      <c r="P365" s="5337"/>
      <c r="Q365" s="5345"/>
      <c r="R365" s="792"/>
      <c r="S365" s="734"/>
      <c r="T365" s="734"/>
      <c r="U365" s="730"/>
      <c r="V365" s="731"/>
      <c r="W365" s="731"/>
      <c r="X365" s="732"/>
      <c r="Y365" s="726"/>
      <c r="Z365" s="726"/>
      <c r="AA365" s="727"/>
      <c r="AB365" s="170"/>
      <c r="AC365" s="282"/>
      <c r="AD365" s="282"/>
      <c r="AE365" s="5416"/>
    </row>
    <row r="366" spans="1:31" ht="37.5" customHeight="1">
      <c r="A366" s="5367"/>
      <c r="B366" s="5335"/>
      <c r="C366" s="5338"/>
      <c r="D366" s="5338"/>
      <c r="E366" s="5338"/>
      <c r="F366" s="5338"/>
      <c r="G366" s="5338"/>
      <c r="H366" s="5338"/>
      <c r="I366" s="5338"/>
      <c r="J366" s="5338"/>
      <c r="K366" s="5338"/>
      <c r="L366" s="5338"/>
      <c r="M366" s="5338"/>
      <c r="N366" s="5338"/>
      <c r="O366" s="5338"/>
      <c r="P366" s="5338"/>
      <c r="Q366" s="5346"/>
      <c r="R366" s="796"/>
      <c r="S366" s="736"/>
      <c r="T366" s="736"/>
      <c r="U366" s="737"/>
      <c r="V366" s="738"/>
      <c r="W366" s="738"/>
      <c r="X366" s="739"/>
      <c r="Y366" s="739"/>
      <c r="Z366" s="739"/>
      <c r="AA366" s="740"/>
      <c r="AB366" s="165"/>
      <c r="AC366" s="166"/>
      <c r="AD366" s="166"/>
      <c r="AE366" s="5417"/>
    </row>
    <row r="367" spans="1:31" ht="37.5" customHeight="1">
      <c r="A367" s="5367"/>
      <c r="B367" s="5339" t="s">
        <v>272</v>
      </c>
      <c r="C367" s="5340" t="s">
        <v>302</v>
      </c>
      <c r="D367" s="5340" t="s">
        <v>303</v>
      </c>
      <c r="E367" s="5340" t="s">
        <v>304</v>
      </c>
      <c r="F367" s="5371" t="s">
        <v>305</v>
      </c>
      <c r="G367" s="5336" t="s">
        <v>240</v>
      </c>
      <c r="H367" s="5336" t="s">
        <v>257</v>
      </c>
      <c r="I367" s="5336" t="s">
        <v>2220</v>
      </c>
      <c r="J367" s="5347" t="s">
        <v>2221</v>
      </c>
      <c r="K367" s="5340" t="s">
        <v>2222</v>
      </c>
      <c r="L367" s="5343">
        <v>0</v>
      </c>
      <c r="M367" s="5343">
        <v>4</v>
      </c>
      <c r="N367" s="5343">
        <v>4</v>
      </c>
      <c r="O367" s="5340" t="s">
        <v>2223</v>
      </c>
      <c r="P367" s="5340" t="s">
        <v>2224</v>
      </c>
      <c r="Q367" s="5393" t="s">
        <v>2165</v>
      </c>
      <c r="R367" s="792"/>
      <c r="S367" s="734"/>
      <c r="T367" s="734"/>
      <c r="U367" s="741"/>
      <c r="V367" s="731"/>
      <c r="W367" s="731"/>
      <c r="X367" s="732"/>
      <c r="Y367" s="732"/>
      <c r="Z367" s="732"/>
      <c r="AA367" s="742"/>
      <c r="AB367" s="414"/>
      <c r="AC367" s="174"/>
      <c r="AD367" s="174"/>
      <c r="AE367" s="5415" t="s">
        <v>2166</v>
      </c>
    </row>
    <row r="368" spans="1:31" ht="37.5" customHeight="1">
      <c r="A368" s="5367"/>
      <c r="B368" s="5334"/>
      <c r="C368" s="5337"/>
      <c r="D368" s="5337"/>
      <c r="E368" s="5337"/>
      <c r="F368" s="5337"/>
      <c r="G368" s="5337"/>
      <c r="H368" s="5337"/>
      <c r="I368" s="5337"/>
      <c r="J368" s="5337"/>
      <c r="K368" s="5337"/>
      <c r="L368" s="5337"/>
      <c r="M368" s="5337"/>
      <c r="N368" s="5337"/>
      <c r="O368" s="5337"/>
      <c r="P368" s="5337"/>
      <c r="Q368" s="5345"/>
      <c r="R368" s="790"/>
      <c r="S368" s="724"/>
      <c r="T368" s="724"/>
      <c r="U368" s="798"/>
      <c r="V368" s="725"/>
      <c r="W368" s="725"/>
      <c r="X368" s="726"/>
      <c r="Y368" s="726"/>
      <c r="Z368" s="726"/>
      <c r="AA368" s="727"/>
      <c r="AB368" s="170"/>
      <c r="AC368" s="282"/>
      <c r="AD368" s="282"/>
      <c r="AE368" s="5416"/>
    </row>
    <row r="369" spans="1:31" ht="37.5" customHeight="1">
      <c r="A369" s="5367"/>
      <c r="B369" s="5334"/>
      <c r="C369" s="5337"/>
      <c r="D369" s="5337"/>
      <c r="E369" s="5337"/>
      <c r="F369" s="5337"/>
      <c r="G369" s="5337"/>
      <c r="H369" s="5337"/>
      <c r="I369" s="5337"/>
      <c r="J369" s="5337"/>
      <c r="K369" s="5337"/>
      <c r="L369" s="5337"/>
      <c r="M369" s="5337"/>
      <c r="N369" s="5337"/>
      <c r="O369" s="5337"/>
      <c r="P369" s="5337"/>
      <c r="Q369" s="5345"/>
      <c r="R369" s="791"/>
      <c r="S369" s="729"/>
      <c r="T369" s="729"/>
      <c r="U369" s="730"/>
      <c r="V369" s="731"/>
      <c r="W369" s="731"/>
      <c r="X369" s="732"/>
      <c r="Y369" s="726"/>
      <c r="Z369" s="726"/>
      <c r="AA369" s="727"/>
      <c r="AB369" s="170"/>
      <c r="AC369" s="282"/>
      <c r="AD369" s="282"/>
      <c r="AE369" s="5416"/>
    </row>
    <row r="370" spans="1:31" ht="37.5" customHeight="1">
      <c r="A370" s="5367"/>
      <c r="B370" s="5334"/>
      <c r="C370" s="5337"/>
      <c r="D370" s="5337"/>
      <c r="E370" s="5337"/>
      <c r="F370" s="5337"/>
      <c r="G370" s="5337"/>
      <c r="H370" s="5337"/>
      <c r="I370" s="5337"/>
      <c r="J370" s="5337"/>
      <c r="K370" s="5337"/>
      <c r="L370" s="5337"/>
      <c r="M370" s="5337"/>
      <c r="N370" s="5337"/>
      <c r="O370" s="5337"/>
      <c r="P370" s="5337"/>
      <c r="Q370" s="5345"/>
      <c r="R370" s="792"/>
      <c r="S370" s="734"/>
      <c r="T370" s="734"/>
      <c r="U370" s="730"/>
      <c r="V370" s="731"/>
      <c r="W370" s="731"/>
      <c r="X370" s="732"/>
      <c r="Y370" s="726"/>
      <c r="Z370" s="726"/>
      <c r="AA370" s="727"/>
      <c r="AB370" s="170"/>
      <c r="AC370" s="282"/>
      <c r="AD370" s="282"/>
      <c r="AE370" s="5416"/>
    </row>
    <row r="371" spans="1:31" ht="37.5" customHeight="1">
      <c r="A371" s="5368"/>
      <c r="B371" s="5335"/>
      <c r="C371" s="5338"/>
      <c r="D371" s="5338"/>
      <c r="E371" s="5338"/>
      <c r="F371" s="5338"/>
      <c r="G371" s="5338"/>
      <c r="H371" s="5338"/>
      <c r="I371" s="5338"/>
      <c r="J371" s="5338"/>
      <c r="K371" s="5338"/>
      <c r="L371" s="5338"/>
      <c r="M371" s="5338"/>
      <c r="N371" s="5338"/>
      <c r="O371" s="5338"/>
      <c r="P371" s="5338"/>
      <c r="Q371" s="5346"/>
      <c r="R371" s="796"/>
      <c r="S371" s="736"/>
      <c r="T371" s="736"/>
      <c r="U371" s="737"/>
      <c r="V371" s="738"/>
      <c r="W371" s="738"/>
      <c r="X371" s="739"/>
      <c r="Y371" s="739"/>
      <c r="Z371" s="739"/>
      <c r="AA371" s="740"/>
      <c r="AB371" s="165"/>
      <c r="AC371" s="166"/>
      <c r="AD371" s="166"/>
      <c r="AE371" s="5417"/>
    </row>
    <row r="372" spans="1:31" ht="37.5" customHeight="1">
      <c r="A372" s="2160"/>
      <c r="B372" s="785"/>
      <c r="C372" s="785"/>
      <c r="D372" s="785"/>
      <c r="E372" s="785"/>
      <c r="F372" s="785"/>
      <c r="G372" s="785"/>
      <c r="H372" s="785"/>
      <c r="I372" s="785"/>
      <c r="J372" s="785"/>
      <c r="K372" s="785"/>
      <c r="L372" s="785"/>
      <c r="M372" s="785"/>
      <c r="N372" s="785"/>
      <c r="O372" s="785"/>
      <c r="P372" s="785"/>
      <c r="Q372" s="786"/>
      <c r="R372" s="5473" t="s">
        <v>2225</v>
      </c>
      <c r="S372" s="5474"/>
      <c r="T372" s="5474"/>
      <c r="U372" s="5474"/>
      <c r="V372" s="5474"/>
      <c r="W372" s="5474"/>
      <c r="X372" s="5474"/>
      <c r="Y372" s="5475"/>
      <c r="Z372" s="787" t="s">
        <v>340</v>
      </c>
      <c r="AA372" s="887">
        <f>SUM(AA264:AA371)</f>
        <v>0</v>
      </c>
      <c r="AB372" s="5476"/>
      <c r="AC372" s="5474"/>
      <c r="AD372" s="5474"/>
      <c r="AE372" s="5477"/>
    </row>
    <row r="373" spans="1:31" ht="37.5" customHeight="1">
      <c r="A373" s="5369" t="s">
        <v>2226</v>
      </c>
      <c r="B373" s="5348" t="s">
        <v>235</v>
      </c>
      <c r="C373" s="5325" t="s">
        <v>236</v>
      </c>
      <c r="D373" s="5325" t="s">
        <v>237</v>
      </c>
      <c r="E373" s="5325" t="s">
        <v>289</v>
      </c>
      <c r="F373" s="5328" t="s">
        <v>239</v>
      </c>
      <c r="G373" s="5325" t="s">
        <v>240</v>
      </c>
      <c r="H373" s="5325" t="s">
        <v>257</v>
      </c>
      <c r="I373" s="5325" t="s">
        <v>2227</v>
      </c>
      <c r="J373" s="5325" t="s">
        <v>1821</v>
      </c>
      <c r="K373" s="5325" t="s">
        <v>2228</v>
      </c>
      <c r="L373" s="5332">
        <v>0</v>
      </c>
      <c r="M373" s="5332">
        <v>1</v>
      </c>
      <c r="N373" s="5332">
        <v>1</v>
      </c>
      <c r="O373" s="5325" t="s">
        <v>2152</v>
      </c>
      <c r="P373" s="5325" t="s">
        <v>2153</v>
      </c>
      <c r="Q373" s="5329" t="s">
        <v>2229</v>
      </c>
      <c r="R373" s="888"/>
      <c r="S373" s="889"/>
      <c r="T373" s="889"/>
      <c r="U373" s="890"/>
      <c r="V373" s="891"/>
      <c r="W373" s="891"/>
      <c r="X373" s="892"/>
      <c r="Y373" s="892"/>
      <c r="Z373" s="892"/>
      <c r="AA373" s="893"/>
      <c r="AB373" s="582"/>
      <c r="AC373" s="528"/>
      <c r="AD373" s="528"/>
      <c r="AE373" s="5465"/>
    </row>
    <row r="374" spans="1:31" ht="37.5" customHeight="1">
      <c r="A374" s="5367"/>
      <c r="B374" s="5349"/>
      <c r="C374" s="5326"/>
      <c r="D374" s="5326"/>
      <c r="E374" s="5326"/>
      <c r="F374" s="5326"/>
      <c r="G374" s="5326"/>
      <c r="H374" s="5326"/>
      <c r="I374" s="5326"/>
      <c r="J374" s="5326"/>
      <c r="K374" s="5326"/>
      <c r="L374" s="5326"/>
      <c r="M374" s="5326"/>
      <c r="N374" s="5326"/>
      <c r="O374" s="5326"/>
      <c r="P374" s="5326"/>
      <c r="Q374" s="5330"/>
      <c r="R374" s="891"/>
      <c r="S374" s="894"/>
      <c r="T374" s="894"/>
      <c r="U374" s="895"/>
      <c r="V374" s="891"/>
      <c r="W374" s="891"/>
      <c r="X374" s="892"/>
      <c r="Y374" s="892"/>
      <c r="Z374" s="892"/>
      <c r="AA374" s="893"/>
      <c r="AB374" s="582"/>
      <c r="AC374" s="528"/>
      <c r="AD374" s="528"/>
      <c r="AE374" s="5466"/>
    </row>
    <row r="375" spans="1:31" ht="37.5" customHeight="1">
      <c r="A375" s="5367"/>
      <c r="B375" s="5349"/>
      <c r="C375" s="5326"/>
      <c r="D375" s="5326"/>
      <c r="E375" s="5326"/>
      <c r="F375" s="5326"/>
      <c r="G375" s="5326"/>
      <c r="H375" s="5326"/>
      <c r="I375" s="5326"/>
      <c r="J375" s="5326"/>
      <c r="K375" s="5326"/>
      <c r="L375" s="5326"/>
      <c r="M375" s="5326"/>
      <c r="N375" s="5326"/>
      <c r="O375" s="5326"/>
      <c r="P375" s="5326"/>
      <c r="Q375" s="5330"/>
      <c r="R375" s="891"/>
      <c r="S375" s="894"/>
      <c r="T375" s="894"/>
      <c r="U375" s="895"/>
      <c r="V375" s="891"/>
      <c r="W375" s="891"/>
      <c r="X375" s="892"/>
      <c r="Y375" s="892"/>
      <c r="Z375" s="892"/>
      <c r="AA375" s="893"/>
      <c r="AB375" s="582"/>
      <c r="AC375" s="528"/>
      <c r="AD375" s="528"/>
      <c r="AE375" s="5466"/>
    </row>
    <row r="376" spans="1:31" ht="37.5" customHeight="1">
      <c r="A376" s="5367"/>
      <c r="B376" s="5349"/>
      <c r="C376" s="5326"/>
      <c r="D376" s="5326"/>
      <c r="E376" s="5326"/>
      <c r="F376" s="5326"/>
      <c r="G376" s="5326"/>
      <c r="H376" s="5326"/>
      <c r="I376" s="5326"/>
      <c r="J376" s="5326"/>
      <c r="K376" s="5326"/>
      <c r="L376" s="5326"/>
      <c r="M376" s="5326"/>
      <c r="N376" s="5326"/>
      <c r="O376" s="5326"/>
      <c r="P376" s="5326"/>
      <c r="Q376" s="5330"/>
      <c r="R376" s="888"/>
      <c r="S376" s="889"/>
      <c r="T376" s="889"/>
      <c r="U376" s="895"/>
      <c r="V376" s="891"/>
      <c r="W376" s="891"/>
      <c r="X376" s="892"/>
      <c r="Y376" s="892"/>
      <c r="Z376" s="892"/>
      <c r="AA376" s="893"/>
      <c r="AB376" s="582"/>
      <c r="AC376" s="528"/>
      <c r="AD376" s="528"/>
      <c r="AE376" s="5466"/>
    </row>
    <row r="377" spans="1:31" ht="37.5" customHeight="1">
      <c r="A377" s="5367"/>
      <c r="B377" s="5350"/>
      <c r="C377" s="5327"/>
      <c r="D377" s="5327"/>
      <c r="E377" s="5327"/>
      <c r="F377" s="5327"/>
      <c r="G377" s="5327"/>
      <c r="H377" s="5327"/>
      <c r="I377" s="5327"/>
      <c r="J377" s="5327"/>
      <c r="K377" s="5327"/>
      <c r="L377" s="5327"/>
      <c r="M377" s="5327"/>
      <c r="N377" s="5327"/>
      <c r="O377" s="5327"/>
      <c r="P377" s="5327"/>
      <c r="Q377" s="5331"/>
      <c r="R377" s="891"/>
      <c r="S377" s="894"/>
      <c r="T377" s="894"/>
      <c r="U377" s="895"/>
      <c r="V377" s="891"/>
      <c r="W377" s="891"/>
      <c r="X377" s="892"/>
      <c r="Y377" s="892"/>
      <c r="Z377" s="892"/>
      <c r="AA377" s="893"/>
      <c r="AB377" s="582"/>
      <c r="AC377" s="528"/>
      <c r="AD377" s="528"/>
      <c r="AE377" s="5467"/>
    </row>
    <row r="378" spans="1:31" ht="37.5" customHeight="1">
      <c r="A378" s="5367"/>
      <c r="B378" s="5348" t="s">
        <v>235</v>
      </c>
      <c r="C378" s="5325" t="s">
        <v>236</v>
      </c>
      <c r="D378" s="5325" t="s">
        <v>237</v>
      </c>
      <c r="E378" s="5325" t="s">
        <v>289</v>
      </c>
      <c r="F378" s="5328" t="s">
        <v>239</v>
      </c>
      <c r="G378" s="5325" t="s">
        <v>240</v>
      </c>
      <c r="H378" s="5325" t="s">
        <v>257</v>
      </c>
      <c r="I378" s="5325" t="s">
        <v>2230</v>
      </c>
      <c r="J378" s="5325" t="s">
        <v>1825</v>
      </c>
      <c r="K378" s="5325" t="s">
        <v>2231</v>
      </c>
      <c r="L378" s="5332">
        <v>0</v>
      </c>
      <c r="M378" s="5332">
        <v>4</v>
      </c>
      <c r="N378" s="5332">
        <v>4</v>
      </c>
      <c r="O378" s="5325" t="s">
        <v>2157</v>
      </c>
      <c r="P378" s="5325" t="s">
        <v>2232</v>
      </c>
      <c r="Q378" s="5329" t="s">
        <v>2229</v>
      </c>
      <c r="R378" s="888"/>
      <c r="S378" s="889"/>
      <c r="T378" s="889"/>
      <c r="U378" s="890"/>
      <c r="V378" s="891"/>
      <c r="W378" s="891"/>
      <c r="X378" s="892"/>
      <c r="Y378" s="892"/>
      <c r="Z378" s="892"/>
      <c r="AA378" s="893"/>
      <c r="AB378" s="582"/>
      <c r="AC378" s="528"/>
      <c r="AD378" s="528"/>
      <c r="AE378" s="5465" t="s">
        <v>2160</v>
      </c>
    </row>
    <row r="379" spans="1:31" ht="37.5" customHeight="1">
      <c r="A379" s="5367"/>
      <c r="B379" s="5349"/>
      <c r="C379" s="5326"/>
      <c r="D379" s="5326"/>
      <c r="E379" s="5326"/>
      <c r="F379" s="5326"/>
      <c r="G379" s="5326"/>
      <c r="H379" s="5326"/>
      <c r="I379" s="5326"/>
      <c r="J379" s="5326"/>
      <c r="K379" s="5326"/>
      <c r="L379" s="5326"/>
      <c r="M379" s="5326"/>
      <c r="N379" s="5326"/>
      <c r="O379" s="5326"/>
      <c r="P379" s="5326"/>
      <c r="Q379" s="5330"/>
      <c r="R379" s="891"/>
      <c r="S379" s="894"/>
      <c r="T379" s="894"/>
      <c r="U379" s="895"/>
      <c r="V379" s="891"/>
      <c r="W379" s="891"/>
      <c r="X379" s="892"/>
      <c r="Y379" s="892"/>
      <c r="Z379" s="892"/>
      <c r="AA379" s="893"/>
      <c r="AB379" s="582"/>
      <c r="AC379" s="528"/>
      <c r="AD379" s="528"/>
      <c r="AE379" s="5466"/>
    </row>
    <row r="380" spans="1:31" ht="37.5" customHeight="1">
      <c r="A380" s="5367"/>
      <c r="B380" s="5349"/>
      <c r="C380" s="5326"/>
      <c r="D380" s="5326"/>
      <c r="E380" s="5326"/>
      <c r="F380" s="5326"/>
      <c r="G380" s="5326"/>
      <c r="H380" s="5326"/>
      <c r="I380" s="5326"/>
      <c r="J380" s="5326"/>
      <c r="K380" s="5326"/>
      <c r="L380" s="5326"/>
      <c r="M380" s="5326"/>
      <c r="N380" s="5326"/>
      <c r="O380" s="5326"/>
      <c r="P380" s="5326"/>
      <c r="Q380" s="5330"/>
      <c r="R380" s="891"/>
      <c r="S380" s="894"/>
      <c r="T380" s="894"/>
      <c r="U380" s="895"/>
      <c r="V380" s="891"/>
      <c r="W380" s="891"/>
      <c r="X380" s="892"/>
      <c r="Y380" s="892"/>
      <c r="Z380" s="892"/>
      <c r="AA380" s="893"/>
      <c r="AB380" s="582"/>
      <c r="AC380" s="528"/>
      <c r="AD380" s="528"/>
      <c r="AE380" s="5466"/>
    </row>
    <row r="381" spans="1:31" ht="37.5" customHeight="1">
      <c r="A381" s="5367"/>
      <c r="B381" s="5349"/>
      <c r="C381" s="5326"/>
      <c r="D381" s="5326"/>
      <c r="E381" s="5326"/>
      <c r="F381" s="5326"/>
      <c r="G381" s="5326"/>
      <c r="H381" s="5326"/>
      <c r="I381" s="5326"/>
      <c r="J381" s="5326"/>
      <c r="K381" s="5326"/>
      <c r="L381" s="5326"/>
      <c r="M381" s="5326"/>
      <c r="N381" s="5326"/>
      <c r="O381" s="5326"/>
      <c r="P381" s="5326"/>
      <c r="Q381" s="5330"/>
      <c r="R381" s="888"/>
      <c r="S381" s="889"/>
      <c r="T381" s="889"/>
      <c r="U381" s="895"/>
      <c r="V381" s="891"/>
      <c r="W381" s="891"/>
      <c r="X381" s="892"/>
      <c r="Y381" s="892"/>
      <c r="Z381" s="892"/>
      <c r="AA381" s="893"/>
      <c r="AB381" s="582"/>
      <c r="AC381" s="528"/>
      <c r="AD381" s="528"/>
      <c r="AE381" s="5466"/>
    </row>
    <row r="382" spans="1:31" ht="37.5" customHeight="1">
      <c r="A382" s="5367"/>
      <c r="B382" s="5350"/>
      <c r="C382" s="5327"/>
      <c r="D382" s="5327"/>
      <c r="E382" s="5327"/>
      <c r="F382" s="5327"/>
      <c r="G382" s="5327"/>
      <c r="H382" s="5327"/>
      <c r="I382" s="5327"/>
      <c r="J382" s="5327"/>
      <c r="K382" s="5327"/>
      <c r="L382" s="5327"/>
      <c r="M382" s="5327"/>
      <c r="N382" s="5327"/>
      <c r="O382" s="5327"/>
      <c r="P382" s="5327"/>
      <c r="Q382" s="5331"/>
      <c r="R382" s="891"/>
      <c r="S382" s="894"/>
      <c r="T382" s="894"/>
      <c r="U382" s="895"/>
      <c r="V382" s="891"/>
      <c r="W382" s="891"/>
      <c r="X382" s="892"/>
      <c r="Y382" s="892"/>
      <c r="Z382" s="892"/>
      <c r="AA382" s="893"/>
      <c r="AB382" s="582"/>
      <c r="AC382" s="528"/>
      <c r="AD382" s="528"/>
      <c r="AE382" s="5467"/>
    </row>
    <row r="383" spans="1:31" ht="37.5" customHeight="1">
      <c r="A383" s="5367"/>
      <c r="B383" s="5348" t="s">
        <v>235</v>
      </c>
      <c r="C383" s="5325" t="s">
        <v>236</v>
      </c>
      <c r="D383" s="5325" t="s">
        <v>237</v>
      </c>
      <c r="E383" s="5325" t="s">
        <v>289</v>
      </c>
      <c r="F383" s="5328" t="s">
        <v>239</v>
      </c>
      <c r="G383" s="5325" t="s">
        <v>240</v>
      </c>
      <c r="H383" s="5325" t="s">
        <v>257</v>
      </c>
      <c r="I383" s="5325" t="s">
        <v>2233</v>
      </c>
      <c r="J383" s="5325" t="s">
        <v>1828</v>
      </c>
      <c r="K383" s="5325" t="s">
        <v>2234</v>
      </c>
      <c r="L383" s="5332">
        <v>0</v>
      </c>
      <c r="M383" s="5332">
        <v>1</v>
      </c>
      <c r="N383" s="5332">
        <v>1</v>
      </c>
      <c r="O383" s="5325" t="s">
        <v>2163</v>
      </c>
      <c r="P383" s="5325" t="s">
        <v>2164</v>
      </c>
      <c r="Q383" s="5329" t="s">
        <v>2229</v>
      </c>
      <c r="R383" s="888"/>
      <c r="S383" s="889"/>
      <c r="T383" s="889"/>
      <c r="U383" s="890"/>
      <c r="V383" s="891"/>
      <c r="W383" s="891"/>
      <c r="X383" s="892"/>
      <c r="Y383" s="892"/>
      <c r="Z383" s="892"/>
      <c r="AA383" s="893"/>
      <c r="AB383" s="582"/>
      <c r="AC383" s="528"/>
      <c r="AD383" s="528"/>
      <c r="AE383" s="5465" t="s">
        <v>2166</v>
      </c>
    </row>
    <row r="384" spans="1:31" ht="37.5" customHeight="1">
      <c r="A384" s="5367"/>
      <c r="B384" s="5349"/>
      <c r="C384" s="5326"/>
      <c r="D384" s="5326"/>
      <c r="E384" s="5326"/>
      <c r="F384" s="5326"/>
      <c r="G384" s="5326"/>
      <c r="H384" s="5326"/>
      <c r="I384" s="5326"/>
      <c r="J384" s="5326"/>
      <c r="K384" s="5326"/>
      <c r="L384" s="5326"/>
      <c r="M384" s="5326"/>
      <c r="N384" s="5326"/>
      <c r="O384" s="5326"/>
      <c r="P384" s="5326"/>
      <c r="Q384" s="5330"/>
      <c r="R384" s="891"/>
      <c r="S384" s="894"/>
      <c r="T384" s="894"/>
      <c r="U384" s="895"/>
      <c r="V384" s="891"/>
      <c r="W384" s="891"/>
      <c r="X384" s="892"/>
      <c r="Y384" s="892"/>
      <c r="Z384" s="892"/>
      <c r="AA384" s="893"/>
      <c r="AB384" s="582"/>
      <c r="AC384" s="528"/>
      <c r="AD384" s="528"/>
      <c r="AE384" s="5466"/>
    </row>
    <row r="385" spans="1:31" ht="37.5" customHeight="1">
      <c r="A385" s="5367"/>
      <c r="B385" s="5349"/>
      <c r="C385" s="5326"/>
      <c r="D385" s="5326"/>
      <c r="E385" s="5326"/>
      <c r="F385" s="5326"/>
      <c r="G385" s="5326"/>
      <c r="H385" s="5326"/>
      <c r="I385" s="5326"/>
      <c r="J385" s="5326"/>
      <c r="K385" s="5326"/>
      <c r="L385" s="5326"/>
      <c r="M385" s="5326"/>
      <c r="N385" s="5326"/>
      <c r="O385" s="5326"/>
      <c r="P385" s="5326"/>
      <c r="Q385" s="5330"/>
      <c r="R385" s="891"/>
      <c r="S385" s="894"/>
      <c r="T385" s="894"/>
      <c r="U385" s="895"/>
      <c r="V385" s="891"/>
      <c r="W385" s="891"/>
      <c r="X385" s="892"/>
      <c r="Y385" s="892"/>
      <c r="Z385" s="892"/>
      <c r="AA385" s="893"/>
      <c r="AB385" s="582"/>
      <c r="AC385" s="528"/>
      <c r="AD385" s="528"/>
      <c r="AE385" s="5466"/>
    </row>
    <row r="386" spans="1:31" ht="37.5" customHeight="1">
      <c r="A386" s="5367"/>
      <c r="B386" s="5349"/>
      <c r="C386" s="5326"/>
      <c r="D386" s="5326"/>
      <c r="E386" s="5326"/>
      <c r="F386" s="5326"/>
      <c r="G386" s="5326"/>
      <c r="H386" s="5326"/>
      <c r="I386" s="5326"/>
      <c r="J386" s="5326"/>
      <c r="K386" s="5326"/>
      <c r="L386" s="5326"/>
      <c r="M386" s="5326"/>
      <c r="N386" s="5326"/>
      <c r="O386" s="5326"/>
      <c r="P386" s="5326"/>
      <c r="Q386" s="5330"/>
      <c r="R386" s="888"/>
      <c r="S386" s="889"/>
      <c r="T386" s="889"/>
      <c r="U386" s="895"/>
      <c r="V386" s="891"/>
      <c r="W386" s="891"/>
      <c r="X386" s="892"/>
      <c r="Y386" s="892"/>
      <c r="Z386" s="892"/>
      <c r="AA386" s="893"/>
      <c r="AB386" s="582"/>
      <c r="AC386" s="528"/>
      <c r="AD386" s="528"/>
      <c r="AE386" s="5466"/>
    </row>
    <row r="387" spans="1:31" ht="37.5" customHeight="1">
      <c r="A387" s="5367"/>
      <c r="B387" s="5350"/>
      <c r="C387" s="5327"/>
      <c r="D387" s="5327"/>
      <c r="E387" s="5327"/>
      <c r="F387" s="5327"/>
      <c r="G387" s="5327"/>
      <c r="H387" s="5327"/>
      <c r="I387" s="5327"/>
      <c r="J387" s="5327"/>
      <c r="K387" s="5327"/>
      <c r="L387" s="5327"/>
      <c r="M387" s="5327"/>
      <c r="N387" s="5327"/>
      <c r="O387" s="5327"/>
      <c r="P387" s="5327"/>
      <c r="Q387" s="5331"/>
      <c r="R387" s="891"/>
      <c r="S387" s="894"/>
      <c r="T387" s="894"/>
      <c r="U387" s="895"/>
      <c r="V387" s="891"/>
      <c r="W387" s="891"/>
      <c r="X387" s="892"/>
      <c r="Y387" s="892"/>
      <c r="Z387" s="892"/>
      <c r="AA387" s="893"/>
      <c r="AB387" s="582"/>
      <c r="AC387" s="528"/>
      <c r="AD387" s="528"/>
      <c r="AE387" s="5467"/>
    </row>
    <row r="388" spans="1:31" ht="37.5" customHeight="1">
      <c r="A388" s="5367"/>
      <c r="B388" s="5348" t="s">
        <v>235</v>
      </c>
      <c r="C388" s="5325" t="s">
        <v>236</v>
      </c>
      <c r="D388" s="5325" t="s">
        <v>237</v>
      </c>
      <c r="E388" s="5325" t="s">
        <v>289</v>
      </c>
      <c r="F388" s="5328" t="s">
        <v>239</v>
      </c>
      <c r="G388" s="5325" t="s">
        <v>240</v>
      </c>
      <c r="H388" s="5325" t="s">
        <v>257</v>
      </c>
      <c r="I388" s="5325" t="s">
        <v>2235</v>
      </c>
      <c r="J388" s="5325" t="s">
        <v>2236</v>
      </c>
      <c r="K388" s="5325" t="s">
        <v>2237</v>
      </c>
      <c r="L388" s="5332">
        <v>0</v>
      </c>
      <c r="M388" s="5332">
        <v>1</v>
      </c>
      <c r="N388" s="5332">
        <v>1</v>
      </c>
      <c r="O388" s="5325" t="s">
        <v>2238</v>
      </c>
      <c r="P388" s="5325" t="s">
        <v>2239</v>
      </c>
      <c r="Q388" s="5329" t="s">
        <v>2229</v>
      </c>
      <c r="R388" s="888"/>
      <c r="S388" s="889"/>
      <c r="T388" s="889"/>
      <c r="U388" s="890"/>
      <c r="V388" s="891"/>
      <c r="W388" s="891"/>
      <c r="X388" s="892"/>
      <c r="Y388" s="892"/>
      <c r="Z388" s="892"/>
      <c r="AA388" s="893"/>
      <c r="AB388" s="582"/>
      <c r="AC388" s="528"/>
      <c r="AD388" s="528"/>
      <c r="AE388" s="5465" t="s">
        <v>2173</v>
      </c>
    </row>
    <row r="389" spans="1:31" ht="37.5" customHeight="1">
      <c r="A389" s="5367"/>
      <c r="B389" s="5349"/>
      <c r="C389" s="5326"/>
      <c r="D389" s="5326"/>
      <c r="E389" s="5326"/>
      <c r="F389" s="5326"/>
      <c r="G389" s="5326"/>
      <c r="H389" s="5326"/>
      <c r="I389" s="5326"/>
      <c r="J389" s="5326"/>
      <c r="K389" s="5326"/>
      <c r="L389" s="5326"/>
      <c r="M389" s="5326"/>
      <c r="N389" s="5326"/>
      <c r="O389" s="5326"/>
      <c r="P389" s="5326"/>
      <c r="Q389" s="5330"/>
      <c r="R389" s="891"/>
      <c r="S389" s="894"/>
      <c r="T389" s="894"/>
      <c r="U389" s="895"/>
      <c r="V389" s="891"/>
      <c r="W389" s="891"/>
      <c r="X389" s="892"/>
      <c r="Y389" s="892"/>
      <c r="Z389" s="892"/>
      <c r="AA389" s="893"/>
      <c r="AB389" s="582"/>
      <c r="AC389" s="528"/>
      <c r="AD389" s="528"/>
      <c r="AE389" s="5466"/>
    </row>
    <row r="390" spans="1:31" ht="37.5" customHeight="1">
      <c r="A390" s="5367"/>
      <c r="B390" s="5349"/>
      <c r="C390" s="5326"/>
      <c r="D390" s="5326"/>
      <c r="E390" s="5326"/>
      <c r="F390" s="5326"/>
      <c r="G390" s="5326"/>
      <c r="H390" s="5326"/>
      <c r="I390" s="5326"/>
      <c r="J390" s="5326"/>
      <c r="K390" s="5326"/>
      <c r="L390" s="5326"/>
      <c r="M390" s="5326"/>
      <c r="N390" s="5326"/>
      <c r="O390" s="5326"/>
      <c r="P390" s="5326"/>
      <c r="Q390" s="5330"/>
      <c r="R390" s="891"/>
      <c r="S390" s="894"/>
      <c r="T390" s="894"/>
      <c r="U390" s="895"/>
      <c r="V390" s="891"/>
      <c r="W390" s="891"/>
      <c r="X390" s="892"/>
      <c r="Y390" s="892"/>
      <c r="Z390" s="892"/>
      <c r="AA390" s="893"/>
      <c r="AB390" s="582"/>
      <c r="AC390" s="528"/>
      <c r="AD390" s="528"/>
      <c r="AE390" s="5466"/>
    </row>
    <row r="391" spans="1:31" ht="37.5" customHeight="1">
      <c r="A391" s="5367"/>
      <c r="B391" s="5349"/>
      <c r="C391" s="5326"/>
      <c r="D391" s="5326"/>
      <c r="E391" s="5326"/>
      <c r="F391" s="5326"/>
      <c r="G391" s="5326"/>
      <c r="H391" s="5326"/>
      <c r="I391" s="5326"/>
      <c r="J391" s="5326"/>
      <c r="K391" s="5326"/>
      <c r="L391" s="5326"/>
      <c r="M391" s="5326"/>
      <c r="N391" s="5326"/>
      <c r="O391" s="5326"/>
      <c r="P391" s="5326"/>
      <c r="Q391" s="5330"/>
      <c r="R391" s="888"/>
      <c r="S391" s="889"/>
      <c r="T391" s="889"/>
      <c r="U391" s="895"/>
      <c r="V391" s="891"/>
      <c r="W391" s="891"/>
      <c r="X391" s="892"/>
      <c r="Y391" s="892"/>
      <c r="Z391" s="892"/>
      <c r="AA391" s="893"/>
      <c r="AB391" s="582"/>
      <c r="AC391" s="528"/>
      <c r="AD391" s="528"/>
      <c r="AE391" s="5466"/>
    </row>
    <row r="392" spans="1:31" ht="37.5" customHeight="1">
      <c r="A392" s="5367"/>
      <c r="B392" s="5350"/>
      <c r="C392" s="5327"/>
      <c r="D392" s="5327"/>
      <c r="E392" s="5327"/>
      <c r="F392" s="5327"/>
      <c r="G392" s="5327"/>
      <c r="H392" s="5327"/>
      <c r="I392" s="5327"/>
      <c r="J392" s="5327"/>
      <c r="K392" s="5327"/>
      <c r="L392" s="5327"/>
      <c r="M392" s="5327"/>
      <c r="N392" s="5327"/>
      <c r="O392" s="5327"/>
      <c r="P392" s="5327"/>
      <c r="Q392" s="5331"/>
      <c r="R392" s="891"/>
      <c r="S392" s="894"/>
      <c r="T392" s="894"/>
      <c r="U392" s="895"/>
      <c r="V392" s="891"/>
      <c r="W392" s="891"/>
      <c r="X392" s="892"/>
      <c r="Y392" s="892"/>
      <c r="Z392" s="892"/>
      <c r="AA392" s="893"/>
      <c r="AB392" s="582"/>
      <c r="AC392" s="528"/>
      <c r="AD392" s="528"/>
      <c r="AE392" s="5467"/>
    </row>
    <row r="393" spans="1:31" ht="37.5" customHeight="1">
      <c r="A393" s="5367"/>
      <c r="B393" s="5348" t="s">
        <v>272</v>
      </c>
      <c r="C393" s="5325" t="s">
        <v>679</v>
      </c>
      <c r="D393" s="5325" t="s">
        <v>680</v>
      </c>
      <c r="E393" s="5325" t="s">
        <v>2174</v>
      </c>
      <c r="F393" s="5328" t="s">
        <v>682</v>
      </c>
      <c r="G393" s="5325" t="s">
        <v>262</v>
      </c>
      <c r="H393" s="5325" t="s">
        <v>257</v>
      </c>
      <c r="I393" s="5365" t="s">
        <v>2240</v>
      </c>
      <c r="J393" s="5325" t="s">
        <v>1836</v>
      </c>
      <c r="K393" s="5325" t="s">
        <v>2241</v>
      </c>
      <c r="L393" s="5332">
        <v>0</v>
      </c>
      <c r="M393" s="5332">
        <v>1</v>
      </c>
      <c r="N393" s="5332">
        <v>1</v>
      </c>
      <c r="O393" s="5325" t="s">
        <v>2242</v>
      </c>
      <c r="P393" s="5325" t="s">
        <v>2243</v>
      </c>
      <c r="Q393" s="5329" t="s">
        <v>2229</v>
      </c>
      <c r="R393" s="888"/>
      <c r="S393" s="894"/>
      <c r="T393" s="889"/>
      <c r="U393" s="895"/>
      <c r="V393" s="891"/>
      <c r="W393" s="891"/>
      <c r="X393" s="892"/>
      <c r="Y393" s="892"/>
      <c r="Z393" s="892"/>
      <c r="AA393" s="893"/>
      <c r="AB393" s="582"/>
      <c r="AC393" s="528"/>
      <c r="AD393" s="528"/>
      <c r="AE393" s="5465" t="s">
        <v>2166</v>
      </c>
    </row>
    <row r="394" spans="1:31" ht="37.5" customHeight="1">
      <c r="A394" s="5367"/>
      <c r="B394" s="5349"/>
      <c r="C394" s="5326"/>
      <c r="D394" s="5326"/>
      <c r="E394" s="5326"/>
      <c r="F394" s="5326"/>
      <c r="G394" s="5326"/>
      <c r="H394" s="5326"/>
      <c r="I394" s="5326"/>
      <c r="J394" s="5326"/>
      <c r="K394" s="5326"/>
      <c r="L394" s="5326"/>
      <c r="M394" s="5326"/>
      <c r="N394" s="5326"/>
      <c r="O394" s="5326"/>
      <c r="P394" s="5326"/>
      <c r="Q394" s="5330"/>
      <c r="R394" s="896"/>
      <c r="S394" s="235"/>
      <c r="T394" s="897"/>
      <c r="U394" s="235"/>
      <c r="V394" s="898"/>
      <c r="W394" s="898"/>
      <c r="X394" s="899"/>
      <c r="Y394" s="899"/>
      <c r="Z394" s="899"/>
      <c r="AA394" s="67"/>
      <c r="AB394" s="582"/>
      <c r="AC394" s="528"/>
      <c r="AD394" s="528"/>
      <c r="AE394" s="5466"/>
    </row>
    <row r="395" spans="1:31" ht="37.5" customHeight="1">
      <c r="A395" s="5367"/>
      <c r="B395" s="5349"/>
      <c r="C395" s="5326"/>
      <c r="D395" s="5326"/>
      <c r="E395" s="5326"/>
      <c r="F395" s="5326"/>
      <c r="G395" s="5326"/>
      <c r="H395" s="5326"/>
      <c r="I395" s="5326"/>
      <c r="J395" s="5326"/>
      <c r="K395" s="5326"/>
      <c r="L395" s="5326"/>
      <c r="M395" s="5326"/>
      <c r="N395" s="5326"/>
      <c r="O395" s="5326"/>
      <c r="P395" s="5326"/>
      <c r="Q395" s="5330"/>
      <c r="R395" s="898"/>
      <c r="S395" s="900"/>
      <c r="T395" s="897"/>
      <c r="U395" s="921"/>
      <c r="V395" s="898"/>
      <c r="W395" s="898"/>
      <c r="X395" s="899"/>
      <c r="Y395" s="899"/>
      <c r="Z395" s="899"/>
      <c r="AA395" s="901"/>
      <c r="AB395" s="582"/>
      <c r="AC395" s="528"/>
      <c r="AD395" s="528"/>
      <c r="AE395" s="5466"/>
    </row>
    <row r="396" spans="1:31" ht="37.5" customHeight="1">
      <c r="A396" s="5367"/>
      <c r="B396" s="5349"/>
      <c r="C396" s="5326"/>
      <c r="D396" s="5326"/>
      <c r="E396" s="5326"/>
      <c r="F396" s="5326"/>
      <c r="G396" s="5326"/>
      <c r="H396" s="5326"/>
      <c r="I396" s="5326"/>
      <c r="J396" s="5326"/>
      <c r="K396" s="5326"/>
      <c r="L396" s="5326"/>
      <c r="M396" s="5326"/>
      <c r="N396" s="5326"/>
      <c r="O396" s="5326"/>
      <c r="P396" s="5326"/>
      <c r="Q396" s="5330"/>
      <c r="R396" s="902"/>
      <c r="S396" s="900"/>
      <c r="T396" s="897"/>
      <c r="U396" s="921"/>
      <c r="V396" s="898"/>
      <c r="W396" s="898"/>
      <c r="X396" s="899"/>
      <c r="Y396" s="899"/>
      <c r="Z396" s="899"/>
      <c r="AA396" s="901"/>
      <c r="AB396" s="582"/>
      <c r="AC396" s="528"/>
      <c r="AD396" s="528"/>
      <c r="AE396" s="5466"/>
    </row>
    <row r="397" spans="1:31" ht="37.5" customHeight="1">
      <c r="A397" s="5367"/>
      <c r="B397" s="5349"/>
      <c r="C397" s="5326"/>
      <c r="D397" s="5326"/>
      <c r="E397" s="5326"/>
      <c r="F397" s="5326"/>
      <c r="G397" s="5326"/>
      <c r="H397" s="5326"/>
      <c r="I397" s="5326"/>
      <c r="J397" s="5326"/>
      <c r="K397" s="5326"/>
      <c r="L397" s="5326"/>
      <c r="M397" s="5326"/>
      <c r="N397" s="5326"/>
      <c r="O397" s="5326"/>
      <c r="P397" s="5326"/>
      <c r="Q397" s="5330"/>
      <c r="R397" s="896"/>
      <c r="S397" s="897"/>
      <c r="T397" s="897"/>
      <c r="U397" s="903"/>
      <c r="V397" s="898"/>
      <c r="W397" s="898"/>
      <c r="X397" s="899"/>
      <c r="Y397" s="899"/>
      <c r="Z397" s="899"/>
      <c r="AA397" s="901"/>
      <c r="AB397" s="582"/>
      <c r="AC397" s="528"/>
      <c r="AD397" s="528"/>
      <c r="AE397" s="5466"/>
    </row>
    <row r="398" spans="1:31" ht="37.5" customHeight="1">
      <c r="A398" s="5367"/>
      <c r="B398" s="5349"/>
      <c r="C398" s="5326"/>
      <c r="D398" s="5326"/>
      <c r="E398" s="5326"/>
      <c r="F398" s="5326"/>
      <c r="G398" s="5326"/>
      <c r="H398" s="5326"/>
      <c r="I398" s="5326"/>
      <c r="J398" s="5326"/>
      <c r="K398" s="5326"/>
      <c r="L398" s="5326"/>
      <c r="M398" s="5326"/>
      <c r="N398" s="5326"/>
      <c r="O398" s="5326"/>
      <c r="P398" s="5326"/>
      <c r="Q398" s="5330"/>
      <c r="R398" s="898"/>
      <c r="S398" s="900"/>
      <c r="T398" s="897"/>
      <c r="U398" s="921"/>
      <c r="V398" s="898"/>
      <c r="W398" s="898"/>
      <c r="X398" s="899"/>
      <c r="Y398" s="899"/>
      <c r="Z398" s="899"/>
      <c r="AA398" s="901"/>
      <c r="AB398" s="582"/>
      <c r="AC398" s="528"/>
      <c r="AD398" s="528"/>
      <c r="AE398" s="5466"/>
    </row>
    <row r="399" spans="1:31" ht="37.5" customHeight="1">
      <c r="A399" s="5367"/>
      <c r="B399" s="5349"/>
      <c r="C399" s="5326"/>
      <c r="D399" s="5326"/>
      <c r="E399" s="5326"/>
      <c r="F399" s="5326"/>
      <c r="G399" s="5326"/>
      <c r="H399" s="5326"/>
      <c r="I399" s="5326"/>
      <c r="J399" s="5326"/>
      <c r="K399" s="5326"/>
      <c r="L399" s="5326"/>
      <c r="M399" s="5326"/>
      <c r="N399" s="5326"/>
      <c r="O399" s="5326"/>
      <c r="P399" s="5326"/>
      <c r="Q399" s="5330"/>
      <c r="R399" s="902"/>
      <c r="S399" s="900"/>
      <c r="T399" s="900"/>
      <c r="U399" s="921"/>
      <c r="V399" s="898"/>
      <c r="W399" s="898"/>
      <c r="X399" s="899"/>
      <c r="Y399" s="899"/>
      <c r="Z399" s="899"/>
      <c r="AA399" s="901"/>
      <c r="AB399" s="582"/>
      <c r="AC399" s="528"/>
      <c r="AD399" s="528"/>
      <c r="AE399" s="5466"/>
    </row>
    <row r="400" spans="1:31" ht="37.5" customHeight="1">
      <c r="A400" s="5367"/>
      <c r="B400" s="5349"/>
      <c r="C400" s="5326"/>
      <c r="D400" s="5326"/>
      <c r="E400" s="5326"/>
      <c r="F400" s="5326"/>
      <c r="G400" s="5326"/>
      <c r="H400" s="5326"/>
      <c r="I400" s="5326"/>
      <c r="J400" s="5326"/>
      <c r="K400" s="5326"/>
      <c r="L400" s="5326"/>
      <c r="M400" s="5326"/>
      <c r="N400" s="5326"/>
      <c r="O400" s="5326"/>
      <c r="P400" s="5326"/>
      <c r="Q400" s="5330"/>
      <c r="R400" s="896"/>
      <c r="S400" s="135"/>
      <c r="T400" s="135"/>
      <c r="U400" s="135"/>
      <c r="V400" s="898"/>
      <c r="W400" s="898"/>
      <c r="X400" s="899"/>
      <c r="Y400" s="899"/>
      <c r="Z400" s="899"/>
      <c r="AA400" s="901"/>
      <c r="AB400" s="582"/>
      <c r="AC400" s="528"/>
      <c r="AD400" s="528"/>
      <c r="AE400" s="5466"/>
    </row>
    <row r="401" spans="1:31" ht="37.5" customHeight="1">
      <c r="A401" s="5367"/>
      <c r="B401" s="5349"/>
      <c r="C401" s="5326"/>
      <c r="D401" s="5326"/>
      <c r="E401" s="5326"/>
      <c r="F401" s="5326"/>
      <c r="G401" s="5326"/>
      <c r="H401" s="5326"/>
      <c r="I401" s="5326"/>
      <c r="J401" s="5326"/>
      <c r="K401" s="5326"/>
      <c r="L401" s="5326"/>
      <c r="M401" s="5326"/>
      <c r="N401" s="5326"/>
      <c r="O401" s="5326"/>
      <c r="P401" s="5326"/>
      <c r="Q401" s="5330"/>
      <c r="R401" s="902"/>
      <c r="S401" s="900"/>
      <c r="T401" s="904"/>
      <c r="U401" s="921"/>
      <c r="V401" s="898"/>
      <c r="W401" s="898"/>
      <c r="X401" s="899"/>
      <c r="Y401" s="899"/>
      <c r="Z401" s="899"/>
      <c r="AA401" s="901"/>
      <c r="AB401" s="582"/>
      <c r="AC401" s="528"/>
      <c r="AD401" s="528"/>
      <c r="AE401" s="5466"/>
    </row>
    <row r="402" spans="1:31" ht="37.5" customHeight="1">
      <c r="A402" s="5367"/>
      <c r="B402" s="5349"/>
      <c r="C402" s="5326"/>
      <c r="D402" s="5326"/>
      <c r="E402" s="5326"/>
      <c r="F402" s="5326"/>
      <c r="G402" s="5326"/>
      <c r="H402" s="5326"/>
      <c r="I402" s="5326"/>
      <c r="J402" s="5326"/>
      <c r="K402" s="5326"/>
      <c r="L402" s="5326"/>
      <c r="M402" s="5326"/>
      <c r="N402" s="5326"/>
      <c r="O402" s="5326"/>
      <c r="P402" s="5326"/>
      <c r="Q402" s="5330"/>
      <c r="R402" s="896"/>
      <c r="S402" s="897"/>
      <c r="T402" s="897"/>
      <c r="U402" s="903"/>
      <c r="V402" s="898"/>
      <c r="W402" s="898"/>
      <c r="X402" s="899"/>
      <c r="Y402" s="899"/>
      <c r="Z402" s="899"/>
      <c r="AA402" s="901"/>
      <c r="AB402" s="582"/>
      <c r="AC402" s="528"/>
      <c r="AD402" s="528"/>
      <c r="AE402" s="5466"/>
    </row>
    <row r="403" spans="1:31" ht="37.5" customHeight="1">
      <c r="A403" s="5367"/>
      <c r="B403" s="5349"/>
      <c r="C403" s="5326"/>
      <c r="D403" s="5326"/>
      <c r="E403" s="5326"/>
      <c r="F403" s="5326"/>
      <c r="G403" s="5326"/>
      <c r="H403" s="5326"/>
      <c r="I403" s="5326"/>
      <c r="J403" s="5326"/>
      <c r="K403" s="5326"/>
      <c r="L403" s="5326"/>
      <c r="M403" s="5326"/>
      <c r="N403" s="5326"/>
      <c r="O403" s="5326"/>
      <c r="P403" s="5326"/>
      <c r="Q403" s="5330"/>
      <c r="R403" s="902"/>
      <c r="S403" s="900"/>
      <c r="T403" s="897"/>
      <c r="U403" s="921"/>
      <c r="V403" s="898"/>
      <c r="W403" s="898"/>
      <c r="X403" s="899"/>
      <c r="Y403" s="899"/>
      <c r="Z403" s="899"/>
      <c r="AA403" s="901"/>
      <c r="AB403" s="582"/>
      <c r="AC403" s="528"/>
      <c r="AD403" s="528"/>
      <c r="AE403" s="5466"/>
    </row>
    <row r="404" spans="1:31" ht="37.5" customHeight="1">
      <c r="A404" s="5367"/>
      <c r="B404" s="5349"/>
      <c r="C404" s="5326"/>
      <c r="D404" s="5326"/>
      <c r="E404" s="5326"/>
      <c r="F404" s="5326"/>
      <c r="G404" s="5326"/>
      <c r="H404" s="5326"/>
      <c r="I404" s="5326"/>
      <c r="J404" s="5326"/>
      <c r="K404" s="5326"/>
      <c r="L404" s="5326"/>
      <c r="M404" s="5326"/>
      <c r="N404" s="5326"/>
      <c r="O404" s="5326"/>
      <c r="P404" s="5326"/>
      <c r="Q404" s="5330"/>
      <c r="R404" s="902"/>
      <c r="S404" s="900"/>
      <c r="T404" s="900"/>
      <c r="U404" s="921"/>
      <c r="V404" s="898"/>
      <c r="W404" s="898"/>
      <c r="X404" s="899"/>
      <c r="Y404" s="899"/>
      <c r="Z404" s="899"/>
      <c r="AA404" s="901"/>
      <c r="AB404" s="582"/>
      <c r="AC404" s="528"/>
      <c r="AD404" s="528"/>
      <c r="AE404" s="5466"/>
    </row>
    <row r="405" spans="1:31" ht="37.5" customHeight="1">
      <c r="A405" s="5367"/>
      <c r="B405" s="5349"/>
      <c r="C405" s="5326"/>
      <c r="D405" s="5326"/>
      <c r="E405" s="5326"/>
      <c r="F405" s="5326"/>
      <c r="G405" s="5326"/>
      <c r="H405" s="5326"/>
      <c r="I405" s="5326"/>
      <c r="J405" s="5326"/>
      <c r="K405" s="5326"/>
      <c r="L405" s="5326"/>
      <c r="M405" s="5326"/>
      <c r="N405" s="5326"/>
      <c r="O405" s="5326"/>
      <c r="P405" s="5326"/>
      <c r="Q405" s="5330"/>
      <c r="R405" s="896"/>
      <c r="S405" s="135"/>
      <c r="T405" s="135"/>
      <c r="U405" s="135"/>
      <c r="V405" s="898"/>
      <c r="W405" s="898"/>
      <c r="X405" s="899"/>
      <c r="Y405" s="899"/>
      <c r="Z405" s="899"/>
      <c r="AA405" s="901"/>
      <c r="AB405" s="582"/>
      <c r="AC405" s="528"/>
      <c r="AD405" s="528"/>
      <c r="AE405" s="5466"/>
    </row>
    <row r="406" spans="1:31" ht="37.5" customHeight="1">
      <c r="A406" s="5367"/>
      <c r="B406" s="5349"/>
      <c r="C406" s="5326"/>
      <c r="D406" s="5326"/>
      <c r="E406" s="5326"/>
      <c r="F406" s="5326"/>
      <c r="G406" s="5326"/>
      <c r="H406" s="5326"/>
      <c r="I406" s="5326"/>
      <c r="J406" s="5326"/>
      <c r="K406" s="5326"/>
      <c r="L406" s="5326"/>
      <c r="M406" s="5326"/>
      <c r="N406" s="5326"/>
      <c r="O406" s="5326"/>
      <c r="P406" s="5326"/>
      <c r="Q406" s="5330"/>
      <c r="R406" s="898"/>
      <c r="S406" s="67"/>
      <c r="T406" s="67"/>
      <c r="U406" s="67"/>
      <c r="V406" s="898"/>
      <c r="W406" s="898"/>
      <c r="X406" s="899"/>
      <c r="Y406" s="899"/>
      <c r="Z406" s="899"/>
      <c r="AA406" s="901"/>
      <c r="AB406" s="582"/>
      <c r="AC406" s="528"/>
      <c r="AD406" s="528"/>
      <c r="AE406" s="5466"/>
    </row>
    <row r="407" spans="1:31" ht="37.5" customHeight="1">
      <c r="A407" s="5367"/>
      <c r="B407" s="5349"/>
      <c r="C407" s="5326"/>
      <c r="D407" s="5326"/>
      <c r="E407" s="5326"/>
      <c r="F407" s="5326"/>
      <c r="G407" s="5326"/>
      <c r="H407" s="5326"/>
      <c r="I407" s="5326"/>
      <c r="J407" s="5326"/>
      <c r="K407" s="5326"/>
      <c r="L407" s="5326"/>
      <c r="M407" s="5326"/>
      <c r="N407" s="5326"/>
      <c r="O407" s="5326"/>
      <c r="P407" s="5326"/>
      <c r="Q407" s="5330"/>
      <c r="R407" s="902"/>
      <c r="S407" s="905"/>
      <c r="T407" s="905"/>
      <c r="U407" s="906"/>
      <c r="V407" s="898"/>
      <c r="W407" s="898"/>
      <c r="X407" s="899"/>
      <c r="Y407" s="899"/>
      <c r="Z407" s="899"/>
      <c r="AA407" s="901"/>
      <c r="AB407" s="582"/>
      <c r="AC407" s="528"/>
      <c r="AD407" s="528"/>
      <c r="AE407" s="5466"/>
    </row>
    <row r="408" spans="1:31" ht="37.5" customHeight="1">
      <c r="A408" s="5367"/>
      <c r="B408" s="5349"/>
      <c r="C408" s="5326"/>
      <c r="D408" s="5326"/>
      <c r="E408" s="5326"/>
      <c r="F408" s="5326"/>
      <c r="G408" s="5326"/>
      <c r="H408" s="5326"/>
      <c r="I408" s="5326"/>
      <c r="J408" s="5326"/>
      <c r="K408" s="5326"/>
      <c r="L408" s="5326"/>
      <c r="M408" s="5326"/>
      <c r="N408" s="5326"/>
      <c r="O408" s="5326"/>
      <c r="P408" s="5326"/>
      <c r="Q408" s="5330"/>
      <c r="R408" s="902"/>
      <c r="S408" s="889"/>
      <c r="T408" s="889"/>
      <c r="U408" s="890"/>
      <c r="V408" s="898"/>
      <c r="W408" s="898"/>
      <c r="X408" s="899"/>
      <c r="Y408" s="899"/>
      <c r="Z408" s="899"/>
      <c r="AA408" s="901"/>
      <c r="AB408" s="582"/>
      <c r="AC408" s="528"/>
      <c r="AD408" s="528"/>
      <c r="AE408" s="5466"/>
    </row>
    <row r="409" spans="1:31" ht="37.5" customHeight="1">
      <c r="A409" s="5367"/>
      <c r="B409" s="5349"/>
      <c r="C409" s="5326"/>
      <c r="D409" s="5326"/>
      <c r="E409" s="5326"/>
      <c r="F409" s="5326"/>
      <c r="G409" s="5326"/>
      <c r="H409" s="5326"/>
      <c r="I409" s="5326"/>
      <c r="J409" s="5326"/>
      <c r="K409" s="5326"/>
      <c r="L409" s="5326"/>
      <c r="M409" s="5326"/>
      <c r="N409" s="5326"/>
      <c r="O409" s="5326"/>
      <c r="P409" s="5326"/>
      <c r="Q409" s="5330"/>
      <c r="R409" s="888"/>
      <c r="S409" s="135"/>
      <c r="T409" s="135"/>
      <c r="U409" s="135"/>
      <c r="V409" s="891"/>
      <c r="W409" s="891"/>
      <c r="X409" s="892"/>
      <c r="Y409" s="892"/>
      <c r="Z409" s="892"/>
      <c r="AA409" s="893"/>
      <c r="AB409" s="582"/>
      <c r="AC409" s="528"/>
      <c r="AD409" s="528"/>
      <c r="AE409" s="5466"/>
    </row>
    <row r="410" spans="1:31" ht="37.5" customHeight="1">
      <c r="A410" s="5367"/>
      <c r="B410" s="5349"/>
      <c r="C410" s="5326"/>
      <c r="D410" s="5326"/>
      <c r="E410" s="5326"/>
      <c r="F410" s="5326"/>
      <c r="G410" s="5326"/>
      <c r="H410" s="5326"/>
      <c r="I410" s="5326"/>
      <c r="J410" s="5326"/>
      <c r="K410" s="5326"/>
      <c r="L410" s="5326"/>
      <c r="M410" s="5326"/>
      <c r="N410" s="5326"/>
      <c r="O410" s="5326"/>
      <c r="P410" s="5326"/>
      <c r="Q410" s="5330"/>
      <c r="R410" s="902"/>
      <c r="S410" s="905"/>
      <c r="T410" s="905"/>
      <c r="U410" s="906"/>
      <c r="V410" s="891"/>
      <c r="W410" s="891"/>
      <c r="X410" s="892"/>
      <c r="Y410" s="892"/>
      <c r="Z410" s="892"/>
      <c r="AA410" s="893"/>
      <c r="AB410" s="582"/>
      <c r="AC410" s="528"/>
      <c r="AD410" s="528"/>
      <c r="AE410" s="5466"/>
    </row>
    <row r="411" spans="1:31" ht="37.5" customHeight="1">
      <c r="A411" s="5367"/>
      <c r="B411" s="5349"/>
      <c r="C411" s="5326"/>
      <c r="D411" s="5326"/>
      <c r="E411" s="5326"/>
      <c r="F411" s="5326"/>
      <c r="G411" s="5326"/>
      <c r="H411" s="5326"/>
      <c r="I411" s="5326"/>
      <c r="J411" s="5326"/>
      <c r="K411" s="5326"/>
      <c r="L411" s="5326"/>
      <c r="M411" s="5326"/>
      <c r="N411" s="5326"/>
      <c r="O411" s="5326"/>
      <c r="P411" s="5326"/>
      <c r="Q411" s="5330"/>
      <c r="R411" s="902"/>
      <c r="S411" s="889"/>
      <c r="T411" s="889"/>
      <c r="U411" s="890"/>
      <c r="V411" s="135"/>
      <c r="W411" s="135"/>
      <c r="X411" s="135"/>
      <c r="Y411" s="135"/>
      <c r="Z411" s="135"/>
      <c r="AA411" s="893"/>
      <c r="AB411" s="582"/>
      <c r="AC411" s="528"/>
      <c r="AD411" s="528"/>
      <c r="AE411" s="5466"/>
    </row>
    <row r="412" spans="1:31" ht="37.5" customHeight="1">
      <c r="A412" s="5367"/>
      <c r="B412" s="5349"/>
      <c r="C412" s="5326"/>
      <c r="D412" s="5326"/>
      <c r="E412" s="5326"/>
      <c r="F412" s="5326"/>
      <c r="G412" s="5326"/>
      <c r="H412" s="5326"/>
      <c r="I412" s="5326"/>
      <c r="J412" s="5326"/>
      <c r="K412" s="5326"/>
      <c r="L412" s="5326"/>
      <c r="M412" s="5326"/>
      <c r="N412" s="5326"/>
      <c r="O412" s="5326"/>
      <c r="P412" s="5326"/>
      <c r="Q412" s="5330"/>
      <c r="R412" s="19"/>
      <c r="S412" s="1"/>
      <c r="T412" s="1"/>
      <c r="U412" s="1"/>
      <c r="V412" s="891"/>
      <c r="W412" s="891"/>
      <c r="X412" s="892"/>
      <c r="Y412" s="892"/>
      <c r="Z412" s="892"/>
      <c r="AA412" s="1"/>
      <c r="AB412" s="582"/>
      <c r="AC412" s="528"/>
      <c r="AD412" s="528"/>
      <c r="AE412" s="5466"/>
    </row>
    <row r="413" spans="1:31" ht="37.5" customHeight="1">
      <c r="A413" s="5367"/>
      <c r="B413" s="5349"/>
      <c r="C413" s="5326"/>
      <c r="D413" s="5326"/>
      <c r="E413" s="5326"/>
      <c r="F413" s="5326"/>
      <c r="G413" s="5326"/>
      <c r="H413" s="5326"/>
      <c r="I413" s="5326"/>
      <c r="J413" s="5326"/>
      <c r="K413" s="5326"/>
      <c r="L413" s="5326"/>
      <c r="M413" s="5326"/>
      <c r="N413" s="5326"/>
      <c r="O413" s="5326"/>
      <c r="P413" s="5326"/>
      <c r="Q413" s="5330"/>
      <c r="R413" s="19"/>
      <c r="S413" s="1"/>
      <c r="T413" s="1"/>
      <c r="U413" s="1"/>
      <c r="V413" s="1"/>
      <c r="W413" s="1"/>
      <c r="X413" s="1"/>
      <c r="Y413" s="1"/>
      <c r="Z413" s="1"/>
      <c r="AA413" s="1"/>
      <c r="AB413" s="582"/>
      <c r="AC413" s="528"/>
      <c r="AD413" s="528"/>
      <c r="AE413" s="5466"/>
    </row>
    <row r="414" spans="1:31" ht="37.5" customHeight="1">
      <c r="A414" s="5367"/>
      <c r="B414" s="5349"/>
      <c r="C414" s="5326"/>
      <c r="D414" s="5326"/>
      <c r="E414" s="5326"/>
      <c r="F414" s="5326"/>
      <c r="G414" s="5326"/>
      <c r="H414" s="5326"/>
      <c r="I414" s="5326"/>
      <c r="J414" s="5326"/>
      <c r="K414" s="5326"/>
      <c r="L414" s="5326"/>
      <c r="M414" s="5326"/>
      <c r="N414" s="5326"/>
      <c r="O414" s="5326"/>
      <c r="P414" s="5326"/>
      <c r="Q414" s="5330"/>
      <c r="R414" s="888"/>
      <c r="S414" s="889"/>
      <c r="T414" s="889"/>
      <c r="U414" s="890"/>
      <c r="V414" s="891"/>
      <c r="W414" s="891"/>
      <c r="X414" s="892"/>
      <c r="Y414" s="892"/>
      <c r="Z414" s="892"/>
      <c r="AA414" s="893"/>
      <c r="AB414" s="582"/>
      <c r="AC414" s="528"/>
      <c r="AD414" s="528"/>
      <c r="AE414" s="5466"/>
    </row>
    <row r="415" spans="1:31" ht="37.5" customHeight="1">
      <c r="A415" s="5367"/>
      <c r="B415" s="5349"/>
      <c r="C415" s="5326"/>
      <c r="D415" s="5326"/>
      <c r="E415" s="5326"/>
      <c r="F415" s="5326"/>
      <c r="G415" s="5326"/>
      <c r="H415" s="5326"/>
      <c r="I415" s="5326"/>
      <c r="J415" s="5326"/>
      <c r="K415" s="5326"/>
      <c r="L415" s="5326"/>
      <c r="M415" s="5326"/>
      <c r="N415" s="5326"/>
      <c r="O415" s="5326"/>
      <c r="P415" s="5326"/>
      <c r="Q415" s="5330"/>
      <c r="R415" s="888"/>
      <c r="S415" s="135"/>
      <c r="T415" s="135"/>
      <c r="U415" s="135"/>
      <c r="V415" s="891"/>
      <c r="W415" s="891"/>
      <c r="X415" s="892"/>
      <c r="Y415" s="892"/>
      <c r="Z415" s="892"/>
      <c r="AA415" s="893"/>
      <c r="AB415" s="582"/>
      <c r="AC415" s="528"/>
      <c r="AD415" s="528"/>
      <c r="AE415" s="5466"/>
    </row>
    <row r="416" spans="1:31" ht="37.5" customHeight="1">
      <c r="A416" s="5367"/>
      <c r="B416" s="5349"/>
      <c r="C416" s="5326"/>
      <c r="D416" s="5326"/>
      <c r="E416" s="5326"/>
      <c r="F416" s="5326"/>
      <c r="G416" s="5326"/>
      <c r="H416" s="5326"/>
      <c r="I416" s="5326"/>
      <c r="J416" s="5326"/>
      <c r="K416" s="5326"/>
      <c r="L416" s="5326"/>
      <c r="M416" s="5326"/>
      <c r="N416" s="5326"/>
      <c r="O416" s="5326"/>
      <c r="P416" s="5326"/>
      <c r="Q416" s="5330"/>
      <c r="R416" s="888"/>
      <c r="S416" s="889"/>
      <c r="T416" s="889"/>
      <c r="U416" s="890"/>
      <c r="V416" s="891"/>
      <c r="W416" s="891"/>
      <c r="X416" s="892"/>
      <c r="Y416" s="892"/>
      <c r="Z416" s="892"/>
      <c r="AA416" s="893"/>
      <c r="AB416" s="582"/>
      <c r="AC416" s="528"/>
      <c r="AD416" s="528"/>
      <c r="AE416" s="5466"/>
    </row>
    <row r="417" spans="1:31" ht="37.5" customHeight="1">
      <c r="A417" s="5367"/>
      <c r="B417" s="5349"/>
      <c r="C417" s="5326"/>
      <c r="D417" s="5326"/>
      <c r="E417" s="5326"/>
      <c r="F417" s="5326"/>
      <c r="G417" s="5326"/>
      <c r="H417" s="5326"/>
      <c r="I417" s="5326"/>
      <c r="J417" s="5326"/>
      <c r="K417" s="5326"/>
      <c r="L417" s="5326"/>
      <c r="M417" s="5326"/>
      <c r="N417" s="5326"/>
      <c r="O417" s="5326"/>
      <c r="P417" s="5326"/>
      <c r="Q417" s="5330"/>
      <c r="R417" s="902"/>
      <c r="S417" s="900"/>
      <c r="T417" s="904"/>
      <c r="U417" s="921"/>
      <c r="V417" s="898"/>
      <c r="W417" s="898"/>
      <c r="X417" s="899"/>
      <c r="Y417" s="899"/>
      <c r="Z417" s="899"/>
      <c r="AA417" s="901"/>
      <c r="AB417" s="582"/>
      <c r="AC417" s="528"/>
      <c r="AD417" s="528"/>
      <c r="AE417" s="5466"/>
    </row>
    <row r="418" spans="1:31" ht="37.5" customHeight="1">
      <c r="A418" s="5367"/>
      <c r="B418" s="5349"/>
      <c r="C418" s="5326"/>
      <c r="D418" s="5326"/>
      <c r="E418" s="5326"/>
      <c r="F418" s="5326"/>
      <c r="G418" s="5326"/>
      <c r="H418" s="5326"/>
      <c r="I418" s="5326"/>
      <c r="J418" s="5326"/>
      <c r="K418" s="5326"/>
      <c r="L418" s="5326"/>
      <c r="M418" s="5326"/>
      <c r="N418" s="5326"/>
      <c r="O418" s="5326"/>
      <c r="P418" s="5326"/>
      <c r="Q418" s="5330"/>
      <c r="R418" s="902"/>
      <c r="S418" s="897"/>
      <c r="T418" s="897"/>
      <c r="U418" s="903"/>
      <c r="V418" s="898"/>
      <c r="W418" s="898"/>
      <c r="X418" s="899"/>
      <c r="Y418" s="899"/>
      <c r="Z418" s="899"/>
      <c r="AA418" s="901"/>
      <c r="AB418" s="582"/>
      <c r="AC418" s="528"/>
      <c r="AD418" s="528"/>
      <c r="AE418" s="5466"/>
    </row>
    <row r="419" spans="1:31" ht="37.5" customHeight="1">
      <c r="A419" s="5367"/>
      <c r="B419" s="5349"/>
      <c r="C419" s="5326"/>
      <c r="D419" s="5326"/>
      <c r="E419" s="5326"/>
      <c r="F419" s="5326"/>
      <c r="G419" s="5326"/>
      <c r="H419" s="5326"/>
      <c r="I419" s="5326"/>
      <c r="J419" s="5326"/>
      <c r="K419" s="5326"/>
      <c r="L419" s="5326"/>
      <c r="M419" s="5326"/>
      <c r="N419" s="5326"/>
      <c r="O419" s="5326"/>
      <c r="P419" s="5326"/>
      <c r="Q419" s="5330"/>
      <c r="R419" s="902"/>
      <c r="S419" s="900"/>
      <c r="T419" s="900"/>
      <c r="U419" s="921"/>
      <c r="V419" s="898"/>
      <c r="W419" s="898"/>
      <c r="X419" s="899"/>
      <c r="Y419" s="899"/>
      <c r="Z419" s="899"/>
      <c r="AA419" s="901"/>
      <c r="AB419" s="582"/>
      <c r="AC419" s="528"/>
      <c r="AD419" s="528"/>
      <c r="AE419" s="5466"/>
    </row>
    <row r="420" spans="1:31" ht="37.5" customHeight="1">
      <c r="A420" s="5367"/>
      <c r="B420" s="5349"/>
      <c r="C420" s="5326"/>
      <c r="D420" s="5326"/>
      <c r="E420" s="5326"/>
      <c r="F420" s="5326"/>
      <c r="G420" s="5326"/>
      <c r="H420" s="5326"/>
      <c r="I420" s="5326"/>
      <c r="J420" s="5326"/>
      <c r="K420" s="5326"/>
      <c r="L420" s="5326"/>
      <c r="M420" s="5326"/>
      <c r="N420" s="5326"/>
      <c r="O420" s="5326"/>
      <c r="P420" s="5326"/>
      <c r="Q420" s="5330"/>
      <c r="R420" s="902"/>
      <c r="S420" s="900"/>
      <c r="T420" s="900"/>
      <c r="U420" s="921"/>
      <c r="V420" s="898"/>
      <c r="W420" s="898"/>
      <c r="X420" s="899"/>
      <c r="Y420" s="899"/>
      <c r="Z420" s="899"/>
      <c r="AA420" s="901"/>
      <c r="AB420" s="582"/>
      <c r="AC420" s="528"/>
      <c r="AD420" s="528"/>
      <c r="AE420" s="5466"/>
    </row>
    <row r="421" spans="1:31" ht="37.5" customHeight="1">
      <c r="A421" s="5367"/>
      <c r="B421" s="5349"/>
      <c r="C421" s="5326"/>
      <c r="D421" s="5326"/>
      <c r="E421" s="5326"/>
      <c r="F421" s="5326"/>
      <c r="G421" s="5326"/>
      <c r="H421" s="5326"/>
      <c r="I421" s="5326"/>
      <c r="J421" s="5326"/>
      <c r="K421" s="5326"/>
      <c r="L421" s="5326"/>
      <c r="M421" s="5326"/>
      <c r="N421" s="5326"/>
      <c r="O421" s="5326"/>
      <c r="P421" s="5326"/>
      <c r="Q421" s="5330"/>
      <c r="R421" s="902"/>
      <c r="S421" s="135"/>
      <c r="T421" s="135"/>
      <c r="U421" s="135"/>
      <c r="V421" s="898"/>
      <c r="W421" s="898"/>
      <c r="X421" s="899"/>
      <c r="Y421" s="899"/>
      <c r="Z421" s="899"/>
      <c r="AA421" s="901"/>
      <c r="AB421" s="582"/>
      <c r="AC421" s="528"/>
      <c r="AD421" s="528"/>
      <c r="AE421" s="5466"/>
    </row>
    <row r="422" spans="1:31" ht="37.5" customHeight="1">
      <c r="A422" s="5367"/>
      <c r="B422" s="5349"/>
      <c r="C422" s="5326"/>
      <c r="D422" s="5326"/>
      <c r="E422" s="5326"/>
      <c r="F422" s="5326"/>
      <c r="G422" s="5326"/>
      <c r="H422" s="5326"/>
      <c r="I422" s="5326"/>
      <c r="J422" s="5326"/>
      <c r="K422" s="5326"/>
      <c r="L422" s="5326"/>
      <c r="M422" s="5326"/>
      <c r="N422" s="5326"/>
      <c r="O422" s="5326"/>
      <c r="P422" s="5326"/>
      <c r="Q422" s="5330"/>
      <c r="R422" s="902"/>
      <c r="S422" s="900"/>
      <c r="T422" s="897"/>
      <c r="U422" s="921"/>
      <c r="V422" s="898"/>
      <c r="W422" s="898"/>
      <c r="X422" s="899"/>
      <c r="Y422" s="899"/>
      <c r="Z422" s="899"/>
      <c r="AA422" s="901"/>
      <c r="AB422" s="582"/>
      <c r="AC422" s="528"/>
      <c r="AD422" s="528"/>
      <c r="AE422" s="5466"/>
    </row>
    <row r="423" spans="1:31" ht="37.5" customHeight="1">
      <c r="A423" s="5367"/>
      <c r="B423" s="5349"/>
      <c r="C423" s="5326"/>
      <c r="D423" s="5326"/>
      <c r="E423" s="5326"/>
      <c r="F423" s="5326"/>
      <c r="G423" s="5326"/>
      <c r="H423" s="5326"/>
      <c r="I423" s="5326"/>
      <c r="J423" s="5326"/>
      <c r="K423" s="5326"/>
      <c r="L423" s="5326"/>
      <c r="M423" s="5326"/>
      <c r="N423" s="5326"/>
      <c r="O423" s="5326"/>
      <c r="P423" s="5326"/>
      <c r="Q423" s="5330"/>
      <c r="R423" s="902"/>
      <c r="S423" s="900"/>
      <c r="T423" s="900"/>
      <c r="U423" s="921"/>
      <c r="V423" s="898"/>
      <c r="W423" s="898"/>
      <c r="X423" s="899"/>
      <c r="Y423" s="899"/>
      <c r="Z423" s="899"/>
      <c r="AA423" s="901"/>
      <c r="AB423" s="582"/>
      <c r="AC423" s="528"/>
      <c r="AD423" s="528"/>
      <c r="AE423" s="5466"/>
    </row>
    <row r="424" spans="1:31" ht="37.5" customHeight="1">
      <c r="A424" s="5367"/>
      <c r="B424" s="5350"/>
      <c r="C424" s="5327"/>
      <c r="D424" s="5327"/>
      <c r="E424" s="5327"/>
      <c r="F424" s="5327"/>
      <c r="G424" s="5327"/>
      <c r="H424" s="5327"/>
      <c r="I424" s="5327"/>
      <c r="J424" s="5327"/>
      <c r="K424" s="5327"/>
      <c r="L424" s="5327"/>
      <c r="M424" s="5327"/>
      <c r="N424" s="5327"/>
      <c r="O424" s="5327"/>
      <c r="P424" s="5327"/>
      <c r="Q424" s="5331"/>
      <c r="R424" s="898"/>
      <c r="S424" s="135"/>
      <c r="T424" s="135"/>
      <c r="U424" s="135"/>
      <c r="V424" s="898"/>
      <c r="W424" s="898"/>
      <c r="X424" s="899"/>
      <c r="Y424" s="899"/>
      <c r="Z424" s="899"/>
      <c r="AA424" s="901"/>
      <c r="AB424" s="582"/>
      <c r="AC424" s="528"/>
      <c r="AD424" s="528"/>
      <c r="AE424" s="5467"/>
    </row>
    <row r="425" spans="1:31" ht="37.5" customHeight="1">
      <c r="A425" s="5367"/>
      <c r="B425" s="5348" t="s">
        <v>235</v>
      </c>
      <c r="C425" s="5325" t="s">
        <v>236</v>
      </c>
      <c r="D425" s="5325" t="s">
        <v>237</v>
      </c>
      <c r="E425" s="5325" t="s">
        <v>289</v>
      </c>
      <c r="F425" s="5328" t="s">
        <v>239</v>
      </c>
      <c r="G425" s="5325" t="s">
        <v>240</v>
      </c>
      <c r="H425" s="5325" t="s">
        <v>257</v>
      </c>
      <c r="I425" s="5325" t="s">
        <v>2244</v>
      </c>
      <c r="J425" s="5325" t="s">
        <v>2181</v>
      </c>
      <c r="K425" s="5325" t="s">
        <v>2245</v>
      </c>
      <c r="L425" s="5332">
        <v>0</v>
      </c>
      <c r="M425" s="5332">
        <v>4</v>
      </c>
      <c r="N425" s="5332">
        <v>4</v>
      </c>
      <c r="O425" s="5325" t="s">
        <v>2183</v>
      </c>
      <c r="P425" s="5325" t="s">
        <v>2246</v>
      </c>
      <c r="Q425" s="5329" t="s">
        <v>2229</v>
      </c>
      <c r="R425" s="891"/>
      <c r="S425" s="907"/>
      <c r="T425" s="894"/>
      <c r="U425" s="907"/>
      <c r="V425" s="891"/>
      <c r="W425" s="891"/>
      <c r="X425" s="892"/>
      <c r="Y425" s="892"/>
      <c r="Z425" s="892"/>
      <c r="AA425" s="893"/>
      <c r="AB425" s="582"/>
      <c r="AC425" s="528"/>
      <c r="AD425" s="528"/>
      <c r="AE425" s="5465" t="s">
        <v>2166</v>
      </c>
    </row>
    <row r="426" spans="1:31" ht="37.5" customHeight="1">
      <c r="A426" s="5367"/>
      <c r="B426" s="5349"/>
      <c r="C426" s="5326"/>
      <c r="D426" s="5326"/>
      <c r="E426" s="5326"/>
      <c r="F426" s="5326"/>
      <c r="G426" s="5326"/>
      <c r="H426" s="5326"/>
      <c r="I426" s="5326"/>
      <c r="J426" s="5326"/>
      <c r="K426" s="5326"/>
      <c r="L426" s="5326"/>
      <c r="M426" s="5326"/>
      <c r="N426" s="5326"/>
      <c r="O426" s="5326"/>
      <c r="P426" s="5326"/>
      <c r="Q426" s="5330"/>
      <c r="R426" s="891"/>
      <c r="S426" s="894"/>
      <c r="T426" s="894"/>
      <c r="U426" s="895"/>
      <c r="V426" s="891"/>
      <c r="W426" s="891"/>
      <c r="X426" s="892"/>
      <c r="Y426" s="892"/>
      <c r="Z426" s="892"/>
      <c r="AA426" s="893"/>
      <c r="AB426" s="582"/>
      <c r="AC426" s="528"/>
      <c r="AD426" s="528"/>
      <c r="AE426" s="5466"/>
    </row>
    <row r="427" spans="1:31" ht="37.5" customHeight="1">
      <c r="A427" s="5367"/>
      <c r="B427" s="5349"/>
      <c r="C427" s="5326"/>
      <c r="D427" s="5326"/>
      <c r="E427" s="5326"/>
      <c r="F427" s="5326"/>
      <c r="G427" s="5326"/>
      <c r="H427" s="5326"/>
      <c r="I427" s="5326"/>
      <c r="J427" s="5326"/>
      <c r="K427" s="5326"/>
      <c r="L427" s="5326"/>
      <c r="M427" s="5326"/>
      <c r="N427" s="5326"/>
      <c r="O427" s="5326"/>
      <c r="P427" s="5326"/>
      <c r="Q427" s="5330"/>
      <c r="R427" s="891"/>
      <c r="S427" s="894"/>
      <c r="T427" s="894"/>
      <c r="U427" s="895"/>
      <c r="V427" s="891"/>
      <c r="W427" s="891"/>
      <c r="X427" s="892"/>
      <c r="Y427" s="892"/>
      <c r="Z427" s="892"/>
      <c r="AA427" s="893"/>
      <c r="AB427" s="582"/>
      <c r="AC427" s="528"/>
      <c r="AD427" s="528"/>
      <c r="AE427" s="5466"/>
    </row>
    <row r="428" spans="1:31" ht="37.5" customHeight="1">
      <c r="A428" s="5367"/>
      <c r="B428" s="5349"/>
      <c r="C428" s="5326"/>
      <c r="D428" s="5326"/>
      <c r="E428" s="5326"/>
      <c r="F428" s="5326"/>
      <c r="G428" s="5326"/>
      <c r="H428" s="5326"/>
      <c r="I428" s="5326"/>
      <c r="J428" s="5326"/>
      <c r="K428" s="5326"/>
      <c r="L428" s="5326"/>
      <c r="M428" s="5326"/>
      <c r="N428" s="5326"/>
      <c r="O428" s="5326"/>
      <c r="P428" s="5326"/>
      <c r="Q428" s="5330"/>
      <c r="R428" s="888"/>
      <c r="S428" s="889"/>
      <c r="T428" s="889"/>
      <c r="U428" s="895"/>
      <c r="V428" s="891"/>
      <c r="W428" s="891"/>
      <c r="X428" s="892"/>
      <c r="Y428" s="892"/>
      <c r="Z428" s="892"/>
      <c r="AA428" s="893"/>
      <c r="AB428" s="582"/>
      <c r="AC428" s="528"/>
      <c r="AD428" s="528"/>
      <c r="AE428" s="5466"/>
    </row>
    <row r="429" spans="1:31" ht="37.5" customHeight="1">
      <c r="A429" s="5367"/>
      <c r="B429" s="5350"/>
      <c r="C429" s="5327"/>
      <c r="D429" s="5327"/>
      <c r="E429" s="5327"/>
      <c r="F429" s="5327"/>
      <c r="G429" s="5327"/>
      <c r="H429" s="5327"/>
      <c r="I429" s="5327"/>
      <c r="J429" s="5327"/>
      <c r="K429" s="5327"/>
      <c r="L429" s="5327"/>
      <c r="M429" s="5327"/>
      <c r="N429" s="5327"/>
      <c r="O429" s="5327"/>
      <c r="P429" s="5327"/>
      <c r="Q429" s="5331"/>
      <c r="R429" s="891"/>
      <c r="S429" s="894"/>
      <c r="T429" s="894"/>
      <c r="U429" s="895"/>
      <c r="V429" s="891"/>
      <c r="W429" s="891"/>
      <c r="X429" s="892"/>
      <c r="Y429" s="892"/>
      <c r="Z429" s="892"/>
      <c r="AA429" s="893"/>
      <c r="AB429" s="582"/>
      <c r="AC429" s="528"/>
      <c r="AD429" s="528"/>
      <c r="AE429" s="5467"/>
    </row>
    <row r="430" spans="1:31" ht="37.5" customHeight="1">
      <c r="A430" s="5367"/>
      <c r="B430" s="5348" t="s">
        <v>235</v>
      </c>
      <c r="C430" s="5325" t="s">
        <v>236</v>
      </c>
      <c r="D430" s="5325" t="s">
        <v>237</v>
      </c>
      <c r="E430" s="5325" t="s">
        <v>289</v>
      </c>
      <c r="F430" s="5328" t="s">
        <v>239</v>
      </c>
      <c r="G430" s="5325" t="s">
        <v>240</v>
      </c>
      <c r="H430" s="5325" t="s">
        <v>278</v>
      </c>
      <c r="I430" s="5325" t="s">
        <v>2247</v>
      </c>
      <c r="J430" s="5325" t="s">
        <v>2187</v>
      </c>
      <c r="K430" s="5325" t="s">
        <v>2248</v>
      </c>
      <c r="L430" s="5332">
        <v>0</v>
      </c>
      <c r="M430" s="5332">
        <v>3</v>
      </c>
      <c r="N430" s="5332">
        <v>3</v>
      </c>
      <c r="O430" s="5325" t="s">
        <v>2249</v>
      </c>
      <c r="P430" s="5325" t="s">
        <v>2250</v>
      </c>
      <c r="Q430" s="5329" t="s">
        <v>2229</v>
      </c>
      <c r="R430" s="888"/>
      <c r="S430" s="889"/>
      <c r="T430" s="889"/>
      <c r="U430" s="890"/>
      <c r="V430" s="891"/>
      <c r="W430" s="891"/>
      <c r="X430" s="892"/>
      <c r="Y430" s="892"/>
      <c r="Z430" s="892"/>
      <c r="AA430" s="893"/>
      <c r="AB430" s="582"/>
      <c r="AC430" s="528"/>
      <c r="AD430" s="528"/>
      <c r="AE430" s="5465"/>
    </row>
    <row r="431" spans="1:31" ht="37.5" customHeight="1">
      <c r="A431" s="5367"/>
      <c r="B431" s="5349"/>
      <c r="C431" s="5326"/>
      <c r="D431" s="5326"/>
      <c r="E431" s="5326"/>
      <c r="F431" s="5326"/>
      <c r="G431" s="5326"/>
      <c r="H431" s="5326"/>
      <c r="I431" s="5326"/>
      <c r="J431" s="5326"/>
      <c r="K431" s="5326"/>
      <c r="L431" s="5326"/>
      <c r="M431" s="5326"/>
      <c r="N431" s="5326"/>
      <c r="O431" s="5326"/>
      <c r="P431" s="5326"/>
      <c r="Q431" s="5330"/>
      <c r="R431" s="891"/>
      <c r="S431" s="894"/>
      <c r="T431" s="894"/>
      <c r="U431" s="895"/>
      <c r="V431" s="891"/>
      <c r="W431" s="891"/>
      <c r="X431" s="892"/>
      <c r="Y431" s="892"/>
      <c r="Z431" s="892"/>
      <c r="AA431" s="893"/>
      <c r="AB431" s="582"/>
      <c r="AC431" s="528"/>
      <c r="AD431" s="528"/>
      <c r="AE431" s="5466"/>
    </row>
    <row r="432" spans="1:31" ht="37.5" customHeight="1">
      <c r="A432" s="5367"/>
      <c r="B432" s="5349"/>
      <c r="C432" s="5326"/>
      <c r="D432" s="5326"/>
      <c r="E432" s="5326"/>
      <c r="F432" s="5326"/>
      <c r="G432" s="5326"/>
      <c r="H432" s="5326"/>
      <c r="I432" s="5326"/>
      <c r="J432" s="5326"/>
      <c r="K432" s="5326"/>
      <c r="L432" s="5326"/>
      <c r="M432" s="5326"/>
      <c r="N432" s="5326"/>
      <c r="O432" s="5326"/>
      <c r="P432" s="5326"/>
      <c r="Q432" s="5330"/>
      <c r="R432" s="891"/>
      <c r="S432" s="894"/>
      <c r="T432" s="894"/>
      <c r="U432" s="895"/>
      <c r="V432" s="891"/>
      <c r="W432" s="891"/>
      <c r="X432" s="892"/>
      <c r="Y432" s="892"/>
      <c r="Z432" s="892"/>
      <c r="AA432" s="893"/>
      <c r="AB432" s="582"/>
      <c r="AC432" s="528"/>
      <c r="AD432" s="528"/>
      <c r="AE432" s="5466"/>
    </row>
    <row r="433" spans="1:31" ht="37.5" customHeight="1">
      <c r="A433" s="5367"/>
      <c r="B433" s="5349"/>
      <c r="C433" s="5326"/>
      <c r="D433" s="5326"/>
      <c r="E433" s="5326"/>
      <c r="F433" s="5326"/>
      <c r="G433" s="5326"/>
      <c r="H433" s="5326"/>
      <c r="I433" s="5326"/>
      <c r="J433" s="5326"/>
      <c r="K433" s="5326"/>
      <c r="L433" s="5326"/>
      <c r="M433" s="5326"/>
      <c r="N433" s="5326"/>
      <c r="O433" s="5326"/>
      <c r="P433" s="5326"/>
      <c r="Q433" s="5330"/>
      <c r="R433" s="888"/>
      <c r="S433" s="889"/>
      <c r="T433" s="889"/>
      <c r="U433" s="895"/>
      <c r="V433" s="891"/>
      <c r="W433" s="891"/>
      <c r="X433" s="892"/>
      <c r="Y433" s="892"/>
      <c r="Z433" s="892"/>
      <c r="AA433" s="893"/>
      <c r="AB433" s="582"/>
      <c r="AC433" s="528"/>
      <c r="AD433" s="528"/>
      <c r="AE433" s="5466"/>
    </row>
    <row r="434" spans="1:31" ht="37.5" customHeight="1">
      <c r="A434" s="5367"/>
      <c r="B434" s="5350"/>
      <c r="C434" s="5327"/>
      <c r="D434" s="5327"/>
      <c r="E434" s="5327"/>
      <c r="F434" s="5327"/>
      <c r="G434" s="5327"/>
      <c r="H434" s="5327"/>
      <c r="I434" s="5327"/>
      <c r="J434" s="5327"/>
      <c r="K434" s="5327"/>
      <c r="L434" s="5327"/>
      <c r="M434" s="5327"/>
      <c r="N434" s="5327"/>
      <c r="O434" s="5327"/>
      <c r="P434" s="5327"/>
      <c r="Q434" s="5331"/>
      <c r="R434" s="891"/>
      <c r="S434" s="894"/>
      <c r="T434" s="894"/>
      <c r="U434" s="895"/>
      <c r="V434" s="891"/>
      <c r="W434" s="891"/>
      <c r="X434" s="892"/>
      <c r="Y434" s="892"/>
      <c r="Z434" s="892"/>
      <c r="AA434" s="893"/>
      <c r="AB434" s="582"/>
      <c r="AC434" s="528"/>
      <c r="AD434" s="528"/>
      <c r="AE434" s="5467"/>
    </row>
    <row r="435" spans="1:31" ht="37.5" customHeight="1">
      <c r="A435" s="5367"/>
      <c r="B435" s="5348" t="s">
        <v>272</v>
      </c>
      <c r="C435" s="5325" t="s">
        <v>302</v>
      </c>
      <c r="D435" s="5325" t="s">
        <v>303</v>
      </c>
      <c r="E435" s="5325" t="s">
        <v>318</v>
      </c>
      <c r="F435" s="5328" t="s">
        <v>305</v>
      </c>
      <c r="G435" s="5325" t="s">
        <v>240</v>
      </c>
      <c r="H435" s="5325" t="s">
        <v>278</v>
      </c>
      <c r="I435" s="5325" t="s">
        <v>2251</v>
      </c>
      <c r="J435" s="5325" t="s">
        <v>1850</v>
      </c>
      <c r="K435" s="5325" t="s">
        <v>2192</v>
      </c>
      <c r="L435" s="5332">
        <v>0</v>
      </c>
      <c r="M435" s="5332">
        <v>1</v>
      </c>
      <c r="N435" s="5332">
        <v>1</v>
      </c>
      <c r="O435" s="5325" t="s">
        <v>2193</v>
      </c>
      <c r="P435" s="5325" t="s">
        <v>2194</v>
      </c>
      <c r="Q435" s="5329" t="s">
        <v>2229</v>
      </c>
      <c r="R435" s="888"/>
      <c r="S435" s="889"/>
      <c r="T435" s="889"/>
      <c r="U435" s="890"/>
      <c r="V435" s="891"/>
      <c r="W435" s="891"/>
      <c r="X435" s="892"/>
      <c r="Y435" s="892"/>
      <c r="Z435" s="892"/>
      <c r="AA435" s="893"/>
      <c r="AB435" s="582"/>
      <c r="AC435" s="528"/>
      <c r="AD435" s="528"/>
      <c r="AE435" s="5465"/>
    </row>
    <row r="436" spans="1:31" ht="37.5" customHeight="1">
      <c r="A436" s="5367"/>
      <c r="B436" s="5349"/>
      <c r="C436" s="5326"/>
      <c r="D436" s="5326"/>
      <c r="E436" s="5326"/>
      <c r="F436" s="5326"/>
      <c r="G436" s="5326"/>
      <c r="H436" s="5326"/>
      <c r="I436" s="5326"/>
      <c r="J436" s="5326"/>
      <c r="K436" s="5326"/>
      <c r="L436" s="5326"/>
      <c r="M436" s="5326"/>
      <c r="N436" s="5326"/>
      <c r="O436" s="5326"/>
      <c r="P436" s="5326"/>
      <c r="Q436" s="5330"/>
      <c r="R436" s="891"/>
      <c r="S436" s="894"/>
      <c r="T436" s="894"/>
      <c r="U436" s="895"/>
      <c r="V436" s="891"/>
      <c r="W436" s="891"/>
      <c r="X436" s="892"/>
      <c r="Y436" s="892"/>
      <c r="Z436" s="892"/>
      <c r="AA436" s="893"/>
      <c r="AB436" s="582"/>
      <c r="AC436" s="528"/>
      <c r="AD436" s="528"/>
      <c r="AE436" s="5466"/>
    </row>
    <row r="437" spans="1:31" ht="37.5" customHeight="1">
      <c r="A437" s="5367"/>
      <c r="B437" s="5349"/>
      <c r="C437" s="5326"/>
      <c r="D437" s="5326"/>
      <c r="E437" s="5326"/>
      <c r="F437" s="5326"/>
      <c r="G437" s="5326"/>
      <c r="H437" s="5326"/>
      <c r="I437" s="5326"/>
      <c r="J437" s="5326"/>
      <c r="K437" s="5326"/>
      <c r="L437" s="5326"/>
      <c r="M437" s="5326"/>
      <c r="N437" s="5326"/>
      <c r="O437" s="5326"/>
      <c r="P437" s="5326"/>
      <c r="Q437" s="5330"/>
      <c r="R437" s="891"/>
      <c r="S437" s="894"/>
      <c r="T437" s="894"/>
      <c r="U437" s="895"/>
      <c r="V437" s="891"/>
      <c r="W437" s="891"/>
      <c r="X437" s="892"/>
      <c r="Y437" s="892"/>
      <c r="Z437" s="892"/>
      <c r="AA437" s="893"/>
      <c r="AB437" s="582"/>
      <c r="AC437" s="528"/>
      <c r="AD437" s="528"/>
      <c r="AE437" s="5466"/>
    </row>
    <row r="438" spans="1:31" ht="37.5" customHeight="1">
      <c r="A438" s="5367"/>
      <c r="B438" s="5349"/>
      <c r="C438" s="5326"/>
      <c r="D438" s="5326"/>
      <c r="E438" s="5326"/>
      <c r="F438" s="5326"/>
      <c r="G438" s="5326"/>
      <c r="H438" s="5326"/>
      <c r="I438" s="5326"/>
      <c r="J438" s="5326"/>
      <c r="K438" s="5326"/>
      <c r="L438" s="5326"/>
      <c r="M438" s="5326"/>
      <c r="N438" s="5326"/>
      <c r="O438" s="5326"/>
      <c r="P438" s="5326"/>
      <c r="Q438" s="5330"/>
      <c r="R438" s="888"/>
      <c r="S438" s="889"/>
      <c r="T438" s="889"/>
      <c r="U438" s="895"/>
      <c r="V438" s="891"/>
      <c r="W438" s="891"/>
      <c r="X438" s="892"/>
      <c r="Y438" s="892"/>
      <c r="Z438" s="892"/>
      <c r="AA438" s="893"/>
      <c r="AB438" s="582"/>
      <c r="AC438" s="528"/>
      <c r="AD438" s="528"/>
      <c r="AE438" s="5466"/>
    </row>
    <row r="439" spans="1:31" ht="37.5" customHeight="1">
      <c r="A439" s="5367"/>
      <c r="B439" s="5350"/>
      <c r="C439" s="5327"/>
      <c r="D439" s="5327"/>
      <c r="E439" s="5327"/>
      <c r="F439" s="5327"/>
      <c r="G439" s="5327"/>
      <c r="H439" s="5327"/>
      <c r="I439" s="5327"/>
      <c r="J439" s="5327"/>
      <c r="K439" s="5327"/>
      <c r="L439" s="5327"/>
      <c r="M439" s="5327"/>
      <c r="N439" s="5327"/>
      <c r="O439" s="5327"/>
      <c r="P439" s="5327"/>
      <c r="Q439" s="5331"/>
      <c r="R439" s="891"/>
      <c r="S439" s="894"/>
      <c r="T439" s="894"/>
      <c r="U439" s="895"/>
      <c r="V439" s="891"/>
      <c r="W439" s="891"/>
      <c r="X439" s="892"/>
      <c r="Y439" s="892"/>
      <c r="Z439" s="892"/>
      <c r="AA439" s="893"/>
      <c r="AB439" s="582"/>
      <c r="AC439" s="528"/>
      <c r="AD439" s="528"/>
      <c r="AE439" s="5467"/>
    </row>
    <row r="440" spans="1:31" ht="37.5" customHeight="1">
      <c r="A440" s="5367"/>
      <c r="B440" s="5348" t="s">
        <v>272</v>
      </c>
      <c r="C440" s="5325" t="s">
        <v>302</v>
      </c>
      <c r="D440" s="5325" t="s">
        <v>303</v>
      </c>
      <c r="E440" s="5325" t="s">
        <v>304</v>
      </c>
      <c r="F440" s="5328" t="s">
        <v>305</v>
      </c>
      <c r="G440" s="5325" t="s">
        <v>240</v>
      </c>
      <c r="H440" s="5325" t="s">
        <v>278</v>
      </c>
      <c r="I440" s="5325" t="s">
        <v>2252</v>
      </c>
      <c r="J440" s="5325" t="s">
        <v>1855</v>
      </c>
      <c r="K440" s="5325" t="s">
        <v>2253</v>
      </c>
      <c r="L440" s="5332">
        <v>0</v>
      </c>
      <c r="M440" s="5332">
        <v>16</v>
      </c>
      <c r="N440" s="5332">
        <v>16</v>
      </c>
      <c r="O440" s="5325" t="s">
        <v>2197</v>
      </c>
      <c r="P440" s="5325" t="s">
        <v>2198</v>
      </c>
      <c r="Q440" s="5329" t="s">
        <v>2229</v>
      </c>
      <c r="R440" s="888"/>
      <c r="S440" s="889"/>
      <c r="T440" s="889"/>
      <c r="U440" s="890"/>
      <c r="V440" s="891"/>
      <c r="W440" s="891"/>
      <c r="X440" s="892"/>
      <c r="Y440" s="892"/>
      <c r="Z440" s="892"/>
      <c r="AA440" s="893"/>
      <c r="AB440" s="582"/>
      <c r="AC440" s="528"/>
      <c r="AD440" s="528"/>
      <c r="AE440" s="5465"/>
    </row>
    <row r="441" spans="1:31" ht="37.5" customHeight="1">
      <c r="A441" s="5367"/>
      <c r="B441" s="5349"/>
      <c r="C441" s="5326"/>
      <c r="D441" s="5326"/>
      <c r="E441" s="5326"/>
      <c r="F441" s="5326"/>
      <c r="G441" s="5326"/>
      <c r="H441" s="5326"/>
      <c r="I441" s="5326"/>
      <c r="J441" s="5326"/>
      <c r="K441" s="5326"/>
      <c r="L441" s="5326"/>
      <c r="M441" s="5326"/>
      <c r="N441" s="5326"/>
      <c r="O441" s="5326"/>
      <c r="P441" s="5326"/>
      <c r="Q441" s="5330"/>
      <c r="R441" s="891"/>
      <c r="S441" s="894"/>
      <c r="T441" s="894"/>
      <c r="U441" s="895"/>
      <c r="V441" s="891"/>
      <c r="W441" s="891"/>
      <c r="X441" s="892"/>
      <c r="Y441" s="892"/>
      <c r="Z441" s="892"/>
      <c r="AA441" s="893"/>
      <c r="AB441" s="582"/>
      <c r="AC441" s="528"/>
      <c r="AD441" s="528"/>
      <c r="AE441" s="5466"/>
    </row>
    <row r="442" spans="1:31" ht="37.5" customHeight="1">
      <c r="A442" s="5367"/>
      <c r="B442" s="5349"/>
      <c r="C442" s="5326"/>
      <c r="D442" s="5326"/>
      <c r="E442" s="5326"/>
      <c r="F442" s="5326"/>
      <c r="G442" s="5326"/>
      <c r="H442" s="5326"/>
      <c r="I442" s="5326"/>
      <c r="J442" s="5326"/>
      <c r="K442" s="5326"/>
      <c r="L442" s="5326"/>
      <c r="M442" s="5326"/>
      <c r="N442" s="5326"/>
      <c r="O442" s="5326"/>
      <c r="P442" s="5326"/>
      <c r="Q442" s="5330"/>
      <c r="R442" s="891"/>
      <c r="S442" s="894"/>
      <c r="T442" s="894"/>
      <c r="U442" s="895"/>
      <c r="V442" s="891"/>
      <c r="W442" s="891"/>
      <c r="X442" s="892"/>
      <c r="Y442" s="892"/>
      <c r="Z442" s="892"/>
      <c r="AA442" s="893"/>
      <c r="AB442" s="582"/>
      <c r="AC442" s="528"/>
      <c r="AD442" s="528"/>
      <c r="AE442" s="5466"/>
    </row>
    <row r="443" spans="1:31" ht="37.5" customHeight="1">
      <c r="A443" s="5367"/>
      <c r="B443" s="5349"/>
      <c r="C443" s="5326"/>
      <c r="D443" s="5326"/>
      <c r="E443" s="5326"/>
      <c r="F443" s="5326"/>
      <c r="G443" s="5326"/>
      <c r="H443" s="5326"/>
      <c r="I443" s="5326"/>
      <c r="J443" s="5326"/>
      <c r="K443" s="5326"/>
      <c r="L443" s="5326"/>
      <c r="M443" s="5326"/>
      <c r="N443" s="5326"/>
      <c r="O443" s="5326"/>
      <c r="P443" s="5326"/>
      <c r="Q443" s="5330"/>
      <c r="R443" s="888"/>
      <c r="S443" s="889"/>
      <c r="T443" s="889"/>
      <c r="U443" s="895"/>
      <c r="V443" s="891"/>
      <c r="W443" s="891"/>
      <c r="X443" s="892"/>
      <c r="Y443" s="892"/>
      <c r="Z443" s="892"/>
      <c r="AA443" s="893"/>
      <c r="AB443" s="582"/>
      <c r="AC443" s="528"/>
      <c r="AD443" s="528"/>
      <c r="AE443" s="5466"/>
    </row>
    <row r="444" spans="1:31" ht="37.5" customHeight="1">
      <c r="A444" s="5367"/>
      <c r="B444" s="5350"/>
      <c r="C444" s="5327"/>
      <c r="D444" s="5327"/>
      <c r="E444" s="5327"/>
      <c r="F444" s="5327"/>
      <c r="G444" s="5327"/>
      <c r="H444" s="5327"/>
      <c r="I444" s="5327"/>
      <c r="J444" s="5327"/>
      <c r="K444" s="5327"/>
      <c r="L444" s="5327"/>
      <c r="M444" s="5327"/>
      <c r="N444" s="5327"/>
      <c r="O444" s="5327"/>
      <c r="P444" s="5327"/>
      <c r="Q444" s="5331"/>
      <c r="R444" s="891"/>
      <c r="S444" s="894"/>
      <c r="T444" s="894"/>
      <c r="U444" s="895"/>
      <c r="V444" s="891"/>
      <c r="W444" s="891"/>
      <c r="X444" s="892"/>
      <c r="Y444" s="892"/>
      <c r="Z444" s="892"/>
      <c r="AA444" s="893"/>
      <c r="AB444" s="582"/>
      <c r="AC444" s="528"/>
      <c r="AD444" s="528"/>
      <c r="AE444" s="5467"/>
    </row>
    <row r="445" spans="1:31" ht="37.5" customHeight="1">
      <c r="A445" s="5367"/>
      <c r="B445" s="5348" t="s">
        <v>272</v>
      </c>
      <c r="C445" s="5325" t="s">
        <v>302</v>
      </c>
      <c r="D445" s="5325" t="s">
        <v>303</v>
      </c>
      <c r="E445" s="5325" t="s">
        <v>318</v>
      </c>
      <c r="F445" s="5328" t="s">
        <v>305</v>
      </c>
      <c r="G445" s="5325" t="s">
        <v>262</v>
      </c>
      <c r="H445" s="5325" t="s">
        <v>257</v>
      </c>
      <c r="I445" s="5325" t="s">
        <v>2254</v>
      </c>
      <c r="J445" s="5325" t="s">
        <v>2201</v>
      </c>
      <c r="K445" s="5325" t="s">
        <v>2255</v>
      </c>
      <c r="L445" s="5332">
        <v>0</v>
      </c>
      <c r="M445" s="5332">
        <v>2</v>
      </c>
      <c r="N445" s="5332">
        <v>2</v>
      </c>
      <c r="O445" s="5325" t="s">
        <v>2203</v>
      </c>
      <c r="P445" s="5325" t="s">
        <v>2256</v>
      </c>
      <c r="Q445" s="5329" t="s">
        <v>2229</v>
      </c>
      <c r="R445" s="888"/>
      <c r="S445" s="889"/>
      <c r="T445" s="889"/>
      <c r="U445" s="890"/>
      <c r="V445" s="891"/>
      <c r="W445" s="891"/>
      <c r="X445" s="892"/>
      <c r="Y445" s="892"/>
      <c r="Z445" s="892"/>
      <c r="AA445" s="893"/>
      <c r="AB445" s="582"/>
      <c r="AC445" s="528"/>
      <c r="AD445" s="528"/>
      <c r="AE445" s="5465" t="s">
        <v>2166</v>
      </c>
    </row>
    <row r="446" spans="1:31" ht="37.5" customHeight="1">
      <c r="A446" s="5367"/>
      <c r="B446" s="5349"/>
      <c r="C446" s="5326"/>
      <c r="D446" s="5326"/>
      <c r="E446" s="5326"/>
      <c r="F446" s="5326"/>
      <c r="G446" s="5326"/>
      <c r="H446" s="5326"/>
      <c r="I446" s="5326"/>
      <c r="J446" s="5326"/>
      <c r="K446" s="5326"/>
      <c r="L446" s="5326"/>
      <c r="M446" s="5326"/>
      <c r="N446" s="5326"/>
      <c r="O446" s="5326"/>
      <c r="P446" s="5326"/>
      <c r="Q446" s="5330"/>
      <c r="R446" s="891"/>
      <c r="S446" s="894"/>
      <c r="T446" s="894"/>
      <c r="U446" s="895"/>
      <c r="V446" s="891"/>
      <c r="W446" s="891"/>
      <c r="X446" s="892"/>
      <c r="Y446" s="892"/>
      <c r="Z446" s="892"/>
      <c r="AA446" s="893"/>
      <c r="AB446" s="582"/>
      <c r="AC446" s="528"/>
      <c r="AD446" s="528"/>
      <c r="AE446" s="5466"/>
    </row>
    <row r="447" spans="1:31" ht="37.5" customHeight="1">
      <c r="A447" s="5367"/>
      <c r="B447" s="5349"/>
      <c r="C447" s="5326"/>
      <c r="D447" s="5326"/>
      <c r="E447" s="5326"/>
      <c r="F447" s="5326"/>
      <c r="G447" s="5326"/>
      <c r="H447" s="5326"/>
      <c r="I447" s="5326"/>
      <c r="J447" s="5326"/>
      <c r="K447" s="5326"/>
      <c r="L447" s="5326"/>
      <c r="M447" s="5326"/>
      <c r="N447" s="5326"/>
      <c r="O447" s="5326"/>
      <c r="P447" s="5326"/>
      <c r="Q447" s="5330"/>
      <c r="R447" s="891"/>
      <c r="S447" s="894"/>
      <c r="T447" s="894"/>
      <c r="U447" s="895"/>
      <c r="V447" s="891"/>
      <c r="W447" s="891"/>
      <c r="X447" s="892"/>
      <c r="Y447" s="892"/>
      <c r="Z447" s="892"/>
      <c r="AA447" s="893"/>
      <c r="AB447" s="582"/>
      <c r="AC447" s="528"/>
      <c r="AD447" s="528"/>
      <c r="AE447" s="5466"/>
    </row>
    <row r="448" spans="1:31" ht="37.5" customHeight="1">
      <c r="A448" s="5367"/>
      <c r="B448" s="5349"/>
      <c r="C448" s="5326"/>
      <c r="D448" s="5326"/>
      <c r="E448" s="5326"/>
      <c r="F448" s="5326"/>
      <c r="G448" s="5326"/>
      <c r="H448" s="5326"/>
      <c r="I448" s="5326"/>
      <c r="J448" s="5326"/>
      <c r="K448" s="5326"/>
      <c r="L448" s="5326"/>
      <c r="M448" s="5326"/>
      <c r="N448" s="5326"/>
      <c r="O448" s="5326"/>
      <c r="P448" s="5326"/>
      <c r="Q448" s="5330"/>
      <c r="R448" s="888"/>
      <c r="S448" s="889"/>
      <c r="T448" s="889"/>
      <c r="U448" s="895"/>
      <c r="V448" s="891"/>
      <c r="W448" s="891"/>
      <c r="X448" s="892"/>
      <c r="Y448" s="892"/>
      <c r="Z448" s="892"/>
      <c r="AA448" s="893"/>
      <c r="AB448" s="582"/>
      <c r="AC448" s="528"/>
      <c r="AD448" s="528"/>
      <c r="AE448" s="5466"/>
    </row>
    <row r="449" spans="1:31" ht="37.5" customHeight="1">
      <c r="A449" s="5367"/>
      <c r="B449" s="5350"/>
      <c r="C449" s="5327"/>
      <c r="D449" s="5327"/>
      <c r="E449" s="5327"/>
      <c r="F449" s="5327"/>
      <c r="G449" s="5327"/>
      <c r="H449" s="5327"/>
      <c r="I449" s="5327"/>
      <c r="J449" s="5327"/>
      <c r="K449" s="5327"/>
      <c r="L449" s="5327"/>
      <c r="M449" s="5327"/>
      <c r="N449" s="5327"/>
      <c r="O449" s="5327"/>
      <c r="P449" s="5327"/>
      <c r="Q449" s="5331"/>
      <c r="R449" s="891"/>
      <c r="S449" s="894"/>
      <c r="T449" s="894"/>
      <c r="U449" s="895"/>
      <c r="V449" s="891"/>
      <c r="W449" s="891"/>
      <c r="X449" s="892"/>
      <c r="Y449" s="892"/>
      <c r="Z449" s="892"/>
      <c r="AA449" s="893"/>
      <c r="AB449" s="582"/>
      <c r="AC449" s="528"/>
      <c r="AD449" s="528"/>
      <c r="AE449" s="5467"/>
    </row>
    <row r="450" spans="1:31" ht="37.5" customHeight="1">
      <c r="A450" s="5367"/>
      <c r="B450" s="5348" t="s">
        <v>272</v>
      </c>
      <c r="C450" s="5325" t="s">
        <v>302</v>
      </c>
      <c r="D450" s="5325" t="s">
        <v>303</v>
      </c>
      <c r="E450" s="5325" t="s">
        <v>304</v>
      </c>
      <c r="F450" s="5328" t="s">
        <v>305</v>
      </c>
      <c r="G450" s="5325" t="s">
        <v>262</v>
      </c>
      <c r="H450" s="5325" t="s">
        <v>257</v>
      </c>
      <c r="I450" s="5325" t="s">
        <v>2257</v>
      </c>
      <c r="J450" s="5325" t="s">
        <v>1865</v>
      </c>
      <c r="K450" s="5325" t="s">
        <v>2207</v>
      </c>
      <c r="L450" s="5332">
        <v>0</v>
      </c>
      <c r="M450" s="5332">
        <v>1</v>
      </c>
      <c r="N450" s="5332">
        <v>1</v>
      </c>
      <c r="O450" s="5325" t="s">
        <v>2208</v>
      </c>
      <c r="P450" s="5325" t="s">
        <v>2209</v>
      </c>
      <c r="Q450" s="5329" t="s">
        <v>2229</v>
      </c>
      <c r="R450" s="888"/>
      <c r="S450" s="889"/>
      <c r="T450" s="889"/>
      <c r="U450" s="890"/>
      <c r="V450" s="891"/>
      <c r="W450" s="891"/>
      <c r="X450" s="892"/>
      <c r="Y450" s="892"/>
      <c r="Z450" s="892"/>
      <c r="AA450" s="893"/>
      <c r="AB450" s="582"/>
      <c r="AC450" s="528"/>
      <c r="AD450" s="528"/>
      <c r="AE450" s="5465"/>
    </row>
    <row r="451" spans="1:31" ht="37.5" customHeight="1">
      <c r="A451" s="5367"/>
      <c r="B451" s="5349"/>
      <c r="C451" s="5326"/>
      <c r="D451" s="5326"/>
      <c r="E451" s="5326"/>
      <c r="F451" s="5326"/>
      <c r="G451" s="5326"/>
      <c r="H451" s="5326"/>
      <c r="I451" s="5326"/>
      <c r="J451" s="5326"/>
      <c r="K451" s="5326"/>
      <c r="L451" s="5326"/>
      <c r="M451" s="5326"/>
      <c r="N451" s="5326"/>
      <c r="O451" s="5326"/>
      <c r="P451" s="5326"/>
      <c r="Q451" s="5330"/>
      <c r="R451" s="891"/>
      <c r="S451" s="894"/>
      <c r="T451" s="894"/>
      <c r="U451" s="895"/>
      <c r="V451" s="891"/>
      <c r="W451" s="891"/>
      <c r="X451" s="892"/>
      <c r="Y451" s="892"/>
      <c r="Z451" s="892"/>
      <c r="AA451" s="893"/>
      <c r="AB451" s="582"/>
      <c r="AC451" s="528"/>
      <c r="AD451" s="528"/>
      <c r="AE451" s="5466"/>
    </row>
    <row r="452" spans="1:31" ht="37.5" customHeight="1">
      <c r="A452" s="5367"/>
      <c r="B452" s="5349"/>
      <c r="C452" s="5326"/>
      <c r="D452" s="5326"/>
      <c r="E452" s="5326"/>
      <c r="F452" s="5326"/>
      <c r="G452" s="5326"/>
      <c r="H452" s="5326"/>
      <c r="I452" s="5326"/>
      <c r="J452" s="5326"/>
      <c r="K452" s="5326"/>
      <c r="L452" s="5326"/>
      <c r="M452" s="5326"/>
      <c r="N452" s="5326"/>
      <c r="O452" s="5326"/>
      <c r="P452" s="5326"/>
      <c r="Q452" s="5330"/>
      <c r="R452" s="891"/>
      <c r="S452" s="894"/>
      <c r="T452" s="894"/>
      <c r="U452" s="895"/>
      <c r="V452" s="891"/>
      <c r="W452" s="891"/>
      <c r="X452" s="892"/>
      <c r="Y452" s="892"/>
      <c r="Z452" s="892"/>
      <c r="AA452" s="893"/>
      <c r="AB452" s="582"/>
      <c r="AC452" s="528"/>
      <c r="AD452" s="528"/>
      <c r="AE452" s="5466"/>
    </row>
    <row r="453" spans="1:31" ht="37.5" customHeight="1">
      <c r="A453" s="5367"/>
      <c r="B453" s="5349"/>
      <c r="C453" s="5326"/>
      <c r="D453" s="5326"/>
      <c r="E453" s="5326"/>
      <c r="F453" s="5326"/>
      <c r="G453" s="5326"/>
      <c r="H453" s="5326"/>
      <c r="I453" s="5326"/>
      <c r="J453" s="5326"/>
      <c r="K453" s="5326"/>
      <c r="L453" s="5326"/>
      <c r="M453" s="5326"/>
      <c r="N453" s="5326"/>
      <c r="O453" s="5326"/>
      <c r="P453" s="5326"/>
      <c r="Q453" s="5330"/>
      <c r="R453" s="888"/>
      <c r="S453" s="889"/>
      <c r="T453" s="889"/>
      <c r="U453" s="895"/>
      <c r="V453" s="891"/>
      <c r="W453" s="891"/>
      <c r="X453" s="892"/>
      <c r="Y453" s="892"/>
      <c r="Z453" s="892"/>
      <c r="AA453" s="893"/>
      <c r="AB453" s="582"/>
      <c r="AC453" s="528"/>
      <c r="AD453" s="528"/>
      <c r="AE453" s="5466"/>
    </row>
    <row r="454" spans="1:31" ht="37.5" customHeight="1">
      <c r="A454" s="5367"/>
      <c r="B454" s="5350"/>
      <c r="C454" s="5327"/>
      <c r="D454" s="5327"/>
      <c r="E454" s="5327"/>
      <c r="F454" s="5327"/>
      <c r="G454" s="5327"/>
      <c r="H454" s="5327"/>
      <c r="I454" s="5327"/>
      <c r="J454" s="5327"/>
      <c r="K454" s="5327"/>
      <c r="L454" s="5327"/>
      <c r="M454" s="5327"/>
      <c r="N454" s="5327"/>
      <c r="O454" s="5327"/>
      <c r="P454" s="5327"/>
      <c r="Q454" s="5331"/>
      <c r="R454" s="891"/>
      <c r="S454" s="894"/>
      <c r="T454" s="894"/>
      <c r="U454" s="895"/>
      <c r="V454" s="891"/>
      <c r="W454" s="891"/>
      <c r="X454" s="892"/>
      <c r="Y454" s="892"/>
      <c r="Z454" s="892"/>
      <c r="AA454" s="893"/>
      <c r="AB454" s="582"/>
      <c r="AC454" s="528"/>
      <c r="AD454" s="528"/>
      <c r="AE454" s="5467"/>
    </row>
    <row r="455" spans="1:31" ht="37.5" customHeight="1">
      <c r="A455" s="5367"/>
      <c r="B455" s="5348" t="s">
        <v>272</v>
      </c>
      <c r="C455" s="5325" t="s">
        <v>302</v>
      </c>
      <c r="D455" s="5325" t="s">
        <v>680</v>
      </c>
      <c r="E455" s="5325" t="s">
        <v>817</v>
      </c>
      <c r="F455" s="5328" t="s">
        <v>305</v>
      </c>
      <c r="G455" s="5325" t="s">
        <v>306</v>
      </c>
      <c r="H455" s="5325" t="s">
        <v>278</v>
      </c>
      <c r="I455" s="5325" t="s">
        <v>2258</v>
      </c>
      <c r="J455" s="5325" t="s">
        <v>1870</v>
      </c>
      <c r="K455" s="5325" t="s">
        <v>2259</v>
      </c>
      <c r="L455" s="5332">
        <v>0</v>
      </c>
      <c r="M455" s="5332">
        <v>1</v>
      </c>
      <c r="N455" s="5332">
        <v>1</v>
      </c>
      <c r="O455" s="5325" t="s">
        <v>2260</v>
      </c>
      <c r="P455" s="5325" t="s">
        <v>2261</v>
      </c>
      <c r="Q455" s="5329" t="s">
        <v>2229</v>
      </c>
      <c r="R455" s="888"/>
      <c r="S455" s="889"/>
      <c r="T455" s="889"/>
      <c r="U455" s="890"/>
      <c r="V455" s="891"/>
      <c r="W455" s="891"/>
      <c r="X455" s="892"/>
      <c r="Y455" s="892"/>
      <c r="Z455" s="892"/>
      <c r="AA455" s="893"/>
      <c r="AB455" s="582"/>
      <c r="AC455" s="528"/>
      <c r="AD455" s="528"/>
      <c r="AE455" s="5465" t="s">
        <v>2166</v>
      </c>
    </row>
    <row r="456" spans="1:31" ht="37.5" customHeight="1">
      <c r="A456" s="5367"/>
      <c r="B456" s="5349"/>
      <c r="C456" s="5326"/>
      <c r="D456" s="5326"/>
      <c r="E456" s="5326"/>
      <c r="F456" s="5326"/>
      <c r="G456" s="5326"/>
      <c r="H456" s="5326"/>
      <c r="I456" s="5326"/>
      <c r="J456" s="5326"/>
      <c r="K456" s="5326"/>
      <c r="L456" s="5326"/>
      <c r="M456" s="5326"/>
      <c r="N456" s="5326"/>
      <c r="O456" s="5326"/>
      <c r="P456" s="5326"/>
      <c r="Q456" s="5330"/>
      <c r="R456" s="891"/>
      <c r="S456" s="894"/>
      <c r="T456" s="894"/>
      <c r="U456" s="895"/>
      <c r="V456" s="891"/>
      <c r="W456" s="891"/>
      <c r="X456" s="892"/>
      <c r="Y456" s="892"/>
      <c r="Z456" s="892"/>
      <c r="AA456" s="893"/>
      <c r="AB456" s="582"/>
      <c r="AC456" s="528"/>
      <c r="AD456" s="528"/>
      <c r="AE456" s="5466"/>
    </row>
    <row r="457" spans="1:31" ht="37.5" customHeight="1">
      <c r="A457" s="5367"/>
      <c r="B457" s="5349"/>
      <c r="C457" s="5326"/>
      <c r="D457" s="5326"/>
      <c r="E457" s="5326"/>
      <c r="F457" s="5326"/>
      <c r="G457" s="5326"/>
      <c r="H457" s="5326"/>
      <c r="I457" s="5326"/>
      <c r="J457" s="5326"/>
      <c r="K457" s="5326"/>
      <c r="L457" s="5326"/>
      <c r="M457" s="5326"/>
      <c r="N457" s="5326"/>
      <c r="O457" s="5326"/>
      <c r="P457" s="5326"/>
      <c r="Q457" s="5330"/>
      <c r="R457" s="891"/>
      <c r="S457" s="894"/>
      <c r="T457" s="894"/>
      <c r="U457" s="895"/>
      <c r="V457" s="891"/>
      <c r="W457" s="891"/>
      <c r="X457" s="892"/>
      <c r="Y457" s="892"/>
      <c r="Z457" s="892"/>
      <c r="AA457" s="893"/>
      <c r="AB457" s="582"/>
      <c r="AC457" s="528"/>
      <c r="AD457" s="528"/>
      <c r="AE457" s="5466"/>
    </row>
    <row r="458" spans="1:31" ht="37.5" customHeight="1">
      <c r="A458" s="5367"/>
      <c r="B458" s="5349"/>
      <c r="C458" s="5326"/>
      <c r="D458" s="5326"/>
      <c r="E458" s="5326"/>
      <c r="F458" s="5326"/>
      <c r="G458" s="5326"/>
      <c r="H458" s="5326"/>
      <c r="I458" s="5326"/>
      <c r="J458" s="5326"/>
      <c r="K458" s="5326"/>
      <c r="L458" s="5326"/>
      <c r="M458" s="5326"/>
      <c r="N458" s="5326"/>
      <c r="O458" s="5326"/>
      <c r="P458" s="5326"/>
      <c r="Q458" s="5330"/>
      <c r="R458" s="888"/>
      <c r="S458" s="889"/>
      <c r="T458" s="889"/>
      <c r="U458" s="895"/>
      <c r="V458" s="891"/>
      <c r="W458" s="891"/>
      <c r="X458" s="892"/>
      <c r="Y458" s="892"/>
      <c r="Z458" s="892"/>
      <c r="AA458" s="893"/>
      <c r="AB458" s="582"/>
      <c r="AC458" s="528"/>
      <c r="AD458" s="528"/>
      <c r="AE458" s="5466"/>
    </row>
    <row r="459" spans="1:31" ht="37.5" customHeight="1">
      <c r="A459" s="5367"/>
      <c r="B459" s="5350"/>
      <c r="C459" s="5327"/>
      <c r="D459" s="5327"/>
      <c r="E459" s="5327"/>
      <c r="F459" s="5327"/>
      <c r="G459" s="5327"/>
      <c r="H459" s="5327"/>
      <c r="I459" s="5327"/>
      <c r="J459" s="5327"/>
      <c r="K459" s="5327"/>
      <c r="L459" s="5327"/>
      <c r="M459" s="5327"/>
      <c r="N459" s="5327"/>
      <c r="O459" s="5327"/>
      <c r="P459" s="5327"/>
      <c r="Q459" s="5331"/>
      <c r="R459" s="891"/>
      <c r="S459" s="894"/>
      <c r="T459" s="894"/>
      <c r="U459" s="895"/>
      <c r="V459" s="891"/>
      <c r="W459" s="891"/>
      <c r="X459" s="892"/>
      <c r="Y459" s="892"/>
      <c r="Z459" s="892"/>
      <c r="AA459" s="893"/>
      <c r="AB459" s="582"/>
      <c r="AC459" s="528"/>
      <c r="AD459" s="528"/>
      <c r="AE459" s="5467"/>
    </row>
    <row r="460" spans="1:31" ht="37.5" customHeight="1">
      <c r="A460" s="5367"/>
      <c r="B460" s="5348" t="s">
        <v>272</v>
      </c>
      <c r="C460" s="5325" t="s">
        <v>302</v>
      </c>
      <c r="D460" s="5325" t="s">
        <v>303</v>
      </c>
      <c r="E460" s="5325" t="s">
        <v>304</v>
      </c>
      <c r="F460" s="5328" t="s">
        <v>305</v>
      </c>
      <c r="G460" s="5325" t="s">
        <v>262</v>
      </c>
      <c r="H460" s="5325" t="s">
        <v>257</v>
      </c>
      <c r="I460" s="5325" t="s">
        <v>2262</v>
      </c>
      <c r="J460" s="5325" t="s">
        <v>2216</v>
      </c>
      <c r="K460" s="5325" t="s">
        <v>2263</v>
      </c>
      <c r="L460" s="5332">
        <v>0</v>
      </c>
      <c r="M460" s="5332">
        <v>4</v>
      </c>
      <c r="N460" s="5332">
        <v>4</v>
      </c>
      <c r="O460" s="5325" t="s">
        <v>2218</v>
      </c>
      <c r="P460" s="5325" t="s">
        <v>2264</v>
      </c>
      <c r="Q460" s="5329" t="s">
        <v>2229</v>
      </c>
      <c r="R460" s="888"/>
      <c r="S460" s="889"/>
      <c r="T460" s="889"/>
      <c r="U460" s="890"/>
      <c r="V460" s="891"/>
      <c r="W460" s="891"/>
      <c r="X460" s="892"/>
      <c r="Y460" s="892"/>
      <c r="Z460" s="892"/>
      <c r="AA460" s="893"/>
      <c r="AB460" s="582"/>
      <c r="AC460" s="528"/>
      <c r="AD460" s="528"/>
      <c r="AE460" s="5465" t="s">
        <v>2166</v>
      </c>
    </row>
    <row r="461" spans="1:31" ht="37.5" customHeight="1">
      <c r="A461" s="5367"/>
      <c r="B461" s="5349"/>
      <c r="C461" s="5326"/>
      <c r="D461" s="5326"/>
      <c r="E461" s="5326"/>
      <c r="F461" s="5326"/>
      <c r="G461" s="5326"/>
      <c r="H461" s="5326"/>
      <c r="I461" s="5326"/>
      <c r="J461" s="5326"/>
      <c r="K461" s="5326"/>
      <c r="L461" s="5326"/>
      <c r="M461" s="5326"/>
      <c r="N461" s="5326"/>
      <c r="O461" s="5326"/>
      <c r="P461" s="5326"/>
      <c r="Q461" s="5330"/>
      <c r="R461" s="891"/>
      <c r="S461" s="894"/>
      <c r="T461" s="894"/>
      <c r="U461" s="895"/>
      <c r="V461" s="891"/>
      <c r="W461" s="891"/>
      <c r="X461" s="892"/>
      <c r="Y461" s="892"/>
      <c r="Z461" s="892"/>
      <c r="AA461" s="893"/>
      <c r="AB461" s="582"/>
      <c r="AC461" s="528"/>
      <c r="AD461" s="528"/>
      <c r="AE461" s="5466"/>
    </row>
    <row r="462" spans="1:31" ht="37.5" customHeight="1">
      <c r="A462" s="5367"/>
      <c r="B462" s="5349"/>
      <c r="C462" s="5326"/>
      <c r="D462" s="5326"/>
      <c r="E462" s="5326"/>
      <c r="F462" s="5326"/>
      <c r="G462" s="5326"/>
      <c r="H462" s="5326"/>
      <c r="I462" s="5326"/>
      <c r="J462" s="5326"/>
      <c r="K462" s="5326"/>
      <c r="L462" s="5326"/>
      <c r="M462" s="5326"/>
      <c r="N462" s="5326"/>
      <c r="O462" s="5326"/>
      <c r="P462" s="5326"/>
      <c r="Q462" s="5330"/>
      <c r="R462" s="891"/>
      <c r="S462" s="894"/>
      <c r="T462" s="894"/>
      <c r="U462" s="895"/>
      <c r="V462" s="891"/>
      <c r="W462" s="891"/>
      <c r="X462" s="892"/>
      <c r="Y462" s="892"/>
      <c r="Z462" s="892"/>
      <c r="AA462" s="893"/>
      <c r="AB462" s="582"/>
      <c r="AC462" s="528"/>
      <c r="AD462" s="528"/>
      <c r="AE462" s="5466"/>
    </row>
    <row r="463" spans="1:31" ht="37.5" customHeight="1">
      <c r="A463" s="5367"/>
      <c r="B463" s="5349"/>
      <c r="C463" s="5326"/>
      <c r="D463" s="5326"/>
      <c r="E463" s="5326"/>
      <c r="F463" s="5326"/>
      <c r="G463" s="5326"/>
      <c r="H463" s="5326"/>
      <c r="I463" s="5326"/>
      <c r="J463" s="5326"/>
      <c r="K463" s="5326"/>
      <c r="L463" s="5326"/>
      <c r="M463" s="5326"/>
      <c r="N463" s="5326"/>
      <c r="O463" s="5326"/>
      <c r="P463" s="5326"/>
      <c r="Q463" s="5330"/>
      <c r="R463" s="888"/>
      <c r="S463" s="889"/>
      <c r="T463" s="889"/>
      <c r="U463" s="895"/>
      <c r="V463" s="891"/>
      <c r="W463" s="891"/>
      <c r="X463" s="892"/>
      <c r="Y463" s="892"/>
      <c r="Z463" s="892"/>
      <c r="AA463" s="893"/>
      <c r="AB463" s="582"/>
      <c r="AC463" s="528"/>
      <c r="AD463" s="528"/>
      <c r="AE463" s="5466"/>
    </row>
    <row r="464" spans="1:31" ht="37.5" customHeight="1">
      <c r="A464" s="5367"/>
      <c r="B464" s="5350"/>
      <c r="C464" s="5327"/>
      <c r="D464" s="5327"/>
      <c r="E464" s="5327"/>
      <c r="F464" s="5327"/>
      <c r="G464" s="5327"/>
      <c r="H464" s="5327"/>
      <c r="I464" s="5327"/>
      <c r="J464" s="5327"/>
      <c r="K464" s="5327"/>
      <c r="L464" s="5327"/>
      <c r="M464" s="5327"/>
      <c r="N464" s="5327"/>
      <c r="O464" s="5327"/>
      <c r="P464" s="5327"/>
      <c r="Q464" s="5331"/>
      <c r="R464" s="891"/>
      <c r="S464" s="894"/>
      <c r="T464" s="894"/>
      <c r="U464" s="895"/>
      <c r="V464" s="891"/>
      <c r="W464" s="891"/>
      <c r="X464" s="892"/>
      <c r="Y464" s="892"/>
      <c r="Z464" s="892"/>
      <c r="AA464" s="893"/>
      <c r="AB464" s="582"/>
      <c r="AC464" s="528"/>
      <c r="AD464" s="528"/>
      <c r="AE464" s="5467"/>
    </row>
    <row r="465" spans="1:31" ht="37.5" customHeight="1">
      <c r="A465" s="5367"/>
      <c r="B465" s="5348" t="s">
        <v>235</v>
      </c>
      <c r="C465" s="5325" t="s">
        <v>236</v>
      </c>
      <c r="D465" s="5325" t="s">
        <v>237</v>
      </c>
      <c r="E465" s="5325" t="s">
        <v>289</v>
      </c>
      <c r="F465" s="5328" t="s">
        <v>239</v>
      </c>
      <c r="G465" s="5325" t="s">
        <v>240</v>
      </c>
      <c r="H465" s="5325" t="s">
        <v>257</v>
      </c>
      <c r="I465" s="5325" t="s">
        <v>2265</v>
      </c>
      <c r="J465" s="5325" t="s">
        <v>2221</v>
      </c>
      <c r="K465" s="5325" t="s">
        <v>2266</v>
      </c>
      <c r="L465" s="5332">
        <v>0</v>
      </c>
      <c r="M465" s="5332">
        <v>4</v>
      </c>
      <c r="N465" s="5332">
        <v>4</v>
      </c>
      <c r="O465" s="5325" t="s">
        <v>2223</v>
      </c>
      <c r="P465" s="5325" t="s">
        <v>2267</v>
      </c>
      <c r="Q465" s="5329" t="s">
        <v>2229</v>
      </c>
      <c r="R465" s="888"/>
      <c r="S465" s="889"/>
      <c r="T465" s="889"/>
      <c r="U465" s="890"/>
      <c r="V465" s="891"/>
      <c r="W465" s="891"/>
      <c r="X465" s="892"/>
      <c r="Y465" s="892"/>
      <c r="Z465" s="892"/>
      <c r="AA465" s="893"/>
      <c r="AB465" s="582"/>
      <c r="AC465" s="528"/>
      <c r="AD465" s="528"/>
      <c r="AE465" s="5465" t="s">
        <v>2166</v>
      </c>
    </row>
    <row r="466" spans="1:31" ht="37.5" customHeight="1">
      <c r="A466" s="5367"/>
      <c r="B466" s="5349"/>
      <c r="C466" s="5326"/>
      <c r="D466" s="5326"/>
      <c r="E466" s="5326"/>
      <c r="F466" s="5326"/>
      <c r="G466" s="5326"/>
      <c r="H466" s="5326"/>
      <c r="I466" s="5326"/>
      <c r="J466" s="5326"/>
      <c r="K466" s="5326"/>
      <c r="L466" s="5326"/>
      <c r="M466" s="5326"/>
      <c r="N466" s="5326"/>
      <c r="O466" s="5326"/>
      <c r="P466" s="5326"/>
      <c r="Q466" s="5330"/>
      <c r="R466" s="891"/>
      <c r="S466" s="894"/>
      <c r="T466" s="894"/>
      <c r="U466" s="895"/>
      <c r="V466" s="891"/>
      <c r="W466" s="891"/>
      <c r="X466" s="892"/>
      <c r="Y466" s="892"/>
      <c r="Z466" s="892"/>
      <c r="AA466" s="893"/>
      <c r="AB466" s="582"/>
      <c r="AC466" s="528"/>
      <c r="AD466" s="528"/>
      <c r="AE466" s="5466"/>
    </row>
    <row r="467" spans="1:31" ht="37.5" customHeight="1">
      <c r="A467" s="5367"/>
      <c r="B467" s="5349"/>
      <c r="C467" s="5326"/>
      <c r="D467" s="5326"/>
      <c r="E467" s="5326"/>
      <c r="F467" s="5326"/>
      <c r="G467" s="5326"/>
      <c r="H467" s="5326"/>
      <c r="I467" s="5326"/>
      <c r="J467" s="5326"/>
      <c r="K467" s="5326"/>
      <c r="L467" s="5326"/>
      <c r="M467" s="5326"/>
      <c r="N467" s="5326"/>
      <c r="O467" s="5326"/>
      <c r="P467" s="5326"/>
      <c r="Q467" s="5330"/>
      <c r="R467" s="891"/>
      <c r="S467" s="894"/>
      <c r="T467" s="894"/>
      <c r="U467" s="895"/>
      <c r="V467" s="891"/>
      <c r="W467" s="891"/>
      <c r="X467" s="892"/>
      <c r="Y467" s="892"/>
      <c r="Z467" s="892"/>
      <c r="AA467" s="893"/>
      <c r="AB467" s="582"/>
      <c r="AC467" s="528"/>
      <c r="AD467" s="528"/>
      <c r="AE467" s="5466"/>
    </row>
    <row r="468" spans="1:31" ht="37.5" customHeight="1">
      <c r="A468" s="5367"/>
      <c r="B468" s="5349"/>
      <c r="C468" s="5326"/>
      <c r="D468" s="5326"/>
      <c r="E468" s="5326"/>
      <c r="F468" s="5326"/>
      <c r="G468" s="5326"/>
      <c r="H468" s="5326"/>
      <c r="I468" s="5326"/>
      <c r="J468" s="5326"/>
      <c r="K468" s="5326"/>
      <c r="L468" s="5326"/>
      <c r="M468" s="5326"/>
      <c r="N468" s="5326"/>
      <c r="O468" s="5326"/>
      <c r="P468" s="5326"/>
      <c r="Q468" s="5330"/>
      <c r="R468" s="888"/>
      <c r="S468" s="889"/>
      <c r="T468" s="889"/>
      <c r="U468" s="895"/>
      <c r="V468" s="891"/>
      <c r="W468" s="891"/>
      <c r="X468" s="892"/>
      <c r="Y468" s="892"/>
      <c r="Z468" s="892"/>
      <c r="AA468" s="893"/>
      <c r="AB468" s="582"/>
      <c r="AC468" s="528"/>
      <c r="AD468" s="528"/>
      <c r="AE468" s="5466"/>
    </row>
    <row r="469" spans="1:31" ht="37.5" customHeight="1">
      <c r="A469" s="5367"/>
      <c r="B469" s="5350"/>
      <c r="C469" s="5327"/>
      <c r="D469" s="5327"/>
      <c r="E469" s="5327"/>
      <c r="F469" s="5327"/>
      <c r="G469" s="5327"/>
      <c r="H469" s="5327"/>
      <c r="I469" s="5327"/>
      <c r="J469" s="5327"/>
      <c r="K469" s="5327"/>
      <c r="L469" s="5327"/>
      <c r="M469" s="5327"/>
      <c r="N469" s="5327"/>
      <c r="O469" s="5327"/>
      <c r="P469" s="5327"/>
      <c r="Q469" s="5331"/>
      <c r="R469" s="891"/>
      <c r="S469" s="894"/>
      <c r="T469" s="894"/>
      <c r="U469" s="895"/>
      <c r="V469" s="891"/>
      <c r="W469" s="891"/>
      <c r="X469" s="892"/>
      <c r="Y469" s="892"/>
      <c r="Z469" s="892"/>
      <c r="AA469" s="893"/>
      <c r="AB469" s="582"/>
      <c r="AC469" s="528"/>
      <c r="AD469" s="528"/>
      <c r="AE469" s="5467"/>
    </row>
    <row r="470" spans="1:31" ht="37.5" customHeight="1">
      <c r="A470" s="2161"/>
      <c r="B470" s="785"/>
      <c r="C470" s="785"/>
      <c r="D470" s="785"/>
      <c r="E470" s="785"/>
      <c r="F470" s="785"/>
      <c r="G470" s="785"/>
      <c r="H470" s="785"/>
      <c r="I470" s="785"/>
      <c r="J470" s="785"/>
      <c r="K470" s="785"/>
      <c r="L470" s="785"/>
      <c r="M470" s="785"/>
      <c r="N470" s="785"/>
      <c r="O470" s="785"/>
      <c r="P470" s="785"/>
      <c r="Q470" s="786"/>
      <c r="R470" s="5471" t="s">
        <v>2268</v>
      </c>
      <c r="S470" s="5444"/>
      <c r="T470" s="5444"/>
      <c r="U470" s="5444"/>
      <c r="V470" s="5444"/>
      <c r="W470" s="5444"/>
      <c r="X470" s="5444"/>
      <c r="Y470" s="5472"/>
      <c r="Z470" s="787" t="s">
        <v>340</v>
      </c>
      <c r="AA470" s="908">
        <f>SUM(AA374:AA469)</f>
        <v>0</v>
      </c>
      <c r="AB470" s="5443"/>
      <c r="AC470" s="5444"/>
      <c r="AD470" s="5444"/>
      <c r="AE470" s="4797"/>
    </row>
    <row r="471" spans="1:31" ht="37.5" customHeight="1">
      <c r="A471" s="5366" t="s">
        <v>2269</v>
      </c>
      <c r="B471" s="5351" t="s">
        <v>235</v>
      </c>
      <c r="C471" s="5355" t="s">
        <v>236</v>
      </c>
      <c r="D471" s="5355" t="s">
        <v>237</v>
      </c>
      <c r="E471" s="5355" t="s">
        <v>289</v>
      </c>
      <c r="F471" s="5364" t="s">
        <v>239</v>
      </c>
      <c r="G471" s="5355" t="s">
        <v>240</v>
      </c>
      <c r="H471" s="5355" t="s">
        <v>257</v>
      </c>
      <c r="I471" s="5360" t="s">
        <v>2270</v>
      </c>
      <c r="J471" s="5355" t="s">
        <v>1821</v>
      </c>
      <c r="K471" s="5358" t="s">
        <v>2271</v>
      </c>
      <c r="L471" s="5363">
        <v>0</v>
      </c>
      <c r="M471" s="5363">
        <v>1</v>
      </c>
      <c r="N471" s="5363">
        <v>1</v>
      </c>
      <c r="O471" s="5358" t="s">
        <v>2152</v>
      </c>
      <c r="P471" s="5358" t="s">
        <v>2153</v>
      </c>
      <c r="Q471" s="5359" t="s">
        <v>2272</v>
      </c>
      <c r="R471" s="789"/>
      <c r="S471" s="718"/>
      <c r="T471" s="718"/>
      <c r="U471" s="719"/>
      <c r="V471" s="720"/>
      <c r="W471" s="720"/>
      <c r="X471" s="721"/>
      <c r="Y471" s="721"/>
      <c r="Z471" s="721"/>
      <c r="AA471" s="722"/>
      <c r="AB471" s="155"/>
      <c r="AC471" s="156"/>
      <c r="AD471" s="156"/>
      <c r="AE471" s="5428"/>
    </row>
    <row r="472" spans="1:31" ht="37.5" customHeight="1">
      <c r="A472" s="5367"/>
      <c r="B472" s="5334"/>
      <c r="C472" s="5337"/>
      <c r="D472" s="5337"/>
      <c r="E472" s="5337"/>
      <c r="F472" s="5337"/>
      <c r="G472" s="5337"/>
      <c r="H472" s="5337"/>
      <c r="I472" s="5361"/>
      <c r="J472" s="5337"/>
      <c r="K472" s="5337"/>
      <c r="L472" s="5337"/>
      <c r="M472" s="5337"/>
      <c r="N472" s="5337"/>
      <c r="O472" s="5337"/>
      <c r="P472" s="5337"/>
      <c r="Q472" s="5345"/>
      <c r="R472" s="790"/>
      <c r="S472" s="724"/>
      <c r="T472" s="724"/>
      <c r="U472" s="798"/>
      <c r="V472" s="725"/>
      <c r="W472" s="725"/>
      <c r="X472" s="726"/>
      <c r="Y472" s="726"/>
      <c r="Z472" s="726"/>
      <c r="AA472" s="727"/>
      <c r="AB472" s="170"/>
      <c r="AC472" s="282"/>
      <c r="AD472" s="282"/>
      <c r="AE472" s="5416"/>
    </row>
    <row r="473" spans="1:31" ht="37.5" customHeight="1">
      <c r="A473" s="5367"/>
      <c r="B473" s="5334"/>
      <c r="C473" s="5337"/>
      <c r="D473" s="5337"/>
      <c r="E473" s="5337"/>
      <c r="F473" s="5337"/>
      <c r="G473" s="5337"/>
      <c r="H473" s="5337"/>
      <c r="I473" s="5361"/>
      <c r="J473" s="5337"/>
      <c r="K473" s="5337"/>
      <c r="L473" s="5337"/>
      <c r="M473" s="5337"/>
      <c r="N473" s="5337"/>
      <c r="O473" s="5337"/>
      <c r="P473" s="5337"/>
      <c r="Q473" s="5345"/>
      <c r="R473" s="791"/>
      <c r="S473" s="729"/>
      <c r="T473" s="729"/>
      <c r="U473" s="730"/>
      <c r="V473" s="731"/>
      <c r="W473" s="731"/>
      <c r="X473" s="732"/>
      <c r="Y473" s="726"/>
      <c r="Z473" s="726"/>
      <c r="AA473" s="727"/>
      <c r="AB473" s="170"/>
      <c r="AC473" s="282"/>
      <c r="AD473" s="282"/>
      <c r="AE473" s="5416"/>
    </row>
    <row r="474" spans="1:31" ht="37.5" customHeight="1">
      <c r="A474" s="5367"/>
      <c r="B474" s="5334"/>
      <c r="C474" s="5337"/>
      <c r="D474" s="5337"/>
      <c r="E474" s="5337"/>
      <c r="F474" s="5337"/>
      <c r="G474" s="5337"/>
      <c r="H474" s="5337"/>
      <c r="I474" s="5361"/>
      <c r="J474" s="5337"/>
      <c r="K474" s="5337"/>
      <c r="L474" s="5337"/>
      <c r="M474" s="5337"/>
      <c r="N474" s="5337"/>
      <c r="O474" s="5337"/>
      <c r="P474" s="5337"/>
      <c r="Q474" s="5345"/>
      <c r="R474" s="792"/>
      <c r="S474" s="734"/>
      <c r="T474" s="734"/>
      <c r="U474" s="730"/>
      <c r="V474" s="731"/>
      <c r="W474" s="731"/>
      <c r="X474" s="732"/>
      <c r="Y474" s="726"/>
      <c r="Z474" s="726"/>
      <c r="AA474" s="727"/>
      <c r="AB474" s="170"/>
      <c r="AC474" s="282"/>
      <c r="AD474" s="282"/>
      <c r="AE474" s="5416"/>
    </row>
    <row r="475" spans="1:31" ht="37.5" customHeight="1">
      <c r="A475" s="5367"/>
      <c r="B475" s="5335"/>
      <c r="C475" s="5338"/>
      <c r="D475" s="5338"/>
      <c r="E475" s="5338"/>
      <c r="F475" s="5338"/>
      <c r="G475" s="5338"/>
      <c r="H475" s="5338"/>
      <c r="I475" s="5362"/>
      <c r="J475" s="5338"/>
      <c r="K475" s="5338"/>
      <c r="L475" s="5338"/>
      <c r="M475" s="5338"/>
      <c r="N475" s="5338"/>
      <c r="O475" s="5338"/>
      <c r="P475" s="5338"/>
      <c r="Q475" s="5346"/>
      <c r="R475" s="796"/>
      <c r="S475" s="736"/>
      <c r="T475" s="736"/>
      <c r="U475" s="737"/>
      <c r="V475" s="738"/>
      <c r="W475" s="738"/>
      <c r="X475" s="739"/>
      <c r="Y475" s="739"/>
      <c r="Z475" s="739"/>
      <c r="AA475" s="740"/>
      <c r="AB475" s="165"/>
      <c r="AC475" s="166"/>
      <c r="AD475" s="166"/>
      <c r="AE475" s="5417"/>
    </row>
    <row r="476" spans="1:31" ht="37.5" customHeight="1">
      <c r="A476" s="5367"/>
      <c r="B476" s="5333" t="s">
        <v>235</v>
      </c>
      <c r="C476" s="5336" t="s">
        <v>236</v>
      </c>
      <c r="D476" s="5336" t="s">
        <v>237</v>
      </c>
      <c r="E476" s="5336" t="s">
        <v>289</v>
      </c>
      <c r="F476" s="5341" t="s">
        <v>239</v>
      </c>
      <c r="G476" s="5336" t="s">
        <v>240</v>
      </c>
      <c r="H476" s="5336" t="s">
        <v>257</v>
      </c>
      <c r="I476" s="5336" t="s">
        <v>2273</v>
      </c>
      <c r="J476" s="5347" t="s">
        <v>1825</v>
      </c>
      <c r="K476" s="5342" t="s">
        <v>2274</v>
      </c>
      <c r="L476" s="5343">
        <v>0</v>
      </c>
      <c r="M476" s="5343">
        <v>4</v>
      </c>
      <c r="N476" s="5343">
        <v>4</v>
      </c>
      <c r="O476" s="5342" t="s">
        <v>2157</v>
      </c>
      <c r="P476" s="5342" t="s">
        <v>2275</v>
      </c>
      <c r="Q476" s="5344" t="s">
        <v>2276</v>
      </c>
      <c r="R476" s="792"/>
      <c r="S476" s="734"/>
      <c r="T476" s="734"/>
      <c r="U476" s="741"/>
      <c r="V476" s="731"/>
      <c r="W476" s="731"/>
      <c r="X476" s="732"/>
      <c r="Y476" s="732"/>
      <c r="Z476" s="732"/>
      <c r="AA476" s="742"/>
      <c r="AB476" s="414"/>
      <c r="AC476" s="174"/>
      <c r="AD476" s="174"/>
      <c r="AE476" s="5415" t="s">
        <v>2160</v>
      </c>
    </row>
    <row r="477" spans="1:31" ht="37.5" customHeight="1">
      <c r="A477" s="5367"/>
      <c r="B477" s="5334"/>
      <c r="C477" s="5337"/>
      <c r="D477" s="5337"/>
      <c r="E477" s="5337"/>
      <c r="F477" s="5337"/>
      <c r="G477" s="5337"/>
      <c r="H477" s="5337"/>
      <c r="I477" s="5337"/>
      <c r="J477" s="5337"/>
      <c r="K477" s="5337"/>
      <c r="L477" s="5337"/>
      <c r="M477" s="5337"/>
      <c r="N477" s="5337"/>
      <c r="O477" s="5337"/>
      <c r="P477" s="5337"/>
      <c r="Q477" s="5345"/>
      <c r="R477" s="790"/>
      <c r="S477" s="724"/>
      <c r="T477" s="724"/>
      <c r="U477" s="798"/>
      <c r="V477" s="725"/>
      <c r="W477" s="725"/>
      <c r="X477" s="726"/>
      <c r="Y477" s="726"/>
      <c r="Z477" s="726"/>
      <c r="AA477" s="727"/>
      <c r="AB477" s="170"/>
      <c r="AC477" s="282"/>
      <c r="AD477" s="282"/>
      <c r="AE477" s="5416"/>
    </row>
    <row r="478" spans="1:31" ht="37.5" customHeight="1">
      <c r="A478" s="5367"/>
      <c r="B478" s="5334"/>
      <c r="C478" s="5337"/>
      <c r="D478" s="5337"/>
      <c r="E478" s="5337"/>
      <c r="F478" s="5337"/>
      <c r="G478" s="5337"/>
      <c r="H478" s="5337"/>
      <c r="I478" s="5337"/>
      <c r="J478" s="5337"/>
      <c r="K478" s="5337"/>
      <c r="L478" s="5337"/>
      <c r="M478" s="5337"/>
      <c r="N478" s="5337"/>
      <c r="O478" s="5337"/>
      <c r="P478" s="5337"/>
      <c r="Q478" s="5345"/>
      <c r="R478" s="791"/>
      <c r="S478" s="729"/>
      <c r="T478" s="729"/>
      <c r="U478" s="730"/>
      <c r="V478" s="731"/>
      <c r="W478" s="731"/>
      <c r="X478" s="732"/>
      <c r="Y478" s="726"/>
      <c r="Z478" s="726"/>
      <c r="AA478" s="727"/>
      <c r="AB478" s="170"/>
      <c r="AC478" s="282"/>
      <c r="AD478" s="282"/>
      <c r="AE478" s="5416"/>
    </row>
    <row r="479" spans="1:31" ht="37.5" customHeight="1">
      <c r="A479" s="5367"/>
      <c r="B479" s="5334"/>
      <c r="C479" s="5337"/>
      <c r="D479" s="5337"/>
      <c r="E479" s="5337"/>
      <c r="F479" s="5337"/>
      <c r="G479" s="5337"/>
      <c r="H479" s="5337"/>
      <c r="I479" s="5337"/>
      <c r="J479" s="5337"/>
      <c r="K479" s="5337"/>
      <c r="L479" s="5337"/>
      <c r="M479" s="5337"/>
      <c r="N479" s="5337"/>
      <c r="O479" s="5337"/>
      <c r="P479" s="5337"/>
      <c r="Q479" s="5345"/>
      <c r="R479" s="792"/>
      <c r="S479" s="734"/>
      <c r="T479" s="734"/>
      <c r="U479" s="730"/>
      <c r="V479" s="731"/>
      <c r="W479" s="731"/>
      <c r="X479" s="732"/>
      <c r="Y479" s="726"/>
      <c r="Z479" s="726"/>
      <c r="AA479" s="727"/>
      <c r="AB479" s="170"/>
      <c r="AC479" s="282"/>
      <c r="AD479" s="282"/>
      <c r="AE479" s="5416"/>
    </row>
    <row r="480" spans="1:31" ht="37.5" customHeight="1">
      <c r="A480" s="5367"/>
      <c r="B480" s="5335"/>
      <c r="C480" s="5338"/>
      <c r="D480" s="5338"/>
      <c r="E480" s="5338"/>
      <c r="F480" s="5338"/>
      <c r="G480" s="5338"/>
      <c r="H480" s="5338"/>
      <c r="I480" s="5338"/>
      <c r="J480" s="5338"/>
      <c r="K480" s="5338"/>
      <c r="L480" s="5338"/>
      <c r="M480" s="5338"/>
      <c r="N480" s="5338"/>
      <c r="O480" s="5338"/>
      <c r="P480" s="5338"/>
      <c r="Q480" s="5346"/>
      <c r="R480" s="796"/>
      <c r="S480" s="736"/>
      <c r="T480" s="736"/>
      <c r="U480" s="737"/>
      <c r="V480" s="738"/>
      <c r="W480" s="738"/>
      <c r="X480" s="739"/>
      <c r="Y480" s="739"/>
      <c r="Z480" s="739"/>
      <c r="AA480" s="740"/>
      <c r="AB480" s="165"/>
      <c r="AC480" s="166"/>
      <c r="AD480" s="166"/>
      <c r="AE480" s="5417"/>
    </row>
    <row r="481" spans="1:31" ht="37.5" customHeight="1">
      <c r="A481" s="5367"/>
      <c r="B481" s="5333" t="s">
        <v>235</v>
      </c>
      <c r="C481" s="5336" t="s">
        <v>236</v>
      </c>
      <c r="D481" s="5336" t="s">
        <v>237</v>
      </c>
      <c r="E481" s="5336" t="s">
        <v>289</v>
      </c>
      <c r="F481" s="5341" t="s">
        <v>239</v>
      </c>
      <c r="G481" s="5336" t="s">
        <v>240</v>
      </c>
      <c r="H481" s="5336" t="s">
        <v>257</v>
      </c>
      <c r="I481" s="5336" t="s">
        <v>2277</v>
      </c>
      <c r="J481" s="5347" t="s">
        <v>1828</v>
      </c>
      <c r="K481" s="5342" t="s">
        <v>2278</v>
      </c>
      <c r="L481" s="5343">
        <v>0</v>
      </c>
      <c r="M481" s="5343">
        <v>1</v>
      </c>
      <c r="N481" s="5343">
        <v>1</v>
      </c>
      <c r="O481" s="5342" t="s">
        <v>2163</v>
      </c>
      <c r="P481" s="5342" t="s">
        <v>2279</v>
      </c>
      <c r="Q481" s="5344" t="s">
        <v>2280</v>
      </c>
      <c r="R481" s="792"/>
      <c r="S481" s="734"/>
      <c r="T481" s="734"/>
      <c r="U481" s="741"/>
      <c r="V481" s="731"/>
      <c r="W481" s="731"/>
      <c r="X481" s="732"/>
      <c r="Y481" s="732"/>
      <c r="Z481" s="732"/>
      <c r="AA481" s="742"/>
      <c r="AB481" s="414"/>
      <c r="AC481" s="174"/>
      <c r="AD481" s="174"/>
      <c r="AE481" s="5415" t="s">
        <v>2166</v>
      </c>
    </row>
    <row r="482" spans="1:31" ht="37.5" customHeight="1">
      <c r="A482" s="5367"/>
      <c r="B482" s="5334"/>
      <c r="C482" s="5337"/>
      <c r="D482" s="5337"/>
      <c r="E482" s="5337"/>
      <c r="F482" s="5337"/>
      <c r="G482" s="5337"/>
      <c r="H482" s="5337"/>
      <c r="I482" s="5337"/>
      <c r="J482" s="5337"/>
      <c r="K482" s="5337"/>
      <c r="L482" s="5337"/>
      <c r="M482" s="5337"/>
      <c r="N482" s="5337"/>
      <c r="O482" s="5337"/>
      <c r="P482" s="5337"/>
      <c r="Q482" s="5345"/>
      <c r="R482" s="790"/>
      <c r="S482" s="724"/>
      <c r="T482" s="724"/>
      <c r="U482" s="798"/>
      <c r="V482" s="725"/>
      <c r="W482" s="725"/>
      <c r="X482" s="726"/>
      <c r="Y482" s="726"/>
      <c r="Z482" s="726"/>
      <c r="AA482" s="727"/>
      <c r="AB482" s="170"/>
      <c r="AC482" s="282"/>
      <c r="AD482" s="282"/>
      <c r="AE482" s="5416"/>
    </row>
    <row r="483" spans="1:31" ht="37.5" customHeight="1">
      <c r="A483" s="5367"/>
      <c r="B483" s="5334"/>
      <c r="C483" s="5337"/>
      <c r="D483" s="5337"/>
      <c r="E483" s="5337"/>
      <c r="F483" s="5337"/>
      <c r="G483" s="5337"/>
      <c r="H483" s="5337"/>
      <c r="I483" s="5337"/>
      <c r="J483" s="5337"/>
      <c r="K483" s="5337"/>
      <c r="L483" s="5337"/>
      <c r="M483" s="5337"/>
      <c r="N483" s="5337"/>
      <c r="O483" s="5337"/>
      <c r="P483" s="5337"/>
      <c r="Q483" s="5345"/>
      <c r="R483" s="791"/>
      <c r="S483" s="729"/>
      <c r="T483" s="729"/>
      <c r="U483" s="730"/>
      <c r="V483" s="731"/>
      <c r="W483" s="731"/>
      <c r="X483" s="732"/>
      <c r="Y483" s="726"/>
      <c r="Z483" s="726"/>
      <c r="AA483" s="727"/>
      <c r="AB483" s="170"/>
      <c r="AC483" s="282"/>
      <c r="AD483" s="282"/>
      <c r="AE483" s="5416"/>
    </row>
    <row r="484" spans="1:31" ht="37.5" customHeight="1">
      <c r="A484" s="5367"/>
      <c r="B484" s="5334"/>
      <c r="C484" s="5337"/>
      <c r="D484" s="5337"/>
      <c r="E484" s="5337"/>
      <c r="F484" s="5337"/>
      <c r="G484" s="5337"/>
      <c r="H484" s="5337"/>
      <c r="I484" s="5337"/>
      <c r="J484" s="5337"/>
      <c r="K484" s="5337"/>
      <c r="L484" s="5337"/>
      <c r="M484" s="5337"/>
      <c r="N484" s="5337"/>
      <c r="O484" s="5337"/>
      <c r="P484" s="5337"/>
      <c r="Q484" s="5345"/>
      <c r="R484" s="792"/>
      <c r="S484" s="734"/>
      <c r="T484" s="734"/>
      <c r="U484" s="730"/>
      <c r="V484" s="731"/>
      <c r="W484" s="731"/>
      <c r="X484" s="732"/>
      <c r="Y484" s="726"/>
      <c r="Z484" s="726"/>
      <c r="AA484" s="727"/>
      <c r="AB484" s="170"/>
      <c r="AC484" s="282"/>
      <c r="AD484" s="282"/>
      <c r="AE484" s="5416"/>
    </row>
    <row r="485" spans="1:31" ht="37.5" customHeight="1">
      <c r="A485" s="5367"/>
      <c r="B485" s="5335"/>
      <c r="C485" s="5338"/>
      <c r="D485" s="5338"/>
      <c r="E485" s="5338"/>
      <c r="F485" s="5338"/>
      <c r="G485" s="5338"/>
      <c r="H485" s="5338"/>
      <c r="I485" s="5338"/>
      <c r="J485" s="5338"/>
      <c r="K485" s="5338"/>
      <c r="L485" s="5338"/>
      <c r="M485" s="5338"/>
      <c r="N485" s="5338"/>
      <c r="O485" s="5338"/>
      <c r="P485" s="5338"/>
      <c r="Q485" s="5346"/>
      <c r="R485" s="796"/>
      <c r="S485" s="736"/>
      <c r="T485" s="736"/>
      <c r="U485" s="737"/>
      <c r="V485" s="738"/>
      <c r="W485" s="738"/>
      <c r="X485" s="739"/>
      <c r="Y485" s="739"/>
      <c r="Z485" s="739"/>
      <c r="AA485" s="740"/>
      <c r="AB485" s="165"/>
      <c r="AC485" s="166"/>
      <c r="AD485" s="166"/>
      <c r="AE485" s="5417"/>
    </row>
    <row r="486" spans="1:31" ht="37.5" customHeight="1">
      <c r="A486" s="5367"/>
      <c r="B486" s="5333" t="s">
        <v>235</v>
      </c>
      <c r="C486" s="5336" t="s">
        <v>236</v>
      </c>
      <c r="D486" s="5336" t="s">
        <v>237</v>
      </c>
      <c r="E486" s="5336" t="s">
        <v>289</v>
      </c>
      <c r="F486" s="5341" t="s">
        <v>239</v>
      </c>
      <c r="G486" s="5336" t="s">
        <v>240</v>
      </c>
      <c r="H486" s="5336" t="s">
        <v>257</v>
      </c>
      <c r="I486" s="5336" t="s">
        <v>2281</v>
      </c>
      <c r="J486" s="5357" t="s">
        <v>2282</v>
      </c>
      <c r="K486" s="5342" t="s">
        <v>2283</v>
      </c>
      <c r="L486" s="5343">
        <v>0</v>
      </c>
      <c r="M486" s="5343">
        <v>1</v>
      </c>
      <c r="N486" s="5343">
        <v>1</v>
      </c>
      <c r="O486" s="5342" t="s">
        <v>2284</v>
      </c>
      <c r="P486" s="5342" t="s">
        <v>2285</v>
      </c>
      <c r="Q486" s="5344" t="s">
        <v>2286</v>
      </c>
      <c r="R486" s="792"/>
      <c r="S486" s="734"/>
      <c r="T486" s="734"/>
      <c r="U486" s="741"/>
      <c r="V486" s="731"/>
      <c r="W486" s="731"/>
      <c r="X486" s="732"/>
      <c r="Y486" s="732"/>
      <c r="Z486" s="732"/>
      <c r="AA486" s="742"/>
      <c r="AB486" s="414"/>
      <c r="AC486" s="174"/>
      <c r="AD486" s="174"/>
      <c r="AE486" s="5415" t="s">
        <v>2173</v>
      </c>
    </row>
    <row r="487" spans="1:31" ht="37.5" customHeight="1">
      <c r="A487" s="5367"/>
      <c r="B487" s="5334"/>
      <c r="C487" s="5337"/>
      <c r="D487" s="5337"/>
      <c r="E487" s="5337"/>
      <c r="F487" s="5337"/>
      <c r="G487" s="5337"/>
      <c r="H487" s="5337"/>
      <c r="I487" s="5337"/>
      <c r="J487" s="5337"/>
      <c r="K487" s="5337"/>
      <c r="L487" s="5337"/>
      <c r="M487" s="5337"/>
      <c r="N487" s="5337"/>
      <c r="O487" s="5337"/>
      <c r="P487" s="5337"/>
      <c r="Q487" s="5345"/>
      <c r="R487" s="790"/>
      <c r="S487" s="724"/>
      <c r="T487" s="724"/>
      <c r="U487" s="798"/>
      <c r="V487" s="725"/>
      <c r="W487" s="725"/>
      <c r="X487" s="726"/>
      <c r="Y487" s="726"/>
      <c r="Z487" s="726"/>
      <c r="AA487" s="727"/>
      <c r="AB487" s="170"/>
      <c r="AC487" s="282"/>
      <c r="AD487" s="282"/>
      <c r="AE487" s="5416"/>
    </row>
    <row r="488" spans="1:31" ht="37.5" customHeight="1">
      <c r="A488" s="5367"/>
      <c r="B488" s="5334"/>
      <c r="C488" s="5337"/>
      <c r="D488" s="5337"/>
      <c r="E488" s="5337"/>
      <c r="F488" s="5337"/>
      <c r="G488" s="5337"/>
      <c r="H488" s="5337"/>
      <c r="I488" s="5337"/>
      <c r="J488" s="5337"/>
      <c r="K488" s="5337"/>
      <c r="L488" s="5337"/>
      <c r="M488" s="5337"/>
      <c r="N488" s="5337"/>
      <c r="O488" s="5337"/>
      <c r="P488" s="5337"/>
      <c r="Q488" s="5345"/>
      <c r="R488" s="791"/>
      <c r="S488" s="729"/>
      <c r="T488" s="729"/>
      <c r="U488" s="730"/>
      <c r="V488" s="731"/>
      <c r="W488" s="731"/>
      <c r="X488" s="732"/>
      <c r="Y488" s="726"/>
      <c r="Z488" s="726"/>
      <c r="AA488" s="727"/>
      <c r="AB488" s="170"/>
      <c r="AC488" s="282"/>
      <c r="AD488" s="282"/>
      <c r="AE488" s="5416"/>
    </row>
    <row r="489" spans="1:31" ht="37.5" customHeight="1">
      <c r="A489" s="5367"/>
      <c r="B489" s="5334"/>
      <c r="C489" s="5337"/>
      <c r="D489" s="5337"/>
      <c r="E489" s="5337"/>
      <c r="F489" s="5337"/>
      <c r="G489" s="5337"/>
      <c r="H489" s="5337"/>
      <c r="I489" s="5337"/>
      <c r="J489" s="5337"/>
      <c r="K489" s="5337"/>
      <c r="L489" s="5337"/>
      <c r="M489" s="5337"/>
      <c r="N489" s="5337"/>
      <c r="O489" s="5337"/>
      <c r="P489" s="5337"/>
      <c r="Q489" s="5345"/>
      <c r="R489" s="792"/>
      <c r="S489" s="734"/>
      <c r="T489" s="734"/>
      <c r="U489" s="730"/>
      <c r="V489" s="731"/>
      <c r="W489" s="731"/>
      <c r="X489" s="732"/>
      <c r="Y489" s="726"/>
      <c r="Z489" s="726"/>
      <c r="AA489" s="727"/>
      <c r="AB489" s="170"/>
      <c r="AC489" s="282"/>
      <c r="AD489" s="282"/>
      <c r="AE489" s="5416"/>
    </row>
    <row r="490" spans="1:31" ht="37.5" customHeight="1">
      <c r="A490" s="5367"/>
      <c r="B490" s="5335"/>
      <c r="C490" s="5338"/>
      <c r="D490" s="5338"/>
      <c r="E490" s="5338"/>
      <c r="F490" s="5338"/>
      <c r="G490" s="5338"/>
      <c r="H490" s="5338"/>
      <c r="I490" s="5338"/>
      <c r="J490" s="5338"/>
      <c r="K490" s="5338"/>
      <c r="L490" s="5338"/>
      <c r="M490" s="5338"/>
      <c r="N490" s="5338"/>
      <c r="O490" s="5338"/>
      <c r="P490" s="5338"/>
      <c r="Q490" s="5346"/>
      <c r="R490" s="796"/>
      <c r="S490" s="736"/>
      <c r="T490" s="736"/>
      <c r="U490" s="737"/>
      <c r="V490" s="738"/>
      <c r="W490" s="738"/>
      <c r="X490" s="739"/>
      <c r="Y490" s="739"/>
      <c r="Z490" s="739"/>
      <c r="AA490" s="740"/>
      <c r="AB490" s="165"/>
      <c r="AC490" s="166"/>
      <c r="AD490" s="166"/>
      <c r="AE490" s="5417"/>
    </row>
    <row r="491" spans="1:31" ht="37.5" customHeight="1">
      <c r="A491" s="5367"/>
      <c r="B491" s="1709"/>
      <c r="C491" s="1711"/>
      <c r="D491" s="1711"/>
      <c r="E491" s="1711"/>
      <c r="F491" s="1712"/>
      <c r="G491" s="1711"/>
      <c r="H491" s="1711"/>
      <c r="I491" s="1711"/>
      <c r="J491" s="5347" t="s">
        <v>1836</v>
      </c>
      <c r="K491" s="5357" t="s">
        <v>2287</v>
      </c>
      <c r="L491" s="5343">
        <v>0</v>
      </c>
      <c r="M491" s="5343">
        <v>1</v>
      </c>
      <c r="N491" s="5343">
        <v>1</v>
      </c>
      <c r="O491" s="5357" t="s">
        <v>2288</v>
      </c>
      <c r="P491" s="5357" t="s">
        <v>2289</v>
      </c>
      <c r="Q491" s="909"/>
      <c r="R491" s="910"/>
      <c r="S491" s="729"/>
      <c r="T491" s="905"/>
      <c r="U491" s="911"/>
      <c r="V491" s="795"/>
      <c r="W491" s="795"/>
      <c r="X491" s="746"/>
      <c r="Y491" s="746"/>
      <c r="Z491" s="746"/>
      <c r="AA491" s="912"/>
      <c r="AB491" s="1719"/>
      <c r="AC491" s="410"/>
      <c r="AD491" s="410"/>
      <c r="AE491" s="1715"/>
    </row>
    <row r="492" spans="1:31" ht="37.5" customHeight="1">
      <c r="A492" s="5367"/>
      <c r="B492" s="5356" t="s">
        <v>272</v>
      </c>
      <c r="C492" s="5342" t="s">
        <v>679</v>
      </c>
      <c r="D492" s="5336" t="s">
        <v>680</v>
      </c>
      <c r="E492" s="5336" t="s">
        <v>2174</v>
      </c>
      <c r="F492" s="5341" t="s">
        <v>682</v>
      </c>
      <c r="G492" s="5336" t="s">
        <v>262</v>
      </c>
      <c r="H492" s="5336" t="s">
        <v>257</v>
      </c>
      <c r="I492" s="5336" t="s">
        <v>2290</v>
      </c>
      <c r="J492" s="5337"/>
      <c r="K492" s="5337"/>
      <c r="L492" s="5337"/>
      <c r="M492" s="5337"/>
      <c r="N492" s="5337"/>
      <c r="O492" s="5337"/>
      <c r="P492" s="5337"/>
      <c r="Q492" s="5344" t="s">
        <v>2291</v>
      </c>
      <c r="R492" s="791"/>
      <c r="S492" s="729"/>
      <c r="T492" s="913"/>
      <c r="U492" s="906"/>
      <c r="V492" s="914"/>
      <c r="W492" s="731"/>
      <c r="X492" s="732"/>
      <c r="Y492" s="732"/>
      <c r="Z492" s="732"/>
      <c r="AA492" s="742"/>
      <c r="AB492" s="414"/>
      <c r="AC492" s="174"/>
      <c r="AD492" s="174"/>
      <c r="AE492" s="5415" t="s">
        <v>2292</v>
      </c>
    </row>
    <row r="493" spans="1:31" ht="37.5" customHeight="1">
      <c r="A493" s="5367"/>
      <c r="B493" s="5334"/>
      <c r="C493" s="5337"/>
      <c r="D493" s="5337"/>
      <c r="E493" s="5337"/>
      <c r="F493" s="5337"/>
      <c r="G493" s="5337"/>
      <c r="H493" s="5337"/>
      <c r="I493" s="5337"/>
      <c r="J493" s="5337"/>
      <c r="K493" s="5337"/>
      <c r="L493" s="5337"/>
      <c r="M493" s="5337"/>
      <c r="N493" s="5337"/>
      <c r="O493" s="5337"/>
      <c r="P493" s="5337"/>
      <c r="Q493" s="5345"/>
      <c r="R493" s="791"/>
      <c r="S493" s="729"/>
      <c r="T493" s="915"/>
      <c r="U493" s="916"/>
      <c r="V493" s="725"/>
      <c r="W493" s="725"/>
      <c r="X493" s="726"/>
      <c r="Y493" s="726"/>
      <c r="Z493" s="726"/>
      <c r="AA493" s="742"/>
      <c r="AB493" s="414"/>
      <c r="AC493" s="174"/>
      <c r="AD493" s="174"/>
      <c r="AE493" s="5416"/>
    </row>
    <row r="494" spans="1:31" ht="37.5" customHeight="1">
      <c r="A494" s="5367"/>
      <c r="B494" s="5334"/>
      <c r="C494" s="5337"/>
      <c r="D494" s="5337"/>
      <c r="E494" s="5337"/>
      <c r="F494" s="5337"/>
      <c r="G494" s="5337"/>
      <c r="H494" s="5337"/>
      <c r="I494" s="5337"/>
      <c r="J494" s="5337"/>
      <c r="K494" s="5337"/>
      <c r="L494" s="5337"/>
      <c r="M494" s="5337"/>
      <c r="N494" s="5337"/>
      <c r="O494" s="5337"/>
      <c r="P494" s="5337"/>
      <c r="Q494" s="5345"/>
      <c r="R494" s="790"/>
      <c r="S494" s="724"/>
      <c r="T494" s="913"/>
      <c r="U494" s="916"/>
      <c r="V494" s="731"/>
      <c r="W494" s="731"/>
      <c r="X494" s="732"/>
      <c r="Y494" s="726"/>
      <c r="Z494" s="726"/>
      <c r="AA494" s="727"/>
      <c r="AB494" s="170"/>
      <c r="AC494" s="282"/>
      <c r="AD494" s="282"/>
      <c r="AE494" s="5416"/>
    </row>
    <row r="495" spans="1:31" ht="37.5" customHeight="1">
      <c r="A495" s="5367"/>
      <c r="B495" s="5334"/>
      <c r="C495" s="5337"/>
      <c r="D495" s="5337"/>
      <c r="E495" s="5337"/>
      <c r="F495" s="5337"/>
      <c r="G495" s="5337"/>
      <c r="H495" s="5337"/>
      <c r="I495" s="5337"/>
      <c r="J495" s="5337"/>
      <c r="K495" s="5337"/>
      <c r="L495" s="5337"/>
      <c r="M495" s="5337"/>
      <c r="N495" s="5337"/>
      <c r="O495" s="5337"/>
      <c r="P495" s="5337"/>
      <c r="Q495" s="5345"/>
      <c r="R495" s="792"/>
      <c r="S495" s="729"/>
      <c r="T495" s="915"/>
      <c r="U495" s="911"/>
      <c r="V495" s="731"/>
      <c r="W495" s="731"/>
      <c r="X495" s="732"/>
      <c r="Y495" s="726"/>
      <c r="Z495" s="837"/>
      <c r="AA495" s="837"/>
      <c r="AB495" s="170"/>
      <c r="AC495" s="282"/>
      <c r="AD495" s="282"/>
      <c r="AE495" s="5416"/>
    </row>
    <row r="496" spans="1:31" ht="37.5" customHeight="1">
      <c r="A496" s="5367"/>
      <c r="B496" s="5334"/>
      <c r="C496" s="5337"/>
      <c r="D496" s="5337"/>
      <c r="E496" s="5337"/>
      <c r="F496" s="5337"/>
      <c r="G496" s="5337"/>
      <c r="H496" s="5337"/>
      <c r="I496" s="5337"/>
      <c r="J496" s="5337"/>
      <c r="K496" s="5337"/>
      <c r="L496" s="5337"/>
      <c r="M496" s="5337"/>
      <c r="N496" s="5337"/>
      <c r="O496" s="5337"/>
      <c r="P496" s="5337"/>
      <c r="Q496" s="5345"/>
      <c r="R496" s="791"/>
      <c r="S496" s="729"/>
      <c r="T496" s="913"/>
      <c r="U496" s="916"/>
      <c r="V496" s="731"/>
      <c r="W496" s="731"/>
      <c r="X496" s="732"/>
      <c r="Y496" s="726"/>
      <c r="Z496" s="726"/>
      <c r="AA496" s="727"/>
      <c r="AB496" s="170"/>
      <c r="AC496" s="282"/>
      <c r="AD496" s="282"/>
      <c r="AE496" s="5416"/>
    </row>
    <row r="497" spans="1:31" ht="37.5" customHeight="1">
      <c r="A497" s="5367"/>
      <c r="B497" s="5334"/>
      <c r="C497" s="5337"/>
      <c r="D497" s="5337"/>
      <c r="E497" s="5337"/>
      <c r="F497" s="5337"/>
      <c r="G497" s="5337"/>
      <c r="H497" s="5337"/>
      <c r="I497" s="5337"/>
      <c r="J497" s="5337"/>
      <c r="K497" s="5337"/>
      <c r="L497" s="5337"/>
      <c r="M497" s="5337"/>
      <c r="N497" s="5337"/>
      <c r="O497" s="5337"/>
      <c r="P497" s="5337"/>
      <c r="Q497" s="5345"/>
      <c r="R497" s="791"/>
      <c r="S497" s="729"/>
      <c r="T497" s="913"/>
      <c r="U497" s="916"/>
      <c r="V497" s="731"/>
      <c r="W497" s="731"/>
      <c r="X497" s="732"/>
      <c r="Y497" s="726"/>
      <c r="Z497" s="726"/>
      <c r="AA497" s="727"/>
      <c r="AB497" s="170"/>
      <c r="AC497" s="282"/>
      <c r="AD497" s="282"/>
      <c r="AE497" s="5416"/>
    </row>
    <row r="498" spans="1:31" ht="37.5" customHeight="1">
      <c r="A498" s="5367"/>
      <c r="B498" s="5335"/>
      <c r="C498" s="5338"/>
      <c r="D498" s="5338"/>
      <c r="E498" s="5338"/>
      <c r="F498" s="5338"/>
      <c r="G498" s="5338"/>
      <c r="H498" s="5338"/>
      <c r="I498" s="5338"/>
      <c r="J498" s="5338"/>
      <c r="K498" s="5338"/>
      <c r="L498" s="5338"/>
      <c r="M498" s="5338"/>
      <c r="N498" s="5338"/>
      <c r="O498" s="5338"/>
      <c r="P498" s="5338"/>
      <c r="Q498" s="5346"/>
      <c r="R498" s="796"/>
      <c r="S498" s="736"/>
      <c r="T498" s="736"/>
      <c r="U498" s="737"/>
      <c r="V498" s="738"/>
      <c r="W498" s="738"/>
      <c r="X498" s="739"/>
      <c r="Y498" s="739"/>
      <c r="Z498" s="859"/>
      <c r="AA498" s="740"/>
      <c r="AB498" s="165"/>
      <c r="AC498" s="166"/>
      <c r="AD498" s="166"/>
      <c r="AE498" s="5417"/>
    </row>
    <row r="499" spans="1:31" ht="37.5" customHeight="1">
      <c r="A499" s="5367"/>
      <c r="B499" s="5333" t="s">
        <v>235</v>
      </c>
      <c r="C499" s="5336" t="s">
        <v>236</v>
      </c>
      <c r="D499" s="5336" t="s">
        <v>237</v>
      </c>
      <c r="E499" s="5336" t="s">
        <v>289</v>
      </c>
      <c r="F499" s="5341" t="s">
        <v>239</v>
      </c>
      <c r="G499" s="5336" t="s">
        <v>240</v>
      </c>
      <c r="H499" s="5336" t="s">
        <v>257</v>
      </c>
      <c r="I499" s="5336" t="s">
        <v>2293</v>
      </c>
      <c r="J499" s="5347" t="s">
        <v>2181</v>
      </c>
      <c r="K499" s="5342" t="s">
        <v>2294</v>
      </c>
      <c r="L499" s="5343">
        <v>0</v>
      </c>
      <c r="M499" s="5343">
        <v>4</v>
      </c>
      <c r="N499" s="5343">
        <v>4</v>
      </c>
      <c r="O499" s="5342" t="s">
        <v>2183</v>
      </c>
      <c r="P499" s="5342" t="s">
        <v>2295</v>
      </c>
      <c r="Q499" s="5344" t="s">
        <v>2296</v>
      </c>
      <c r="R499" s="792"/>
      <c r="S499" s="734"/>
      <c r="T499" s="734"/>
      <c r="U499" s="741"/>
      <c r="V499" s="731"/>
      <c r="W499" s="731"/>
      <c r="X499" s="732"/>
      <c r="Y499" s="732"/>
      <c r="Z499" s="732"/>
      <c r="AA499" s="742"/>
      <c r="AB499" s="414"/>
      <c r="AC499" s="174"/>
      <c r="AD499" s="174"/>
      <c r="AE499" s="5415" t="s">
        <v>2166</v>
      </c>
    </row>
    <row r="500" spans="1:31" ht="37.5" customHeight="1">
      <c r="A500" s="5367"/>
      <c r="B500" s="5334"/>
      <c r="C500" s="5337"/>
      <c r="D500" s="5337"/>
      <c r="E500" s="5337"/>
      <c r="F500" s="5337"/>
      <c r="G500" s="5337"/>
      <c r="H500" s="5337"/>
      <c r="I500" s="5337"/>
      <c r="J500" s="5337"/>
      <c r="K500" s="5337"/>
      <c r="L500" s="5337"/>
      <c r="M500" s="5337"/>
      <c r="N500" s="5337"/>
      <c r="O500" s="5337"/>
      <c r="P500" s="5337"/>
      <c r="Q500" s="5345"/>
      <c r="R500" s="790"/>
      <c r="S500" s="724"/>
      <c r="T500" s="724"/>
      <c r="U500" s="798"/>
      <c r="V500" s="725"/>
      <c r="W500" s="725"/>
      <c r="X500" s="726"/>
      <c r="Y500" s="726"/>
      <c r="Z500" s="726"/>
      <c r="AA500" s="727"/>
      <c r="AB500" s="170"/>
      <c r="AC500" s="282"/>
      <c r="AD500" s="282"/>
      <c r="AE500" s="5416"/>
    </row>
    <row r="501" spans="1:31" ht="37.5" customHeight="1">
      <c r="A501" s="5367"/>
      <c r="B501" s="5334"/>
      <c r="C501" s="5337"/>
      <c r="D501" s="5337"/>
      <c r="E501" s="5337"/>
      <c r="F501" s="5337"/>
      <c r="G501" s="5337"/>
      <c r="H501" s="5337"/>
      <c r="I501" s="5337"/>
      <c r="J501" s="5337"/>
      <c r="K501" s="5337"/>
      <c r="L501" s="5337"/>
      <c r="M501" s="5337"/>
      <c r="N501" s="5337"/>
      <c r="O501" s="5337"/>
      <c r="P501" s="5337"/>
      <c r="Q501" s="5345"/>
      <c r="R501" s="791"/>
      <c r="S501" s="729"/>
      <c r="T501" s="729"/>
      <c r="U501" s="730"/>
      <c r="V501" s="731"/>
      <c r="W501" s="731"/>
      <c r="X501" s="732"/>
      <c r="Y501" s="726"/>
      <c r="Z501" s="726"/>
      <c r="AA501" s="727"/>
      <c r="AB501" s="170"/>
      <c r="AC501" s="282"/>
      <c r="AD501" s="282"/>
      <c r="AE501" s="5416"/>
    </row>
    <row r="502" spans="1:31" ht="37.5" customHeight="1">
      <c r="A502" s="5367"/>
      <c r="B502" s="5334"/>
      <c r="C502" s="5337"/>
      <c r="D502" s="5337"/>
      <c r="E502" s="5337"/>
      <c r="F502" s="5337"/>
      <c r="G502" s="5337"/>
      <c r="H502" s="5337"/>
      <c r="I502" s="5337"/>
      <c r="J502" s="5337"/>
      <c r="K502" s="5337"/>
      <c r="L502" s="5337"/>
      <c r="M502" s="5337"/>
      <c r="N502" s="5337"/>
      <c r="O502" s="5337"/>
      <c r="P502" s="5337"/>
      <c r="Q502" s="5345"/>
      <c r="R502" s="792"/>
      <c r="S502" s="734"/>
      <c r="T502" s="734"/>
      <c r="U502" s="730"/>
      <c r="V502" s="731"/>
      <c r="W502" s="731"/>
      <c r="X502" s="732"/>
      <c r="Y502" s="726"/>
      <c r="Z502" s="726"/>
      <c r="AA502" s="727"/>
      <c r="AB502" s="170"/>
      <c r="AC502" s="282"/>
      <c r="AD502" s="282"/>
      <c r="AE502" s="5416"/>
    </row>
    <row r="503" spans="1:31" ht="37.5" customHeight="1">
      <c r="A503" s="5367"/>
      <c r="B503" s="5335"/>
      <c r="C503" s="5338"/>
      <c r="D503" s="5338"/>
      <c r="E503" s="5338"/>
      <c r="F503" s="5338"/>
      <c r="G503" s="5338"/>
      <c r="H503" s="5338"/>
      <c r="I503" s="5338"/>
      <c r="J503" s="5338"/>
      <c r="K503" s="5338"/>
      <c r="L503" s="5338"/>
      <c r="M503" s="5338"/>
      <c r="N503" s="5338"/>
      <c r="O503" s="5338"/>
      <c r="P503" s="5338"/>
      <c r="Q503" s="5346"/>
      <c r="R503" s="796"/>
      <c r="S503" s="736"/>
      <c r="T503" s="736"/>
      <c r="U503" s="737"/>
      <c r="V503" s="738"/>
      <c r="W503" s="738"/>
      <c r="X503" s="739"/>
      <c r="Y503" s="739"/>
      <c r="Z503" s="739"/>
      <c r="AA503" s="740"/>
      <c r="AB503" s="165"/>
      <c r="AC503" s="166"/>
      <c r="AD503" s="166"/>
      <c r="AE503" s="5417"/>
    </row>
    <row r="504" spans="1:31" ht="37.5" customHeight="1">
      <c r="A504" s="5367"/>
      <c r="B504" s="5333" t="s">
        <v>235</v>
      </c>
      <c r="C504" s="5336" t="s">
        <v>236</v>
      </c>
      <c r="D504" s="5342" t="s">
        <v>237</v>
      </c>
      <c r="E504" s="5342" t="s">
        <v>289</v>
      </c>
      <c r="F504" s="5354" t="s">
        <v>239</v>
      </c>
      <c r="G504" s="5336" t="s">
        <v>240</v>
      </c>
      <c r="H504" s="5336" t="s">
        <v>278</v>
      </c>
      <c r="I504" s="5336" t="s">
        <v>2297</v>
      </c>
      <c r="J504" s="5347" t="s">
        <v>2187</v>
      </c>
      <c r="K504" s="5342" t="s">
        <v>2298</v>
      </c>
      <c r="L504" s="5343">
        <v>0</v>
      </c>
      <c r="M504" s="5343">
        <v>5</v>
      </c>
      <c r="N504" s="5343">
        <v>5</v>
      </c>
      <c r="O504" s="5342" t="s">
        <v>2299</v>
      </c>
      <c r="P504" s="5342" t="s">
        <v>2300</v>
      </c>
      <c r="Q504" s="5344" t="s">
        <v>2280</v>
      </c>
      <c r="R504" s="792"/>
      <c r="S504" s="734"/>
      <c r="T504" s="734"/>
      <c r="U504" s="741"/>
      <c r="V504" s="731"/>
      <c r="W504" s="731"/>
      <c r="X504" s="732"/>
      <c r="Y504" s="732"/>
      <c r="Z504" s="732"/>
      <c r="AA504" s="742"/>
      <c r="AB504" s="414"/>
      <c r="AC504" s="174"/>
      <c r="AD504" s="174"/>
      <c r="AE504" s="5415"/>
    </row>
    <row r="505" spans="1:31" ht="37.5" customHeight="1">
      <c r="A505" s="5367"/>
      <c r="B505" s="5334"/>
      <c r="C505" s="5337"/>
      <c r="D505" s="5337"/>
      <c r="E505" s="5337"/>
      <c r="F505" s="5337"/>
      <c r="G505" s="5337"/>
      <c r="H505" s="5337"/>
      <c r="I505" s="5337"/>
      <c r="J505" s="5337"/>
      <c r="K505" s="5337"/>
      <c r="L505" s="5337"/>
      <c r="M505" s="5337"/>
      <c r="N505" s="5337"/>
      <c r="O505" s="5337"/>
      <c r="P505" s="5337"/>
      <c r="Q505" s="5345"/>
      <c r="R505" s="790"/>
      <c r="S505" s="724"/>
      <c r="T505" s="724"/>
      <c r="U505" s="798"/>
      <c r="V505" s="725"/>
      <c r="W505" s="725"/>
      <c r="X505" s="726"/>
      <c r="Y505" s="726"/>
      <c r="Z505" s="726"/>
      <c r="AA505" s="727"/>
      <c r="AB505" s="170"/>
      <c r="AC505" s="282"/>
      <c r="AD505" s="282"/>
      <c r="AE505" s="5416"/>
    </row>
    <row r="506" spans="1:31" ht="37.5" customHeight="1">
      <c r="A506" s="5367"/>
      <c r="B506" s="5334"/>
      <c r="C506" s="5337"/>
      <c r="D506" s="5337"/>
      <c r="E506" s="5337"/>
      <c r="F506" s="5337"/>
      <c r="G506" s="5337"/>
      <c r="H506" s="5337"/>
      <c r="I506" s="5337"/>
      <c r="J506" s="5337"/>
      <c r="K506" s="5337"/>
      <c r="L506" s="5337"/>
      <c r="M506" s="5337"/>
      <c r="N506" s="5337"/>
      <c r="O506" s="5337"/>
      <c r="P506" s="5337"/>
      <c r="Q506" s="5345"/>
      <c r="R506" s="791"/>
      <c r="S506" s="729"/>
      <c r="T506" s="729"/>
      <c r="U506" s="730"/>
      <c r="V506" s="731"/>
      <c r="W506" s="731"/>
      <c r="X506" s="732"/>
      <c r="Y506" s="726"/>
      <c r="Z506" s="726"/>
      <c r="AA506" s="727"/>
      <c r="AB506" s="170"/>
      <c r="AC506" s="282"/>
      <c r="AD506" s="282"/>
      <c r="AE506" s="5416"/>
    </row>
    <row r="507" spans="1:31" ht="37.5" customHeight="1">
      <c r="A507" s="5367"/>
      <c r="B507" s="5334"/>
      <c r="C507" s="5337"/>
      <c r="D507" s="5337"/>
      <c r="E507" s="5337"/>
      <c r="F507" s="5337"/>
      <c r="G507" s="5337"/>
      <c r="H507" s="5337"/>
      <c r="I507" s="5337"/>
      <c r="J507" s="5337"/>
      <c r="K507" s="5337"/>
      <c r="L507" s="5337"/>
      <c r="M507" s="5337"/>
      <c r="N507" s="5337"/>
      <c r="O507" s="5337"/>
      <c r="P507" s="5337"/>
      <c r="Q507" s="5345"/>
      <c r="R507" s="792"/>
      <c r="S507" s="734"/>
      <c r="T507" s="734"/>
      <c r="U507" s="730"/>
      <c r="V507" s="731"/>
      <c r="W507" s="731"/>
      <c r="X507" s="732"/>
      <c r="Y507" s="726"/>
      <c r="Z507" s="726"/>
      <c r="AA507" s="727"/>
      <c r="AB507" s="170"/>
      <c r="AC507" s="282"/>
      <c r="AD507" s="282"/>
      <c r="AE507" s="5416"/>
    </row>
    <row r="508" spans="1:31" ht="37.5" customHeight="1">
      <c r="A508" s="5367"/>
      <c r="B508" s="5335"/>
      <c r="C508" s="5338"/>
      <c r="D508" s="5338"/>
      <c r="E508" s="5338"/>
      <c r="F508" s="5338"/>
      <c r="G508" s="5338"/>
      <c r="H508" s="5338"/>
      <c r="I508" s="5338"/>
      <c r="J508" s="5338"/>
      <c r="K508" s="5338"/>
      <c r="L508" s="5338"/>
      <c r="M508" s="5338"/>
      <c r="N508" s="5338"/>
      <c r="O508" s="5338"/>
      <c r="P508" s="5338"/>
      <c r="Q508" s="5346"/>
      <c r="R508" s="796"/>
      <c r="S508" s="736"/>
      <c r="T508" s="736"/>
      <c r="U508" s="737"/>
      <c r="V508" s="738"/>
      <c r="W508" s="738"/>
      <c r="X508" s="739"/>
      <c r="Y508" s="739"/>
      <c r="Z508" s="739"/>
      <c r="AA508" s="740"/>
      <c r="AB508" s="165"/>
      <c r="AC508" s="166"/>
      <c r="AD508" s="166"/>
      <c r="AE508" s="5417"/>
    </row>
    <row r="509" spans="1:31" ht="37.5" customHeight="1">
      <c r="A509" s="5367"/>
      <c r="B509" s="5333" t="s">
        <v>272</v>
      </c>
      <c r="C509" s="5336" t="s">
        <v>302</v>
      </c>
      <c r="D509" s="5336" t="s">
        <v>303</v>
      </c>
      <c r="E509" s="5336" t="s">
        <v>318</v>
      </c>
      <c r="F509" s="5341" t="s">
        <v>305</v>
      </c>
      <c r="G509" s="5336" t="s">
        <v>240</v>
      </c>
      <c r="H509" s="5336" t="s">
        <v>278</v>
      </c>
      <c r="I509" s="5336" t="s">
        <v>2301</v>
      </c>
      <c r="J509" s="5347" t="s">
        <v>1850</v>
      </c>
      <c r="K509" s="5336" t="s">
        <v>2302</v>
      </c>
      <c r="L509" s="5343">
        <v>0</v>
      </c>
      <c r="M509" s="5343">
        <v>1</v>
      </c>
      <c r="N509" s="5343">
        <v>1</v>
      </c>
      <c r="O509" s="5342" t="s">
        <v>2193</v>
      </c>
      <c r="P509" s="5342" t="s">
        <v>2194</v>
      </c>
      <c r="Q509" s="5344" t="s">
        <v>2280</v>
      </c>
      <c r="R509" s="792"/>
      <c r="S509" s="734"/>
      <c r="T509" s="734"/>
      <c r="U509" s="741"/>
      <c r="V509" s="731"/>
      <c r="W509" s="731"/>
      <c r="X509" s="732"/>
      <c r="Y509" s="732"/>
      <c r="Z509" s="732"/>
      <c r="AA509" s="742"/>
      <c r="AB509" s="414"/>
      <c r="AC509" s="174"/>
      <c r="AD509" s="174"/>
      <c r="AE509" s="5415"/>
    </row>
    <row r="510" spans="1:31" ht="37.5" customHeight="1">
      <c r="A510" s="5367"/>
      <c r="B510" s="5334"/>
      <c r="C510" s="5337"/>
      <c r="D510" s="5337"/>
      <c r="E510" s="5337"/>
      <c r="F510" s="5337"/>
      <c r="G510" s="5337"/>
      <c r="H510" s="5337"/>
      <c r="I510" s="5337"/>
      <c r="J510" s="5337"/>
      <c r="K510" s="5337"/>
      <c r="L510" s="5337"/>
      <c r="M510" s="5337"/>
      <c r="N510" s="5337"/>
      <c r="O510" s="5337"/>
      <c r="P510" s="5337"/>
      <c r="Q510" s="5345"/>
      <c r="R510" s="790"/>
      <c r="S510" s="724"/>
      <c r="T510" s="724"/>
      <c r="U510" s="798"/>
      <c r="V510" s="725"/>
      <c r="W510" s="725"/>
      <c r="X510" s="726"/>
      <c r="Y510" s="726"/>
      <c r="Z510" s="726"/>
      <c r="AA510" s="727"/>
      <c r="AB510" s="170"/>
      <c r="AC510" s="282"/>
      <c r="AD510" s="282"/>
      <c r="AE510" s="5416"/>
    </row>
    <row r="511" spans="1:31" ht="37.5" customHeight="1">
      <c r="A511" s="5367"/>
      <c r="B511" s="5334"/>
      <c r="C511" s="5337"/>
      <c r="D511" s="5337"/>
      <c r="E511" s="5337"/>
      <c r="F511" s="5337"/>
      <c r="G511" s="5337"/>
      <c r="H511" s="5337"/>
      <c r="I511" s="5337"/>
      <c r="J511" s="5337"/>
      <c r="K511" s="5337"/>
      <c r="L511" s="5337"/>
      <c r="M511" s="5337"/>
      <c r="N511" s="5337"/>
      <c r="O511" s="5337"/>
      <c r="P511" s="5337"/>
      <c r="Q511" s="5345"/>
      <c r="R511" s="791"/>
      <c r="S511" s="729"/>
      <c r="T511" s="729"/>
      <c r="U511" s="730"/>
      <c r="V511" s="731"/>
      <c r="W511" s="731"/>
      <c r="X511" s="732"/>
      <c r="Y511" s="726"/>
      <c r="Z511" s="726"/>
      <c r="AA511" s="727"/>
      <c r="AB511" s="170"/>
      <c r="AC511" s="282"/>
      <c r="AD511" s="282"/>
      <c r="AE511" s="5416"/>
    </row>
    <row r="512" spans="1:31" ht="37.5" customHeight="1">
      <c r="A512" s="5367"/>
      <c r="B512" s="5334"/>
      <c r="C512" s="5337"/>
      <c r="D512" s="5337"/>
      <c r="E512" s="5337"/>
      <c r="F512" s="5337"/>
      <c r="G512" s="5337"/>
      <c r="H512" s="5337"/>
      <c r="I512" s="5337"/>
      <c r="J512" s="5337"/>
      <c r="K512" s="5337"/>
      <c r="L512" s="5337"/>
      <c r="M512" s="5337"/>
      <c r="N512" s="5337"/>
      <c r="O512" s="5337"/>
      <c r="P512" s="5337"/>
      <c r="Q512" s="5345"/>
      <c r="R512" s="792"/>
      <c r="S512" s="734"/>
      <c r="T512" s="734"/>
      <c r="U512" s="730"/>
      <c r="V512" s="731"/>
      <c r="W512" s="731"/>
      <c r="X512" s="732"/>
      <c r="Y512" s="726"/>
      <c r="Z512" s="726"/>
      <c r="AA512" s="727"/>
      <c r="AB512" s="170"/>
      <c r="AC512" s="282"/>
      <c r="AD512" s="282"/>
      <c r="AE512" s="5416"/>
    </row>
    <row r="513" spans="1:31" ht="37.5" customHeight="1">
      <c r="A513" s="5367"/>
      <c r="B513" s="5335"/>
      <c r="C513" s="5338"/>
      <c r="D513" s="5338"/>
      <c r="E513" s="5338"/>
      <c r="F513" s="5338"/>
      <c r="G513" s="5338"/>
      <c r="H513" s="5338"/>
      <c r="I513" s="5338"/>
      <c r="J513" s="5338"/>
      <c r="K513" s="5338"/>
      <c r="L513" s="5338"/>
      <c r="M513" s="5338"/>
      <c r="N513" s="5338"/>
      <c r="O513" s="5338"/>
      <c r="P513" s="5338"/>
      <c r="Q513" s="5346"/>
      <c r="R513" s="796"/>
      <c r="S513" s="736"/>
      <c r="T513" s="736"/>
      <c r="U513" s="737"/>
      <c r="V513" s="738"/>
      <c r="W513" s="738"/>
      <c r="X513" s="739"/>
      <c r="Y513" s="739"/>
      <c r="Z513" s="739"/>
      <c r="AA513" s="740"/>
      <c r="AB513" s="165"/>
      <c r="AC513" s="166"/>
      <c r="AD513" s="166"/>
      <c r="AE513" s="5417"/>
    </row>
    <row r="514" spans="1:31" ht="37.5" customHeight="1">
      <c r="A514" s="5367"/>
      <c r="B514" s="5352" t="s">
        <v>272</v>
      </c>
      <c r="C514" s="5347" t="s">
        <v>302</v>
      </c>
      <c r="D514" s="5336" t="s">
        <v>303</v>
      </c>
      <c r="E514" s="5336" t="s">
        <v>304</v>
      </c>
      <c r="F514" s="5353" t="s">
        <v>305</v>
      </c>
      <c r="G514" s="5336" t="s">
        <v>240</v>
      </c>
      <c r="H514" s="5336" t="s">
        <v>278</v>
      </c>
      <c r="I514" s="5336" t="s">
        <v>2303</v>
      </c>
      <c r="J514" s="5347" t="s">
        <v>1855</v>
      </c>
      <c r="K514" s="5342" t="s">
        <v>2304</v>
      </c>
      <c r="L514" s="5343">
        <v>0</v>
      </c>
      <c r="M514" s="5343">
        <v>16</v>
      </c>
      <c r="N514" s="5343">
        <v>16</v>
      </c>
      <c r="O514" s="5342" t="s">
        <v>2197</v>
      </c>
      <c r="P514" s="5342" t="s">
        <v>2305</v>
      </c>
      <c r="Q514" s="5344" t="s">
        <v>2280</v>
      </c>
      <c r="R514" s="792"/>
      <c r="S514" s="734"/>
      <c r="T514" s="734"/>
      <c r="U514" s="741"/>
      <c r="V514" s="731"/>
      <c r="W514" s="731"/>
      <c r="X514" s="732"/>
      <c r="Y514" s="732"/>
      <c r="Z514" s="732"/>
      <c r="AA514" s="742"/>
      <c r="AB514" s="414"/>
      <c r="AC514" s="174"/>
      <c r="AD514" s="174"/>
      <c r="AE514" s="5415"/>
    </row>
    <row r="515" spans="1:31" ht="37.5" customHeight="1">
      <c r="A515" s="5367"/>
      <c r="B515" s="5334"/>
      <c r="C515" s="5337"/>
      <c r="D515" s="5337"/>
      <c r="E515" s="5337"/>
      <c r="F515" s="5337"/>
      <c r="G515" s="5337"/>
      <c r="H515" s="5337"/>
      <c r="I515" s="5337"/>
      <c r="J515" s="5337"/>
      <c r="K515" s="5337"/>
      <c r="L515" s="5337"/>
      <c r="M515" s="5337"/>
      <c r="N515" s="5337"/>
      <c r="O515" s="5337"/>
      <c r="P515" s="5337"/>
      <c r="Q515" s="5345"/>
      <c r="R515" s="790"/>
      <c r="S515" s="724"/>
      <c r="T515" s="724"/>
      <c r="U515" s="798"/>
      <c r="V515" s="725"/>
      <c r="W515" s="725"/>
      <c r="X515" s="726"/>
      <c r="Y515" s="726"/>
      <c r="Z515" s="726"/>
      <c r="AA515" s="727"/>
      <c r="AB515" s="170"/>
      <c r="AC515" s="282"/>
      <c r="AD515" s="282"/>
      <c r="AE515" s="5416"/>
    </row>
    <row r="516" spans="1:31" ht="37.5" customHeight="1">
      <c r="A516" s="5367"/>
      <c r="B516" s="5334"/>
      <c r="C516" s="5337"/>
      <c r="D516" s="5337"/>
      <c r="E516" s="5337"/>
      <c r="F516" s="5337"/>
      <c r="G516" s="5337"/>
      <c r="H516" s="5337"/>
      <c r="I516" s="5337"/>
      <c r="J516" s="5337"/>
      <c r="K516" s="5337"/>
      <c r="L516" s="5337"/>
      <c r="M516" s="5337"/>
      <c r="N516" s="5337"/>
      <c r="O516" s="5337"/>
      <c r="P516" s="5337"/>
      <c r="Q516" s="5345"/>
      <c r="R516" s="791"/>
      <c r="S516" s="729"/>
      <c r="T516" s="729"/>
      <c r="U516" s="730"/>
      <c r="V516" s="731"/>
      <c r="W516" s="731"/>
      <c r="X516" s="732"/>
      <c r="Y516" s="726"/>
      <c r="Z516" s="726"/>
      <c r="AA516" s="727"/>
      <c r="AB516" s="170"/>
      <c r="AC516" s="282"/>
      <c r="AD516" s="282"/>
      <c r="AE516" s="5416"/>
    </row>
    <row r="517" spans="1:31" ht="37.5" customHeight="1">
      <c r="A517" s="5367"/>
      <c r="B517" s="5334"/>
      <c r="C517" s="5337"/>
      <c r="D517" s="5337"/>
      <c r="E517" s="5337"/>
      <c r="F517" s="5337"/>
      <c r="G517" s="5337"/>
      <c r="H517" s="5337"/>
      <c r="I517" s="5337"/>
      <c r="J517" s="5337"/>
      <c r="K517" s="5337"/>
      <c r="L517" s="5337"/>
      <c r="M517" s="5337"/>
      <c r="N517" s="5337"/>
      <c r="O517" s="5337"/>
      <c r="P517" s="5337"/>
      <c r="Q517" s="5345"/>
      <c r="R517" s="792"/>
      <c r="S517" s="734"/>
      <c r="T517" s="734"/>
      <c r="U517" s="730"/>
      <c r="V517" s="731"/>
      <c r="W517" s="731"/>
      <c r="X517" s="732"/>
      <c r="Y517" s="726"/>
      <c r="Z517" s="726"/>
      <c r="AA517" s="727"/>
      <c r="AB517" s="170"/>
      <c r="AC517" s="282"/>
      <c r="AD517" s="282"/>
      <c r="AE517" s="5416"/>
    </row>
    <row r="518" spans="1:31" ht="37.5" customHeight="1">
      <c r="A518" s="5367"/>
      <c r="B518" s="5335"/>
      <c r="C518" s="5338"/>
      <c r="D518" s="5338"/>
      <c r="E518" s="5338"/>
      <c r="F518" s="5338"/>
      <c r="G518" s="5338"/>
      <c r="H518" s="5338"/>
      <c r="I518" s="5338"/>
      <c r="J518" s="5338"/>
      <c r="K518" s="5338"/>
      <c r="L518" s="5338"/>
      <c r="M518" s="5338"/>
      <c r="N518" s="5338"/>
      <c r="O518" s="5338"/>
      <c r="P518" s="5338"/>
      <c r="Q518" s="5346"/>
      <c r="R518" s="796"/>
      <c r="S518" s="736"/>
      <c r="T518" s="736"/>
      <c r="U518" s="737"/>
      <c r="V518" s="738"/>
      <c r="W518" s="738"/>
      <c r="X518" s="739"/>
      <c r="Y518" s="739"/>
      <c r="Z518" s="739"/>
      <c r="AA518" s="740"/>
      <c r="AB518" s="165"/>
      <c r="AC518" s="166"/>
      <c r="AD518" s="166"/>
      <c r="AE518" s="5417"/>
    </row>
    <row r="519" spans="1:31" ht="37.5" customHeight="1">
      <c r="A519" s="5367"/>
      <c r="B519" s="5333" t="s">
        <v>272</v>
      </c>
      <c r="C519" s="5336" t="s">
        <v>302</v>
      </c>
      <c r="D519" s="5336" t="s">
        <v>303</v>
      </c>
      <c r="E519" s="5336" t="s">
        <v>318</v>
      </c>
      <c r="F519" s="5341" t="s">
        <v>305</v>
      </c>
      <c r="G519" s="5336" t="s">
        <v>262</v>
      </c>
      <c r="H519" s="5336" t="s">
        <v>257</v>
      </c>
      <c r="I519" s="5336" t="s">
        <v>2306</v>
      </c>
      <c r="J519" s="5347" t="s">
        <v>2201</v>
      </c>
      <c r="K519" s="5342" t="s">
        <v>2307</v>
      </c>
      <c r="L519" s="5343">
        <v>0</v>
      </c>
      <c r="M519" s="5343">
        <v>2</v>
      </c>
      <c r="N519" s="5343">
        <v>2</v>
      </c>
      <c r="O519" s="5342" t="s">
        <v>2203</v>
      </c>
      <c r="P519" s="5342" t="s">
        <v>2256</v>
      </c>
      <c r="Q519" s="5344" t="s">
        <v>2280</v>
      </c>
      <c r="R519" s="792"/>
      <c r="S519" s="734"/>
      <c r="T519" s="734"/>
      <c r="U519" s="741"/>
      <c r="V519" s="731"/>
      <c r="W519" s="731"/>
      <c r="X519" s="732"/>
      <c r="Y519" s="732"/>
      <c r="Z519" s="732"/>
      <c r="AA519" s="742"/>
      <c r="AB519" s="414"/>
      <c r="AC519" s="174"/>
      <c r="AD519" s="174"/>
      <c r="AE519" s="5415" t="s">
        <v>2166</v>
      </c>
    </row>
    <row r="520" spans="1:31" ht="37.5" customHeight="1">
      <c r="A520" s="5367"/>
      <c r="B520" s="5334"/>
      <c r="C520" s="5337"/>
      <c r="D520" s="5337"/>
      <c r="E520" s="5337"/>
      <c r="F520" s="5337"/>
      <c r="G520" s="5337"/>
      <c r="H520" s="5337"/>
      <c r="I520" s="5337"/>
      <c r="J520" s="5337"/>
      <c r="K520" s="5337"/>
      <c r="L520" s="5337"/>
      <c r="M520" s="5337"/>
      <c r="N520" s="5337"/>
      <c r="O520" s="5337"/>
      <c r="P520" s="5337"/>
      <c r="Q520" s="5345"/>
      <c r="R520" s="790"/>
      <c r="S520" s="724"/>
      <c r="T520" s="724"/>
      <c r="U520" s="798"/>
      <c r="V520" s="725"/>
      <c r="W520" s="725"/>
      <c r="X520" s="726"/>
      <c r="Y520" s="726"/>
      <c r="Z520" s="726"/>
      <c r="AA520" s="727"/>
      <c r="AB520" s="170"/>
      <c r="AC520" s="282"/>
      <c r="AD520" s="282"/>
      <c r="AE520" s="5416"/>
    </row>
    <row r="521" spans="1:31" ht="37.5" customHeight="1">
      <c r="A521" s="5367"/>
      <c r="B521" s="5334"/>
      <c r="C521" s="5337"/>
      <c r="D521" s="5337"/>
      <c r="E521" s="5337"/>
      <c r="F521" s="5337"/>
      <c r="G521" s="5337"/>
      <c r="H521" s="5337"/>
      <c r="I521" s="5337"/>
      <c r="J521" s="5337"/>
      <c r="K521" s="5337"/>
      <c r="L521" s="5337"/>
      <c r="M521" s="5337"/>
      <c r="N521" s="5337"/>
      <c r="O521" s="5337"/>
      <c r="P521" s="5337"/>
      <c r="Q521" s="5345"/>
      <c r="R521" s="791"/>
      <c r="S521" s="729"/>
      <c r="T521" s="729"/>
      <c r="U521" s="730"/>
      <c r="V521" s="731"/>
      <c r="W521" s="731"/>
      <c r="X521" s="732"/>
      <c r="Y521" s="726"/>
      <c r="Z521" s="726"/>
      <c r="AA521" s="727"/>
      <c r="AB521" s="170"/>
      <c r="AC521" s="282"/>
      <c r="AD521" s="282"/>
      <c r="AE521" s="5416"/>
    </row>
    <row r="522" spans="1:31" ht="37.5" customHeight="1">
      <c r="A522" s="5367"/>
      <c r="B522" s="5334"/>
      <c r="C522" s="5337"/>
      <c r="D522" s="5337"/>
      <c r="E522" s="5337"/>
      <c r="F522" s="5337"/>
      <c r="G522" s="5337"/>
      <c r="H522" s="5337"/>
      <c r="I522" s="5337"/>
      <c r="J522" s="5337"/>
      <c r="K522" s="5337"/>
      <c r="L522" s="5337"/>
      <c r="M522" s="5337"/>
      <c r="N522" s="5337"/>
      <c r="O522" s="5337"/>
      <c r="P522" s="5337"/>
      <c r="Q522" s="5345"/>
      <c r="R522" s="792"/>
      <c r="S522" s="734"/>
      <c r="T522" s="734"/>
      <c r="U522" s="730"/>
      <c r="V522" s="731"/>
      <c r="W522" s="731"/>
      <c r="X522" s="732"/>
      <c r="Y522" s="726"/>
      <c r="Z522" s="726"/>
      <c r="AA522" s="727"/>
      <c r="AB522" s="170"/>
      <c r="AC522" s="282"/>
      <c r="AD522" s="282"/>
      <c r="AE522" s="5416"/>
    </row>
    <row r="523" spans="1:31" ht="37.5" customHeight="1">
      <c r="A523" s="5367"/>
      <c r="B523" s="5335"/>
      <c r="C523" s="5338"/>
      <c r="D523" s="5338"/>
      <c r="E523" s="5338"/>
      <c r="F523" s="5338"/>
      <c r="G523" s="5338"/>
      <c r="H523" s="5338"/>
      <c r="I523" s="5338"/>
      <c r="J523" s="5338"/>
      <c r="K523" s="5338"/>
      <c r="L523" s="5338"/>
      <c r="M523" s="5338"/>
      <c r="N523" s="5338"/>
      <c r="O523" s="5338"/>
      <c r="P523" s="5338"/>
      <c r="Q523" s="5346"/>
      <c r="R523" s="796"/>
      <c r="S523" s="736"/>
      <c r="T523" s="736"/>
      <c r="U523" s="737"/>
      <c r="V523" s="738"/>
      <c r="W523" s="738"/>
      <c r="X523" s="739"/>
      <c r="Y523" s="739"/>
      <c r="Z523" s="739"/>
      <c r="AA523" s="740"/>
      <c r="AB523" s="165"/>
      <c r="AC523" s="166"/>
      <c r="AD523" s="166"/>
      <c r="AE523" s="5417"/>
    </row>
    <row r="524" spans="1:31" ht="37.5" customHeight="1">
      <c r="A524" s="5367"/>
      <c r="B524" s="5333" t="s">
        <v>272</v>
      </c>
      <c r="C524" s="5336" t="s">
        <v>302</v>
      </c>
      <c r="D524" s="5336" t="s">
        <v>303</v>
      </c>
      <c r="E524" s="5336" t="s">
        <v>304</v>
      </c>
      <c r="F524" s="5341" t="s">
        <v>305</v>
      </c>
      <c r="G524" s="5336" t="s">
        <v>262</v>
      </c>
      <c r="H524" s="5336" t="s">
        <v>257</v>
      </c>
      <c r="I524" s="5336" t="s">
        <v>2308</v>
      </c>
      <c r="J524" s="5347" t="s">
        <v>1865</v>
      </c>
      <c r="K524" s="5336" t="s">
        <v>2207</v>
      </c>
      <c r="L524" s="5343">
        <v>0</v>
      </c>
      <c r="M524" s="5343">
        <v>1</v>
      </c>
      <c r="N524" s="5343">
        <v>1</v>
      </c>
      <c r="O524" s="5342" t="s">
        <v>2208</v>
      </c>
      <c r="P524" s="5342" t="s">
        <v>2209</v>
      </c>
      <c r="Q524" s="5344" t="s">
        <v>2309</v>
      </c>
      <c r="R524" s="792"/>
      <c r="S524" s="734"/>
      <c r="T524" s="734"/>
      <c r="U524" s="741"/>
      <c r="V524" s="731"/>
      <c r="W524" s="731"/>
      <c r="X524" s="732"/>
      <c r="Y524" s="732"/>
      <c r="Z524" s="732"/>
      <c r="AA524" s="742"/>
      <c r="AB524" s="414"/>
      <c r="AC524" s="174"/>
      <c r="AD524" s="174"/>
      <c r="AE524" s="5415"/>
    </row>
    <row r="525" spans="1:31" ht="37.5" customHeight="1">
      <c r="A525" s="5367"/>
      <c r="B525" s="5334"/>
      <c r="C525" s="5337"/>
      <c r="D525" s="5337"/>
      <c r="E525" s="5337"/>
      <c r="F525" s="5337"/>
      <c r="G525" s="5337"/>
      <c r="H525" s="5337"/>
      <c r="I525" s="5337"/>
      <c r="J525" s="5337"/>
      <c r="K525" s="5337"/>
      <c r="L525" s="5337"/>
      <c r="M525" s="5337"/>
      <c r="N525" s="5337"/>
      <c r="O525" s="5337"/>
      <c r="P525" s="5337"/>
      <c r="Q525" s="5345"/>
      <c r="R525" s="790"/>
      <c r="S525" s="724"/>
      <c r="T525" s="724"/>
      <c r="U525" s="798"/>
      <c r="V525" s="725"/>
      <c r="W525" s="725"/>
      <c r="X525" s="726"/>
      <c r="Y525" s="726"/>
      <c r="Z525" s="726"/>
      <c r="AA525" s="727"/>
      <c r="AB525" s="170"/>
      <c r="AC525" s="282"/>
      <c r="AD525" s="282"/>
      <c r="AE525" s="5416"/>
    </row>
    <row r="526" spans="1:31" ht="37.5" customHeight="1">
      <c r="A526" s="5367"/>
      <c r="B526" s="5334"/>
      <c r="C526" s="5337"/>
      <c r="D526" s="5337"/>
      <c r="E526" s="5337"/>
      <c r="F526" s="5337"/>
      <c r="G526" s="5337"/>
      <c r="H526" s="5337"/>
      <c r="I526" s="5337"/>
      <c r="J526" s="5337"/>
      <c r="K526" s="5337"/>
      <c r="L526" s="5337"/>
      <c r="M526" s="5337"/>
      <c r="N526" s="5337"/>
      <c r="O526" s="5337"/>
      <c r="P526" s="5337"/>
      <c r="Q526" s="5345"/>
      <c r="R526" s="791"/>
      <c r="S526" s="729"/>
      <c r="T526" s="729"/>
      <c r="U526" s="730"/>
      <c r="V526" s="731"/>
      <c r="W526" s="731"/>
      <c r="X526" s="732"/>
      <c r="Y526" s="726"/>
      <c r="Z526" s="726"/>
      <c r="AA526" s="727"/>
      <c r="AB526" s="170"/>
      <c r="AC526" s="282"/>
      <c r="AD526" s="282"/>
      <c r="AE526" s="5416"/>
    </row>
    <row r="527" spans="1:31" ht="37.5" customHeight="1">
      <c r="A527" s="5367"/>
      <c r="B527" s="5334"/>
      <c r="C527" s="5337"/>
      <c r="D527" s="5337"/>
      <c r="E527" s="5337"/>
      <c r="F527" s="5337"/>
      <c r="G527" s="5337"/>
      <c r="H527" s="5337"/>
      <c r="I527" s="5337"/>
      <c r="J527" s="5337"/>
      <c r="K527" s="5337"/>
      <c r="L527" s="5337"/>
      <c r="M527" s="5337"/>
      <c r="N527" s="5337"/>
      <c r="O527" s="5337"/>
      <c r="P527" s="5337"/>
      <c r="Q527" s="5345"/>
      <c r="R527" s="792"/>
      <c r="S527" s="734"/>
      <c r="T527" s="734"/>
      <c r="U527" s="730"/>
      <c r="V527" s="731"/>
      <c r="W527" s="731"/>
      <c r="X527" s="732"/>
      <c r="Y527" s="726"/>
      <c r="Z527" s="726"/>
      <c r="AA527" s="727"/>
      <c r="AB527" s="170"/>
      <c r="AC527" s="282"/>
      <c r="AD527" s="282"/>
      <c r="AE527" s="5416"/>
    </row>
    <row r="528" spans="1:31" ht="37.5" customHeight="1">
      <c r="A528" s="5367"/>
      <c r="B528" s="5335"/>
      <c r="C528" s="5338"/>
      <c r="D528" s="5338"/>
      <c r="E528" s="5338"/>
      <c r="F528" s="5338"/>
      <c r="G528" s="5338"/>
      <c r="H528" s="5338"/>
      <c r="I528" s="5338"/>
      <c r="J528" s="5338"/>
      <c r="K528" s="5338"/>
      <c r="L528" s="5338"/>
      <c r="M528" s="5338"/>
      <c r="N528" s="5338"/>
      <c r="O528" s="5338"/>
      <c r="P528" s="5338"/>
      <c r="Q528" s="5346"/>
      <c r="R528" s="796"/>
      <c r="S528" s="736"/>
      <c r="T528" s="736"/>
      <c r="U528" s="737"/>
      <c r="V528" s="738"/>
      <c r="W528" s="738"/>
      <c r="X528" s="739"/>
      <c r="Y528" s="739"/>
      <c r="Z528" s="739"/>
      <c r="AA528" s="740"/>
      <c r="AB528" s="165"/>
      <c r="AC528" s="166"/>
      <c r="AD528" s="166"/>
      <c r="AE528" s="5417"/>
    </row>
    <row r="529" spans="1:31" ht="37.5" customHeight="1">
      <c r="A529" s="5367"/>
      <c r="B529" s="5333" t="s">
        <v>272</v>
      </c>
      <c r="C529" s="5336" t="s">
        <v>302</v>
      </c>
      <c r="D529" s="5336" t="s">
        <v>680</v>
      </c>
      <c r="E529" s="5336" t="s">
        <v>817</v>
      </c>
      <c r="F529" s="5341" t="s">
        <v>305</v>
      </c>
      <c r="G529" s="5336" t="s">
        <v>306</v>
      </c>
      <c r="H529" s="5336" t="s">
        <v>278</v>
      </c>
      <c r="I529" s="5336" t="s">
        <v>2310</v>
      </c>
      <c r="J529" s="5347" t="s">
        <v>1870</v>
      </c>
      <c r="K529" s="5342" t="s">
        <v>2311</v>
      </c>
      <c r="L529" s="5343">
        <v>0</v>
      </c>
      <c r="M529" s="5343">
        <v>1</v>
      </c>
      <c r="N529" s="5343">
        <v>1</v>
      </c>
      <c r="O529" s="5342" t="s">
        <v>2312</v>
      </c>
      <c r="P529" s="5342" t="s">
        <v>2261</v>
      </c>
      <c r="Q529" s="5344" t="s">
        <v>2291</v>
      </c>
      <c r="R529" s="792"/>
      <c r="S529" s="734"/>
      <c r="T529" s="734"/>
      <c r="U529" s="741"/>
      <c r="V529" s="731"/>
      <c r="W529" s="731"/>
      <c r="X529" s="732"/>
      <c r="Y529" s="732"/>
      <c r="Z529" s="732"/>
      <c r="AA529" s="742"/>
      <c r="AB529" s="414"/>
      <c r="AC529" s="174"/>
      <c r="AD529" s="174"/>
      <c r="AE529" s="5415" t="s">
        <v>2166</v>
      </c>
    </row>
    <row r="530" spans="1:31" ht="37.5" customHeight="1">
      <c r="A530" s="5367"/>
      <c r="B530" s="5334"/>
      <c r="C530" s="5337"/>
      <c r="D530" s="5337"/>
      <c r="E530" s="5337"/>
      <c r="F530" s="5337"/>
      <c r="G530" s="5337"/>
      <c r="H530" s="5337"/>
      <c r="I530" s="5337"/>
      <c r="J530" s="5337"/>
      <c r="K530" s="5337"/>
      <c r="L530" s="5337"/>
      <c r="M530" s="5337"/>
      <c r="N530" s="5337"/>
      <c r="O530" s="5337"/>
      <c r="P530" s="5337"/>
      <c r="Q530" s="5345"/>
      <c r="R530" s="790"/>
      <c r="S530" s="724"/>
      <c r="T530" s="724"/>
      <c r="U530" s="798"/>
      <c r="V530" s="725"/>
      <c r="W530" s="725"/>
      <c r="X530" s="726"/>
      <c r="Y530" s="726"/>
      <c r="Z530" s="726"/>
      <c r="AA530" s="727"/>
      <c r="AB530" s="170"/>
      <c r="AC530" s="282"/>
      <c r="AD530" s="282"/>
      <c r="AE530" s="5416"/>
    </row>
    <row r="531" spans="1:31" ht="37.5" customHeight="1">
      <c r="A531" s="5367"/>
      <c r="B531" s="5334"/>
      <c r="C531" s="5337"/>
      <c r="D531" s="5337"/>
      <c r="E531" s="5337"/>
      <c r="F531" s="5337"/>
      <c r="G531" s="5337"/>
      <c r="H531" s="5337"/>
      <c r="I531" s="5337"/>
      <c r="J531" s="5337"/>
      <c r="K531" s="5337"/>
      <c r="L531" s="5337"/>
      <c r="M531" s="5337"/>
      <c r="N531" s="5337"/>
      <c r="O531" s="5337"/>
      <c r="P531" s="5337"/>
      <c r="Q531" s="5345"/>
      <c r="R531" s="791"/>
      <c r="S531" s="729"/>
      <c r="T531" s="729"/>
      <c r="U531" s="730"/>
      <c r="V531" s="731"/>
      <c r="W531" s="731"/>
      <c r="X531" s="732"/>
      <c r="Y531" s="726"/>
      <c r="Z531" s="726"/>
      <c r="AA531" s="727"/>
      <c r="AB531" s="170"/>
      <c r="AC531" s="282"/>
      <c r="AD531" s="282"/>
      <c r="AE531" s="5416"/>
    </row>
    <row r="532" spans="1:31" ht="37.5" customHeight="1">
      <c r="A532" s="5367"/>
      <c r="B532" s="5334"/>
      <c r="C532" s="5337"/>
      <c r="D532" s="5337"/>
      <c r="E532" s="5337"/>
      <c r="F532" s="5337"/>
      <c r="G532" s="5337"/>
      <c r="H532" s="5337"/>
      <c r="I532" s="5337"/>
      <c r="J532" s="5337"/>
      <c r="K532" s="5337"/>
      <c r="L532" s="5337"/>
      <c r="M532" s="5337"/>
      <c r="N532" s="5337"/>
      <c r="O532" s="5337"/>
      <c r="P532" s="5337"/>
      <c r="Q532" s="5345"/>
      <c r="R532" s="792"/>
      <c r="S532" s="734"/>
      <c r="T532" s="734"/>
      <c r="U532" s="730"/>
      <c r="V532" s="731"/>
      <c r="W532" s="731"/>
      <c r="X532" s="732"/>
      <c r="Y532" s="726"/>
      <c r="Z532" s="726"/>
      <c r="AA532" s="727"/>
      <c r="AB532" s="170"/>
      <c r="AC532" s="282"/>
      <c r="AD532" s="282"/>
      <c r="AE532" s="5416"/>
    </row>
    <row r="533" spans="1:31" ht="37.5" customHeight="1">
      <c r="A533" s="5367"/>
      <c r="B533" s="5335"/>
      <c r="C533" s="5338"/>
      <c r="D533" s="5338"/>
      <c r="E533" s="5338"/>
      <c r="F533" s="5338"/>
      <c r="G533" s="5338"/>
      <c r="H533" s="5338"/>
      <c r="I533" s="5338"/>
      <c r="J533" s="5338"/>
      <c r="K533" s="5338"/>
      <c r="L533" s="5338"/>
      <c r="M533" s="5338"/>
      <c r="N533" s="5338"/>
      <c r="O533" s="5338"/>
      <c r="P533" s="5338"/>
      <c r="Q533" s="5346"/>
      <c r="R533" s="796"/>
      <c r="S533" s="736"/>
      <c r="T533" s="736"/>
      <c r="U533" s="737"/>
      <c r="V533" s="738"/>
      <c r="W533" s="738"/>
      <c r="X533" s="739"/>
      <c r="Y533" s="739"/>
      <c r="Z533" s="739"/>
      <c r="AA533" s="740"/>
      <c r="AB533" s="165"/>
      <c r="AC533" s="166"/>
      <c r="AD533" s="166"/>
      <c r="AE533" s="5417"/>
    </row>
    <row r="534" spans="1:31" ht="37.5" customHeight="1">
      <c r="A534" s="5367"/>
      <c r="B534" s="5333" t="s">
        <v>272</v>
      </c>
      <c r="C534" s="5336" t="s">
        <v>302</v>
      </c>
      <c r="D534" s="5336" t="s">
        <v>303</v>
      </c>
      <c r="E534" s="5336" t="s">
        <v>304</v>
      </c>
      <c r="F534" s="5341" t="s">
        <v>305</v>
      </c>
      <c r="G534" s="5336" t="s">
        <v>262</v>
      </c>
      <c r="H534" s="5336" t="s">
        <v>257</v>
      </c>
      <c r="I534" s="5336" t="s">
        <v>2313</v>
      </c>
      <c r="J534" s="5347" t="s">
        <v>2216</v>
      </c>
      <c r="K534" s="5342" t="s">
        <v>2314</v>
      </c>
      <c r="L534" s="5343">
        <v>0</v>
      </c>
      <c r="M534" s="5343">
        <v>4</v>
      </c>
      <c r="N534" s="5343">
        <v>4</v>
      </c>
      <c r="O534" s="5342" t="s">
        <v>2218</v>
      </c>
      <c r="P534" s="5342" t="s">
        <v>2315</v>
      </c>
      <c r="Q534" s="5344" t="s">
        <v>2316</v>
      </c>
      <c r="R534" s="792"/>
      <c r="S534" s="734"/>
      <c r="T534" s="734"/>
      <c r="U534" s="741"/>
      <c r="V534" s="731"/>
      <c r="W534" s="731"/>
      <c r="X534" s="732"/>
      <c r="Y534" s="732"/>
      <c r="Z534" s="732"/>
      <c r="AA534" s="742"/>
      <c r="AB534" s="414"/>
      <c r="AC534" s="174"/>
      <c r="AD534" s="174"/>
      <c r="AE534" s="5415" t="s">
        <v>2166</v>
      </c>
    </row>
    <row r="535" spans="1:31" ht="37.5" customHeight="1">
      <c r="A535" s="5367"/>
      <c r="B535" s="5334"/>
      <c r="C535" s="5337"/>
      <c r="D535" s="5337"/>
      <c r="E535" s="5337"/>
      <c r="F535" s="5337"/>
      <c r="G535" s="5337"/>
      <c r="H535" s="5337"/>
      <c r="I535" s="5337"/>
      <c r="J535" s="5337"/>
      <c r="K535" s="5337"/>
      <c r="L535" s="5337"/>
      <c r="M535" s="5337"/>
      <c r="N535" s="5337"/>
      <c r="O535" s="5337"/>
      <c r="P535" s="5337"/>
      <c r="Q535" s="5345"/>
      <c r="R535" s="790"/>
      <c r="S535" s="724"/>
      <c r="T535" s="724"/>
      <c r="U535" s="798"/>
      <c r="V535" s="725"/>
      <c r="W535" s="725"/>
      <c r="X535" s="726"/>
      <c r="Y535" s="726"/>
      <c r="Z535" s="726"/>
      <c r="AA535" s="727"/>
      <c r="AB535" s="170"/>
      <c r="AC535" s="282"/>
      <c r="AD535" s="282"/>
      <c r="AE535" s="5416"/>
    </row>
    <row r="536" spans="1:31" ht="37.5" customHeight="1">
      <c r="A536" s="5367"/>
      <c r="B536" s="5334"/>
      <c r="C536" s="5337"/>
      <c r="D536" s="5337"/>
      <c r="E536" s="5337"/>
      <c r="F536" s="5337"/>
      <c r="G536" s="5337"/>
      <c r="H536" s="5337"/>
      <c r="I536" s="5337"/>
      <c r="J536" s="5337"/>
      <c r="K536" s="5337"/>
      <c r="L536" s="5337"/>
      <c r="M536" s="5337"/>
      <c r="N536" s="5337"/>
      <c r="O536" s="5337"/>
      <c r="P536" s="5337"/>
      <c r="Q536" s="5345"/>
      <c r="R536" s="791"/>
      <c r="S536" s="729"/>
      <c r="T536" s="729"/>
      <c r="U536" s="730"/>
      <c r="V536" s="731"/>
      <c r="W536" s="731"/>
      <c r="X536" s="732"/>
      <c r="Y536" s="726"/>
      <c r="Z536" s="726"/>
      <c r="AA536" s="727"/>
      <c r="AB536" s="170"/>
      <c r="AC536" s="282"/>
      <c r="AD536" s="282"/>
      <c r="AE536" s="5416"/>
    </row>
    <row r="537" spans="1:31" ht="37.5" customHeight="1">
      <c r="A537" s="5367"/>
      <c r="B537" s="5334"/>
      <c r="C537" s="5337"/>
      <c r="D537" s="5337"/>
      <c r="E537" s="5337"/>
      <c r="F537" s="5337"/>
      <c r="G537" s="5337"/>
      <c r="H537" s="5337"/>
      <c r="I537" s="5337"/>
      <c r="J537" s="5337"/>
      <c r="K537" s="5337"/>
      <c r="L537" s="5337"/>
      <c r="M537" s="5337"/>
      <c r="N537" s="5337"/>
      <c r="O537" s="5337"/>
      <c r="P537" s="5337"/>
      <c r="Q537" s="5345"/>
      <c r="R537" s="792"/>
      <c r="S537" s="734"/>
      <c r="T537" s="734"/>
      <c r="U537" s="730"/>
      <c r="V537" s="731"/>
      <c r="W537" s="731"/>
      <c r="X537" s="732"/>
      <c r="Y537" s="726"/>
      <c r="Z537" s="726"/>
      <c r="AA537" s="727"/>
      <c r="AB537" s="170"/>
      <c r="AC537" s="282"/>
      <c r="AD537" s="282"/>
      <c r="AE537" s="5416"/>
    </row>
    <row r="538" spans="1:31" ht="37.5" customHeight="1">
      <c r="A538" s="5367"/>
      <c r="B538" s="5335"/>
      <c r="C538" s="5338"/>
      <c r="D538" s="5338"/>
      <c r="E538" s="5338"/>
      <c r="F538" s="5338"/>
      <c r="G538" s="5338"/>
      <c r="H538" s="5338"/>
      <c r="I538" s="5338"/>
      <c r="J538" s="5338"/>
      <c r="K538" s="5338"/>
      <c r="L538" s="5338"/>
      <c r="M538" s="5338"/>
      <c r="N538" s="5338"/>
      <c r="O538" s="5338"/>
      <c r="P538" s="5338"/>
      <c r="Q538" s="5346"/>
      <c r="R538" s="796"/>
      <c r="S538" s="736"/>
      <c r="T538" s="736"/>
      <c r="U538" s="737"/>
      <c r="V538" s="738"/>
      <c r="W538" s="738"/>
      <c r="X538" s="739"/>
      <c r="Y538" s="739"/>
      <c r="Z538" s="739"/>
      <c r="AA538" s="740"/>
      <c r="AB538" s="165"/>
      <c r="AC538" s="166"/>
      <c r="AD538" s="166"/>
      <c r="AE538" s="5417"/>
    </row>
    <row r="539" spans="1:31" ht="37.5" customHeight="1">
      <c r="A539" s="5367"/>
      <c r="B539" s="5356" t="s">
        <v>272</v>
      </c>
      <c r="C539" s="5336" t="s">
        <v>302</v>
      </c>
      <c r="D539" s="5336" t="s">
        <v>303</v>
      </c>
      <c r="E539" s="5336" t="s">
        <v>304</v>
      </c>
      <c r="F539" s="5341" t="s">
        <v>305</v>
      </c>
      <c r="G539" s="5336" t="s">
        <v>240</v>
      </c>
      <c r="H539" s="5336" t="s">
        <v>257</v>
      </c>
      <c r="I539" s="5336" t="s">
        <v>2317</v>
      </c>
      <c r="J539" s="5347" t="s">
        <v>2221</v>
      </c>
      <c r="K539" s="5342" t="s">
        <v>2318</v>
      </c>
      <c r="L539" s="5343">
        <v>0</v>
      </c>
      <c r="M539" s="5343">
        <v>4</v>
      </c>
      <c r="N539" s="5343">
        <v>4</v>
      </c>
      <c r="O539" s="5342" t="s">
        <v>2223</v>
      </c>
      <c r="P539" s="5342" t="s">
        <v>2267</v>
      </c>
      <c r="Q539" s="5344" t="s">
        <v>2280</v>
      </c>
      <c r="R539" s="792"/>
      <c r="S539" s="734"/>
      <c r="T539" s="734"/>
      <c r="U539" s="741"/>
      <c r="V539" s="731"/>
      <c r="W539" s="731"/>
      <c r="X539" s="732"/>
      <c r="Y539" s="732"/>
      <c r="Z539" s="732"/>
      <c r="AA539" s="742"/>
      <c r="AB539" s="414"/>
      <c r="AC539" s="174"/>
      <c r="AD539" s="174"/>
      <c r="AE539" s="5415" t="s">
        <v>2166</v>
      </c>
    </row>
    <row r="540" spans="1:31" ht="37.5" customHeight="1">
      <c r="A540" s="5367"/>
      <c r="B540" s="5334"/>
      <c r="C540" s="5337"/>
      <c r="D540" s="5337"/>
      <c r="E540" s="5337"/>
      <c r="F540" s="5337"/>
      <c r="G540" s="5337"/>
      <c r="H540" s="5337"/>
      <c r="I540" s="5337"/>
      <c r="J540" s="5337"/>
      <c r="K540" s="5337"/>
      <c r="L540" s="5337"/>
      <c r="M540" s="5337"/>
      <c r="N540" s="5337"/>
      <c r="O540" s="5337"/>
      <c r="P540" s="5337"/>
      <c r="Q540" s="5345"/>
      <c r="R540" s="790"/>
      <c r="S540" s="724"/>
      <c r="T540" s="724"/>
      <c r="U540" s="798"/>
      <c r="V540" s="725"/>
      <c r="W540" s="725"/>
      <c r="X540" s="726"/>
      <c r="Y540" s="726"/>
      <c r="Z540" s="726"/>
      <c r="AA540" s="727"/>
      <c r="AB540" s="170"/>
      <c r="AC540" s="282"/>
      <c r="AD540" s="282"/>
      <c r="AE540" s="5416"/>
    </row>
    <row r="541" spans="1:31" ht="37.5" customHeight="1">
      <c r="A541" s="5367"/>
      <c r="B541" s="5334"/>
      <c r="C541" s="5337"/>
      <c r="D541" s="5337"/>
      <c r="E541" s="5337"/>
      <c r="F541" s="5337"/>
      <c r="G541" s="5337"/>
      <c r="H541" s="5337"/>
      <c r="I541" s="5337"/>
      <c r="J541" s="5337"/>
      <c r="K541" s="5337"/>
      <c r="L541" s="5337"/>
      <c r="M541" s="5337"/>
      <c r="N541" s="5337"/>
      <c r="O541" s="5337"/>
      <c r="P541" s="5337"/>
      <c r="Q541" s="5345"/>
      <c r="R541" s="791"/>
      <c r="S541" s="729"/>
      <c r="T541" s="729"/>
      <c r="U541" s="730"/>
      <c r="V541" s="731"/>
      <c r="W541" s="731"/>
      <c r="X541" s="732"/>
      <c r="Y541" s="726"/>
      <c r="Z541" s="726"/>
      <c r="AA541" s="727"/>
      <c r="AB541" s="170"/>
      <c r="AC541" s="282"/>
      <c r="AD541" s="282"/>
      <c r="AE541" s="5416"/>
    </row>
    <row r="542" spans="1:31" ht="37.5" customHeight="1">
      <c r="A542" s="5367"/>
      <c r="B542" s="5334"/>
      <c r="C542" s="5337"/>
      <c r="D542" s="5337"/>
      <c r="E542" s="5337"/>
      <c r="F542" s="5337"/>
      <c r="G542" s="5337"/>
      <c r="H542" s="5337"/>
      <c r="I542" s="5337"/>
      <c r="J542" s="5337"/>
      <c r="K542" s="5337"/>
      <c r="L542" s="5337"/>
      <c r="M542" s="5337"/>
      <c r="N542" s="5337"/>
      <c r="O542" s="5337"/>
      <c r="P542" s="5337"/>
      <c r="Q542" s="5345"/>
      <c r="R542" s="792"/>
      <c r="S542" s="734"/>
      <c r="T542" s="734"/>
      <c r="U542" s="730"/>
      <c r="V542" s="731"/>
      <c r="W542" s="731"/>
      <c r="X542" s="732"/>
      <c r="Y542" s="726"/>
      <c r="Z542" s="726"/>
      <c r="AA542" s="727"/>
      <c r="AB542" s="170"/>
      <c r="AC542" s="282"/>
      <c r="AD542" s="282"/>
      <c r="AE542" s="5416"/>
    </row>
    <row r="543" spans="1:31" ht="37.5" customHeight="1">
      <c r="A543" s="5368"/>
      <c r="B543" s="5335"/>
      <c r="C543" s="5338"/>
      <c r="D543" s="5338"/>
      <c r="E543" s="5338"/>
      <c r="F543" s="5338"/>
      <c r="G543" s="5338"/>
      <c r="H543" s="5338"/>
      <c r="I543" s="5338"/>
      <c r="J543" s="5338"/>
      <c r="K543" s="5338"/>
      <c r="L543" s="5338"/>
      <c r="M543" s="5338"/>
      <c r="N543" s="5338"/>
      <c r="O543" s="5338"/>
      <c r="P543" s="5338"/>
      <c r="Q543" s="5346"/>
      <c r="R543" s="796"/>
      <c r="S543" s="736"/>
      <c r="T543" s="736"/>
      <c r="U543" s="737"/>
      <c r="V543" s="738"/>
      <c r="W543" s="738"/>
      <c r="X543" s="739"/>
      <c r="Y543" s="739"/>
      <c r="Z543" s="739"/>
      <c r="AA543" s="740"/>
      <c r="AB543" s="165"/>
      <c r="AC543" s="166"/>
      <c r="AD543" s="166"/>
      <c r="AE543" s="5417"/>
    </row>
    <row r="544" spans="1:31" ht="37.5" customHeight="1">
      <c r="A544" s="2160"/>
      <c r="B544" s="785"/>
      <c r="C544" s="785"/>
      <c r="D544" s="785"/>
      <c r="E544" s="785"/>
      <c r="F544" s="785"/>
      <c r="G544" s="785"/>
      <c r="H544" s="785"/>
      <c r="I544" s="785"/>
      <c r="J544" s="785"/>
      <c r="K544" s="785"/>
      <c r="L544" s="785"/>
      <c r="M544" s="785"/>
      <c r="N544" s="785"/>
      <c r="O544" s="785"/>
      <c r="P544" s="785"/>
      <c r="Q544" s="786"/>
      <c r="R544" s="5473" t="s">
        <v>2319</v>
      </c>
      <c r="S544" s="5474"/>
      <c r="T544" s="5474"/>
      <c r="U544" s="5474"/>
      <c r="V544" s="5474"/>
      <c r="W544" s="5474"/>
      <c r="X544" s="5474"/>
      <c r="Y544" s="5475"/>
      <c r="Z544" s="787" t="s">
        <v>340</v>
      </c>
      <c r="AA544" s="788">
        <f>SUM(AA472:AA543)</f>
        <v>0</v>
      </c>
      <c r="AB544" s="5476"/>
      <c r="AC544" s="5474"/>
      <c r="AD544" s="5474"/>
      <c r="AE544" s="5477"/>
    </row>
    <row r="545" spans="1:31" ht="37.5" customHeight="1">
      <c r="A545" s="5369" t="s">
        <v>2320</v>
      </c>
      <c r="B545" s="5351" t="s">
        <v>235</v>
      </c>
      <c r="C545" s="5355" t="s">
        <v>236</v>
      </c>
      <c r="D545" s="5355" t="s">
        <v>237</v>
      </c>
      <c r="E545" s="5355" t="s">
        <v>289</v>
      </c>
      <c r="F545" s="5364" t="s">
        <v>239</v>
      </c>
      <c r="G545" s="5355" t="s">
        <v>240</v>
      </c>
      <c r="H545" s="5355" t="s">
        <v>257</v>
      </c>
      <c r="I545" s="5360" t="s">
        <v>2321</v>
      </c>
      <c r="J545" s="5355" t="s">
        <v>1821</v>
      </c>
      <c r="K545" s="5355" t="s">
        <v>2151</v>
      </c>
      <c r="L545" s="5363">
        <v>0</v>
      </c>
      <c r="M545" s="5363">
        <v>1</v>
      </c>
      <c r="N545" s="5363">
        <v>1</v>
      </c>
      <c r="O545" s="5355" t="s">
        <v>2152</v>
      </c>
      <c r="P545" s="5355" t="s">
        <v>2153</v>
      </c>
      <c r="Q545" s="5392" t="s">
        <v>2322</v>
      </c>
      <c r="R545" s="789"/>
      <c r="S545" s="718"/>
      <c r="T545" s="718"/>
      <c r="U545" s="719"/>
      <c r="V545" s="720"/>
      <c r="W545" s="720"/>
      <c r="X545" s="721"/>
      <c r="Y545" s="721"/>
      <c r="Z545" s="721"/>
      <c r="AA545" s="722"/>
      <c r="AB545" s="155"/>
      <c r="AC545" s="156"/>
      <c r="AD545" s="156"/>
      <c r="AE545" s="5428"/>
    </row>
    <row r="546" spans="1:31" ht="37.5" customHeight="1">
      <c r="A546" s="5367"/>
      <c r="B546" s="5334"/>
      <c r="C546" s="5337"/>
      <c r="D546" s="5337"/>
      <c r="E546" s="5337"/>
      <c r="F546" s="5337"/>
      <c r="G546" s="5337"/>
      <c r="H546" s="5337"/>
      <c r="I546" s="5361"/>
      <c r="J546" s="5337"/>
      <c r="K546" s="5337"/>
      <c r="L546" s="5337"/>
      <c r="M546" s="5337"/>
      <c r="N546" s="5337"/>
      <c r="O546" s="5337"/>
      <c r="P546" s="5337"/>
      <c r="Q546" s="5345"/>
      <c r="R546" s="790"/>
      <c r="S546" s="724"/>
      <c r="T546" s="724"/>
      <c r="U546" s="798"/>
      <c r="V546" s="725"/>
      <c r="W546" s="725"/>
      <c r="X546" s="726"/>
      <c r="Y546" s="726"/>
      <c r="Z546" s="726"/>
      <c r="AA546" s="727"/>
      <c r="AB546" s="170"/>
      <c r="AC546" s="282"/>
      <c r="AD546" s="282"/>
      <c r="AE546" s="5416"/>
    </row>
    <row r="547" spans="1:31" ht="37.5" customHeight="1">
      <c r="A547" s="5367"/>
      <c r="B547" s="5334"/>
      <c r="C547" s="5337"/>
      <c r="D547" s="5337"/>
      <c r="E547" s="5337"/>
      <c r="F547" s="5337"/>
      <c r="G547" s="5337"/>
      <c r="H547" s="5337"/>
      <c r="I547" s="5361"/>
      <c r="J547" s="5337"/>
      <c r="K547" s="5337"/>
      <c r="L547" s="5337"/>
      <c r="M547" s="5337"/>
      <c r="N547" s="5337"/>
      <c r="O547" s="5337"/>
      <c r="P547" s="5337"/>
      <c r="Q547" s="5345"/>
      <c r="R547" s="791"/>
      <c r="S547" s="729"/>
      <c r="T547" s="729"/>
      <c r="U547" s="730"/>
      <c r="V547" s="731"/>
      <c r="W547" s="731"/>
      <c r="X547" s="732"/>
      <c r="Y547" s="726"/>
      <c r="Z547" s="726"/>
      <c r="AA547" s="727"/>
      <c r="AB547" s="170"/>
      <c r="AC547" s="282"/>
      <c r="AD547" s="282"/>
      <c r="AE547" s="5416"/>
    </row>
    <row r="548" spans="1:31" ht="37.5" customHeight="1">
      <c r="A548" s="5367"/>
      <c r="B548" s="5334"/>
      <c r="C548" s="5337"/>
      <c r="D548" s="5337"/>
      <c r="E548" s="5337"/>
      <c r="F548" s="5337"/>
      <c r="G548" s="5337"/>
      <c r="H548" s="5337"/>
      <c r="I548" s="5361"/>
      <c r="J548" s="5337"/>
      <c r="K548" s="5337"/>
      <c r="L548" s="5337"/>
      <c r="M548" s="5337"/>
      <c r="N548" s="5337"/>
      <c r="O548" s="5337"/>
      <c r="P548" s="5337"/>
      <c r="Q548" s="5345"/>
      <c r="R548" s="792"/>
      <c r="S548" s="734"/>
      <c r="T548" s="734"/>
      <c r="U548" s="730"/>
      <c r="V548" s="731"/>
      <c r="W548" s="731"/>
      <c r="X548" s="732"/>
      <c r="Y548" s="726"/>
      <c r="Z548" s="726"/>
      <c r="AA548" s="727"/>
      <c r="AB548" s="170"/>
      <c r="AC548" s="282"/>
      <c r="AD548" s="282"/>
      <c r="AE548" s="5416"/>
    </row>
    <row r="549" spans="1:31" ht="37.5" customHeight="1">
      <c r="A549" s="5367"/>
      <c r="B549" s="5335"/>
      <c r="C549" s="5338"/>
      <c r="D549" s="5338"/>
      <c r="E549" s="5338"/>
      <c r="F549" s="5338"/>
      <c r="G549" s="5338"/>
      <c r="H549" s="5338"/>
      <c r="I549" s="5362"/>
      <c r="J549" s="5338"/>
      <c r="K549" s="5338"/>
      <c r="L549" s="5338"/>
      <c r="M549" s="5338"/>
      <c r="N549" s="5338"/>
      <c r="O549" s="5338"/>
      <c r="P549" s="5338"/>
      <c r="Q549" s="5346"/>
      <c r="R549" s="796"/>
      <c r="S549" s="736"/>
      <c r="T549" s="736"/>
      <c r="U549" s="737"/>
      <c r="V549" s="738"/>
      <c r="W549" s="738"/>
      <c r="X549" s="739"/>
      <c r="Y549" s="739"/>
      <c r="Z549" s="739"/>
      <c r="AA549" s="740"/>
      <c r="AB549" s="165"/>
      <c r="AC549" s="166"/>
      <c r="AD549" s="166"/>
      <c r="AE549" s="5417"/>
    </row>
    <row r="550" spans="1:31" ht="37.5" customHeight="1">
      <c r="A550" s="5367"/>
      <c r="B550" s="5333" t="s">
        <v>235</v>
      </c>
      <c r="C550" s="5336" t="s">
        <v>236</v>
      </c>
      <c r="D550" s="5336" t="s">
        <v>237</v>
      </c>
      <c r="E550" s="5336" t="s">
        <v>289</v>
      </c>
      <c r="F550" s="5341" t="s">
        <v>239</v>
      </c>
      <c r="G550" s="5336" t="s">
        <v>240</v>
      </c>
      <c r="H550" s="5336" t="s">
        <v>257</v>
      </c>
      <c r="I550" s="5336" t="s">
        <v>2323</v>
      </c>
      <c r="J550" s="5347" t="s">
        <v>1825</v>
      </c>
      <c r="K550" s="5340" t="s">
        <v>2324</v>
      </c>
      <c r="L550" s="5343">
        <v>0</v>
      </c>
      <c r="M550" s="5343">
        <v>4</v>
      </c>
      <c r="N550" s="5343">
        <v>4</v>
      </c>
      <c r="O550" s="5340" t="s">
        <v>2157</v>
      </c>
      <c r="P550" s="5340" t="s">
        <v>2325</v>
      </c>
      <c r="Q550" s="5370" t="s">
        <v>2322</v>
      </c>
      <c r="R550" s="792"/>
      <c r="S550" s="734"/>
      <c r="T550" s="734"/>
      <c r="U550" s="741"/>
      <c r="V550" s="731"/>
      <c r="W550" s="731"/>
      <c r="X550" s="732"/>
      <c r="Y550" s="732"/>
      <c r="Z550" s="732"/>
      <c r="AA550" s="742"/>
      <c r="AB550" s="414"/>
      <c r="AC550" s="174"/>
      <c r="AD550" s="174"/>
      <c r="AE550" s="5415" t="s">
        <v>2160</v>
      </c>
    </row>
    <row r="551" spans="1:31" ht="37.5" customHeight="1">
      <c r="A551" s="5367"/>
      <c r="B551" s="5334"/>
      <c r="C551" s="5337"/>
      <c r="D551" s="5337"/>
      <c r="E551" s="5337"/>
      <c r="F551" s="5337"/>
      <c r="G551" s="5337"/>
      <c r="H551" s="5337"/>
      <c r="I551" s="5337"/>
      <c r="J551" s="5337"/>
      <c r="K551" s="5337"/>
      <c r="L551" s="5337"/>
      <c r="M551" s="5337"/>
      <c r="N551" s="5337"/>
      <c r="O551" s="5337"/>
      <c r="P551" s="5337"/>
      <c r="Q551" s="5345"/>
      <c r="R551" s="790"/>
      <c r="S551" s="724"/>
      <c r="T551" s="724"/>
      <c r="U551" s="798"/>
      <c r="V551" s="725"/>
      <c r="W551" s="725"/>
      <c r="X551" s="726"/>
      <c r="Y551" s="726"/>
      <c r="Z551" s="726"/>
      <c r="AA551" s="727"/>
      <c r="AB551" s="170"/>
      <c r="AC551" s="282"/>
      <c r="AD551" s="282"/>
      <c r="AE551" s="5416"/>
    </row>
    <row r="552" spans="1:31" ht="37.5" customHeight="1">
      <c r="A552" s="5367"/>
      <c r="B552" s="5334"/>
      <c r="C552" s="5337"/>
      <c r="D552" s="5337"/>
      <c r="E552" s="5337"/>
      <c r="F552" s="5337"/>
      <c r="G552" s="5337"/>
      <c r="H552" s="5337"/>
      <c r="I552" s="5337"/>
      <c r="J552" s="5337"/>
      <c r="K552" s="5337"/>
      <c r="L552" s="5337"/>
      <c r="M552" s="5337"/>
      <c r="N552" s="5337"/>
      <c r="O552" s="5337"/>
      <c r="P552" s="5337"/>
      <c r="Q552" s="5345"/>
      <c r="R552" s="791"/>
      <c r="S552" s="729"/>
      <c r="T552" s="729"/>
      <c r="U552" s="730"/>
      <c r="V552" s="731"/>
      <c r="W552" s="731"/>
      <c r="X552" s="732"/>
      <c r="Y552" s="726"/>
      <c r="Z552" s="726"/>
      <c r="AA552" s="727"/>
      <c r="AB552" s="170"/>
      <c r="AC552" s="282"/>
      <c r="AD552" s="282"/>
      <c r="AE552" s="5416"/>
    </row>
    <row r="553" spans="1:31" ht="37.5" customHeight="1">
      <c r="A553" s="5367"/>
      <c r="B553" s="5334"/>
      <c r="C553" s="5337"/>
      <c r="D553" s="5337"/>
      <c r="E553" s="5337"/>
      <c r="F553" s="5337"/>
      <c r="G553" s="5337"/>
      <c r="H553" s="5337"/>
      <c r="I553" s="5337"/>
      <c r="J553" s="5337"/>
      <c r="K553" s="5337"/>
      <c r="L553" s="5337"/>
      <c r="M553" s="5337"/>
      <c r="N553" s="5337"/>
      <c r="O553" s="5337"/>
      <c r="P553" s="5337"/>
      <c r="Q553" s="5345"/>
      <c r="R553" s="792"/>
      <c r="S553" s="734"/>
      <c r="T553" s="734"/>
      <c r="U553" s="730"/>
      <c r="V553" s="731"/>
      <c r="W553" s="731"/>
      <c r="X553" s="732"/>
      <c r="Y553" s="726"/>
      <c r="Z553" s="726"/>
      <c r="AA553" s="727"/>
      <c r="AB553" s="170"/>
      <c r="AC553" s="282"/>
      <c r="AD553" s="282"/>
      <c r="AE553" s="5416"/>
    </row>
    <row r="554" spans="1:31" ht="37.5" customHeight="1">
      <c r="A554" s="5367"/>
      <c r="B554" s="5335"/>
      <c r="C554" s="5338"/>
      <c r="D554" s="5338"/>
      <c r="E554" s="5338"/>
      <c r="F554" s="5338"/>
      <c r="G554" s="5338"/>
      <c r="H554" s="5338"/>
      <c r="I554" s="5338"/>
      <c r="J554" s="5338"/>
      <c r="K554" s="5338"/>
      <c r="L554" s="5338"/>
      <c r="M554" s="5338"/>
      <c r="N554" s="5338"/>
      <c r="O554" s="5338"/>
      <c r="P554" s="5338"/>
      <c r="Q554" s="5346"/>
      <c r="R554" s="796"/>
      <c r="S554" s="736"/>
      <c r="T554" s="736"/>
      <c r="U554" s="737"/>
      <c r="V554" s="738"/>
      <c r="W554" s="738"/>
      <c r="X554" s="739"/>
      <c r="Y554" s="739"/>
      <c r="Z554" s="739"/>
      <c r="AA554" s="740"/>
      <c r="AB554" s="165"/>
      <c r="AC554" s="166"/>
      <c r="AD554" s="166"/>
      <c r="AE554" s="5417"/>
    </row>
    <row r="555" spans="1:31" ht="37.5" customHeight="1">
      <c r="A555" s="5367"/>
      <c r="B555" s="5333" t="s">
        <v>235</v>
      </c>
      <c r="C555" s="5340" t="s">
        <v>236</v>
      </c>
      <c r="D555" s="5336" t="s">
        <v>237</v>
      </c>
      <c r="E555" s="5336" t="s">
        <v>289</v>
      </c>
      <c r="F555" s="5341" t="s">
        <v>239</v>
      </c>
      <c r="G555" s="5336" t="s">
        <v>240</v>
      </c>
      <c r="H555" s="5336" t="s">
        <v>257</v>
      </c>
      <c r="I555" s="5336" t="s">
        <v>2326</v>
      </c>
      <c r="J555" s="5347" t="s">
        <v>1828</v>
      </c>
      <c r="K555" s="5340" t="s">
        <v>2162</v>
      </c>
      <c r="L555" s="5343">
        <v>0</v>
      </c>
      <c r="M555" s="5343">
        <v>1</v>
      </c>
      <c r="N555" s="5343">
        <v>1</v>
      </c>
      <c r="O555" s="5340" t="s">
        <v>2163</v>
      </c>
      <c r="P555" s="5340" t="s">
        <v>2164</v>
      </c>
      <c r="Q555" s="5370" t="s">
        <v>2322</v>
      </c>
      <c r="R555" s="792"/>
      <c r="S555" s="734"/>
      <c r="T555" s="734"/>
      <c r="U555" s="741"/>
      <c r="V555" s="731"/>
      <c r="W555" s="731"/>
      <c r="X555" s="732"/>
      <c r="Y555" s="732"/>
      <c r="Z555" s="732"/>
      <c r="AA555" s="742"/>
      <c r="AB555" s="414"/>
      <c r="AC555" s="174"/>
      <c r="AD555" s="174"/>
      <c r="AE555" s="5415" t="s">
        <v>2166</v>
      </c>
    </row>
    <row r="556" spans="1:31" ht="37.5" customHeight="1">
      <c r="A556" s="5367"/>
      <c r="B556" s="5334"/>
      <c r="C556" s="5337"/>
      <c r="D556" s="5337"/>
      <c r="E556" s="5337"/>
      <c r="F556" s="5337"/>
      <c r="G556" s="5337"/>
      <c r="H556" s="5337"/>
      <c r="I556" s="5337"/>
      <c r="J556" s="5337"/>
      <c r="K556" s="5337"/>
      <c r="L556" s="5337"/>
      <c r="M556" s="5337"/>
      <c r="N556" s="5337"/>
      <c r="O556" s="5337"/>
      <c r="P556" s="5337"/>
      <c r="Q556" s="5345"/>
      <c r="R556" s="790"/>
      <c r="S556" s="724"/>
      <c r="T556" s="724"/>
      <c r="U556" s="798"/>
      <c r="V556" s="725"/>
      <c r="W556" s="725"/>
      <c r="X556" s="726"/>
      <c r="Y556" s="726"/>
      <c r="Z556" s="726"/>
      <c r="AA556" s="727"/>
      <c r="AB556" s="170"/>
      <c r="AC556" s="282"/>
      <c r="AD556" s="282"/>
      <c r="AE556" s="5416"/>
    </row>
    <row r="557" spans="1:31" ht="37.5" customHeight="1">
      <c r="A557" s="5367"/>
      <c r="B557" s="5334"/>
      <c r="C557" s="5337"/>
      <c r="D557" s="5337"/>
      <c r="E557" s="5337"/>
      <c r="F557" s="5337"/>
      <c r="G557" s="5337"/>
      <c r="H557" s="5337"/>
      <c r="I557" s="5337"/>
      <c r="J557" s="5337"/>
      <c r="K557" s="5337"/>
      <c r="L557" s="5337"/>
      <c r="M557" s="5337"/>
      <c r="N557" s="5337"/>
      <c r="O557" s="5337"/>
      <c r="P557" s="5337"/>
      <c r="Q557" s="5345"/>
      <c r="R557" s="791"/>
      <c r="S557" s="729"/>
      <c r="T557" s="729"/>
      <c r="U557" s="730"/>
      <c r="V557" s="731"/>
      <c r="W557" s="731"/>
      <c r="X557" s="732"/>
      <c r="Y557" s="726"/>
      <c r="Z557" s="726"/>
      <c r="AA557" s="727"/>
      <c r="AB557" s="170"/>
      <c r="AC557" s="282"/>
      <c r="AD557" s="282"/>
      <c r="AE557" s="5416"/>
    </row>
    <row r="558" spans="1:31" ht="37.5" customHeight="1">
      <c r="A558" s="5367"/>
      <c r="B558" s="5334"/>
      <c r="C558" s="5337"/>
      <c r="D558" s="5337"/>
      <c r="E558" s="5337"/>
      <c r="F558" s="5337"/>
      <c r="G558" s="5337"/>
      <c r="H558" s="5337"/>
      <c r="I558" s="5337"/>
      <c r="J558" s="5337"/>
      <c r="K558" s="5337"/>
      <c r="L558" s="5337"/>
      <c r="M558" s="5337"/>
      <c r="N558" s="5337"/>
      <c r="O558" s="5337"/>
      <c r="P558" s="5337"/>
      <c r="Q558" s="5345"/>
      <c r="R558" s="792"/>
      <c r="S558" s="734"/>
      <c r="T558" s="734"/>
      <c r="U558" s="730"/>
      <c r="V558" s="731"/>
      <c r="W558" s="731"/>
      <c r="X558" s="732"/>
      <c r="Y558" s="726"/>
      <c r="Z558" s="726"/>
      <c r="AA558" s="727"/>
      <c r="AB558" s="170"/>
      <c r="AC558" s="282"/>
      <c r="AD558" s="282"/>
      <c r="AE558" s="5416"/>
    </row>
    <row r="559" spans="1:31" ht="37.5" customHeight="1">
      <c r="A559" s="5367"/>
      <c r="B559" s="5335"/>
      <c r="C559" s="5338"/>
      <c r="D559" s="5338"/>
      <c r="E559" s="5338"/>
      <c r="F559" s="5338"/>
      <c r="G559" s="5338"/>
      <c r="H559" s="5338"/>
      <c r="I559" s="5338"/>
      <c r="J559" s="5338"/>
      <c r="K559" s="5338"/>
      <c r="L559" s="5338"/>
      <c r="M559" s="5338"/>
      <c r="N559" s="5338"/>
      <c r="O559" s="5338"/>
      <c r="P559" s="5338"/>
      <c r="Q559" s="5346"/>
      <c r="R559" s="796"/>
      <c r="S559" s="736"/>
      <c r="T559" s="736"/>
      <c r="U559" s="737"/>
      <c r="V559" s="738"/>
      <c r="W559" s="738"/>
      <c r="X559" s="739"/>
      <c r="Y559" s="739"/>
      <c r="Z559" s="739"/>
      <c r="AA559" s="740"/>
      <c r="AB559" s="165"/>
      <c r="AC559" s="166"/>
      <c r="AD559" s="166"/>
      <c r="AE559" s="5417"/>
    </row>
    <row r="560" spans="1:31" ht="37.5" customHeight="1">
      <c r="A560" s="5367"/>
      <c r="B560" s="5333" t="s">
        <v>235</v>
      </c>
      <c r="C560" s="5336" t="s">
        <v>236</v>
      </c>
      <c r="D560" s="5336" t="s">
        <v>237</v>
      </c>
      <c r="E560" s="5336" t="s">
        <v>289</v>
      </c>
      <c r="F560" s="5341" t="s">
        <v>239</v>
      </c>
      <c r="G560" s="5336" t="s">
        <v>240</v>
      </c>
      <c r="H560" s="5336" t="s">
        <v>257</v>
      </c>
      <c r="I560" s="5336" t="s">
        <v>2327</v>
      </c>
      <c r="J560" s="5347" t="s">
        <v>2282</v>
      </c>
      <c r="K560" s="5340" t="s">
        <v>2169</v>
      </c>
      <c r="L560" s="5343">
        <v>0</v>
      </c>
      <c r="M560" s="5343">
        <v>1</v>
      </c>
      <c r="N560" s="5343">
        <v>1</v>
      </c>
      <c r="O560" s="5340" t="s">
        <v>2328</v>
      </c>
      <c r="P560" s="5340" t="s">
        <v>2329</v>
      </c>
      <c r="Q560" s="5370" t="s">
        <v>2322</v>
      </c>
      <c r="R560" s="792"/>
      <c r="S560" s="734"/>
      <c r="T560" s="734"/>
      <c r="U560" s="741"/>
      <c r="V560" s="731"/>
      <c r="W560" s="731"/>
      <c r="X560" s="732"/>
      <c r="Y560" s="732"/>
      <c r="Z560" s="732"/>
      <c r="AA560" s="742"/>
      <c r="AB560" s="414"/>
      <c r="AC560" s="174"/>
      <c r="AD560" s="174"/>
      <c r="AE560" s="5415" t="s">
        <v>2173</v>
      </c>
    </row>
    <row r="561" spans="1:31" ht="37.5" customHeight="1">
      <c r="A561" s="5367"/>
      <c r="B561" s="5334"/>
      <c r="C561" s="5337"/>
      <c r="D561" s="5337"/>
      <c r="E561" s="5337"/>
      <c r="F561" s="5337"/>
      <c r="G561" s="5337"/>
      <c r="H561" s="5337"/>
      <c r="I561" s="5337"/>
      <c r="J561" s="5337"/>
      <c r="K561" s="5337"/>
      <c r="L561" s="5337"/>
      <c r="M561" s="5337"/>
      <c r="N561" s="5337"/>
      <c r="O561" s="5337"/>
      <c r="P561" s="5337"/>
      <c r="Q561" s="5345"/>
      <c r="R561" s="790"/>
      <c r="S561" s="724"/>
      <c r="T561" s="724"/>
      <c r="U561" s="798"/>
      <c r="V561" s="725"/>
      <c r="W561" s="725"/>
      <c r="X561" s="726"/>
      <c r="Y561" s="726"/>
      <c r="Z561" s="726"/>
      <c r="AA561" s="727"/>
      <c r="AB561" s="170"/>
      <c r="AC561" s="282"/>
      <c r="AD561" s="282"/>
      <c r="AE561" s="5416"/>
    </row>
    <row r="562" spans="1:31" ht="37.5" customHeight="1">
      <c r="A562" s="5367"/>
      <c r="B562" s="5334"/>
      <c r="C562" s="5337"/>
      <c r="D562" s="5337"/>
      <c r="E562" s="5337"/>
      <c r="F562" s="5337"/>
      <c r="G562" s="5337"/>
      <c r="H562" s="5337"/>
      <c r="I562" s="5337"/>
      <c r="J562" s="5337"/>
      <c r="K562" s="5337"/>
      <c r="L562" s="5337"/>
      <c r="M562" s="5337"/>
      <c r="N562" s="5337"/>
      <c r="O562" s="5337"/>
      <c r="P562" s="5337"/>
      <c r="Q562" s="5345"/>
      <c r="R562" s="791"/>
      <c r="S562" s="729"/>
      <c r="T562" s="729"/>
      <c r="U562" s="730"/>
      <c r="V562" s="731"/>
      <c r="W562" s="731"/>
      <c r="X562" s="732"/>
      <c r="Y562" s="726"/>
      <c r="Z562" s="726"/>
      <c r="AA562" s="727"/>
      <c r="AB562" s="170"/>
      <c r="AC562" s="282"/>
      <c r="AD562" s="282"/>
      <c r="AE562" s="5416"/>
    </row>
    <row r="563" spans="1:31" ht="37.5" customHeight="1">
      <c r="A563" s="5367"/>
      <c r="B563" s="5334"/>
      <c r="C563" s="5337"/>
      <c r="D563" s="5337"/>
      <c r="E563" s="5337"/>
      <c r="F563" s="5337"/>
      <c r="G563" s="5337"/>
      <c r="H563" s="5337"/>
      <c r="I563" s="5337"/>
      <c r="J563" s="5337"/>
      <c r="K563" s="5337"/>
      <c r="L563" s="5337"/>
      <c r="M563" s="5337"/>
      <c r="N563" s="5337"/>
      <c r="O563" s="5337"/>
      <c r="P563" s="5337"/>
      <c r="Q563" s="5345"/>
      <c r="R563" s="792"/>
      <c r="S563" s="734"/>
      <c r="T563" s="734"/>
      <c r="U563" s="730"/>
      <c r="V563" s="731"/>
      <c r="W563" s="731"/>
      <c r="X563" s="732"/>
      <c r="Y563" s="726"/>
      <c r="Z563" s="726"/>
      <c r="AA563" s="727"/>
      <c r="AB563" s="170"/>
      <c r="AC563" s="282"/>
      <c r="AD563" s="282"/>
      <c r="AE563" s="5416"/>
    </row>
    <row r="564" spans="1:31" ht="37.5" customHeight="1">
      <c r="A564" s="5367"/>
      <c r="B564" s="5335"/>
      <c r="C564" s="5338"/>
      <c r="D564" s="5338"/>
      <c r="E564" s="5338"/>
      <c r="F564" s="5338"/>
      <c r="G564" s="5338"/>
      <c r="H564" s="5338"/>
      <c r="I564" s="5338"/>
      <c r="J564" s="5338"/>
      <c r="K564" s="5338"/>
      <c r="L564" s="5338"/>
      <c r="M564" s="5338"/>
      <c r="N564" s="5338"/>
      <c r="O564" s="5338"/>
      <c r="P564" s="5338"/>
      <c r="Q564" s="5346"/>
      <c r="R564" s="796"/>
      <c r="S564" s="736"/>
      <c r="T564" s="736"/>
      <c r="U564" s="737"/>
      <c r="V564" s="738"/>
      <c r="W564" s="738"/>
      <c r="X564" s="739"/>
      <c r="Y564" s="739"/>
      <c r="Z564" s="739"/>
      <c r="AA564" s="740"/>
      <c r="AB564" s="165"/>
      <c r="AC564" s="166"/>
      <c r="AD564" s="166"/>
      <c r="AE564" s="5417"/>
    </row>
    <row r="565" spans="1:31" ht="37.5" customHeight="1">
      <c r="A565" s="5367"/>
      <c r="B565" s="5339" t="s">
        <v>272</v>
      </c>
      <c r="C565" s="5340" t="s">
        <v>679</v>
      </c>
      <c r="D565" s="5336" t="s">
        <v>680</v>
      </c>
      <c r="E565" s="5336" t="s">
        <v>2174</v>
      </c>
      <c r="F565" s="5341" t="s">
        <v>682</v>
      </c>
      <c r="G565" s="5336" t="s">
        <v>262</v>
      </c>
      <c r="H565" s="5336" t="s">
        <v>257</v>
      </c>
      <c r="I565" s="5372" t="s">
        <v>2330</v>
      </c>
      <c r="J565" s="5347" t="s">
        <v>1836</v>
      </c>
      <c r="K565" s="5340" t="s">
        <v>2331</v>
      </c>
      <c r="L565" s="5343">
        <v>0</v>
      </c>
      <c r="M565" s="5343">
        <v>1</v>
      </c>
      <c r="N565" s="5343">
        <v>1</v>
      </c>
      <c r="O565" s="5340" t="s">
        <v>2177</v>
      </c>
      <c r="P565" s="5340" t="s">
        <v>2332</v>
      </c>
      <c r="Q565" s="5370" t="s">
        <v>2322</v>
      </c>
      <c r="R565" s="902"/>
      <c r="S565" s="900"/>
      <c r="T565" s="900"/>
      <c r="U565" s="921"/>
      <c r="V565" s="898"/>
      <c r="W565" s="898"/>
      <c r="X565" s="899"/>
      <c r="Y565" s="899"/>
      <c r="Z565" s="899"/>
      <c r="AA565" s="901"/>
      <c r="AB565" s="355"/>
      <c r="AC565" s="174"/>
      <c r="AD565" s="174"/>
      <c r="AE565" s="5415" t="s">
        <v>2166</v>
      </c>
    </row>
    <row r="566" spans="1:31" ht="37.5" customHeight="1">
      <c r="A566" s="5367"/>
      <c r="B566" s="5334"/>
      <c r="C566" s="5337"/>
      <c r="D566" s="5337"/>
      <c r="E566" s="5337"/>
      <c r="F566" s="5337"/>
      <c r="G566" s="5337"/>
      <c r="H566" s="5337"/>
      <c r="I566" s="5337"/>
      <c r="J566" s="5337"/>
      <c r="K566" s="5337"/>
      <c r="L566" s="5337"/>
      <c r="M566" s="5337"/>
      <c r="N566" s="5337"/>
      <c r="O566" s="5337"/>
      <c r="P566" s="5337"/>
      <c r="Q566" s="5345"/>
      <c r="R566" s="896"/>
      <c r="S566" s="135"/>
      <c r="T566" s="135"/>
      <c r="U566" s="135"/>
      <c r="V566" s="898"/>
      <c r="W566" s="898"/>
      <c r="X566" s="899"/>
      <c r="Y566" s="899"/>
      <c r="Z566" s="899"/>
      <c r="AA566" s="67"/>
      <c r="AB566" s="357"/>
      <c r="AC566" s="282"/>
      <c r="AD566" s="282"/>
      <c r="AE566" s="5416"/>
    </row>
    <row r="567" spans="1:31" ht="37.5" customHeight="1">
      <c r="A567" s="5367"/>
      <c r="B567" s="5334"/>
      <c r="C567" s="5337"/>
      <c r="D567" s="5337"/>
      <c r="E567" s="5337"/>
      <c r="F567" s="5337"/>
      <c r="G567" s="5337"/>
      <c r="H567" s="5337"/>
      <c r="I567" s="5337"/>
      <c r="J567" s="5337"/>
      <c r="K567" s="5337"/>
      <c r="L567" s="5337"/>
      <c r="M567" s="5337"/>
      <c r="N567" s="5337"/>
      <c r="O567" s="5337"/>
      <c r="P567" s="5337"/>
      <c r="Q567" s="5345"/>
      <c r="R567" s="898"/>
      <c r="S567" s="900"/>
      <c r="T567" s="897"/>
      <c r="U567" s="921"/>
      <c r="V567" s="898"/>
      <c r="W567" s="898"/>
      <c r="X567" s="899"/>
      <c r="Y567" s="899"/>
      <c r="Z567" s="899"/>
      <c r="AA567" s="901"/>
      <c r="AB567" s="357"/>
      <c r="AC567" s="282"/>
      <c r="AD567" s="282"/>
      <c r="AE567" s="5416"/>
    </row>
    <row r="568" spans="1:31" ht="37.5" customHeight="1">
      <c r="A568" s="5367"/>
      <c r="B568" s="5334"/>
      <c r="C568" s="5337"/>
      <c r="D568" s="5337"/>
      <c r="E568" s="5337"/>
      <c r="F568" s="5337"/>
      <c r="G568" s="5337"/>
      <c r="H568" s="5337"/>
      <c r="I568" s="5337"/>
      <c r="J568" s="5337"/>
      <c r="K568" s="5337"/>
      <c r="L568" s="5337"/>
      <c r="M568" s="5337"/>
      <c r="N568" s="5337"/>
      <c r="O568" s="5337"/>
      <c r="P568" s="5337"/>
      <c r="Q568" s="5345"/>
      <c r="R568" s="902"/>
      <c r="S568" s="900"/>
      <c r="T568" s="900"/>
      <c r="U568" s="921"/>
      <c r="V568" s="898"/>
      <c r="W568" s="898"/>
      <c r="X568" s="899"/>
      <c r="Y568" s="899"/>
      <c r="Z568" s="899"/>
      <c r="AA568" s="901"/>
      <c r="AB568" s="357"/>
      <c r="AC568" s="282"/>
      <c r="AD568" s="282"/>
      <c r="AE568" s="5416"/>
    </row>
    <row r="569" spans="1:31" ht="37.5" customHeight="1">
      <c r="A569" s="5367"/>
      <c r="B569" s="5334"/>
      <c r="C569" s="5337"/>
      <c r="D569" s="5337"/>
      <c r="E569" s="5337"/>
      <c r="F569" s="5337"/>
      <c r="G569" s="5337"/>
      <c r="H569" s="5337"/>
      <c r="I569" s="5337"/>
      <c r="J569" s="5337"/>
      <c r="K569" s="5337"/>
      <c r="L569" s="5337"/>
      <c r="M569" s="5337"/>
      <c r="N569" s="5337"/>
      <c r="O569" s="5337"/>
      <c r="P569" s="5337"/>
      <c r="Q569" s="5345"/>
      <c r="R569" s="896"/>
      <c r="S569" s="135"/>
      <c r="T569" s="135"/>
      <c r="U569" s="135"/>
      <c r="V569" s="898"/>
      <c r="W569" s="898"/>
      <c r="X569" s="899"/>
      <c r="Y569" s="899"/>
      <c r="Z569" s="899"/>
      <c r="AA569" s="901"/>
      <c r="AB569" s="357"/>
      <c r="AC569" s="282"/>
      <c r="AD569" s="282"/>
      <c r="AE569" s="5416"/>
    </row>
    <row r="570" spans="1:31" ht="37.5" customHeight="1">
      <c r="A570" s="5367"/>
      <c r="B570" s="5334"/>
      <c r="C570" s="5337"/>
      <c r="D570" s="5337"/>
      <c r="E570" s="5337"/>
      <c r="F570" s="5337"/>
      <c r="G570" s="5337"/>
      <c r="H570" s="5337"/>
      <c r="I570" s="5337"/>
      <c r="J570" s="5337"/>
      <c r="K570" s="5337"/>
      <c r="L570" s="5337"/>
      <c r="M570" s="5337"/>
      <c r="N570" s="5337"/>
      <c r="O570" s="5337"/>
      <c r="P570" s="5337"/>
      <c r="Q570" s="5345"/>
      <c r="R570" s="898"/>
      <c r="S570" s="900"/>
      <c r="T570" s="897"/>
      <c r="U570" s="921"/>
      <c r="V570" s="898"/>
      <c r="W570" s="898"/>
      <c r="X570" s="899"/>
      <c r="Y570" s="899"/>
      <c r="Z570" s="899"/>
      <c r="AA570" s="901"/>
      <c r="AB570" s="357"/>
      <c r="AC570" s="282"/>
      <c r="AD570" s="282"/>
      <c r="AE570" s="5416"/>
    </row>
    <row r="571" spans="1:31" ht="37.5" customHeight="1">
      <c r="A571" s="5367"/>
      <c r="B571" s="5334"/>
      <c r="C571" s="5337"/>
      <c r="D571" s="5337"/>
      <c r="E571" s="5337"/>
      <c r="F571" s="5337"/>
      <c r="G571" s="5337"/>
      <c r="H571" s="5337"/>
      <c r="I571" s="5337"/>
      <c r="J571" s="5337"/>
      <c r="K571" s="5337"/>
      <c r="L571" s="5337"/>
      <c r="M571" s="5337"/>
      <c r="N571" s="5337"/>
      <c r="O571" s="5337"/>
      <c r="P571" s="5337"/>
      <c r="Q571" s="5345"/>
      <c r="R571" s="902"/>
      <c r="S571" s="900"/>
      <c r="T571" s="900"/>
      <c r="U571" s="921"/>
      <c r="V571" s="898"/>
      <c r="W571" s="898"/>
      <c r="X571" s="899"/>
      <c r="Y571" s="899"/>
      <c r="Z571" s="899"/>
      <c r="AA571" s="901"/>
      <c r="AB571" s="357"/>
      <c r="AC571" s="282"/>
      <c r="AD571" s="282"/>
      <c r="AE571" s="5416"/>
    </row>
    <row r="572" spans="1:31" ht="37.5" customHeight="1">
      <c r="A572" s="5367"/>
      <c r="B572" s="5334"/>
      <c r="C572" s="5337"/>
      <c r="D572" s="5337"/>
      <c r="E572" s="5337"/>
      <c r="F572" s="5337"/>
      <c r="G572" s="5337"/>
      <c r="H572" s="5337"/>
      <c r="I572" s="5337"/>
      <c r="J572" s="5337"/>
      <c r="K572" s="5337"/>
      <c r="L572" s="5337"/>
      <c r="M572" s="5337"/>
      <c r="N572" s="5337"/>
      <c r="O572" s="5337"/>
      <c r="P572" s="5337"/>
      <c r="Q572" s="5345"/>
      <c r="R572" s="896"/>
      <c r="S572" s="135"/>
      <c r="T572" s="135"/>
      <c r="U572" s="135"/>
      <c r="V572" s="898"/>
      <c r="W572" s="898"/>
      <c r="X572" s="899"/>
      <c r="Y572" s="899"/>
      <c r="Z572" s="899"/>
      <c r="AA572" s="901"/>
      <c r="AB572" s="357"/>
      <c r="AC572" s="282"/>
      <c r="AD572" s="282"/>
      <c r="AE572" s="5416"/>
    </row>
    <row r="573" spans="1:31" ht="37.5" customHeight="1">
      <c r="A573" s="5367"/>
      <c r="B573" s="5334"/>
      <c r="C573" s="5337"/>
      <c r="D573" s="5337"/>
      <c r="E573" s="5337"/>
      <c r="F573" s="5337"/>
      <c r="G573" s="5337"/>
      <c r="H573" s="5337"/>
      <c r="I573" s="5337"/>
      <c r="J573" s="5337"/>
      <c r="K573" s="5337"/>
      <c r="L573" s="5337"/>
      <c r="M573" s="5337"/>
      <c r="N573" s="5337"/>
      <c r="O573" s="5337"/>
      <c r="P573" s="5337"/>
      <c r="Q573" s="5345"/>
      <c r="R573" s="902"/>
      <c r="S573" s="900"/>
      <c r="T573" s="904"/>
      <c r="U573" s="921"/>
      <c r="V573" s="898"/>
      <c r="W573" s="898"/>
      <c r="X573" s="899"/>
      <c r="Y573" s="899"/>
      <c r="Z573" s="899"/>
      <c r="AA573" s="901"/>
      <c r="AB573" s="357"/>
      <c r="AC573" s="282"/>
      <c r="AD573" s="282"/>
      <c r="AE573" s="5416"/>
    </row>
    <row r="574" spans="1:31" ht="37.5" customHeight="1">
      <c r="A574" s="5367"/>
      <c r="B574" s="5334"/>
      <c r="C574" s="5337"/>
      <c r="D574" s="5337"/>
      <c r="E574" s="5337"/>
      <c r="F574" s="5337"/>
      <c r="G574" s="5337"/>
      <c r="H574" s="5337"/>
      <c r="I574" s="5337"/>
      <c r="J574" s="5337"/>
      <c r="K574" s="5337"/>
      <c r="L574" s="5337"/>
      <c r="M574" s="5337"/>
      <c r="N574" s="5337"/>
      <c r="O574" s="5337"/>
      <c r="P574" s="5337"/>
      <c r="Q574" s="5345"/>
      <c r="R574" s="896"/>
      <c r="S574" s="897"/>
      <c r="T574" s="897"/>
      <c r="U574" s="903"/>
      <c r="V574" s="898"/>
      <c r="W574" s="898"/>
      <c r="X574" s="899"/>
      <c r="Y574" s="899"/>
      <c r="Z574" s="899"/>
      <c r="AA574" s="901"/>
      <c r="AB574" s="357"/>
      <c r="AC574" s="282"/>
      <c r="AD574" s="282"/>
      <c r="AE574" s="5416"/>
    </row>
    <row r="575" spans="1:31" ht="37.5" customHeight="1">
      <c r="A575" s="5367"/>
      <c r="B575" s="5334"/>
      <c r="C575" s="5337"/>
      <c r="D575" s="5337"/>
      <c r="E575" s="5337"/>
      <c r="F575" s="5337"/>
      <c r="G575" s="5337"/>
      <c r="H575" s="5337"/>
      <c r="I575" s="5337"/>
      <c r="J575" s="5337"/>
      <c r="K575" s="5337"/>
      <c r="L575" s="5337"/>
      <c r="M575" s="5337"/>
      <c r="N575" s="5337"/>
      <c r="O575" s="5337"/>
      <c r="P575" s="5337"/>
      <c r="Q575" s="5345"/>
      <c r="R575" s="902"/>
      <c r="S575" s="900"/>
      <c r="T575" s="897"/>
      <c r="U575" s="921"/>
      <c r="V575" s="898"/>
      <c r="W575" s="898"/>
      <c r="X575" s="899"/>
      <c r="Y575" s="899"/>
      <c r="Z575" s="899"/>
      <c r="AA575" s="901"/>
      <c r="AB575" s="365"/>
      <c r="AC575" s="161"/>
      <c r="AD575" s="161"/>
      <c r="AE575" s="5416"/>
    </row>
    <row r="576" spans="1:31" ht="37.5" customHeight="1">
      <c r="A576" s="5367"/>
      <c r="B576" s="5334"/>
      <c r="C576" s="5337"/>
      <c r="D576" s="5337"/>
      <c r="E576" s="5337"/>
      <c r="F576" s="5337"/>
      <c r="G576" s="5337"/>
      <c r="H576" s="5337"/>
      <c r="I576" s="5337"/>
      <c r="J576" s="5337"/>
      <c r="K576" s="5337"/>
      <c r="L576" s="5337"/>
      <c r="M576" s="5337"/>
      <c r="N576" s="5337"/>
      <c r="O576" s="5337"/>
      <c r="P576" s="5337"/>
      <c r="Q576" s="5345"/>
      <c r="R576" s="902"/>
      <c r="S576" s="900"/>
      <c r="T576" s="900"/>
      <c r="U576" s="921"/>
      <c r="V576" s="898"/>
      <c r="W576" s="898"/>
      <c r="X576" s="899"/>
      <c r="Y576" s="899"/>
      <c r="Z576" s="899"/>
      <c r="AA576" s="901"/>
      <c r="AB576" s="365"/>
      <c r="AC576" s="161"/>
      <c r="AD576" s="161"/>
      <c r="AE576" s="5416"/>
    </row>
    <row r="577" spans="1:31" ht="37.5" customHeight="1">
      <c r="A577" s="5367"/>
      <c r="B577" s="5334"/>
      <c r="C577" s="5337"/>
      <c r="D577" s="5337"/>
      <c r="E577" s="5337"/>
      <c r="F577" s="5337"/>
      <c r="G577" s="5337"/>
      <c r="H577" s="5337"/>
      <c r="I577" s="5337"/>
      <c r="J577" s="5337"/>
      <c r="K577" s="5337"/>
      <c r="L577" s="5337"/>
      <c r="M577" s="5337"/>
      <c r="N577" s="5337"/>
      <c r="O577" s="5337"/>
      <c r="P577" s="5337"/>
      <c r="Q577" s="5345"/>
      <c r="R577" s="896"/>
      <c r="S577" s="897"/>
      <c r="T577" s="897"/>
      <c r="U577" s="903"/>
      <c r="V577" s="898"/>
      <c r="W577" s="898"/>
      <c r="X577" s="899"/>
      <c r="Y577" s="899"/>
      <c r="Z577" s="899"/>
      <c r="AA577" s="901"/>
      <c r="AB577" s="365"/>
      <c r="AC577" s="161"/>
      <c r="AD577" s="161"/>
      <c r="AE577" s="5416"/>
    </row>
    <row r="578" spans="1:31" ht="37.5" customHeight="1">
      <c r="A578" s="5367"/>
      <c r="B578" s="5334"/>
      <c r="C578" s="5337"/>
      <c r="D578" s="5337"/>
      <c r="E578" s="5337"/>
      <c r="F578" s="5337"/>
      <c r="G578" s="5337"/>
      <c r="H578" s="5337"/>
      <c r="I578" s="5337"/>
      <c r="J578" s="5337"/>
      <c r="K578" s="5337"/>
      <c r="L578" s="5337"/>
      <c r="M578" s="5337"/>
      <c r="N578" s="5337"/>
      <c r="O578" s="5337"/>
      <c r="P578" s="5337"/>
      <c r="Q578" s="5345"/>
      <c r="R578" s="891"/>
      <c r="S578" s="732"/>
      <c r="T578" s="732"/>
      <c r="U578" s="732"/>
      <c r="V578" s="891"/>
      <c r="W578" s="891"/>
      <c r="X578" s="892"/>
      <c r="Y578" s="892"/>
      <c r="Z578" s="892"/>
      <c r="AA578" s="893"/>
      <c r="AB578" s="160"/>
      <c r="AC578" s="161"/>
      <c r="AD578" s="161"/>
      <c r="AE578" s="5416"/>
    </row>
    <row r="579" spans="1:31" ht="37.5" customHeight="1">
      <c r="A579" s="5367"/>
      <c r="B579" s="5334"/>
      <c r="C579" s="5337"/>
      <c r="D579" s="5337"/>
      <c r="E579" s="5337"/>
      <c r="F579" s="5337"/>
      <c r="G579" s="5337"/>
      <c r="H579" s="5337"/>
      <c r="I579" s="5337"/>
      <c r="J579" s="5337"/>
      <c r="K579" s="5337"/>
      <c r="L579" s="5337"/>
      <c r="M579" s="5337"/>
      <c r="N579" s="5337"/>
      <c r="O579" s="5337"/>
      <c r="P579" s="5337"/>
      <c r="Q579" s="5345"/>
      <c r="R579" s="917"/>
      <c r="S579" s="732"/>
      <c r="T579" s="732"/>
      <c r="U579" s="732"/>
      <c r="V579" s="732"/>
      <c r="W579" s="732"/>
      <c r="X579" s="732"/>
      <c r="Y579" s="726"/>
      <c r="Z579" s="918"/>
      <c r="AA579" s="757"/>
      <c r="AB579" s="160"/>
      <c r="AC579" s="161"/>
      <c r="AD579" s="161"/>
      <c r="AE579" s="5416"/>
    </row>
    <row r="580" spans="1:31" ht="37.5" customHeight="1">
      <c r="A580" s="5367"/>
      <c r="B580" s="5334"/>
      <c r="C580" s="5337"/>
      <c r="D580" s="5337"/>
      <c r="E580" s="5337"/>
      <c r="F580" s="5337"/>
      <c r="G580" s="5337"/>
      <c r="H580" s="5337"/>
      <c r="I580" s="5337"/>
      <c r="J580" s="5337"/>
      <c r="K580" s="5337"/>
      <c r="L580" s="5337"/>
      <c r="M580" s="5337"/>
      <c r="N580" s="5337"/>
      <c r="O580" s="5337"/>
      <c r="P580" s="5337"/>
      <c r="Q580" s="5345"/>
      <c r="R580" s="917"/>
      <c r="S580" s="732"/>
      <c r="T580" s="732"/>
      <c r="U580" s="732"/>
      <c r="V580" s="732"/>
      <c r="W580" s="732"/>
      <c r="X580" s="732"/>
      <c r="Y580" s="726"/>
      <c r="Z580" s="918"/>
      <c r="AA580" s="757"/>
      <c r="AB580" s="160"/>
      <c r="AC580" s="161"/>
      <c r="AD580" s="161"/>
      <c r="AE580" s="5416"/>
    </row>
    <row r="581" spans="1:31" ht="37.5" customHeight="1">
      <c r="A581" s="5367"/>
      <c r="B581" s="5334"/>
      <c r="C581" s="5337"/>
      <c r="D581" s="5337"/>
      <c r="E581" s="5337"/>
      <c r="F581" s="5337"/>
      <c r="G581" s="5337"/>
      <c r="H581" s="5337"/>
      <c r="I581" s="5337"/>
      <c r="J581" s="5337"/>
      <c r="K581" s="5337"/>
      <c r="L581" s="5337"/>
      <c r="M581" s="5337"/>
      <c r="N581" s="5337"/>
      <c r="O581" s="5337"/>
      <c r="P581" s="5337"/>
      <c r="Q581" s="5345"/>
      <c r="R581" s="917"/>
      <c r="S581" s="732"/>
      <c r="T581" s="732"/>
      <c r="U581" s="732"/>
      <c r="V581" s="732"/>
      <c r="W581" s="732"/>
      <c r="X581" s="732"/>
      <c r="Y581" s="726"/>
      <c r="Z581" s="919"/>
      <c r="AA581" s="757"/>
      <c r="AB581" s="160"/>
      <c r="AC581" s="161"/>
      <c r="AD581" s="161"/>
      <c r="AE581" s="5416"/>
    </row>
    <row r="582" spans="1:31" ht="37.5" customHeight="1">
      <c r="A582" s="5367"/>
      <c r="B582" s="5334"/>
      <c r="C582" s="5337"/>
      <c r="D582" s="5337"/>
      <c r="E582" s="5337"/>
      <c r="F582" s="5337"/>
      <c r="G582" s="5337"/>
      <c r="H582" s="5337"/>
      <c r="I582" s="5337"/>
      <c r="J582" s="5337"/>
      <c r="K582" s="5337"/>
      <c r="L582" s="5337"/>
      <c r="M582" s="5337"/>
      <c r="N582" s="5337"/>
      <c r="O582" s="5337"/>
      <c r="P582" s="5337"/>
      <c r="Q582" s="5345"/>
      <c r="R582" s="917"/>
      <c r="S582" s="732"/>
      <c r="T582" s="732"/>
      <c r="U582" s="732"/>
      <c r="V582" s="732"/>
      <c r="W582" s="732"/>
      <c r="X582" s="732"/>
      <c r="Y582" s="726"/>
      <c r="Z582" s="919"/>
      <c r="AA582" s="757"/>
      <c r="AB582" s="160"/>
      <c r="AC582" s="161"/>
      <c r="AD582" s="161"/>
      <c r="AE582" s="5416"/>
    </row>
    <row r="583" spans="1:31" ht="37.5" customHeight="1">
      <c r="A583" s="5367"/>
      <c r="B583" s="5334"/>
      <c r="C583" s="5337"/>
      <c r="D583" s="5337"/>
      <c r="E583" s="5337"/>
      <c r="F583" s="5337"/>
      <c r="G583" s="5337"/>
      <c r="H583" s="5337"/>
      <c r="I583" s="5337"/>
      <c r="J583" s="5337"/>
      <c r="K583" s="5337"/>
      <c r="L583" s="5337"/>
      <c r="M583" s="5337"/>
      <c r="N583" s="5337"/>
      <c r="O583" s="5337"/>
      <c r="P583" s="5337"/>
      <c r="Q583" s="5345"/>
      <c r="R583" s="917"/>
      <c r="S583" s="732"/>
      <c r="T583" s="732"/>
      <c r="U583" s="732"/>
      <c r="V583" s="732"/>
      <c r="W583" s="732"/>
      <c r="X583" s="732"/>
      <c r="Y583" s="726"/>
      <c r="Z583" s="919"/>
      <c r="AA583" s="757"/>
      <c r="AB583" s="160"/>
      <c r="AC583" s="161"/>
      <c r="AD583" s="161"/>
      <c r="AE583" s="5416"/>
    </row>
    <row r="584" spans="1:31" ht="37.5" customHeight="1">
      <c r="A584" s="5367"/>
      <c r="B584" s="5334"/>
      <c r="C584" s="5337"/>
      <c r="D584" s="5337"/>
      <c r="E584" s="5337"/>
      <c r="F584" s="5337"/>
      <c r="G584" s="5337"/>
      <c r="H584" s="5337"/>
      <c r="I584" s="5337"/>
      <c r="J584" s="5337"/>
      <c r="K584" s="5337"/>
      <c r="L584" s="5337"/>
      <c r="M584" s="5337"/>
      <c r="N584" s="5337"/>
      <c r="O584" s="5337"/>
      <c r="P584" s="5337"/>
      <c r="Q584" s="5345"/>
      <c r="R584" s="917"/>
      <c r="S584" s="732"/>
      <c r="T584" s="732"/>
      <c r="U584" s="732"/>
      <c r="V584" s="732"/>
      <c r="W584" s="732"/>
      <c r="X584" s="732"/>
      <c r="Y584" s="726"/>
      <c r="Z584" s="919"/>
      <c r="AA584" s="757"/>
      <c r="AB584" s="160"/>
      <c r="AC584" s="161"/>
      <c r="AD584" s="161"/>
      <c r="AE584" s="5416"/>
    </row>
    <row r="585" spans="1:31" ht="37.5" customHeight="1">
      <c r="A585" s="5367"/>
      <c r="B585" s="5335"/>
      <c r="C585" s="5338"/>
      <c r="D585" s="5338"/>
      <c r="E585" s="5338"/>
      <c r="F585" s="5338"/>
      <c r="G585" s="5338"/>
      <c r="H585" s="5338"/>
      <c r="I585" s="5338"/>
      <c r="J585" s="5338"/>
      <c r="K585" s="5338"/>
      <c r="L585" s="5338"/>
      <c r="M585" s="5338"/>
      <c r="N585" s="5338"/>
      <c r="O585" s="5338"/>
      <c r="P585" s="5338"/>
      <c r="Q585" s="5346"/>
      <c r="R585" s="917"/>
      <c r="S585" s="732"/>
      <c r="T585" s="732"/>
      <c r="U585" s="732"/>
      <c r="V585" s="732"/>
      <c r="W585" s="732"/>
      <c r="X585" s="767"/>
      <c r="Y585" s="740"/>
      <c r="Z585" s="740"/>
      <c r="AA585" s="740"/>
      <c r="AB585" s="920"/>
      <c r="AC585" s="166"/>
      <c r="AD585" s="166"/>
      <c r="AE585" s="5417"/>
    </row>
    <row r="586" spans="1:31" ht="37.5" customHeight="1">
      <c r="A586" s="5367"/>
      <c r="B586" s="5333" t="s">
        <v>235</v>
      </c>
      <c r="C586" s="5336" t="s">
        <v>236</v>
      </c>
      <c r="D586" s="5336" t="s">
        <v>237</v>
      </c>
      <c r="E586" s="5336" t="s">
        <v>289</v>
      </c>
      <c r="F586" s="5341" t="s">
        <v>239</v>
      </c>
      <c r="G586" s="5336" t="s">
        <v>240</v>
      </c>
      <c r="H586" s="5336" t="s">
        <v>257</v>
      </c>
      <c r="I586" s="5391" t="s">
        <v>2333</v>
      </c>
      <c r="J586" s="5347" t="s">
        <v>1841</v>
      </c>
      <c r="K586" s="5340" t="s">
        <v>2334</v>
      </c>
      <c r="L586" s="5343">
        <v>0</v>
      </c>
      <c r="M586" s="5343">
        <v>4</v>
      </c>
      <c r="N586" s="5343">
        <v>4</v>
      </c>
      <c r="O586" s="5340" t="s">
        <v>2183</v>
      </c>
      <c r="P586" s="5340" t="s">
        <v>2184</v>
      </c>
      <c r="Q586" s="5370" t="s">
        <v>2322</v>
      </c>
      <c r="R586" s="902"/>
      <c r="S586" s="897"/>
      <c r="T586" s="897"/>
      <c r="U586" s="903"/>
      <c r="V586" s="898"/>
      <c r="W586" s="898"/>
      <c r="X586" s="899"/>
      <c r="Y586" s="899"/>
      <c r="Z586" s="899"/>
      <c r="AA586" s="901"/>
      <c r="AB586" s="414"/>
      <c r="AC586" s="174"/>
      <c r="AD586" s="174"/>
      <c r="AE586" s="5415" t="s">
        <v>2166</v>
      </c>
    </row>
    <row r="587" spans="1:31" ht="37.5" customHeight="1">
      <c r="A587" s="5367"/>
      <c r="B587" s="5334"/>
      <c r="C587" s="5337"/>
      <c r="D587" s="5337"/>
      <c r="E587" s="5337"/>
      <c r="F587" s="5337"/>
      <c r="G587" s="5337"/>
      <c r="H587" s="5337"/>
      <c r="I587" s="5337"/>
      <c r="J587" s="5337"/>
      <c r="K587" s="5337"/>
      <c r="L587" s="5337"/>
      <c r="M587" s="5337"/>
      <c r="N587" s="5337"/>
      <c r="O587" s="5337"/>
      <c r="P587" s="5337"/>
      <c r="Q587" s="5345"/>
      <c r="R587" s="902"/>
      <c r="S587" s="235"/>
      <c r="T587" s="235"/>
      <c r="U587" s="235"/>
      <c r="V587" s="898"/>
      <c r="W587" s="898"/>
      <c r="X587" s="899"/>
      <c r="Y587" s="899"/>
      <c r="Z587" s="899"/>
      <c r="AA587" s="901"/>
      <c r="AB587" s="170"/>
      <c r="AC587" s="282"/>
      <c r="AD587" s="282"/>
      <c r="AE587" s="5416"/>
    </row>
    <row r="588" spans="1:31" ht="37.5" customHeight="1">
      <c r="A588" s="5367"/>
      <c r="B588" s="5334"/>
      <c r="C588" s="5337"/>
      <c r="D588" s="5337"/>
      <c r="E588" s="5337"/>
      <c r="F588" s="5337"/>
      <c r="G588" s="5337"/>
      <c r="H588" s="5337"/>
      <c r="I588" s="5337"/>
      <c r="J588" s="5337"/>
      <c r="K588" s="5337"/>
      <c r="L588" s="5337"/>
      <c r="M588" s="5337"/>
      <c r="N588" s="5337"/>
      <c r="O588" s="5337"/>
      <c r="P588" s="5337"/>
      <c r="Q588" s="5345"/>
      <c r="R588" s="902"/>
      <c r="S588" s="897"/>
      <c r="T588" s="897"/>
      <c r="U588" s="903"/>
      <c r="V588" s="898"/>
      <c r="W588" s="898"/>
      <c r="X588" s="899"/>
      <c r="Y588" s="899"/>
      <c r="Z588" s="899"/>
      <c r="AA588" s="901"/>
      <c r="AB588" s="170"/>
      <c r="AC588" s="282"/>
      <c r="AD588" s="282"/>
      <c r="AE588" s="5416"/>
    </row>
    <row r="589" spans="1:31" ht="37.5" customHeight="1">
      <c r="A589" s="5367"/>
      <c r="B589" s="5334"/>
      <c r="C589" s="5337"/>
      <c r="D589" s="5337"/>
      <c r="E589" s="5337"/>
      <c r="F589" s="5337"/>
      <c r="G589" s="5337"/>
      <c r="H589" s="5337"/>
      <c r="I589" s="5337"/>
      <c r="J589" s="5337"/>
      <c r="K589" s="5337"/>
      <c r="L589" s="5337"/>
      <c r="M589" s="5337"/>
      <c r="N589" s="5337"/>
      <c r="O589" s="5337"/>
      <c r="P589" s="5337"/>
      <c r="Q589" s="5345"/>
      <c r="R589" s="472"/>
      <c r="S589" s="67"/>
      <c r="T589" s="67"/>
      <c r="U589" s="67"/>
      <c r="V589" s="67"/>
      <c r="W589" s="67"/>
      <c r="X589" s="67"/>
      <c r="Y589" s="67"/>
      <c r="Z589" s="67"/>
      <c r="AA589" s="67"/>
      <c r="AB589" s="170"/>
      <c r="AC589" s="282"/>
      <c r="AD589" s="282"/>
      <c r="AE589" s="5416"/>
    </row>
    <row r="590" spans="1:31" ht="37.5" customHeight="1">
      <c r="A590" s="5367"/>
      <c r="B590" s="5335"/>
      <c r="C590" s="5338"/>
      <c r="D590" s="5338"/>
      <c r="E590" s="5338"/>
      <c r="F590" s="5338"/>
      <c r="G590" s="5338"/>
      <c r="H590" s="5338"/>
      <c r="I590" s="5338"/>
      <c r="J590" s="5338"/>
      <c r="K590" s="5338"/>
      <c r="L590" s="5338"/>
      <c r="M590" s="5338"/>
      <c r="N590" s="5338"/>
      <c r="O590" s="5338"/>
      <c r="P590" s="5338"/>
      <c r="Q590" s="5346"/>
      <c r="R590" s="902"/>
      <c r="S590" s="900"/>
      <c r="T590" s="897"/>
      <c r="U590" s="921"/>
      <c r="V590" s="898"/>
      <c r="W590" s="898"/>
      <c r="X590" s="899"/>
      <c r="Y590" s="899"/>
      <c r="Z590" s="899"/>
      <c r="AA590" s="901"/>
      <c r="AB590" s="170"/>
      <c r="AC590" s="282"/>
      <c r="AD590" s="282"/>
      <c r="AE590" s="5416"/>
    </row>
    <row r="591" spans="1:31" ht="37.5" customHeight="1">
      <c r="A591" s="5367"/>
      <c r="B591" s="5339" t="s">
        <v>235</v>
      </c>
      <c r="C591" s="5340" t="s">
        <v>236</v>
      </c>
      <c r="D591" s="5407" t="s">
        <v>244</v>
      </c>
      <c r="E591" s="5407" t="s">
        <v>808</v>
      </c>
      <c r="F591" s="5371" t="s">
        <v>239</v>
      </c>
      <c r="G591" s="5336" t="s">
        <v>240</v>
      </c>
      <c r="H591" s="5336" t="s">
        <v>278</v>
      </c>
      <c r="I591" s="5336" t="s">
        <v>2335</v>
      </c>
      <c r="J591" s="5347" t="s">
        <v>2336</v>
      </c>
      <c r="K591" s="5340" t="s">
        <v>2337</v>
      </c>
      <c r="L591" s="5343">
        <v>0</v>
      </c>
      <c r="M591" s="5343">
        <v>3</v>
      </c>
      <c r="N591" s="5343">
        <v>3</v>
      </c>
      <c r="O591" s="5340" t="s">
        <v>2338</v>
      </c>
      <c r="P591" s="5340" t="s">
        <v>2190</v>
      </c>
      <c r="Q591" s="5370" t="s">
        <v>2322</v>
      </c>
      <c r="R591" s="902"/>
      <c r="S591" s="897"/>
      <c r="T591" s="897"/>
      <c r="U591" s="903"/>
      <c r="V591" s="898"/>
      <c r="W591" s="898"/>
      <c r="X591" s="899"/>
      <c r="Y591" s="899"/>
      <c r="Z591" s="899"/>
      <c r="AA591" s="901"/>
      <c r="AB591" s="170"/>
      <c r="AC591" s="282"/>
      <c r="AD591" s="282"/>
      <c r="AE591" s="5416"/>
    </row>
    <row r="592" spans="1:31" ht="37.5" customHeight="1">
      <c r="A592" s="5367"/>
      <c r="B592" s="5334"/>
      <c r="C592" s="5337"/>
      <c r="D592" s="5337"/>
      <c r="E592" s="5337"/>
      <c r="F592" s="5337"/>
      <c r="G592" s="5337"/>
      <c r="H592" s="5337"/>
      <c r="I592" s="5337"/>
      <c r="J592" s="5337"/>
      <c r="K592" s="5337"/>
      <c r="L592" s="5337"/>
      <c r="M592" s="5337"/>
      <c r="N592" s="5337"/>
      <c r="O592" s="5337"/>
      <c r="P592" s="5337"/>
      <c r="Q592" s="5345"/>
      <c r="R592" s="902"/>
      <c r="S592" s="900"/>
      <c r="T592" s="900"/>
      <c r="U592" s="921"/>
      <c r="V592" s="898"/>
      <c r="W592" s="898"/>
      <c r="X592" s="899"/>
      <c r="Y592" s="899"/>
      <c r="Z592" s="899"/>
      <c r="AA592" s="901"/>
      <c r="AB592" s="170"/>
      <c r="AC592" s="282"/>
      <c r="AD592" s="282"/>
      <c r="AE592" s="5416"/>
    </row>
    <row r="593" spans="1:31" ht="37.5" customHeight="1">
      <c r="A593" s="5367"/>
      <c r="B593" s="5334"/>
      <c r="C593" s="5337"/>
      <c r="D593" s="5337"/>
      <c r="E593" s="5337"/>
      <c r="F593" s="5337"/>
      <c r="G593" s="5337"/>
      <c r="H593" s="5337"/>
      <c r="I593" s="5337"/>
      <c r="J593" s="5337"/>
      <c r="K593" s="5337"/>
      <c r="L593" s="5337"/>
      <c r="M593" s="5337"/>
      <c r="N593" s="5337"/>
      <c r="O593" s="5337"/>
      <c r="P593" s="5337"/>
      <c r="Q593" s="5345"/>
      <c r="R593" s="902"/>
      <c r="S593" s="900"/>
      <c r="T593" s="904"/>
      <c r="U593" s="921"/>
      <c r="V593" s="898"/>
      <c r="W593" s="898"/>
      <c r="X593" s="899"/>
      <c r="Y593" s="899"/>
      <c r="Z593" s="899"/>
      <c r="AA593" s="901"/>
      <c r="AB593" s="170"/>
      <c r="AC593" s="282"/>
      <c r="AD593" s="282"/>
      <c r="AE593" s="5416"/>
    </row>
    <row r="594" spans="1:31" ht="37.5" customHeight="1">
      <c r="A594" s="5367"/>
      <c r="B594" s="5334"/>
      <c r="C594" s="5337"/>
      <c r="D594" s="5337"/>
      <c r="E594" s="5337"/>
      <c r="F594" s="5337"/>
      <c r="G594" s="5337"/>
      <c r="H594" s="5337"/>
      <c r="I594" s="5337"/>
      <c r="J594" s="5337"/>
      <c r="K594" s="5337"/>
      <c r="L594" s="5337"/>
      <c r="M594" s="5337"/>
      <c r="N594" s="5337"/>
      <c r="O594" s="5337"/>
      <c r="P594" s="5337"/>
      <c r="Q594" s="5345"/>
      <c r="R594" s="902"/>
      <c r="S594" s="897"/>
      <c r="T594" s="897"/>
      <c r="U594" s="903"/>
      <c r="V594" s="898"/>
      <c r="W594" s="898"/>
      <c r="X594" s="899"/>
      <c r="Y594" s="899"/>
      <c r="Z594" s="899"/>
      <c r="AA594" s="901"/>
      <c r="AB594" s="170"/>
      <c r="AC594" s="282"/>
      <c r="AD594" s="282"/>
      <c r="AE594" s="5416"/>
    </row>
    <row r="595" spans="1:31" ht="37.5" customHeight="1">
      <c r="A595" s="5367"/>
      <c r="B595" s="5335"/>
      <c r="C595" s="5338"/>
      <c r="D595" s="5338"/>
      <c r="E595" s="5338"/>
      <c r="F595" s="5338"/>
      <c r="G595" s="5338"/>
      <c r="H595" s="5338"/>
      <c r="I595" s="5338"/>
      <c r="J595" s="5338"/>
      <c r="K595" s="5338"/>
      <c r="L595" s="5338"/>
      <c r="M595" s="5338"/>
      <c r="N595" s="5338"/>
      <c r="O595" s="5338"/>
      <c r="P595" s="5338"/>
      <c r="Q595" s="5346"/>
      <c r="R595" s="902"/>
      <c r="S595" s="900"/>
      <c r="T595" s="900"/>
      <c r="U595" s="921"/>
      <c r="V595" s="898"/>
      <c r="W595" s="898"/>
      <c r="X595" s="899"/>
      <c r="Y595" s="899"/>
      <c r="Z595" s="899"/>
      <c r="AA595" s="901"/>
      <c r="AB595" s="170"/>
      <c r="AC595" s="282"/>
      <c r="AD595" s="282"/>
      <c r="AE595" s="5416"/>
    </row>
    <row r="596" spans="1:31" ht="37.5" customHeight="1">
      <c r="A596" s="5367"/>
      <c r="B596" s="5333" t="s">
        <v>272</v>
      </c>
      <c r="C596" s="5336" t="s">
        <v>302</v>
      </c>
      <c r="D596" s="5336" t="s">
        <v>303</v>
      </c>
      <c r="E596" s="5336" t="s">
        <v>318</v>
      </c>
      <c r="F596" s="5341" t="s">
        <v>305</v>
      </c>
      <c r="G596" s="5336" t="s">
        <v>240</v>
      </c>
      <c r="H596" s="5336" t="s">
        <v>278</v>
      </c>
      <c r="I596" s="5336" t="s">
        <v>2339</v>
      </c>
      <c r="J596" s="5347" t="s">
        <v>1850</v>
      </c>
      <c r="K596" s="5336" t="s">
        <v>2192</v>
      </c>
      <c r="L596" s="5343">
        <v>0</v>
      </c>
      <c r="M596" s="5343">
        <v>1</v>
      </c>
      <c r="N596" s="5343">
        <v>1</v>
      </c>
      <c r="O596" s="5340" t="s">
        <v>2193</v>
      </c>
      <c r="P596" s="5340" t="s">
        <v>2340</v>
      </c>
      <c r="Q596" s="5370" t="s">
        <v>2322</v>
      </c>
      <c r="R596" s="902"/>
      <c r="S596" s="900"/>
      <c r="T596" s="900"/>
      <c r="U596" s="921"/>
      <c r="V596" s="898"/>
      <c r="W596" s="898"/>
      <c r="X596" s="899"/>
      <c r="Y596" s="899"/>
      <c r="Z596" s="899"/>
      <c r="AA596" s="901"/>
      <c r="AB596" s="160"/>
      <c r="AC596" s="161"/>
      <c r="AD596" s="161"/>
      <c r="AE596" s="5416"/>
    </row>
    <row r="597" spans="1:31" ht="37.5" customHeight="1">
      <c r="A597" s="5367"/>
      <c r="B597" s="5334"/>
      <c r="C597" s="5337"/>
      <c r="D597" s="5337"/>
      <c r="E597" s="5337"/>
      <c r="F597" s="5337"/>
      <c r="G597" s="5337"/>
      <c r="H597" s="5337"/>
      <c r="I597" s="5337"/>
      <c r="J597" s="5337"/>
      <c r="K597" s="5337"/>
      <c r="L597" s="5337"/>
      <c r="M597" s="5337"/>
      <c r="N597" s="5337"/>
      <c r="O597" s="5337"/>
      <c r="P597" s="5337"/>
      <c r="Q597" s="5345"/>
      <c r="R597" s="902"/>
      <c r="S597" s="897"/>
      <c r="T597" s="897"/>
      <c r="U597" s="903"/>
      <c r="V597" s="898"/>
      <c r="W597" s="898"/>
      <c r="X597" s="899"/>
      <c r="Y597" s="899"/>
      <c r="Z597" s="899"/>
      <c r="AA597" s="901"/>
      <c r="AB597" s="160"/>
      <c r="AC597" s="161"/>
      <c r="AD597" s="161"/>
      <c r="AE597" s="5416"/>
    </row>
    <row r="598" spans="1:31" ht="37.5" customHeight="1">
      <c r="A598" s="5367"/>
      <c r="B598" s="5334"/>
      <c r="C598" s="5337"/>
      <c r="D598" s="5337"/>
      <c r="E598" s="5337"/>
      <c r="F598" s="5337"/>
      <c r="G598" s="5337"/>
      <c r="H598" s="5337"/>
      <c r="I598" s="5337"/>
      <c r="J598" s="5337"/>
      <c r="K598" s="5337"/>
      <c r="L598" s="5337"/>
      <c r="M598" s="5337"/>
      <c r="N598" s="5337"/>
      <c r="O598" s="5337"/>
      <c r="P598" s="5337"/>
      <c r="Q598" s="5345"/>
      <c r="R598" s="902"/>
      <c r="S598" s="900"/>
      <c r="T598" s="897"/>
      <c r="U598" s="921"/>
      <c r="V598" s="898"/>
      <c r="W598" s="898"/>
      <c r="X598" s="899"/>
      <c r="Y598" s="899"/>
      <c r="Z598" s="899"/>
      <c r="AA598" s="901"/>
      <c r="AB598" s="160"/>
      <c r="AC598" s="161"/>
      <c r="AD598" s="161"/>
      <c r="AE598" s="5416"/>
    </row>
    <row r="599" spans="1:31" ht="37.5" customHeight="1">
      <c r="A599" s="5367"/>
      <c r="B599" s="5334"/>
      <c r="C599" s="5337"/>
      <c r="D599" s="5337"/>
      <c r="E599" s="5337"/>
      <c r="F599" s="5337"/>
      <c r="G599" s="5337"/>
      <c r="H599" s="5337"/>
      <c r="I599" s="5337"/>
      <c r="J599" s="5337"/>
      <c r="K599" s="5337"/>
      <c r="L599" s="5337"/>
      <c r="M599" s="5337"/>
      <c r="N599" s="5337"/>
      <c r="O599" s="5337"/>
      <c r="P599" s="5337"/>
      <c r="Q599" s="5345"/>
      <c r="R599" s="902"/>
      <c r="S599" s="900"/>
      <c r="T599" s="897"/>
      <c r="U599" s="921"/>
      <c r="V599" s="898"/>
      <c r="W599" s="898"/>
      <c r="X599" s="899"/>
      <c r="Y599" s="899"/>
      <c r="Z599" s="899"/>
      <c r="AA599" s="901"/>
      <c r="AB599" s="160"/>
      <c r="AC599" s="161"/>
      <c r="AD599" s="161"/>
      <c r="AE599" s="5416"/>
    </row>
    <row r="600" spans="1:31" ht="37.5" customHeight="1">
      <c r="A600" s="5367"/>
      <c r="B600" s="5335"/>
      <c r="C600" s="5338"/>
      <c r="D600" s="5338"/>
      <c r="E600" s="5338"/>
      <c r="F600" s="5338"/>
      <c r="G600" s="5338"/>
      <c r="H600" s="5338"/>
      <c r="I600" s="5338"/>
      <c r="J600" s="5338"/>
      <c r="K600" s="5338"/>
      <c r="L600" s="5338"/>
      <c r="M600" s="5338"/>
      <c r="N600" s="5338"/>
      <c r="O600" s="5338"/>
      <c r="P600" s="5338"/>
      <c r="Q600" s="5346"/>
      <c r="R600" s="898"/>
      <c r="S600" s="897"/>
      <c r="T600" s="897"/>
      <c r="U600" s="903"/>
      <c r="V600" s="898"/>
      <c r="W600" s="898"/>
      <c r="X600" s="899"/>
      <c r="Y600" s="899"/>
      <c r="Z600" s="899"/>
      <c r="AA600" s="901"/>
      <c r="AB600" s="160"/>
      <c r="AC600" s="161"/>
      <c r="AD600" s="161"/>
      <c r="AE600" s="5416"/>
    </row>
    <row r="601" spans="1:31" ht="37.5" customHeight="1">
      <c r="A601" s="5367"/>
      <c r="B601" s="5333" t="s">
        <v>272</v>
      </c>
      <c r="C601" s="5336" t="s">
        <v>302</v>
      </c>
      <c r="D601" s="5340" t="s">
        <v>303</v>
      </c>
      <c r="E601" s="5340" t="s">
        <v>304</v>
      </c>
      <c r="F601" s="5341" t="s">
        <v>305</v>
      </c>
      <c r="G601" s="5336" t="s">
        <v>240</v>
      </c>
      <c r="H601" s="5336" t="s">
        <v>278</v>
      </c>
      <c r="I601" s="5336" t="s">
        <v>2341</v>
      </c>
      <c r="J601" s="5347" t="s">
        <v>1855</v>
      </c>
      <c r="K601" s="5340" t="s">
        <v>2196</v>
      </c>
      <c r="L601" s="5343">
        <v>0</v>
      </c>
      <c r="M601" s="5343">
        <v>16</v>
      </c>
      <c r="N601" s="5343">
        <v>16</v>
      </c>
      <c r="O601" s="5340" t="s">
        <v>2197</v>
      </c>
      <c r="P601" s="5340" t="s">
        <v>2198</v>
      </c>
      <c r="Q601" s="5370" t="s">
        <v>2322</v>
      </c>
      <c r="R601" s="728"/>
      <c r="S601" s="729"/>
      <c r="T601" s="729"/>
      <c r="U601" s="729"/>
      <c r="V601" s="729"/>
      <c r="W601" s="729"/>
      <c r="X601" s="729"/>
      <c r="Y601" s="729"/>
      <c r="Z601" s="726"/>
      <c r="AA601" s="757"/>
      <c r="AB601" s="160"/>
      <c r="AC601" s="161"/>
      <c r="AD601" s="161"/>
      <c r="AE601" s="5416"/>
    </row>
    <row r="602" spans="1:31" ht="37.5" customHeight="1">
      <c r="A602" s="5367"/>
      <c r="B602" s="5334"/>
      <c r="C602" s="5337"/>
      <c r="D602" s="5337"/>
      <c r="E602" s="5337"/>
      <c r="F602" s="5337"/>
      <c r="G602" s="5337"/>
      <c r="H602" s="5337"/>
      <c r="I602" s="5337"/>
      <c r="J602" s="5337"/>
      <c r="K602" s="5337"/>
      <c r="L602" s="5337"/>
      <c r="M602" s="5337"/>
      <c r="N602" s="5337"/>
      <c r="O602" s="5337"/>
      <c r="P602" s="5337"/>
      <c r="Q602" s="5345"/>
      <c r="R602" s="728"/>
      <c r="S602" s="729"/>
      <c r="T602" s="729"/>
      <c r="U602" s="729"/>
      <c r="V602" s="729"/>
      <c r="W602" s="729"/>
      <c r="X602" s="729"/>
      <c r="Y602" s="729"/>
      <c r="Z602" s="756"/>
      <c r="AA602" s="757"/>
      <c r="AB602" s="160"/>
      <c r="AC602" s="161"/>
      <c r="AD602" s="161"/>
      <c r="AE602" s="5416"/>
    </row>
    <row r="603" spans="1:31" ht="37.5" customHeight="1">
      <c r="A603" s="5367"/>
      <c r="B603" s="5334"/>
      <c r="C603" s="5337"/>
      <c r="D603" s="5337"/>
      <c r="E603" s="5337"/>
      <c r="F603" s="5337"/>
      <c r="G603" s="5337"/>
      <c r="H603" s="5337"/>
      <c r="I603" s="5337"/>
      <c r="J603" s="5337"/>
      <c r="K603" s="5337"/>
      <c r="L603" s="5337"/>
      <c r="M603" s="5337"/>
      <c r="N603" s="5337"/>
      <c r="O603" s="5337"/>
      <c r="P603" s="5337"/>
      <c r="Q603" s="5345"/>
      <c r="R603" s="728"/>
      <c r="S603" s="729"/>
      <c r="T603" s="729"/>
      <c r="U603" s="729"/>
      <c r="V603" s="729"/>
      <c r="W603" s="729"/>
      <c r="X603" s="729"/>
      <c r="Y603" s="729"/>
      <c r="Z603" s="756"/>
      <c r="AA603" s="757"/>
      <c r="AB603" s="160"/>
      <c r="AC603" s="161"/>
      <c r="AD603" s="161"/>
      <c r="AE603" s="5416"/>
    </row>
    <row r="604" spans="1:31" ht="37.5" customHeight="1">
      <c r="A604" s="5367"/>
      <c r="B604" s="5334"/>
      <c r="C604" s="5337"/>
      <c r="D604" s="5337"/>
      <c r="E604" s="5337"/>
      <c r="F604" s="5337"/>
      <c r="G604" s="5337"/>
      <c r="H604" s="5337"/>
      <c r="I604" s="5337"/>
      <c r="J604" s="5337"/>
      <c r="K604" s="5337"/>
      <c r="L604" s="5337"/>
      <c r="M604" s="5337"/>
      <c r="N604" s="5337"/>
      <c r="O604" s="5337"/>
      <c r="P604" s="5337"/>
      <c r="Q604" s="5345"/>
      <c r="R604" s="728"/>
      <c r="S604" s="729"/>
      <c r="T604" s="729"/>
      <c r="U604" s="729"/>
      <c r="V604" s="729"/>
      <c r="W604" s="729"/>
      <c r="X604" s="729"/>
      <c r="Y604" s="729"/>
      <c r="Z604" s="756"/>
      <c r="AA604" s="757"/>
      <c r="AB604" s="160"/>
      <c r="AC604" s="161"/>
      <c r="AD604" s="161"/>
      <c r="AE604" s="5416"/>
    </row>
    <row r="605" spans="1:31" ht="37.5" customHeight="1">
      <c r="A605" s="5367"/>
      <c r="B605" s="5335"/>
      <c r="C605" s="5338"/>
      <c r="D605" s="5338"/>
      <c r="E605" s="5338"/>
      <c r="F605" s="5338"/>
      <c r="G605" s="5338"/>
      <c r="H605" s="5338"/>
      <c r="I605" s="5338"/>
      <c r="J605" s="5338"/>
      <c r="K605" s="5338"/>
      <c r="L605" s="5338"/>
      <c r="M605" s="5338"/>
      <c r="N605" s="5338"/>
      <c r="O605" s="5338"/>
      <c r="P605" s="5338"/>
      <c r="Q605" s="5346"/>
      <c r="R605" s="728"/>
      <c r="S605" s="729"/>
      <c r="T605" s="729"/>
      <c r="U605" s="729"/>
      <c r="V605" s="729"/>
      <c r="W605" s="729"/>
      <c r="X605" s="729"/>
      <c r="Y605" s="729"/>
      <c r="Z605" s="756"/>
      <c r="AA605" s="757"/>
      <c r="AB605" s="160"/>
      <c r="AC605" s="161"/>
      <c r="AD605" s="161"/>
      <c r="AE605" s="5416"/>
    </row>
    <row r="606" spans="1:31" ht="37.5" customHeight="1">
      <c r="A606" s="5367"/>
      <c r="B606" s="5333" t="s">
        <v>272</v>
      </c>
      <c r="C606" s="5336" t="s">
        <v>302</v>
      </c>
      <c r="D606" s="5336" t="s">
        <v>303</v>
      </c>
      <c r="E606" s="5336" t="s">
        <v>318</v>
      </c>
      <c r="F606" s="5341" t="s">
        <v>305</v>
      </c>
      <c r="G606" s="5336" t="s">
        <v>262</v>
      </c>
      <c r="H606" s="5336" t="s">
        <v>257</v>
      </c>
      <c r="I606" s="5336" t="s">
        <v>2342</v>
      </c>
      <c r="J606" s="5347" t="s">
        <v>2201</v>
      </c>
      <c r="K606" s="5340" t="s">
        <v>2202</v>
      </c>
      <c r="L606" s="5343">
        <v>0</v>
      </c>
      <c r="M606" s="5343">
        <v>2</v>
      </c>
      <c r="N606" s="5343">
        <v>2</v>
      </c>
      <c r="O606" s="5340" t="s">
        <v>2203</v>
      </c>
      <c r="P606" s="5340" t="s">
        <v>2204</v>
      </c>
      <c r="Q606" s="5394" t="s">
        <v>2322</v>
      </c>
      <c r="R606" s="728"/>
      <c r="S606" s="729"/>
      <c r="T606" s="729"/>
      <c r="U606" s="729"/>
      <c r="V606" s="729"/>
      <c r="W606" s="729"/>
      <c r="X606" s="729"/>
      <c r="Y606" s="729"/>
      <c r="Z606" s="756"/>
      <c r="AA606" s="757"/>
      <c r="AB606" s="160"/>
      <c r="AC606" s="161"/>
      <c r="AD606" s="161"/>
      <c r="AE606" s="5416"/>
    </row>
    <row r="607" spans="1:31" ht="37.5" customHeight="1">
      <c r="A607" s="5367"/>
      <c r="B607" s="5334"/>
      <c r="C607" s="5337"/>
      <c r="D607" s="5337"/>
      <c r="E607" s="5337"/>
      <c r="F607" s="5337"/>
      <c r="G607" s="5337"/>
      <c r="H607" s="5337"/>
      <c r="I607" s="5337"/>
      <c r="J607" s="5337"/>
      <c r="K607" s="5337"/>
      <c r="L607" s="5337"/>
      <c r="M607" s="5337"/>
      <c r="N607" s="5337"/>
      <c r="O607" s="5337"/>
      <c r="P607" s="5337"/>
      <c r="Q607" s="5345"/>
      <c r="R607" s="728"/>
      <c r="S607" s="729"/>
      <c r="T607" s="729"/>
      <c r="U607" s="729"/>
      <c r="V607" s="729"/>
      <c r="W607" s="729"/>
      <c r="X607" s="729"/>
      <c r="Y607" s="729"/>
      <c r="Z607" s="756"/>
      <c r="AA607" s="757"/>
      <c r="AB607" s="160"/>
      <c r="AC607" s="161"/>
      <c r="AD607" s="161"/>
      <c r="AE607" s="5416"/>
    </row>
    <row r="608" spans="1:31" ht="37.5" customHeight="1">
      <c r="A608" s="5367"/>
      <c r="B608" s="5334"/>
      <c r="C608" s="5337"/>
      <c r="D608" s="5337"/>
      <c r="E608" s="5337"/>
      <c r="F608" s="5337"/>
      <c r="G608" s="5337"/>
      <c r="H608" s="5337"/>
      <c r="I608" s="5337"/>
      <c r="J608" s="5337"/>
      <c r="K608" s="5337"/>
      <c r="L608" s="5337"/>
      <c r="M608" s="5337"/>
      <c r="N608" s="5337"/>
      <c r="O608" s="5337"/>
      <c r="P608" s="5337"/>
      <c r="Q608" s="5345"/>
      <c r="R608" s="728"/>
      <c r="S608" s="729"/>
      <c r="T608" s="729"/>
      <c r="U608" s="729"/>
      <c r="V608" s="729"/>
      <c r="W608" s="729"/>
      <c r="X608" s="729"/>
      <c r="Y608" s="729"/>
      <c r="Z608" s="756"/>
      <c r="AA608" s="922"/>
      <c r="AB608" s="160"/>
      <c r="AC608" s="161"/>
      <c r="AD608" s="161"/>
      <c r="AE608" s="5416"/>
    </row>
    <row r="609" spans="1:31" ht="37.5" customHeight="1">
      <c r="A609" s="5367"/>
      <c r="B609" s="5334"/>
      <c r="C609" s="5337"/>
      <c r="D609" s="5337"/>
      <c r="E609" s="5337"/>
      <c r="F609" s="5337"/>
      <c r="G609" s="5337"/>
      <c r="H609" s="5337"/>
      <c r="I609" s="5337"/>
      <c r="J609" s="5337"/>
      <c r="K609" s="5337"/>
      <c r="L609" s="5337"/>
      <c r="M609" s="5337"/>
      <c r="N609" s="5337"/>
      <c r="O609" s="5337"/>
      <c r="P609" s="5337"/>
      <c r="Q609" s="5345"/>
      <c r="R609" s="728"/>
      <c r="S609" s="729"/>
      <c r="T609" s="729"/>
      <c r="U609" s="729"/>
      <c r="V609" s="729"/>
      <c r="W609" s="729"/>
      <c r="X609" s="729"/>
      <c r="Y609" s="729"/>
      <c r="Z609" s="739"/>
      <c r="AA609" s="922"/>
      <c r="AB609" s="923"/>
      <c r="AC609" s="161"/>
      <c r="AD609" s="161"/>
      <c r="AE609" s="5416"/>
    </row>
    <row r="610" spans="1:31" ht="37.5" customHeight="1">
      <c r="A610" s="5367"/>
      <c r="B610" s="5335"/>
      <c r="C610" s="5338"/>
      <c r="D610" s="5338"/>
      <c r="E610" s="5338"/>
      <c r="F610" s="5338"/>
      <c r="G610" s="5338"/>
      <c r="H610" s="5338"/>
      <c r="I610" s="5338"/>
      <c r="J610" s="5338"/>
      <c r="K610" s="5338"/>
      <c r="L610" s="5338"/>
      <c r="M610" s="5338"/>
      <c r="N610" s="5338"/>
      <c r="O610" s="5338"/>
      <c r="P610" s="5338"/>
      <c r="Q610" s="5346"/>
      <c r="R610" s="733"/>
      <c r="S610" s="776"/>
      <c r="T610" s="738"/>
      <c r="U610" s="776"/>
      <c r="V610" s="737"/>
      <c r="W610" s="737"/>
      <c r="X610" s="739"/>
      <c r="Y610" s="739"/>
      <c r="Z610" s="739"/>
      <c r="AA610" s="924"/>
      <c r="AB610" s="165"/>
      <c r="AC610" s="166"/>
      <c r="AD610" s="166"/>
      <c r="AE610" s="5417"/>
    </row>
    <row r="611" spans="1:31" ht="37.5" customHeight="1">
      <c r="A611" s="5367"/>
      <c r="B611" s="5333" t="s">
        <v>272</v>
      </c>
      <c r="C611" s="5336" t="s">
        <v>302</v>
      </c>
      <c r="D611" s="5336" t="s">
        <v>303</v>
      </c>
      <c r="E611" s="5336" t="s">
        <v>304</v>
      </c>
      <c r="F611" s="5341" t="s">
        <v>305</v>
      </c>
      <c r="G611" s="5336" t="s">
        <v>262</v>
      </c>
      <c r="H611" s="5336" t="s">
        <v>257</v>
      </c>
      <c r="I611" s="5336" t="s">
        <v>2343</v>
      </c>
      <c r="J611" s="5347" t="s">
        <v>1865</v>
      </c>
      <c r="K611" s="5336" t="s">
        <v>2207</v>
      </c>
      <c r="L611" s="5343">
        <v>0</v>
      </c>
      <c r="M611" s="5343">
        <v>1</v>
      </c>
      <c r="N611" s="5343">
        <v>1</v>
      </c>
      <c r="O611" s="5340" t="s">
        <v>2208</v>
      </c>
      <c r="P611" s="5340" t="s">
        <v>2209</v>
      </c>
      <c r="Q611" s="5370" t="s">
        <v>2322</v>
      </c>
      <c r="R611" s="792"/>
      <c r="S611" s="734"/>
      <c r="T611" s="734"/>
      <c r="U611" s="741"/>
      <c r="V611" s="731"/>
      <c r="W611" s="731"/>
      <c r="X611" s="732"/>
      <c r="Y611" s="732"/>
      <c r="Z611" s="732"/>
      <c r="AA611" s="742"/>
      <c r="AB611" s="414"/>
      <c r="AC611" s="174"/>
      <c r="AD611" s="174"/>
      <c r="AE611" s="5415" t="s">
        <v>2166</v>
      </c>
    </row>
    <row r="612" spans="1:31" ht="37.5" customHeight="1">
      <c r="A612" s="5367"/>
      <c r="B612" s="5334"/>
      <c r="C612" s="5337"/>
      <c r="D612" s="5337"/>
      <c r="E612" s="5337"/>
      <c r="F612" s="5337"/>
      <c r="G612" s="5337"/>
      <c r="H612" s="5337"/>
      <c r="I612" s="5337"/>
      <c r="J612" s="5337"/>
      <c r="K612" s="5337"/>
      <c r="L612" s="5337"/>
      <c r="M612" s="5337"/>
      <c r="N612" s="5337"/>
      <c r="O612" s="5337"/>
      <c r="P612" s="5337"/>
      <c r="Q612" s="5345"/>
      <c r="R612" s="790"/>
      <c r="S612" s="724"/>
      <c r="T612" s="724"/>
      <c r="U612" s="798"/>
      <c r="V612" s="725"/>
      <c r="W612" s="725"/>
      <c r="X612" s="726"/>
      <c r="Y612" s="726"/>
      <c r="Z612" s="726"/>
      <c r="AA612" s="727"/>
      <c r="AB612" s="170"/>
      <c r="AC612" s="282"/>
      <c r="AD612" s="282"/>
      <c r="AE612" s="5416"/>
    </row>
    <row r="613" spans="1:31" ht="37.5" customHeight="1">
      <c r="A613" s="5367"/>
      <c r="B613" s="5334"/>
      <c r="C613" s="5337"/>
      <c r="D613" s="5337"/>
      <c r="E613" s="5337"/>
      <c r="F613" s="5337"/>
      <c r="G613" s="5337"/>
      <c r="H613" s="5337"/>
      <c r="I613" s="5337"/>
      <c r="J613" s="5337"/>
      <c r="K613" s="5337"/>
      <c r="L613" s="5337"/>
      <c r="M613" s="5337"/>
      <c r="N613" s="5337"/>
      <c r="O613" s="5337"/>
      <c r="P613" s="5337"/>
      <c r="Q613" s="5345"/>
      <c r="R613" s="791"/>
      <c r="S613" s="729"/>
      <c r="T613" s="729"/>
      <c r="U613" s="730"/>
      <c r="V613" s="731"/>
      <c r="W613" s="731"/>
      <c r="X613" s="732"/>
      <c r="Y613" s="726"/>
      <c r="Z613" s="726"/>
      <c r="AA613" s="727"/>
      <c r="AB613" s="170"/>
      <c r="AC613" s="282"/>
      <c r="AD613" s="282"/>
      <c r="AE613" s="5416"/>
    </row>
    <row r="614" spans="1:31" ht="37.5" customHeight="1">
      <c r="A614" s="5367"/>
      <c r="B614" s="5334"/>
      <c r="C614" s="5337"/>
      <c r="D614" s="5337"/>
      <c r="E614" s="5337"/>
      <c r="F614" s="5337"/>
      <c r="G614" s="5337"/>
      <c r="H614" s="5337"/>
      <c r="I614" s="5337"/>
      <c r="J614" s="5337"/>
      <c r="K614" s="5337"/>
      <c r="L614" s="5337"/>
      <c r="M614" s="5337"/>
      <c r="N614" s="5337"/>
      <c r="O614" s="5337"/>
      <c r="P614" s="5337"/>
      <c r="Q614" s="5345"/>
      <c r="R614" s="792"/>
      <c r="S614" s="734"/>
      <c r="T614" s="734"/>
      <c r="U614" s="730"/>
      <c r="V614" s="731"/>
      <c r="W614" s="731"/>
      <c r="X614" s="732"/>
      <c r="Y614" s="726"/>
      <c r="Z614" s="726"/>
      <c r="AA614" s="727"/>
      <c r="AB614" s="170"/>
      <c r="AC614" s="282"/>
      <c r="AD614" s="282"/>
      <c r="AE614" s="5416"/>
    </row>
    <row r="615" spans="1:31" ht="37.5" customHeight="1">
      <c r="A615" s="5367"/>
      <c r="B615" s="5335"/>
      <c r="C615" s="5338"/>
      <c r="D615" s="5338"/>
      <c r="E615" s="5338"/>
      <c r="F615" s="5338"/>
      <c r="G615" s="5338"/>
      <c r="H615" s="5338"/>
      <c r="I615" s="5338"/>
      <c r="J615" s="5338"/>
      <c r="K615" s="5338"/>
      <c r="L615" s="5338"/>
      <c r="M615" s="5338"/>
      <c r="N615" s="5338"/>
      <c r="O615" s="5338"/>
      <c r="P615" s="5338"/>
      <c r="Q615" s="5346"/>
      <c r="R615" s="796"/>
      <c r="S615" s="736"/>
      <c r="T615" s="736"/>
      <c r="U615" s="737"/>
      <c r="V615" s="738"/>
      <c r="W615" s="738"/>
      <c r="X615" s="739"/>
      <c r="Y615" s="739"/>
      <c r="Z615" s="739"/>
      <c r="AA615" s="740"/>
      <c r="AB615" s="165"/>
      <c r="AC615" s="166"/>
      <c r="AD615" s="166"/>
      <c r="AE615" s="5417"/>
    </row>
    <row r="616" spans="1:31" ht="37.5" customHeight="1">
      <c r="A616" s="5367"/>
      <c r="B616" s="5333" t="s">
        <v>272</v>
      </c>
      <c r="C616" s="5336" t="s">
        <v>302</v>
      </c>
      <c r="D616" s="5336" t="s">
        <v>680</v>
      </c>
      <c r="E616" s="5336" t="s">
        <v>817</v>
      </c>
      <c r="F616" s="5341" t="s">
        <v>305</v>
      </c>
      <c r="G616" s="5336" t="s">
        <v>306</v>
      </c>
      <c r="H616" s="5336" t="s">
        <v>278</v>
      </c>
      <c r="I616" s="5336" t="s">
        <v>2344</v>
      </c>
      <c r="J616" s="5347" t="s">
        <v>1870</v>
      </c>
      <c r="K616" s="5340" t="s">
        <v>2212</v>
      </c>
      <c r="L616" s="5343">
        <v>0</v>
      </c>
      <c r="M616" s="5343">
        <v>2</v>
      </c>
      <c r="N616" s="5343">
        <v>2</v>
      </c>
      <c r="O616" s="5340" t="s">
        <v>2213</v>
      </c>
      <c r="P616" s="5340" t="s">
        <v>2214</v>
      </c>
      <c r="Q616" s="5370" t="s">
        <v>2322</v>
      </c>
      <c r="R616" s="792"/>
      <c r="S616" s="734"/>
      <c r="T616" s="734"/>
      <c r="U616" s="741"/>
      <c r="V616" s="731"/>
      <c r="W616" s="731"/>
      <c r="X616" s="732"/>
      <c r="Y616" s="732"/>
      <c r="Z616" s="732"/>
      <c r="AA616" s="742"/>
      <c r="AB616" s="414"/>
      <c r="AC616" s="174"/>
      <c r="AD616" s="174"/>
      <c r="AE616" s="5415"/>
    </row>
    <row r="617" spans="1:31" ht="37.5" customHeight="1">
      <c r="A617" s="5367"/>
      <c r="B617" s="5334"/>
      <c r="C617" s="5337"/>
      <c r="D617" s="5337"/>
      <c r="E617" s="5337"/>
      <c r="F617" s="5337"/>
      <c r="G617" s="5337"/>
      <c r="H617" s="5337"/>
      <c r="I617" s="5337"/>
      <c r="J617" s="5337"/>
      <c r="K617" s="5337"/>
      <c r="L617" s="5337"/>
      <c r="M617" s="5337"/>
      <c r="N617" s="5337"/>
      <c r="O617" s="5337"/>
      <c r="P617" s="5337"/>
      <c r="Q617" s="5345"/>
      <c r="R617" s="790"/>
      <c r="S617" s="724"/>
      <c r="T617" s="724"/>
      <c r="U617" s="798"/>
      <c r="V617" s="725"/>
      <c r="W617" s="725"/>
      <c r="X617" s="726"/>
      <c r="Y617" s="726"/>
      <c r="Z617" s="726"/>
      <c r="AA617" s="727"/>
      <c r="AB617" s="170"/>
      <c r="AC617" s="282"/>
      <c r="AD617" s="282"/>
      <c r="AE617" s="5416"/>
    </row>
    <row r="618" spans="1:31" ht="37.5" customHeight="1">
      <c r="A618" s="5367"/>
      <c r="B618" s="5334"/>
      <c r="C618" s="5337"/>
      <c r="D618" s="5337"/>
      <c r="E618" s="5337"/>
      <c r="F618" s="5337"/>
      <c r="G618" s="5337"/>
      <c r="H618" s="5337"/>
      <c r="I618" s="5337"/>
      <c r="J618" s="5337"/>
      <c r="K618" s="5337"/>
      <c r="L618" s="5337"/>
      <c r="M618" s="5337"/>
      <c r="N618" s="5337"/>
      <c r="O618" s="5337"/>
      <c r="P618" s="5337"/>
      <c r="Q618" s="5345"/>
      <c r="R618" s="791"/>
      <c r="S618" s="729"/>
      <c r="T618" s="729"/>
      <c r="U618" s="730"/>
      <c r="V618" s="731"/>
      <c r="W618" s="731"/>
      <c r="X618" s="732"/>
      <c r="Y618" s="726"/>
      <c r="Z618" s="726"/>
      <c r="AA618" s="727"/>
      <c r="AB618" s="170"/>
      <c r="AC618" s="282"/>
      <c r="AD618" s="282"/>
      <c r="AE618" s="5416"/>
    </row>
    <row r="619" spans="1:31" ht="37.5" customHeight="1">
      <c r="A619" s="5367"/>
      <c r="B619" s="5334"/>
      <c r="C619" s="5337"/>
      <c r="D619" s="5337"/>
      <c r="E619" s="5337"/>
      <c r="F619" s="5337"/>
      <c r="G619" s="5337"/>
      <c r="H619" s="5337"/>
      <c r="I619" s="5337"/>
      <c r="J619" s="5337"/>
      <c r="K619" s="5337"/>
      <c r="L619" s="5337"/>
      <c r="M619" s="5337"/>
      <c r="N619" s="5337"/>
      <c r="O619" s="5337"/>
      <c r="P619" s="5337"/>
      <c r="Q619" s="5345"/>
      <c r="R619" s="792"/>
      <c r="S619" s="734"/>
      <c r="T619" s="734"/>
      <c r="U619" s="730"/>
      <c r="V619" s="731"/>
      <c r="W619" s="731"/>
      <c r="X619" s="732"/>
      <c r="Y619" s="726"/>
      <c r="Z619" s="726"/>
      <c r="AA619" s="727"/>
      <c r="AB619" s="170"/>
      <c r="AC619" s="282"/>
      <c r="AD619" s="282"/>
      <c r="AE619" s="5416"/>
    </row>
    <row r="620" spans="1:31" ht="37.5" customHeight="1">
      <c r="A620" s="5367"/>
      <c r="B620" s="5335"/>
      <c r="C620" s="5338"/>
      <c r="D620" s="5338"/>
      <c r="E620" s="5338"/>
      <c r="F620" s="5338"/>
      <c r="G620" s="5338"/>
      <c r="H620" s="5338"/>
      <c r="I620" s="5338"/>
      <c r="J620" s="5338"/>
      <c r="K620" s="5338"/>
      <c r="L620" s="5338"/>
      <c r="M620" s="5338"/>
      <c r="N620" s="5338"/>
      <c r="O620" s="5338"/>
      <c r="P620" s="5338"/>
      <c r="Q620" s="5346"/>
      <c r="R620" s="796"/>
      <c r="S620" s="736"/>
      <c r="T620" s="736"/>
      <c r="U620" s="737"/>
      <c r="V620" s="738"/>
      <c r="W620" s="738"/>
      <c r="X620" s="739"/>
      <c r="Y620" s="739"/>
      <c r="Z620" s="739"/>
      <c r="AA620" s="740"/>
      <c r="AB620" s="165"/>
      <c r="AC620" s="166"/>
      <c r="AD620" s="166"/>
      <c r="AE620" s="5417"/>
    </row>
    <row r="621" spans="1:31" ht="37.5" customHeight="1">
      <c r="A621" s="5367"/>
      <c r="B621" s="5339" t="s">
        <v>272</v>
      </c>
      <c r="C621" s="5336" t="s">
        <v>302</v>
      </c>
      <c r="D621" s="5336" t="s">
        <v>303</v>
      </c>
      <c r="E621" s="5336" t="s">
        <v>304</v>
      </c>
      <c r="F621" s="5341" t="s">
        <v>305</v>
      </c>
      <c r="G621" s="5336" t="s">
        <v>262</v>
      </c>
      <c r="H621" s="5336" t="s">
        <v>257</v>
      </c>
      <c r="I621" s="5336" t="s">
        <v>2345</v>
      </c>
      <c r="J621" s="5347" t="s">
        <v>2216</v>
      </c>
      <c r="K621" s="5340" t="s">
        <v>2217</v>
      </c>
      <c r="L621" s="5343">
        <v>0</v>
      </c>
      <c r="M621" s="5343">
        <v>4</v>
      </c>
      <c r="N621" s="5343">
        <v>4</v>
      </c>
      <c r="O621" s="5340" t="s">
        <v>2218</v>
      </c>
      <c r="P621" s="5340" t="s">
        <v>2219</v>
      </c>
      <c r="Q621" s="5370" t="s">
        <v>2322</v>
      </c>
      <c r="R621" s="792"/>
      <c r="S621" s="734"/>
      <c r="T621" s="734"/>
      <c r="U621" s="741"/>
      <c r="V621" s="731"/>
      <c r="W621" s="731"/>
      <c r="X621" s="732"/>
      <c r="Y621" s="732"/>
      <c r="Z621" s="732"/>
      <c r="AA621" s="742"/>
      <c r="AB621" s="414"/>
      <c r="AC621" s="174"/>
      <c r="AD621" s="174"/>
      <c r="AE621" s="5415"/>
    </row>
    <row r="622" spans="1:31" ht="37.5" customHeight="1">
      <c r="A622" s="5367"/>
      <c r="B622" s="5334"/>
      <c r="C622" s="5337"/>
      <c r="D622" s="5337"/>
      <c r="E622" s="5337"/>
      <c r="F622" s="5337"/>
      <c r="G622" s="5337"/>
      <c r="H622" s="5337"/>
      <c r="I622" s="5337"/>
      <c r="J622" s="5337"/>
      <c r="K622" s="5337"/>
      <c r="L622" s="5337"/>
      <c r="M622" s="5337"/>
      <c r="N622" s="5337"/>
      <c r="O622" s="5337"/>
      <c r="P622" s="5337"/>
      <c r="Q622" s="5345"/>
      <c r="R622" s="790"/>
      <c r="S622" s="724"/>
      <c r="T622" s="724"/>
      <c r="U622" s="798"/>
      <c r="V622" s="725"/>
      <c r="W622" s="725"/>
      <c r="X622" s="726"/>
      <c r="Y622" s="726"/>
      <c r="Z622" s="726"/>
      <c r="AA622" s="727"/>
      <c r="AB622" s="170"/>
      <c r="AC622" s="282"/>
      <c r="AD622" s="282"/>
      <c r="AE622" s="5416"/>
    </row>
    <row r="623" spans="1:31" ht="37.5" customHeight="1">
      <c r="A623" s="5367"/>
      <c r="B623" s="5334"/>
      <c r="C623" s="5337"/>
      <c r="D623" s="5337"/>
      <c r="E623" s="5337"/>
      <c r="F623" s="5337"/>
      <c r="G623" s="5337"/>
      <c r="H623" s="5337"/>
      <c r="I623" s="5337"/>
      <c r="J623" s="5337"/>
      <c r="K623" s="5337"/>
      <c r="L623" s="5337"/>
      <c r="M623" s="5337"/>
      <c r="N623" s="5337"/>
      <c r="O623" s="5337"/>
      <c r="P623" s="5337"/>
      <c r="Q623" s="5345"/>
      <c r="R623" s="791"/>
      <c r="S623" s="729"/>
      <c r="T623" s="729"/>
      <c r="U623" s="730"/>
      <c r="V623" s="731"/>
      <c r="W623" s="731"/>
      <c r="X623" s="732"/>
      <c r="Y623" s="726"/>
      <c r="Z623" s="726"/>
      <c r="AA623" s="727"/>
      <c r="AB623" s="170"/>
      <c r="AC623" s="282"/>
      <c r="AD623" s="282"/>
      <c r="AE623" s="5416"/>
    </row>
    <row r="624" spans="1:31" ht="37.5" customHeight="1">
      <c r="A624" s="5367"/>
      <c r="B624" s="5334"/>
      <c r="C624" s="5337"/>
      <c r="D624" s="5337"/>
      <c r="E624" s="5337"/>
      <c r="F624" s="5337"/>
      <c r="G624" s="5337"/>
      <c r="H624" s="5337"/>
      <c r="I624" s="5337"/>
      <c r="J624" s="5337"/>
      <c r="K624" s="5337"/>
      <c r="L624" s="5337"/>
      <c r="M624" s="5337"/>
      <c r="N624" s="5337"/>
      <c r="O624" s="5337"/>
      <c r="P624" s="5337"/>
      <c r="Q624" s="5345"/>
      <c r="R624" s="792"/>
      <c r="S624" s="734"/>
      <c r="T624" s="734"/>
      <c r="U624" s="730"/>
      <c r="V624" s="731"/>
      <c r="W624" s="731"/>
      <c r="X624" s="732"/>
      <c r="Y624" s="726"/>
      <c r="Z624" s="726"/>
      <c r="AA624" s="727"/>
      <c r="AB624" s="170"/>
      <c r="AC624" s="282"/>
      <c r="AD624" s="282"/>
      <c r="AE624" s="5416"/>
    </row>
    <row r="625" spans="1:31" ht="37.5" customHeight="1">
      <c r="A625" s="5367"/>
      <c r="B625" s="5335"/>
      <c r="C625" s="5338"/>
      <c r="D625" s="5338"/>
      <c r="E625" s="5338"/>
      <c r="F625" s="5338"/>
      <c r="G625" s="5338"/>
      <c r="H625" s="5338"/>
      <c r="I625" s="5338"/>
      <c r="J625" s="5338"/>
      <c r="K625" s="5338"/>
      <c r="L625" s="5338"/>
      <c r="M625" s="5338"/>
      <c r="N625" s="5338"/>
      <c r="O625" s="5338"/>
      <c r="P625" s="5338"/>
      <c r="Q625" s="5346"/>
      <c r="R625" s="796"/>
      <c r="S625" s="736"/>
      <c r="T625" s="736"/>
      <c r="U625" s="737"/>
      <c r="V625" s="738"/>
      <c r="W625" s="738"/>
      <c r="X625" s="739"/>
      <c r="Y625" s="739"/>
      <c r="Z625" s="739"/>
      <c r="AA625" s="740"/>
      <c r="AB625" s="165"/>
      <c r="AC625" s="166"/>
      <c r="AD625" s="166"/>
      <c r="AE625" s="5417"/>
    </row>
    <row r="626" spans="1:31" ht="37.5" customHeight="1">
      <c r="A626" s="5367"/>
      <c r="B626" s="5339" t="s">
        <v>272</v>
      </c>
      <c r="C626" s="5340" t="s">
        <v>302</v>
      </c>
      <c r="D626" s="5340" t="s">
        <v>303</v>
      </c>
      <c r="E626" s="5340" t="s">
        <v>304</v>
      </c>
      <c r="F626" s="5371" t="s">
        <v>305</v>
      </c>
      <c r="G626" s="5336" t="s">
        <v>240</v>
      </c>
      <c r="H626" s="5336" t="s">
        <v>257</v>
      </c>
      <c r="I626" s="5336" t="s">
        <v>2346</v>
      </c>
      <c r="J626" s="5347" t="s">
        <v>2221</v>
      </c>
      <c r="K626" s="5340" t="s">
        <v>2222</v>
      </c>
      <c r="L626" s="5343">
        <v>0</v>
      </c>
      <c r="M626" s="5343">
        <v>4</v>
      </c>
      <c r="N626" s="5343">
        <v>4</v>
      </c>
      <c r="O626" s="5340" t="s">
        <v>2223</v>
      </c>
      <c r="P626" s="5340" t="s">
        <v>2347</v>
      </c>
      <c r="Q626" s="5370" t="s">
        <v>2322</v>
      </c>
      <c r="R626" s="792"/>
      <c r="S626" s="734"/>
      <c r="T626" s="734"/>
      <c r="U626" s="741"/>
      <c r="V626" s="731"/>
      <c r="W626" s="731"/>
      <c r="X626" s="732"/>
      <c r="Y626" s="732"/>
      <c r="Z626" s="732"/>
      <c r="AA626" s="742"/>
      <c r="AB626" s="414"/>
      <c r="AC626" s="174"/>
      <c r="AD626" s="174"/>
      <c r="AE626" s="5415"/>
    </row>
    <row r="627" spans="1:31" ht="37.5" customHeight="1">
      <c r="A627" s="5367"/>
      <c r="B627" s="5334"/>
      <c r="C627" s="5337"/>
      <c r="D627" s="5337"/>
      <c r="E627" s="5337"/>
      <c r="F627" s="5337"/>
      <c r="G627" s="5337"/>
      <c r="H627" s="5337"/>
      <c r="I627" s="5337"/>
      <c r="J627" s="5337"/>
      <c r="K627" s="5337"/>
      <c r="L627" s="5337"/>
      <c r="M627" s="5337"/>
      <c r="N627" s="5337"/>
      <c r="O627" s="5337"/>
      <c r="P627" s="5337"/>
      <c r="Q627" s="5345"/>
      <c r="R627" s="790"/>
      <c r="S627" s="724"/>
      <c r="T627" s="724"/>
      <c r="U627" s="798"/>
      <c r="V627" s="725"/>
      <c r="W627" s="725"/>
      <c r="X627" s="726"/>
      <c r="Y627" s="726"/>
      <c r="Z627" s="726"/>
      <c r="AA627" s="727"/>
      <c r="AB627" s="170"/>
      <c r="AC627" s="282"/>
      <c r="AD627" s="282"/>
      <c r="AE627" s="5416"/>
    </row>
    <row r="628" spans="1:31" ht="37.5" customHeight="1">
      <c r="A628" s="5367"/>
      <c r="B628" s="5334"/>
      <c r="C628" s="5337"/>
      <c r="D628" s="5337"/>
      <c r="E628" s="5337"/>
      <c r="F628" s="5337"/>
      <c r="G628" s="5337"/>
      <c r="H628" s="5337"/>
      <c r="I628" s="5337"/>
      <c r="J628" s="5337"/>
      <c r="K628" s="5337"/>
      <c r="L628" s="5337"/>
      <c r="M628" s="5337"/>
      <c r="N628" s="5337"/>
      <c r="O628" s="5337"/>
      <c r="P628" s="5337"/>
      <c r="Q628" s="5345"/>
      <c r="R628" s="791"/>
      <c r="S628" s="729"/>
      <c r="T628" s="729"/>
      <c r="U628" s="730"/>
      <c r="V628" s="731"/>
      <c r="W628" s="731"/>
      <c r="X628" s="732"/>
      <c r="Y628" s="726"/>
      <c r="Z628" s="726"/>
      <c r="AA628" s="727"/>
      <c r="AB628" s="170"/>
      <c r="AC628" s="282"/>
      <c r="AD628" s="282"/>
      <c r="AE628" s="5416"/>
    </row>
    <row r="629" spans="1:31" ht="37.5" customHeight="1">
      <c r="A629" s="5367"/>
      <c r="B629" s="5334"/>
      <c r="C629" s="5337"/>
      <c r="D629" s="5337"/>
      <c r="E629" s="5337"/>
      <c r="F629" s="5337"/>
      <c r="G629" s="5337"/>
      <c r="H629" s="5337"/>
      <c r="I629" s="5337"/>
      <c r="J629" s="5337"/>
      <c r="K629" s="5337"/>
      <c r="L629" s="5337"/>
      <c r="M629" s="5337"/>
      <c r="N629" s="5337"/>
      <c r="O629" s="5337"/>
      <c r="P629" s="5337"/>
      <c r="Q629" s="5345"/>
      <c r="R629" s="792"/>
      <c r="S629" s="734"/>
      <c r="T629" s="734"/>
      <c r="U629" s="730"/>
      <c r="V629" s="731"/>
      <c r="W629" s="731"/>
      <c r="X629" s="732"/>
      <c r="Y629" s="726"/>
      <c r="Z629" s="726"/>
      <c r="AA629" s="727"/>
      <c r="AB629" s="170"/>
      <c r="AC629" s="282"/>
      <c r="AD629" s="282"/>
      <c r="AE629" s="5416"/>
    </row>
    <row r="630" spans="1:31" ht="37.5" customHeight="1">
      <c r="A630" s="5367"/>
      <c r="B630" s="5335"/>
      <c r="C630" s="5338"/>
      <c r="D630" s="5338"/>
      <c r="E630" s="5338"/>
      <c r="F630" s="5338"/>
      <c r="G630" s="5338"/>
      <c r="H630" s="5338"/>
      <c r="I630" s="5338"/>
      <c r="J630" s="5338"/>
      <c r="K630" s="5338"/>
      <c r="L630" s="5338"/>
      <c r="M630" s="5338"/>
      <c r="N630" s="5338"/>
      <c r="O630" s="5338"/>
      <c r="P630" s="5338"/>
      <c r="Q630" s="5346"/>
      <c r="R630" s="796"/>
      <c r="S630" s="736"/>
      <c r="T630" s="736"/>
      <c r="U630" s="737"/>
      <c r="V630" s="738"/>
      <c r="W630" s="738"/>
      <c r="X630" s="739"/>
      <c r="Y630" s="739"/>
      <c r="Z630" s="739"/>
      <c r="AA630" s="740"/>
      <c r="AB630" s="165"/>
      <c r="AC630" s="166"/>
      <c r="AD630" s="166"/>
      <c r="AE630" s="5417"/>
    </row>
    <row r="631" spans="1:31" ht="37.5" customHeight="1">
      <c r="A631" s="5367"/>
      <c r="B631" s="925"/>
      <c r="C631" s="926"/>
      <c r="D631" s="785"/>
      <c r="E631" s="785"/>
      <c r="F631" s="785"/>
      <c r="G631" s="785"/>
      <c r="H631" s="785"/>
      <c r="I631" s="785"/>
      <c r="J631" s="785"/>
      <c r="K631" s="785"/>
      <c r="L631" s="785"/>
      <c r="M631" s="785"/>
      <c r="N631" s="785"/>
      <c r="O631" s="785"/>
      <c r="P631" s="785"/>
      <c r="Q631" s="786"/>
      <c r="R631" s="5468" t="s">
        <v>2348</v>
      </c>
      <c r="S631" s="5469"/>
      <c r="T631" s="5469"/>
      <c r="U631" s="5469"/>
      <c r="V631" s="5469"/>
      <c r="W631" s="5469"/>
      <c r="X631" s="5469"/>
      <c r="Y631" s="5469"/>
      <c r="Z631" s="5470"/>
      <c r="AA631" s="927">
        <f>SUM(AA546:AA630)</f>
        <v>0</v>
      </c>
      <c r="AB631" s="928"/>
      <c r="AC631" s="928"/>
      <c r="AD631" s="928"/>
      <c r="AE631" s="929"/>
    </row>
    <row r="632" spans="1:31" ht="37.5" customHeight="1">
      <c r="A632" s="5369" t="s">
        <v>2349</v>
      </c>
      <c r="B632" s="5373" t="s">
        <v>235</v>
      </c>
      <c r="C632" s="5325" t="s">
        <v>236</v>
      </c>
      <c r="D632" s="5325" t="s">
        <v>237</v>
      </c>
      <c r="E632" s="5325" t="s">
        <v>289</v>
      </c>
      <c r="F632" s="5328" t="s">
        <v>239</v>
      </c>
      <c r="G632" s="5325" t="s">
        <v>240</v>
      </c>
      <c r="H632" s="5325" t="s">
        <v>257</v>
      </c>
      <c r="I632" s="5325" t="s">
        <v>2350</v>
      </c>
      <c r="J632" s="5325" t="s">
        <v>1821</v>
      </c>
      <c r="K632" s="5325" t="s">
        <v>2228</v>
      </c>
      <c r="L632" s="5332">
        <v>0</v>
      </c>
      <c r="M632" s="5332">
        <v>1</v>
      </c>
      <c r="N632" s="5332">
        <v>1</v>
      </c>
      <c r="O632" s="5325" t="s">
        <v>2152</v>
      </c>
      <c r="P632" s="5325" t="s">
        <v>2153</v>
      </c>
      <c r="Q632" s="5329" t="s">
        <v>2351</v>
      </c>
      <c r="R632" s="902"/>
      <c r="S632" s="900"/>
      <c r="T632" s="900"/>
      <c r="U632" s="921"/>
      <c r="V632" s="898"/>
      <c r="W632" s="898"/>
      <c r="X632" s="899"/>
      <c r="Y632" s="899"/>
      <c r="Z632" s="899"/>
      <c r="AA632" s="901"/>
      <c r="AB632" s="624"/>
      <c r="AC632" s="615"/>
      <c r="AD632" s="528"/>
      <c r="AE632" s="5465"/>
    </row>
    <row r="633" spans="1:31" ht="37.5" customHeight="1">
      <c r="A633" s="5367"/>
      <c r="B633" s="5349"/>
      <c r="C633" s="5326"/>
      <c r="D633" s="5326"/>
      <c r="E633" s="5326"/>
      <c r="F633" s="5326"/>
      <c r="G633" s="5326"/>
      <c r="H633" s="5326"/>
      <c r="I633" s="5326"/>
      <c r="J633" s="5326"/>
      <c r="K633" s="5326"/>
      <c r="L633" s="5326"/>
      <c r="M633" s="5326"/>
      <c r="N633" s="5326"/>
      <c r="O633" s="5326"/>
      <c r="P633" s="5326"/>
      <c r="Q633" s="5330"/>
      <c r="R633" s="898"/>
      <c r="S633" s="897"/>
      <c r="T633" s="897"/>
      <c r="U633" s="903"/>
      <c r="V633" s="898"/>
      <c r="W633" s="898"/>
      <c r="X633" s="899"/>
      <c r="Y633" s="899"/>
      <c r="Z633" s="899"/>
      <c r="AA633" s="901"/>
      <c r="AB633" s="624"/>
      <c r="AC633" s="615"/>
      <c r="AD633" s="528"/>
      <c r="AE633" s="5466"/>
    </row>
    <row r="634" spans="1:31" ht="37.5" customHeight="1">
      <c r="A634" s="5367"/>
      <c r="B634" s="5349"/>
      <c r="C634" s="5326"/>
      <c r="D634" s="5326"/>
      <c r="E634" s="5326"/>
      <c r="F634" s="5326"/>
      <c r="G634" s="5326"/>
      <c r="H634" s="5326"/>
      <c r="I634" s="5326"/>
      <c r="J634" s="5326"/>
      <c r="K634" s="5326"/>
      <c r="L634" s="5326"/>
      <c r="M634" s="5326"/>
      <c r="N634" s="5326"/>
      <c r="O634" s="5326"/>
      <c r="P634" s="5326"/>
      <c r="Q634" s="5330"/>
      <c r="R634" s="898"/>
      <c r="S634" s="897"/>
      <c r="T634" s="897"/>
      <c r="U634" s="903"/>
      <c r="V634" s="898"/>
      <c r="W634" s="898"/>
      <c r="X634" s="899"/>
      <c r="Y634" s="899"/>
      <c r="Z634" s="899"/>
      <c r="AA634" s="901"/>
      <c r="AB634" s="624"/>
      <c r="AC634" s="615"/>
      <c r="AD634" s="528"/>
      <c r="AE634" s="5466"/>
    </row>
    <row r="635" spans="1:31" ht="37.5" customHeight="1">
      <c r="A635" s="5367"/>
      <c r="B635" s="5349"/>
      <c r="C635" s="5326"/>
      <c r="D635" s="5326"/>
      <c r="E635" s="5326"/>
      <c r="F635" s="5326"/>
      <c r="G635" s="5326"/>
      <c r="H635" s="5326"/>
      <c r="I635" s="5326"/>
      <c r="J635" s="5326"/>
      <c r="K635" s="5326"/>
      <c r="L635" s="5326"/>
      <c r="M635" s="5326"/>
      <c r="N635" s="5326"/>
      <c r="O635" s="5326"/>
      <c r="P635" s="5326"/>
      <c r="Q635" s="5330"/>
      <c r="R635" s="902"/>
      <c r="S635" s="900"/>
      <c r="T635" s="900"/>
      <c r="U635" s="903"/>
      <c r="V635" s="898"/>
      <c r="W635" s="898"/>
      <c r="X635" s="899"/>
      <c r="Y635" s="899"/>
      <c r="Z635" s="899"/>
      <c r="AA635" s="901"/>
      <c r="AB635" s="624"/>
      <c r="AC635" s="615"/>
      <c r="AD635" s="528"/>
      <c r="AE635" s="5466"/>
    </row>
    <row r="636" spans="1:31" ht="37.5" customHeight="1">
      <c r="A636" s="5367"/>
      <c r="B636" s="5350"/>
      <c r="C636" s="5327"/>
      <c r="D636" s="5327"/>
      <c r="E636" s="5327"/>
      <c r="F636" s="5327"/>
      <c r="G636" s="5327"/>
      <c r="H636" s="5327"/>
      <c r="I636" s="5327"/>
      <c r="J636" s="5327"/>
      <c r="K636" s="5327"/>
      <c r="L636" s="5327"/>
      <c r="M636" s="5327"/>
      <c r="N636" s="5327"/>
      <c r="O636" s="5327"/>
      <c r="P636" s="5327"/>
      <c r="Q636" s="5331"/>
      <c r="R636" s="898"/>
      <c r="S636" s="897"/>
      <c r="T636" s="897"/>
      <c r="U636" s="903"/>
      <c r="V636" s="898"/>
      <c r="W636" s="898"/>
      <c r="X636" s="899"/>
      <c r="Y636" s="899"/>
      <c r="Z636" s="899"/>
      <c r="AA636" s="901"/>
      <c r="AB636" s="624"/>
      <c r="AC636" s="615"/>
      <c r="AD636" s="528"/>
      <c r="AE636" s="5467"/>
    </row>
    <row r="637" spans="1:31" ht="37.5" customHeight="1">
      <c r="A637" s="5367"/>
      <c r="B637" s="5348" t="s">
        <v>235</v>
      </c>
      <c r="C637" s="5325" t="s">
        <v>236</v>
      </c>
      <c r="D637" s="5325" t="s">
        <v>237</v>
      </c>
      <c r="E637" s="5325" t="s">
        <v>289</v>
      </c>
      <c r="F637" s="5328" t="s">
        <v>239</v>
      </c>
      <c r="G637" s="5325" t="s">
        <v>240</v>
      </c>
      <c r="H637" s="5325" t="s">
        <v>257</v>
      </c>
      <c r="I637" s="5325" t="s">
        <v>2352</v>
      </c>
      <c r="J637" s="5325" t="s">
        <v>1825</v>
      </c>
      <c r="K637" s="5325" t="s">
        <v>2353</v>
      </c>
      <c r="L637" s="5332">
        <v>0</v>
      </c>
      <c r="M637" s="5332">
        <v>4</v>
      </c>
      <c r="N637" s="5332">
        <v>4</v>
      </c>
      <c r="O637" s="5325" t="s">
        <v>2157</v>
      </c>
      <c r="P637" s="5325" t="s">
        <v>2232</v>
      </c>
      <c r="Q637" s="5329" t="s">
        <v>2354</v>
      </c>
      <c r="R637" s="902"/>
      <c r="S637" s="900"/>
      <c r="T637" s="900"/>
      <c r="U637" s="921"/>
      <c r="V637" s="898"/>
      <c r="W637" s="898"/>
      <c r="X637" s="899"/>
      <c r="Y637" s="899"/>
      <c r="Z637" s="899"/>
      <c r="AA637" s="901"/>
      <c r="AB637" s="624"/>
      <c r="AC637" s="615"/>
      <c r="AD637" s="528"/>
      <c r="AE637" s="5465" t="s">
        <v>2160</v>
      </c>
    </row>
    <row r="638" spans="1:31" ht="37.5" customHeight="1">
      <c r="A638" s="5367"/>
      <c r="B638" s="5349"/>
      <c r="C638" s="5326"/>
      <c r="D638" s="5326"/>
      <c r="E638" s="5326"/>
      <c r="F638" s="5326"/>
      <c r="G638" s="5326"/>
      <c r="H638" s="5326"/>
      <c r="I638" s="5326"/>
      <c r="J638" s="5326"/>
      <c r="K638" s="5326"/>
      <c r="L638" s="5326"/>
      <c r="M638" s="5326"/>
      <c r="N638" s="5326"/>
      <c r="O638" s="5326"/>
      <c r="P638" s="5326"/>
      <c r="Q638" s="5330"/>
      <c r="R638" s="898"/>
      <c r="S638" s="897"/>
      <c r="T638" s="897"/>
      <c r="U638" s="903"/>
      <c r="V638" s="898"/>
      <c r="W638" s="898"/>
      <c r="X638" s="899"/>
      <c r="Y638" s="899"/>
      <c r="Z638" s="899"/>
      <c r="AA638" s="901"/>
      <c r="AB638" s="624"/>
      <c r="AC638" s="615"/>
      <c r="AD638" s="528"/>
      <c r="AE638" s="5466"/>
    </row>
    <row r="639" spans="1:31" ht="37.5" customHeight="1">
      <c r="A639" s="5367"/>
      <c r="B639" s="5349"/>
      <c r="C639" s="5326"/>
      <c r="D639" s="5326"/>
      <c r="E639" s="5326"/>
      <c r="F639" s="5326"/>
      <c r="G639" s="5326"/>
      <c r="H639" s="5326"/>
      <c r="I639" s="5326"/>
      <c r="J639" s="5326"/>
      <c r="K639" s="5326"/>
      <c r="L639" s="5326"/>
      <c r="M639" s="5326"/>
      <c r="N639" s="5326"/>
      <c r="O639" s="5326"/>
      <c r="P639" s="5326"/>
      <c r="Q639" s="5330"/>
      <c r="R639" s="898"/>
      <c r="S639" s="897"/>
      <c r="T639" s="897"/>
      <c r="U639" s="903"/>
      <c r="V639" s="898"/>
      <c r="W639" s="898"/>
      <c r="X639" s="899"/>
      <c r="Y639" s="899"/>
      <c r="Z639" s="899"/>
      <c r="AA639" s="901"/>
      <c r="AB639" s="624"/>
      <c r="AC639" s="615"/>
      <c r="AD639" s="528"/>
      <c r="AE639" s="5466"/>
    </row>
    <row r="640" spans="1:31" ht="37.5" customHeight="1">
      <c r="A640" s="5367"/>
      <c r="B640" s="5349"/>
      <c r="C640" s="5326"/>
      <c r="D640" s="5326"/>
      <c r="E640" s="5326"/>
      <c r="F640" s="5326"/>
      <c r="G640" s="5326"/>
      <c r="H640" s="5326"/>
      <c r="I640" s="5326"/>
      <c r="J640" s="5326"/>
      <c r="K640" s="5326"/>
      <c r="L640" s="5326"/>
      <c r="M640" s="5326"/>
      <c r="N640" s="5326"/>
      <c r="O640" s="5326"/>
      <c r="P640" s="5326"/>
      <c r="Q640" s="5330"/>
      <c r="R640" s="902"/>
      <c r="S640" s="900"/>
      <c r="T640" s="900"/>
      <c r="U640" s="903"/>
      <c r="V640" s="898"/>
      <c r="W640" s="898"/>
      <c r="X640" s="899"/>
      <c r="Y640" s="899"/>
      <c r="Z640" s="899"/>
      <c r="AA640" s="901"/>
      <c r="AB640" s="624"/>
      <c r="AC640" s="615"/>
      <c r="AD640" s="528"/>
      <c r="AE640" s="5466"/>
    </row>
    <row r="641" spans="1:31" ht="37.5" customHeight="1">
      <c r="A641" s="5367"/>
      <c r="B641" s="5350"/>
      <c r="C641" s="5327"/>
      <c r="D641" s="5327"/>
      <c r="E641" s="5327"/>
      <c r="F641" s="5327"/>
      <c r="G641" s="5327"/>
      <c r="H641" s="5327"/>
      <c r="I641" s="5327"/>
      <c r="J641" s="5327"/>
      <c r="K641" s="5327"/>
      <c r="L641" s="5327"/>
      <c r="M641" s="5327"/>
      <c r="N641" s="5327"/>
      <c r="O641" s="5327"/>
      <c r="P641" s="5327"/>
      <c r="Q641" s="5331"/>
      <c r="R641" s="898"/>
      <c r="S641" s="897"/>
      <c r="T641" s="897"/>
      <c r="U641" s="903"/>
      <c r="V641" s="898"/>
      <c r="W641" s="898"/>
      <c r="X641" s="899"/>
      <c r="Y641" s="899"/>
      <c r="Z641" s="899"/>
      <c r="AA641" s="901"/>
      <c r="AB641" s="624"/>
      <c r="AC641" s="615"/>
      <c r="AD641" s="528"/>
      <c r="AE641" s="5467"/>
    </row>
    <row r="642" spans="1:31" ht="37.5" customHeight="1">
      <c r="A642" s="5367"/>
      <c r="B642" s="5348" t="s">
        <v>235</v>
      </c>
      <c r="C642" s="5325" t="s">
        <v>236</v>
      </c>
      <c r="D642" s="5325" t="s">
        <v>237</v>
      </c>
      <c r="E642" s="5325" t="s">
        <v>289</v>
      </c>
      <c r="F642" s="5328" t="s">
        <v>239</v>
      </c>
      <c r="G642" s="5325" t="s">
        <v>240</v>
      </c>
      <c r="H642" s="5325" t="s">
        <v>257</v>
      </c>
      <c r="I642" s="5325" t="s">
        <v>2355</v>
      </c>
      <c r="J642" s="5325" t="s">
        <v>1828</v>
      </c>
      <c r="K642" s="5325" t="s">
        <v>2234</v>
      </c>
      <c r="L642" s="5332">
        <v>0</v>
      </c>
      <c r="M642" s="5332">
        <v>1</v>
      </c>
      <c r="N642" s="5332">
        <v>1</v>
      </c>
      <c r="O642" s="5325" t="s">
        <v>2163</v>
      </c>
      <c r="P642" s="5325" t="s">
        <v>2164</v>
      </c>
      <c r="Q642" s="5329" t="s">
        <v>2354</v>
      </c>
      <c r="R642" s="902"/>
      <c r="S642" s="900"/>
      <c r="T642" s="900"/>
      <c r="U642" s="921"/>
      <c r="V642" s="898"/>
      <c r="W642" s="898"/>
      <c r="X642" s="899"/>
      <c r="Y642" s="899"/>
      <c r="Z642" s="899"/>
      <c r="AA642" s="901"/>
      <c r="AB642" s="624"/>
      <c r="AC642" s="615"/>
      <c r="AD642" s="528"/>
      <c r="AE642" s="5465" t="s">
        <v>2166</v>
      </c>
    </row>
    <row r="643" spans="1:31" ht="37.5" customHeight="1">
      <c r="A643" s="5367"/>
      <c r="B643" s="5349"/>
      <c r="C643" s="5326"/>
      <c r="D643" s="5326"/>
      <c r="E643" s="5326"/>
      <c r="F643" s="5326"/>
      <c r="G643" s="5326"/>
      <c r="H643" s="5326"/>
      <c r="I643" s="5326"/>
      <c r="J643" s="5326"/>
      <c r="K643" s="5326"/>
      <c r="L643" s="5326"/>
      <c r="M643" s="5326"/>
      <c r="N643" s="5326"/>
      <c r="O643" s="5326"/>
      <c r="P643" s="5326"/>
      <c r="Q643" s="5330"/>
      <c r="R643" s="898"/>
      <c r="S643" s="897"/>
      <c r="T643" s="897"/>
      <c r="U643" s="903"/>
      <c r="V643" s="898"/>
      <c r="W643" s="898"/>
      <c r="X643" s="899"/>
      <c r="Y643" s="899"/>
      <c r="Z643" s="899"/>
      <c r="AA643" s="901"/>
      <c r="AB643" s="624"/>
      <c r="AC643" s="615"/>
      <c r="AD643" s="528"/>
      <c r="AE643" s="5466"/>
    </row>
    <row r="644" spans="1:31" ht="37.5" customHeight="1">
      <c r="A644" s="5367"/>
      <c r="B644" s="5349"/>
      <c r="C644" s="5326"/>
      <c r="D644" s="5326"/>
      <c r="E644" s="5326"/>
      <c r="F644" s="5326"/>
      <c r="G644" s="5326"/>
      <c r="H644" s="5326"/>
      <c r="I644" s="5326"/>
      <c r="J644" s="5326"/>
      <c r="K644" s="5326"/>
      <c r="L644" s="5326"/>
      <c r="M644" s="5326"/>
      <c r="N644" s="5326"/>
      <c r="O644" s="5326"/>
      <c r="P644" s="5326"/>
      <c r="Q644" s="5330"/>
      <c r="R644" s="898"/>
      <c r="S644" s="897"/>
      <c r="T644" s="897"/>
      <c r="U644" s="903"/>
      <c r="V644" s="898"/>
      <c r="W644" s="898"/>
      <c r="X644" s="899"/>
      <c r="Y644" s="899"/>
      <c r="Z644" s="899"/>
      <c r="AA644" s="901"/>
      <c r="AB644" s="624"/>
      <c r="AC644" s="615"/>
      <c r="AD644" s="528"/>
      <c r="AE644" s="5466"/>
    </row>
    <row r="645" spans="1:31" ht="37.5" customHeight="1">
      <c r="A645" s="5367"/>
      <c r="B645" s="5349"/>
      <c r="C645" s="5326"/>
      <c r="D645" s="5326"/>
      <c r="E645" s="5326"/>
      <c r="F645" s="5326"/>
      <c r="G645" s="5326"/>
      <c r="H645" s="5326"/>
      <c r="I645" s="5326"/>
      <c r="J645" s="5326"/>
      <c r="K645" s="5326"/>
      <c r="L645" s="5326"/>
      <c r="M645" s="5326"/>
      <c r="N645" s="5326"/>
      <c r="O645" s="5326"/>
      <c r="P645" s="5326"/>
      <c r="Q645" s="5330"/>
      <c r="R645" s="902"/>
      <c r="S645" s="900"/>
      <c r="T645" s="900"/>
      <c r="U645" s="903"/>
      <c r="V645" s="898"/>
      <c r="W645" s="898"/>
      <c r="X645" s="899"/>
      <c r="Y645" s="899"/>
      <c r="Z645" s="899"/>
      <c r="AA645" s="901"/>
      <c r="AB645" s="624"/>
      <c r="AC645" s="615"/>
      <c r="AD645" s="528"/>
      <c r="AE645" s="5466"/>
    </row>
    <row r="646" spans="1:31" ht="37.5" customHeight="1">
      <c r="A646" s="5367"/>
      <c r="B646" s="5350"/>
      <c r="C646" s="5327"/>
      <c r="D646" s="5327"/>
      <c r="E646" s="5327"/>
      <c r="F646" s="5327"/>
      <c r="G646" s="5327"/>
      <c r="H646" s="5327"/>
      <c r="I646" s="5327"/>
      <c r="J646" s="5327"/>
      <c r="K646" s="5327"/>
      <c r="L646" s="5327"/>
      <c r="M646" s="5327"/>
      <c r="N646" s="5327"/>
      <c r="O646" s="5327"/>
      <c r="P646" s="5327"/>
      <c r="Q646" s="5331"/>
      <c r="R646" s="898"/>
      <c r="S646" s="897"/>
      <c r="T646" s="897"/>
      <c r="U646" s="903"/>
      <c r="V646" s="898"/>
      <c r="W646" s="898"/>
      <c r="X646" s="899"/>
      <c r="Y646" s="899"/>
      <c r="Z646" s="899"/>
      <c r="AA646" s="901"/>
      <c r="AB646" s="624"/>
      <c r="AC646" s="615"/>
      <c r="AD646" s="528"/>
      <c r="AE646" s="5467"/>
    </row>
    <row r="647" spans="1:31" ht="37.5" customHeight="1">
      <c r="A647" s="5367"/>
      <c r="B647" s="5348" t="s">
        <v>235</v>
      </c>
      <c r="C647" s="5325" t="s">
        <v>236</v>
      </c>
      <c r="D647" s="5325" t="s">
        <v>237</v>
      </c>
      <c r="E647" s="5325" t="s">
        <v>289</v>
      </c>
      <c r="F647" s="5328" t="s">
        <v>239</v>
      </c>
      <c r="G647" s="5325" t="s">
        <v>240</v>
      </c>
      <c r="H647" s="5325" t="s">
        <v>257</v>
      </c>
      <c r="I647" s="5325" t="s">
        <v>2356</v>
      </c>
      <c r="J647" s="5325" t="s">
        <v>2236</v>
      </c>
      <c r="K647" s="5325" t="s">
        <v>2237</v>
      </c>
      <c r="L647" s="5332">
        <v>0</v>
      </c>
      <c r="M647" s="5332">
        <v>1</v>
      </c>
      <c r="N647" s="5332">
        <v>1</v>
      </c>
      <c r="O647" s="5325" t="s">
        <v>2238</v>
      </c>
      <c r="P647" s="5325" t="s">
        <v>2239</v>
      </c>
      <c r="Q647" s="5329" t="s">
        <v>2357</v>
      </c>
      <c r="R647" s="902"/>
      <c r="S647" s="900"/>
      <c r="T647" s="900"/>
      <c r="U647" s="921"/>
      <c r="V647" s="898"/>
      <c r="W647" s="898"/>
      <c r="X647" s="899"/>
      <c r="Y647" s="899"/>
      <c r="Z647" s="899"/>
      <c r="AA647" s="901"/>
      <c r="AB647" s="624"/>
      <c r="AC647" s="615"/>
      <c r="AD647" s="528"/>
      <c r="AE647" s="5465" t="s">
        <v>2173</v>
      </c>
    </row>
    <row r="648" spans="1:31" ht="37.5" customHeight="1">
      <c r="A648" s="5367"/>
      <c r="B648" s="5349"/>
      <c r="C648" s="5326"/>
      <c r="D648" s="5326"/>
      <c r="E648" s="5326"/>
      <c r="F648" s="5326"/>
      <c r="G648" s="5326"/>
      <c r="H648" s="5326"/>
      <c r="I648" s="5326"/>
      <c r="J648" s="5326"/>
      <c r="K648" s="5326"/>
      <c r="L648" s="5326"/>
      <c r="M648" s="5326"/>
      <c r="N648" s="5326"/>
      <c r="O648" s="5326"/>
      <c r="P648" s="5326"/>
      <c r="Q648" s="5330"/>
      <c r="R648" s="898"/>
      <c r="S648" s="897"/>
      <c r="T648" s="897"/>
      <c r="U648" s="903"/>
      <c r="V648" s="898"/>
      <c r="W648" s="898"/>
      <c r="X648" s="899"/>
      <c r="Y648" s="899"/>
      <c r="Z648" s="899"/>
      <c r="AA648" s="901"/>
      <c r="AB648" s="624"/>
      <c r="AC648" s="615"/>
      <c r="AD648" s="528"/>
      <c r="AE648" s="5466"/>
    </row>
    <row r="649" spans="1:31" ht="37.5" customHeight="1">
      <c r="A649" s="5367"/>
      <c r="B649" s="5349"/>
      <c r="C649" s="5326"/>
      <c r="D649" s="5326"/>
      <c r="E649" s="5326"/>
      <c r="F649" s="5326"/>
      <c r="G649" s="5326"/>
      <c r="H649" s="5326"/>
      <c r="I649" s="5326"/>
      <c r="J649" s="5326"/>
      <c r="K649" s="5326"/>
      <c r="L649" s="5326"/>
      <c r="M649" s="5326"/>
      <c r="N649" s="5326"/>
      <c r="O649" s="5326"/>
      <c r="P649" s="5326"/>
      <c r="Q649" s="5330"/>
      <c r="R649" s="898"/>
      <c r="S649" s="897"/>
      <c r="T649" s="897"/>
      <c r="U649" s="903"/>
      <c r="V649" s="898"/>
      <c r="W649" s="898"/>
      <c r="X649" s="899"/>
      <c r="Y649" s="899"/>
      <c r="Z649" s="899"/>
      <c r="AA649" s="901"/>
      <c r="AB649" s="624"/>
      <c r="AC649" s="615"/>
      <c r="AD649" s="528"/>
      <c r="AE649" s="5466"/>
    </row>
    <row r="650" spans="1:31" ht="37.5" customHeight="1">
      <c r="A650" s="5367"/>
      <c r="B650" s="5349"/>
      <c r="C650" s="5326"/>
      <c r="D650" s="5326"/>
      <c r="E650" s="5326"/>
      <c r="F650" s="5326"/>
      <c r="G650" s="5326"/>
      <c r="H650" s="5326"/>
      <c r="I650" s="5326"/>
      <c r="J650" s="5326"/>
      <c r="K650" s="5326"/>
      <c r="L650" s="5326"/>
      <c r="M650" s="5326"/>
      <c r="N650" s="5326"/>
      <c r="O650" s="5326"/>
      <c r="P650" s="5326"/>
      <c r="Q650" s="5330"/>
      <c r="R650" s="902"/>
      <c r="S650" s="900"/>
      <c r="T650" s="900"/>
      <c r="U650" s="903"/>
      <c r="V650" s="898"/>
      <c r="W650" s="898"/>
      <c r="X650" s="899"/>
      <c r="Y650" s="899"/>
      <c r="Z650" s="899"/>
      <c r="AA650" s="901"/>
      <c r="AB650" s="624"/>
      <c r="AC650" s="615"/>
      <c r="AD650" s="528"/>
      <c r="AE650" s="5466"/>
    </row>
    <row r="651" spans="1:31" ht="37.5" customHeight="1">
      <c r="A651" s="5367"/>
      <c r="B651" s="5350"/>
      <c r="C651" s="5327"/>
      <c r="D651" s="5327"/>
      <c r="E651" s="5327"/>
      <c r="F651" s="5327"/>
      <c r="G651" s="5327"/>
      <c r="H651" s="5327"/>
      <c r="I651" s="5327"/>
      <c r="J651" s="5327"/>
      <c r="K651" s="5327"/>
      <c r="L651" s="5327"/>
      <c r="M651" s="5327"/>
      <c r="N651" s="5327"/>
      <c r="O651" s="5327"/>
      <c r="P651" s="5327"/>
      <c r="Q651" s="5331"/>
      <c r="R651" s="898"/>
      <c r="S651" s="897"/>
      <c r="T651" s="897"/>
      <c r="U651" s="903"/>
      <c r="V651" s="898"/>
      <c r="W651" s="898"/>
      <c r="X651" s="899"/>
      <c r="Y651" s="899"/>
      <c r="Z651" s="899"/>
      <c r="AA651" s="901"/>
      <c r="AB651" s="624"/>
      <c r="AC651" s="615"/>
      <c r="AD651" s="528"/>
      <c r="AE651" s="5467"/>
    </row>
    <row r="652" spans="1:31" ht="37.5" customHeight="1">
      <c r="A652" s="5367"/>
      <c r="B652" s="5348" t="s">
        <v>272</v>
      </c>
      <c r="C652" s="5325" t="s">
        <v>679</v>
      </c>
      <c r="D652" s="5325" t="s">
        <v>680</v>
      </c>
      <c r="E652" s="5325" t="s">
        <v>2174</v>
      </c>
      <c r="F652" s="5328" t="s">
        <v>682</v>
      </c>
      <c r="G652" s="5325" t="s">
        <v>262</v>
      </c>
      <c r="H652" s="5325" t="s">
        <v>257</v>
      </c>
      <c r="I652" s="5365" t="s">
        <v>2358</v>
      </c>
      <c r="J652" s="5325" t="s">
        <v>1836</v>
      </c>
      <c r="K652" s="5325" t="s">
        <v>2241</v>
      </c>
      <c r="L652" s="5332">
        <v>0</v>
      </c>
      <c r="M652" s="5332">
        <v>1</v>
      </c>
      <c r="N652" s="5332">
        <v>1</v>
      </c>
      <c r="O652" s="5325" t="s">
        <v>2242</v>
      </c>
      <c r="P652" s="5325" t="s">
        <v>2238</v>
      </c>
      <c r="Q652" s="5329" t="s">
        <v>2357</v>
      </c>
      <c r="R652" s="902"/>
      <c r="S652" s="900"/>
      <c r="T652" s="900"/>
      <c r="U652" s="921"/>
      <c r="V652" s="898"/>
      <c r="W652" s="898"/>
      <c r="X652" s="899"/>
      <c r="Y652" s="899"/>
      <c r="Z652" s="899"/>
      <c r="AA652" s="901"/>
      <c r="AB652" s="624"/>
      <c r="AC652" s="615"/>
      <c r="AD652" s="528"/>
      <c r="AE652" s="5465" t="s">
        <v>2166</v>
      </c>
    </row>
    <row r="653" spans="1:31" ht="37.5" customHeight="1">
      <c r="A653" s="5367"/>
      <c r="B653" s="5349"/>
      <c r="C653" s="5326"/>
      <c r="D653" s="5326"/>
      <c r="E653" s="5326"/>
      <c r="F653" s="5326"/>
      <c r="G653" s="5326"/>
      <c r="H653" s="5326"/>
      <c r="I653" s="5326"/>
      <c r="J653" s="5326"/>
      <c r="K653" s="5326"/>
      <c r="L653" s="5326"/>
      <c r="M653" s="5326"/>
      <c r="N653" s="5326"/>
      <c r="O653" s="5326"/>
      <c r="P653" s="5326"/>
      <c r="Q653" s="5330"/>
      <c r="R653" s="896"/>
      <c r="S653" s="897"/>
      <c r="T653" s="897"/>
      <c r="U653" s="903"/>
      <c r="V653" s="898"/>
      <c r="W653" s="898"/>
      <c r="X653" s="899"/>
      <c r="Y653" s="899"/>
      <c r="Z653" s="899"/>
      <c r="AA653" s="67"/>
      <c r="AB653" s="624"/>
      <c r="AC653" s="615"/>
      <c r="AD653" s="528"/>
      <c r="AE653" s="5466"/>
    </row>
    <row r="654" spans="1:31" ht="37.5" customHeight="1">
      <c r="A654" s="5367"/>
      <c r="B654" s="5349"/>
      <c r="C654" s="5326"/>
      <c r="D654" s="5326"/>
      <c r="E654" s="5326"/>
      <c r="F654" s="5326"/>
      <c r="G654" s="5326"/>
      <c r="H654" s="5326"/>
      <c r="I654" s="5326"/>
      <c r="J654" s="5326"/>
      <c r="K654" s="5326"/>
      <c r="L654" s="5326"/>
      <c r="M654" s="5326"/>
      <c r="N654" s="5326"/>
      <c r="O654" s="5326"/>
      <c r="P654" s="5326"/>
      <c r="Q654" s="5330"/>
      <c r="R654" s="898"/>
      <c r="S654" s="900"/>
      <c r="T654" s="897"/>
      <c r="U654" s="921"/>
      <c r="V654" s="898"/>
      <c r="W654" s="898"/>
      <c r="X654" s="899"/>
      <c r="Y654" s="899"/>
      <c r="Z654" s="899"/>
      <c r="AA654" s="901"/>
      <c r="AB654" s="624"/>
      <c r="AC654" s="615"/>
      <c r="AD654" s="528"/>
      <c r="AE654" s="5466"/>
    </row>
    <row r="655" spans="1:31" ht="37.5" customHeight="1">
      <c r="A655" s="5367"/>
      <c r="B655" s="5349"/>
      <c r="C655" s="5326"/>
      <c r="D655" s="5326"/>
      <c r="E655" s="5326"/>
      <c r="F655" s="5326"/>
      <c r="G655" s="5326"/>
      <c r="H655" s="5326"/>
      <c r="I655" s="5326"/>
      <c r="J655" s="5326"/>
      <c r="K655" s="5326"/>
      <c r="L655" s="5326"/>
      <c r="M655" s="5326"/>
      <c r="N655" s="5326"/>
      <c r="O655" s="5326"/>
      <c r="P655" s="5326"/>
      <c r="Q655" s="5330"/>
      <c r="R655" s="902"/>
      <c r="S655" s="900"/>
      <c r="T655" s="897"/>
      <c r="U655" s="921"/>
      <c r="V655" s="898"/>
      <c r="W655" s="898"/>
      <c r="X655" s="899"/>
      <c r="Y655" s="899"/>
      <c r="Z655" s="899"/>
      <c r="AA655" s="901"/>
      <c r="AB655" s="624"/>
      <c r="AC655" s="615"/>
      <c r="AD655" s="528"/>
      <c r="AE655" s="5466"/>
    </row>
    <row r="656" spans="1:31" ht="37.5" customHeight="1">
      <c r="A656" s="5367"/>
      <c r="B656" s="5349"/>
      <c r="C656" s="5326"/>
      <c r="D656" s="5326"/>
      <c r="E656" s="5326"/>
      <c r="F656" s="5326"/>
      <c r="G656" s="5326"/>
      <c r="H656" s="5326"/>
      <c r="I656" s="5326"/>
      <c r="J656" s="5326"/>
      <c r="K656" s="5326"/>
      <c r="L656" s="5326"/>
      <c r="M656" s="5326"/>
      <c r="N656" s="5326"/>
      <c r="O656" s="5326"/>
      <c r="P656" s="5326"/>
      <c r="Q656" s="5330"/>
      <c r="R656" s="896"/>
      <c r="S656" s="897"/>
      <c r="T656" s="897"/>
      <c r="U656" s="903"/>
      <c r="V656" s="898"/>
      <c r="W656" s="898"/>
      <c r="X656" s="899"/>
      <c r="Y656" s="899"/>
      <c r="Z656" s="899"/>
      <c r="AA656" s="901"/>
      <c r="AB656" s="624"/>
      <c r="AC656" s="615"/>
      <c r="AD656" s="528"/>
      <c r="AE656" s="5466"/>
    </row>
    <row r="657" spans="1:31" ht="37.5" customHeight="1">
      <c r="A657" s="5367"/>
      <c r="B657" s="5349"/>
      <c r="C657" s="5326"/>
      <c r="D657" s="5326"/>
      <c r="E657" s="5326"/>
      <c r="F657" s="5326"/>
      <c r="G657" s="5326"/>
      <c r="H657" s="5326"/>
      <c r="I657" s="5326"/>
      <c r="J657" s="5326"/>
      <c r="K657" s="5326"/>
      <c r="L657" s="5326"/>
      <c r="M657" s="5326"/>
      <c r="N657" s="5326"/>
      <c r="O657" s="5326"/>
      <c r="P657" s="5326"/>
      <c r="Q657" s="5330"/>
      <c r="R657" s="898"/>
      <c r="S657" s="900"/>
      <c r="T657" s="897"/>
      <c r="U657" s="921"/>
      <c r="V657" s="898"/>
      <c r="W657" s="898"/>
      <c r="X657" s="899"/>
      <c r="Y657" s="899"/>
      <c r="Z657" s="899"/>
      <c r="AA657" s="901"/>
      <c r="AB657" s="624"/>
      <c r="AC657" s="615"/>
      <c r="AD657" s="528"/>
      <c r="AE657" s="5466"/>
    </row>
    <row r="658" spans="1:31" ht="37.5" customHeight="1">
      <c r="A658" s="5367"/>
      <c r="B658" s="5349"/>
      <c r="C658" s="5326"/>
      <c r="D658" s="5326"/>
      <c r="E658" s="5326"/>
      <c r="F658" s="5326"/>
      <c r="G658" s="5326"/>
      <c r="H658" s="5326"/>
      <c r="I658" s="5326"/>
      <c r="J658" s="5326"/>
      <c r="K658" s="5326"/>
      <c r="L658" s="5326"/>
      <c r="M658" s="5326"/>
      <c r="N658" s="5326"/>
      <c r="O658" s="5326"/>
      <c r="P658" s="5326"/>
      <c r="Q658" s="5330"/>
      <c r="R658" s="902"/>
      <c r="S658" s="900"/>
      <c r="T658" s="897"/>
      <c r="U658" s="921"/>
      <c r="V658" s="898"/>
      <c r="W658" s="898"/>
      <c r="X658" s="899"/>
      <c r="Y658" s="899"/>
      <c r="Z658" s="899"/>
      <c r="AA658" s="901"/>
      <c r="AB658" s="624"/>
      <c r="AC658" s="615"/>
      <c r="AD658" s="528"/>
      <c r="AE658" s="5466"/>
    </row>
    <row r="659" spans="1:31" ht="37.5" customHeight="1">
      <c r="A659" s="5367"/>
      <c r="B659" s="5349"/>
      <c r="C659" s="5326"/>
      <c r="D659" s="5326"/>
      <c r="E659" s="5326"/>
      <c r="F659" s="5326"/>
      <c r="G659" s="5326"/>
      <c r="H659" s="5326"/>
      <c r="I659" s="5326"/>
      <c r="J659" s="5326"/>
      <c r="K659" s="5326"/>
      <c r="L659" s="5326"/>
      <c r="M659" s="5326"/>
      <c r="N659" s="5326"/>
      <c r="O659" s="5326"/>
      <c r="P659" s="5326"/>
      <c r="Q659" s="5330"/>
      <c r="R659" s="896"/>
      <c r="S659" s="897"/>
      <c r="T659" s="897"/>
      <c r="U659" s="903"/>
      <c r="V659" s="898"/>
      <c r="W659" s="898"/>
      <c r="X659" s="899"/>
      <c r="Y659" s="899"/>
      <c r="Z659" s="899"/>
      <c r="AA659" s="901"/>
      <c r="AB659" s="624"/>
      <c r="AC659" s="615"/>
      <c r="AD659" s="528"/>
      <c r="AE659" s="5466"/>
    </row>
    <row r="660" spans="1:31" ht="37.5" customHeight="1">
      <c r="A660" s="5367"/>
      <c r="B660" s="5349"/>
      <c r="C660" s="5326"/>
      <c r="D660" s="5326"/>
      <c r="E660" s="5326"/>
      <c r="F660" s="5326"/>
      <c r="G660" s="5326"/>
      <c r="H660" s="5326"/>
      <c r="I660" s="5326"/>
      <c r="J660" s="5326"/>
      <c r="K660" s="5326"/>
      <c r="L660" s="5326"/>
      <c r="M660" s="5326"/>
      <c r="N660" s="5326"/>
      <c r="O660" s="5326"/>
      <c r="P660" s="5326"/>
      <c r="Q660" s="5330"/>
      <c r="R660" s="902"/>
      <c r="S660" s="900"/>
      <c r="T660" s="904"/>
      <c r="U660" s="921"/>
      <c r="V660" s="898"/>
      <c r="W660" s="898"/>
      <c r="X660" s="899"/>
      <c r="Y660" s="899"/>
      <c r="Z660" s="899"/>
      <c r="AA660" s="901"/>
      <c r="AB660" s="624"/>
      <c r="AC660" s="615"/>
      <c r="AD660" s="528"/>
      <c r="AE660" s="5466"/>
    </row>
    <row r="661" spans="1:31" ht="37.5" customHeight="1">
      <c r="A661" s="5367"/>
      <c r="B661" s="5349"/>
      <c r="C661" s="5326"/>
      <c r="D661" s="5326"/>
      <c r="E661" s="5326"/>
      <c r="F661" s="5326"/>
      <c r="G661" s="5326"/>
      <c r="H661" s="5326"/>
      <c r="I661" s="5326"/>
      <c r="J661" s="5326"/>
      <c r="K661" s="5326"/>
      <c r="L661" s="5326"/>
      <c r="M661" s="5326"/>
      <c r="N661" s="5326"/>
      <c r="O661" s="5326"/>
      <c r="P661" s="5326"/>
      <c r="Q661" s="5330"/>
      <c r="R661" s="896"/>
      <c r="S661" s="897"/>
      <c r="T661" s="897"/>
      <c r="U661" s="903"/>
      <c r="V661" s="898"/>
      <c r="W661" s="898"/>
      <c r="X661" s="899"/>
      <c r="Y661" s="899"/>
      <c r="Z661" s="899"/>
      <c r="AA661" s="901"/>
      <c r="AB661" s="624"/>
      <c r="AC661" s="615"/>
      <c r="AD661" s="528"/>
      <c r="AE661" s="5466"/>
    </row>
    <row r="662" spans="1:31" ht="37.5" customHeight="1">
      <c r="A662" s="5367"/>
      <c r="B662" s="5349"/>
      <c r="C662" s="5326"/>
      <c r="D662" s="5326"/>
      <c r="E662" s="5326"/>
      <c r="F662" s="5326"/>
      <c r="G662" s="5326"/>
      <c r="H662" s="5326"/>
      <c r="I662" s="5326"/>
      <c r="J662" s="5326"/>
      <c r="K662" s="5326"/>
      <c r="L662" s="5326"/>
      <c r="M662" s="5326"/>
      <c r="N662" s="5326"/>
      <c r="O662" s="5326"/>
      <c r="P662" s="5326"/>
      <c r="Q662" s="5330"/>
      <c r="R662" s="902"/>
      <c r="S662" s="900"/>
      <c r="T662" s="897"/>
      <c r="U662" s="921"/>
      <c r="V662" s="898"/>
      <c r="W662" s="898"/>
      <c r="X662" s="899"/>
      <c r="Y662" s="899"/>
      <c r="Z662" s="899"/>
      <c r="AA662" s="901"/>
      <c r="AB662" s="624"/>
      <c r="AC662" s="615"/>
      <c r="AD662" s="528"/>
      <c r="AE662" s="5466"/>
    </row>
    <row r="663" spans="1:31" ht="37.5" customHeight="1">
      <c r="A663" s="5367"/>
      <c r="B663" s="5349"/>
      <c r="C663" s="5326"/>
      <c r="D663" s="5326"/>
      <c r="E663" s="5326"/>
      <c r="F663" s="5326"/>
      <c r="G663" s="5326"/>
      <c r="H663" s="5326"/>
      <c r="I663" s="5326"/>
      <c r="J663" s="5326"/>
      <c r="K663" s="5326"/>
      <c r="L663" s="5326"/>
      <c r="M663" s="5326"/>
      <c r="N663" s="5326"/>
      <c r="O663" s="5326"/>
      <c r="P663" s="5326"/>
      <c r="Q663" s="5330"/>
      <c r="R663" s="902"/>
      <c r="S663" s="900"/>
      <c r="T663" s="900"/>
      <c r="U663" s="921"/>
      <c r="V663" s="898"/>
      <c r="W663" s="898"/>
      <c r="X663" s="899"/>
      <c r="Y663" s="899"/>
      <c r="Z663" s="899"/>
      <c r="AA663" s="901"/>
      <c r="AB663" s="624"/>
      <c r="AC663" s="615"/>
      <c r="AD663" s="528"/>
      <c r="AE663" s="5466"/>
    </row>
    <row r="664" spans="1:31" ht="37.5" customHeight="1">
      <c r="A664" s="5367"/>
      <c r="B664" s="5349"/>
      <c r="C664" s="5326"/>
      <c r="D664" s="5326"/>
      <c r="E664" s="5326"/>
      <c r="F664" s="5326"/>
      <c r="G664" s="5326"/>
      <c r="H664" s="5326"/>
      <c r="I664" s="5326"/>
      <c r="J664" s="5326"/>
      <c r="K664" s="5326"/>
      <c r="L664" s="5326"/>
      <c r="M664" s="5326"/>
      <c r="N664" s="5326"/>
      <c r="O664" s="5326"/>
      <c r="P664" s="5326"/>
      <c r="Q664" s="5330"/>
      <c r="R664" s="896"/>
      <c r="S664" s="897"/>
      <c r="T664" s="897"/>
      <c r="U664" s="903"/>
      <c r="V664" s="898"/>
      <c r="W664" s="898"/>
      <c r="X664" s="899"/>
      <c r="Y664" s="899"/>
      <c r="Z664" s="899"/>
      <c r="AA664" s="901"/>
      <c r="AB664" s="624"/>
      <c r="AC664" s="615"/>
      <c r="AD664" s="528"/>
      <c r="AE664" s="5466"/>
    </row>
    <row r="665" spans="1:31" ht="37.5" customHeight="1">
      <c r="A665" s="5367"/>
      <c r="B665" s="5349"/>
      <c r="C665" s="5326"/>
      <c r="D665" s="5326"/>
      <c r="E665" s="5326"/>
      <c r="F665" s="5326"/>
      <c r="G665" s="5326"/>
      <c r="H665" s="5326"/>
      <c r="I665" s="5326"/>
      <c r="J665" s="5326"/>
      <c r="K665" s="5326"/>
      <c r="L665" s="5326"/>
      <c r="M665" s="5326"/>
      <c r="N665" s="5326"/>
      <c r="O665" s="5326"/>
      <c r="P665" s="5326"/>
      <c r="Q665" s="5330"/>
      <c r="R665" s="898"/>
      <c r="S665" s="67"/>
      <c r="T665" s="67"/>
      <c r="U665" s="67"/>
      <c r="V665" s="898"/>
      <c r="W665" s="898"/>
      <c r="X665" s="899"/>
      <c r="Y665" s="899"/>
      <c r="Z665" s="899"/>
      <c r="AA665" s="901"/>
      <c r="AB665" s="624"/>
      <c r="AC665" s="615"/>
      <c r="AD665" s="528"/>
      <c r="AE665" s="5466"/>
    </row>
    <row r="666" spans="1:31" ht="37.5" customHeight="1">
      <c r="A666" s="5367"/>
      <c r="B666" s="5349"/>
      <c r="C666" s="5326"/>
      <c r="D666" s="5326"/>
      <c r="E666" s="5326"/>
      <c r="F666" s="5326"/>
      <c r="G666" s="5326"/>
      <c r="H666" s="5326"/>
      <c r="I666" s="5326"/>
      <c r="J666" s="5326"/>
      <c r="K666" s="5326"/>
      <c r="L666" s="5326"/>
      <c r="M666" s="5326"/>
      <c r="N666" s="5326"/>
      <c r="O666" s="5326"/>
      <c r="P666" s="5326"/>
      <c r="Q666" s="5330"/>
      <c r="R666" s="902"/>
      <c r="S666" s="900"/>
      <c r="T666" s="900"/>
      <c r="U666" s="921"/>
      <c r="V666" s="898"/>
      <c r="W666" s="898"/>
      <c r="X666" s="899"/>
      <c r="Y666" s="899"/>
      <c r="Z666" s="899"/>
      <c r="AA666" s="901"/>
      <c r="AB666" s="624"/>
      <c r="AC666" s="615"/>
      <c r="AD666" s="528"/>
      <c r="AE666" s="5466"/>
    </row>
    <row r="667" spans="1:31" ht="37.5" customHeight="1">
      <c r="A667" s="5367"/>
      <c r="B667" s="5349"/>
      <c r="C667" s="5326"/>
      <c r="D667" s="5326"/>
      <c r="E667" s="5326"/>
      <c r="F667" s="5326"/>
      <c r="G667" s="5326"/>
      <c r="H667" s="5326"/>
      <c r="I667" s="5326"/>
      <c r="J667" s="5326"/>
      <c r="K667" s="5326"/>
      <c r="L667" s="5326"/>
      <c r="M667" s="5326"/>
      <c r="N667" s="5326"/>
      <c r="O667" s="5326"/>
      <c r="P667" s="5326"/>
      <c r="Q667" s="5330"/>
      <c r="R667" s="902"/>
      <c r="S667" s="897"/>
      <c r="T667" s="897"/>
      <c r="U667" s="903"/>
      <c r="V667" s="898"/>
      <c r="W667" s="898"/>
      <c r="X667" s="899"/>
      <c r="Y667" s="899"/>
      <c r="Z667" s="899"/>
      <c r="AA667" s="901"/>
      <c r="AB667" s="624"/>
      <c r="AC667" s="615"/>
      <c r="AD667" s="528"/>
      <c r="AE667" s="5466"/>
    </row>
    <row r="668" spans="1:31" ht="37.5" customHeight="1">
      <c r="A668" s="5367"/>
      <c r="B668" s="5349"/>
      <c r="C668" s="5326"/>
      <c r="D668" s="5326"/>
      <c r="E668" s="5326"/>
      <c r="F668" s="5326"/>
      <c r="G668" s="5326"/>
      <c r="H668" s="5326"/>
      <c r="I668" s="5326"/>
      <c r="J668" s="5326"/>
      <c r="K668" s="5326"/>
      <c r="L668" s="5326"/>
      <c r="M668" s="5326"/>
      <c r="N668" s="5326"/>
      <c r="O668" s="5326"/>
      <c r="P668" s="5326"/>
      <c r="Q668" s="5330"/>
      <c r="R668" s="902"/>
      <c r="S668" s="897"/>
      <c r="T668" s="897"/>
      <c r="U668" s="903"/>
      <c r="V668" s="898"/>
      <c r="W668" s="898"/>
      <c r="X668" s="899"/>
      <c r="Y668" s="899"/>
      <c r="Z668" s="899"/>
      <c r="AA668" s="901"/>
      <c r="AB668" s="624"/>
      <c r="AC668" s="615"/>
      <c r="AD668" s="528"/>
      <c r="AE668" s="5466"/>
    </row>
    <row r="669" spans="1:31" ht="37.5" customHeight="1">
      <c r="A669" s="5367"/>
      <c r="B669" s="5349"/>
      <c r="C669" s="5326"/>
      <c r="D669" s="5326"/>
      <c r="E669" s="5326"/>
      <c r="F669" s="5326"/>
      <c r="G669" s="5326"/>
      <c r="H669" s="5326"/>
      <c r="I669" s="5326"/>
      <c r="J669" s="5326"/>
      <c r="K669" s="5326"/>
      <c r="L669" s="5326"/>
      <c r="M669" s="5326"/>
      <c r="N669" s="5326"/>
      <c r="O669" s="5326"/>
      <c r="P669" s="5326"/>
      <c r="Q669" s="5330"/>
      <c r="R669" s="472"/>
      <c r="S669" s="67"/>
      <c r="T669" s="67"/>
      <c r="U669" s="67"/>
      <c r="V669" s="67"/>
      <c r="W669" s="67"/>
      <c r="X669" s="67"/>
      <c r="Y669" s="67"/>
      <c r="Z669" s="67"/>
      <c r="AA669" s="67"/>
      <c r="AB669" s="624"/>
      <c r="AC669" s="615"/>
      <c r="AD669" s="528"/>
      <c r="AE669" s="5466"/>
    </row>
    <row r="670" spans="1:31" ht="37.5" customHeight="1">
      <c r="A670" s="5367"/>
      <c r="B670" s="5349"/>
      <c r="C670" s="5326"/>
      <c r="D670" s="5326"/>
      <c r="E670" s="5326"/>
      <c r="F670" s="5326"/>
      <c r="G670" s="5326"/>
      <c r="H670" s="5326"/>
      <c r="I670" s="5326"/>
      <c r="J670" s="5326"/>
      <c r="K670" s="5326"/>
      <c r="L670" s="5326"/>
      <c r="M670" s="5326"/>
      <c r="N670" s="5326"/>
      <c r="O670" s="5326"/>
      <c r="P670" s="5326"/>
      <c r="Q670" s="5330"/>
      <c r="R670" s="902"/>
      <c r="S670" s="900"/>
      <c r="T670" s="897"/>
      <c r="U670" s="921"/>
      <c r="V670" s="898"/>
      <c r="W670" s="898"/>
      <c r="X670" s="899"/>
      <c r="Y670" s="899"/>
      <c r="Z670" s="899"/>
      <c r="AA670" s="901"/>
      <c r="AB670" s="624"/>
      <c r="AC670" s="615"/>
      <c r="AD670" s="528"/>
      <c r="AE670" s="5466"/>
    </row>
    <row r="671" spans="1:31" ht="37.5" customHeight="1">
      <c r="A671" s="5367"/>
      <c r="B671" s="5349"/>
      <c r="C671" s="5326"/>
      <c r="D671" s="5326"/>
      <c r="E671" s="5326"/>
      <c r="F671" s="5326"/>
      <c r="G671" s="5326"/>
      <c r="H671" s="5326"/>
      <c r="I671" s="5326"/>
      <c r="J671" s="5326"/>
      <c r="K671" s="5326"/>
      <c r="L671" s="5326"/>
      <c r="M671" s="5326"/>
      <c r="N671" s="5326"/>
      <c r="O671" s="5326"/>
      <c r="P671" s="5326"/>
      <c r="Q671" s="5330"/>
      <c r="R671" s="902"/>
      <c r="S671" s="897"/>
      <c r="T671" s="897"/>
      <c r="U671" s="903"/>
      <c r="V671" s="898"/>
      <c r="W671" s="898"/>
      <c r="X671" s="899"/>
      <c r="Y671" s="899"/>
      <c r="Z671" s="899"/>
      <c r="AA671" s="901"/>
      <c r="AB671" s="624"/>
      <c r="AC671" s="615"/>
      <c r="AD671" s="528"/>
      <c r="AE671" s="5466"/>
    </row>
    <row r="672" spans="1:31" ht="37.5" customHeight="1">
      <c r="A672" s="5367"/>
      <c r="B672" s="5349"/>
      <c r="C672" s="5326"/>
      <c r="D672" s="5326"/>
      <c r="E672" s="5326"/>
      <c r="F672" s="5326"/>
      <c r="G672" s="5326"/>
      <c r="H672" s="5326"/>
      <c r="I672" s="5326"/>
      <c r="J672" s="5326"/>
      <c r="K672" s="5326"/>
      <c r="L672" s="5326"/>
      <c r="M672" s="5326"/>
      <c r="N672" s="5326"/>
      <c r="O672" s="5326"/>
      <c r="P672" s="5326"/>
      <c r="Q672" s="5330"/>
      <c r="R672" s="902"/>
      <c r="S672" s="900"/>
      <c r="T672" s="900"/>
      <c r="U672" s="921"/>
      <c r="V672" s="898"/>
      <c r="W672" s="898"/>
      <c r="X672" s="899"/>
      <c r="Y672" s="899"/>
      <c r="Z672" s="899"/>
      <c r="AA672" s="901"/>
      <c r="AB672" s="624"/>
      <c r="AC672" s="615"/>
      <c r="AD672" s="528"/>
      <c r="AE672" s="5466"/>
    </row>
    <row r="673" spans="1:31" ht="37.5" customHeight="1">
      <c r="A673" s="5367"/>
      <c r="B673" s="5349"/>
      <c r="C673" s="5326"/>
      <c r="D673" s="5326"/>
      <c r="E673" s="5326"/>
      <c r="F673" s="5326"/>
      <c r="G673" s="5326"/>
      <c r="H673" s="5326"/>
      <c r="I673" s="5326"/>
      <c r="J673" s="5326"/>
      <c r="K673" s="5326"/>
      <c r="L673" s="5326"/>
      <c r="M673" s="5326"/>
      <c r="N673" s="5326"/>
      <c r="O673" s="5326"/>
      <c r="P673" s="5326"/>
      <c r="Q673" s="5330"/>
      <c r="R673" s="902"/>
      <c r="S673" s="900"/>
      <c r="T673" s="904"/>
      <c r="U673" s="921"/>
      <c r="V673" s="898"/>
      <c r="W673" s="898"/>
      <c r="X673" s="899"/>
      <c r="Y673" s="899"/>
      <c r="Z673" s="899"/>
      <c r="AA673" s="901"/>
      <c r="AB673" s="624"/>
      <c r="AC673" s="615"/>
      <c r="AD673" s="528"/>
      <c r="AE673" s="5466"/>
    </row>
    <row r="674" spans="1:31" ht="37.5" customHeight="1">
      <c r="A674" s="5367"/>
      <c r="B674" s="5349"/>
      <c r="C674" s="5326"/>
      <c r="D674" s="5326"/>
      <c r="E674" s="5326"/>
      <c r="F674" s="5326"/>
      <c r="G674" s="5326"/>
      <c r="H674" s="5326"/>
      <c r="I674" s="5326"/>
      <c r="J674" s="5326"/>
      <c r="K674" s="5326"/>
      <c r="L674" s="5326"/>
      <c r="M674" s="5326"/>
      <c r="N674" s="5326"/>
      <c r="O674" s="5326"/>
      <c r="P674" s="5326"/>
      <c r="Q674" s="5330"/>
      <c r="R674" s="902"/>
      <c r="S674" s="897"/>
      <c r="T674" s="897"/>
      <c r="U674" s="903"/>
      <c r="V674" s="898"/>
      <c r="W674" s="898"/>
      <c r="X674" s="899"/>
      <c r="Y674" s="899"/>
      <c r="Z674" s="899"/>
      <c r="AA674" s="901"/>
      <c r="AB674" s="624"/>
      <c r="AC674" s="615"/>
      <c r="AD674" s="528"/>
      <c r="AE674" s="5466"/>
    </row>
    <row r="675" spans="1:31" ht="37.5" customHeight="1">
      <c r="A675" s="5367"/>
      <c r="B675" s="5349"/>
      <c r="C675" s="5326"/>
      <c r="D675" s="5326"/>
      <c r="E675" s="5326"/>
      <c r="F675" s="5326"/>
      <c r="G675" s="5326"/>
      <c r="H675" s="5326"/>
      <c r="I675" s="5326"/>
      <c r="J675" s="5326"/>
      <c r="K675" s="5326"/>
      <c r="L675" s="5326"/>
      <c r="M675" s="5326"/>
      <c r="N675" s="5326"/>
      <c r="O675" s="5326"/>
      <c r="P675" s="5326"/>
      <c r="Q675" s="5330"/>
      <c r="R675" s="902"/>
      <c r="S675" s="900"/>
      <c r="T675" s="900"/>
      <c r="U675" s="921"/>
      <c r="V675" s="898"/>
      <c r="W675" s="898"/>
      <c r="X675" s="899"/>
      <c r="Y675" s="899"/>
      <c r="Z675" s="899"/>
      <c r="AA675" s="901"/>
      <c r="AB675" s="624"/>
      <c r="AC675" s="615"/>
      <c r="AD675" s="528"/>
      <c r="AE675" s="5466"/>
    </row>
    <row r="676" spans="1:31" ht="37.5" customHeight="1">
      <c r="A676" s="5367"/>
      <c r="B676" s="5349"/>
      <c r="C676" s="5326"/>
      <c r="D676" s="5326"/>
      <c r="E676" s="5326"/>
      <c r="F676" s="5326"/>
      <c r="G676" s="5326"/>
      <c r="H676" s="5326"/>
      <c r="I676" s="5326"/>
      <c r="J676" s="5326"/>
      <c r="K676" s="5326"/>
      <c r="L676" s="5326"/>
      <c r="M676" s="5326"/>
      <c r="N676" s="5326"/>
      <c r="O676" s="5326"/>
      <c r="P676" s="5326"/>
      <c r="Q676" s="5330"/>
      <c r="R676" s="902"/>
      <c r="S676" s="900"/>
      <c r="T676" s="900"/>
      <c r="U676" s="921"/>
      <c r="V676" s="898"/>
      <c r="W676" s="898"/>
      <c r="X676" s="899"/>
      <c r="Y676" s="899"/>
      <c r="Z676" s="899"/>
      <c r="AA676" s="901"/>
      <c r="AB676" s="624"/>
      <c r="AC676" s="615"/>
      <c r="AD676" s="528"/>
      <c r="AE676" s="5466"/>
    </row>
    <row r="677" spans="1:31" ht="37.5" customHeight="1">
      <c r="A677" s="5367"/>
      <c r="B677" s="5349"/>
      <c r="C677" s="5326"/>
      <c r="D677" s="5326"/>
      <c r="E677" s="5326"/>
      <c r="F677" s="5326"/>
      <c r="G677" s="5326"/>
      <c r="H677" s="5326"/>
      <c r="I677" s="5326"/>
      <c r="J677" s="5326"/>
      <c r="K677" s="5326"/>
      <c r="L677" s="5326"/>
      <c r="M677" s="5326"/>
      <c r="N677" s="5326"/>
      <c r="O677" s="5326"/>
      <c r="P677" s="5326"/>
      <c r="Q677" s="5330"/>
      <c r="R677" s="902"/>
      <c r="S677" s="897"/>
      <c r="T677" s="897"/>
      <c r="U677" s="903"/>
      <c r="V677" s="898"/>
      <c r="W677" s="898"/>
      <c r="X677" s="899"/>
      <c r="Y677" s="899"/>
      <c r="Z677" s="899"/>
      <c r="AA677" s="901"/>
      <c r="AB677" s="624"/>
      <c r="AC677" s="615"/>
      <c r="AD677" s="528"/>
      <c r="AE677" s="5466"/>
    </row>
    <row r="678" spans="1:31" ht="37.5" customHeight="1">
      <c r="A678" s="5367"/>
      <c r="B678" s="5349"/>
      <c r="C678" s="5326"/>
      <c r="D678" s="5326"/>
      <c r="E678" s="5326"/>
      <c r="F678" s="5326"/>
      <c r="G678" s="5326"/>
      <c r="H678" s="5326"/>
      <c r="I678" s="5326"/>
      <c r="J678" s="5326"/>
      <c r="K678" s="5326"/>
      <c r="L678" s="5326"/>
      <c r="M678" s="5326"/>
      <c r="N678" s="5326"/>
      <c r="O678" s="5326"/>
      <c r="P678" s="5326"/>
      <c r="Q678" s="5330"/>
      <c r="R678" s="902"/>
      <c r="S678" s="900"/>
      <c r="T678" s="897"/>
      <c r="U678" s="921"/>
      <c r="V678" s="898"/>
      <c r="W678" s="898"/>
      <c r="X678" s="899"/>
      <c r="Y678" s="899"/>
      <c r="Z678" s="899"/>
      <c r="AA678" s="901"/>
      <c r="AB678" s="624"/>
      <c r="AC678" s="615"/>
      <c r="AD678" s="528"/>
      <c r="AE678" s="5466"/>
    </row>
    <row r="679" spans="1:31" ht="37.5" customHeight="1">
      <c r="A679" s="5367"/>
      <c r="B679" s="5349"/>
      <c r="C679" s="5326"/>
      <c r="D679" s="5326"/>
      <c r="E679" s="5326"/>
      <c r="F679" s="5326"/>
      <c r="G679" s="5326"/>
      <c r="H679" s="5326"/>
      <c r="I679" s="5326"/>
      <c r="J679" s="5326"/>
      <c r="K679" s="5326"/>
      <c r="L679" s="5326"/>
      <c r="M679" s="5326"/>
      <c r="N679" s="5326"/>
      <c r="O679" s="5326"/>
      <c r="P679" s="5326"/>
      <c r="Q679" s="5330"/>
      <c r="R679" s="902"/>
      <c r="S679" s="900"/>
      <c r="T679" s="897"/>
      <c r="U679" s="921"/>
      <c r="V679" s="898"/>
      <c r="W679" s="898"/>
      <c r="X679" s="899"/>
      <c r="Y679" s="899"/>
      <c r="Z679" s="899"/>
      <c r="AA679" s="901"/>
      <c r="AB679" s="624"/>
      <c r="AC679" s="615"/>
      <c r="AD679" s="528"/>
      <c r="AE679" s="5466"/>
    </row>
    <row r="680" spans="1:31" ht="37.5" customHeight="1">
      <c r="A680" s="5367"/>
      <c r="B680" s="5350"/>
      <c r="C680" s="5327"/>
      <c r="D680" s="5327"/>
      <c r="E680" s="5327"/>
      <c r="F680" s="5327"/>
      <c r="G680" s="5327"/>
      <c r="H680" s="5327"/>
      <c r="I680" s="5327"/>
      <c r="J680" s="5327"/>
      <c r="K680" s="5327"/>
      <c r="L680" s="5327"/>
      <c r="M680" s="5327"/>
      <c r="N680" s="5327"/>
      <c r="O680" s="5327"/>
      <c r="P680" s="5327"/>
      <c r="Q680" s="5331"/>
      <c r="R680" s="898"/>
      <c r="S680" s="897"/>
      <c r="T680" s="897"/>
      <c r="U680" s="903"/>
      <c r="V680" s="898"/>
      <c r="W680" s="898"/>
      <c r="X680" s="899"/>
      <c r="Y680" s="899"/>
      <c r="Z680" s="899"/>
      <c r="AA680" s="901"/>
      <c r="AB680" s="624"/>
      <c r="AC680" s="615"/>
      <c r="AD680" s="528"/>
      <c r="AE680" s="5467"/>
    </row>
    <row r="681" spans="1:31" ht="37.5" customHeight="1">
      <c r="A681" s="5367"/>
      <c r="B681" s="5348" t="s">
        <v>235</v>
      </c>
      <c r="C681" s="5325" t="s">
        <v>236</v>
      </c>
      <c r="D681" s="5325" t="s">
        <v>237</v>
      </c>
      <c r="E681" s="5325" t="s">
        <v>289</v>
      </c>
      <c r="F681" s="5328" t="s">
        <v>239</v>
      </c>
      <c r="G681" s="5325" t="s">
        <v>240</v>
      </c>
      <c r="H681" s="5325" t="s">
        <v>257</v>
      </c>
      <c r="I681" s="5325" t="s">
        <v>2359</v>
      </c>
      <c r="J681" s="5325" t="s">
        <v>1841</v>
      </c>
      <c r="K681" s="5325" t="s">
        <v>2245</v>
      </c>
      <c r="L681" s="5332">
        <v>0</v>
      </c>
      <c r="M681" s="5332">
        <v>4</v>
      </c>
      <c r="N681" s="5332">
        <v>4</v>
      </c>
      <c r="O681" s="5325" t="s">
        <v>2183</v>
      </c>
      <c r="P681" s="5325" t="s">
        <v>2246</v>
      </c>
      <c r="Q681" s="5329" t="s">
        <v>2357</v>
      </c>
      <c r="R681" s="898"/>
      <c r="S681" s="930"/>
      <c r="T681" s="897"/>
      <c r="U681" s="930"/>
      <c r="V681" s="898"/>
      <c r="W681" s="898"/>
      <c r="X681" s="899"/>
      <c r="Y681" s="899"/>
      <c r="Z681" s="899"/>
      <c r="AA681" s="901"/>
      <c r="AB681" s="624"/>
      <c r="AC681" s="615"/>
      <c r="AD681" s="528"/>
      <c r="AE681" s="5465" t="s">
        <v>2166</v>
      </c>
    </row>
    <row r="682" spans="1:31" ht="37.5" customHeight="1">
      <c r="A682" s="5367"/>
      <c r="B682" s="5349"/>
      <c r="C682" s="5326"/>
      <c r="D682" s="5326"/>
      <c r="E682" s="5326"/>
      <c r="F682" s="5326"/>
      <c r="G682" s="5326"/>
      <c r="H682" s="5326"/>
      <c r="I682" s="5326"/>
      <c r="J682" s="5326"/>
      <c r="K682" s="5326"/>
      <c r="L682" s="5326"/>
      <c r="M682" s="5326"/>
      <c r="N682" s="5326"/>
      <c r="O682" s="5326"/>
      <c r="P682" s="5326"/>
      <c r="Q682" s="5330"/>
      <c r="R682" s="898"/>
      <c r="S682" s="897"/>
      <c r="T682" s="897"/>
      <c r="U682" s="903"/>
      <c r="V682" s="898"/>
      <c r="W682" s="898"/>
      <c r="X682" s="899"/>
      <c r="Y682" s="899"/>
      <c r="Z682" s="899"/>
      <c r="AA682" s="901"/>
      <c r="AB682" s="624"/>
      <c r="AC682" s="615"/>
      <c r="AD682" s="528"/>
      <c r="AE682" s="5466"/>
    </row>
    <row r="683" spans="1:31" ht="37.5" customHeight="1">
      <c r="A683" s="5367"/>
      <c r="B683" s="5349"/>
      <c r="C683" s="5326"/>
      <c r="D683" s="5326"/>
      <c r="E683" s="5326"/>
      <c r="F683" s="5326"/>
      <c r="G683" s="5326"/>
      <c r="H683" s="5326"/>
      <c r="I683" s="5326"/>
      <c r="J683" s="5326"/>
      <c r="K683" s="5326"/>
      <c r="L683" s="5326"/>
      <c r="M683" s="5326"/>
      <c r="N683" s="5326"/>
      <c r="O683" s="5326"/>
      <c r="P683" s="5326"/>
      <c r="Q683" s="5330"/>
      <c r="R683" s="891"/>
      <c r="S683" s="894"/>
      <c r="T683" s="894"/>
      <c r="U683" s="895"/>
      <c r="V683" s="891"/>
      <c r="W683" s="891"/>
      <c r="X683" s="892"/>
      <c r="Y683" s="892"/>
      <c r="Z683" s="892"/>
      <c r="AA683" s="893"/>
      <c r="AB683" s="582"/>
      <c r="AC683" s="528"/>
      <c r="AD683" s="528"/>
      <c r="AE683" s="5466"/>
    </row>
    <row r="684" spans="1:31" ht="37.5" customHeight="1">
      <c r="A684" s="5367"/>
      <c r="B684" s="5349"/>
      <c r="C684" s="5326"/>
      <c r="D684" s="5326"/>
      <c r="E684" s="5326"/>
      <c r="F684" s="5326"/>
      <c r="G684" s="5326"/>
      <c r="H684" s="5326"/>
      <c r="I684" s="5326"/>
      <c r="J684" s="5326"/>
      <c r="K684" s="5326"/>
      <c r="L684" s="5326"/>
      <c r="M684" s="5326"/>
      <c r="N684" s="5326"/>
      <c r="O684" s="5326"/>
      <c r="P684" s="5326"/>
      <c r="Q684" s="5330"/>
      <c r="R684" s="888"/>
      <c r="S684" s="889"/>
      <c r="T684" s="889"/>
      <c r="U684" s="895"/>
      <c r="V684" s="891"/>
      <c r="W684" s="891"/>
      <c r="X684" s="892"/>
      <c r="Y684" s="892"/>
      <c r="Z684" s="892"/>
      <c r="AA684" s="893"/>
      <c r="AB684" s="582"/>
      <c r="AC684" s="528"/>
      <c r="AD684" s="528"/>
      <c r="AE684" s="5466"/>
    </row>
    <row r="685" spans="1:31" ht="37.5" customHeight="1">
      <c r="A685" s="5367"/>
      <c r="B685" s="5350"/>
      <c r="C685" s="5327"/>
      <c r="D685" s="5327"/>
      <c r="E685" s="5327"/>
      <c r="F685" s="5327"/>
      <c r="G685" s="5327"/>
      <c r="H685" s="5327"/>
      <c r="I685" s="5327"/>
      <c r="J685" s="5327"/>
      <c r="K685" s="5327"/>
      <c r="L685" s="5327"/>
      <c r="M685" s="5327"/>
      <c r="N685" s="5327"/>
      <c r="O685" s="5327"/>
      <c r="P685" s="5327"/>
      <c r="Q685" s="5331"/>
      <c r="R685" s="891"/>
      <c r="S685" s="894"/>
      <c r="T685" s="894"/>
      <c r="U685" s="895"/>
      <c r="V685" s="891"/>
      <c r="W685" s="891"/>
      <c r="X685" s="892"/>
      <c r="Y685" s="892"/>
      <c r="Z685" s="892"/>
      <c r="AA685" s="893"/>
      <c r="AB685" s="582"/>
      <c r="AC685" s="528"/>
      <c r="AD685" s="528"/>
      <c r="AE685" s="5467"/>
    </row>
    <row r="686" spans="1:31" ht="37.5" customHeight="1">
      <c r="A686" s="5367"/>
      <c r="B686" s="5348" t="s">
        <v>235</v>
      </c>
      <c r="C686" s="5325" t="s">
        <v>236</v>
      </c>
      <c r="D686" s="5325" t="s">
        <v>237</v>
      </c>
      <c r="E686" s="5325" t="s">
        <v>289</v>
      </c>
      <c r="F686" s="5328" t="s">
        <v>239</v>
      </c>
      <c r="G686" s="5325" t="s">
        <v>240</v>
      </c>
      <c r="H686" s="5325" t="s">
        <v>278</v>
      </c>
      <c r="I686" s="5325" t="s">
        <v>2360</v>
      </c>
      <c r="J686" s="5325" t="s">
        <v>2336</v>
      </c>
      <c r="K686" s="5325" t="s">
        <v>2248</v>
      </c>
      <c r="L686" s="5332">
        <v>0</v>
      </c>
      <c r="M686" s="5332">
        <v>3</v>
      </c>
      <c r="N686" s="5332">
        <v>3</v>
      </c>
      <c r="O686" s="5325" t="s">
        <v>2249</v>
      </c>
      <c r="P686" s="5325" t="s">
        <v>2250</v>
      </c>
      <c r="Q686" s="5329" t="s">
        <v>2357</v>
      </c>
      <c r="R686" s="888"/>
      <c r="S686" s="889"/>
      <c r="T686" s="889"/>
      <c r="U686" s="890"/>
      <c r="V686" s="891"/>
      <c r="W686" s="891"/>
      <c r="X686" s="892"/>
      <c r="Y686" s="892"/>
      <c r="Z686" s="892"/>
      <c r="AA686" s="893"/>
      <c r="AB686" s="582"/>
      <c r="AC686" s="528"/>
      <c r="AD686" s="528"/>
      <c r="AE686" s="5465"/>
    </row>
    <row r="687" spans="1:31" ht="37.5" customHeight="1">
      <c r="A687" s="5367"/>
      <c r="B687" s="5349"/>
      <c r="C687" s="5326"/>
      <c r="D687" s="5326"/>
      <c r="E687" s="5326"/>
      <c r="F687" s="5326"/>
      <c r="G687" s="5326"/>
      <c r="H687" s="5326"/>
      <c r="I687" s="5326"/>
      <c r="J687" s="5326"/>
      <c r="K687" s="5326"/>
      <c r="L687" s="5326"/>
      <c r="M687" s="5326"/>
      <c r="N687" s="5326"/>
      <c r="O687" s="5326"/>
      <c r="P687" s="5326"/>
      <c r="Q687" s="5330"/>
      <c r="R687" s="891"/>
      <c r="S687" s="894"/>
      <c r="T687" s="894"/>
      <c r="U687" s="895"/>
      <c r="V687" s="891"/>
      <c r="W687" s="891"/>
      <c r="X687" s="892"/>
      <c r="Y687" s="892"/>
      <c r="Z687" s="892"/>
      <c r="AA687" s="893"/>
      <c r="AB687" s="582"/>
      <c r="AC687" s="528"/>
      <c r="AD687" s="528"/>
      <c r="AE687" s="5466"/>
    </row>
    <row r="688" spans="1:31" ht="37.5" customHeight="1">
      <c r="A688" s="5367"/>
      <c r="B688" s="5349"/>
      <c r="C688" s="5326"/>
      <c r="D688" s="5326"/>
      <c r="E688" s="5326"/>
      <c r="F688" s="5326"/>
      <c r="G688" s="5326"/>
      <c r="H688" s="5326"/>
      <c r="I688" s="5326"/>
      <c r="J688" s="5326"/>
      <c r="K688" s="5326"/>
      <c r="L688" s="5326"/>
      <c r="M688" s="5326"/>
      <c r="N688" s="5326"/>
      <c r="O688" s="5326"/>
      <c r="P688" s="5326"/>
      <c r="Q688" s="5330"/>
      <c r="R688" s="891"/>
      <c r="S688" s="894"/>
      <c r="T688" s="894"/>
      <c r="U688" s="895"/>
      <c r="V688" s="891"/>
      <c r="W688" s="891"/>
      <c r="X688" s="892"/>
      <c r="Y688" s="892"/>
      <c r="Z688" s="892"/>
      <c r="AA688" s="893"/>
      <c r="AB688" s="582"/>
      <c r="AC688" s="528"/>
      <c r="AD688" s="528"/>
      <c r="AE688" s="5466"/>
    </row>
    <row r="689" spans="1:31" ht="37.5" customHeight="1">
      <c r="A689" s="5367"/>
      <c r="B689" s="5349"/>
      <c r="C689" s="5326"/>
      <c r="D689" s="5326"/>
      <c r="E689" s="5326"/>
      <c r="F689" s="5326"/>
      <c r="G689" s="5326"/>
      <c r="H689" s="5326"/>
      <c r="I689" s="5326"/>
      <c r="J689" s="5326"/>
      <c r="K689" s="5326"/>
      <c r="L689" s="5326"/>
      <c r="M689" s="5326"/>
      <c r="N689" s="5326"/>
      <c r="O689" s="5326"/>
      <c r="P689" s="5326"/>
      <c r="Q689" s="5330"/>
      <c r="R689" s="888"/>
      <c r="S689" s="889"/>
      <c r="T689" s="889"/>
      <c r="U689" s="895"/>
      <c r="V689" s="891"/>
      <c r="W689" s="891"/>
      <c r="X689" s="892"/>
      <c r="Y689" s="892"/>
      <c r="Z689" s="892"/>
      <c r="AA689" s="893"/>
      <c r="AB689" s="582"/>
      <c r="AC689" s="528"/>
      <c r="AD689" s="528"/>
      <c r="AE689" s="5466"/>
    </row>
    <row r="690" spans="1:31" ht="37.5" customHeight="1">
      <c r="A690" s="5367"/>
      <c r="B690" s="5350"/>
      <c r="C690" s="5327"/>
      <c r="D690" s="5327"/>
      <c r="E690" s="5327"/>
      <c r="F690" s="5327"/>
      <c r="G690" s="5327"/>
      <c r="H690" s="5327"/>
      <c r="I690" s="5327"/>
      <c r="J690" s="5327"/>
      <c r="K690" s="5327"/>
      <c r="L690" s="5327"/>
      <c r="M690" s="5327"/>
      <c r="N690" s="5327"/>
      <c r="O690" s="5327"/>
      <c r="P690" s="5327"/>
      <c r="Q690" s="5331"/>
      <c r="R690" s="891"/>
      <c r="S690" s="894"/>
      <c r="T690" s="894"/>
      <c r="U690" s="895"/>
      <c r="V690" s="891"/>
      <c r="W690" s="891"/>
      <c r="X690" s="892"/>
      <c r="Y690" s="892"/>
      <c r="Z690" s="892"/>
      <c r="AA690" s="893"/>
      <c r="AB690" s="582"/>
      <c r="AC690" s="528"/>
      <c r="AD690" s="528"/>
      <c r="AE690" s="5467"/>
    </row>
    <row r="691" spans="1:31" ht="37.5" customHeight="1">
      <c r="A691" s="5367"/>
      <c r="B691" s="5348" t="s">
        <v>272</v>
      </c>
      <c r="C691" s="5325" t="s">
        <v>302</v>
      </c>
      <c r="D691" s="5325" t="s">
        <v>303</v>
      </c>
      <c r="E691" s="5325" t="s">
        <v>318</v>
      </c>
      <c r="F691" s="5328" t="s">
        <v>305</v>
      </c>
      <c r="G691" s="5325" t="s">
        <v>240</v>
      </c>
      <c r="H691" s="5325" t="s">
        <v>278</v>
      </c>
      <c r="I691" s="5325" t="s">
        <v>2361</v>
      </c>
      <c r="J691" s="5325" t="s">
        <v>1850</v>
      </c>
      <c r="K691" s="5325" t="s">
        <v>2192</v>
      </c>
      <c r="L691" s="5332">
        <v>0</v>
      </c>
      <c r="M691" s="5332">
        <v>1</v>
      </c>
      <c r="N691" s="5332">
        <v>1</v>
      </c>
      <c r="O691" s="5325" t="s">
        <v>2193</v>
      </c>
      <c r="P691" s="5325" t="s">
        <v>2340</v>
      </c>
      <c r="Q691" s="5329" t="s">
        <v>2357</v>
      </c>
      <c r="R691" s="888"/>
      <c r="S691" s="889"/>
      <c r="T691" s="889"/>
      <c r="U691" s="890"/>
      <c r="V691" s="891"/>
      <c r="W691" s="891"/>
      <c r="X691" s="892"/>
      <c r="Y691" s="892"/>
      <c r="Z691" s="892"/>
      <c r="AA691" s="893"/>
      <c r="AB691" s="582"/>
      <c r="AC691" s="528"/>
      <c r="AD691" s="528"/>
      <c r="AE691" s="5465"/>
    </row>
    <row r="692" spans="1:31" ht="37.5" customHeight="1">
      <c r="A692" s="5367"/>
      <c r="B692" s="5349"/>
      <c r="C692" s="5326"/>
      <c r="D692" s="5326"/>
      <c r="E692" s="5326"/>
      <c r="F692" s="5326"/>
      <c r="G692" s="5326"/>
      <c r="H692" s="5326"/>
      <c r="I692" s="5326"/>
      <c r="J692" s="5326"/>
      <c r="K692" s="5326"/>
      <c r="L692" s="5326"/>
      <c r="M692" s="5326"/>
      <c r="N692" s="5326"/>
      <c r="O692" s="5326"/>
      <c r="P692" s="5326"/>
      <c r="Q692" s="5330"/>
      <c r="R692" s="891"/>
      <c r="S692" s="894"/>
      <c r="T692" s="894"/>
      <c r="U692" s="895"/>
      <c r="V692" s="891"/>
      <c r="W692" s="891"/>
      <c r="X692" s="892"/>
      <c r="Y692" s="892"/>
      <c r="Z692" s="892"/>
      <c r="AA692" s="893"/>
      <c r="AB692" s="582"/>
      <c r="AC692" s="528"/>
      <c r="AD692" s="528"/>
      <c r="AE692" s="5466"/>
    </row>
    <row r="693" spans="1:31" ht="37.5" customHeight="1">
      <c r="A693" s="5367"/>
      <c r="B693" s="5349"/>
      <c r="C693" s="5326"/>
      <c r="D693" s="5326"/>
      <c r="E693" s="5326"/>
      <c r="F693" s="5326"/>
      <c r="G693" s="5326"/>
      <c r="H693" s="5326"/>
      <c r="I693" s="5326"/>
      <c r="J693" s="5326"/>
      <c r="K693" s="5326"/>
      <c r="L693" s="5326"/>
      <c r="M693" s="5326"/>
      <c r="N693" s="5326"/>
      <c r="O693" s="5326"/>
      <c r="P693" s="5326"/>
      <c r="Q693" s="5330"/>
      <c r="R693" s="891"/>
      <c r="S693" s="894"/>
      <c r="T693" s="894"/>
      <c r="U693" s="895"/>
      <c r="V693" s="891"/>
      <c r="W693" s="891"/>
      <c r="X693" s="892"/>
      <c r="Y693" s="892"/>
      <c r="Z693" s="892"/>
      <c r="AA693" s="893"/>
      <c r="AB693" s="582"/>
      <c r="AC693" s="528"/>
      <c r="AD693" s="528"/>
      <c r="AE693" s="5466"/>
    </row>
    <row r="694" spans="1:31" ht="37.5" customHeight="1">
      <c r="A694" s="5367"/>
      <c r="B694" s="5349"/>
      <c r="C694" s="5326"/>
      <c r="D694" s="5326"/>
      <c r="E694" s="5326"/>
      <c r="F694" s="5326"/>
      <c r="G694" s="5326"/>
      <c r="H694" s="5326"/>
      <c r="I694" s="5326"/>
      <c r="J694" s="5326"/>
      <c r="K694" s="5326"/>
      <c r="L694" s="5326"/>
      <c r="M694" s="5326"/>
      <c r="N694" s="5326"/>
      <c r="O694" s="5326"/>
      <c r="P694" s="5326"/>
      <c r="Q694" s="5330"/>
      <c r="R694" s="888"/>
      <c r="S694" s="889"/>
      <c r="T694" s="889"/>
      <c r="U694" s="895"/>
      <c r="V694" s="891"/>
      <c r="W694" s="891"/>
      <c r="X694" s="892"/>
      <c r="Y694" s="892"/>
      <c r="Z694" s="892"/>
      <c r="AA694" s="893"/>
      <c r="AB694" s="582"/>
      <c r="AC694" s="528"/>
      <c r="AD694" s="528"/>
      <c r="AE694" s="5466"/>
    </row>
    <row r="695" spans="1:31" ht="37.5" customHeight="1">
      <c r="A695" s="5367"/>
      <c r="B695" s="5350"/>
      <c r="C695" s="5327"/>
      <c r="D695" s="5327"/>
      <c r="E695" s="5327"/>
      <c r="F695" s="5327"/>
      <c r="G695" s="5327"/>
      <c r="H695" s="5327"/>
      <c r="I695" s="5327"/>
      <c r="J695" s="5327"/>
      <c r="K695" s="5327"/>
      <c r="L695" s="5327"/>
      <c r="M695" s="5327"/>
      <c r="N695" s="5327"/>
      <c r="O695" s="5327"/>
      <c r="P695" s="5327"/>
      <c r="Q695" s="5331"/>
      <c r="R695" s="891"/>
      <c r="S695" s="894"/>
      <c r="T695" s="894"/>
      <c r="U695" s="895"/>
      <c r="V695" s="891"/>
      <c r="W695" s="891"/>
      <c r="X695" s="892"/>
      <c r="Y695" s="892"/>
      <c r="Z695" s="892"/>
      <c r="AA695" s="893"/>
      <c r="AB695" s="582"/>
      <c r="AC695" s="528"/>
      <c r="AD695" s="528"/>
      <c r="AE695" s="5467"/>
    </row>
    <row r="696" spans="1:31" ht="37.5" customHeight="1">
      <c r="A696" s="5367"/>
      <c r="B696" s="5348" t="s">
        <v>272</v>
      </c>
      <c r="C696" s="5325" t="s">
        <v>302</v>
      </c>
      <c r="D696" s="5325" t="s">
        <v>303</v>
      </c>
      <c r="E696" s="5325" t="s">
        <v>304</v>
      </c>
      <c r="F696" s="5328" t="s">
        <v>305</v>
      </c>
      <c r="G696" s="5325" t="s">
        <v>240</v>
      </c>
      <c r="H696" s="5325" t="s">
        <v>278</v>
      </c>
      <c r="I696" s="5325" t="s">
        <v>2362</v>
      </c>
      <c r="J696" s="5325" t="s">
        <v>1855</v>
      </c>
      <c r="K696" s="5325" t="s">
        <v>2253</v>
      </c>
      <c r="L696" s="5332">
        <v>0</v>
      </c>
      <c r="M696" s="5332">
        <v>16</v>
      </c>
      <c r="N696" s="5332">
        <v>16</v>
      </c>
      <c r="O696" s="5325" t="s">
        <v>2197</v>
      </c>
      <c r="P696" s="5325" t="s">
        <v>2198</v>
      </c>
      <c r="Q696" s="5329" t="s">
        <v>2354</v>
      </c>
      <c r="R696" s="888"/>
      <c r="S696" s="889"/>
      <c r="T696" s="889"/>
      <c r="U696" s="890"/>
      <c r="V696" s="891"/>
      <c r="W696" s="891"/>
      <c r="X696" s="892"/>
      <c r="Y696" s="892"/>
      <c r="Z696" s="892"/>
      <c r="AA696" s="893"/>
      <c r="AB696" s="582"/>
      <c r="AC696" s="528"/>
      <c r="AD696" s="528"/>
      <c r="AE696" s="5465"/>
    </row>
    <row r="697" spans="1:31" ht="37.5" customHeight="1">
      <c r="A697" s="5367"/>
      <c r="B697" s="5349"/>
      <c r="C697" s="5326"/>
      <c r="D697" s="5326"/>
      <c r="E697" s="5326"/>
      <c r="F697" s="5326"/>
      <c r="G697" s="5326"/>
      <c r="H697" s="5326"/>
      <c r="I697" s="5326"/>
      <c r="J697" s="5326"/>
      <c r="K697" s="5326"/>
      <c r="L697" s="5326"/>
      <c r="M697" s="5326"/>
      <c r="N697" s="5326"/>
      <c r="O697" s="5326"/>
      <c r="P697" s="5326"/>
      <c r="Q697" s="5330"/>
      <c r="R697" s="891"/>
      <c r="S697" s="894"/>
      <c r="T697" s="894"/>
      <c r="U697" s="895"/>
      <c r="V697" s="891"/>
      <c r="W697" s="891"/>
      <c r="X697" s="892"/>
      <c r="Y697" s="892"/>
      <c r="Z697" s="892"/>
      <c r="AA697" s="893"/>
      <c r="AB697" s="582"/>
      <c r="AC697" s="528"/>
      <c r="AD697" s="528"/>
      <c r="AE697" s="5466"/>
    </row>
    <row r="698" spans="1:31" ht="37.5" customHeight="1">
      <c r="A698" s="5367"/>
      <c r="B698" s="5349"/>
      <c r="C698" s="5326"/>
      <c r="D698" s="5326"/>
      <c r="E698" s="5326"/>
      <c r="F698" s="5326"/>
      <c r="G698" s="5326"/>
      <c r="H698" s="5326"/>
      <c r="I698" s="5326"/>
      <c r="J698" s="5326"/>
      <c r="K698" s="5326"/>
      <c r="L698" s="5326"/>
      <c r="M698" s="5326"/>
      <c r="N698" s="5326"/>
      <c r="O698" s="5326"/>
      <c r="P698" s="5326"/>
      <c r="Q698" s="5330"/>
      <c r="R698" s="891"/>
      <c r="S698" s="894"/>
      <c r="T698" s="894"/>
      <c r="U698" s="895"/>
      <c r="V698" s="891"/>
      <c r="W698" s="891"/>
      <c r="X698" s="892"/>
      <c r="Y698" s="892"/>
      <c r="Z698" s="892"/>
      <c r="AA698" s="893"/>
      <c r="AB698" s="582"/>
      <c r="AC698" s="528"/>
      <c r="AD698" s="528"/>
      <c r="AE698" s="5466"/>
    </row>
    <row r="699" spans="1:31" ht="37.5" customHeight="1">
      <c r="A699" s="5367"/>
      <c r="B699" s="5349"/>
      <c r="C699" s="5326"/>
      <c r="D699" s="5326"/>
      <c r="E699" s="5326"/>
      <c r="F699" s="5326"/>
      <c r="G699" s="5326"/>
      <c r="H699" s="5326"/>
      <c r="I699" s="5326"/>
      <c r="J699" s="5326"/>
      <c r="K699" s="5326"/>
      <c r="L699" s="5326"/>
      <c r="M699" s="5326"/>
      <c r="N699" s="5326"/>
      <c r="O699" s="5326"/>
      <c r="P699" s="5326"/>
      <c r="Q699" s="5330"/>
      <c r="R699" s="888"/>
      <c r="S699" s="889"/>
      <c r="T699" s="889"/>
      <c r="U699" s="895"/>
      <c r="V699" s="891"/>
      <c r="W699" s="891"/>
      <c r="X699" s="892"/>
      <c r="Y699" s="892"/>
      <c r="Z699" s="892"/>
      <c r="AA699" s="893"/>
      <c r="AB699" s="582"/>
      <c r="AC699" s="528"/>
      <c r="AD699" s="528"/>
      <c r="AE699" s="5466"/>
    </row>
    <row r="700" spans="1:31" ht="37.5" customHeight="1">
      <c r="A700" s="5367"/>
      <c r="B700" s="5350"/>
      <c r="C700" s="5327"/>
      <c r="D700" s="5327"/>
      <c r="E700" s="5327"/>
      <c r="F700" s="5327"/>
      <c r="G700" s="5327"/>
      <c r="H700" s="5327"/>
      <c r="I700" s="5327"/>
      <c r="J700" s="5327"/>
      <c r="K700" s="5327"/>
      <c r="L700" s="5327"/>
      <c r="M700" s="5327"/>
      <c r="N700" s="5327"/>
      <c r="O700" s="5327"/>
      <c r="P700" s="5327"/>
      <c r="Q700" s="5331"/>
      <c r="R700" s="891"/>
      <c r="S700" s="894"/>
      <c r="T700" s="894"/>
      <c r="U700" s="895"/>
      <c r="V700" s="891"/>
      <c r="W700" s="891"/>
      <c r="X700" s="892"/>
      <c r="Y700" s="892"/>
      <c r="Z700" s="892"/>
      <c r="AA700" s="893"/>
      <c r="AB700" s="582"/>
      <c r="AC700" s="528"/>
      <c r="AD700" s="528"/>
      <c r="AE700" s="5467"/>
    </row>
    <row r="701" spans="1:31" ht="37.5" customHeight="1">
      <c r="A701" s="5367"/>
      <c r="B701" s="5348" t="s">
        <v>272</v>
      </c>
      <c r="C701" s="5325" t="s">
        <v>302</v>
      </c>
      <c r="D701" s="5325" t="s">
        <v>303</v>
      </c>
      <c r="E701" s="5325" t="s">
        <v>318</v>
      </c>
      <c r="F701" s="5328" t="s">
        <v>305</v>
      </c>
      <c r="G701" s="5325" t="s">
        <v>262</v>
      </c>
      <c r="H701" s="5325" t="s">
        <v>257</v>
      </c>
      <c r="I701" s="5325" t="s">
        <v>2363</v>
      </c>
      <c r="J701" s="5325" t="s">
        <v>2201</v>
      </c>
      <c r="K701" s="5325" t="s">
        <v>2255</v>
      </c>
      <c r="L701" s="5332">
        <v>0</v>
      </c>
      <c r="M701" s="5332">
        <v>2</v>
      </c>
      <c r="N701" s="5332">
        <v>2</v>
      </c>
      <c r="O701" s="5325" t="s">
        <v>2203</v>
      </c>
      <c r="P701" s="5325" t="s">
        <v>2256</v>
      </c>
      <c r="Q701" s="5329" t="s">
        <v>2354</v>
      </c>
      <c r="R701" s="888"/>
      <c r="S701" s="889"/>
      <c r="T701" s="889"/>
      <c r="U701" s="890"/>
      <c r="V701" s="891"/>
      <c r="W701" s="891"/>
      <c r="X701" s="892"/>
      <c r="Y701" s="892"/>
      <c r="Z701" s="892"/>
      <c r="AA701" s="893"/>
      <c r="AB701" s="582"/>
      <c r="AC701" s="528"/>
      <c r="AD701" s="528"/>
      <c r="AE701" s="5465" t="s">
        <v>2166</v>
      </c>
    </row>
    <row r="702" spans="1:31" ht="37.5" customHeight="1">
      <c r="A702" s="5367"/>
      <c r="B702" s="5349"/>
      <c r="C702" s="5326"/>
      <c r="D702" s="5326"/>
      <c r="E702" s="5326"/>
      <c r="F702" s="5326"/>
      <c r="G702" s="5326"/>
      <c r="H702" s="5326"/>
      <c r="I702" s="5326"/>
      <c r="J702" s="5326"/>
      <c r="K702" s="5326"/>
      <c r="L702" s="5326"/>
      <c r="M702" s="5326"/>
      <c r="N702" s="5326"/>
      <c r="O702" s="5326"/>
      <c r="P702" s="5326"/>
      <c r="Q702" s="5330"/>
      <c r="R702" s="891"/>
      <c r="S702" s="894"/>
      <c r="T702" s="894"/>
      <c r="U702" s="895"/>
      <c r="V702" s="891"/>
      <c r="W702" s="891"/>
      <c r="X702" s="892"/>
      <c r="Y702" s="892"/>
      <c r="Z702" s="892"/>
      <c r="AA702" s="893"/>
      <c r="AB702" s="582"/>
      <c r="AC702" s="528"/>
      <c r="AD702" s="528"/>
      <c r="AE702" s="5466"/>
    </row>
    <row r="703" spans="1:31" ht="37.5" customHeight="1">
      <c r="A703" s="5367"/>
      <c r="B703" s="5349"/>
      <c r="C703" s="5326"/>
      <c r="D703" s="5326"/>
      <c r="E703" s="5326"/>
      <c r="F703" s="5326"/>
      <c r="G703" s="5326"/>
      <c r="H703" s="5326"/>
      <c r="I703" s="5326"/>
      <c r="J703" s="5326"/>
      <c r="K703" s="5326"/>
      <c r="L703" s="5326"/>
      <c r="M703" s="5326"/>
      <c r="N703" s="5326"/>
      <c r="O703" s="5326"/>
      <c r="P703" s="5326"/>
      <c r="Q703" s="5330"/>
      <c r="R703" s="891"/>
      <c r="S703" s="894"/>
      <c r="T703" s="894"/>
      <c r="U703" s="895"/>
      <c r="V703" s="891"/>
      <c r="W703" s="891"/>
      <c r="X703" s="892"/>
      <c r="Y703" s="892"/>
      <c r="Z703" s="892"/>
      <c r="AA703" s="893"/>
      <c r="AB703" s="582"/>
      <c r="AC703" s="528"/>
      <c r="AD703" s="528"/>
      <c r="AE703" s="5466"/>
    </row>
    <row r="704" spans="1:31" ht="37.5" customHeight="1">
      <c r="A704" s="5367"/>
      <c r="B704" s="5349"/>
      <c r="C704" s="5326"/>
      <c r="D704" s="5326"/>
      <c r="E704" s="5326"/>
      <c r="F704" s="5326"/>
      <c r="G704" s="5326"/>
      <c r="H704" s="5326"/>
      <c r="I704" s="5326"/>
      <c r="J704" s="5326"/>
      <c r="K704" s="5326"/>
      <c r="L704" s="5326"/>
      <c r="M704" s="5326"/>
      <c r="N704" s="5326"/>
      <c r="O704" s="5326"/>
      <c r="P704" s="5326"/>
      <c r="Q704" s="5330"/>
      <c r="R704" s="888"/>
      <c r="S704" s="889"/>
      <c r="T704" s="889"/>
      <c r="U704" s="895"/>
      <c r="V704" s="891"/>
      <c r="W704" s="891"/>
      <c r="X704" s="892"/>
      <c r="Y704" s="892"/>
      <c r="Z704" s="892"/>
      <c r="AA704" s="893"/>
      <c r="AB704" s="582"/>
      <c r="AC704" s="528"/>
      <c r="AD704" s="528"/>
      <c r="AE704" s="5466"/>
    </row>
    <row r="705" spans="1:31" ht="37.5" customHeight="1">
      <c r="A705" s="5367"/>
      <c r="B705" s="5350"/>
      <c r="C705" s="5327"/>
      <c r="D705" s="5327"/>
      <c r="E705" s="5327"/>
      <c r="F705" s="5327"/>
      <c r="G705" s="5327"/>
      <c r="H705" s="5327"/>
      <c r="I705" s="5327"/>
      <c r="J705" s="5327"/>
      <c r="K705" s="5327"/>
      <c r="L705" s="5327"/>
      <c r="M705" s="5327"/>
      <c r="N705" s="5327"/>
      <c r="O705" s="5327"/>
      <c r="P705" s="5327"/>
      <c r="Q705" s="5331"/>
      <c r="R705" s="891"/>
      <c r="S705" s="894"/>
      <c r="T705" s="894"/>
      <c r="U705" s="895"/>
      <c r="V705" s="891"/>
      <c r="W705" s="891"/>
      <c r="X705" s="892"/>
      <c r="Y705" s="892"/>
      <c r="Z705" s="892"/>
      <c r="AA705" s="893"/>
      <c r="AB705" s="582"/>
      <c r="AC705" s="528"/>
      <c r="AD705" s="528"/>
      <c r="AE705" s="5467"/>
    </row>
    <row r="706" spans="1:31" ht="37.5" customHeight="1">
      <c r="A706" s="5367"/>
      <c r="B706" s="5348" t="s">
        <v>272</v>
      </c>
      <c r="C706" s="5325" t="s">
        <v>302</v>
      </c>
      <c r="D706" s="5325" t="s">
        <v>303</v>
      </c>
      <c r="E706" s="5325" t="s">
        <v>304</v>
      </c>
      <c r="F706" s="5328" t="s">
        <v>305</v>
      </c>
      <c r="G706" s="5325" t="s">
        <v>262</v>
      </c>
      <c r="H706" s="5325" t="s">
        <v>257</v>
      </c>
      <c r="I706" s="5325" t="s">
        <v>2364</v>
      </c>
      <c r="J706" s="5325" t="s">
        <v>1865</v>
      </c>
      <c r="K706" s="5325" t="s">
        <v>2207</v>
      </c>
      <c r="L706" s="5332">
        <v>0</v>
      </c>
      <c r="M706" s="5332">
        <v>1</v>
      </c>
      <c r="N706" s="5332">
        <v>1</v>
      </c>
      <c r="O706" s="5325" t="s">
        <v>2208</v>
      </c>
      <c r="P706" s="5325" t="s">
        <v>2209</v>
      </c>
      <c r="Q706" s="5329" t="s">
        <v>2354</v>
      </c>
      <c r="R706" s="888"/>
      <c r="S706" s="889"/>
      <c r="T706" s="889"/>
      <c r="U706" s="890"/>
      <c r="V706" s="891"/>
      <c r="W706" s="891"/>
      <c r="X706" s="892"/>
      <c r="Y706" s="892"/>
      <c r="Z706" s="892"/>
      <c r="AA706" s="893"/>
      <c r="AB706" s="582"/>
      <c r="AC706" s="528"/>
      <c r="AD706" s="528"/>
      <c r="AE706" s="5465"/>
    </row>
    <row r="707" spans="1:31" ht="37.5" customHeight="1">
      <c r="A707" s="5367"/>
      <c r="B707" s="5349"/>
      <c r="C707" s="5326"/>
      <c r="D707" s="5326"/>
      <c r="E707" s="5326"/>
      <c r="F707" s="5326"/>
      <c r="G707" s="5326"/>
      <c r="H707" s="5326"/>
      <c r="I707" s="5326"/>
      <c r="J707" s="5326"/>
      <c r="K707" s="5326"/>
      <c r="L707" s="5326"/>
      <c r="M707" s="5326"/>
      <c r="N707" s="5326"/>
      <c r="O707" s="5326"/>
      <c r="P707" s="5326"/>
      <c r="Q707" s="5330"/>
      <c r="R707" s="891"/>
      <c r="S707" s="894"/>
      <c r="T707" s="894"/>
      <c r="U707" s="895"/>
      <c r="V707" s="891"/>
      <c r="W707" s="891"/>
      <c r="X707" s="892"/>
      <c r="Y707" s="892"/>
      <c r="Z707" s="892"/>
      <c r="AA707" s="893"/>
      <c r="AB707" s="582"/>
      <c r="AC707" s="528"/>
      <c r="AD707" s="528"/>
      <c r="AE707" s="5466"/>
    </row>
    <row r="708" spans="1:31" ht="37.5" customHeight="1">
      <c r="A708" s="5367"/>
      <c r="B708" s="5349"/>
      <c r="C708" s="5326"/>
      <c r="D708" s="5326"/>
      <c r="E708" s="5326"/>
      <c r="F708" s="5326"/>
      <c r="G708" s="5326"/>
      <c r="H708" s="5326"/>
      <c r="I708" s="5326"/>
      <c r="J708" s="5326"/>
      <c r="K708" s="5326"/>
      <c r="L708" s="5326"/>
      <c r="M708" s="5326"/>
      <c r="N708" s="5326"/>
      <c r="O708" s="5326"/>
      <c r="P708" s="5326"/>
      <c r="Q708" s="5330"/>
      <c r="R708" s="891"/>
      <c r="S708" s="894"/>
      <c r="T708" s="894"/>
      <c r="U708" s="895"/>
      <c r="V708" s="891"/>
      <c r="W708" s="891"/>
      <c r="X708" s="892"/>
      <c r="Y708" s="892"/>
      <c r="Z708" s="892"/>
      <c r="AA708" s="893"/>
      <c r="AB708" s="582"/>
      <c r="AC708" s="528"/>
      <c r="AD708" s="528"/>
      <c r="AE708" s="5466"/>
    </row>
    <row r="709" spans="1:31" ht="37.5" customHeight="1">
      <c r="A709" s="5367"/>
      <c r="B709" s="5349"/>
      <c r="C709" s="5326"/>
      <c r="D709" s="5326"/>
      <c r="E709" s="5326"/>
      <c r="F709" s="5326"/>
      <c r="G709" s="5326"/>
      <c r="H709" s="5326"/>
      <c r="I709" s="5326"/>
      <c r="J709" s="5326"/>
      <c r="K709" s="5326"/>
      <c r="L709" s="5326"/>
      <c r="M709" s="5326"/>
      <c r="N709" s="5326"/>
      <c r="O709" s="5326"/>
      <c r="P709" s="5326"/>
      <c r="Q709" s="5330"/>
      <c r="R709" s="888"/>
      <c r="S709" s="889"/>
      <c r="T709" s="889"/>
      <c r="U709" s="895"/>
      <c r="V709" s="891"/>
      <c r="W709" s="891"/>
      <c r="X709" s="892"/>
      <c r="Y709" s="892"/>
      <c r="Z709" s="892"/>
      <c r="AA709" s="893"/>
      <c r="AB709" s="582"/>
      <c r="AC709" s="528"/>
      <c r="AD709" s="528"/>
      <c r="AE709" s="5466"/>
    </row>
    <row r="710" spans="1:31" ht="37.5" customHeight="1">
      <c r="A710" s="5367"/>
      <c r="B710" s="5350"/>
      <c r="C710" s="5327"/>
      <c r="D710" s="5327"/>
      <c r="E710" s="5327"/>
      <c r="F710" s="5327"/>
      <c r="G710" s="5327"/>
      <c r="H710" s="5327"/>
      <c r="I710" s="5327"/>
      <c r="J710" s="5327"/>
      <c r="K710" s="5327"/>
      <c r="L710" s="5327"/>
      <c r="M710" s="5327"/>
      <c r="N710" s="5327"/>
      <c r="O710" s="5327"/>
      <c r="P710" s="5327"/>
      <c r="Q710" s="5331"/>
      <c r="R710" s="891"/>
      <c r="S710" s="894"/>
      <c r="T710" s="894"/>
      <c r="U710" s="895"/>
      <c r="V710" s="891"/>
      <c r="W710" s="891"/>
      <c r="X710" s="892"/>
      <c r="Y710" s="892"/>
      <c r="Z710" s="892"/>
      <c r="AA710" s="893"/>
      <c r="AB710" s="582"/>
      <c r="AC710" s="528"/>
      <c r="AD710" s="528"/>
      <c r="AE710" s="5467"/>
    </row>
    <row r="711" spans="1:31" ht="37.5" customHeight="1">
      <c r="A711" s="5367"/>
      <c r="B711" s="5348" t="s">
        <v>272</v>
      </c>
      <c r="C711" s="5325" t="s">
        <v>302</v>
      </c>
      <c r="D711" s="5325" t="s">
        <v>680</v>
      </c>
      <c r="E711" s="5325" t="s">
        <v>817</v>
      </c>
      <c r="F711" s="5328" t="s">
        <v>305</v>
      </c>
      <c r="G711" s="5325" t="s">
        <v>306</v>
      </c>
      <c r="H711" s="5325" t="s">
        <v>278</v>
      </c>
      <c r="I711" s="5325" t="s">
        <v>2365</v>
      </c>
      <c r="J711" s="5325" t="s">
        <v>1870</v>
      </c>
      <c r="K711" s="5325" t="s">
        <v>2259</v>
      </c>
      <c r="L711" s="5332">
        <v>0</v>
      </c>
      <c r="M711" s="5332">
        <v>1</v>
      </c>
      <c r="N711" s="5332">
        <v>1</v>
      </c>
      <c r="O711" s="5325" t="s">
        <v>2260</v>
      </c>
      <c r="P711" s="5325" t="s">
        <v>2261</v>
      </c>
      <c r="Q711" s="5329" t="s">
        <v>2357</v>
      </c>
      <c r="R711" s="888"/>
      <c r="S711" s="889"/>
      <c r="T711" s="889"/>
      <c r="U711" s="890"/>
      <c r="V711" s="891"/>
      <c r="W711" s="891"/>
      <c r="X711" s="892"/>
      <c r="Y711" s="892"/>
      <c r="Z711" s="892"/>
      <c r="AA711" s="893"/>
      <c r="AB711" s="582"/>
      <c r="AC711" s="528"/>
      <c r="AD711" s="528"/>
      <c r="AE711" s="5465" t="s">
        <v>2166</v>
      </c>
    </row>
    <row r="712" spans="1:31" ht="37.5" customHeight="1">
      <c r="A712" s="5367"/>
      <c r="B712" s="5349"/>
      <c r="C712" s="5326"/>
      <c r="D712" s="5326"/>
      <c r="E712" s="5326"/>
      <c r="F712" s="5326"/>
      <c r="G712" s="5326"/>
      <c r="H712" s="5326"/>
      <c r="I712" s="5326"/>
      <c r="J712" s="5326"/>
      <c r="K712" s="5326"/>
      <c r="L712" s="5326"/>
      <c r="M712" s="5326"/>
      <c r="N712" s="5326"/>
      <c r="O712" s="5326"/>
      <c r="P712" s="5326"/>
      <c r="Q712" s="5330"/>
      <c r="R712" s="891"/>
      <c r="S712" s="894"/>
      <c r="T712" s="894"/>
      <c r="U712" s="895"/>
      <c r="V712" s="891"/>
      <c r="W712" s="891"/>
      <c r="X712" s="892"/>
      <c r="Y712" s="892"/>
      <c r="Z712" s="892"/>
      <c r="AA712" s="893"/>
      <c r="AB712" s="582"/>
      <c r="AC712" s="528"/>
      <c r="AD712" s="528"/>
      <c r="AE712" s="5466"/>
    </row>
    <row r="713" spans="1:31" ht="37.5" customHeight="1">
      <c r="A713" s="5367"/>
      <c r="B713" s="5349"/>
      <c r="C713" s="5326"/>
      <c r="D713" s="5326"/>
      <c r="E713" s="5326"/>
      <c r="F713" s="5326"/>
      <c r="G713" s="5326"/>
      <c r="H713" s="5326"/>
      <c r="I713" s="5326"/>
      <c r="J713" s="5326"/>
      <c r="K713" s="5326"/>
      <c r="L713" s="5326"/>
      <c r="M713" s="5326"/>
      <c r="N713" s="5326"/>
      <c r="O713" s="5326"/>
      <c r="P713" s="5326"/>
      <c r="Q713" s="5330"/>
      <c r="R713" s="891"/>
      <c r="S713" s="894"/>
      <c r="T713" s="894"/>
      <c r="U713" s="895"/>
      <c r="V713" s="891"/>
      <c r="W713" s="891"/>
      <c r="X713" s="892"/>
      <c r="Y713" s="892"/>
      <c r="Z713" s="892"/>
      <c r="AA713" s="893"/>
      <c r="AB713" s="582"/>
      <c r="AC713" s="528"/>
      <c r="AD713" s="528"/>
      <c r="AE713" s="5466"/>
    </row>
    <row r="714" spans="1:31" ht="37.5" customHeight="1">
      <c r="A714" s="5367"/>
      <c r="B714" s="5349"/>
      <c r="C714" s="5326"/>
      <c r="D714" s="5326"/>
      <c r="E714" s="5326"/>
      <c r="F714" s="5326"/>
      <c r="G714" s="5326"/>
      <c r="H714" s="5326"/>
      <c r="I714" s="5326"/>
      <c r="J714" s="5326"/>
      <c r="K714" s="5326"/>
      <c r="L714" s="5326"/>
      <c r="M714" s="5326"/>
      <c r="N714" s="5326"/>
      <c r="O714" s="5326"/>
      <c r="P714" s="5326"/>
      <c r="Q714" s="5330"/>
      <c r="R714" s="888"/>
      <c r="S714" s="889"/>
      <c r="T714" s="889"/>
      <c r="U714" s="895"/>
      <c r="V714" s="891"/>
      <c r="W714" s="891"/>
      <c r="X714" s="892"/>
      <c r="Y714" s="892"/>
      <c r="Z714" s="892"/>
      <c r="AA714" s="893"/>
      <c r="AB714" s="582"/>
      <c r="AC714" s="528"/>
      <c r="AD714" s="528"/>
      <c r="AE714" s="5466"/>
    </row>
    <row r="715" spans="1:31" ht="37.5" customHeight="1">
      <c r="A715" s="5367"/>
      <c r="B715" s="5350"/>
      <c r="C715" s="5327"/>
      <c r="D715" s="5327"/>
      <c r="E715" s="5327"/>
      <c r="F715" s="5327"/>
      <c r="G715" s="5327"/>
      <c r="H715" s="5327"/>
      <c r="I715" s="5327"/>
      <c r="J715" s="5327"/>
      <c r="K715" s="5327"/>
      <c r="L715" s="5327"/>
      <c r="M715" s="5327"/>
      <c r="N715" s="5327"/>
      <c r="O715" s="5327"/>
      <c r="P715" s="5327"/>
      <c r="Q715" s="5331"/>
      <c r="R715" s="891"/>
      <c r="S715" s="894"/>
      <c r="T715" s="894"/>
      <c r="U715" s="895"/>
      <c r="V715" s="891"/>
      <c r="W715" s="891"/>
      <c r="X715" s="892"/>
      <c r="Y715" s="892"/>
      <c r="Z715" s="892"/>
      <c r="AA715" s="893"/>
      <c r="AB715" s="582"/>
      <c r="AC715" s="528"/>
      <c r="AD715" s="528"/>
      <c r="AE715" s="5467"/>
    </row>
    <row r="716" spans="1:31" ht="37.5" customHeight="1">
      <c r="A716" s="5367"/>
      <c r="B716" s="5348" t="s">
        <v>272</v>
      </c>
      <c r="C716" s="5325" t="s">
        <v>302</v>
      </c>
      <c r="D716" s="5325" t="s">
        <v>303</v>
      </c>
      <c r="E716" s="5325" t="s">
        <v>304</v>
      </c>
      <c r="F716" s="5328" t="s">
        <v>305</v>
      </c>
      <c r="G716" s="5325" t="s">
        <v>262</v>
      </c>
      <c r="H716" s="5325" t="s">
        <v>257</v>
      </c>
      <c r="I716" s="5325" t="s">
        <v>2366</v>
      </c>
      <c r="J716" s="5325" t="s">
        <v>2216</v>
      </c>
      <c r="K716" s="5325" t="s">
        <v>2367</v>
      </c>
      <c r="L716" s="5332">
        <v>0</v>
      </c>
      <c r="M716" s="5332">
        <v>4</v>
      </c>
      <c r="N716" s="5332">
        <v>4</v>
      </c>
      <c r="O716" s="5325" t="s">
        <v>2218</v>
      </c>
      <c r="P716" s="5325" t="s">
        <v>2264</v>
      </c>
      <c r="Q716" s="5329" t="s">
        <v>2357</v>
      </c>
      <c r="R716" s="888"/>
      <c r="S716" s="889"/>
      <c r="T716" s="889"/>
      <c r="U716" s="890"/>
      <c r="V716" s="891"/>
      <c r="W716" s="891"/>
      <c r="X716" s="892"/>
      <c r="Y716" s="892"/>
      <c r="Z716" s="892"/>
      <c r="AA716" s="893"/>
      <c r="AB716" s="582"/>
      <c r="AC716" s="528"/>
      <c r="AD716" s="528"/>
      <c r="AE716" s="5465" t="s">
        <v>2166</v>
      </c>
    </row>
    <row r="717" spans="1:31" ht="37.5" customHeight="1">
      <c r="A717" s="5367"/>
      <c r="B717" s="5349"/>
      <c r="C717" s="5326"/>
      <c r="D717" s="5326"/>
      <c r="E717" s="5326"/>
      <c r="F717" s="5326"/>
      <c r="G717" s="5326"/>
      <c r="H717" s="5326"/>
      <c r="I717" s="5326"/>
      <c r="J717" s="5326"/>
      <c r="K717" s="5326"/>
      <c r="L717" s="5326"/>
      <c r="M717" s="5326"/>
      <c r="N717" s="5326"/>
      <c r="O717" s="5326"/>
      <c r="P717" s="5326"/>
      <c r="Q717" s="5330"/>
      <c r="R717" s="891"/>
      <c r="S717" s="894"/>
      <c r="T717" s="894"/>
      <c r="U717" s="895"/>
      <c r="V717" s="891"/>
      <c r="W717" s="891"/>
      <c r="X717" s="892"/>
      <c r="Y717" s="892"/>
      <c r="Z717" s="892"/>
      <c r="AA717" s="893"/>
      <c r="AB717" s="582"/>
      <c r="AC717" s="528"/>
      <c r="AD717" s="528"/>
      <c r="AE717" s="5466"/>
    </row>
    <row r="718" spans="1:31" ht="37.5" customHeight="1">
      <c r="A718" s="5367"/>
      <c r="B718" s="5349"/>
      <c r="C718" s="5326"/>
      <c r="D718" s="5326"/>
      <c r="E718" s="5326"/>
      <c r="F718" s="5326"/>
      <c r="G718" s="5326"/>
      <c r="H718" s="5326"/>
      <c r="I718" s="5326"/>
      <c r="J718" s="5326"/>
      <c r="K718" s="5326"/>
      <c r="L718" s="5326"/>
      <c r="M718" s="5326"/>
      <c r="N718" s="5326"/>
      <c r="O718" s="5326"/>
      <c r="P718" s="5326"/>
      <c r="Q718" s="5330"/>
      <c r="R718" s="891"/>
      <c r="S718" s="894"/>
      <c r="T718" s="894"/>
      <c r="U718" s="895"/>
      <c r="V718" s="891"/>
      <c r="W718" s="891"/>
      <c r="X718" s="892"/>
      <c r="Y718" s="892"/>
      <c r="Z718" s="892"/>
      <c r="AA718" s="893"/>
      <c r="AB718" s="582"/>
      <c r="AC718" s="528"/>
      <c r="AD718" s="528"/>
      <c r="AE718" s="5466"/>
    </row>
    <row r="719" spans="1:31" ht="37.5" customHeight="1">
      <c r="A719" s="5367"/>
      <c r="B719" s="5349"/>
      <c r="C719" s="5326"/>
      <c r="D719" s="5326"/>
      <c r="E719" s="5326"/>
      <c r="F719" s="5326"/>
      <c r="G719" s="5326"/>
      <c r="H719" s="5326"/>
      <c r="I719" s="5326"/>
      <c r="J719" s="5326"/>
      <c r="K719" s="5326"/>
      <c r="L719" s="5326"/>
      <c r="M719" s="5326"/>
      <c r="N719" s="5326"/>
      <c r="O719" s="5326"/>
      <c r="P719" s="5326"/>
      <c r="Q719" s="5330"/>
      <c r="R719" s="888"/>
      <c r="S719" s="889"/>
      <c r="T719" s="889"/>
      <c r="U719" s="895"/>
      <c r="V719" s="891"/>
      <c r="W719" s="891"/>
      <c r="X719" s="892"/>
      <c r="Y719" s="892"/>
      <c r="Z719" s="892"/>
      <c r="AA719" s="893"/>
      <c r="AB719" s="582"/>
      <c r="AC719" s="528"/>
      <c r="AD719" s="528"/>
      <c r="AE719" s="5466"/>
    </row>
    <row r="720" spans="1:31" ht="37.5" customHeight="1">
      <c r="A720" s="5367"/>
      <c r="B720" s="5350"/>
      <c r="C720" s="5327"/>
      <c r="D720" s="5327"/>
      <c r="E720" s="5327"/>
      <c r="F720" s="5327"/>
      <c r="G720" s="5327"/>
      <c r="H720" s="5327"/>
      <c r="I720" s="5327"/>
      <c r="J720" s="5327"/>
      <c r="K720" s="5327"/>
      <c r="L720" s="5327"/>
      <c r="M720" s="5327"/>
      <c r="N720" s="5327"/>
      <c r="O720" s="5327"/>
      <c r="P720" s="5327"/>
      <c r="Q720" s="5331"/>
      <c r="R720" s="891"/>
      <c r="S720" s="894"/>
      <c r="T720" s="894"/>
      <c r="U720" s="895"/>
      <c r="V720" s="891"/>
      <c r="W720" s="891"/>
      <c r="X720" s="892"/>
      <c r="Y720" s="892"/>
      <c r="Z720" s="892"/>
      <c r="AA720" s="893"/>
      <c r="AB720" s="582"/>
      <c r="AC720" s="528"/>
      <c r="AD720" s="528"/>
      <c r="AE720" s="5467"/>
    </row>
    <row r="721" spans="1:31" ht="37.5" customHeight="1">
      <c r="A721" s="5367"/>
      <c r="B721" s="5348" t="s">
        <v>235</v>
      </c>
      <c r="C721" s="5325" t="s">
        <v>236</v>
      </c>
      <c r="D721" s="5325" t="s">
        <v>237</v>
      </c>
      <c r="E721" s="5325" t="s">
        <v>289</v>
      </c>
      <c r="F721" s="5328" t="s">
        <v>239</v>
      </c>
      <c r="G721" s="5325" t="s">
        <v>240</v>
      </c>
      <c r="H721" s="5325" t="s">
        <v>257</v>
      </c>
      <c r="I721" s="5325" t="s">
        <v>2368</v>
      </c>
      <c r="J721" s="5325" t="s">
        <v>2221</v>
      </c>
      <c r="K721" s="5325" t="s">
        <v>2222</v>
      </c>
      <c r="L721" s="5332">
        <v>0</v>
      </c>
      <c r="M721" s="5332">
        <v>4</v>
      </c>
      <c r="N721" s="5332">
        <v>4</v>
      </c>
      <c r="O721" s="5325" t="s">
        <v>2223</v>
      </c>
      <c r="P721" s="5325" t="s">
        <v>2267</v>
      </c>
      <c r="Q721" s="5329" t="s">
        <v>2357</v>
      </c>
      <c r="R721" s="888"/>
      <c r="S721" s="889"/>
      <c r="T721" s="889"/>
      <c r="U721" s="890"/>
      <c r="V721" s="891"/>
      <c r="W721" s="891"/>
      <c r="X721" s="892"/>
      <c r="Y721" s="892"/>
      <c r="Z721" s="892"/>
      <c r="AA721" s="893"/>
      <c r="AB721" s="582"/>
      <c r="AC721" s="528"/>
      <c r="AD721" s="528"/>
      <c r="AE721" s="5465" t="s">
        <v>2166</v>
      </c>
    </row>
    <row r="722" spans="1:31" ht="37.5" customHeight="1">
      <c r="A722" s="5367"/>
      <c r="B722" s="5349"/>
      <c r="C722" s="5326"/>
      <c r="D722" s="5326"/>
      <c r="E722" s="5326"/>
      <c r="F722" s="5326"/>
      <c r="G722" s="5326"/>
      <c r="H722" s="5326"/>
      <c r="I722" s="5326"/>
      <c r="J722" s="5326"/>
      <c r="K722" s="5326"/>
      <c r="L722" s="5326"/>
      <c r="M722" s="5326"/>
      <c r="N722" s="5326"/>
      <c r="O722" s="5326"/>
      <c r="P722" s="5326"/>
      <c r="Q722" s="5330"/>
      <c r="R722" s="891"/>
      <c r="S722" s="894"/>
      <c r="T722" s="894"/>
      <c r="U722" s="895"/>
      <c r="V722" s="891"/>
      <c r="W722" s="891"/>
      <c r="X722" s="892"/>
      <c r="Y722" s="892"/>
      <c r="Z722" s="892"/>
      <c r="AA722" s="893"/>
      <c r="AB722" s="582"/>
      <c r="AC722" s="528"/>
      <c r="AD722" s="528"/>
      <c r="AE722" s="5466"/>
    </row>
    <row r="723" spans="1:31" ht="37.5" customHeight="1">
      <c r="A723" s="5367"/>
      <c r="B723" s="5349"/>
      <c r="C723" s="5326"/>
      <c r="D723" s="5326"/>
      <c r="E723" s="5326"/>
      <c r="F723" s="5326"/>
      <c r="G723" s="5326"/>
      <c r="H723" s="5326"/>
      <c r="I723" s="5326"/>
      <c r="J723" s="5326"/>
      <c r="K723" s="5326"/>
      <c r="L723" s="5326"/>
      <c r="M723" s="5326"/>
      <c r="N723" s="5326"/>
      <c r="O723" s="5326"/>
      <c r="P723" s="5326"/>
      <c r="Q723" s="5330"/>
      <c r="R723" s="891"/>
      <c r="S723" s="894"/>
      <c r="T723" s="894"/>
      <c r="U723" s="895"/>
      <c r="V723" s="891"/>
      <c r="W723" s="891"/>
      <c r="X723" s="892"/>
      <c r="Y723" s="892"/>
      <c r="Z723" s="892"/>
      <c r="AA723" s="893"/>
      <c r="AB723" s="582"/>
      <c r="AC723" s="528"/>
      <c r="AD723" s="528"/>
      <c r="AE723" s="5466"/>
    </row>
    <row r="724" spans="1:31" ht="37.5" customHeight="1">
      <c r="A724" s="5367"/>
      <c r="B724" s="5349"/>
      <c r="C724" s="5326"/>
      <c r="D724" s="5326"/>
      <c r="E724" s="5326"/>
      <c r="F724" s="5326"/>
      <c r="G724" s="5326"/>
      <c r="H724" s="5326"/>
      <c r="I724" s="5326"/>
      <c r="J724" s="5326"/>
      <c r="K724" s="5326"/>
      <c r="L724" s="5326"/>
      <c r="M724" s="5326"/>
      <c r="N724" s="5326"/>
      <c r="O724" s="5326"/>
      <c r="P724" s="5326"/>
      <c r="Q724" s="5330"/>
      <c r="R724" s="888"/>
      <c r="S724" s="889"/>
      <c r="T724" s="889"/>
      <c r="U724" s="895"/>
      <c r="V724" s="891"/>
      <c r="W724" s="891"/>
      <c r="X724" s="892"/>
      <c r="Y724" s="892"/>
      <c r="Z724" s="892"/>
      <c r="AA724" s="893"/>
      <c r="AB724" s="582"/>
      <c r="AC724" s="528"/>
      <c r="AD724" s="528"/>
      <c r="AE724" s="5466"/>
    </row>
    <row r="725" spans="1:31" ht="37.5" customHeight="1">
      <c r="A725" s="5367"/>
      <c r="B725" s="5350"/>
      <c r="C725" s="5327"/>
      <c r="D725" s="5327"/>
      <c r="E725" s="5327"/>
      <c r="F725" s="5327"/>
      <c r="G725" s="5327"/>
      <c r="H725" s="5327"/>
      <c r="I725" s="5327"/>
      <c r="J725" s="5327"/>
      <c r="K725" s="5327"/>
      <c r="L725" s="5327"/>
      <c r="M725" s="5327"/>
      <c r="N725" s="5327"/>
      <c r="O725" s="5327"/>
      <c r="P725" s="5327"/>
      <c r="Q725" s="5331"/>
      <c r="R725" s="891"/>
      <c r="S725" s="894"/>
      <c r="T725" s="894"/>
      <c r="U725" s="895"/>
      <c r="V725" s="891"/>
      <c r="W725" s="891"/>
      <c r="X725" s="892"/>
      <c r="Y725" s="892"/>
      <c r="Z725" s="892"/>
      <c r="AA725" s="893"/>
      <c r="AB725" s="582"/>
      <c r="AC725" s="528"/>
      <c r="AD725" s="528"/>
      <c r="AE725" s="5467"/>
    </row>
    <row r="726" spans="1:31" ht="37.5" customHeight="1">
      <c r="A726" s="2161"/>
      <c r="B726" s="785"/>
      <c r="C726" s="785"/>
      <c r="D726" s="785"/>
      <c r="E726" s="785"/>
      <c r="F726" s="785"/>
      <c r="G726" s="785"/>
      <c r="H726" s="785"/>
      <c r="I726" s="785"/>
      <c r="J726" s="785"/>
      <c r="K726" s="785"/>
      <c r="L726" s="785"/>
      <c r="M726" s="785"/>
      <c r="N726" s="785"/>
      <c r="O726" s="785"/>
      <c r="P726" s="785"/>
      <c r="Q726" s="786"/>
      <c r="R726" s="5471" t="s">
        <v>2268</v>
      </c>
      <c r="S726" s="5444"/>
      <c r="T726" s="5444"/>
      <c r="U726" s="5444"/>
      <c r="V726" s="5444"/>
      <c r="W726" s="5444"/>
      <c r="X726" s="5444"/>
      <c r="Y726" s="5472"/>
      <c r="Z726" s="787" t="s">
        <v>340</v>
      </c>
      <c r="AA726" s="788">
        <f>SUM(AA633:AA725)</f>
        <v>0</v>
      </c>
      <c r="AB726" s="5443"/>
      <c r="AC726" s="5444"/>
      <c r="AD726" s="5444"/>
      <c r="AE726" s="4797"/>
    </row>
    <row r="727" spans="1:31" ht="37.5" customHeight="1">
      <c r="A727" s="5366" t="s">
        <v>2369</v>
      </c>
      <c r="B727" s="5351" t="s">
        <v>235</v>
      </c>
      <c r="C727" s="5355" t="s">
        <v>236</v>
      </c>
      <c r="D727" s="5355" t="s">
        <v>237</v>
      </c>
      <c r="E727" s="5355" t="s">
        <v>289</v>
      </c>
      <c r="F727" s="5364" t="s">
        <v>239</v>
      </c>
      <c r="G727" s="5355" t="s">
        <v>240</v>
      </c>
      <c r="H727" s="5355" t="s">
        <v>257</v>
      </c>
      <c r="I727" s="5360" t="s">
        <v>2370</v>
      </c>
      <c r="J727" s="5355" t="s">
        <v>1821</v>
      </c>
      <c r="K727" s="5355" t="s">
        <v>2371</v>
      </c>
      <c r="L727" s="5390">
        <v>0</v>
      </c>
      <c r="M727" s="5390">
        <v>1</v>
      </c>
      <c r="N727" s="5390">
        <v>1</v>
      </c>
      <c r="O727" s="5358" t="s">
        <v>2152</v>
      </c>
      <c r="P727" s="5358" t="s">
        <v>2372</v>
      </c>
      <c r="Q727" s="5359" t="s">
        <v>2373</v>
      </c>
      <c r="R727" s="789"/>
      <c r="S727" s="718"/>
      <c r="T727" s="718"/>
      <c r="U727" s="719"/>
      <c r="V727" s="720"/>
      <c r="W727" s="720"/>
      <c r="X727" s="721"/>
      <c r="Y727" s="721"/>
      <c r="Z727" s="721"/>
      <c r="AA727" s="722"/>
      <c r="AB727" s="155"/>
      <c r="AC727" s="156"/>
      <c r="AD727" s="156"/>
      <c r="AE727" s="5428"/>
    </row>
    <row r="728" spans="1:31" ht="37.5" customHeight="1">
      <c r="A728" s="5367"/>
      <c r="B728" s="5334"/>
      <c r="C728" s="5337"/>
      <c r="D728" s="5337"/>
      <c r="E728" s="5337"/>
      <c r="F728" s="5337"/>
      <c r="G728" s="5337"/>
      <c r="H728" s="5337"/>
      <c r="I728" s="5361"/>
      <c r="J728" s="5337"/>
      <c r="K728" s="5337"/>
      <c r="L728" s="5337"/>
      <c r="M728" s="5337"/>
      <c r="N728" s="5337"/>
      <c r="O728" s="5337"/>
      <c r="P728" s="5337"/>
      <c r="Q728" s="5345"/>
      <c r="R728" s="931"/>
      <c r="S728" s="832"/>
      <c r="T728" s="832"/>
      <c r="U728" s="932"/>
      <c r="V728" s="834"/>
      <c r="W728" s="834"/>
      <c r="X728" s="835"/>
      <c r="Y728" s="835"/>
      <c r="Z728" s="835"/>
      <c r="AA728" s="837"/>
      <c r="AB728" s="357"/>
      <c r="AC728" s="282"/>
      <c r="AD728" s="282"/>
      <c r="AE728" s="5416"/>
    </row>
    <row r="729" spans="1:31" ht="37.5" customHeight="1">
      <c r="A729" s="5367"/>
      <c r="B729" s="5334"/>
      <c r="C729" s="5337"/>
      <c r="D729" s="5337"/>
      <c r="E729" s="5337"/>
      <c r="F729" s="5337"/>
      <c r="G729" s="5337"/>
      <c r="H729" s="5337"/>
      <c r="I729" s="5361"/>
      <c r="J729" s="5337"/>
      <c r="K729" s="5337"/>
      <c r="L729" s="5337"/>
      <c r="M729" s="5337"/>
      <c r="N729" s="5337"/>
      <c r="O729" s="5337"/>
      <c r="P729" s="5337"/>
      <c r="Q729" s="5345"/>
      <c r="R729" s="811"/>
      <c r="S729" s="825"/>
      <c r="T729" s="825"/>
      <c r="U729" s="844"/>
      <c r="V729" s="827"/>
      <c r="W729" s="827"/>
      <c r="X729" s="828"/>
      <c r="Y729" s="835"/>
      <c r="Z729" s="835"/>
      <c r="AA729" s="837"/>
      <c r="AB729" s="357"/>
      <c r="AC729" s="282"/>
      <c r="AD729" s="282"/>
      <c r="AE729" s="5416"/>
    </row>
    <row r="730" spans="1:31" ht="37.5" customHeight="1">
      <c r="A730" s="5367"/>
      <c r="B730" s="5334"/>
      <c r="C730" s="5337"/>
      <c r="D730" s="5337"/>
      <c r="E730" s="5337"/>
      <c r="F730" s="5337"/>
      <c r="G730" s="5337"/>
      <c r="H730" s="5337"/>
      <c r="I730" s="5361"/>
      <c r="J730" s="5337"/>
      <c r="K730" s="5337"/>
      <c r="L730" s="5337"/>
      <c r="M730" s="5337"/>
      <c r="N730" s="5337"/>
      <c r="O730" s="5337"/>
      <c r="P730" s="5337"/>
      <c r="Q730" s="5345"/>
      <c r="R730" s="843"/>
      <c r="S730" s="812"/>
      <c r="T730" s="812"/>
      <c r="U730" s="844"/>
      <c r="V730" s="827"/>
      <c r="W730" s="827"/>
      <c r="X730" s="828"/>
      <c r="Y730" s="835"/>
      <c r="Z730" s="835"/>
      <c r="AA730" s="837"/>
      <c r="AB730" s="357"/>
      <c r="AC730" s="282"/>
      <c r="AD730" s="282"/>
      <c r="AE730" s="5416"/>
    </row>
    <row r="731" spans="1:31" ht="37.5" customHeight="1">
      <c r="A731" s="5367"/>
      <c r="B731" s="5335"/>
      <c r="C731" s="5338"/>
      <c r="D731" s="5338"/>
      <c r="E731" s="5338"/>
      <c r="F731" s="5338"/>
      <c r="G731" s="5338"/>
      <c r="H731" s="5338"/>
      <c r="I731" s="5362"/>
      <c r="J731" s="5338"/>
      <c r="K731" s="5338"/>
      <c r="L731" s="5338"/>
      <c r="M731" s="5338"/>
      <c r="N731" s="5338"/>
      <c r="O731" s="5338"/>
      <c r="P731" s="5338"/>
      <c r="Q731" s="5346"/>
      <c r="R731" s="933"/>
      <c r="S731" s="934"/>
      <c r="T731" s="934"/>
      <c r="U731" s="935"/>
      <c r="V731" s="936"/>
      <c r="W731" s="936"/>
      <c r="X731" s="937"/>
      <c r="Y731" s="937"/>
      <c r="Z731" s="937"/>
      <c r="AA731" s="859"/>
      <c r="AB731" s="361"/>
      <c r="AC731" s="166"/>
      <c r="AD731" s="166"/>
      <c r="AE731" s="5417"/>
    </row>
    <row r="732" spans="1:31" ht="37.5" customHeight="1">
      <c r="A732" s="5367"/>
      <c r="B732" s="5333" t="s">
        <v>235</v>
      </c>
      <c r="C732" s="5336" t="s">
        <v>236</v>
      </c>
      <c r="D732" s="5336" t="s">
        <v>237</v>
      </c>
      <c r="E732" s="5336" t="s">
        <v>289</v>
      </c>
      <c r="F732" s="5341" t="s">
        <v>239</v>
      </c>
      <c r="G732" s="5336" t="s">
        <v>240</v>
      </c>
      <c r="H732" s="5336" t="s">
        <v>257</v>
      </c>
      <c r="I732" s="5336" t="s">
        <v>2374</v>
      </c>
      <c r="J732" s="5347" t="s">
        <v>1825</v>
      </c>
      <c r="K732" s="5342" t="s">
        <v>2375</v>
      </c>
      <c r="L732" s="5343">
        <v>0</v>
      </c>
      <c r="M732" s="5343">
        <v>4</v>
      </c>
      <c r="N732" s="5343">
        <v>4</v>
      </c>
      <c r="O732" s="5342" t="s">
        <v>2157</v>
      </c>
      <c r="P732" s="5342" t="s">
        <v>2376</v>
      </c>
      <c r="Q732" s="5380" t="s">
        <v>2373</v>
      </c>
      <c r="R732" s="843"/>
      <c r="S732" s="812"/>
      <c r="T732" s="812"/>
      <c r="U732" s="826"/>
      <c r="V732" s="827"/>
      <c r="W732" s="827"/>
      <c r="X732" s="828"/>
      <c r="Y732" s="828"/>
      <c r="Z732" s="828"/>
      <c r="AA732" s="830"/>
      <c r="AB732" s="355"/>
      <c r="AC732" s="174"/>
      <c r="AD732" s="174"/>
      <c r="AE732" s="5415" t="s">
        <v>2160</v>
      </c>
    </row>
    <row r="733" spans="1:31" ht="37.5" customHeight="1">
      <c r="A733" s="5367"/>
      <c r="B733" s="5334"/>
      <c r="C733" s="5337"/>
      <c r="D733" s="5337"/>
      <c r="E733" s="5337"/>
      <c r="F733" s="5337"/>
      <c r="G733" s="5337"/>
      <c r="H733" s="5337"/>
      <c r="I733" s="5337"/>
      <c r="J733" s="5337"/>
      <c r="K733" s="5337"/>
      <c r="L733" s="5337"/>
      <c r="M733" s="5337"/>
      <c r="N733" s="5337"/>
      <c r="O733" s="5337"/>
      <c r="P733" s="5337"/>
      <c r="Q733" s="5345"/>
      <c r="R733" s="931"/>
      <c r="S733" s="832"/>
      <c r="T733" s="832"/>
      <c r="U733" s="932"/>
      <c r="V733" s="834"/>
      <c r="W733" s="834"/>
      <c r="X733" s="835"/>
      <c r="Y733" s="835"/>
      <c r="Z733" s="835"/>
      <c r="AA733" s="837"/>
      <c r="AB733" s="357"/>
      <c r="AC733" s="282"/>
      <c r="AD733" s="282"/>
      <c r="AE733" s="5416"/>
    </row>
    <row r="734" spans="1:31" ht="37.5" customHeight="1">
      <c r="A734" s="5367"/>
      <c r="B734" s="5334"/>
      <c r="C734" s="5337"/>
      <c r="D734" s="5337"/>
      <c r="E734" s="5337"/>
      <c r="F734" s="5337"/>
      <c r="G734" s="5337"/>
      <c r="H734" s="5337"/>
      <c r="I734" s="5337"/>
      <c r="J734" s="5337"/>
      <c r="K734" s="5337"/>
      <c r="L734" s="5337"/>
      <c r="M734" s="5337"/>
      <c r="N734" s="5337"/>
      <c r="O734" s="5337"/>
      <c r="P734" s="5337"/>
      <c r="Q734" s="5345"/>
      <c r="R734" s="811"/>
      <c r="S734" s="825"/>
      <c r="T734" s="825"/>
      <c r="U734" s="844"/>
      <c r="V734" s="827"/>
      <c r="W734" s="827"/>
      <c r="X734" s="828"/>
      <c r="Y734" s="835"/>
      <c r="Z734" s="835"/>
      <c r="AA734" s="837"/>
      <c r="AB734" s="357"/>
      <c r="AC734" s="282"/>
      <c r="AD734" s="282"/>
      <c r="AE734" s="5416"/>
    </row>
    <row r="735" spans="1:31" ht="37.5" customHeight="1">
      <c r="A735" s="5367"/>
      <c r="B735" s="5334"/>
      <c r="C735" s="5337"/>
      <c r="D735" s="5337"/>
      <c r="E735" s="5337"/>
      <c r="F735" s="5337"/>
      <c r="G735" s="5337"/>
      <c r="H735" s="5337"/>
      <c r="I735" s="5337"/>
      <c r="J735" s="5337"/>
      <c r="K735" s="5337"/>
      <c r="L735" s="5337"/>
      <c r="M735" s="5337"/>
      <c r="N735" s="5337"/>
      <c r="O735" s="5337"/>
      <c r="P735" s="5337"/>
      <c r="Q735" s="5345"/>
      <c r="R735" s="843"/>
      <c r="S735" s="812"/>
      <c r="T735" s="812"/>
      <c r="U735" s="844"/>
      <c r="V735" s="827"/>
      <c r="W735" s="827"/>
      <c r="X735" s="828"/>
      <c r="Y735" s="835"/>
      <c r="Z735" s="835"/>
      <c r="AA735" s="837"/>
      <c r="AB735" s="357"/>
      <c r="AC735" s="282"/>
      <c r="AD735" s="282"/>
      <c r="AE735" s="5416"/>
    </row>
    <row r="736" spans="1:31" ht="37.5" customHeight="1">
      <c r="A736" s="5367"/>
      <c r="B736" s="5335"/>
      <c r="C736" s="5338"/>
      <c r="D736" s="5338"/>
      <c r="E736" s="5338"/>
      <c r="F736" s="5338"/>
      <c r="G736" s="5338"/>
      <c r="H736" s="5338"/>
      <c r="I736" s="5338"/>
      <c r="J736" s="5338"/>
      <c r="K736" s="5338"/>
      <c r="L736" s="5338"/>
      <c r="M736" s="5338"/>
      <c r="N736" s="5338"/>
      <c r="O736" s="5338"/>
      <c r="P736" s="5338"/>
      <c r="Q736" s="5346"/>
      <c r="R736" s="933"/>
      <c r="S736" s="934"/>
      <c r="T736" s="934"/>
      <c r="U736" s="935"/>
      <c r="V736" s="936"/>
      <c r="W736" s="936"/>
      <c r="X736" s="937"/>
      <c r="Y736" s="937"/>
      <c r="Z736" s="937"/>
      <c r="AA736" s="859"/>
      <c r="AB736" s="361"/>
      <c r="AC736" s="166"/>
      <c r="AD736" s="166"/>
      <c r="AE736" s="5417"/>
    </row>
    <row r="737" spans="1:31" ht="37.5" customHeight="1">
      <c r="A737" s="5367"/>
      <c r="B737" s="5333" t="s">
        <v>235</v>
      </c>
      <c r="C737" s="5336" t="s">
        <v>236</v>
      </c>
      <c r="D737" s="5336" t="s">
        <v>237</v>
      </c>
      <c r="E737" s="5336" t="s">
        <v>289</v>
      </c>
      <c r="F737" s="5341" t="s">
        <v>239</v>
      </c>
      <c r="G737" s="5336" t="s">
        <v>240</v>
      </c>
      <c r="H737" s="5336" t="s">
        <v>257</v>
      </c>
      <c r="I737" s="5336" t="s">
        <v>2377</v>
      </c>
      <c r="J737" s="5347" t="s">
        <v>1828</v>
      </c>
      <c r="K737" s="5342" t="s">
        <v>2378</v>
      </c>
      <c r="L737" s="5343">
        <v>0</v>
      </c>
      <c r="M737" s="5343">
        <v>1</v>
      </c>
      <c r="N737" s="5343">
        <v>1</v>
      </c>
      <c r="O737" s="5342" t="s">
        <v>2163</v>
      </c>
      <c r="P737" s="5342" t="s">
        <v>2379</v>
      </c>
      <c r="Q737" s="5389" t="s">
        <v>2373</v>
      </c>
      <c r="R737" s="843"/>
      <c r="S737" s="812"/>
      <c r="T737" s="812"/>
      <c r="U737" s="826"/>
      <c r="V737" s="827"/>
      <c r="W737" s="827"/>
      <c r="X737" s="828"/>
      <c r="Y737" s="828"/>
      <c r="Z737" s="828"/>
      <c r="AA737" s="830"/>
      <c r="AB737" s="355"/>
      <c r="AC737" s="174"/>
      <c r="AD737" s="174"/>
      <c r="AE737" s="5415" t="s">
        <v>2166</v>
      </c>
    </row>
    <row r="738" spans="1:31" ht="37.5" customHeight="1">
      <c r="A738" s="5367"/>
      <c r="B738" s="5334"/>
      <c r="C738" s="5337"/>
      <c r="D738" s="5337"/>
      <c r="E738" s="5337"/>
      <c r="F738" s="5337"/>
      <c r="G738" s="5337"/>
      <c r="H738" s="5337"/>
      <c r="I738" s="5337"/>
      <c r="J738" s="5337"/>
      <c r="K738" s="5337"/>
      <c r="L738" s="5337"/>
      <c r="M738" s="5337"/>
      <c r="N738" s="5337"/>
      <c r="O738" s="5337"/>
      <c r="P738" s="5337"/>
      <c r="Q738" s="5345"/>
      <c r="R738" s="931"/>
      <c r="S738" s="832"/>
      <c r="T738" s="832"/>
      <c r="U738" s="932"/>
      <c r="V738" s="834"/>
      <c r="W738" s="834"/>
      <c r="X738" s="835"/>
      <c r="Y738" s="835"/>
      <c r="Z738" s="835"/>
      <c r="AA738" s="837"/>
      <c r="AB738" s="357"/>
      <c r="AC738" s="282"/>
      <c r="AD738" s="282"/>
      <c r="AE738" s="5416"/>
    </row>
    <row r="739" spans="1:31" ht="37.5" customHeight="1">
      <c r="A739" s="5367"/>
      <c r="B739" s="5334"/>
      <c r="C739" s="5337"/>
      <c r="D739" s="5337"/>
      <c r="E739" s="5337"/>
      <c r="F739" s="5337"/>
      <c r="G739" s="5337"/>
      <c r="H739" s="5337"/>
      <c r="I739" s="5337"/>
      <c r="J739" s="5337"/>
      <c r="K739" s="5337"/>
      <c r="L739" s="5337"/>
      <c r="M739" s="5337"/>
      <c r="N739" s="5337"/>
      <c r="O739" s="5337"/>
      <c r="P739" s="5337"/>
      <c r="Q739" s="5345"/>
      <c r="R739" s="811"/>
      <c r="S739" s="825"/>
      <c r="T739" s="825"/>
      <c r="U739" s="844"/>
      <c r="V739" s="827"/>
      <c r="W739" s="827"/>
      <c r="X739" s="828"/>
      <c r="Y739" s="835"/>
      <c r="Z739" s="835"/>
      <c r="AA739" s="837"/>
      <c r="AB739" s="357"/>
      <c r="AC739" s="282"/>
      <c r="AD739" s="282"/>
      <c r="AE739" s="5416"/>
    </row>
    <row r="740" spans="1:31" ht="37.5" customHeight="1">
      <c r="A740" s="5367"/>
      <c r="B740" s="5334"/>
      <c r="C740" s="5337"/>
      <c r="D740" s="5337"/>
      <c r="E740" s="5337"/>
      <c r="F740" s="5337"/>
      <c r="G740" s="5337"/>
      <c r="H740" s="5337"/>
      <c r="I740" s="5337"/>
      <c r="J740" s="5337"/>
      <c r="K740" s="5337"/>
      <c r="L740" s="5337"/>
      <c r="M740" s="5337"/>
      <c r="N740" s="5337"/>
      <c r="O740" s="5337"/>
      <c r="P740" s="5337"/>
      <c r="Q740" s="5345"/>
      <c r="R740" s="843"/>
      <c r="S740" s="812"/>
      <c r="T740" s="812"/>
      <c r="U740" s="844"/>
      <c r="V740" s="827"/>
      <c r="W740" s="827"/>
      <c r="X740" s="828"/>
      <c r="Y740" s="835"/>
      <c r="Z740" s="835"/>
      <c r="AA740" s="837"/>
      <c r="AB740" s="357"/>
      <c r="AC740" s="282"/>
      <c r="AD740" s="282"/>
      <c r="AE740" s="5416"/>
    </row>
    <row r="741" spans="1:31" ht="37.5" customHeight="1">
      <c r="A741" s="5367"/>
      <c r="B741" s="5335"/>
      <c r="C741" s="5338"/>
      <c r="D741" s="5338"/>
      <c r="E741" s="5338"/>
      <c r="F741" s="5338"/>
      <c r="G741" s="5338"/>
      <c r="H741" s="5338"/>
      <c r="I741" s="5338"/>
      <c r="J741" s="5338"/>
      <c r="K741" s="5338"/>
      <c r="L741" s="5338"/>
      <c r="M741" s="5338"/>
      <c r="N741" s="5338"/>
      <c r="O741" s="5338"/>
      <c r="P741" s="5338"/>
      <c r="Q741" s="5346"/>
      <c r="R741" s="933"/>
      <c r="S741" s="934"/>
      <c r="T741" s="934"/>
      <c r="U741" s="935"/>
      <c r="V741" s="936"/>
      <c r="W741" s="936"/>
      <c r="X741" s="937"/>
      <c r="Y741" s="937"/>
      <c r="Z741" s="937"/>
      <c r="AA741" s="859"/>
      <c r="AB741" s="361"/>
      <c r="AC741" s="166"/>
      <c r="AD741" s="166"/>
      <c r="AE741" s="5417"/>
    </row>
    <row r="742" spans="1:31" ht="37.5" customHeight="1">
      <c r="A742" s="5367"/>
      <c r="B742" s="5333" t="s">
        <v>235</v>
      </c>
      <c r="C742" s="5336" t="s">
        <v>236</v>
      </c>
      <c r="D742" s="5336" t="s">
        <v>237</v>
      </c>
      <c r="E742" s="5336" t="s">
        <v>289</v>
      </c>
      <c r="F742" s="5341" t="s">
        <v>239</v>
      </c>
      <c r="G742" s="5336" t="s">
        <v>240</v>
      </c>
      <c r="H742" s="5336" t="s">
        <v>257</v>
      </c>
      <c r="I742" s="5336" t="s">
        <v>2380</v>
      </c>
      <c r="J742" s="5357" t="s">
        <v>2282</v>
      </c>
      <c r="K742" s="5342" t="s">
        <v>2381</v>
      </c>
      <c r="L742" s="5343">
        <v>0</v>
      </c>
      <c r="M742" s="5343">
        <v>1</v>
      </c>
      <c r="N742" s="5343">
        <v>1</v>
      </c>
      <c r="O742" s="5342" t="s">
        <v>2382</v>
      </c>
      <c r="P742" s="5342" t="s">
        <v>2383</v>
      </c>
      <c r="Q742" s="5380" t="s">
        <v>2373</v>
      </c>
      <c r="R742" s="843"/>
      <c r="S742" s="812"/>
      <c r="T742" s="812"/>
      <c r="U742" s="826"/>
      <c r="V742" s="827"/>
      <c r="W742" s="827"/>
      <c r="X742" s="828"/>
      <c r="Y742" s="828"/>
      <c r="Z742" s="828"/>
      <c r="AA742" s="830"/>
      <c r="AB742" s="355"/>
      <c r="AC742" s="174"/>
      <c r="AD742" s="174"/>
      <c r="AE742" s="5415" t="s">
        <v>2173</v>
      </c>
    </row>
    <row r="743" spans="1:31" ht="37.5" customHeight="1">
      <c r="A743" s="5367"/>
      <c r="B743" s="5334"/>
      <c r="C743" s="5337"/>
      <c r="D743" s="5337"/>
      <c r="E743" s="5337"/>
      <c r="F743" s="5337"/>
      <c r="G743" s="5337"/>
      <c r="H743" s="5337"/>
      <c r="I743" s="5337"/>
      <c r="J743" s="5337"/>
      <c r="K743" s="5337"/>
      <c r="L743" s="5337"/>
      <c r="M743" s="5337"/>
      <c r="N743" s="5337"/>
      <c r="O743" s="5337"/>
      <c r="P743" s="5337"/>
      <c r="Q743" s="5345"/>
      <c r="R743" s="931"/>
      <c r="S743" s="832"/>
      <c r="T743" s="832"/>
      <c r="U743" s="932"/>
      <c r="V743" s="834"/>
      <c r="W743" s="834"/>
      <c r="X743" s="835"/>
      <c r="Y743" s="835"/>
      <c r="Z743" s="835"/>
      <c r="AA743" s="837"/>
      <c r="AB743" s="357"/>
      <c r="AC743" s="282"/>
      <c r="AD743" s="282"/>
      <c r="AE743" s="5416"/>
    </row>
    <row r="744" spans="1:31" ht="37.5" customHeight="1">
      <c r="A744" s="5367"/>
      <c r="B744" s="5334"/>
      <c r="C744" s="5337"/>
      <c r="D744" s="5337"/>
      <c r="E744" s="5337"/>
      <c r="F744" s="5337"/>
      <c r="G744" s="5337"/>
      <c r="H744" s="5337"/>
      <c r="I744" s="5337"/>
      <c r="J744" s="5337"/>
      <c r="K744" s="5337"/>
      <c r="L744" s="5337"/>
      <c r="M744" s="5337"/>
      <c r="N744" s="5337"/>
      <c r="O744" s="5337"/>
      <c r="P744" s="5337"/>
      <c r="Q744" s="5345"/>
      <c r="R744" s="811"/>
      <c r="S744" s="825"/>
      <c r="T744" s="825"/>
      <c r="U744" s="844"/>
      <c r="V744" s="827"/>
      <c r="W744" s="827"/>
      <c r="X744" s="828"/>
      <c r="Y744" s="835"/>
      <c r="Z744" s="835"/>
      <c r="AA744" s="837"/>
      <c r="AB744" s="357"/>
      <c r="AC744" s="282"/>
      <c r="AD744" s="282"/>
      <c r="AE744" s="5416"/>
    </row>
    <row r="745" spans="1:31" ht="37.5" customHeight="1">
      <c r="A745" s="5367"/>
      <c r="B745" s="5334"/>
      <c r="C745" s="5337"/>
      <c r="D745" s="5337"/>
      <c r="E745" s="5337"/>
      <c r="F745" s="5337"/>
      <c r="G745" s="5337"/>
      <c r="H745" s="5337"/>
      <c r="I745" s="5337"/>
      <c r="J745" s="5337"/>
      <c r="K745" s="5337"/>
      <c r="L745" s="5337"/>
      <c r="M745" s="5337"/>
      <c r="N745" s="5337"/>
      <c r="O745" s="5337"/>
      <c r="P745" s="5337"/>
      <c r="Q745" s="5345"/>
      <c r="R745" s="843"/>
      <c r="S745" s="812"/>
      <c r="T745" s="812"/>
      <c r="U745" s="844"/>
      <c r="V745" s="827"/>
      <c r="W745" s="827"/>
      <c r="X745" s="828"/>
      <c r="Y745" s="835"/>
      <c r="Z745" s="835"/>
      <c r="AA745" s="837"/>
      <c r="AB745" s="357"/>
      <c r="AC745" s="282"/>
      <c r="AD745" s="282"/>
      <c r="AE745" s="5416"/>
    </row>
    <row r="746" spans="1:31" ht="37.5" customHeight="1">
      <c r="A746" s="5367"/>
      <c r="B746" s="5335"/>
      <c r="C746" s="5338"/>
      <c r="D746" s="5338"/>
      <c r="E746" s="5338"/>
      <c r="F746" s="5338"/>
      <c r="G746" s="5338"/>
      <c r="H746" s="5338"/>
      <c r="I746" s="5338"/>
      <c r="J746" s="5338"/>
      <c r="K746" s="5338"/>
      <c r="L746" s="5338"/>
      <c r="M746" s="5338"/>
      <c r="N746" s="5338"/>
      <c r="O746" s="5338"/>
      <c r="P746" s="5338"/>
      <c r="Q746" s="5346"/>
      <c r="R746" s="933"/>
      <c r="S746" s="934"/>
      <c r="T746" s="934"/>
      <c r="U746" s="935"/>
      <c r="V746" s="936"/>
      <c r="W746" s="936"/>
      <c r="X746" s="937"/>
      <c r="Y746" s="937"/>
      <c r="Z746" s="937"/>
      <c r="AA746" s="859"/>
      <c r="AB746" s="361"/>
      <c r="AC746" s="166"/>
      <c r="AD746" s="166"/>
      <c r="AE746" s="5417"/>
    </row>
    <row r="747" spans="1:31" ht="37.5" customHeight="1">
      <c r="A747" s="5367"/>
      <c r="B747" s="5356" t="s">
        <v>272</v>
      </c>
      <c r="C747" s="5342" t="s">
        <v>679</v>
      </c>
      <c r="D747" s="5336" t="s">
        <v>680</v>
      </c>
      <c r="E747" s="5336" t="s">
        <v>2174</v>
      </c>
      <c r="F747" s="5341" t="s">
        <v>682</v>
      </c>
      <c r="G747" s="5336" t="s">
        <v>262</v>
      </c>
      <c r="H747" s="5336" t="s">
        <v>257</v>
      </c>
      <c r="I747" s="5386" t="s">
        <v>2384</v>
      </c>
      <c r="J747" s="5347" t="s">
        <v>1836</v>
      </c>
      <c r="K747" s="5340" t="s">
        <v>2385</v>
      </c>
      <c r="L747" s="5385">
        <v>0</v>
      </c>
      <c r="M747" s="5385">
        <v>1</v>
      </c>
      <c r="N747" s="5385">
        <v>1</v>
      </c>
      <c r="O747" s="5342" t="s">
        <v>2386</v>
      </c>
      <c r="P747" s="5342" t="s">
        <v>2387</v>
      </c>
      <c r="Q747" s="5344" t="s">
        <v>2373</v>
      </c>
      <c r="R747" s="843"/>
      <c r="S747" s="838"/>
      <c r="T747" s="838"/>
      <c r="U747" s="841"/>
      <c r="V747" s="827"/>
      <c r="W747" s="827"/>
      <c r="X747" s="828"/>
      <c r="Y747" s="835"/>
      <c r="Z747" s="835"/>
      <c r="AA747" s="866"/>
      <c r="AB747" s="355"/>
      <c r="AC747" s="174"/>
      <c r="AD747" s="174"/>
      <c r="AE747" s="5415" t="s">
        <v>2166</v>
      </c>
    </row>
    <row r="748" spans="1:31" ht="37.5" customHeight="1">
      <c r="A748" s="5367"/>
      <c r="B748" s="5334"/>
      <c r="C748" s="5337"/>
      <c r="D748" s="5337"/>
      <c r="E748" s="5337"/>
      <c r="F748" s="5337"/>
      <c r="G748" s="5337"/>
      <c r="H748" s="5337"/>
      <c r="I748" s="5337"/>
      <c r="J748" s="5337"/>
      <c r="K748" s="5337"/>
      <c r="L748" s="5337"/>
      <c r="M748" s="5337"/>
      <c r="N748" s="5337"/>
      <c r="O748" s="5337"/>
      <c r="P748" s="5337"/>
      <c r="Q748" s="5345"/>
      <c r="R748" s="843"/>
      <c r="S748" s="67"/>
      <c r="T748" s="838"/>
      <c r="U748" s="841"/>
      <c r="V748" s="827"/>
      <c r="W748" s="827"/>
      <c r="X748" s="828"/>
      <c r="Y748" s="835"/>
      <c r="Z748" s="835"/>
      <c r="AA748" s="830"/>
      <c r="AB748" s="355"/>
      <c r="AC748" s="174"/>
      <c r="AD748" s="174"/>
      <c r="AE748" s="5416"/>
    </row>
    <row r="749" spans="1:31" ht="37.5" customHeight="1">
      <c r="A749" s="5367"/>
      <c r="B749" s="5334"/>
      <c r="C749" s="5337"/>
      <c r="D749" s="5337"/>
      <c r="E749" s="5337"/>
      <c r="F749" s="5337"/>
      <c r="G749" s="5337"/>
      <c r="H749" s="5337"/>
      <c r="I749" s="5337"/>
      <c r="J749" s="5337"/>
      <c r="K749" s="5337"/>
      <c r="L749" s="5337"/>
      <c r="M749" s="5337"/>
      <c r="N749" s="5337"/>
      <c r="O749" s="5337"/>
      <c r="P749" s="5337"/>
      <c r="Q749" s="5345"/>
      <c r="R749" s="843"/>
      <c r="S749" s="838"/>
      <c r="T749" s="840"/>
      <c r="U749" s="841"/>
      <c r="V749" s="827"/>
      <c r="W749" s="827"/>
      <c r="X749" s="828"/>
      <c r="Y749" s="835"/>
      <c r="Z749" s="835"/>
      <c r="AA749" s="830"/>
      <c r="AB749" s="355"/>
      <c r="AC749" s="174"/>
      <c r="AD749" s="174"/>
      <c r="AE749" s="5416"/>
    </row>
    <row r="750" spans="1:31" ht="37.5" customHeight="1">
      <c r="A750" s="5367"/>
      <c r="B750" s="5334"/>
      <c r="C750" s="5337"/>
      <c r="D750" s="5337"/>
      <c r="E750" s="5337"/>
      <c r="F750" s="5337"/>
      <c r="G750" s="5337"/>
      <c r="H750" s="5337"/>
      <c r="I750" s="5337"/>
      <c r="J750" s="5337"/>
      <c r="K750" s="5337"/>
      <c r="L750" s="5337"/>
      <c r="M750" s="5337"/>
      <c r="N750" s="5337"/>
      <c r="O750" s="5337"/>
      <c r="P750" s="5337"/>
      <c r="Q750" s="5345"/>
      <c r="R750" s="843"/>
      <c r="S750" s="838"/>
      <c r="T750" s="840"/>
      <c r="U750" s="841"/>
      <c r="V750" s="827"/>
      <c r="W750" s="827"/>
      <c r="X750" s="828"/>
      <c r="Y750" s="835"/>
      <c r="Z750" s="835"/>
      <c r="AA750" s="830"/>
      <c r="AB750" s="355"/>
      <c r="AC750" s="174"/>
      <c r="AD750" s="174"/>
      <c r="AE750" s="5416"/>
    </row>
    <row r="751" spans="1:31" ht="37.5" customHeight="1">
      <c r="A751" s="5367"/>
      <c r="B751" s="5334"/>
      <c r="C751" s="5337"/>
      <c r="D751" s="5337"/>
      <c r="E751" s="5337"/>
      <c r="F751" s="5337"/>
      <c r="G751" s="5337"/>
      <c r="H751" s="5337"/>
      <c r="I751" s="5337"/>
      <c r="J751" s="5337"/>
      <c r="K751" s="5337"/>
      <c r="L751" s="5337"/>
      <c r="M751" s="5337"/>
      <c r="N751" s="5337"/>
      <c r="O751" s="5337"/>
      <c r="P751" s="5337"/>
      <c r="Q751" s="5345"/>
      <c r="R751" s="938"/>
      <c r="S751" s="939"/>
      <c r="T751" s="869"/>
      <c r="U751" s="833"/>
      <c r="V751" s="834"/>
      <c r="W751" s="834"/>
      <c r="X751" s="835"/>
      <c r="Y751" s="835"/>
      <c r="Z751" s="835"/>
      <c r="AA751" s="837"/>
      <c r="AB751" s="357"/>
      <c r="AC751" s="282"/>
      <c r="AD751" s="282"/>
      <c r="AE751" s="5416"/>
    </row>
    <row r="752" spans="1:31" ht="37.5" customHeight="1">
      <c r="A752" s="5367"/>
      <c r="B752" s="5334"/>
      <c r="C752" s="5337"/>
      <c r="D752" s="5337"/>
      <c r="E752" s="5337"/>
      <c r="F752" s="5337"/>
      <c r="G752" s="5337"/>
      <c r="H752" s="5337"/>
      <c r="I752" s="5337"/>
      <c r="J752" s="5337"/>
      <c r="K752" s="5337"/>
      <c r="L752" s="5337"/>
      <c r="M752" s="5337"/>
      <c r="N752" s="5337"/>
      <c r="O752" s="5337"/>
      <c r="P752" s="5337"/>
      <c r="Q752" s="5345"/>
      <c r="R752" s="938"/>
      <c r="S752" s="940"/>
      <c r="T752" s="840"/>
      <c r="U752" s="839"/>
      <c r="V752" s="834"/>
      <c r="W752" s="834"/>
      <c r="X752" s="835"/>
      <c r="Y752" s="835"/>
      <c r="Z752" s="835"/>
      <c r="AA752" s="837"/>
      <c r="AB752" s="357"/>
      <c r="AC752" s="282"/>
      <c r="AD752" s="282"/>
      <c r="AE752" s="5416"/>
    </row>
    <row r="753" spans="1:31" ht="37.5" customHeight="1">
      <c r="A753" s="5367"/>
      <c r="B753" s="5334"/>
      <c r="C753" s="5337"/>
      <c r="D753" s="5337"/>
      <c r="E753" s="5337"/>
      <c r="F753" s="5337"/>
      <c r="G753" s="5337"/>
      <c r="H753" s="5337"/>
      <c r="I753" s="5337"/>
      <c r="J753" s="5337"/>
      <c r="K753" s="5337"/>
      <c r="L753" s="5337"/>
      <c r="M753" s="5337"/>
      <c r="N753" s="5337"/>
      <c r="O753" s="5337"/>
      <c r="P753" s="5337"/>
      <c r="Q753" s="5345"/>
      <c r="R753" s="843"/>
      <c r="S753" s="838"/>
      <c r="T753" s="840"/>
      <c r="U753" s="841"/>
      <c r="V753" s="834"/>
      <c r="W753" s="834"/>
      <c r="X753" s="835"/>
      <c r="Y753" s="835"/>
      <c r="Z753" s="835"/>
      <c r="AA753" s="837"/>
      <c r="AB753" s="357"/>
      <c r="AC753" s="282"/>
      <c r="AD753" s="282"/>
      <c r="AE753" s="5416"/>
    </row>
    <row r="754" spans="1:31" ht="37.5" customHeight="1">
      <c r="A754" s="5367"/>
      <c r="B754" s="5334"/>
      <c r="C754" s="5337"/>
      <c r="D754" s="5337"/>
      <c r="E754" s="5337"/>
      <c r="F754" s="5337"/>
      <c r="G754" s="5337"/>
      <c r="H754" s="5337"/>
      <c r="I754" s="5337"/>
      <c r="J754" s="5337"/>
      <c r="K754" s="5337"/>
      <c r="L754" s="5337"/>
      <c r="M754" s="5337"/>
      <c r="N754" s="5337"/>
      <c r="O754" s="5337"/>
      <c r="P754" s="5337"/>
      <c r="Q754" s="5345"/>
      <c r="R754" s="843"/>
      <c r="S754" s="838"/>
      <c r="T754" s="840"/>
      <c r="U754" s="841"/>
      <c r="V754" s="827"/>
      <c r="W754" s="827"/>
      <c r="X754" s="828"/>
      <c r="Y754" s="835"/>
      <c r="Z754" s="835"/>
      <c r="AA754" s="837"/>
      <c r="AB754" s="357"/>
      <c r="AC754" s="282"/>
      <c r="AD754" s="282"/>
      <c r="AE754" s="5416"/>
    </row>
    <row r="755" spans="1:31" ht="37.5" customHeight="1">
      <c r="A755" s="5367"/>
      <c r="B755" s="5334"/>
      <c r="C755" s="5337"/>
      <c r="D755" s="5337"/>
      <c r="E755" s="5337"/>
      <c r="F755" s="5337"/>
      <c r="G755" s="5337"/>
      <c r="H755" s="5337"/>
      <c r="I755" s="5337"/>
      <c r="J755" s="5337"/>
      <c r="K755" s="5337"/>
      <c r="L755" s="5337"/>
      <c r="M755" s="5337"/>
      <c r="N755" s="5337"/>
      <c r="O755" s="5337"/>
      <c r="P755" s="5337"/>
      <c r="Q755" s="5345"/>
      <c r="R755" s="843"/>
      <c r="S755" s="812"/>
      <c r="T755" s="825"/>
      <c r="U755" s="826"/>
      <c r="V755" s="827"/>
      <c r="W755" s="827"/>
      <c r="X755" s="828"/>
      <c r="Y755" s="835"/>
      <c r="Z755" s="835"/>
      <c r="AA755" s="837"/>
      <c r="AB755" s="357"/>
      <c r="AC755" s="282"/>
      <c r="AD755" s="282"/>
      <c r="AE755" s="5416"/>
    </row>
    <row r="756" spans="1:31" ht="37.5" customHeight="1">
      <c r="A756" s="5367"/>
      <c r="B756" s="5334"/>
      <c r="C756" s="5337"/>
      <c r="D756" s="5337"/>
      <c r="E756" s="5337"/>
      <c r="F756" s="5337"/>
      <c r="G756" s="5337"/>
      <c r="H756" s="5337"/>
      <c r="I756" s="5337"/>
      <c r="J756" s="5337"/>
      <c r="K756" s="5337"/>
      <c r="L756" s="5337"/>
      <c r="M756" s="5337"/>
      <c r="N756" s="5337"/>
      <c r="O756" s="5337"/>
      <c r="P756" s="5337"/>
      <c r="Q756" s="5345"/>
      <c r="R756" s="843"/>
      <c r="S756" s="812"/>
      <c r="T756" s="812"/>
      <c r="U756" s="826"/>
      <c r="V756" s="827"/>
      <c r="W756" s="827"/>
      <c r="X756" s="828"/>
      <c r="Y756" s="835"/>
      <c r="Z756" s="835"/>
      <c r="AA756" s="837"/>
      <c r="AB756" s="357"/>
      <c r="AC756" s="282"/>
      <c r="AD756" s="282"/>
      <c r="AE756" s="5416"/>
    </row>
    <row r="757" spans="1:31" ht="37.5" customHeight="1">
      <c r="A757" s="5367"/>
      <c r="B757" s="5334"/>
      <c r="C757" s="5337"/>
      <c r="D757" s="5337"/>
      <c r="E757" s="5337"/>
      <c r="F757" s="5337"/>
      <c r="G757" s="5337"/>
      <c r="H757" s="5337"/>
      <c r="I757" s="5337"/>
      <c r="J757" s="5337"/>
      <c r="K757" s="5337"/>
      <c r="L757" s="5337"/>
      <c r="M757" s="5337"/>
      <c r="N757" s="5337"/>
      <c r="O757" s="5337"/>
      <c r="P757" s="5337"/>
      <c r="Q757" s="5345"/>
      <c r="R757" s="843"/>
      <c r="S757" s="838"/>
      <c r="T757" s="838"/>
      <c r="U757" s="841"/>
      <c r="V757" s="827"/>
      <c r="W757" s="827"/>
      <c r="X757" s="828"/>
      <c r="Y757" s="835"/>
      <c r="Z757" s="835"/>
      <c r="AA757" s="837"/>
      <c r="AB757" s="357"/>
      <c r="AC757" s="282"/>
      <c r="AD757" s="282"/>
      <c r="AE757" s="5416"/>
    </row>
    <row r="758" spans="1:31" ht="37.5" customHeight="1">
      <c r="A758" s="5367"/>
      <c r="B758" s="5334"/>
      <c r="C758" s="5337"/>
      <c r="D758" s="5337"/>
      <c r="E758" s="5337"/>
      <c r="F758" s="5337"/>
      <c r="G758" s="5337"/>
      <c r="H758" s="5337"/>
      <c r="I758" s="5337"/>
      <c r="J758" s="5337"/>
      <c r="K758" s="5337"/>
      <c r="L758" s="5337"/>
      <c r="M758" s="5337"/>
      <c r="N758" s="5337"/>
      <c r="O758" s="5337"/>
      <c r="P758" s="5337"/>
      <c r="Q758" s="5345"/>
      <c r="R758" s="843"/>
      <c r="S758" s="838"/>
      <c r="T758" s="838"/>
      <c r="U758" s="841"/>
      <c r="V758" s="827"/>
      <c r="W758" s="827"/>
      <c r="X758" s="828"/>
      <c r="Y758" s="835"/>
      <c r="Z758" s="835"/>
      <c r="AA758" s="837"/>
      <c r="AB758" s="357"/>
      <c r="AC758" s="282"/>
      <c r="AD758" s="282"/>
      <c r="AE758" s="5416"/>
    </row>
    <row r="759" spans="1:31" ht="37.5" customHeight="1">
      <c r="A759" s="5367"/>
      <c r="B759" s="5334"/>
      <c r="C759" s="5337"/>
      <c r="D759" s="5337"/>
      <c r="E759" s="5337"/>
      <c r="F759" s="5337"/>
      <c r="G759" s="5337"/>
      <c r="H759" s="5337"/>
      <c r="I759" s="5337"/>
      <c r="J759" s="5337"/>
      <c r="K759" s="5337"/>
      <c r="L759" s="5337"/>
      <c r="M759" s="5337"/>
      <c r="N759" s="5337"/>
      <c r="O759" s="5337"/>
      <c r="P759" s="5337"/>
      <c r="Q759" s="5345"/>
      <c r="R759" s="938"/>
      <c r="S759" s="838"/>
      <c r="T759" s="838"/>
      <c r="U759" s="841"/>
      <c r="V759" s="941"/>
      <c r="W759" s="941"/>
      <c r="X759" s="942"/>
      <c r="Y759" s="835"/>
      <c r="Z759" s="835"/>
      <c r="AA759" s="837"/>
      <c r="AB759" s="357"/>
      <c r="AC759" s="282"/>
      <c r="AD759" s="282"/>
      <c r="AE759" s="5416"/>
    </row>
    <row r="760" spans="1:31" ht="37.5" customHeight="1">
      <c r="A760" s="5367"/>
      <c r="B760" s="5334"/>
      <c r="C760" s="5337"/>
      <c r="D760" s="5337"/>
      <c r="E760" s="5337"/>
      <c r="F760" s="5337"/>
      <c r="G760" s="5337"/>
      <c r="H760" s="5337"/>
      <c r="I760" s="5337"/>
      <c r="J760" s="5337"/>
      <c r="K760" s="5337"/>
      <c r="L760" s="5337"/>
      <c r="M760" s="5337"/>
      <c r="N760" s="5337"/>
      <c r="O760" s="5337"/>
      <c r="P760" s="5337"/>
      <c r="Q760" s="5345"/>
      <c r="R760" s="938"/>
      <c r="S760" s="848"/>
      <c r="T760" s="848"/>
      <c r="U760" s="849"/>
      <c r="V760" s="941"/>
      <c r="W760" s="941"/>
      <c r="X760" s="942"/>
      <c r="Y760" s="835"/>
      <c r="Z760" s="835"/>
      <c r="AA760" s="943"/>
      <c r="AB760" s="365"/>
      <c r="AC760" s="161"/>
      <c r="AD760" s="161"/>
      <c r="AE760" s="5416"/>
    </row>
    <row r="761" spans="1:31" ht="37.5" customHeight="1">
      <c r="A761" s="5367"/>
      <c r="B761" s="5334"/>
      <c r="C761" s="5337"/>
      <c r="D761" s="5337"/>
      <c r="E761" s="5337"/>
      <c r="F761" s="5337"/>
      <c r="G761" s="5337"/>
      <c r="H761" s="5337"/>
      <c r="I761" s="5337"/>
      <c r="J761" s="5337"/>
      <c r="K761" s="5337"/>
      <c r="L761" s="5337"/>
      <c r="M761" s="5337"/>
      <c r="N761" s="5337"/>
      <c r="O761" s="5337"/>
      <c r="P761" s="5337"/>
      <c r="Q761" s="5345"/>
      <c r="R761" s="938"/>
      <c r="S761" s="848"/>
      <c r="T761" s="848"/>
      <c r="U761" s="849"/>
      <c r="V761" s="941"/>
      <c r="W761" s="941"/>
      <c r="X761" s="942"/>
      <c r="Y761" s="835"/>
      <c r="Z761" s="835"/>
      <c r="AA761" s="943"/>
      <c r="AB761" s="365"/>
      <c r="AC761" s="161"/>
      <c r="AD761" s="161"/>
      <c r="AE761" s="5416"/>
    </row>
    <row r="762" spans="1:31" ht="37.5" customHeight="1">
      <c r="A762" s="5367"/>
      <c r="B762" s="5334"/>
      <c r="C762" s="5337"/>
      <c r="D762" s="5337"/>
      <c r="E762" s="5337"/>
      <c r="F762" s="5337"/>
      <c r="G762" s="5337"/>
      <c r="H762" s="5337"/>
      <c r="I762" s="5337"/>
      <c r="J762" s="5337"/>
      <c r="K762" s="5337"/>
      <c r="L762" s="5337"/>
      <c r="M762" s="5337"/>
      <c r="N762" s="5337"/>
      <c r="O762" s="5337"/>
      <c r="P762" s="5337"/>
      <c r="Q762" s="5345"/>
      <c r="R762" s="843"/>
      <c r="S762" s="848"/>
      <c r="T762" s="848"/>
      <c r="U762" s="849"/>
      <c r="V762" s="851"/>
      <c r="W762" s="851"/>
      <c r="X762" s="861"/>
      <c r="Y762" s="835"/>
      <c r="Z762" s="835"/>
      <c r="AA762" s="847"/>
      <c r="AB762" s="365"/>
      <c r="AC762" s="161"/>
      <c r="AD762" s="161"/>
      <c r="AE762" s="5416"/>
    </row>
    <row r="763" spans="1:31" ht="37.5" customHeight="1">
      <c r="A763" s="5367"/>
      <c r="B763" s="5334"/>
      <c r="C763" s="5337"/>
      <c r="D763" s="5337"/>
      <c r="E763" s="5337"/>
      <c r="F763" s="5337"/>
      <c r="G763" s="5337"/>
      <c r="H763" s="5337"/>
      <c r="I763" s="5337"/>
      <c r="J763" s="5337"/>
      <c r="K763" s="5337"/>
      <c r="L763" s="5337"/>
      <c r="M763" s="5337"/>
      <c r="N763" s="5337"/>
      <c r="O763" s="5337"/>
      <c r="P763" s="5337"/>
      <c r="Q763" s="5345"/>
      <c r="R763" s="938"/>
      <c r="S763" s="848"/>
      <c r="T763" s="848"/>
      <c r="U763" s="849"/>
      <c r="V763" s="944"/>
      <c r="W763" s="944"/>
      <c r="X763" s="945"/>
      <c r="Y763" s="835"/>
      <c r="Z763" s="835"/>
      <c r="AA763" s="943"/>
      <c r="AB763" s="365"/>
      <c r="AC763" s="161"/>
      <c r="AD763" s="161"/>
      <c r="AE763" s="5416"/>
    </row>
    <row r="764" spans="1:31" ht="37.5" customHeight="1">
      <c r="A764" s="5367"/>
      <c r="B764" s="5334"/>
      <c r="C764" s="5337"/>
      <c r="D764" s="5337"/>
      <c r="E764" s="5337"/>
      <c r="F764" s="5337"/>
      <c r="G764" s="5337"/>
      <c r="H764" s="5337"/>
      <c r="I764" s="5337"/>
      <c r="J764" s="5337"/>
      <c r="K764" s="5337"/>
      <c r="L764" s="5337"/>
      <c r="M764" s="5337"/>
      <c r="N764" s="5337"/>
      <c r="O764" s="5337"/>
      <c r="P764" s="5337"/>
      <c r="Q764" s="5345"/>
      <c r="R764" s="938"/>
      <c r="S764" s="848"/>
      <c r="T764" s="848"/>
      <c r="U764" s="849"/>
      <c r="V764" s="944"/>
      <c r="W764" s="944"/>
      <c r="X764" s="945"/>
      <c r="Y764" s="835"/>
      <c r="Z764" s="835"/>
      <c r="AA764" s="943"/>
      <c r="AB764" s="365"/>
      <c r="AC764" s="161"/>
      <c r="AD764" s="161"/>
      <c r="AE764" s="5416"/>
    </row>
    <row r="765" spans="1:31" ht="37.5" customHeight="1">
      <c r="A765" s="5367"/>
      <c r="B765" s="5334"/>
      <c r="C765" s="5337"/>
      <c r="D765" s="5337"/>
      <c r="E765" s="5337"/>
      <c r="F765" s="5337"/>
      <c r="G765" s="5337"/>
      <c r="H765" s="5337"/>
      <c r="I765" s="5337"/>
      <c r="J765" s="5337"/>
      <c r="K765" s="5337"/>
      <c r="L765" s="5337"/>
      <c r="M765" s="5337"/>
      <c r="N765" s="5337"/>
      <c r="O765" s="5337"/>
      <c r="P765" s="5337"/>
      <c r="Q765" s="5345"/>
      <c r="R765" s="938"/>
      <c r="S765" s="848"/>
      <c r="T765" s="848"/>
      <c r="U765" s="849"/>
      <c r="V765" s="944"/>
      <c r="W765" s="944"/>
      <c r="X765" s="945"/>
      <c r="Y765" s="835"/>
      <c r="Z765" s="835"/>
      <c r="AA765" s="943"/>
      <c r="AB765" s="365"/>
      <c r="AC765" s="161"/>
      <c r="AD765" s="161"/>
      <c r="AE765" s="5416"/>
    </row>
    <row r="766" spans="1:31" ht="37.5" customHeight="1">
      <c r="A766" s="5367"/>
      <c r="B766" s="5334"/>
      <c r="C766" s="5337"/>
      <c r="D766" s="5337"/>
      <c r="E766" s="5337"/>
      <c r="F766" s="5337"/>
      <c r="G766" s="5337"/>
      <c r="H766" s="5337"/>
      <c r="I766" s="5337"/>
      <c r="J766" s="5337"/>
      <c r="K766" s="5337"/>
      <c r="L766" s="5337"/>
      <c r="M766" s="5337"/>
      <c r="N766" s="5337"/>
      <c r="O766" s="5337"/>
      <c r="P766" s="5337"/>
      <c r="Q766" s="5345"/>
      <c r="R766" s="843"/>
      <c r="S766" s="848"/>
      <c r="T766" s="848"/>
      <c r="U766" s="849"/>
      <c r="V766" s="851"/>
      <c r="W766" s="851"/>
      <c r="X766" s="861"/>
      <c r="Y766" s="835"/>
      <c r="Z766" s="835"/>
      <c r="AA766" s="847"/>
      <c r="AB766" s="365"/>
      <c r="AC766" s="161"/>
      <c r="AD766" s="161"/>
      <c r="AE766" s="5416"/>
    </row>
    <row r="767" spans="1:31" ht="37.5" customHeight="1">
      <c r="A767" s="5367"/>
      <c r="B767" s="5334"/>
      <c r="C767" s="5337"/>
      <c r="D767" s="5337"/>
      <c r="E767" s="5337"/>
      <c r="F767" s="5337"/>
      <c r="G767" s="5337"/>
      <c r="H767" s="5337"/>
      <c r="I767" s="5337"/>
      <c r="J767" s="5337"/>
      <c r="K767" s="5337"/>
      <c r="L767" s="5337"/>
      <c r="M767" s="5337"/>
      <c r="N767" s="5337"/>
      <c r="O767" s="5337"/>
      <c r="P767" s="5337"/>
      <c r="Q767" s="5345"/>
      <c r="R767" s="843"/>
      <c r="S767" s="846"/>
      <c r="T767" s="846"/>
      <c r="U767" s="850"/>
      <c r="V767" s="851"/>
      <c r="W767" s="851"/>
      <c r="X767" s="861"/>
      <c r="Y767" s="835"/>
      <c r="Z767" s="835"/>
      <c r="AA767" s="847"/>
      <c r="AB767" s="365"/>
      <c r="AC767" s="161"/>
      <c r="AD767" s="161"/>
      <c r="AE767" s="5416"/>
    </row>
    <row r="768" spans="1:31" ht="37.5" customHeight="1">
      <c r="A768" s="5367"/>
      <c r="B768" s="5334"/>
      <c r="C768" s="5337"/>
      <c r="D768" s="5337"/>
      <c r="E768" s="5337"/>
      <c r="F768" s="5337"/>
      <c r="G768" s="5337"/>
      <c r="H768" s="5337"/>
      <c r="I768" s="5337"/>
      <c r="J768" s="5337"/>
      <c r="K768" s="5337"/>
      <c r="L768" s="5337"/>
      <c r="M768" s="5337"/>
      <c r="N768" s="5337"/>
      <c r="O768" s="5337"/>
      <c r="P768" s="5337"/>
      <c r="Q768" s="5345"/>
      <c r="R768" s="845"/>
      <c r="S768" s="881"/>
      <c r="T768" s="946"/>
      <c r="U768" s="947"/>
      <c r="V768" s="851"/>
      <c r="W768" s="851"/>
      <c r="X768" s="861"/>
      <c r="Y768" s="835"/>
      <c r="Z768" s="835"/>
      <c r="AA768" s="847"/>
      <c r="AB768" s="365"/>
      <c r="AC768" s="161"/>
      <c r="AD768" s="161"/>
      <c r="AE768" s="5416"/>
    </row>
    <row r="769" spans="1:31" ht="37.5" customHeight="1">
      <c r="A769" s="5367"/>
      <c r="B769" s="5334"/>
      <c r="C769" s="5337"/>
      <c r="D769" s="5337"/>
      <c r="E769" s="5337"/>
      <c r="F769" s="5337"/>
      <c r="G769" s="5337"/>
      <c r="H769" s="5337"/>
      <c r="I769" s="5337"/>
      <c r="J769" s="5337"/>
      <c r="K769" s="5337"/>
      <c r="L769" s="5337"/>
      <c r="M769" s="5337"/>
      <c r="N769" s="5337"/>
      <c r="O769" s="5337"/>
      <c r="P769" s="5337"/>
      <c r="Q769" s="5345"/>
      <c r="R769" s="845"/>
      <c r="S769" s="881"/>
      <c r="T769" s="946"/>
      <c r="U769" s="948"/>
      <c r="V769" s="851"/>
      <c r="W769" s="851"/>
      <c r="X769" s="861"/>
      <c r="Y769" s="835"/>
      <c r="Z769" s="835"/>
      <c r="AA769" s="847"/>
      <c r="AB769" s="365"/>
      <c r="AC769" s="161"/>
      <c r="AD769" s="161"/>
      <c r="AE769" s="5416"/>
    </row>
    <row r="770" spans="1:31" ht="37.5" customHeight="1">
      <c r="A770" s="5367"/>
      <c r="B770" s="5334"/>
      <c r="C770" s="5337"/>
      <c r="D770" s="5337"/>
      <c r="E770" s="5337"/>
      <c r="F770" s="5337"/>
      <c r="G770" s="5337"/>
      <c r="H770" s="5337"/>
      <c r="I770" s="5337"/>
      <c r="J770" s="5337"/>
      <c r="K770" s="5337"/>
      <c r="L770" s="5337"/>
      <c r="M770" s="5337"/>
      <c r="N770" s="5337"/>
      <c r="O770" s="5337"/>
      <c r="P770" s="5337"/>
      <c r="Q770" s="5345"/>
      <c r="R770" s="845"/>
      <c r="S770" s="949"/>
      <c r="T770" s="950"/>
      <c r="U770" s="951"/>
      <c r="V770" s="946"/>
      <c r="W770" s="946"/>
      <c r="X770" s="861"/>
      <c r="Y770" s="835"/>
      <c r="Z770" s="835"/>
      <c r="AA770" s="847"/>
      <c r="AB770" s="365"/>
      <c r="AC770" s="161"/>
      <c r="AD770" s="161"/>
      <c r="AE770" s="5416"/>
    </row>
    <row r="771" spans="1:31" ht="37.5" customHeight="1">
      <c r="A771" s="5367"/>
      <c r="B771" s="5334"/>
      <c r="C771" s="5337"/>
      <c r="D771" s="5337"/>
      <c r="E771" s="5337"/>
      <c r="F771" s="5337"/>
      <c r="G771" s="5337"/>
      <c r="H771" s="5337"/>
      <c r="I771" s="5337"/>
      <c r="J771" s="5337"/>
      <c r="K771" s="5337"/>
      <c r="L771" s="5337"/>
      <c r="M771" s="5337"/>
      <c r="N771" s="5337"/>
      <c r="O771" s="5337"/>
      <c r="P771" s="5337"/>
      <c r="Q771" s="5345"/>
      <c r="R771" s="843"/>
      <c r="S771" s="881"/>
      <c r="T771" s="946"/>
      <c r="U771" s="948"/>
      <c r="V771" s="946"/>
      <c r="W771" s="946"/>
      <c r="X771" s="861"/>
      <c r="Y771" s="835"/>
      <c r="Z771" s="835"/>
      <c r="AA771" s="847"/>
      <c r="AB771" s="365"/>
      <c r="AC771" s="161"/>
      <c r="AD771" s="161"/>
      <c r="AE771" s="5416"/>
    </row>
    <row r="772" spans="1:31" ht="37.5" customHeight="1">
      <c r="A772" s="5367"/>
      <c r="B772" s="5334"/>
      <c r="C772" s="5337"/>
      <c r="D772" s="5337"/>
      <c r="E772" s="5337"/>
      <c r="F772" s="5337"/>
      <c r="G772" s="5337"/>
      <c r="H772" s="5337"/>
      <c r="I772" s="5337"/>
      <c r="J772" s="5337"/>
      <c r="K772" s="5337"/>
      <c r="L772" s="5337"/>
      <c r="M772" s="5337"/>
      <c r="N772" s="5337"/>
      <c r="O772" s="5337"/>
      <c r="P772" s="5337"/>
      <c r="Q772" s="5345"/>
      <c r="R772" s="845"/>
      <c r="S772" s="881"/>
      <c r="T772" s="946"/>
      <c r="U772" s="948"/>
      <c r="V772" s="946"/>
      <c r="W772" s="946"/>
      <c r="X772" s="861"/>
      <c r="Y772" s="835"/>
      <c r="Z772" s="835"/>
      <c r="AA772" s="847"/>
      <c r="AB772" s="365"/>
      <c r="AC772" s="161"/>
      <c r="AD772" s="161"/>
      <c r="AE772" s="5416"/>
    </row>
    <row r="773" spans="1:31" ht="37.5" customHeight="1">
      <c r="A773" s="5367"/>
      <c r="B773" s="5334"/>
      <c r="C773" s="5337"/>
      <c r="D773" s="5337"/>
      <c r="E773" s="5337"/>
      <c r="F773" s="5337"/>
      <c r="G773" s="5337"/>
      <c r="H773" s="5337"/>
      <c r="I773" s="5337"/>
      <c r="J773" s="5337"/>
      <c r="K773" s="5337"/>
      <c r="L773" s="5337"/>
      <c r="M773" s="5337"/>
      <c r="N773" s="5337"/>
      <c r="O773" s="5337"/>
      <c r="P773" s="5337"/>
      <c r="Q773" s="5345"/>
      <c r="R773" s="845"/>
      <c r="S773" s="881"/>
      <c r="T773" s="946"/>
      <c r="U773" s="948"/>
      <c r="V773" s="946"/>
      <c r="W773" s="946"/>
      <c r="X773" s="861"/>
      <c r="Y773" s="835"/>
      <c r="Z773" s="835"/>
      <c r="AA773" s="847"/>
      <c r="AB773" s="365"/>
      <c r="AC773" s="161"/>
      <c r="AD773" s="161"/>
      <c r="AE773" s="5416"/>
    </row>
    <row r="774" spans="1:31" ht="37.5" customHeight="1">
      <c r="A774" s="5367"/>
      <c r="B774" s="5334"/>
      <c r="C774" s="5337"/>
      <c r="D774" s="5337"/>
      <c r="E774" s="5337"/>
      <c r="F774" s="5337"/>
      <c r="G774" s="5337"/>
      <c r="H774" s="5337"/>
      <c r="I774" s="5337"/>
      <c r="J774" s="5337"/>
      <c r="K774" s="5337"/>
      <c r="L774" s="5337"/>
      <c r="M774" s="5337"/>
      <c r="N774" s="5337"/>
      <c r="O774" s="5337"/>
      <c r="P774" s="5337"/>
      <c r="Q774" s="5345"/>
      <c r="R774" s="845"/>
      <c r="S774" s="949"/>
      <c r="T774" s="950"/>
      <c r="U774" s="951"/>
      <c r="V774" s="946"/>
      <c r="W774" s="946"/>
      <c r="X774" s="861"/>
      <c r="Y774" s="835"/>
      <c r="Z774" s="835"/>
      <c r="AA774" s="847"/>
      <c r="AB774" s="365"/>
      <c r="AC774" s="161"/>
      <c r="AD774" s="161"/>
      <c r="AE774" s="5416"/>
    </row>
    <row r="775" spans="1:31" ht="37.5" customHeight="1">
      <c r="A775" s="5367"/>
      <c r="B775" s="5334"/>
      <c r="C775" s="5337"/>
      <c r="D775" s="5337"/>
      <c r="E775" s="5337"/>
      <c r="F775" s="5337"/>
      <c r="G775" s="5337"/>
      <c r="H775" s="5337"/>
      <c r="I775" s="5337"/>
      <c r="J775" s="5337"/>
      <c r="K775" s="5337"/>
      <c r="L775" s="5337"/>
      <c r="M775" s="5337"/>
      <c r="N775" s="5337"/>
      <c r="O775" s="5337"/>
      <c r="P775" s="5337"/>
      <c r="Q775" s="5345"/>
      <c r="R775" s="938"/>
      <c r="S775" s="838"/>
      <c r="T775" s="950"/>
      <c r="U775" s="841"/>
      <c r="V775" s="941"/>
      <c r="W775" s="941"/>
      <c r="X775" s="942"/>
      <c r="Y775" s="835"/>
      <c r="Z775" s="835"/>
      <c r="AA775" s="943"/>
      <c r="AB775" s="365"/>
      <c r="AC775" s="161"/>
      <c r="AD775" s="161"/>
      <c r="AE775" s="5416"/>
    </row>
    <row r="776" spans="1:31" ht="37.5" customHeight="1">
      <c r="A776" s="5367"/>
      <c r="B776" s="5334"/>
      <c r="C776" s="5337"/>
      <c r="D776" s="5337"/>
      <c r="E776" s="5337"/>
      <c r="F776" s="5337"/>
      <c r="G776" s="5337"/>
      <c r="H776" s="5337"/>
      <c r="I776" s="5337"/>
      <c r="J776" s="5337"/>
      <c r="K776" s="5337"/>
      <c r="L776" s="5337"/>
      <c r="M776" s="5337"/>
      <c r="N776" s="5337"/>
      <c r="O776" s="5337"/>
      <c r="P776" s="5337"/>
      <c r="Q776" s="5345"/>
      <c r="R776" s="938"/>
      <c r="S776" s="838"/>
      <c r="T776" s="950"/>
      <c r="U776" s="841"/>
      <c r="V776" s="941"/>
      <c r="W776" s="941"/>
      <c r="X776" s="942"/>
      <c r="Y776" s="835"/>
      <c r="Z776" s="835"/>
      <c r="AA776" s="943"/>
      <c r="AB776" s="365"/>
      <c r="AC776" s="161"/>
      <c r="AD776" s="161"/>
      <c r="AE776" s="5416"/>
    </row>
    <row r="777" spans="1:31" ht="37.5" customHeight="1">
      <c r="A777" s="5367"/>
      <c r="B777" s="5334"/>
      <c r="C777" s="5337"/>
      <c r="D777" s="5337"/>
      <c r="E777" s="5337"/>
      <c r="F777" s="5337"/>
      <c r="G777" s="5337"/>
      <c r="H777" s="5337"/>
      <c r="I777" s="5337"/>
      <c r="J777" s="5337"/>
      <c r="K777" s="5337"/>
      <c r="L777" s="5337"/>
      <c r="M777" s="5337"/>
      <c r="N777" s="5337"/>
      <c r="O777" s="5337"/>
      <c r="P777" s="5337"/>
      <c r="Q777" s="5345"/>
      <c r="R777" s="938"/>
      <c r="S777" s="838"/>
      <c r="T777" s="950"/>
      <c r="U777" s="841"/>
      <c r="V777" s="941"/>
      <c r="W777" s="941"/>
      <c r="X777" s="942"/>
      <c r="Y777" s="835"/>
      <c r="Z777" s="835"/>
      <c r="AA777" s="943"/>
      <c r="AB777" s="365"/>
      <c r="AC777" s="161"/>
      <c r="AD777" s="161"/>
      <c r="AE777" s="5416"/>
    </row>
    <row r="778" spans="1:31" ht="37.5" customHeight="1">
      <c r="A778" s="5367"/>
      <c r="B778" s="5334"/>
      <c r="C778" s="5337"/>
      <c r="D778" s="5337"/>
      <c r="E778" s="5337"/>
      <c r="F778" s="5337"/>
      <c r="G778" s="5337"/>
      <c r="H778" s="5337"/>
      <c r="I778" s="5337"/>
      <c r="J778" s="5337"/>
      <c r="K778" s="5337"/>
      <c r="L778" s="5337"/>
      <c r="M778" s="5337"/>
      <c r="N778" s="5337"/>
      <c r="O778" s="5337"/>
      <c r="P778" s="5337"/>
      <c r="Q778" s="5345"/>
      <c r="R778" s="843"/>
      <c r="S778" s="838"/>
      <c r="T778" s="950"/>
      <c r="U778" s="841"/>
      <c r="V778" s="827"/>
      <c r="W778" s="827"/>
      <c r="X778" s="828"/>
      <c r="Y778" s="835"/>
      <c r="Z778" s="835"/>
      <c r="AA778" s="847"/>
      <c r="AB778" s="365"/>
      <c r="AC778" s="161"/>
      <c r="AD778" s="161"/>
      <c r="AE778" s="5416"/>
    </row>
    <row r="779" spans="1:31" ht="37.5" customHeight="1">
      <c r="A779" s="5367"/>
      <c r="B779" s="5334"/>
      <c r="C779" s="5337"/>
      <c r="D779" s="5337"/>
      <c r="E779" s="5337"/>
      <c r="F779" s="5337"/>
      <c r="G779" s="5337"/>
      <c r="H779" s="5337"/>
      <c r="I779" s="5337"/>
      <c r="J779" s="5337"/>
      <c r="K779" s="5337"/>
      <c r="L779" s="5337"/>
      <c r="M779" s="5337"/>
      <c r="N779" s="5337"/>
      <c r="O779" s="5337"/>
      <c r="P779" s="5337"/>
      <c r="Q779" s="5345"/>
      <c r="R779" s="938"/>
      <c r="S779" s="940"/>
      <c r="T779" s="950"/>
      <c r="U779" s="833"/>
      <c r="V779" s="834"/>
      <c r="W779" s="834"/>
      <c r="X779" s="835"/>
      <c r="Y779" s="835"/>
      <c r="Z779" s="835"/>
      <c r="AA779" s="943"/>
      <c r="AB779" s="365"/>
      <c r="AC779" s="161"/>
      <c r="AD779" s="161"/>
      <c r="AE779" s="5416"/>
    </row>
    <row r="780" spans="1:31" ht="37.5" customHeight="1">
      <c r="A780" s="5367"/>
      <c r="B780" s="5334"/>
      <c r="C780" s="5337"/>
      <c r="D780" s="5337"/>
      <c r="E780" s="5337"/>
      <c r="F780" s="5337"/>
      <c r="G780" s="5337"/>
      <c r="H780" s="5337"/>
      <c r="I780" s="5337"/>
      <c r="J780" s="5337"/>
      <c r="K780" s="5337"/>
      <c r="L780" s="5337"/>
      <c r="M780" s="5337"/>
      <c r="N780" s="5337"/>
      <c r="O780" s="5337"/>
      <c r="P780" s="5337"/>
      <c r="Q780" s="5345"/>
      <c r="R780" s="938"/>
      <c r="S780" s="838"/>
      <c r="T780" s="950"/>
      <c r="U780" s="841"/>
      <c r="V780" s="834"/>
      <c r="W780" s="834"/>
      <c r="X780" s="835"/>
      <c r="Y780" s="835"/>
      <c r="Z780" s="835"/>
      <c r="AA780" s="943"/>
      <c r="AB780" s="365"/>
      <c r="AC780" s="161"/>
      <c r="AD780" s="161"/>
      <c r="AE780" s="5416"/>
    </row>
    <row r="781" spans="1:31" ht="37.5" customHeight="1">
      <c r="A781" s="5367"/>
      <c r="B781" s="5334"/>
      <c r="C781" s="5337"/>
      <c r="D781" s="5337"/>
      <c r="E781" s="5337"/>
      <c r="F781" s="5337"/>
      <c r="G781" s="5337"/>
      <c r="H781" s="5337"/>
      <c r="I781" s="5337"/>
      <c r="J781" s="5337"/>
      <c r="K781" s="5337"/>
      <c r="L781" s="5337"/>
      <c r="M781" s="5337"/>
      <c r="N781" s="5337"/>
      <c r="O781" s="5337"/>
      <c r="P781" s="5337"/>
      <c r="Q781" s="5345"/>
      <c r="R781" s="938"/>
      <c r="S781" s="838"/>
      <c r="T781" s="950"/>
      <c r="U781" s="841"/>
      <c r="V781" s="834"/>
      <c r="W781" s="834"/>
      <c r="X781" s="835"/>
      <c r="Y781" s="835"/>
      <c r="Z781" s="835"/>
      <c r="AA781" s="943"/>
      <c r="AB781" s="365"/>
      <c r="AC781" s="161"/>
      <c r="AD781" s="161"/>
      <c r="AE781" s="5416"/>
    </row>
    <row r="782" spans="1:31" ht="37.5" customHeight="1">
      <c r="A782" s="5367"/>
      <c r="B782" s="5334"/>
      <c r="C782" s="5337"/>
      <c r="D782" s="5337"/>
      <c r="E782" s="5337"/>
      <c r="F782" s="5337"/>
      <c r="G782" s="5337"/>
      <c r="H782" s="5337"/>
      <c r="I782" s="5337"/>
      <c r="J782" s="5337"/>
      <c r="K782" s="5337"/>
      <c r="L782" s="5337"/>
      <c r="M782" s="5337"/>
      <c r="N782" s="5337"/>
      <c r="O782" s="5337"/>
      <c r="P782" s="5337"/>
      <c r="Q782" s="5345"/>
      <c r="R782" s="843"/>
      <c r="S782" s="838"/>
      <c r="T782" s="950"/>
      <c r="U782" s="841"/>
      <c r="V782" s="827"/>
      <c r="W782" s="827"/>
      <c r="X782" s="828"/>
      <c r="Y782" s="835"/>
      <c r="Z782" s="835"/>
      <c r="AA782" s="847"/>
      <c r="AB782" s="365"/>
      <c r="AC782" s="161"/>
      <c r="AD782" s="161"/>
      <c r="AE782" s="5416"/>
    </row>
    <row r="783" spans="1:31" ht="37.5" customHeight="1">
      <c r="A783" s="5367"/>
      <c r="B783" s="5334"/>
      <c r="C783" s="5337"/>
      <c r="D783" s="5337"/>
      <c r="E783" s="5337"/>
      <c r="F783" s="5337"/>
      <c r="G783" s="5337"/>
      <c r="H783" s="5337"/>
      <c r="I783" s="5337"/>
      <c r="J783" s="5337"/>
      <c r="K783" s="5337"/>
      <c r="L783" s="5337"/>
      <c r="M783" s="5337"/>
      <c r="N783" s="5337"/>
      <c r="O783" s="5337"/>
      <c r="P783" s="5337"/>
      <c r="Q783" s="5345"/>
      <c r="R783" s="938"/>
      <c r="S783" s="838"/>
      <c r="T783" s="838"/>
      <c r="U783" s="841"/>
      <c r="V783" s="941"/>
      <c r="W783" s="941"/>
      <c r="X783" s="942"/>
      <c r="Y783" s="835"/>
      <c r="Z783" s="835"/>
      <c r="AA783" s="943"/>
      <c r="AB783" s="365"/>
      <c r="AC783" s="161"/>
      <c r="AD783" s="161"/>
      <c r="AE783" s="5416"/>
    </row>
    <row r="784" spans="1:31" ht="37.5" customHeight="1">
      <c r="A784" s="5367"/>
      <c r="B784" s="5334"/>
      <c r="C784" s="5337"/>
      <c r="D784" s="5337"/>
      <c r="E784" s="5337"/>
      <c r="F784" s="5337"/>
      <c r="G784" s="5337"/>
      <c r="H784" s="5337"/>
      <c r="I784" s="5337"/>
      <c r="J784" s="5337"/>
      <c r="K784" s="5337"/>
      <c r="L784" s="5337"/>
      <c r="M784" s="5337"/>
      <c r="N784" s="5337"/>
      <c r="O784" s="5337"/>
      <c r="P784" s="5337"/>
      <c r="Q784" s="5345"/>
      <c r="R784" s="938"/>
      <c r="S784" s="848"/>
      <c r="T784" s="848"/>
      <c r="U784" s="849"/>
      <c r="V784" s="941"/>
      <c r="W784" s="941"/>
      <c r="X784" s="942"/>
      <c r="Y784" s="835"/>
      <c r="Z784" s="835"/>
      <c r="AA784" s="943"/>
      <c r="AB784" s="365"/>
      <c r="AC784" s="161"/>
      <c r="AD784" s="161"/>
      <c r="AE784" s="5416"/>
    </row>
    <row r="785" spans="1:31" ht="37.5" customHeight="1">
      <c r="A785" s="5367"/>
      <c r="B785" s="5334"/>
      <c r="C785" s="5337"/>
      <c r="D785" s="5337"/>
      <c r="E785" s="5337"/>
      <c r="F785" s="5337"/>
      <c r="G785" s="5337"/>
      <c r="H785" s="5337"/>
      <c r="I785" s="5337"/>
      <c r="J785" s="5337"/>
      <c r="K785" s="5337"/>
      <c r="L785" s="5337"/>
      <c r="M785" s="5337"/>
      <c r="N785" s="5337"/>
      <c r="O785" s="5337"/>
      <c r="P785" s="5337"/>
      <c r="Q785" s="5345"/>
      <c r="R785" s="938"/>
      <c r="S785" s="838"/>
      <c r="T785" s="950"/>
      <c r="U785" s="841"/>
      <c r="V785" s="941"/>
      <c r="W785" s="941"/>
      <c r="X785" s="942"/>
      <c r="Y785" s="835"/>
      <c r="Z785" s="835"/>
      <c r="AA785" s="943"/>
      <c r="AB785" s="365"/>
      <c r="AC785" s="161"/>
      <c r="AD785" s="161"/>
      <c r="AE785" s="5416"/>
    </row>
    <row r="786" spans="1:31" ht="37.5" customHeight="1">
      <c r="A786" s="5367"/>
      <c r="B786" s="5334"/>
      <c r="C786" s="5337"/>
      <c r="D786" s="5337"/>
      <c r="E786" s="5337"/>
      <c r="F786" s="5337"/>
      <c r="G786" s="5337"/>
      <c r="H786" s="5337"/>
      <c r="I786" s="5337"/>
      <c r="J786" s="5337"/>
      <c r="K786" s="5337"/>
      <c r="L786" s="5337"/>
      <c r="M786" s="5337"/>
      <c r="N786" s="5337"/>
      <c r="O786" s="5337"/>
      <c r="P786" s="5337"/>
      <c r="Q786" s="5345"/>
      <c r="R786" s="843"/>
      <c r="S786" s="838"/>
      <c r="T786" s="950"/>
      <c r="U786" s="841"/>
      <c r="V786" s="827"/>
      <c r="W786" s="827"/>
      <c r="X786" s="828"/>
      <c r="Y786" s="835"/>
      <c r="Z786" s="835"/>
      <c r="AA786" s="847"/>
      <c r="AB786" s="365"/>
      <c r="AC786" s="161"/>
      <c r="AD786" s="161"/>
      <c r="AE786" s="5416"/>
    </row>
    <row r="787" spans="1:31" ht="37.5" customHeight="1">
      <c r="A787" s="5367"/>
      <c r="B787" s="5334"/>
      <c r="C787" s="5337"/>
      <c r="D787" s="5337"/>
      <c r="E787" s="5337"/>
      <c r="F787" s="5337"/>
      <c r="G787" s="5337"/>
      <c r="H787" s="5337"/>
      <c r="I787" s="5337"/>
      <c r="J787" s="5337"/>
      <c r="K787" s="5337"/>
      <c r="L787" s="5337"/>
      <c r="M787" s="5337"/>
      <c r="N787" s="5337"/>
      <c r="O787" s="5337"/>
      <c r="P787" s="5337"/>
      <c r="Q787" s="5345"/>
      <c r="R787" s="938"/>
      <c r="S787" s="838"/>
      <c r="T787" s="838"/>
      <c r="U787" s="841"/>
      <c r="V787" s="941"/>
      <c r="W787" s="941"/>
      <c r="X787" s="942"/>
      <c r="Y787" s="835"/>
      <c r="Z787" s="835"/>
      <c r="AA787" s="943"/>
      <c r="AB787" s="365"/>
      <c r="AC787" s="161"/>
      <c r="AD787" s="161"/>
      <c r="AE787" s="5416"/>
    </row>
    <row r="788" spans="1:31" ht="37.5" customHeight="1">
      <c r="A788" s="5367"/>
      <c r="B788" s="5334"/>
      <c r="C788" s="5337"/>
      <c r="D788" s="5337"/>
      <c r="E788" s="5337"/>
      <c r="F788" s="5337"/>
      <c r="G788" s="5337"/>
      <c r="H788" s="5337"/>
      <c r="I788" s="5337"/>
      <c r="J788" s="5337"/>
      <c r="K788" s="5337"/>
      <c r="L788" s="5337"/>
      <c r="M788" s="5337"/>
      <c r="N788" s="5337"/>
      <c r="O788" s="5337"/>
      <c r="P788" s="5337"/>
      <c r="Q788" s="5345"/>
      <c r="R788" s="938"/>
      <c r="S788" s="838"/>
      <c r="T788" s="840"/>
      <c r="U788" s="841"/>
      <c r="V788" s="941"/>
      <c r="W788" s="941"/>
      <c r="X788" s="942"/>
      <c r="Y788" s="835"/>
      <c r="Z788" s="835"/>
      <c r="AA788" s="943"/>
      <c r="AB788" s="365"/>
      <c r="AC788" s="161"/>
      <c r="AD788" s="161"/>
      <c r="AE788" s="5416"/>
    </row>
    <row r="789" spans="1:31" ht="37.5" customHeight="1">
      <c r="A789" s="5367"/>
      <c r="B789" s="5334"/>
      <c r="C789" s="5337"/>
      <c r="D789" s="5337"/>
      <c r="E789" s="5337"/>
      <c r="F789" s="5337"/>
      <c r="G789" s="5337"/>
      <c r="H789" s="5337"/>
      <c r="I789" s="5337"/>
      <c r="J789" s="5337"/>
      <c r="K789" s="5337"/>
      <c r="L789" s="5337"/>
      <c r="M789" s="5337"/>
      <c r="N789" s="5337"/>
      <c r="O789" s="5337"/>
      <c r="P789" s="5337"/>
      <c r="Q789" s="5345"/>
      <c r="R789" s="938"/>
      <c r="S789" s="848"/>
      <c r="T789" s="950"/>
      <c r="U789" s="849"/>
      <c r="V789" s="941"/>
      <c r="W789" s="941"/>
      <c r="X789" s="942"/>
      <c r="Y789" s="835"/>
      <c r="Z789" s="835"/>
      <c r="AA789" s="943"/>
      <c r="AB789" s="365"/>
      <c r="AC789" s="161"/>
      <c r="AD789" s="161"/>
      <c r="AE789" s="5416"/>
    </row>
    <row r="790" spans="1:31" ht="37.5" customHeight="1">
      <c r="A790" s="5367"/>
      <c r="B790" s="5334"/>
      <c r="C790" s="5337"/>
      <c r="D790" s="5337"/>
      <c r="E790" s="5337"/>
      <c r="F790" s="5337"/>
      <c r="G790" s="5337"/>
      <c r="H790" s="5337"/>
      <c r="I790" s="5337"/>
      <c r="J790" s="5337"/>
      <c r="K790" s="5337"/>
      <c r="L790" s="5337"/>
      <c r="M790" s="5337"/>
      <c r="N790" s="5337"/>
      <c r="O790" s="5337"/>
      <c r="P790" s="5337"/>
      <c r="Q790" s="5345"/>
      <c r="R790" s="843"/>
      <c r="S790" s="848"/>
      <c r="T790" s="950"/>
      <c r="U790" s="849"/>
      <c r="V790" s="851"/>
      <c r="W790" s="851"/>
      <c r="X790" s="861"/>
      <c r="Y790" s="835"/>
      <c r="Z790" s="835"/>
      <c r="AA790" s="847"/>
      <c r="AB790" s="365"/>
      <c r="AC790" s="161"/>
      <c r="AD790" s="161"/>
      <c r="AE790" s="5416"/>
    </row>
    <row r="791" spans="1:31" ht="37.5" customHeight="1">
      <c r="A791" s="5367"/>
      <c r="B791" s="5334"/>
      <c r="C791" s="5337"/>
      <c r="D791" s="5337"/>
      <c r="E791" s="5337"/>
      <c r="F791" s="5337"/>
      <c r="G791" s="5337"/>
      <c r="H791" s="5337"/>
      <c r="I791" s="5337"/>
      <c r="J791" s="5337"/>
      <c r="K791" s="5337"/>
      <c r="L791" s="5337"/>
      <c r="M791" s="5337"/>
      <c r="N791" s="5337"/>
      <c r="O791" s="5337"/>
      <c r="P791" s="5337"/>
      <c r="Q791" s="5345"/>
      <c r="R791" s="938"/>
      <c r="S791" s="848"/>
      <c r="T791" s="848"/>
      <c r="U791" s="849"/>
      <c r="V791" s="944"/>
      <c r="W791" s="944"/>
      <c r="X791" s="945"/>
      <c r="Y791" s="835"/>
      <c r="Z791" s="835"/>
      <c r="AA791" s="943"/>
      <c r="AB791" s="365"/>
      <c r="AC791" s="161"/>
      <c r="AD791" s="161"/>
      <c r="AE791" s="5416"/>
    </row>
    <row r="792" spans="1:31" ht="37.5" customHeight="1">
      <c r="A792" s="5367"/>
      <c r="B792" s="5334"/>
      <c r="C792" s="5337"/>
      <c r="D792" s="5337"/>
      <c r="E792" s="5337"/>
      <c r="F792" s="5337"/>
      <c r="G792" s="5337"/>
      <c r="H792" s="5337"/>
      <c r="I792" s="5337"/>
      <c r="J792" s="5337"/>
      <c r="K792" s="5337"/>
      <c r="L792" s="5337"/>
      <c r="M792" s="5337"/>
      <c r="N792" s="5337"/>
      <c r="O792" s="5337"/>
      <c r="P792" s="5337"/>
      <c r="Q792" s="5345"/>
      <c r="R792" s="938"/>
      <c r="S792" s="848"/>
      <c r="T792" s="848"/>
      <c r="U792" s="849"/>
      <c r="V792" s="944"/>
      <c r="W792" s="944"/>
      <c r="X792" s="945"/>
      <c r="Y792" s="835"/>
      <c r="Z792" s="835"/>
      <c r="AA792" s="943"/>
      <c r="AB792" s="365"/>
      <c r="AC792" s="161"/>
      <c r="AD792" s="161"/>
      <c r="AE792" s="5416"/>
    </row>
    <row r="793" spans="1:31" ht="37.5" customHeight="1">
      <c r="A793" s="5367"/>
      <c r="B793" s="5334"/>
      <c r="C793" s="5337"/>
      <c r="D793" s="5337"/>
      <c r="E793" s="5337"/>
      <c r="F793" s="5337"/>
      <c r="G793" s="5337"/>
      <c r="H793" s="5337"/>
      <c r="I793" s="5337"/>
      <c r="J793" s="5337"/>
      <c r="K793" s="5337"/>
      <c r="L793" s="5337"/>
      <c r="M793" s="5337"/>
      <c r="N793" s="5337"/>
      <c r="O793" s="5337"/>
      <c r="P793" s="5337"/>
      <c r="Q793" s="5345"/>
      <c r="R793" s="938"/>
      <c r="S793" s="848"/>
      <c r="T793" s="950"/>
      <c r="U793" s="849"/>
      <c r="V793" s="944"/>
      <c r="W793" s="944"/>
      <c r="X793" s="945"/>
      <c r="Y793" s="835"/>
      <c r="Z793" s="835"/>
      <c r="AA793" s="943"/>
      <c r="AB793" s="365"/>
      <c r="AC793" s="161"/>
      <c r="AD793" s="161"/>
      <c r="AE793" s="5416"/>
    </row>
    <row r="794" spans="1:31" ht="37.5" customHeight="1">
      <c r="A794" s="5367"/>
      <c r="B794" s="5334"/>
      <c r="C794" s="5337"/>
      <c r="D794" s="5337"/>
      <c r="E794" s="5337"/>
      <c r="F794" s="5337"/>
      <c r="G794" s="5337"/>
      <c r="H794" s="5337"/>
      <c r="I794" s="5337"/>
      <c r="J794" s="5337"/>
      <c r="K794" s="5337"/>
      <c r="L794" s="5337"/>
      <c r="M794" s="5337"/>
      <c r="N794" s="5337"/>
      <c r="O794" s="5337"/>
      <c r="P794" s="5337"/>
      <c r="Q794" s="5345"/>
      <c r="R794" s="938"/>
      <c r="S794" s="848"/>
      <c r="T794" s="950"/>
      <c r="U794" s="849"/>
      <c r="V794" s="944"/>
      <c r="W794" s="944"/>
      <c r="X794" s="945"/>
      <c r="Y794" s="835"/>
      <c r="Z794" s="835"/>
      <c r="AA794" s="943"/>
      <c r="AB794" s="365"/>
      <c r="AC794" s="161"/>
      <c r="AD794" s="161"/>
      <c r="AE794" s="5416"/>
    </row>
    <row r="795" spans="1:31" ht="37.5" customHeight="1">
      <c r="A795" s="5367"/>
      <c r="B795" s="5334"/>
      <c r="C795" s="5337"/>
      <c r="D795" s="5337"/>
      <c r="E795" s="5337"/>
      <c r="F795" s="5337"/>
      <c r="G795" s="5337"/>
      <c r="H795" s="5337"/>
      <c r="I795" s="5337"/>
      <c r="J795" s="5337"/>
      <c r="K795" s="5337"/>
      <c r="L795" s="5337"/>
      <c r="M795" s="5337"/>
      <c r="N795" s="5337"/>
      <c r="O795" s="5337"/>
      <c r="P795" s="5337"/>
      <c r="Q795" s="5345"/>
      <c r="R795" s="843"/>
      <c r="S795" s="812"/>
      <c r="T795" s="825"/>
      <c r="U795" s="826"/>
      <c r="V795" s="879"/>
      <c r="W795" s="879"/>
      <c r="X795" s="875"/>
      <c r="Y795" s="835"/>
      <c r="Z795" s="835"/>
      <c r="AA795" s="847"/>
      <c r="AB795" s="365"/>
      <c r="AC795" s="161"/>
      <c r="AD795" s="161"/>
      <c r="AE795" s="5416"/>
    </row>
    <row r="796" spans="1:31" ht="37.5" customHeight="1">
      <c r="A796" s="5367"/>
      <c r="B796" s="5334"/>
      <c r="C796" s="5337"/>
      <c r="D796" s="5337"/>
      <c r="E796" s="5337"/>
      <c r="F796" s="5337"/>
      <c r="G796" s="5337"/>
      <c r="H796" s="5337"/>
      <c r="I796" s="5337"/>
      <c r="J796" s="5337"/>
      <c r="K796" s="5337"/>
      <c r="L796" s="5337"/>
      <c r="M796" s="5337"/>
      <c r="N796" s="5337"/>
      <c r="O796" s="5337"/>
      <c r="P796" s="5337"/>
      <c r="Q796" s="5345"/>
      <c r="R796" s="843"/>
      <c r="S796" s="812"/>
      <c r="T796" s="812"/>
      <c r="U796" s="826"/>
      <c r="V796" s="879"/>
      <c r="W796" s="879"/>
      <c r="X796" s="875"/>
      <c r="Y796" s="835"/>
      <c r="Z796" s="835"/>
      <c r="AA796" s="847"/>
      <c r="AB796" s="365"/>
      <c r="AC796" s="161"/>
      <c r="AD796" s="161"/>
      <c r="AE796" s="5416"/>
    </row>
    <row r="797" spans="1:31" ht="37.5" customHeight="1">
      <c r="A797" s="5367"/>
      <c r="B797" s="5334"/>
      <c r="C797" s="5337"/>
      <c r="D797" s="5337"/>
      <c r="E797" s="5337"/>
      <c r="F797" s="5337"/>
      <c r="G797" s="5337"/>
      <c r="H797" s="5337"/>
      <c r="I797" s="5337"/>
      <c r="J797" s="5337"/>
      <c r="K797" s="5337"/>
      <c r="L797" s="5337"/>
      <c r="M797" s="5337"/>
      <c r="N797" s="5337"/>
      <c r="O797" s="5337"/>
      <c r="P797" s="5337"/>
      <c r="Q797" s="5345"/>
      <c r="R797" s="843"/>
      <c r="S797" s="846"/>
      <c r="T797" s="946"/>
      <c r="U797" s="850"/>
      <c r="V797" s="879"/>
      <c r="W797" s="879"/>
      <c r="X797" s="875"/>
      <c r="Y797" s="835"/>
      <c r="Z797" s="835"/>
      <c r="AA797" s="847"/>
      <c r="AB797" s="365"/>
      <c r="AC797" s="161"/>
      <c r="AD797" s="161"/>
      <c r="AE797" s="5416"/>
    </row>
    <row r="798" spans="1:31" ht="37.5" customHeight="1">
      <c r="A798" s="5367"/>
      <c r="B798" s="5335"/>
      <c r="C798" s="5338"/>
      <c r="D798" s="5338"/>
      <c r="E798" s="5338"/>
      <c r="F798" s="5338"/>
      <c r="G798" s="5338"/>
      <c r="H798" s="5338"/>
      <c r="I798" s="5338"/>
      <c r="J798" s="5338"/>
      <c r="K798" s="5338"/>
      <c r="L798" s="5338"/>
      <c r="M798" s="5338"/>
      <c r="N798" s="5338"/>
      <c r="O798" s="5338"/>
      <c r="P798" s="5338"/>
      <c r="Q798" s="5346"/>
      <c r="R798" s="933"/>
      <c r="S798" s="952"/>
      <c r="T798" s="952"/>
      <c r="U798" s="935"/>
      <c r="V798" s="936"/>
      <c r="W798" s="936"/>
      <c r="X798" s="937"/>
      <c r="Y798" s="937"/>
      <c r="Z798" s="937"/>
      <c r="AA798" s="859"/>
      <c r="AB798" s="361"/>
      <c r="AC798" s="166"/>
      <c r="AD798" s="166"/>
      <c r="AE798" s="5417"/>
    </row>
    <row r="799" spans="1:31" ht="37.5" customHeight="1">
      <c r="A799" s="5367"/>
      <c r="B799" s="5333" t="s">
        <v>235</v>
      </c>
      <c r="C799" s="5336" t="s">
        <v>236</v>
      </c>
      <c r="D799" s="5336" t="s">
        <v>237</v>
      </c>
      <c r="E799" s="5336" t="s">
        <v>289</v>
      </c>
      <c r="F799" s="5341" t="s">
        <v>239</v>
      </c>
      <c r="G799" s="5336" t="s">
        <v>240</v>
      </c>
      <c r="H799" s="5336" t="s">
        <v>257</v>
      </c>
      <c r="I799" s="5336" t="s">
        <v>2388</v>
      </c>
      <c r="J799" s="5347" t="s">
        <v>2389</v>
      </c>
      <c r="K799" s="5342" t="s">
        <v>2390</v>
      </c>
      <c r="L799" s="5385">
        <v>0</v>
      </c>
      <c r="M799" s="5385">
        <v>4</v>
      </c>
      <c r="N799" s="5385">
        <v>4</v>
      </c>
      <c r="O799" s="5342" t="s">
        <v>2183</v>
      </c>
      <c r="P799" s="5342" t="s">
        <v>2391</v>
      </c>
      <c r="Q799" s="5380" t="s">
        <v>2373</v>
      </c>
      <c r="R799" s="843"/>
      <c r="S799" s="838"/>
      <c r="T799" s="838"/>
      <c r="U799" s="841"/>
      <c r="V799" s="827"/>
      <c r="W799" s="827"/>
      <c r="X799" s="828"/>
      <c r="Y799" s="828"/>
      <c r="Z799" s="828"/>
      <c r="AA799" s="830"/>
      <c r="AB799" s="355"/>
      <c r="AC799" s="174"/>
      <c r="AD799" s="174"/>
      <c r="AE799" s="5415" t="s">
        <v>2166</v>
      </c>
    </row>
    <row r="800" spans="1:31" ht="37.5" customHeight="1">
      <c r="A800" s="5367"/>
      <c r="B800" s="5334"/>
      <c r="C800" s="5337"/>
      <c r="D800" s="5337"/>
      <c r="E800" s="5337"/>
      <c r="F800" s="5337"/>
      <c r="G800" s="5337"/>
      <c r="H800" s="5337"/>
      <c r="I800" s="5337"/>
      <c r="J800" s="5337"/>
      <c r="K800" s="5337"/>
      <c r="L800" s="5337"/>
      <c r="M800" s="5337"/>
      <c r="N800" s="5337"/>
      <c r="O800" s="5337"/>
      <c r="P800" s="5337"/>
      <c r="Q800" s="5345"/>
      <c r="R800" s="931"/>
      <c r="S800" s="869"/>
      <c r="T800" s="869"/>
      <c r="U800" s="932"/>
      <c r="V800" s="834"/>
      <c r="W800" s="834"/>
      <c r="X800" s="835"/>
      <c r="Y800" s="835"/>
      <c r="Z800" s="835"/>
      <c r="AA800" s="837"/>
      <c r="AB800" s="357"/>
      <c r="AC800" s="282"/>
      <c r="AD800" s="282"/>
      <c r="AE800" s="5416"/>
    </row>
    <row r="801" spans="1:31" ht="37.5" customHeight="1">
      <c r="A801" s="5367"/>
      <c r="B801" s="5334"/>
      <c r="C801" s="5337"/>
      <c r="D801" s="5337"/>
      <c r="E801" s="5337"/>
      <c r="F801" s="5337"/>
      <c r="G801" s="5337"/>
      <c r="H801" s="5337"/>
      <c r="I801" s="5337"/>
      <c r="J801" s="5337"/>
      <c r="K801" s="5337"/>
      <c r="L801" s="5337"/>
      <c r="M801" s="5337"/>
      <c r="N801" s="5337"/>
      <c r="O801" s="5337"/>
      <c r="P801" s="5337"/>
      <c r="Q801" s="5345"/>
      <c r="R801" s="811"/>
      <c r="S801" s="840"/>
      <c r="T801" s="840"/>
      <c r="U801" s="839"/>
      <c r="V801" s="827"/>
      <c r="W801" s="827"/>
      <c r="X801" s="828"/>
      <c r="Y801" s="835"/>
      <c r="Z801" s="835"/>
      <c r="AA801" s="837"/>
      <c r="AB801" s="357"/>
      <c r="AC801" s="282"/>
      <c r="AD801" s="282"/>
      <c r="AE801" s="5416"/>
    </row>
    <row r="802" spans="1:31" ht="37.5" customHeight="1">
      <c r="A802" s="5367"/>
      <c r="B802" s="5334"/>
      <c r="C802" s="5337"/>
      <c r="D802" s="5337"/>
      <c r="E802" s="5337"/>
      <c r="F802" s="5337"/>
      <c r="G802" s="5337"/>
      <c r="H802" s="5337"/>
      <c r="I802" s="5337"/>
      <c r="J802" s="5337"/>
      <c r="K802" s="5337"/>
      <c r="L802" s="5337"/>
      <c r="M802" s="5337"/>
      <c r="N802" s="5337"/>
      <c r="O802" s="5337"/>
      <c r="P802" s="5337"/>
      <c r="Q802" s="5345"/>
      <c r="R802" s="843"/>
      <c r="S802" s="838"/>
      <c r="T802" s="838"/>
      <c r="U802" s="839"/>
      <c r="V802" s="827"/>
      <c r="W802" s="827"/>
      <c r="X802" s="828"/>
      <c r="Y802" s="835"/>
      <c r="Z802" s="835"/>
      <c r="AA802" s="837"/>
      <c r="AB802" s="357"/>
      <c r="AC802" s="282"/>
      <c r="AD802" s="282"/>
      <c r="AE802" s="5416"/>
    </row>
    <row r="803" spans="1:31" ht="37.5" customHeight="1">
      <c r="A803" s="5367"/>
      <c r="B803" s="5335"/>
      <c r="C803" s="5338"/>
      <c r="D803" s="5338"/>
      <c r="E803" s="5338"/>
      <c r="F803" s="5338"/>
      <c r="G803" s="5338"/>
      <c r="H803" s="5338"/>
      <c r="I803" s="5338"/>
      <c r="J803" s="5338"/>
      <c r="K803" s="5338"/>
      <c r="L803" s="5338"/>
      <c r="M803" s="5338"/>
      <c r="N803" s="5338"/>
      <c r="O803" s="5338"/>
      <c r="P803" s="5338"/>
      <c r="Q803" s="5346"/>
      <c r="R803" s="933"/>
      <c r="S803" s="952"/>
      <c r="T803" s="952"/>
      <c r="U803" s="935"/>
      <c r="V803" s="936"/>
      <c r="W803" s="936"/>
      <c r="X803" s="937"/>
      <c r="Y803" s="937"/>
      <c r="Z803" s="937"/>
      <c r="AA803" s="859"/>
      <c r="AB803" s="361"/>
      <c r="AC803" s="166"/>
      <c r="AD803" s="166"/>
      <c r="AE803" s="5417"/>
    </row>
    <row r="804" spans="1:31" ht="37.5" customHeight="1">
      <c r="A804" s="5367"/>
      <c r="B804" s="5348" t="s">
        <v>235</v>
      </c>
      <c r="C804" s="5325" t="s">
        <v>236</v>
      </c>
      <c r="D804" s="5325" t="s">
        <v>237</v>
      </c>
      <c r="E804" s="5325" t="s">
        <v>289</v>
      </c>
      <c r="F804" s="5328" t="s">
        <v>239</v>
      </c>
      <c r="G804" s="5325" t="s">
        <v>240</v>
      </c>
      <c r="H804" s="5325" t="s">
        <v>257</v>
      </c>
      <c r="I804" s="5387" t="s">
        <v>2392</v>
      </c>
      <c r="J804" s="5325" t="s">
        <v>2336</v>
      </c>
      <c r="K804" s="5388" t="s">
        <v>2393</v>
      </c>
      <c r="L804" s="5385">
        <v>0</v>
      </c>
      <c r="M804" s="5385">
        <v>3</v>
      </c>
      <c r="N804" s="5385">
        <v>3</v>
      </c>
      <c r="O804" s="5342" t="s">
        <v>2394</v>
      </c>
      <c r="P804" s="5342" t="s">
        <v>2395</v>
      </c>
      <c r="Q804" s="5380" t="s">
        <v>2373</v>
      </c>
      <c r="R804" s="843"/>
      <c r="S804" s="838"/>
      <c r="T804" s="838"/>
      <c r="U804" s="841"/>
      <c r="V804" s="827"/>
      <c r="W804" s="827"/>
      <c r="X804" s="828"/>
      <c r="Y804" s="828"/>
      <c r="Z804" s="828"/>
      <c r="AA804" s="830"/>
      <c r="AB804" s="355"/>
      <c r="AC804" s="174"/>
      <c r="AD804" s="174"/>
      <c r="AE804" s="5415"/>
    </row>
    <row r="805" spans="1:31" ht="37.5" customHeight="1">
      <c r="A805" s="5367"/>
      <c r="B805" s="5349"/>
      <c r="C805" s="5326"/>
      <c r="D805" s="5326"/>
      <c r="E805" s="5326"/>
      <c r="F805" s="5326"/>
      <c r="G805" s="5326"/>
      <c r="H805" s="5326"/>
      <c r="I805" s="5326"/>
      <c r="J805" s="5326"/>
      <c r="K805" s="5378"/>
      <c r="L805" s="5337"/>
      <c r="M805" s="5337"/>
      <c r="N805" s="5337"/>
      <c r="O805" s="5337"/>
      <c r="P805" s="5337"/>
      <c r="Q805" s="5345"/>
      <c r="R805" s="931"/>
      <c r="S805" s="869"/>
      <c r="T805" s="869"/>
      <c r="U805" s="932"/>
      <c r="V805" s="834"/>
      <c r="W805" s="834"/>
      <c r="X805" s="835"/>
      <c r="Y805" s="835"/>
      <c r="Z805" s="835"/>
      <c r="AA805" s="837"/>
      <c r="AB805" s="357"/>
      <c r="AC805" s="282"/>
      <c r="AD805" s="282"/>
      <c r="AE805" s="5416"/>
    </row>
    <row r="806" spans="1:31" ht="37.5" customHeight="1">
      <c r="A806" s="5367"/>
      <c r="B806" s="5349"/>
      <c r="C806" s="5326"/>
      <c r="D806" s="5326"/>
      <c r="E806" s="5326"/>
      <c r="F806" s="5326"/>
      <c r="G806" s="5326"/>
      <c r="H806" s="5326"/>
      <c r="I806" s="5326"/>
      <c r="J806" s="5326"/>
      <c r="K806" s="5378"/>
      <c r="L806" s="5337"/>
      <c r="M806" s="5337"/>
      <c r="N806" s="5337"/>
      <c r="O806" s="5337"/>
      <c r="P806" s="5337"/>
      <c r="Q806" s="5345"/>
      <c r="R806" s="811"/>
      <c r="S806" s="840"/>
      <c r="T806" s="840"/>
      <c r="U806" s="839"/>
      <c r="V806" s="827"/>
      <c r="W806" s="827"/>
      <c r="X806" s="828"/>
      <c r="Y806" s="835"/>
      <c r="Z806" s="835"/>
      <c r="AA806" s="837"/>
      <c r="AB806" s="357"/>
      <c r="AC806" s="282"/>
      <c r="AD806" s="282"/>
      <c r="AE806" s="5416"/>
    </row>
    <row r="807" spans="1:31" ht="37.5" customHeight="1">
      <c r="A807" s="5367"/>
      <c r="B807" s="5349"/>
      <c r="C807" s="5326"/>
      <c r="D807" s="5326"/>
      <c r="E807" s="5326"/>
      <c r="F807" s="5326"/>
      <c r="G807" s="5326"/>
      <c r="H807" s="5326"/>
      <c r="I807" s="5326"/>
      <c r="J807" s="5326"/>
      <c r="K807" s="5378"/>
      <c r="L807" s="5337"/>
      <c r="M807" s="5337"/>
      <c r="N807" s="5337"/>
      <c r="O807" s="5337"/>
      <c r="P807" s="5337"/>
      <c r="Q807" s="5345"/>
      <c r="R807" s="843"/>
      <c r="S807" s="838"/>
      <c r="T807" s="838"/>
      <c r="U807" s="839"/>
      <c r="V807" s="827"/>
      <c r="W807" s="827"/>
      <c r="X807" s="828"/>
      <c r="Y807" s="835"/>
      <c r="Z807" s="835"/>
      <c r="AA807" s="837"/>
      <c r="AB807" s="357"/>
      <c r="AC807" s="282"/>
      <c r="AD807" s="282"/>
      <c r="AE807" s="5416"/>
    </row>
    <row r="808" spans="1:31" ht="37.5" customHeight="1">
      <c r="A808" s="5367"/>
      <c r="B808" s="5350"/>
      <c r="C808" s="5327"/>
      <c r="D808" s="5327"/>
      <c r="E808" s="5327"/>
      <c r="F808" s="5327"/>
      <c r="G808" s="5327"/>
      <c r="H808" s="5327"/>
      <c r="I808" s="5327"/>
      <c r="J808" s="5327"/>
      <c r="K808" s="5379"/>
      <c r="L808" s="5338"/>
      <c r="M808" s="5338"/>
      <c r="N808" s="5338"/>
      <c r="O808" s="5338"/>
      <c r="P808" s="5338"/>
      <c r="Q808" s="5346"/>
      <c r="R808" s="933"/>
      <c r="S808" s="952"/>
      <c r="T808" s="952"/>
      <c r="U808" s="935"/>
      <c r="V808" s="936"/>
      <c r="W808" s="936"/>
      <c r="X808" s="937"/>
      <c r="Y808" s="937"/>
      <c r="Z808" s="937"/>
      <c r="AA808" s="859"/>
      <c r="AB808" s="361"/>
      <c r="AC808" s="166"/>
      <c r="AD808" s="166"/>
      <c r="AE808" s="5417"/>
    </row>
    <row r="809" spans="1:31" ht="37.5" customHeight="1">
      <c r="A809" s="5367"/>
      <c r="B809" s="5352" t="s">
        <v>272</v>
      </c>
      <c r="C809" s="5347" t="s">
        <v>302</v>
      </c>
      <c r="D809" s="5347" t="s">
        <v>303</v>
      </c>
      <c r="E809" s="5347" t="s">
        <v>318</v>
      </c>
      <c r="F809" s="5353" t="s">
        <v>305</v>
      </c>
      <c r="G809" s="5347" t="s">
        <v>240</v>
      </c>
      <c r="H809" s="5347" t="s">
        <v>278</v>
      </c>
      <c r="I809" s="5336" t="s">
        <v>2396</v>
      </c>
      <c r="J809" s="5347" t="s">
        <v>1850</v>
      </c>
      <c r="K809" s="5336" t="s">
        <v>2192</v>
      </c>
      <c r="L809" s="5343">
        <v>0</v>
      </c>
      <c r="M809" s="5343">
        <v>1</v>
      </c>
      <c r="N809" s="5343">
        <v>1</v>
      </c>
      <c r="O809" s="5342" t="s">
        <v>2397</v>
      </c>
      <c r="P809" s="5342" t="s">
        <v>2398</v>
      </c>
      <c r="Q809" s="5380" t="s">
        <v>2373</v>
      </c>
      <c r="R809" s="843"/>
      <c r="S809" s="838"/>
      <c r="T809" s="838"/>
      <c r="U809" s="841"/>
      <c r="V809" s="827"/>
      <c r="W809" s="827"/>
      <c r="X809" s="828"/>
      <c r="Y809" s="828"/>
      <c r="Z809" s="828"/>
      <c r="AA809" s="830"/>
      <c r="AB809" s="355"/>
      <c r="AC809" s="174"/>
      <c r="AD809" s="174"/>
      <c r="AE809" s="5415"/>
    </row>
    <row r="810" spans="1:31" ht="37.5" customHeight="1">
      <c r="A810" s="5367"/>
      <c r="B810" s="5334"/>
      <c r="C810" s="5337"/>
      <c r="D810" s="5337"/>
      <c r="E810" s="5337"/>
      <c r="F810" s="5337"/>
      <c r="G810" s="5337"/>
      <c r="H810" s="5337"/>
      <c r="I810" s="5337"/>
      <c r="J810" s="5337"/>
      <c r="K810" s="5337"/>
      <c r="L810" s="5337"/>
      <c r="M810" s="5337"/>
      <c r="N810" s="5337"/>
      <c r="O810" s="5337"/>
      <c r="P810" s="5337"/>
      <c r="Q810" s="5345"/>
      <c r="R810" s="931"/>
      <c r="S810" s="869"/>
      <c r="T810" s="869"/>
      <c r="U810" s="932"/>
      <c r="V810" s="834"/>
      <c r="W810" s="834"/>
      <c r="X810" s="835"/>
      <c r="Y810" s="835"/>
      <c r="Z810" s="835"/>
      <c r="AA810" s="837"/>
      <c r="AB810" s="357"/>
      <c r="AC810" s="282"/>
      <c r="AD810" s="282"/>
      <c r="AE810" s="5416"/>
    </row>
    <row r="811" spans="1:31" ht="37.5" customHeight="1">
      <c r="A811" s="5367"/>
      <c r="B811" s="5334"/>
      <c r="C811" s="5337"/>
      <c r="D811" s="5337"/>
      <c r="E811" s="5337"/>
      <c r="F811" s="5337"/>
      <c r="G811" s="5337"/>
      <c r="H811" s="5337"/>
      <c r="I811" s="5337"/>
      <c r="J811" s="5337"/>
      <c r="K811" s="5337"/>
      <c r="L811" s="5337"/>
      <c r="M811" s="5337"/>
      <c r="N811" s="5337"/>
      <c r="O811" s="5337"/>
      <c r="P811" s="5337"/>
      <c r="Q811" s="5345"/>
      <c r="R811" s="811"/>
      <c r="S811" s="840"/>
      <c r="T811" s="840"/>
      <c r="U811" s="839"/>
      <c r="V811" s="827"/>
      <c r="W811" s="827"/>
      <c r="X811" s="828"/>
      <c r="Y811" s="835"/>
      <c r="Z811" s="835"/>
      <c r="AA811" s="837"/>
      <c r="AB811" s="357"/>
      <c r="AC811" s="282"/>
      <c r="AD811" s="282"/>
      <c r="AE811" s="5416"/>
    </row>
    <row r="812" spans="1:31" ht="37.5" customHeight="1">
      <c r="A812" s="5367"/>
      <c r="B812" s="5334"/>
      <c r="C812" s="5337"/>
      <c r="D812" s="5337"/>
      <c r="E812" s="5337"/>
      <c r="F812" s="5337"/>
      <c r="G812" s="5337"/>
      <c r="H812" s="5337"/>
      <c r="I812" s="5337"/>
      <c r="J812" s="5337"/>
      <c r="K812" s="5337"/>
      <c r="L812" s="5337"/>
      <c r="M812" s="5337"/>
      <c r="N812" s="5337"/>
      <c r="O812" s="5337"/>
      <c r="P812" s="5337"/>
      <c r="Q812" s="5345"/>
      <c r="R812" s="843"/>
      <c r="S812" s="838"/>
      <c r="T812" s="838"/>
      <c r="U812" s="839"/>
      <c r="V812" s="827"/>
      <c r="W812" s="827"/>
      <c r="X812" s="828"/>
      <c r="Y812" s="835"/>
      <c r="Z812" s="835"/>
      <c r="AA812" s="837"/>
      <c r="AB812" s="357"/>
      <c r="AC812" s="282"/>
      <c r="AD812" s="282"/>
      <c r="AE812" s="5416"/>
    </row>
    <row r="813" spans="1:31" ht="37.5" customHeight="1">
      <c r="A813" s="5367"/>
      <c r="B813" s="5335"/>
      <c r="C813" s="5338"/>
      <c r="D813" s="5338"/>
      <c r="E813" s="5338"/>
      <c r="F813" s="5338"/>
      <c r="G813" s="5338"/>
      <c r="H813" s="5338"/>
      <c r="I813" s="5338"/>
      <c r="J813" s="5338"/>
      <c r="K813" s="5338"/>
      <c r="L813" s="5338"/>
      <c r="M813" s="5338"/>
      <c r="N813" s="5338"/>
      <c r="O813" s="5338"/>
      <c r="P813" s="5338"/>
      <c r="Q813" s="5346"/>
      <c r="R813" s="933"/>
      <c r="S813" s="952"/>
      <c r="T813" s="952"/>
      <c r="U813" s="935"/>
      <c r="V813" s="936"/>
      <c r="W813" s="936"/>
      <c r="X813" s="937"/>
      <c r="Y813" s="937"/>
      <c r="Z813" s="937"/>
      <c r="AA813" s="859"/>
      <c r="AB813" s="361"/>
      <c r="AC813" s="166"/>
      <c r="AD813" s="166"/>
      <c r="AE813" s="5417"/>
    </row>
    <row r="814" spans="1:31" ht="37.5" customHeight="1">
      <c r="A814" s="5367"/>
      <c r="B814" s="5333" t="s">
        <v>272</v>
      </c>
      <c r="C814" s="5381" t="s">
        <v>302</v>
      </c>
      <c r="D814" s="5325" t="s">
        <v>303</v>
      </c>
      <c r="E814" s="5325" t="s">
        <v>318</v>
      </c>
      <c r="F814" s="5384" t="s">
        <v>305</v>
      </c>
      <c r="G814" s="5336" t="s">
        <v>240</v>
      </c>
      <c r="H814" s="5336" t="s">
        <v>278</v>
      </c>
      <c r="I814" s="5336" t="s">
        <v>2399</v>
      </c>
      <c r="J814" s="5347" t="s">
        <v>1855</v>
      </c>
      <c r="K814" s="5342" t="s">
        <v>2400</v>
      </c>
      <c r="L814" s="5343">
        <v>0</v>
      </c>
      <c r="M814" s="5343">
        <v>16</v>
      </c>
      <c r="N814" s="5343">
        <v>16</v>
      </c>
      <c r="O814" s="5342" t="s">
        <v>2197</v>
      </c>
      <c r="P814" s="5342" t="s">
        <v>2198</v>
      </c>
      <c r="Q814" s="5380" t="s">
        <v>2373</v>
      </c>
      <c r="R814" s="843"/>
      <c r="S814" s="838"/>
      <c r="T814" s="838"/>
      <c r="U814" s="841"/>
      <c r="V814" s="827"/>
      <c r="W814" s="827"/>
      <c r="X814" s="828"/>
      <c r="Y814" s="828"/>
      <c r="Z814" s="828"/>
      <c r="AA814" s="830"/>
      <c r="AB814" s="355"/>
      <c r="AC814" s="174"/>
      <c r="AD814" s="174"/>
      <c r="AE814" s="5415"/>
    </row>
    <row r="815" spans="1:31" ht="37.5" customHeight="1">
      <c r="A815" s="5367"/>
      <c r="B815" s="5334"/>
      <c r="C815" s="5382"/>
      <c r="D815" s="5326"/>
      <c r="E815" s="5326"/>
      <c r="F815" s="5378"/>
      <c r="G815" s="5337"/>
      <c r="H815" s="5337"/>
      <c r="I815" s="5337"/>
      <c r="J815" s="5337"/>
      <c r="K815" s="5337"/>
      <c r="L815" s="5337"/>
      <c r="M815" s="5337"/>
      <c r="N815" s="5337"/>
      <c r="O815" s="5337"/>
      <c r="P815" s="5337"/>
      <c r="Q815" s="5345"/>
      <c r="R815" s="790"/>
      <c r="S815" s="869"/>
      <c r="T815" s="869"/>
      <c r="U815" s="932"/>
      <c r="V815" s="725"/>
      <c r="W815" s="725"/>
      <c r="X815" s="726"/>
      <c r="Y815" s="726"/>
      <c r="Z815" s="726"/>
      <c r="AA815" s="727"/>
      <c r="AB815" s="170"/>
      <c r="AC815" s="282"/>
      <c r="AD815" s="282"/>
      <c r="AE815" s="5416"/>
    </row>
    <row r="816" spans="1:31" ht="37.5" customHeight="1">
      <c r="A816" s="5367"/>
      <c r="B816" s="5334"/>
      <c r="C816" s="5382"/>
      <c r="D816" s="5326"/>
      <c r="E816" s="5326"/>
      <c r="F816" s="5378"/>
      <c r="G816" s="5337"/>
      <c r="H816" s="5337"/>
      <c r="I816" s="5337"/>
      <c r="J816" s="5337"/>
      <c r="K816" s="5337"/>
      <c r="L816" s="5337"/>
      <c r="M816" s="5337"/>
      <c r="N816" s="5337"/>
      <c r="O816" s="5337"/>
      <c r="P816" s="5337"/>
      <c r="Q816" s="5345"/>
      <c r="R816" s="791"/>
      <c r="S816" s="840"/>
      <c r="T816" s="840"/>
      <c r="U816" s="839"/>
      <c r="V816" s="731"/>
      <c r="W816" s="731"/>
      <c r="X816" s="732"/>
      <c r="Y816" s="726"/>
      <c r="Z816" s="726"/>
      <c r="AA816" s="727"/>
      <c r="AB816" s="170"/>
      <c r="AC816" s="282"/>
      <c r="AD816" s="282"/>
      <c r="AE816" s="5416"/>
    </row>
    <row r="817" spans="1:31" ht="37.5" customHeight="1">
      <c r="A817" s="5367"/>
      <c r="B817" s="5334"/>
      <c r="C817" s="5382"/>
      <c r="D817" s="5326"/>
      <c r="E817" s="5326"/>
      <c r="F817" s="5378"/>
      <c r="G817" s="5337"/>
      <c r="H817" s="5337"/>
      <c r="I817" s="5337"/>
      <c r="J817" s="5337"/>
      <c r="K817" s="5337"/>
      <c r="L817" s="5337"/>
      <c r="M817" s="5337"/>
      <c r="N817" s="5337"/>
      <c r="O817" s="5337"/>
      <c r="P817" s="5337"/>
      <c r="Q817" s="5345"/>
      <c r="R817" s="792"/>
      <c r="S817" s="838"/>
      <c r="T817" s="838"/>
      <c r="U817" s="839"/>
      <c r="V817" s="731"/>
      <c r="W817" s="731"/>
      <c r="X817" s="732"/>
      <c r="Y817" s="726"/>
      <c r="Z817" s="726"/>
      <c r="AA817" s="727"/>
      <c r="AB817" s="170"/>
      <c r="AC817" s="282"/>
      <c r="AD817" s="282"/>
      <c r="AE817" s="5416"/>
    </row>
    <row r="818" spans="1:31" ht="37.5" customHeight="1">
      <c r="A818" s="5367"/>
      <c r="B818" s="5335"/>
      <c r="C818" s="5383"/>
      <c r="D818" s="5327"/>
      <c r="E818" s="5327"/>
      <c r="F818" s="5379"/>
      <c r="G818" s="5338"/>
      <c r="H818" s="5338"/>
      <c r="I818" s="5338"/>
      <c r="J818" s="5338"/>
      <c r="K818" s="5338"/>
      <c r="L818" s="5338"/>
      <c r="M818" s="5338"/>
      <c r="N818" s="5338"/>
      <c r="O818" s="5338"/>
      <c r="P818" s="5338"/>
      <c r="Q818" s="5346"/>
      <c r="R818" s="796"/>
      <c r="S818" s="952"/>
      <c r="T818" s="952"/>
      <c r="U818" s="935"/>
      <c r="V818" s="738"/>
      <c r="W818" s="738"/>
      <c r="X818" s="739"/>
      <c r="Y818" s="739"/>
      <c r="Z818" s="739"/>
      <c r="AA818" s="740"/>
      <c r="AB818" s="165"/>
      <c r="AC818" s="166"/>
      <c r="AD818" s="166"/>
      <c r="AE818" s="5417"/>
    </row>
    <row r="819" spans="1:31" ht="37.5" customHeight="1">
      <c r="A819" s="5367"/>
      <c r="B819" s="5333" t="s">
        <v>272</v>
      </c>
      <c r="C819" s="5336" t="s">
        <v>302</v>
      </c>
      <c r="D819" s="5336" t="s">
        <v>303</v>
      </c>
      <c r="E819" s="5336" t="s">
        <v>318</v>
      </c>
      <c r="F819" s="5341" t="s">
        <v>305</v>
      </c>
      <c r="G819" s="5336" t="s">
        <v>262</v>
      </c>
      <c r="H819" s="5336" t="s">
        <v>257</v>
      </c>
      <c r="I819" s="5336" t="s">
        <v>2401</v>
      </c>
      <c r="J819" s="5347" t="s">
        <v>2201</v>
      </c>
      <c r="K819" s="5342" t="s">
        <v>2402</v>
      </c>
      <c r="L819" s="5343">
        <v>0</v>
      </c>
      <c r="M819" s="5343">
        <v>2</v>
      </c>
      <c r="N819" s="5343">
        <v>2</v>
      </c>
      <c r="O819" s="5342" t="s">
        <v>2403</v>
      </c>
      <c r="P819" s="5342" t="s">
        <v>2404</v>
      </c>
      <c r="Q819" s="5380" t="s">
        <v>2373</v>
      </c>
      <c r="R819" s="792"/>
      <c r="S819" s="838"/>
      <c r="T819" s="838"/>
      <c r="U819" s="841"/>
      <c r="V819" s="731"/>
      <c r="W819" s="731"/>
      <c r="X819" s="732"/>
      <c r="Y819" s="732"/>
      <c r="Z819" s="732"/>
      <c r="AA819" s="742"/>
      <c r="AB819" s="414"/>
      <c r="AC819" s="174"/>
      <c r="AD819" s="174"/>
      <c r="AE819" s="5415" t="s">
        <v>2166</v>
      </c>
    </row>
    <row r="820" spans="1:31" ht="37.5" customHeight="1">
      <c r="A820" s="5367"/>
      <c r="B820" s="5334"/>
      <c r="C820" s="5337"/>
      <c r="D820" s="5337"/>
      <c r="E820" s="5337"/>
      <c r="F820" s="5337"/>
      <c r="G820" s="5337"/>
      <c r="H820" s="5337"/>
      <c r="I820" s="5337"/>
      <c r="J820" s="5337"/>
      <c r="K820" s="5337"/>
      <c r="L820" s="5337"/>
      <c r="M820" s="5337"/>
      <c r="N820" s="5337"/>
      <c r="O820" s="5337"/>
      <c r="P820" s="5337"/>
      <c r="Q820" s="5345"/>
      <c r="R820" s="790"/>
      <c r="S820" s="869"/>
      <c r="T820" s="869"/>
      <c r="U820" s="932"/>
      <c r="V820" s="725"/>
      <c r="W820" s="725"/>
      <c r="X820" s="726"/>
      <c r="Y820" s="726"/>
      <c r="Z820" s="726"/>
      <c r="AA820" s="727"/>
      <c r="AB820" s="170"/>
      <c r="AC820" s="282"/>
      <c r="AD820" s="282"/>
      <c r="AE820" s="5416"/>
    </row>
    <row r="821" spans="1:31" ht="37.5" customHeight="1">
      <c r="A821" s="5367"/>
      <c r="B821" s="5334"/>
      <c r="C821" s="5337"/>
      <c r="D821" s="5337"/>
      <c r="E821" s="5337"/>
      <c r="F821" s="5337"/>
      <c r="G821" s="5337"/>
      <c r="H821" s="5337"/>
      <c r="I821" s="5337"/>
      <c r="J821" s="5337"/>
      <c r="K821" s="5337"/>
      <c r="L821" s="5337"/>
      <c r="M821" s="5337"/>
      <c r="N821" s="5337"/>
      <c r="O821" s="5337"/>
      <c r="P821" s="5337"/>
      <c r="Q821" s="5345"/>
      <c r="R821" s="791"/>
      <c r="S821" s="840"/>
      <c r="T821" s="840"/>
      <c r="U821" s="839"/>
      <c r="V821" s="731"/>
      <c r="W821" s="731"/>
      <c r="X821" s="732"/>
      <c r="Y821" s="726"/>
      <c r="Z821" s="726"/>
      <c r="AA821" s="727"/>
      <c r="AB821" s="170"/>
      <c r="AC821" s="282"/>
      <c r="AD821" s="282"/>
      <c r="AE821" s="5416"/>
    </row>
    <row r="822" spans="1:31" ht="37.5" customHeight="1">
      <c r="A822" s="5367"/>
      <c r="B822" s="5334"/>
      <c r="C822" s="5337"/>
      <c r="D822" s="5337"/>
      <c r="E822" s="5337"/>
      <c r="F822" s="5337"/>
      <c r="G822" s="5337"/>
      <c r="H822" s="5337"/>
      <c r="I822" s="5337"/>
      <c r="J822" s="5337"/>
      <c r="K822" s="5337"/>
      <c r="L822" s="5337"/>
      <c r="M822" s="5337"/>
      <c r="N822" s="5337"/>
      <c r="O822" s="5337"/>
      <c r="P822" s="5337"/>
      <c r="Q822" s="5345"/>
      <c r="R822" s="792"/>
      <c r="S822" s="838"/>
      <c r="T822" s="838"/>
      <c r="U822" s="839"/>
      <c r="V822" s="731"/>
      <c r="W822" s="731"/>
      <c r="X822" s="732"/>
      <c r="Y822" s="726"/>
      <c r="Z822" s="726"/>
      <c r="AA822" s="727"/>
      <c r="AB822" s="170"/>
      <c r="AC822" s="282"/>
      <c r="AD822" s="282"/>
      <c r="AE822" s="5416"/>
    </row>
    <row r="823" spans="1:31" ht="37.5" customHeight="1">
      <c r="A823" s="5367"/>
      <c r="B823" s="5335"/>
      <c r="C823" s="5338"/>
      <c r="D823" s="5338"/>
      <c r="E823" s="5338"/>
      <c r="F823" s="5338"/>
      <c r="G823" s="5338"/>
      <c r="H823" s="5338"/>
      <c r="I823" s="5338"/>
      <c r="J823" s="5338"/>
      <c r="K823" s="5338"/>
      <c r="L823" s="5338"/>
      <c r="M823" s="5338"/>
      <c r="N823" s="5338"/>
      <c r="O823" s="5338"/>
      <c r="P823" s="5338"/>
      <c r="Q823" s="5346"/>
      <c r="R823" s="796"/>
      <c r="S823" s="952"/>
      <c r="T823" s="952"/>
      <c r="U823" s="935"/>
      <c r="V823" s="738"/>
      <c r="W823" s="738"/>
      <c r="X823" s="739"/>
      <c r="Y823" s="739"/>
      <c r="Z823" s="739"/>
      <c r="AA823" s="740"/>
      <c r="AB823" s="165"/>
      <c r="AC823" s="166"/>
      <c r="AD823" s="166"/>
      <c r="AE823" s="5417"/>
    </row>
    <row r="824" spans="1:31" ht="37.5" customHeight="1">
      <c r="A824" s="5367"/>
      <c r="B824" s="5333" t="s">
        <v>272</v>
      </c>
      <c r="C824" s="5336" t="s">
        <v>302</v>
      </c>
      <c r="D824" s="5336" t="s">
        <v>303</v>
      </c>
      <c r="E824" s="5336" t="s">
        <v>304</v>
      </c>
      <c r="F824" s="5341" t="s">
        <v>305</v>
      </c>
      <c r="G824" s="5336" t="s">
        <v>262</v>
      </c>
      <c r="H824" s="5336" t="s">
        <v>257</v>
      </c>
      <c r="I824" s="5336" t="s">
        <v>2405</v>
      </c>
      <c r="J824" s="5347" t="s">
        <v>1865</v>
      </c>
      <c r="K824" s="5336" t="s">
        <v>2207</v>
      </c>
      <c r="L824" s="5343">
        <v>0</v>
      </c>
      <c r="M824" s="5343">
        <v>1</v>
      </c>
      <c r="N824" s="5343">
        <v>1</v>
      </c>
      <c r="O824" s="5342" t="s">
        <v>2406</v>
      </c>
      <c r="P824" s="5342" t="s">
        <v>2407</v>
      </c>
      <c r="Q824" s="5380" t="s">
        <v>2373</v>
      </c>
      <c r="R824" s="792"/>
      <c r="S824" s="838"/>
      <c r="T824" s="838"/>
      <c r="U824" s="841"/>
      <c r="V824" s="731"/>
      <c r="W824" s="731"/>
      <c r="X824" s="732"/>
      <c r="Y824" s="732"/>
      <c r="Z824" s="732"/>
      <c r="AA824" s="742"/>
      <c r="AB824" s="414"/>
      <c r="AC824" s="174"/>
      <c r="AD824" s="174"/>
      <c r="AE824" s="5415"/>
    </row>
    <row r="825" spans="1:31" ht="37.5" customHeight="1">
      <c r="A825" s="5367"/>
      <c r="B825" s="5334"/>
      <c r="C825" s="5337"/>
      <c r="D825" s="5337"/>
      <c r="E825" s="5337"/>
      <c r="F825" s="5337"/>
      <c r="G825" s="5337"/>
      <c r="H825" s="5337"/>
      <c r="I825" s="5337"/>
      <c r="J825" s="5337"/>
      <c r="K825" s="5337"/>
      <c r="L825" s="5337"/>
      <c r="M825" s="5337"/>
      <c r="N825" s="5337"/>
      <c r="O825" s="5337"/>
      <c r="P825" s="5337"/>
      <c r="Q825" s="5345"/>
      <c r="R825" s="790"/>
      <c r="S825" s="869"/>
      <c r="T825" s="869"/>
      <c r="U825" s="932"/>
      <c r="V825" s="725"/>
      <c r="W825" s="725"/>
      <c r="X825" s="726"/>
      <c r="Y825" s="726"/>
      <c r="Z825" s="726"/>
      <c r="AA825" s="727"/>
      <c r="AB825" s="170"/>
      <c r="AC825" s="282"/>
      <c r="AD825" s="282"/>
      <c r="AE825" s="5416"/>
    </row>
    <row r="826" spans="1:31" ht="37.5" customHeight="1">
      <c r="A826" s="5367"/>
      <c r="B826" s="5334"/>
      <c r="C826" s="5337"/>
      <c r="D826" s="5337"/>
      <c r="E826" s="5337"/>
      <c r="F826" s="5337"/>
      <c r="G826" s="5337"/>
      <c r="H826" s="5337"/>
      <c r="I826" s="5337"/>
      <c r="J826" s="5337"/>
      <c r="K826" s="5337"/>
      <c r="L826" s="5337"/>
      <c r="M826" s="5337"/>
      <c r="N826" s="5337"/>
      <c r="O826" s="5337"/>
      <c r="P826" s="5337"/>
      <c r="Q826" s="5345"/>
      <c r="R826" s="791"/>
      <c r="S826" s="840"/>
      <c r="T826" s="840"/>
      <c r="U826" s="839"/>
      <c r="V826" s="731"/>
      <c r="W826" s="731"/>
      <c r="X826" s="732"/>
      <c r="Y826" s="726"/>
      <c r="Z826" s="726"/>
      <c r="AA826" s="727"/>
      <c r="AB826" s="170"/>
      <c r="AC826" s="282"/>
      <c r="AD826" s="282"/>
      <c r="AE826" s="5416"/>
    </row>
    <row r="827" spans="1:31" ht="37.5" customHeight="1">
      <c r="A827" s="5367"/>
      <c r="B827" s="5334"/>
      <c r="C827" s="5337"/>
      <c r="D827" s="5337"/>
      <c r="E827" s="5337"/>
      <c r="F827" s="5337"/>
      <c r="G827" s="5337"/>
      <c r="H827" s="5337"/>
      <c r="I827" s="5337"/>
      <c r="J827" s="5337"/>
      <c r="K827" s="5337"/>
      <c r="L827" s="5337"/>
      <c r="M827" s="5337"/>
      <c r="N827" s="5337"/>
      <c r="O827" s="5337"/>
      <c r="P827" s="5337"/>
      <c r="Q827" s="5345"/>
      <c r="R827" s="792"/>
      <c r="S827" s="838"/>
      <c r="T827" s="838"/>
      <c r="U827" s="839"/>
      <c r="V827" s="731"/>
      <c r="W827" s="731"/>
      <c r="X827" s="732"/>
      <c r="Y827" s="726"/>
      <c r="Z827" s="726"/>
      <c r="AA827" s="727"/>
      <c r="AB827" s="170"/>
      <c r="AC827" s="282"/>
      <c r="AD827" s="282"/>
      <c r="AE827" s="5416"/>
    </row>
    <row r="828" spans="1:31" ht="37.5" customHeight="1">
      <c r="A828" s="5367"/>
      <c r="B828" s="5335"/>
      <c r="C828" s="5338"/>
      <c r="D828" s="5338"/>
      <c r="E828" s="5338"/>
      <c r="F828" s="5338"/>
      <c r="G828" s="5338"/>
      <c r="H828" s="5338"/>
      <c r="I828" s="5338"/>
      <c r="J828" s="5338"/>
      <c r="K828" s="5338"/>
      <c r="L828" s="5338"/>
      <c r="M828" s="5338"/>
      <c r="N828" s="5338"/>
      <c r="O828" s="5338"/>
      <c r="P828" s="5338"/>
      <c r="Q828" s="5346"/>
      <c r="R828" s="796"/>
      <c r="S828" s="952"/>
      <c r="T828" s="952"/>
      <c r="U828" s="935"/>
      <c r="V828" s="738"/>
      <c r="W828" s="738"/>
      <c r="X828" s="739"/>
      <c r="Y828" s="739"/>
      <c r="Z828" s="739"/>
      <c r="AA828" s="740"/>
      <c r="AB828" s="165"/>
      <c r="AC828" s="166"/>
      <c r="AD828" s="166"/>
      <c r="AE828" s="5417"/>
    </row>
    <row r="829" spans="1:31" ht="37.5" customHeight="1">
      <c r="A829" s="5367"/>
      <c r="B829" s="5333" t="s">
        <v>272</v>
      </c>
      <c r="C829" s="5336" t="s">
        <v>302</v>
      </c>
      <c r="D829" s="5336" t="s">
        <v>680</v>
      </c>
      <c r="E829" s="5336" t="s">
        <v>817</v>
      </c>
      <c r="F829" s="5341" t="s">
        <v>305</v>
      </c>
      <c r="G829" s="5336" t="s">
        <v>306</v>
      </c>
      <c r="H829" s="5336" t="s">
        <v>278</v>
      </c>
      <c r="I829" s="5336" t="s">
        <v>2408</v>
      </c>
      <c r="J829" s="5347" t="s">
        <v>2409</v>
      </c>
      <c r="K829" s="5347" t="s">
        <v>2410</v>
      </c>
      <c r="L829" s="5343">
        <v>0</v>
      </c>
      <c r="M829" s="5343">
        <v>1</v>
      </c>
      <c r="N829" s="5343">
        <v>1</v>
      </c>
      <c r="O829" s="5347" t="s">
        <v>2411</v>
      </c>
      <c r="P829" s="5347" t="s">
        <v>2412</v>
      </c>
      <c r="Q829" s="5380" t="s">
        <v>2373</v>
      </c>
      <c r="R829" s="792"/>
      <c r="S829" s="838"/>
      <c r="T829" s="838"/>
      <c r="U829" s="841"/>
      <c r="V829" s="731"/>
      <c r="W829" s="731"/>
      <c r="X829" s="732"/>
      <c r="Y829" s="732"/>
      <c r="Z829" s="732"/>
      <c r="AA829" s="742"/>
      <c r="AB829" s="414"/>
      <c r="AC829" s="174"/>
      <c r="AD829" s="174"/>
      <c r="AE829" s="5415" t="s">
        <v>2166</v>
      </c>
    </row>
    <row r="830" spans="1:31" ht="37.5" customHeight="1">
      <c r="A830" s="5367"/>
      <c r="B830" s="5334"/>
      <c r="C830" s="5337"/>
      <c r="D830" s="5337"/>
      <c r="E830" s="5337"/>
      <c r="F830" s="5337"/>
      <c r="G830" s="5337"/>
      <c r="H830" s="5337"/>
      <c r="I830" s="5337"/>
      <c r="J830" s="5337"/>
      <c r="K830" s="5337"/>
      <c r="L830" s="5337"/>
      <c r="M830" s="5337"/>
      <c r="N830" s="5337"/>
      <c r="O830" s="5337"/>
      <c r="P830" s="5337"/>
      <c r="Q830" s="5345"/>
      <c r="R830" s="790"/>
      <c r="S830" s="869"/>
      <c r="T830" s="869"/>
      <c r="U830" s="932"/>
      <c r="V830" s="725"/>
      <c r="W830" s="725"/>
      <c r="X830" s="726"/>
      <c r="Y830" s="726"/>
      <c r="Z830" s="726"/>
      <c r="AA830" s="727"/>
      <c r="AB830" s="170"/>
      <c r="AC830" s="282"/>
      <c r="AD830" s="282"/>
      <c r="AE830" s="5416"/>
    </row>
    <row r="831" spans="1:31" ht="37.5" customHeight="1">
      <c r="A831" s="5367"/>
      <c r="B831" s="5334"/>
      <c r="C831" s="5337"/>
      <c r="D831" s="5337"/>
      <c r="E831" s="5337"/>
      <c r="F831" s="5337"/>
      <c r="G831" s="5337"/>
      <c r="H831" s="5337"/>
      <c r="I831" s="5337"/>
      <c r="J831" s="5337"/>
      <c r="K831" s="5337"/>
      <c r="L831" s="5337"/>
      <c r="M831" s="5337"/>
      <c r="N831" s="5337"/>
      <c r="O831" s="5337"/>
      <c r="P831" s="5337"/>
      <c r="Q831" s="5345"/>
      <c r="R831" s="791"/>
      <c r="S831" s="840"/>
      <c r="T831" s="840"/>
      <c r="U831" s="839"/>
      <c r="V831" s="731"/>
      <c r="W831" s="731"/>
      <c r="X831" s="732"/>
      <c r="Y831" s="726"/>
      <c r="Z831" s="726"/>
      <c r="AA831" s="727"/>
      <c r="AB831" s="170"/>
      <c r="AC831" s="282"/>
      <c r="AD831" s="282"/>
      <c r="AE831" s="5416"/>
    </row>
    <row r="832" spans="1:31" ht="37.5" customHeight="1">
      <c r="A832" s="5367"/>
      <c r="B832" s="5334"/>
      <c r="C832" s="5337"/>
      <c r="D832" s="5337"/>
      <c r="E832" s="5337"/>
      <c r="F832" s="5337"/>
      <c r="G832" s="5337"/>
      <c r="H832" s="5337"/>
      <c r="I832" s="5337"/>
      <c r="J832" s="5337"/>
      <c r="K832" s="5337"/>
      <c r="L832" s="5337"/>
      <c r="M832" s="5337"/>
      <c r="N832" s="5337"/>
      <c r="O832" s="5337"/>
      <c r="P832" s="5337"/>
      <c r="Q832" s="5345"/>
      <c r="R832" s="792"/>
      <c r="S832" s="838"/>
      <c r="T832" s="838"/>
      <c r="U832" s="839"/>
      <c r="V832" s="731"/>
      <c r="W832" s="731"/>
      <c r="X832" s="732"/>
      <c r="Y832" s="726"/>
      <c r="Z832" s="726"/>
      <c r="AA832" s="727"/>
      <c r="AB832" s="170"/>
      <c r="AC832" s="282"/>
      <c r="AD832" s="282"/>
      <c r="AE832" s="5416"/>
    </row>
    <row r="833" spans="1:31" ht="37.5" customHeight="1">
      <c r="A833" s="5367"/>
      <c r="B833" s="5335"/>
      <c r="C833" s="5338"/>
      <c r="D833" s="5338"/>
      <c r="E833" s="5338"/>
      <c r="F833" s="5338"/>
      <c r="G833" s="5338"/>
      <c r="H833" s="5338"/>
      <c r="I833" s="5338"/>
      <c r="J833" s="5338"/>
      <c r="K833" s="5338"/>
      <c r="L833" s="5338"/>
      <c r="M833" s="5338"/>
      <c r="N833" s="5338"/>
      <c r="O833" s="5338"/>
      <c r="P833" s="5338"/>
      <c r="Q833" s="5346"/>
      <c r="R833" s="796"/>
      <c r="S833" s="736"/>
      <c r="T833" s="736"/>
      <c r="U833" s="737"/>
      <c r="V833" s="738"/>
      <c r="W833" s="738"/>
      <c r="X833" s="739"/>
      <c r="Y833" s="739"/>
      <c r="Z833" s="739"/>
      <c r="AA833" s="740"/>
      <c r="AB833" s="165"/>
      <c r="AC833" s="166"/>
      <c r="AD833" s="166"/>
      <c r="AE833" s="5417"/>
    </row>
    <row r="834" spans="1:31" ht="37.5" customHeight="1">
      <c r="A834" s="5367"/>
      <c r="B834" s="5356" t="s">
        <v>272</v>
      </c>
      <c r="C834" s="5336" t="s">
        <v>302</v>
      </c>
      <c r="D834" s="5336" t="s">
        <v>303</v>
      </c>
      <c r="E834" s="5336" t="s">
        <v>304</v>
      </c>
      <c r="F834" s="5341" t="s">
        <v>305</v>
      </c>
      <c r="G834" s="5336" t="s">
        <v>262</v>
      </c>
      <c r="H834" s="5336" t="s">
        <v>257</v>
      </c>
      <c r="I834" s="5336" t="s">
        <v>2413</v>
      </c>
      <c r="J834" s="5347" t="s">
        <v>2216</v>
      </c>
      <c r="K834" s="5342" t="s">
        <v>2414</v>
      </c>
      <c r="L834" s="5343">
        <v>0</v>
      </c>
      <c r="M834" s="5343">
        <v>4</v>
      </c>
      <c r="N834" s="5343">
        <v>4</v>
      </c>
      <c r="O834" s="5342" t="s">
        <v>2218</v>
      </c>
      <c r="P834" s="5342" t="s">
        <v>2415</v>
      </c>
      <c r="Q834" s="5380" t="s">
        <v>2373</v>
      </c>
      <c r="R834" s="792"/>
      <c r="S834" s="734"/>
      <c r="T834" s="734"/>
      <c r="U834" s="741"/>
      <c r="V834" s="731"/>
      <c r="W834" s="731"/>
      <c r="X834" s="732"/>
      <c r="Y834" s="732"/>
      <c r="Z834" s="732"/>
      <c r="AA834" s="742"/>
      <c r="AB834" s="414"/>
      <c r="AC834" s="174"/>
      <c r="AD834" s="174"/>
      <c r="AE834" s="5415" t="s">
        <v>2166</v>
      </c>
    </row>
    <row r="835" spans="1:31" ht="37.5" customHeight="1">
      <c r="A835" s="5367"/>
      <c r="B835" s="5334"/>
      <c r="C835" s="5337"/>
      <c r="D835" s="5337"/>
      <c r="E835" s="5337"/>
      <c r="F835" s="5337"/>
      <c r="G835" s="5337"/>
      <c r="H835" s="5337"/>
      <c r="I835" s="5337"/>
      <c r="J835" s="5337"/>
      <c r="K835" s="5337"/>
      <c r="L835" s="5337"/>
      <c r="M835" s="5337"/>
      <c r="N835" s="5337"/>
      <c r="O835" s="5337"/>
      <c r="P835" s="5337"/>
      <c r="Q835" s="5345"/>
      <c r="R835" s="790"/>
      <c r="S835" s="724"/>
      <c r="T835" s="724"/>
      <c r="U835" s="798"/>
      <c r="V835" s="725"/>
      <c r="W835" s="725"/>
      <c r="X835" s="726"/>
      <c r="Y835" s="726"/>
      <c r="Z835" s="726"/>
      <c r="AA835" s="727"/>
      <c r="AB835" s="170"/>
      <c r="AC835" s="282"/>
      <c r="AD835" s="282"/>
      <c r="AE835" s="5416"/>
    </row>
    <row r="836" spans="1:31" ht="37.5" customHeight="1">
      <c r="A836" s="5367"/>
      <c r="B836" s="5334"/>
      <c r="C836" s="5337"/>
      <c r="D836" s="5337"/>
      <c r="E836" s="5337"/>
      <c r="F836" s="5337"/>
      <c r="G836" s="5337"/>
      <c r="H836" s="5337"/>
      <c r="I836" s="5337"/>
      <c r="J836" s="5337"/>
      <c r="K836" s="5337"/>
      <c r="L836" s="5337"/>
      <c r="M836" s="5337"/>
      <c r="N836" s="5337"/>
      <c r="O836" s="5337"/>
      <c r="P836" s="5337"/>
      <c r="Q836" s="5345"/>
      <c r="R836" s="791"/>
      <c r="S836" s="729"/>
      <c r="T836" s="729"/>
      <c r="U836" s="730"/>
      <c r="V836" s="731"/>
      <c r="W836" s="731"/>
      <c r="X836" s="732"/>
      <c r="Y836" s="726"/>
      <c r="Z836" s="726"/>
      <c r="AA836" s="727"/>
      <c r="AB836" s="170"/>
      <c r="AC836" s="282"/>
      <c r="AD836" s="282"/>
      <c r="AE836" s="5416"/>
    </row>
    <row r="837" spans="1:31" ht="37.5" customHeight="1">
      <c r="A837" s="5367"/>
      <c r="B837" s="5334"/>
      <c r="C837" s="5337"/>
      <c r="D837" s="5337"/>
      <c r="E837" s="5337"/>
      <c r="F837" s="5337"/>
      <c r="G837" s="5337"/>
      <c r="H837" s="5337"/>
      <c r="I837" s="5337"/>
      <c r="J837" s="5337"/>
      <c r="K837" s="5337"/>
      <c r="L837" s="5337"/>
      <c r="M837" s="5337"/>
      <c r="N837" s="5337"/>
      <c r="O837" s="5337"/>
      <c r="P837" s="5337"/>
      <c r="Q837" s="5345"/>
      <c r="R837" s="792"/>
      <c r="S837" s="734"/>
      <c r="T837" s="734"/>
      <c r="U837" s="730"/>
      <c r="V837" s="731"/>
      <c r="W837" s="731"/>
      <c r="X837" s="732"/>
      <c r="Y837" s="726"/>
      <c r="Z837" s="726"/>
      <c r="AA837" s="727"/>
      <c r="AB837" s="170"/>
      <c r="AC837" s="282"/>
      <c r="AD837" s="282"/>
      <c r="AE837" s="5416"/>
    </row>
    <row r="838" spans="1:31" ht="37.5" customHeight="1">
      <c r="A838" s="5367"/>
      <c r="B838" s="5335"/>
      <c r="C838" s="5338"/>
      <c r="D838" s="5338"/>
      <c r="E838" s="5338"/>
      <c r="F838" s="5338"/>
      <c r="G838" s="5338"/>
      <c r="H838" s="5338"/>
      <c r="I838" s="5338"/>
      <c r="J838" s="5338"/>
      <c r="K838" s="5338"/>
      <c r="L838" s="5338"/>
      <c r="M838" s="5338"/>
      <c r="N838" s="5338"/>
      <c r="O838" s="5338"/>
      <c r="P838" s="5338"/>
      <c r="Q838" s="5346"/>
      <c r="R838" s="796"/>
      <c r="S838" s="736"/>
      <c r="T838" s="736"/>
      <c r="U838" s="737"/>
      <c r="V838" s="738"/>
      <c r="W838" s="738"/>
      <c r="X838" s="739"/>
      <c r="Y838" s="739"/>
      <c r="Z838" s="739"/>
      <c r="AA838" s="740"/>
      <c r="AB838" s="165"/>
      <c r="AC838" s="166"/>
      <c r="AD838" s="166"/>
      <c r="AE838" s="5417"/>
    </row>
    <row r="839" spans="1:31" ht="37.5" customHeight="1">
      <c r="A839" s="5367"/>
      <c r="B839" s="5374" t="s">
        <v>235</v>
      </c>
      <c r="C839" s="5375" t="s">
        <v>236</v>
      </c>
      <c r="D839" s="5375" t="s">
        <v>237</v>
      </c>
      <c r="E839" s="5375" t="s">
        <v>289</v>
      </c>
      <c r="F839" s="5376" t="s">
        <v>239</v>
      </c>
      <c r="G839" s="5377" t="s">
        <v>240</v>
      </c>
      <c r="H839" s="5336" t="s">
        <v>257</v>
      </c>
      <c r="I839" s="5336" t="s">
        <v>2416</v>
      </c>
      <c r="J839" s="5347" t="s">
        <v>2417</v>
      </c>
      <c r="K839" s="5342" t="s">
        <v>2418</v>
      </c>
      <c r="L839" s="5343">
        <v>0</v>
      </c>
      <c r="M839" s="5343">
        <v>4</v>
      </c>
      <c r="N839" s="5343">
        <v>4</v>
      </c>
      <c r="O839" s="5347" t="s">
        <v>2419</v>
      </c>
      <c r="P839" s="5347" t="s">
        <v>2420</v>
      </c>
      <c r="Q839" s="5380" t="s">
        <v>2373</v>
      </c>
      <c r="R839" s="792"/>
      <c r="S839" s="734"/>
      <c r="T839" s="734"/>
      <c r="U839" s="741"/>
      <c r="V839" s="731"/>
      <c r="W839" s="731"/>
      <c r="X839" s="732"/>
      <c r="Y839" s="732"/>
      <c r="Z839" s="732"/>
      <c r="AA839" s="742"/>
      <c r="AB839" s="414"/>
      <c r="AC839" s="174"/>
      <c r="AD839" s="174"/>
      <c r="AE839" s="5415" t="s">
        <v>2166</v>
      </c>
    </row>
    <row r="840" spans="1:31" ht="37.5" customHeight="1">
      <c r="A840" s="5367"/>
      <c r="B840" s="5349"/>
      <c r="C840" s="5326"/>
      <c r="D840" s="5326"/>
      <c r="E840" s="5326"/>
      <c r="F840" s="5326"/>
      <c r="G840" s="5378"/>
      <c r="H840" s="5337"/>
      <c r="I840" s="5337"/>
      <c r="J840" s="5337"/>
      <c r="K840" s="5337"/>
      <c r="L840" s="5337"/>
      <c r="M840" s="5337"/>
      <c r="N840" s="5337"/>
      <c r="O840" s="5337"/>
      <c r="P840" s="5337"/>
      <c r="Q840" s="5345"/>
      <c r="R840" s="790"/>
      <c r="S840" s="724"/>
      <c r="T840" s="724"/>
      <c r="U840" s="798"/>
      <c r="V840" s="725"/>
      <c r="W840" s="725"/>
      <c r="X840" s="726"/>
      <c r="Y840" s="726"/>
      <c r="Z840" s="726"/>
      <c r="AA840" s="727"/>
      <c r="AB840" s="170"/>
      <c r="AC840" s="282"/>
      <c r="AD840" s="282"/>
      <c r="AE840" s="5416"/>
    </row>
    <row r="841" spans="1:31" ht="37.5" customHeight="1">
      <c r="A841" s="5367"/>
      <c r="B841" s="5349"/>
      <c r="C841" s="5326"/>
      <c r="D841" s="5326"/>
      <c r="E841" s="5326"/>
      <c r="F841" s="5326"/>
      <c r="G841" s="5378"/>
      <c r="H841" s="5337"/>
      <c r="I841" s="5337"/>
      <c r="J841" s="5337"/>
      <c r="K841" s="5337"/>
      <c r="L841" s="5337"/>
      <c r="M841" s="5337"/>
      <c r="N841" s="5337"/>
      <c r="O841" s="5337"/>
      <c r="P841" s="5337"/>
      <c r="Q841" s="5345"/>
      <c r="R841" s="791"/>
      <c r="S841" s="729"/>
      <c r="T841" s="729"/>
      <c r="U841" s="730"/>
      <c r="V841" s="731"/>
      <c r="W841" s="731"/>
      <c r="X841" s="732"/>
      <c r="Y841" s="726"/>
      <c r="Z841" s="726"/>
      <c r="AA841" s="727"/>
      <c r="AB841" s="170"/>
      <c r="AC841" s="282"/>
      <c r="AD841" s="282"/>
      <c r="AE841" s="5416"/>
    </row>
    <row r="842" spans="1:31" ht="37.5" customHeight="1">
      <c r="A842" s="5367"/>
      <c r="B842" s="5349"/>
      <c r="C842" s="5326"/>
      <c r="D842" s="5326"/>
      <c r="E842" s="5326"/>
      <c r="F842" s="5326"/>
      <c r="G842" s="5378"/>
      <c r="H842" s="5337"/>
      <c r="I842" s="5337"/>
      <c r="J842" s="5337"/>
      <c r="K842" s="5337"/>
      <c r="L842" s="5337"/>
      <c r="M842" s="5337"/>
      <c r="N842" s="5337"/>
      <c r="O842" s="5337"/>
      <c r="P842" s="5337"/>
      <c r="Q842" s="5345"/>
      <c r="R842" s="792"/>
      <c r="S842" s="734"/>
      <c r="T842" s="734"/>
      <c r="U842" s="730"/>
      <c r="V842" s="731"/>
      <c r="W842" s="731"/>
      <c r="X842" s="732"/>
      <c r="Y842" s="726"/>
      <c r="Z842" s="726"/>
      <c r="AA842" s="727"/>
      <c r="AB842" s="170"/>
      <c r="AC842" s="282"/>
      <c r="AD842" s="282"/>
      <c r="AE842" s="5416"/>
    </row>
    <row r="843" spans="1:31" ht="37.5" customHeight="1">
      <c r="A843" s="5368"/>
      <c r="B843" s="5350"/>
      <c r="C843" s="5327"/>
      <c r="D843" s="5327"/>
      <c r="E843" s="5327"/>
      <c r="F843" s="5327"/>
      <c r="G843" s="5379"/>
      <c r="H843" s="5338"/>
      <c r="I843" s="5338"/>
      <c r="J843" s="5338"/>
      <c r="K843" s="5338"/>
      <c r="L843" s="5338"/>
      <c r="M843" s="5338"/>
      <c r="N843" s="5338"/>
      <c r="O843" s="5338"/>
      <c r="P843" s="5338"/>
      <c r="Q843" s="5346"/>
      <c r="R843" s="796"/>
      <c r="S843" s="736"/>
      <c r="T843" s="736"/>
      <c r="U843" s="737"/>
      <c r="V843" s="738"/>
      <c r="W843" s="738"/>
      <c r="X843" s="739"/>
      <c r="Y843" s="739"/>
      <c r="Z843" s="739"/>
      <c r="AA843" s="740"/>
      <c r="AB843" s="165"/>
      <c r="AC843" s="166"/>
      <c r="AD843" s="166"/>
      <c r="AE843" s="5417"/>
    </row>
    <row r="844" spans="1:31" ht="22.5" customHeight="1">
      <c r="A844" s="784"/>
      <c r="B844" s="785"/>
      <c r="C844" s="785"/>
      <c r="D844" s="785"/>
      <c r="E844" s="785"/>
      <c r="F844" s="785"/>
      <c r="G844" s="785"/>
      <c r="H844" s="785"/>
      <c r="I844" s="785"/>
      <c r="J844" s="785"/>
      <c r="K844" s="785"/>
      <c r="L844" s="785"/>
      <c r="M844" s="785"/>
      <c r="N844" s="785"/>
      <c r="O844" s="785"/>
      <c r="P844" s="785"/>
      <c r="Q844" s="786"/>
      <c r="R844" s="5440" t="s">
        <v>2421</v>
      </c>
      <c r="S844" s="5441"/>
      <c r="T844" s="5441"/>
      <c r="U844" s="5441"/>
      <c r="V844" s="5441"/>
      <c r="W844" s="5441"/>
      <c r="X844" s="5441"/>
      <c r="Y844" s="5442"/>
      <c r="Z844" s="2391" t="s">
        <v>340</v>
      </c>
      <c r="AA844" s="2392">
        <f>SUM(AA728:AA843)</f>
        <v>0</v>
      </c>
      <c r="AB844" s="5443"/>
      <c r="AC844" s="5444"/>
      <c r="AD844" s="5444"/>
      <c r="AE844" s="4797"/>
    </row>
    <row r="845" spans="1:31" ht="22.5" customHeight="1">
      <c r="A845" s="953"/>
      <c r="B845" s="954"/>
      <c r="C845" s="954"/>
      <c r="D845" s="954"/>
      <c r="E845" s="954"/>
      <c r="F845" s="954"/>
      <c r="G845" s="954"/>
      <c r="H845" s="954"/>
      <c r="I845" s="954"/>
      <c r="J845" s="954"/>
      <c r="K845" s="954"/>
      <c r="L845" s="954"/>
      <c r="M845" s="954"/>
      <c r="N845" s="954"/>
      <c r="O845" s="954"/>
      <c r="P845" s="954"/>
      <c r="Q845" s="955"/>
      <c r="R845" s="5445" t="s">
        <v>2422</v>
      </c>
      <c r="S845" s="5446"/>
      <c r="T845" s="5446"/>
      <c r="U845" s="5446"/>
      <c r="V845" s="5446"/>
      <c r="W845" s="5446"/>
      <c r="X845" s="5446"/>
      <c r="Y845" s="5447"/>
      <c r="Z845" s="2393" t="s">
        <v>340</v>
      </c>
      <c r="AA845" s="2394">
        <f>SUM(+AA844+AA726+AA631+AA544+AA470+AA372+AA262+AA221+AA160+AA79)</f>
        <v>163296.94976000002</v>
      </c>
      <c r="AB845" s="5448"/>
      <c r="AC845" s="5449"/>
      <c r="AD845" s="5449"/>
      <c r="AE845" s="5450"/>
    </row>
    <row r="846" spans="1:31" ht="16.5">
      <c r="A846" s="956"/>
      <c r="B846" s="957" t="s">
        <v>2423</v>
      </c>
      <c r="C846" s="958"/>
      <c r="D846" s="958"/>
      <c r="E846" s="958"/>
      <c r="F846" s="958"/>
      <c r="G846" s="958"/>
      <c r="H846" s="958"/>
      <c r="I846" s="958"/>
      <c r="J846" s="958"/>
      <c r="K846" s="958"/>
      <c r="L846" s="958"/>
      <c r="M846" s="958"/>
      <c r="N846" s="958"/>
      <c r="O846" s="958"/>
      <c r="P846" s="958"/>
      <c r="Q846" s="958"/>
      <c r="R846" s="5451" t="s">
        <v>2424</v>
      </c>
      <c r="S846" s="4150"/>
      <c r="T846" s="4150"/>
      <c r="U846" s="4150"/>
      <c r="V846" s="4150"/>
      <c r="W846" s="4150"/>
      <c r="X846" s="4150"/>
      <c r="Y846" s="4150"/>
      <c r="Z846" s="4150"/>
      <c r="AA846" s="4150"/>
      <c r="AB846" s="4150"/>
      <c r="AC846" s="4150"/>
      <c r="AD846" s="4150"/>
      <c r="AE846" s="4150"/>
    </row>
    <row r="847" spans="1:31" ht="16.5">
      <c r="A847" s="956"/>
      <c r="B847" s="681" t="s">
        <v>444</v>
      </c>
      <c r="C847" s="958"/>
      <c r="D847" s="958"/>
      <c r="E847" s="958"/>
      <c r="F847" s="958"/>
      <c r="G847" s="958"/>
      <c r="H847" s="958"/>
      <c r="I847" s="958"/>
      <c r="J847" s="958"/>
      <c r="K847" s="958"/>
      <c r="L847" s="958"/>
      <c r="M847" s="958"/>
      <c r="N847" s="958"/>
      <c r="O847" s="958"/>
      <c r="P847" s="958"/>
      <c r="Q847" s="958"/>
      <c r="R847" s="959"/>
      <c r="S847" s="960"/>
      <c r="T847" s="1884"/>
      <c r="U847" s="1884"/>
      <c r="V847" s="1884"/>
      <c r="W847" s="1884"/>
      <c r="X847" s="1884"/>
      <c r="Y847" s="1884"/>
      <c r="Z847" s="707"/>
      <c r="AA847" s="5452"/>
      <c r="AB847" s="4150"/>
      <c r="AC847" s="956"/>
      <c r="AD847" s="956"/>
    </row>
    <row r="848" spans="1:31" ht="18">
      <c r="A848" s="708"/>
      <c r="B848" s="961" t="s">
        <v>2425</v>
      </c>
      <c r="C848" s="554"/>
      <c r="D848" s="554"/>
      <c r="E848" s="554"/>
      <c r="F848" s="554"/>
      <c r="G848" s="554"/>
      <c r="H848" s="554"/>
      <c r="I848" s="554"/>
      <c r="J848" s="554"/>
      <c r="K848" s="554"/>
      <c r="L848" s="554"/>
      <c r="M848" s="554"/>
      <c r="N848" s="554"/>
      <c r="O848" s="554"/>
      <c r="P848" s="554"/>
      <c r="Q848" s="554"/>
      <c r="R848" s="962"/>
      <c r="S848" s="706"/>
      <c r="T848" s="5308" t="s">
        <v>1242</v>
      </c>
      <c r="U848" s="5309"/>
      <c r="V848" s="5309"/>
      <c r="W848" s="5309"/>
      <c r="X848" s="5309"/>
      <c r="Y848" s="5309"/>
      <c r="Z848" s="2194"/>
      <c r="AA848" s="2199"/>
      <c r="AB848" s="554"/>
      <c r="AC848" s="708"/>
      <c r="AD848" s="708"/>
    </row>
    <row r="849" spans="1:30" ht="18.75" thickBot="1">
      <c r="A849" s="708"/>
      <c r="B849" s="554"/>
      <c r="C849" s="554"/>
      <c r="D849" s="554"/>
      <c r="E849" s="554"/>
      <c r="F849" s="554"/>
      <c r="G849" s="554"/>
      <c r="H849" s="554"/>
      <c r="I849" s="554"/>
      <c r="J849" s="554"/>
      <c r="K849" s="554"/>
      <c r="L849" s="554"/>
      <c r="M849" s="554"/>
      <c r="N849" s="554"/>
      <c r="O849" s="554"/>
      <c r="P849" s="554"/>
      <c r="Q849" s="554"/>
      <c r="R849" s="962"/>
      <c r="S849" s="963"/>
      <c r="T849" s="2196"/>
      <c r="U849" s="2196"/>
      <c r="V849" s="2197"/>
      <c r="W849" s="2198"/>
      <c r="X849" s="2196"/>
      <c r="Y849" s="2196"/>
      <c r="Z849" s="2194"/>
      <c r="AA849" s="2201"/>
      <c r="AB849" s="710"/>
      <c r="AC849" s="708"/>
      <c r="AD849" s="708"/>
    </row>
    <row r="850" spans="1:30" ht="19.5" customHeight="1" thickTop="1" thickBot="1">
      <c r="A850" s="708"/>
      <c r="B850" s="554"/>
      <c r="C850" s="554"/>
      <c r="D850" s="554"/>
      <c r="E850" s="554"/>
      <c r="F850" s="554"/>
      <c r="G850" s="554"/>
      <c r="H850" s="554"/>
      <c r="I850" s="554"/>
      <c r="J850" s="554"/>
      <c r="K850" s="554"/>
      <c r="L850" s="554"/>
      <c r="M850" s="554"/>
      <c r="N850" s="554"/>
      <c r="O850" s="554"/>
      <c r="P850" s="554"/>
      <c r="Q850" s="554"/>
      <c r="R850" s="709"/>
      <c r="S850" s="709"/>
      <c r="T850" s="2330" t="s">
        <v>4</v>
      </c>
      <c r="U850" s="2331" t="s">
        <v>5</v>
      </c>
      <c r="V850" s="2332" t="s">
        <v>6</v>
      </c>
      <c r="W850" s="2333" t="s">
        <v>2426</v>
      </c>
      <c r="X850" s="2333" t="s">
        <v>8</v>
      </c>
      <c r="Y850" s="2334" t="s">
        <v>346</v>
      </c>
      <c r="Z850" s="2194"/>
      <c r="AA850" s="2203"/>
      <c r="AB850" s="711"/>
      <c r="AC850" s="708"/>
      <c r="AD850" s="708"/>
    </row>
    <row r="851" spans="1:30" ht="51" customHeight="1">
      <c r="A851" s="708"/>
      <c r="B851" s="554"/>
      <c r="C851" s="554"/>
      <c r="D851" s="554"/>
      <c r="E851" s="554"/>
      <c r="F851" s="554"/>
      <c r="G851" s="554"/>
      <c r="H851" s="554"/>
      <c r="I851" s="554"/>
      <c r="J851" s="554"/>
      <c r="K851" s="554"/>
      <c r="L851" s="554"/>
      <c r="M851" s="554"/>
      <c r="N851" s="554"/>
      <c r="O851" s="707"/>
      <c r="P851" s="707"/>
      <c r="Q851" s="707"/>
      <c r="R851" s="707"/>
      <c r="S851" s="706"/>
      <c r="T851" s="2355" t="s">
        <v>17</v>
      </c>
      <c r="U851" s="2336" t="s">
        <v>26</v>
      </c>
      <c r="V851" s="2320">
        <v>530204</v>
      </c>
      <c r="W851" s="2321" t="s">
        <v>13</v>
      </c>
      <c r="X851" s="2321" t="s">
        <v>18</v>
      </c>
      <c r="Y851" s="2352">
        <f>SUM($Z$36)</f>
        <v>33600</v>
      </c>
      <c r="Z851" s="2194"/>
      <c r="AA851" s="2203"/>
      <c r="AB851" s="711"/>
      <c r="AC851" s="708"/>
      <c r="AD851" s="708"/>
    </row>
    <row r="852" spans="1:30" ht="34.5" customHeight="1">
      <c r="A852" s="708"/>
      <c r="B852" s="554"/>
      <c r="C852" s="554"/>
      <c r="D852" s="554"/>
      <c r="E852" s="554"/>
      <c r="F852" s="554"/>
      <c r="G852" s="554"/>
      <c r="H852" s="554"/>
      <c r="I852" s="554"/>
      <c r="J852" s="554"/>
      <c r="K852" s="554"/>
      <c r="L852" s="554"/>
      <c r="M852" s="554"/>
      <c r="N852" s="554"/>
      <c r="O852" s="707"/>
      <c r="P852" s="707"/>
      <c r="Q852" s="707"/>
      <c r="R852" s="707"/>
      <c r="S852" s="706"/>
      <c r="T852" s="2356" t="s">
        <v>39</v>
      </c>
      <c r="U852" s="2338" t="s">
        <v>16</v>
      </c>
      <c r="V852" s="2315">
        <v>530402</v>
      </c>
      <c r="W852" s="2316" t="s">
        <v>13</v>
      </c>
      <c r="X852" s="2316" t="s">
        <v>18</v>
      </c>
      <c r="Y852" s="2353">
        <f>SUM($Z$30)</f>
        <v>8736.9497600000013</v>
      </c>
      <c r="Z852" s="2194"/>
      <c r="AA852" s="2203"/>
      <c r="AB852" s="711"/>
      <c r="AC852" s="708"/>
      <c r="AD852" s="708"/>
    </row>
    <row r="853" spans="1:30" ht="18.75" customHeight="1">
      <c r="A853" s="708"/>
      <c r="B853" s="554"/>
      <c r="C853" s="554"/>
      <c r="D853" s="554"/>
      <c r="E853" s="554"/>
      <c r="F853" s="554"/>
      <c r="G853" s="554"/>
      <c r="H853" s="554"/>
      <c r="I853" s="554"/>
      <c r="J853" s="554"/>
      <c r="K853" s="554"/>
      <c r="L853" s="554"/>
      <c r="M853" s="554"/>
      <c r="N853" s="554"/>
      <c r="O853" s="707"/>
      <c r="P853" s="707"/>
      <c r="Q853" s="707"/>
      <c r="R853" s="707"/>
      <c r="S853" s="706"/>
      <c r="T853" s="2356" t="s">
        <v>17</v>
      </c>
      <c r="U853" s="2338" t="s">
        <v>32</v>
      </c>
      <c r="V853" s="2315">
        <v>530404</v>
      </c>
      <c r="W853" s="2316" t="s">
        <v>13</v>
      </c>
      <c r="X853" s="2316" t="s">
        <v>14</v>
      </c>
      <c r="Y853" s="2353">
        <f>SUM($Z$33)</f>
        <v>22400.000000000004</v>
      </c>
      <c r="Z853" s="2194"/>
      <c r="AA853" s="2203"/>
      <c r="AB853" s="711"/>
      <c r="AC853" s="708"/>
      <c r="AD853" s="708"/>
    </row>
    <row r="854" spans="1:30" ht="33">
      <c r="A854" s="708"/>
      <c r="B854" s="554"/>
      <c r="C854" s="554"/>
      <c r="D854" s="554"/>
      <c r="E854" s="554"/>
      <c r="F854" s="554"/>
      <c r="G854" s="554"/>
      <c r="H854" s="554"/>
      <c r="I854" s="554"/>
      <c r="J854" s="554"/>
      <c r="K854" s="554"/>
      <c r="L854" s="554"/>
      <c r="M854" s="554"/>
      <c r="N854" s="554"/>
      <c r="O854" s="707"/>
      <c r="P854" s="707"/>
      <c r="Q854" s="707"/>
      <c r="R854" s="707"/>
      <c r="S854" s="706"/>
      <c r="T854" s="2356" t="s">
        <v>29</v>
      </c>
      <c r="U854" s="2338" t="s">
        <v>168</v>
      </c>
      <c r="V854" s="2315">
        <v>530611</v>
      </c>
      <c r="W854" s="2316" t="s">
        <v>13</v>
      </c>
      <c r="X854" s="2316" t="s">
        <v>30</v>
      </c>
      <c r="Y854" s="2353">
        <f>SUM($Z$46)</f>
        <v>20160.000000000004</v>
      </c>
      <c r="Z854" s="2194"/>
      <c r="AA854" s="2203"/>
      <c r="AB854" s="711"/>
      <c r="AC854" s="708"/>
      <c r="AD854" s="964"/>
    </row>
    <row r="855" spans="1:30" ht="18.75" customHeight="1">
      <c r="A855" s="708"/>
      <c r="B855" s="554"/>
      <c r="C855" s="554"/>
      <c r="D855" s="554"/>
      <c r="E855" s="554"/>
      <c r="F855" s="554"/>
      <c r="G855" s="554"/>
      <c r="H855" s="554"/>
      <c r="I855" s="554"/>
      <c r="J855" s="554"/>
      <c r="K855" s="554"/>
      <c r="L855" s="554"/>
      <c r="M855" s="554"/>
      <c r="N855" s="554"/>
      <c r="O855" s="707"/>
      <c r="P855" s="707"/>
      <c r="Q855" s="707"/>
      <c r="R855" s="707"/>
      <c r="S855" s="706"/>
      <c r="T855" s="2356" t="s">
        <v>17</v>
      </c>
      <c r="U855" s="2338" t="s">
        <v>73</v>
      </c>
      <c r="V855" s="2315">
        <v>530829</v>
      </c>
      <c r="W855" s="2316" t="s">
        <v>13</v>
      </c>
      <c r="X855" s="2316" t="s">
        <v>30</v>
      </c>
      <c r="Y855" s="2353">
        <f>SUM($Z$40)</f>
        <v>56000.000000000007</v>
      </c>
      <c r="Z855" s="2194"/>
      <c r="AA855" s="2203"/>
      <c r="AB855" s="711"/>
      <c r="AC855" s="708"/>
      <c r="AD855" s="708"/>
    </row>
    <row r="856" spans="1:30" ht="18.75" customHeight="1" thickBot="1">
      <c r="A856" s="708"/>
      <c r="B856" s="554"/>
      <c r="C856" s="554"/>
      <c r="D856" s="554"/>
      <c r="E856" s="554"/>
      <c r="F856" s="554"/>
      <c r="G856" s="554"/>
      <c r="H856" s="554"/>
      <c r="I856" s="554"/>
      <c r="J856" s="554"/>
      <c r="K856" s="554"/>
      <c r="L856" s="554"/>
      <c r="M856" s="554"/>
      <c r="N856" s="554"/>
      <c r="O856" s="707"/>
      <c r="P856" s="707"/>
      <c r="Q856" s="707"/>
      <c r="R856" s="707"/>
      <c r="S856" s="706"/>
      <c r="T856" s="2357" t="s">
        <v>17</v>
      </c>
      <c r="U856" s="2358" t="s">
        <v>20</v>
      </c>
      <c r="V856" s="2350">
        <v>840107</v>
      </c>
      <c r="W856" s="2351" t="s">
        <v>13</v>
      </c>
      <c r="X856" s="2351" t="s">
        <v>14</v>
      </c>
      <c r="Y856" s="2354">
        <f>SUM($Z$43)</f>
        <v>22400.000000000004</v>
      </c>
      <c r="Z856" s="2194"/>
      <c r="AA856" s="2199"/>
      <c r="AB856" s="554"/>
      <c r="AC856" s="708"/>
      <c r="AD856" s="708"/>
    </row>
    <row r="857" spans="1:30" ht="15" customHeight="1" thickBot="1">
      <c r="A857" s="708"/>
      <c r="B857" s="554"/>
      <c r="C857" s="554"/>
      <c r="D857" s="554"/>
      <c r="E857" s="554"/>
      <c r="F857" s="554"/>
      <c r="G857" s="554"/>
      <c r="H857" s="554"/>
      <c r="I857" s="554"/>
      <c r="J857" s="554"/>
      <c r="K857" s="554"/>
      <c r="L857" s="554"/>
      <c r="M857" s="554"/>
      <c r="N857" s="554"/>
      <c r="O857" s="554"/>
      <c r="P857" s="554"/>
      <c r="Q857" s="554"/>
      <c r="R857" s="962"/>
      <c r="S857" s="706"/>
      <c r="T857" s="2345"/>
      <c r="U857" s="2346" t="s">
        <v>183</v>
      </c>
      <c r="V857" s="2347"/>
      <c r="W857" s="2347"/>
      <c r="X857" s="2246" t="s">
        <v>340</v>
      </c>
      <c r="Y857" s="2329">
        <f>SUM(Y851:Y856)</f>
        <v>163296.94976000002</v>
      </c>
      <c r="Z857" s="2196"/>
      <c r="AA857" s="2199"/>
      <c r="AB857" s="712"/>
      <c r="AC857" s="708"/>
      <c r="AD857" s="708"/>
    </row>
    <row r="858" spans="1:30" ht="15" customHeight="1" thickTop="1">
      <c r="A858" s="708"/>
      <c r="B858" s="554"/>
      <c r="C858" s="554"/>
      <c r="D858" s="554"/>
      <c r="E858" s="554"/>
      <c r="F858" s="554"/>
      <c r="G858" s="554"/>
      <c r="H858" s="554"/>
      <c r="I858" s="554"/>
      <c r="J858" s="554"/>
      <c r="K858" s="554"/>
      <c r="L858" s="554"/>
      <c r="M858" s="554"/>
      <c r="N858" s="554"/>
      <c r="O858" s="554"/>
      <c r="P858" s="554"/>
      <c r="Q858" s="554"/>
      <c r="R858" s="962"/>
      <c r="S858" s="706"/>
      <c r="T858" s="2196"/>
      <c r="U858" s="2196"/>
      <c r="V858" s="2206" t="s">
        <v>347</v>
      </c>
      <c r="W858" s="2197"/>
      <c r="X858" s="2198"/>
      <c r="Y858" s="2196"/>
      <c r="Z858" s="2196"/>
      <c r="AA858" s="2199"/>
      <c r="AB858" s="712"/>
      <c r="AC858" s="708"/>
      <c r="AD858" s="708"/>
    </row>
    <row r="859" spans="1:30" ht="15" customHeight="1" thickBot="1">
      <c r="A859" s="708"/>
      <c r="B859" s="554"/>
      <c r="C859" s="554"/>
      <c r="D859" s="554"/>
      <c r="E859" s="554"/>
      <c r="F859" s="554"/>
      <c r="G859" s="554"/>
      <c r="H859" s="554"/>
      <c r="I859" s="554"/>
      <c r="J859" s="554"/>
      <c r="K859" s="554"/>
      <c r="L859" s="554"/>
      <c r="M859" s="554"/>
      <c r="N859" s="554"/>
      <c r="O859" s="554"/>
      <c r="P859" s="554"/>
      <c r="Q859" s="554"/>
      <c r="R859" s="962"/>
      <c r="S859" s="706"/>
      <c r="T859" s="2196"/>
      <c r="U859" s="2196"/>
      <c r="V859" s="2196"/>
      <c r="W859" s="2197"/>
      <c r="X859" s="2198"/>
      <c r="Y859" s="2196"/>
      <c r="Z859" s="2196"/>
      <c r="AA859" s="2210"/>
      <c r="AB859" s="554"/>
      <c r="AC859" s="708"/>
      <c r="AD859" s="708"/>
    </row>
    <row r="860" spans="1:30" ht="15" customHeight="1" thickTop="1">
      <c r="A860" s="708"/>
      <c r="B860" s="554"/>
      <c r="C860" s="554"/>
      <c r="D860" s="554"/>
      <c r="E860" s="554"/>
      <c r="F860" s="554"/>
      <c r="G860" s="554"/>
      <c r="H860" s="554"/>
      <c r="I860" s="554"/>
      <c r="J860" s="554"/>
      <c r="K860" s="554"/>
      <c r="L860" s="554"/>
      <c r="M860" s="554"/>
      <c r="N860" s="554"/>
      <c r="O860" s="554"/>
      <c r="P860" s="554"/>
      <c r="Q860" s="554"/>
      <c r="R860" s="962"/>
      <c r="S860" s="706"/>
      <c r="T860" s="5312" t="s">
        <v>348</v>
      </c>
      <c r="U860" s="5313"/>
      <c r="V860" s="5314"/>
      <c r="W860" s="2197"/>
      <c r="X860" s="2208" t="s">
        <v>349</v>
      </c>
      <c r="Y860" s="2209" t="str">
        <f>IF(Y857=AA845,"OK","NO")</f>
        <v>OK</v>
      </c>
      <c r="Z860" s="2196"/>
      <c r="AA860" s="2210"/>
      <c r="AB860" s="554"/>
      <c r="AC860" s="708"/>
      <c r="AD860" s="708"/>
    </row>
    <row r="861" spans="1:30" ht="15" customHeight="1">
      <c r="A861" s="708"/>
      <c r="B861" s="554"/>
      <c r="C861" s="554"/>
      <c r="D861" s="554"/>
      <c r="E861" s="554"/>
      <c r="F861" s="554"/>
      <c r="G861" s="554"/>
      <c r="H861" s="554"/>
      <c r="I861" s="554"/>
      <c r="J861" s="554"/>
      <c r="K861" s="554"/>
      <c r="L861" s="554"/>
      <c r="M861" s="554"/>
      <c r="N861" s="554"/>
      <c r="O861" s="554"/>
      <c r="P861" s="554"/>
      <c r="Q861" s="554"/>
      <c r="R861" s="962"/>
      <c r="S861" s="706"/>
      <c r="T861" s="5315" t="s">
        <v>3942</v>
      </c>
      <c r="U861" s="4636"/>
      <c r="V861" s="2384">
        <f>+Y851+Y852</f>
        <v>42336.949760000003</v>
      </c>
      <c r="W861" s="2197"/>
      <c r="X861" s="2198"/>
      <c r="Y861" s="2209" t="str">
        <f>IF(V865=AA845,"OK","NO")</f>
        <v>OK</v>
      </c>
      <c r="Z861" s="2196"/>
      <c r="AA861" s="2210"/>
      <c r="AB861" s="554"/>
      <c r="AC861" s="708"/>
      <c r="AD861" s="708"/>
    </row>
    <row r="862" spans="1:30" ht="15" customHeight="1">
      <c r="A862" s="708"/>
      <c r="B862" s="554"/>
      <c r="C862" s="554"/>
      <c r="D862" s="554"/>
      <c r="E862" s="554"/>
      <c r="F862" s="554"/>
      <c r="G862" s="554"/>
      <c r="H862" s="554"/>
      <c r="I862" s="554"/>
      <c r="J862" s="554"/>
      <c r="K862" s="554"/>
      <c r="L862" s="554"/>
      <c r="M862" s="554"/>
      <c r="N862" s="554"/>
      <c r="O862" s="554"/>
      <c r="P862" s="554"/>
      <c r="Q862" s="554"/>
      <c r="R862" s="962"/>
      <c r="S862" s="706"/>
      <c r="T862" s="5316" t="s">
        <v>3943</v>
      </c>
      <c r="U862" s="4638"/>
      <c r="V862" s="2385">
        <f>+Y854+Y855</f>
        <v>76160.000000000015</v>
      </c>
      <c r="W862" s="2197"/>
      <c r="X862" s="2198"/>
      <c r="Y862" s="2209" t="str">
        <f>IF(V875=AA845,"OK","NO")</f>
        <v>OK</v>
      </c>
      <c r="Z862" s="2196"/>
      <c r="AA862" s="2210"/>
      <c r="AB862" s="554"/>
      <c r="AC862" s="708"/>
      <c r="AD862" s="708"/>
    </row>
    <row r="863" spans="1:30" ht="15" customHeight="1">
      <c r="A863" s="708"/>
      <c r="B863" s="554"/>
      <c r="C863" s="554"/>
      <c r="D863" s="554"/>
      <c r="E863" s="554"/>
      <c r="F863" s="554"/>
      <c r="G863" s="554"/>
      <c r="H863" s="554"/>
      <c r="I863" s="554"/>
      <c r="J863" s="554"/>
      <c r="K863" s="554"/>
      <c r="L863" s="554"/>
      <c r="M863" s="554"/>
      <c r="N863" s="554"/>
      <c r="O863" s="554"/>
      <c r="P863" s="554"/>
      <c r="Q863" s="554"/>
      <c r="R863" s="962"/>
      <c r="S863" s="706"/>
      <c r="T863" s="5316" t="s">
        <v>3944</v>
      </c>
      <c r="U863" s="4638"/>
      <c r="V863" s="2385">
        <f>+Y853+Y856</f>
        <v>44800.000000000007</v>
      </c>
      <c r="W863" s="2197"/>
      <c r="X863" s="2211"/>
      <c r="Y863" s="145" t="str">
        <f>IF(Resumen!C366=AA845,"OK","NO")</f>
        <v>OK</v>
      </c>
      <c r="Z863" s="2196"/>
      <c r="AA863" s="2210"/>
      <c r="AB863" s="554"/>
      <c r="AC863" s="708"/>
      <c r="AD863" s="708"/>
    </row>
    <row r="864" spans="1:30" ht="15" customHeight="1">
      <c r="A864" s="708"/>
      <c r="B864" s="554"/>
      <c r="C864" s="554"/>
      <c r="D864" s="554"/>
      <c r="E864" s="554"/>
      <c r="F864" s="554"/>
      <c r="G864" s="554"/>
      <c r="H864" s="554"/>
      <c r="I864" s="554"/>
      <c r="J864" s="554"/>
      <c r="K864" s="554"/>
      <c r="L864" s="554"/>
      <c r="M864" s="554"/>
      <c r="N864" s="554"/>
      <c r="O864" s="554"/>
      <c r="P864" s="554"/>
      <c r="Q864" s="554"/>
      <c r="R864" s="962"/>
      <c r="S864" s="706"/>
      <c r="T864" s="5316" t="s">
        <v>3945</v>
      </c>
      <c r="U864" s="4638"/>
      <c r="V864" s="2386">
        <v>0</v>
      </c>
      <c r="W864" s="2197"/>
      <c r="X864" s="2211"/>
      <c r="Y864" s="2196"/>
      <c r="Z864" s="2196"/>
      <c r="AA864" s="2210"/>
      <c r="AB864" s="554"/>
      <c r="AC864" s="708"/>
      <c r="AD864" s="708"/>
    </row>
    <row r="865" spans="1:30" ht="15" customHeight="1">
      <c r="A865" s="708"/>
      <c r="B865" s="554"/>
      <c r="C865" s="554"/>
      <c r="D865" s="554"/>
      <c r="E865" s="554"/>
      <c r="F865" s="554"/>
      <c r="G865" s="554"/>
      <c r="H865" s="554"/>
      <c r="I865" s="554"/>
      <c r="J865" s="554"/>
      <c r="K865" s="554"/>
      <c r="L865" s="554"/>
      <c r="M865" s="554"/>
      <c r="N865" s="554"/>
      <c r="O865" s="554"/>
      <c r="P865" s="554"/>
      <c r="Q865" s="554"/>
      <c r="R865" s="962"/>
      <c r="S865" s="706"/>
      <c r="T865" s="5296" t="s">
        <v>183</v>
      </c>
      <c r="U865" s="5221"/>
      <c r="V865" s="2348">
        <f>SUM(V861:V864)</f>
        <v>163296.94976000002</v>
      </c>
      <c r="W865" s="2197"/>
      <c r="X865" s="2211"/>
      <c r="Y865" s="2196"/>
      <c r="Z865" s="2196"/>
      <c r="AA865" s="2210"/>
      <c r="AB865" s="554"/>
      <c r="AC865" s="708"/>
      <c r="AD865" s="708"/>
    </row>
    <row r="866" spans="1:30" ht="15" customHeight="1">
      <c r="A866" s="708"/>
      <c r="B866" s="554"/>
      <c r="C866" s="554"/>
      <c r="D866" s="554"/>
      <c r="E866" s="554"/>
      <c r="F866" s="554"/>
      <c r="G866" s="554"/>
      <c r="H866" s="554"/>
      <c r="I866" s="554"/>
      <c r="J866" s="554"/>
      <c r="K866" s="554"/>
      <c r="L866" s="554"/>
      <c r="M866" s="554"/>
      <c r="N866" s="554"/>
      <c r="O866" s="554"/>
      <c r="P866" s="554"/>
      <c r="Q866" s="554"/>
      <c r="R866" s="962"/>
      <c r="S866" s="706"/>
      <c r="T866" s="5317" t="s">
        <v>350</v>
      </c>
      <c r="U866" s="5318"/>
      <c r="V866" s="5319"/>
      <c r="W866" s="2197"/>
      <c r="X866" s="2212"/>
      <c r="Y866" s="2196"/>
      <c r="Z866" s="2196"/>
      <c r="AA866" s="2210"/>
      <c r="AB866" s="554"/>
      <c r="AC866" s="708"/>
      <c r="AD866" s="708"/>
    </row>
    <row r="867" spans="1:30" ht="15" customHeight="1">
      <c r="A867" s="708"/>
      <c r="B867" s="554"/>
      <c r="C867" s="554"/>
      <c r="D867" s="554"/>
      <c r="E867" s="554"/>
      <c r="F867" s="554"/>
      <c r="G867" s="554"/>
      <c r="H867" s="554"/>
      <c r="I867" s="554"/>
      <c r="J867" s="554"/>
      <c r="K867" s="554"/>
      <c r="L867" s="554"/>
      <c r="M867" s="554"/>
      <c r="N867" s="554"/>
      <c r="O867" s="554"/>
      <c r="P867" s="554"/>
      <c r="Q867" s="554"/>
      <c r="R867" s="962"/>
      <c r="S867" s="706"/>
      <c r="T867" s="5297" t="s">
        <v>3946</v>
      </c>
      <c r="U867" s="4636"/>
      <c r="V867" s="2384">
        <v>0</v>
      </c>
      <c r="W867" s="2197"/>
      <c r="X867" s="2212"/>
      <c r="Y867" s="2196"/>
      <c r="Z867" s="2196"/>
      <c r="AA867" s="2210"/>
      <c r="AB867" s="554"/>
      <c r="AC867" s="708"/>
      <c r="AD867" s="708"/>
    </row>
    <row r="868" spans="1:30" ht="15" customHeight="1">
      <c r="A868" s="708"/>
      <c r="B868" s="554"/>
      <c r="C868" s="554"/>
      <c r="D868" s="554"/>
      <c r="E868" s="554"/>
      <c r="F868" s="554"/>
      <c r="G868" s="554"/>
      <c r="H868" s="554"/>
      <c r="I868" s="554"/>
      <c r="J868" s="554"/>
      <c r="K868" s="554"/>
      <c r="L868" s="554"/>
      <c r="M868" s="554"/>
      <c r="N868" s="554"/>
      <c r="O868" s="554"/>
      <c r="P868" s="554"/>
      <c r="Q868" s="554"/>
      <c r="R868" s="962"/>
      <c r="S868" s="706"/>
      <c r="T868" s="5298" t="s">
        <v>3947</v>
      </c>
      <c r="U868" s="4638"/>
      <c r="V868" s="2385">
        <f>SUM(Y851:Y855)</f>
        <v>140896.94976000002</v>
      </c>
      <c r="W868" s="2197"/>
      <c r="X868" s="2212"/>
      <c r="Y868" s="2196"/>
      <c r="Z868" s="2196"/>
      <c r="AA868" s="2210"/>
      <c r="AB868" s="554"/>
      <c r="AC868" s="708"/>
      <c r="AD868" s="708"/>
    </row>
    <row r="869" spans="1:30" ht="15" customHeight="1">
      <c r="A869" s="708"/>
      <c r="B869" s="554"/>
      <c r="C869" s="554"/>
      <c r="D869" s="554"/>
      <c r="E869" s="554"/>
      <c r="F869" s="554"/>
      <c r="G869" s="554"/>
      <c r="H869" s="554"/>
      <c r="I869" s="554"/>
      <c r="J869" s="554"/>
      <c r="K869" s="554"/>
      <c r="L869" s="554"/>
      <c r="M869" s="554"/>
      <c r="N869" s="554"/>
      <c r="O869" s="554"/>
      <c r="P869" s="554"/>
      <c r="Q869" s="554"/>
      <c r="R869" s="962"/>
      <c r="S869" s="706"/>
      <c r="T869" s="5298" t="s">
        <v>3948</v>
      </c>
      <c r="U869" s="4638"/>
      <c r="V869" s="2385">
        <v>0</v>
      </c>
      <c r="W869" s="2197"/>
      <c r="X869" s="2213"/>
      <c r="Y869" s="2196"/>
      <c r="Z869" s="2196"/>
      <c r="AA869" s="2210"/>
      <c r="AB869" s="554"/>
      <c r="AC869" s="708"/>
      <c r="AD869" s="708"/>
    </row>
    <row r="870" spans="1:30" ht="15" customHeight="1">
      <c r="A870" s="708"/>
      <c r="B870" s="554"/>
      <c r="C870" s="554"/>
      <c r="D870" s="554"/>
      <c r="E870" s="554"/>
      <c r="F870" s="554"/>
      <c r="G870" s="554"/>
      <c r="H870" s="554"/>
      <c r="I870" s="554"/>
      <c r="J870" s="554"/>
      <c r="K870" s="554"/>
      <c r="L870" s="554"/>
      <c r="M870" s="554"/>
      <c r="N870" s="554"/>
      <c r="O870" s="554"/>
      <c r="P870" s="554"/>
      <c r="Q870" s="554"/>
      <c r="R870" s="962"/>
      <c r="S870" s="706"/>
      <c r="T870" s="5298" t="s">
        <v>3949</v>
      </c>
      <c r="U870" s="4638"/>
      <c r="V870" s="2385">
        <v>0</v>
      </c>
      <c r="W870" s="2197"/>
      <c r="X870" s="2211"/>
      <c r="Y870" s="2196"/>
      <c r="Z870" s="2195"/>
      <c r="AA870" s="2195"/>
      <c r="AB870" s="554"/>
      <c r="AC870" s="708"/>
      <c r="AD870" s="708"/>
    </row>
    <row r="871" spans="1:30" ht="15" customHeight="1">
      <c r="A871" s="708"/>
      <c r="B871" s="554"/>
      <c r="C871" s="554"/>
      <c r="D871" s="554"/>
      <c r="E871" s="554"/>
      <c r="F871" s="554"/>
      <c r="G871" s="554"/>
      <c r="H871" s="554"/>
      <c r="I871" s="554"/>
      <c r="J871" s="554"/>
      <c r="K871" s="554"/>
      <c r="L871" s="554"/>
      <c r="M871" s="554"/>
      <c r="N871" s="554"/>
      <c r="O871" s="554"/>
      <c r="P871" s="554"/>
      <c r="Q871" s="554"/>
      <c r="R871" s="962"/>
      <c r="S871" s="706"/>
      <c r="T871" s="5298" t="s">
        <v>3954</v>
      </c>
      <c r="U871" s="4638"/>
      <c r="V871" s="2385">
        <v>0</v>
      </c>
      <c r="W871" s="2197"/>
      <c r="X871" s="2214"/>
      <c r="Y871" s="2215"/>
      <c r="Z871" s="2215"/>
      <c r="AA871" s="2215"/>
      <c r="AB871" s="554"/>
      <c r="AC871" s="708"/>
      <c r="AD871" s="708"/>
    </row>
    <row r="872" spans="1:30" ht="15" customHeight="1">
      <c r="A872" s="708"/>
      <c r="B872" s="554"/>
      <c r="C872" s="554"/>
      <c r="D872" s="554"/>
      <c r="E872" s="554"/>
      <c r="F872" s="554"/>
      <c r="G872" s="554"/>
      <c r="H872" s="554"/>
      <c r="I872" s="554"/>
      <c r="J872" s="554"/>
      <c r="K872" s="554"/>
      <c r="L872" s="554"/>
      <c r="M872" s="554"/>
      <c r="N872" s="554"/>
      <c r="O872" s="554"/>
      <c r="P872" s="554"/>
      <c r="Q872" s="554"/>
      <c r="R872" s="962"/>
      <c r="S872" s="706"/>
      <c r="T872" s="5298" t="s">
        <v>3951</v>
      </c>
      <c r="U872" s="4638"/>
      <c r="V872" s="2385">
        <v>0</v>
      </c>
      <c r="W872" s="2197"/>
      <c r="X872" s="2214"/>
      <c r="Y872" s="2215"/>
      <c r="Z872" s="2198"/>
      <c r="AA872" s="2217"/>
      <c r="AB872" s="554"/>
      <c r="AC872" s="708"/>
      <c r="AD872" s="708"/>
    </row>
    <row r="873" spans="1:30" ht="15" customHeight="1">
      <c r="A873" s="708"/>
      <c r="B873" s="554"/>
      <c r="C873" s="554"/>
      <c r="D873" s="554"/>
      <c r="E873" s="554"/>
      <c r="F873" s="554"/>
      <c r="G873" s="554"/>
      <c r="H873" s="554"/>
      <c r="I873" s="554"/>
      <c r="J873" s="554"/>
      <c r="K873" s="554"/>
      <c r="L873" s="554"/>
      <c r="M873" s="554"/>
      <c r="N873" s="554"/>
      <c r="O873" s="554"/>
      <c r="P873" s="554"/>
      <c r="Q873" s="554"/>
      <c r="R873" s="962"/>
      <c r="S873" s="706"/>
      <c r="T873" s="5298" t="s">
        <v>3952</v>
      </c>
      <c r="U873" s="4638"/>
      <c r="V873" s="2385">
        <f>SUM(Y856)</f>
        <v>22400.000000000004</v>
      </c>
      <c r="W873" s="2197"/>
      <c r="X873" s="2214"/>
      <c r="Y873" s="2216"/>
      <c r="Z873" s="2194"/>
      <c r="AA873" s="2210"/>
      <c r="AB873" s="554"/>
      <c r="AC873" s="708"/>
      <c r="AD873" s="708"/>
    </row>
    <row r="874" spans="1:30" ht="15" customHeight="1">
      <c r="A874" s="708"/>
      <c r="B874" s="554"/>
      <c r="C874" s="554"/>
      <c r="D874" s="554"/>
      <c r="E874" s="554"/>
      <c r="F874" s="554"/>
      <c r="G874" s="554"/>
      <c r="H874" s="554"/>
      <c r="I874" s="554"/>
      <c r="J874" s="554"/>
      <c r="K874" s="554"/>
      <c r="L874" s="554"/>
      <c r="M874" s="554"/>
      <c r="N874" s="554"/>
      <c r="O874" s="554"/>
      <c r="P874" s="554"/>
      <c r="Q874" s="554"/>
      <c r="R874" s="962"/>
      <c r="S874" s="706"/>
      <c r="T874" s="5298" t="s">
        <v>3953</v>
      </c>
      <c r="U874" s="4638"/>
      <c r="V874" s="2386">
        <v>0</v>
      </c>
      <c r="W874" s="2197"/>
      <c r="X874" s="2218"/>
      <c r="Y874" s="2194"/>
      <c r="Z874" s="2196"/>
      <c r="AA874" s="2210"/>
      <c r="AB874" s="554"/>
      <c r="AC874" s="708"/>
      <c r="AD874" s="708"/>
    </row>
    <row r="875" spans="1:30" ht="15" customHeight="1" thickBot="1">
      <c r="A875" s="708"/>
      <c r="B875" s="554"/>
      <c r="C875" s="554"/>
      <c r="D875" s="554"/>
      <c r="E875" s="554"/>
      <c r="F875" s="554"/>
      <c r="G875" s="554"/>
      <c r="H875" s="554"/>
      <c r="I875" s="554"/>
      <c r="J875" s="554"/>
      <c r="K875" s="554"/>
      <c r="L875" s="554"/>
      <c r="M875" s="554"/>
      <c r="N875" s="554"/>
      <c r="O875" s="554"/>
      <c r="P875" s="554"/>
      <c r="Q875" s="554"/>
      <c r="R875" s="962"/>
      <c r="S875" s="706"/>
      <c r="T875" s="5299" t="s">
        <v>183</v>
      </c>
      <c r="U875" s="5300"/>
      <c r="V875" s="2349">
        <f>SUM(V867:V874)</f>
        <v>163296.94976000002</v>
      </c>
      <c r="W875" s="2197"/>
      <c r="X875" s="2213"/>
      <c r="Y875" s="2196"/>
      <c r="Z875" s="2196"/>
      <c r="AA875" s="2210"/>
      <c r="AB875" s="554"/>
      <c r="AC875" s="708"/>
      <c r="AD875" s="708"/>
    </row>
    <row r="876" spans="1:30" ht="15" customHeight="1" thickTop="1">
      <c r="A876" s="708"/>
      <c r="B876" s="554"/>
      <c r="C876" s="554"/>
      <c r="D876" s="554"/>
      <c r="E876" s="554"/>
      <c r="F876" s="554"/>
      <c r="G876" s="554"/>
      <c r="H876" s="554"/>
      <c r="I876" s="554"/>
      <c r="J876" s="554"/>
      <c r="K876" s="554"/>
      <c r="L876" s="554"/>
      <c r="M876" s="554"/>
      <c r="N876" s="554"/>
      <c r="O876" s="554"/>
      <c r="P876" s="554"/>
      <c r="Q876" s="554"/>
      <c r="R876" s="962"/>
      <c r="S876" s="706"/>
      <c r="T876" s="2196"/>
      <c r="U876" s="2196"/>
      <c r="V876" s="2219"/>
      <c r="W876" s="2197"/>
      <c r="X876" s="2198"/>
      <c r="Y876" s="2196"/>
      <c r="Z876" s="2196"/>
      <c r="AA876" s="2210"/>
      <c r="AB876" s="554"/>
      <c r="AC876" s="708"/>
      <c r="AD876" s="708"/>
    </row>
  </sheetData>
  <mergeCells count="2352">
    <mergeCell ref="Q181:Q185"/>
    <mergeCell ref="I181:I185"/>
    <mergeCell ref="J181:J185"/>
    <mergeCell ref="K181:K185"/>
    <mergeCell ref="L181:L185"/>
    <mergeCell ref="M181:M185"/>
    <mergeCell ref="N181:N185"/>
    <mergeCell ref="O181:O185"/>
    <mergeCell ref="J186:J190"/>
    <mergeCell ref="K186:K190"/>
    <mergeCell ref="L186:L190"/>
    <mergeCell ref="M186:M190"/>
    <mergeCell ref="P206:P210"/>
    <mergeCell ref="Q206:Q210"/>
    <mergeCell ref="M206:M210"/>
    <mergeCell ref="N206:N210"/>
    <mergeCell ref="O206:O210"/>
    <mergeCell ref="Q186:Q190"/>
    <mergeCell ref="Q201:Q205"/>
    <mergeCell ref="G206:G210"/>
    <mergeCell ref="B181:B185"/>
    <mergeCell ref="B186:B190"/>
    <mergeCell ref="C186:C190"/>
    <mergeCell ref="D186:D190"/>
    <mergeCell ref="E186:E190"/>
    <mergeCell ref="F186:F190"/>
    <mergeCell ref="N186:N190"/>
    <mergeCell ref="G191:G195"/>
    <mergeCell ref="I191:I195"/>
    <mergeCell ref="J191:J195"/>
    <mergeCell ref="K191:K195"/>
    <mergeCell ref="L191:L195"/>
    <mergeCell ref="M191:M195"/>
    <mergeCell ref="H191:H195"/>
    <mergeCell ref="P186:P190"/>
    <mergeCell ref="G186:G190"/>
    <mergeCell ref="H186:H190"/>
    <mergeCell ref="I186:I190"/>
    <mergeCell ref="H196:H200"/>
    <mergeCell ref="D196:D200"/>
    <mergeCell ref="E196:E200"/>
    <mergeCell ref="P201:P205"/>
    <mergeCell ref="I201:I205"/>
    <mergeCell ref="P181:P185"/>
    <mergeCell ref="P216:P220"/>
    <mergeCell ref="Q216:Q220"/>
    <mergeCell ref="D216:D220"/>
    <mergeCell ref="E216:E220"/>
    <mergeCell ref="F216:F220"/>
    <mergeCell ref="G216:G220"/>
    <mergeCell ref="H216:H220"/>
    <mergeCell ref="I216:I220"/>
    <mergeCell ref="J216:J220"/>
    <mergeCell ref="B191:B195"/>
    <mergeCell ref="C191:C195"/>
    <mergeCell ref="N191:N195"/>
    <mergeCell ref="O191:O195"/>
    <mergeCell ref="P191:P195"/>
    <mergeCell ref="Q191:Q195"/>
    <mergeCell ref="P196:P200"/>
    <mergeCell ref="Q196:Q200"/>
    <mergeCell ref="F191:F195"/>
    <mergeCell ref="L201:L205"/>
    <mergeCell ref="M201:M205"/>
    <mergeCell ref="N201:N205"/>
    <mergeCell ref="O201:O205"/>
    <mergeCell ref="N211:N215"/>
    <mergeCell ref="O211:O215"/>
    <mergeCell ref="P211:P215"/>
    <mergeCell ref="Q211:Q215"/>
    <mergeCell ref="F211:F215"/>
    <mergeCell ref="G211:G215"/>
    <mergeCell ref="H211:H215"/>
    <mergeCell ref="I211:I215"/>
    <mergeCell ref="J211:J215"/>
    <mergeCell ref="K211:K215"/>
    <mergeCell ref="A184:A220"/>
    <mergeCell ref="B201:B205"/>
    <mergeCell ref="B206:B210"/>
    <mergeCell ref="B211:B215"/>
    <mergeCell ref="C211:C215"/>
    <mergeCell ref="D211:D215"/>
    <mergeCell ref="E211:E215"/>
    <mergeCell ref="B216:B220"/>
    <mergeCell ref="C216:C220"/>
    <mergeCell ref="N196:N200"/>
    <mergeCell ref="O196:O200"/>
    <mergeCell ref="F196:F200"/>
    <mergeCell ref="G196:G200"/>
    <mergeCell ref="I196:I200"/>
    <mergeCell ref="J196:J200"/>
    <mergeCell ref="K196:K200"/>
    <mergeCell ref="L196:L200"/>
    <mergeCell ref="M196:M200"/>
    <mergeCell ref="H206:H210"/>
    <mergeCell ref="I206:I210"/>
    <mergeCell ref="J206:J210"/>
    <mergeCell ref="K206:K210"/>
    <mergeCell ref="L206:L210"/>
    <mergeCell ref="K216:K220"/>
    <mergeCell ref="L216:L220"/>
    <mergeCell ref="M216:M220"/>
    <mergeCell ref="N216:N220"/>
    <mergeCell ref="O216:O220"/>
    <mergeCell ref="L211:L215"/>
    <mergeCell ref="J201:J205"/>
    <mergeCell ref="K201:K205"/>
    <mergeCell ref="F206:F210"/>
    <mergeCell ref="K222:K226"/>
    <mergeCell ref="L222:L226"/>
    <mergeCell ref="M222:M226"/>
    <mergeCell ref="N222:N226"/>
    <mergeCell ref="O222:O226"/>
    <mergeCell ref="P222:P226"/>
    <mergeCell ref="Q222:Q226"/>
    <mergeCell ref="D222:D226"/>
    <mergeCell ref="E222:E226"/>
    <mergeCell ref="F222:F226"/>
    <mergeCell ref="G222:G226"/>
    <mergeCell ref="H222:H226"/>
    <mergeCell ref="I222:I226"/>
    <mergeCell ref="J222:J226"/>
    <mergeCell ref="K227:K231"/>
    <mergeCell ref="L227:L231"/>
    <mergeCell ref="M227:M231"/>
    <mergeCell ref="N227:N231"/>
    <mergeCell ref="O227:O231"/>
    <mergeCell ref="P227:P231"/>
    <mergeCell ref="Q227:Q231"/>
    <mergeCell ref="D227:D231"/>
    <mergeCell ref="E227:E231"/>
    <mergeCell ref="F227:F231"/>
    <mergeCell ref="G227:G231"/>
    <mergeCell ref="H227:H231"/>
    <mergeCell ref="I227:I231"/>
    <mergeCell ref="J227:J231"/>
    <mergeCell ref="P247:P251"/>
    <mergeCell ref="Q247:Q251"/>
    <mergeCell ref="D247:D251"/>
    <mergeCell ref="E247:E251"/>
    <mergeCell ref="F247:F251"/>
    <mergeCell ref="G247:G251"/>
    <mergeCell ref="H247:H251"/>
    <mergeCell ref="I247:I251"/>
    <mergeCell ref="J247:J251"/>
    <mergeCell ref="K242:K246"/>
    <mergeCell ref="L242:L246"/>
    <mergeCell ref="M242:M246"/>
    <mergeCell ref="N242:N246"/>
    <mergeCell ref="O242:O246"/>
    <mergeCell ref="P242:P246"/>
    <mergeCell ref="Q242:Q246"/>
    <mergeCell ref="B247:B251"/>
    <mergeCell ref="C247:C251"/>
    <mergeCell ref="B237:B241"/>
    <mergeCell ref="C237:C241"/>
    <mergeCell ref="D237:D241"/>
    <mergeCell ref="E237:E241"/>
    <mergeCell ref="F237:F241"/>
    <mergeCell ref="G237:G241"/>
    <mergeCell ref="H237:H241"/>
    <mergeCell ref="P237:P241"/>
    <mergeCell ref="Q237:Q241"/>
    <mergeCell ref="I237:I241"/>
    <mergeCell ref="J237:J241"/>
    <mergeCell ref="K237:K241"/>
    <mergeCell ref="L237:L241"/>
    <mergeCell ref="M237:M241"/>
    <mergeCell ref="N237:N241"/>
    <mergeCell ref="O237:O241"/>
    <mergeCell ref="I242:I246"/>
    <mergeCell ref="J242:J246"/>
    <mergeCell ref="B242:B246"/>
    <mergeCell ref="C242:C246"/>
    <mergeCell ref="D242:D246"/>
    <mergeCell ref="E242:E246"/>
    <mergeCell ref="F242:F246"/>
    <mergeCell ref="G242:G246"/>
    <mergeCell ref="H242:H246"/>
    <mergeCell ref="L252:L256"/>
    <mergeCell ref="M252:M256"/>
    <mergeCell ref="N252:N256"/>
    <mergeCell ref="O252:O256"/>
    <mergeCell ref="P257:P261"/>
    <mergeCell ref="Q257:Q261"/>
    <mergeCell ref="I257:I261"/>
    <mergeCell ref="J257:J261"/>
    <mergeCell ref="K257:K261"/>
    <mergeCell ref="L257:L261"/>
    <mergeCell ref="M257:M261"/>
    <mergeCell ref="N257:N261"/>
    <mergeCell ref="O257:O261"/>
    <mergeCell ref="D232:D236"/>
    <mergeCell ref="E232:E236"/>
    <mergeCell ref="F232:F236"/>
    <mergeCell ref="G232:G236"/>
    <mergeCell ref="H232:H236"/>
    <mergeCell ref="P232:P236"/>
    <mergeCell ref="Q232:Q236"/>
    <mergeCell ref="I232:I236"/>
    <mergeCell ref="J232:J236"/>
    <mergeCell ref="K232:K236"/>
    <mergeCell ref="L232:L236"/>
    <mergeCell ref="M232:M236"/>
    <mergeCell ref="N232:N236"/>
    <mergeCell ref="O232:O236"/>
    <mergeCell ref="K247:K251"/>
    <mergeCell ref="L247:L251"/>
    <mergeCell ref="M247:M251"/>
    <mergeCell ref="N247:N251"/>
    <mergeCell ref="O247:O251"/>
    <mergeCell ref="A263:A371"/>
    <mergeCell ref="B367:B371"/>
    <mergeCell ref="C367:C371"/>
    <mergeCell ref="D367:D371"/>
    <mergeCell ref="E367:E371"/>
    <mergeCell ref="F367:F371"/>
    <mergeCell ref="G367:G371"/>
    <mergeCell ref="H367:H371"/>
    <mergeCell ref="P367:P371"/>
    <mergeCell ref="Q367:Q371"/>
    <mergeCell ref="I367:I371"/>
    <mergeCell ref="J367:J371"/>
    <mergeCell ref="K367:K371"/>
    <mergeCell ref="L367:L371"/>
    <mergeCell ref="M367:M371"/>
    <mergeCell ref="N367:N371"/>
    <mergeCell ref="O367:O371"/>
    <mergeCell ref="K263:K267"/>
    <mergeCell ref="L263:L267"/>
    <mergeCell ref="M263:M267"/>
    <mergeCell ref="N263:N267"/>
    <mergeCell ref="O263:O267"/>
    <mergeCell ref="P263:P267"/>
    <mergeCell ref="Q263:Q267"/>
    <mergeCell ref="D263:D267"/>
    <mergeCell ref="E263:E267"/>
    <mergeCell ref="F263:F267"/>
    <mergeCell ref="G263:G267"/>
    <mergeCell ref="B263:B267"/>
    <mergeCell ref="B362:B366"/>
    <mergeCell ref="C362:C366"/>
    <mergeCell ref="D362:D366"/>
    <mergeCell ref="AE52:AE55"/>
    <mergeCell ref="AE56:AE59"/>
    <mergeCell ref="AE60:AE63"/>
    <mergeCell ref="AE64:AE66"/>
    <mergeCell ref="AE67:AE70"/>
    <mergeCell ref="AE71:AE74"/>
    <mergeCell ref="AE75:AE78"/>
    <mergeCell ref="R79:Y79"/>
    <mergeCell ref="AB79:AE79"/>
    <mergeCell ref="M52:M55"/>
    <mergeCell ref="N52:N55"/>
    <mergeCell ref="O52:O55"/>
    <mergeCell ref="P52:P55"/>
    <mergeCell ref="Q52:Q55"/>
    <mergeCell ref="K64:K66"/>
    <mergeCell ref="L64:L66"/>
    <mergeCell ref="D64:D66"/>
    <mergeCell ref="E64:E66"/>
    <mergeCell ref="F64:F66"/>
    <mergeCell ref="G64:G66"/>
    <mergeCell ref="H64:H66"/>
    <mergeCell ref="I64:I66"/>
    <mergeCell ref="J64:J66"/>
    <mergeCell ref="Q56:Q59"/>
    <mergeCell ref="H60:H63"/>
    <mergeCell ref="I60:I63"/>
    <mergeCell ref="J60:J63"/>
    <mergeCell ref="G75:G78"/>
    <mergeCell ref="H75:H78"/>
    <mergeCell ref="I75:I78"/>
    <mergeCell ref="J75:J78"/>
    <mergeCell ref="N56:N59"/>
    <mergeCell ref="AE80:AE83"/>
    <mergeCell ref="AE84:AE86"/>
    <mergeCell ref="AE87:AE90"/>
    <mergeCell ref="AE91:AE94"/>
    <mergeCell ref="AE95:AE100"/>
    <mergeCell ref="AE101:AE104"/>
    <mergeCell ref="AE105:AE109"/>
    <mergeCell ref="AE110:AE114"/>
    <mergeCell ref="AE115:AE119"/>
    <mergeCell ref="AE120:AE124"/>
    <mergeCell ref="R160:Y160"/>
    <mergeCell ref="AB160:AE160"/>
    <mergeCell ref="AE196:AE200"/>
    <mergeCell ref="AE201:AE205"/>
    <mergeCell ref="AE206:AE210"/>
    <mergeCell ref="AE211:AE215"/>
    <mergeCell ref="AE216:AE220"/>
    <mergeCell ref="R221:Y221"/>
    <mergeCell ref="AB221:AE221"/>
    <mergeCell ref="AE222:AE226"/>
    <mergeCell ref="AE227:AE231"/>
    <mergeCell ref="R262:Y262"/>
    <mergeCell ref="AB262:AE262"/>
    <mergeCell ref="R372:Y372"/>
    <mergeCell ref="AB372:AE372"/>
    <mergeCell ref="R470:Y470"/>
    <mergeCell ref="AB470:AE470"/>
    <mergeCell ref="AE125:AE129"/>
    <mergeCell ref="AE130:AE134"/>
    <mergeCell ref="AE135:AE139"/>
    <mergeCell ref="AE140:AE144"/>
    <mergeCell ref="AE145:AE149"/>
    <mergeCell ref="AE150:AE154"/>
    <mergeCell ref="AE155:AE159"/>
    <mergeCell ref="AE161:AE165"/>
    <mergeCell ref="AE166:AE170"/>
    <mergeCell ref="AE171:AE175"/>
    <mergeCell ref="AE176:AE180"/>
    <mergeCell ref="AE181:AE185"/>
    <mergeCell ref="AE186:AE190"/>
    <mergeCell ref="AE191:AE195"/>
    <mergeCell ref="AE232:AE236"/>
    <mergeCell ref="AE237:AE241"/>
    <mergeCell ref="AE242:AE246"/>
    <mergeCell ref="AE252:AE256"/>
    <mergeCell ref="AE257:AE261"/>
    <mergeCell ref="AE263:AE267"/>
    <mergeCell ref="AE268:AE272"/>
    <mergeCell ref="AE273:AE277"/>
    <mergeCell ref="AE278:AE282"/>
    <mergeCell ref="AE283:AE326"/>
    <mergeCell ref="AE327:AE331"/>
    <mergeCell ref="AE332:AE336"/>
    <mergeCell ref="AE337:AE341"/>
    <mergeCell ref="AE342:AE346"/>
    <mergeCell ref="AE347:AE351"/>
    <mergeCell ref="AE352:AE356"/>
    <mergeCell ref="AE357:AE361"/>
    <mergeCell ref="AE362:AE366"/>
    <mergeCell ref="AE367:AE371"/>
    <mergeCell ref="AE373:AE377"/>
    <mergeCell ref="AE378:AE382"/>
    <mergeCell ref="AE383:AE387"/>
    <mergeCell ref="AE388:AE392"/>
    <mergeCell ref="AE393:AE424"/>
    <mergeCell ref="AE425:AE429"/>
    <mergeCell ref="AE430:AE434"/>
    <mergeCell ref="AE435:AE439"/>
    <mergeCell ref="AE440:AE444"/>
    <mergeCell ref="AE445:AE449"/>
    <mergeCell ref="AE450:AE454"/>
    <mergeCell ref="AE455:AE459"/>
    <mergeCell ref="AE460:AE464"/>
    <mergeCell ref="AE465:AE469"/>
    <mergeCell ref="AE471:AE475"/>
    <mergeCell ref="AE476:AE480"/>
    <mergeCell ref="AE481:AE485"/>
    <mergeCell ref="AE486:AE490"/>
    <mergeCell ref="AE492:AE498"/>
    <mergeCell ref="AE499:AE503"/>
    <mergeCell ref="AE504:AE508"/>
    <mergeCell ref="AE509:AE513"/>
    <mergeCell ref="AE514:AE518"/>
    <mergeCell ref="AE519:AE523"/>
    <mergeCell ref="AE524:AE528"/>
    <mergeCell ref="AE529:AE533"/>
    <mergeCell ref="AE534:AE538"/>
    <mergeCell ref="AE539:AE543"/>
    <mergeCell ref="R544:Y544"/>
    <mergeCell ref="AB544:AE544"/>
    <mergeCell ref="N591:N595"/>
    <mergeCell ref="O591:O595"/>
    <mergeCell ref="P591:P595"/>
    <mergeCell ref="Q591:Q595"/>
    <mergeCell ref="O596:O600"/>
    <mergeCell ref="P596:P600"/>
    <mergeCell ref="Q596:Q600"/>
    <mergeCell ref="P606:P610"/>
    <mergeCell ref="Q606:Q610"/>
    <mergeCell ref="N596:N600"/>
    <mergeCell ref="N601:N605"/>
    <mergeCell ref="O601:O605"/>
    <mergeCell ref="P601:P605"/>
    <mergeCell ref="Q601:Q605"/>
    <mergeCell ref="N606:N610"/>
    <mergeCell ref="O606:O610"/>
    <mergeCell ref="P539:P543"/>
    <mergeCell ref="Q539:Q543"/>
    <mergeCell ref="P565:P585"/>
    <mergeCell ref="Q565:Q585"/>
    <mergeCell ref="R631:Z631"/>
    <mergeCell ref="AE545:AE549"/>
    <mergeCell ref="AE550:AE554"/>
    <mergeCell ref="AE555:AE559"/>
    <mergeCell ref="AE560:AE564"/>
    <mergeCell ref="AE565:AE585"/>
    <mergeCell ref="AE586:AE610"/>
    <mergeCell ref="AE611:AE615"/>
    <mergeCell ref="T872:U872"/>
    <mergeCell ref="T873:U873"/>
    <mergeCell ref="T874:U874"/>
    <mergeCell ref="T875:U875"/>
    <mergeCell ref="T866:V866"/>
    <mergeCell ref="T867:U867"/>
    <mergeCell ref="T868:U868"/>
    <mergeCell ref="T869:U869"/>
    <mergeCell ref="T870:U870"/>
    <mergeCell ref="T871:U871"/>
    <mergeCell ref="AE632:AE636"/>
    <mergeCell ref="AE637:AE641"/>
    <mergeCell ref="AE642:AE646"/>
    <mergeCell ref="AE647:AE651"/>
    <mergeCell ref="AE652:AE680"/>
    <mergeCell ref="AE681:AE685"/>
    <mergeCell ref="AE686:AE690"/>
    <mergeCell ref="R726:Y726"/>
    <mergeCell ref="AB726:AE726"/>
    <mergeCell ref="AE691:AE695"/>
    <mergeCell ref="AE696:AE700"/>
    <mergeCell ref="AE706:AE710"/>
    <mergeCell ref="AE711:AE715"/>
    <mergeCell ref="AE716:AE720"/>
    <mergeCell ref="AE721:AE725"/>
    <mergeCell ref="AE727:AE731"/>
    <mergeCell ref="AE732:AE736"/>
    <mergeCell ref="AE737:AE741"/>
    <mergeCell ref="AE742:AE746"/>
    <mergeCell ref="AE747:AE798"/>
    <mergeCell ref="AE799:AE803"/>
    <mergeCell ref="AE804:AE808"/>
    <mergeCell ref="AE809:AE813"/>
    <mergeCell ref="AE814:AE818"/>
    <mergeCell ref="AE819:AE823"/>
    <mergeCell ref="AE824:AE828"/>
    <mergeCell ref="AE829:AE833"/>
    <mergeCell ref="AE616:AE620"/>
    <mergeCell ref="AE621:AE625"/>
    <mergeCell ref="AE626:AE630"/>
    <mergeCell ref="AE834:AE838"/>
    <mergeCell ref="AE839:AE843"/>
    <mergeCell ref="R844:Y844"/>
    <mergeCell ref="AB844:AE844"/>
    <mergeCell ref="R845:Y845"/>
    <mergeCell ref="AB845:AE845"/>
    <mergeCell ref="R846:AE846"/>
    <mergeCell ref="T848:Y848"/>
    <mergeCell ref="AA847:AB847"/>
    <mergeCell ref="T860:V860"/>
    <mergeCell ref="T861:U861"/>
    <mergeCell ref="T862:U862"/>
    <mergeCell ref="T863:U863"/>
    <mergeCell ref="T864:U864"/>
    <mergeCell ref="T865:U865"/>
    <mergeCell ref="I6:Q6"/>
    <mergeCell ref="R6:AE6"/>
    <mergeCell ref="R7:X7"/>
    <mergeCell ref="Y7:AA7"/>
    <mergeCell ref="AB7:AD7"/>
    <mergeCell ref="AE7:AE8"/>
    <mergeCell ref="AE14:AE18"/>
    <mergeCell ref="I591:I595"/>
    <mergeCell ref="L84:L86"/>
    <mergeCell ref="M84:M86"/>
    <mergeCell ref="N84:N86"/>
    <mergeCell ref="K52:K55"/>
    <mergeCell ref="L52:L55"/>
    <mergeCell ref="K80:K83"/>
    <mergeCell ref="L80:L83"/>
    <mergeCell ref="O56:O59"/>
    <mergeCell ref="AE701:AE705"/>
    <mergeCell ref="P56:P59"/>
    <mergeCell ref="A1:AE1"/>
    <mergeCell ref="A2:AE2"/>
    <mergeCell ref="A3:AE3"/>
    <mergeCell ref="A4:AE4"/>
    <mergeCell ref="A6:A8"/>
    <mergeCell ref="B6:C6"/>
    <mergeCell ref="D6:H6"/>
    <mergeCell ref="P9:P13"/>
    <mergeCell ref="Q9:Q13"/>
    <mergeCell ref="AE9:AE13"/>
    <mergeCell ref="I9:I13"/>
    <mergeCell ref="J9:J13"/>
    <mergeCell ref="K9:K13"/>
    <mergeCell ref="L9:L13"/>
    <mergeCell ref="M9:M13"/>
    <mergeCell ref="N9:N13"/>
    <mergeCell ref="O9:O13"/>
    <mergeCell ref="F7:F8"/>
    <mergeCell ref="G7:G8"/>
    <mergeCell ref="H7:H8"/>
    <mergeCell ref="I7:I8"/>
    <mergeCell ref="L7:N7"/>
    <mergeCell ref="O7:O8"/>
    <mergeCell ref="P7:P8"/>
    <mergeCell ref="Q7:Q8"/>
    <mergeCell ref="D7:D8"/>
    <mergeCell ref="C7:C8"/>
    <mergeCell ref="A9:A47"/>
    <mergeCell ref="B9:B13"/>
    <mergeCell ref="C9:C13"/>
    <mergeCell ref="B14:B18"/>
    <mergeCell ref="C14:C18"/>
    <mergeCell ref="D14:D18"/>
    <mergeCell ref="E14:E18"/>
    <mergeCell ref="F14:F18"/>
    <mergeCell ref="G14:G18"/>
    <mergeCell ref="H14:H18"/>
    <mergeCell ref="I14:I18"/>
    <mergeCell ref="J14:J18"/>
    <mergeCell ref="I19:I23"/>
    <mergeCell ref="J19:J23"/>
    <mergeCell ref="AE19:AE23"/>
    <mergeCell ref="AE24:AE28"/>
    <mergeCell ref="AE29:AE47"/>
    <mergeCell ref="AE48:AE51"/>
    <mergeCell ref="B19:B23"/>
    <mergeCell ref="C19:C23"/>
    <mergeCell ref="D19:D23"/>
    <mergeCell ref="E19:E23"/>
    <mergeCell ref="F19:F23"/>
    <mergeCell ref="G19:G23"/>
    <mergeCell ref="H19:H23"/>
    <mergeCell ref="M14:M18"/>
    <mergeCell ref="N14:N18"/>
    <mergeCell ref="O14:O18"/>
    <mergeCell ref="P14:P18"/>
    <mergeCell ref="Q14:Q18"/>
    <mergeCell ref="I29:I47"/>
    <mergeCell ref="J29:J47"/>
    <mergeCell ref="K29:K47"/>
    <mergeCell ref="L29:L47"/>
    <mergeCell ref="P19:P23"/>
    <mergeCell ref="Q19:Q23"/>
    <mergeCell ref="C48:C51"/>
    <mergeCell ref="A222:A261"/>
    <mergeCell ref="B222:B226"/>
    <mergeCell ref="C222:C226"/>
    <mergeCell ref="C227:C231"/>
    <mergeCell ref="J7:J8"/>
    <mergeCell ref="K7:K8"/>
    <mergeCell ref="K19:K23"/>
    <mergeCell ref="L19:L23"/>
    <mergeCell ref="M19:M23"/>
    <mergeCell ref="N19:N23"/>
    <mergeCell ref="O19:O23"/>
    <mergeCell ref="I606:I610"/>
    <mergeCell ref="J606:J610"/>
    <mergeCell ref="K606:K610"/>
    <mergeCell ref="L606:L610"/>
    <mergeCell ref="M606:M610"/>
    <mergeCell ref="J591:J595"/>
    <mergeCell ref="K591:K595"/>
    <mergeCell ref="L591:L595"/>
    <mergeCell ref="M591:M595"/>
    <mergeCell ref="J596:J600"/>
    <mergeCell ref="K596:K600"/>
    <mergeCell ref="L596:L600"/>
    <mergeCell ref="M596:M600"/>
    <mergeCell ref="I601:I605"/>
    <mergeCell ref="J601:J605"/>
    <mergeCell ref="K601:K605"/>
    <mergeCell ref="L601:L605"/>
    <mergeCell ref="K14:K18"/>
    <mergeCell ref="L14:L18"/>
    <mergeCell ref="I52:I55"/>
    <mergeCell ref="J52:J55"/>
    <mergeCell ref="C52:C55"/>
    <mergeCell ref="B591:B595"/>
    <mergeCell ref="C591:C595"/>
    <mergeCell ref="D591:D595"/>
    <mergeCell ref="E591:E595"/>
    <mergeCell ref="F591:F595"/>
    <mergeCell ref="E7:E8"/>
    <mergeCell ref="D9:D13"/>
    <mergeCell ref="E9:E13"/>
    <mergeCell ref="F9:F13"/>
    <mergeCell ref="G9:G13"/>
    <mergeCell ref="H9:H13"/>
    <mergeCell ref="D52:D55"/>
    <mergeCell ref="E52:E55"/>
    <mergeCell ref="F52:F55"/>
    <mergeCell ref="G52:G55"/>
    <mergeCell ref="H52:H55"/>
    <mergeCell ref="E252:E256"/>
    <mergeCell ref="F252:F256"/>
    <mergeCell ref="G252:G256"/>
    <mergeCell ref="H252:H256"/>
    <mergeCell ref="B257:B261"/>
    <mergeCell ref="C257:C261"/>
    <mergeCell ref="D257:D261"/>
    <mergeCell ref="E257:E261"/>
    <mergeCell ref="F257:F261"/>
    <mergeCell ref="G257:G261"/>
    <mergeCell ref="H257:H261"/>
    <mergeCell ref="B232:B236"/>
    <mergeCell ref="C232:C236"/>
    <mergeCell ref="B80:B83"/>
    <mergeCell ref="B7:B8"/>
    <mergeCell ref="I56:I59"/>
    <mergeCell ref="J56:J59"/>
    <mergeCell ref="K56:K59"/>
    <mergeCell ref="L56:L59"/>
    <mergeCell ref="C60:C63"/>
    <mergeCell ref="D60:D63"/>
    <mergeCell ref="E60:E63"/>
    <mergeCell ref="F60:F63"/>
    <mergeCell ref="G60:G63"/>
    <mergeCell ref="B56:B59"/>
    <mergeCell ref="B29:B47"/>
    <mergeCell ref="C29:C47"/>
    <mergeCell ref="D29:D47"/>
    <mergeCell ref="E29:E47"/>
    <mergeCell ref="F29:F47"/>
    <mergeCell ref="Q87:Q90"/>
    <mergeCell ref="E87:E90"/>
    <mergeCell ref="H87:H90"/>
    <mergeCell ref="I87:I90"/>
    <mergeCell ref="J87:J90"/>
    <mergeCell ref="M64:M66"/>
    <mergeCell ref="N64:N66"/>
    <mergeCell ref="O64:O66"/>
    <mergeCell ref="P64:P66"/>
    <mergeCell ref="Q64:Q66"/>
    <mergeCell ref="K60:K63"/>
    <mergeCell ref="L60:L63"/>
    <mergeCell ref="M60:M63"/>
    <mergeCell ref="N60:N63"/>
    <mergeCell ref="O60:O63"/>
    <mergeCell ref="P60:P63"/>
    <mergeCell ref="Q60:Q63"/>
    <mergeCell ref="O95:O100"/>
    <mergeCell ref="B87:B90"/>
    <mergeCell ref="C87:C90"/>
    <mergeCell ref="F87:F90"/>
    <mergeCell ref="G87:G90"/>
    <mergeCell ref="M80:M83"/>
    <mergeCell ref="N80:N83"/>
    <mergeCell ref="O80:O83"/>
    <mergeCell ref="P80:P83"/>
    <mergeCell ref="Q80:Q83"/>
    <mergeCell ref="C80:C83"/>
    <mergeCell ref="D80:D83"/>
    <mergeCell ref="F80:F83"/>
    <mergeCell ref="G80:G83"/>
    <mergeCell ref="H80:H83"/>
    <mergeCell ref="I80:I83"/>
    <mergeCell ref="J80:J83"/>
    <mergeCell ref="E80:E83"/>
    <mergeCell ref="B84:B86"/>
    <mergeCell ref="C84:C86"/>
    <mergeCell ref="D84:D86"/>
    <mergeCell ref="E84:E86"/>
    <mergeCell ref="F84:F86"/>
    <mergeCell ref="G84:G86"/>
    <mergeCell ref="O84:O86"/>
    <mergeCell ref="P84:P86"/>
    <mergeCell ref="Q84:Q86"/>
    <mergeCell ref="H84:H86"/>
    <mergeCell ref="I84:I86"/>
    <mergeCell ref="J84:J86"/>
    <mergeCell ref="K84:K86"/>
    <mergeCell ref="N95:N100"/>
    <mergeCell ref="P95:P100"/>
    <mergeCell ref="Q95:Q100"/>
    <mergeCell ref="K91:K94"/>
    <mergeCell ref="L91:L94"/>
    <mergeCell ref="M91:M94"/>
    <mergeCell ref="N91:N94"/>
    <mergeCell ref="O91:O94"/>
    <mergeCell ref="P91:P94"/>
    <mergeCell ref="Q91:Q94"/>
    <mergeCell ref="A48:A78"/>
    <mergeCell ref="B48:B51"/>
    <mergeCell ref="B52:B55"/>
    <mergeCell ref="C56:C59"/>
    <mergeCell ref="D56:D59"/>
    <mergeCell ref="E56:E59"/>
    <mergeCell ref="A80:A108"/>
    <mergeCell ref="K105:K109"/>
    <mergeCell ref="L105:L109"/>
    <mergeCell ref="M105:M109"/>
    <mergeCell ref="N105:N109"/>
    <mergeCell ref="O105:O109"/>
    <mergeCell ref="P105:P109"/>
    <mergeCell ref="I67:I70"/>
    <mergeCell ref="J67:J70"/>
    <mergeCell ref="M56:M59"/>
    <mergeCell ref="K87:K90"/>
    <mergeCell ref="L87:L90"/>
    <mergeCell ref="M87:M90"/>
    <mergeCell ref="N87:N90"/>
    <mergeCell ref="O87:O90"/>
    <mergeCell ref="P87:P90"/>
    <mergeCell ref="D87:D90"/>
    <mergeCell ref="B91:B94"/>
    <mergeCell ref="D105:D109"/>
    <mergeCell ref="E105:E109"/>
    <mergeCell ref="F105:F109"/>
    <mergeCell ref="G105:G109"/>
    <mergeCell ref="H105:H109"/>
    <mergeCell ref="I105:I109"/>
    <mergeCell ref="J105:J109"/>
    <mergeCell ref="K95:K100"/>
    <mergeCell ref="L95:L100"/>
    <mergeCell ref="D95:D100"/>
    <mergeCell ref="E95:E100"/>
    <mergeCell ref="F95:F100"/>
    <mergeCell ref="G95:G100"/>
    <mergeCell ref="H95:H100"/>
    <mergeCell ref="I95:I100"/>
    <mergeCell ref="J95:J100"/>
    <mergeCell ref="C101:C104"/>
    <mergeCell ref="D101:D104"/>
    <mergeCell ref="E101:E104"/>
    <mergeCell ref="F101:F104"/>
    <mergeCell ref="G101:G104"/>
    <mergeCell ref="H101:H104"/>
    <mergeCell ref="F91:F94"/>
    <mergeCell ref="G91:G94"/>
    <mergeCell ref="H91:H94"/>
    <mergeCell ref="I91:I94"/>
    <mergeCell ref="J91:J94"/>
    <mergeCell ref="B95:B100"/>
    <mergeCell ref="C95:C100"/>
    <mergeCell ref="B101:B104"/>
    <mergeCell ref="H110:H114"/>
    <mergeCell ref="I110:I114"/>
    <mergeCell ref="J110:J114"/>
    <mergeCell ref="K110:K114"/>
    <mergeCell ref="L110:L114"/>
    <mergeCell ref="M110:M114"/>
    <mergeCell ref="N110:N114"/>
    <mergeCell ref="P101:P104"/>
    <mergeCell ref="Q101:Q104"/>
    <mergeCell ref="I101:I104"/>
    <mergeCell ref="J101:J104"/>
    <mergeCell ref="K101:K104"/>
    <mergeCell ref="L101:L104"/>
    <mergeCell ref="M101:M104"/>
    <mergeCell ref="Q105:Q109"/>
    <mergeCell ref="O101:O104"/>
    <mergeCell ref="N101:N104"/>
    <mergeCell ref="M95:M100"/>
    <mergeCell ref="K120:K124"/>
    <mergeCell ref="L120:L124"/>
    <mergeCell ref="M120:M124"/>
    <mergeCell ref="N120:N124"/>
    <mergeCell ref="O120:O124"/>
    <mergeCell ref="P120:P124"/>
    <mergeCell ref="Q120:Q124"/>
    <mergeCell ref="B120:B124"/>
    <mergeCell ref="C120:C124"/>
    <mergeCell ref="F120:F124"/>
    <mergeCell ref="G120:G124"/>
    <mergeCell ref="H120:H124"/>
    <mergeCell ref="I120:I124"/>
    <mergeCell ref="J120:J124"/>
    <mergeCell ref="D120:D124"/>
    <mergeCell ref="E120:E124"/>
    <mergeCell ref="M115:M119"/>
    <mergeCell ref="N115:N119"/>
    <mergeCell ref="F115:F119"/>
    <mergeCell ref="G115:G119"/>
    <mergeCell ref="H115:H119"/>
    <mergeCell ref="I115:I119"/>
    <mergeCell ref="J115:J119"/>
    <mergeCell ref="K115:K119"/>
    <mergeCell ref="L115:L119"/>
    <mergeCell ref="O110:O114"/>
    <mergeCell ref="P110:P114"/>
    <mergeCell ref="Q110:Q114"/>
    <mergeCell ref="O115:O119"/>
    <mergeCell ref="P115:P119"/>
    <mergeCell ref="Q115:Q119"/>
    <mergeCell ref="M125:M129"/>
    <mergeCell ref="N125:N129"/>
    <mergeCell ref="O125:O129"/>
    <mergeCell ref="P125:P129"/>
    <mergeCell ref="Q125:Q129"/>
    <mergeCell ref="F125:F129"/>
    <mergeCell ref="G125:G129"/>
    <mergeCell ref="H125:H129"/>
    <mergeCell ref="I125:I129"/>
    <mergeCell ref="J125:J129"/>
    <mergeCell ref="K125:K129"/>
    <mergeCell ref="L125:L129"/>
    <mergeCell ref="B130:B134"/>
    <mergeCell ref="C130:C134"/>
    <mergeCell ref="M130:M134"/>
    <mergeCell ref="N130:N134"/>
    <mergeCell ref="O130:O134"/>
    <mergeCell ref="P130:P134"/>
    <mergeCell ref="Q130:Q134"/>
    <mergeCell ref="D130:D134"/>
    <mergeCell ref="E130:E134"/>
    <mergeCell ref="H130:H134"/>
    <mergeCell ref="I130:I134"/>
    <mergeCell ref="J130:J134"/>
    <mergeCell ref="K130:K134"/>
    <mergeCell ref="L130:L134"/>
    <mergeCell ref="F130:F134"/>
    <mergeCell ref="G130:G134"/>
    <mergeCell ref="O135:O139"/>
    <mergeCell ref="P135:P139"/>
    <mergeCell ref="Q135:Q139"/>
    <mergeCell ref="F135:F139"/>
    <mergeCell ref="G135:G139"/>
    <mergeCell ref="H135:H139"/>
    <mergeCell ref="I135:I139"/>
    <mergeCell ref="J135:J139"/>
    <mergeCell ref="K135:K139"/>
    <mergeCell ref="L135:L139"/>
    <mergeCell ref="B140:B144"/>
    <mergeCell ref="C140:C144"/>
    <mergeCell ref="M140:M144"/>
    <mergeCell ref="N140:N144"/>
    <mergeCell ref="O140:O144"/>
    <mergeCell ref="P140:P144"/>
    <mergeCell ref="Q140:Q144"/>
    <mergeCell ref="D140:D144"/>
    <mergeCell ref="E140:E144"/>
    <mergeCell ref="H140:H144"/>
    <mergeCell ref="I140:I144"/>
    <mergeCell ref="J140:J144"/>
    <mergeCell ref="K140:K144"/>
    <mergeCell ref="L140:L144"/>
    <mergeCell ref="F140:F144"/>
    <mergeCell ref="G140:G144"/>
    <mergeCell ref="B24:B28"/>
    <mergeCell ref="C24:C28"/>
    <mergeCell ref="D24:D28"/>
    <mergeCell ref="E24:E28"/>
    <mergeCell ref="F24:F28"/>
    <mergeCell ref="G24:G28"/>
    <mergeCell ref="H24:H28"/>
    <mergeCell ref="B135:B139"/>
    <mergeCell ref="C135:C139"/>
    <mergeCell ref="D135:D139"/>
    <mergeCell ref="E135:E139"/>
    <mergeCell ref="B125:B129"/>
    <mergeCell ref="C125:C129"/>
    <mergeCell ref="D125:D129"/>
    <mergeCell ref="E125:E129"/>
    <mergeCell ref="B115:B119"/>
    <mergeCell ref="C115:C119"/>
    <mergeCell ref="D115:D119"/>
    <mergeCell ref="E115:E119"/>
    <mergeCell ref="D75:D78"/>
    <mergeCell ref="E75:E78"/>
    <mergeCell ref="F56:F59"/>
    <mergeCell ref="G56:G59"/>
    <mergeCell ref="H56:H59"/>
    <mergeCell ref="B60:B63"/>
    <mergeCell ref="B64:B66"/>
    <mergeCell ref="C64:C66"/>
    <mergeCell ref="B105:B109"/>
    <mergeCell ref="C105:C109"/>
    <mergeCell ref="C91:C94"/>
    <mergeCell ref="D91:D94"/>
    <mergeCell ref="E91:E94"/>
    <mergeCell ref="P24:P28"/>
    <mergeCell ref="Q24:Q28"/>
    <mergeCell ref="I24:I28"/>
    <mergeCell ref="J24:J28"/>
    <mergeCell ref="K24:K28"/>
    <mergeCell ref="L24:L28"/>
    <mergeCell ref="M24:M28"/>
    <mergeCell ref="N24:N28"/>
    <mergeCell ref="O24:O28"/>
    <mergeCell ref="P29:P47"/>
    <mergeCell ref="Q29:Q47"/>
    <mergeCell ref="D48:D51"/>
    <mergeCell ref="E48:E51"/>
    <mergeCell ref="F48:F51"/>
    <mergeCell ref="G48:G51"/>
    <mergeCell ref="H48:H51"/>
    <mergeCell ref="I48:I51"/>
    <mergeCell ref="J48:J51"/>
    <mergeCell ref="K48:K51"/>
    <mergeCell ref="L48:L51"/>
    <mergeCell ref="M48:M51"/>
    <mergeCell ref="N48:N51"/>
    <mergeCell ref="O48:O51"/>
    <mergeCell ref="P48:P51"/>
    <mergeCell ref="Q48:Q51"/>
    <mergeCell ref="M29:M47"/>
    <mergeCell ref="N29:N47"/>
    <mergeCell ref="O29:O47"/>
    <mergeCell ref="H29:H47"/>
    <mergeCell ref="G29:G47"/>
    <mergeCell ref="B67:B70"/>
    <mergeCell ref="C67:C70"/>
    <mergeCell ref="K67:K70"/>
    <mergeCell ref="L67:L70"/>
    <mergeCell ref="M67:M70"/>
    <mergeCell ref="N67:N70"/>
    <mergeCell ref="O67:O70"/>
    <mergeCell ref="P67:P70"/>
    <mergeCell ref="Q67:Q70"/>
    <mergeCell ref="D67:D70"/>
    <mergeCell ref="E67:E70"/>
    <mergeCell ref="F67:F70"/>
    <mergeCell ref="G67:G70"/>
    <mergeCell ref="H67:H70"/>
    <mergeCell ref="B145:B149"/>
    <mergeCell ref="C145:C149"/>
    <mergeCell ref="D145:D149"/>
    <mergeCell ref="E145:E149"/>
    <mergeCell ref="B71:B74"/>
    <mergeCell ref="C71:C74"/>
    <mergeCell ref="K71:K74"/>
    <mergeCell ref="L71:L74"/>
    <mergeCell ref="M71:M74"/>
    <mergeCell ref="N71:N74"/>
    <mergeCell ref="O71:O74"/>
    <mergeCell ref="P71:P74"/>
    <mergeCell ref="Q71:Q74"/>
    <mergeCell ref="D71:D74"/>
    <mergeCell ref="E71:E74"/>
    <mergeCell ref="F71:F74"/>
    <mergeCell ref="G71:G74"/>
    <mergeCell ref="H71:H74"/>
    <mergeCell ref="I71:I74"/>
    <mergeCell ref="J71:J74"/>
    <mergeCell ref="K75:K78"/>
    <mergeCell ref="L75:L78"/>
    <mergeCell ref="M75:M78"/>
    <mergeCell ref="N75:N78"/>
    <mergeCell ref="O75:O78"/>
    <mergeCell ref="P75:P78"/>
    <mergeCell ref="Q75:Q78"/>
    <mergeCell ref="B75:B78"/>
    <mergeCell ref="C75:C78"/>
    <mergeCell ref="F75:F78"/>
    <mergeCell ref="M135:M139"/>
    <mergeCell ref="N135:N139"/>
    <mergeCell ref="K150:K154"/>
    <mergeCell ref="L150:L154"/>
    <mergeCell ref="F150:F154"/>
    <mergeCell ref="G150:G154"/>
    <mergeCell ref="M145:M149"/>
    <mergeCell ref="N145:N149"/>
    <mergeCell ref="O145:O149"/>
    <mergeCell ref="P145:P149"/>
    <mergeCell ref="Q145:Q149"/>
    <mergeCell ref="F145:F149"/>
    <mergeCell ref="G145:G149"/>
    <mergeCell ref="H145:H149"/>
    <mergeCell ref="I145:I149"/>
    <mergeCell ref="J145:J149"/>
    <mergeCell ref="K145:K149"/>
    <mergeCell ref="L145:L149"/>
    <mergeCell ref="B150:B154"/>
    <mergeCell ref="C150:C154"/>
    <mergeCell ref="F155:F159"/>
    <mergeCell ref="G155:G159"/>
    <mergeCell ref="H155:H159"/>
    <mergeCell ref="I155:I159"/>
    <mergeCell ref="J155:J159"/>
    <mergeCell ref="K155:K159"/>
    <mergeCell ref="L155:L159"/>
    <mergeCell ref="D155:D159"/>
    <mergeCell ref="E155:E159"/>
    <mergeCell ref="D161:D165"/>
    <mergeCell ref="E161:E165"/>
    <mergeCell ref="F161:F165"/>
    <mergeCell ref="G161:G165"/>
    <mergeCell ref="H161:H165"/>
    <mergeCell ref="N161:N165"/>
    <mergeCell ref="O161:O165"/>
    <mergeCell ref="A161:A183"/>
    <mergeCell ref="D181:D185"/>
    <mergeCell ref="E181:E185"/>
    <mergeCell ref="F181:F185"/>
    <mergeCell ref="G181:G185"/>
    <mergeCell ref="H181:H185"/>
    <mergeCell ref="A109:A159"/>
    <mergeCell ref="B110:B114"/>
    <mergeCell ref="C110:C114"/>
    <mergeCell ref="D110:D114"/>
    <mergeCell ref="E110:E114"/>
    <mergeCell ref="F110:F114"/>
    <mergeCell ref="G110:G114"/>
    <mergeCell ref="J161:J165"/>
    <mergeCell ref="K161:K165"/>
    <mergeCell ref="L161:L165"/>
    <mergeCell ref="M150:M154"/>
    <mergeCell ref="N150:N154"/>
    <mergeCell ref="O150:O154"/>
    <mergeCell ref="P150:P154"/>
    <mergeCell ref="Q150:Q154"/>
    <mergeCell ref="D150:D154"/>
    <mergeCell ref="E150:E154"/>
    <mergeCell ref="H150:H154"/>
    <mergeCell ref="I150:I154"/>
    <mergeCell ref="J150:J154"/>
    <mergeCell ref="E171:E175"/>
    <mergeCell ref="F171:F175"/>
    <mergeCell ref="G171:G175"/>
    <mergeCell ref="H171:H175"/>
    <mergeCell ref="P171:P175"/>
    <mergeCell ref="Q171:Q175"/>
    <mergeCell ref="I171:I175"/>
    <mergeCell ref="J171:J175"/>
    <mergeCell ref="K171:K175"/>
    <mergeCell ref="L171:L175"/>
    <mergeCell ref="M171:M175"/>
    <mergeCell ref="N171:N175"/>
    <mergeCell ref="O171:O175"/>
    <mergeCell ref="M155:M159"/>
    <mergeCell ref="N155:N159"/>
    <mergeCell ref="O155:O159"/>
    <mergeCell ref="P155:P159"/>
    <mergeCell ref="Q155:Q159"/>
    <mergeCell ref="P161:P165"/>
    <mergeCell ref="Q161:Q165"/>
    <mergeCell ref="I161:I165"/>
    <mergeCell ref="M161:M165"/>
    <mergeCell ref="P176:P180"/>
    <mergeCell ref="Q176:Q180"/>
    <mergeCell ref="I176:I180"/>
    <mergeCell ref="J176:J180"/>
    <mergeCell ref="K176:K180"/>
    <mergeCell ref="L176:L180"/>
    <mergeCell ref="M176:M180"/>
    <mergeCell ref="N176:N180"/>
    <mergeCell ref="O176:O180"/>
    <mergeCell ref="B155:B159"/>
    <mergeCell ref="C155:C159"/>
    <mergeCell ref="B161:B165"/>
    <mergeCell ref="C161:C165"/>
    <mergeCell ref="B166:B170"/>
    <mergeCell ref="C166:C170"/>
    <mergeCell ref="K166:K170"/>
    <mergeCell ref="L166:L170"/>
    <mergeCell ref="M166:M170"/>
    <mergeCell ref="N166:N170"/>
    <mergeCell ref="O166:O170"/>
    <mergeCell ref="P166:P170"/>
    <mergeCell ref="Q166:Q170"/>
    <mergeCell ref="D166:D170"/>
    <mergeCell ref="E166:E170"/>
    <mergeCell ref="F166:F170"/>
    <mergeCell ref="G166:G170"/>
    <mergeCell ref="H166:H170"/>
    <mergeCell ref="I166:I170"/>
    <mergeCell ref="J166:J170"/>
    <mergeCell ref="B171:B175"/>
    <mergeCell ref="C171:C175"/>
    <mergeCell ref="D171:D175"/>
    <mergeCell ref="B176:B180"/>
    <mergeCell ref="C176:C180"/>
    <mergeCell ref="D176:D180"/>
    <mergeCell ref="E176:E180"/>
    <mergeCell ref="F176:F180"/>
    <mergeCell ref="G176:G180"/>
    <mergeCell ref="H176:H180"/>
    <mergeCell ref="O186:O190"/>
    <mergeCell ref="D273:D277"/>
    <mergeCell ref="E273:E277"/>
    <mergeCell ref="F273:F277"/>
    <mergeCell ref="G273:G277"/>
    <mergeCell ref="H273:H277"/>
    <mergeCell ref="I273:I277"/>
    <mergeCell ref="J273:J277"/>
    <mergeCell ref="D201:D205"/>
    <mergeCell ref="E201:E205"/>
    <mergeCell ref="F201:F205"/>
    <mergeCell ref="G201:G205"/>
    <mergeCell ref="H201:H205"/>
    <mergeCell ref="D191:D195"/>
    <mergeCell ref="E191:E195"/>
    <mergeCell ref="C181:C185"/>
    <mergeCell ref="B196:B200"/>
    <mergeCell ref="C196:C200"/>
    <mergeCell ref="C201:C205"/>
    <mergeCell ref="C206:C210"/>
    <mergeCell ref="D206:D210"/>
    <mergeCell ref="E206:E210"/>
    <mergeCell ref="B227:B231"/>
    <mergeCell ref="H263:H267"/>
    <mergeCell ref="I263:I267"/>
    <mergeCell ref="B252:B256"/>
    <mergeCell ref="C252:C256"/>
    <mergeCell ref="D252:D256"/>
    <mergeCell ref="F278:F282"/>
    <mergeCell ref="G278:G282"/>
    <mergeCell ref="H278:H282"/>
    <mergeCell ref="I278:I282"/>
    <mergeCell ref="J278:J282"/>
    <mergeCell ref="P327:P331"/>
    <mergeCell ref="Q327:Q331"/>
    <mergeCell ref="I327:I331"/>
    <mergeCell ref="J327:J331"/>
    <mergeCell ref="K327:K331"/>
    <mergeCell ref="L327:L331"/>
    <mergeCell ref="M327:M331"/>
    <mergeCell ref="N327:N331"/>
    <mergeCell ref="O327:O331"/>
    <mergeCell ref="H268:H272"/>
    <mergeCell ref="I268:I272"/>
    <mergeCell ref="J268:J272"/>
    <mergeCell ref="K273:K277"/>
    <mergeCell ref="L273:L277"/>
    <mergeCell ref="M273:M277"/>
    <mergeCell ref="N273:N277"/>
    <mergeCell ref="O273:O277"/>
    <mergeCell ref="P273:P277"/>
    <mergeCell ref="Q273:Q277"/>
    <mergeCell ref="P252:P256"/>
    <mergeCell ref="Q252:Q256"/>
    <mergeCell ref="I252:I256"/>
    <mergeCell ref="J252:J256"/>
    <mergeCell ref="K252:K256"/>
    <mergeCell ref="Q268:Q272"/>
    <mergeCell ref="C263:C267"/>
    <mergeCell ref="B268:B272"/>
    <mergeCell ref="C268:C272"/>
    <mergeCell ref="B273:B277"/>
    <mergeCell ref="C273:C277"/>
    <mergeCell ref="B278:B282"/>
    <mergeCell ref="C278:C282"/>
    <mergeCell ref="B283:B326"/>
    <mergeCell ref="C283:C326"/>
    <mergeCell ref="D283:D326"/>
    <mergeCell ref="E283:E326"/>
    <mergeCell ref="F283:F326"/>
    <mergeCell ref="G283:G326"/>
    <mergeCell ref="H283:H326"/>
    <mergeCell ref="P283:P326"/>
    <mergeCell ref="Q283:Q326"/>
    <mergeCell ref="I283:I326"/>
    <mergeCell ref="J283:J326"/>
    <mergeCell ref="K283:K326"/>
    <mergeCell ref="L283:L326"/>
    <mergeCell ref="M283:M326"/>
    <mergeCell ref="N283:N326"/>
    <mergeCell ref="O283:O326"/>
    <mergeCell ref="K278:K282"/>
    <mergeCell ref="J263:J267"/>
    <mergeCell ref="D268:D272"/>
    <mergeCell ref="E268:E272"/>
    <mergeCell ref="F268:F272"/>
    <mergeCell ref="G268:G272"/>
    <mergeCell ref="D440:D444"/>
    <mergeCell ref="E440:E444"/>
    <mergeCell ref="F440:F444"/>
    <mergeCell ref="G440:G444"/>
    <mergeCell ref="H440:H444"/>
    <mergeCell ref="I440:I444"/>
    <mergeCell ref="J440:J444"/>
    <mergeCell ref="D425:D429"/>
    <mergeCell ref="K430:K434"/>
    <mergeCell ref="E425:E429"/>
    <mergeCell ref="L435:L439"/>
    <mergeCell ref="K268:K272"/>
    <mergeCell ref="L268:L272"/>
    <mergeCell ref="M268:M272"/>
    <mergeCell ref="N268:N272"/>
    <mergeCell ref="O268:O272"/>
    <mergeCell ref="P268:P272"/>
    <mergeCell ref="J352:J356"/>
    <mergeCell ref="I357:I361"/>
    <mergeCell ref="J357:J361"/>
    <mergeCell ref="K357:K361"/>
    <mergeCell ref="L357:L361"/>
    <mergeCell ref="M357:M361"/>
    <mergeCell ref="N357:N361"/>
    <mergeCell ref="O357:O361"/>
    <mergeCell ref="D347:D351"/>
    <mergeCell ref="E347:E351"/>
    <mergeCell ref="F347:F351"/>
    <mergeCell ref="D278:D282"/>
    <mergeCell ref="E278:E282"/>
    <mergeCell ref="L278:L282"/>
    <mergeCell ref="K352:K356"/>
    <mergeCell ref="Q362:Q366"/>
    <mergeCell ref="I362:I366"/>
    <mergeCell ref="J362:J366"/>
    <mergeCell ref="K362:K366"/>
    <mergeCell ref="L362:L366"/>
    <mergeCell ref="M362:M366"/>
    <mergeCell ref="N362:N366"/>
    <mergeCell ref="O362:O366"/>
    <mergeCell ref="P352:P356"/>
    <mergeCell ref="Q352:Q356"/>
    <mergeCell ref="M278:M282"/>
    <mergeCell ref="N278:N282"/>
    <mergeCell ref="O278:O282"/>
    <mergeCell ref="P278:P282"/>
    <mergeCell ref="Q278:Q282"/>
    <mergeCell ref="D450:D454"/>
    <mergeCell ref="E450:E454"/>
    <mergeCell ref="F450:F454"/>
    <mergeCell ref="G450:G454"/>
    <mergeCell ref="H450:H454"/>
    <mergeCell ref="I450:I454"/>
    <mergeCell ref="J450:J454"/>
    <mergeCell ref="F388:F392"/>
    <mergeCell ref="G388:G392"/>
    <mergeCell ref="D388:D392"/>
    <mergeCell ref="E388:E392"/>
    <mergeCell ref="D393:D424"/>
    <mergeCell ref="E393:E424"/>
    <mergeCell ref="F393:F424"/>
    <mergeCell ref="G393:G424"/>
    <mergeCell ref="H393:H424"/>
    <mergeCell ref="K435:K439"/>
    <mergeCell ref="M352:M356"/>
    <mergeCell ref="N352:N356"/>
    <mergeCell ref="O352:O356"/>
    <mergeCell ref="D357:D361"/>
    <mergeCell ref="E357:E361"/>
    <mergeCell ref="F357:F361"/>
    <mergeCell ref="G357:G361"/>
    <mergeCell ref="H357:H361"/>
    <mergeCell ref="G347:G351"/>
    <mergeCell ref="H347:H351"/>
    <mergeCell ref="P347:P351"/>
    <mergeCell ref="Q347:Q351"/>
    <mergeCell ref="Q332:Q336"/>
    <mergeCell ref="I332:I336"/>
    <mergeCell ref="J332:J336"/>
    <mergeCell ref="K332:K336"/>
    <mergeCell ref="L332:L336"/>
    <mergeCell ref="M332:M336"/>
    <mergeCell ref="N332:N336"/>
    <mergeCell ref="O332:O336"/>
    <mergeCell ref="E342:E346"/>
    <mergeCell ref="F342:F346"/>
    <mergeCell ref="G342:G346"/>
    <mergeCell ref="H342:H346"/>
    <mergeCell ref="Q357:Q361"/>
    <mergeCell ref="B342:B346"/>
    <mergeCell ref="B373:B377"/>
    <mergeCell ref="E373:E377"/>
    <mergeCell ref="F373:F377"/>
    <mergeCell ref="G373:G377"/>
    <mergeCell ref="H373:H377"/>
    <mergeCell ref="C342:C346"/>
    <mergeCell ref="D342:D346"/>
    <mergeCell ref="P362:P366"/>
    <mergeCell ref="I347:I351"/>
    <mergeCell ref="J347:J351"/>
    <mergeCell ref="K347:K351"/>
    <mergeCell ref="L347:L351"/>
    <mergeCell ref="M347:M351"/>
    <mergeCell ref="N347:N351"/>
    <mergeCell ref="O347:O351"/>
    <mergeCell ref="B352:B356"/>
    <mergeCell ref="C352:C356"/>
    <mergeCell ref="D352:D356"/>
    <mergeCell ref="E352:E356"/>
    <mergeCell ref="F352:F356"/>
    <mergeCell ref="G352:G356"/>
    <mergeCell ref="H352:H356"/>
    <mergeCell ref="I352:I356"/>
    <mergeCell ref="M373:M377"/>
    <mergeCell ref="P357:P361"/>
    <mergeCell ref="K373:K377"/>
    <mergeCell ref="L373:L377"/>
    <mergeCell ref="J373:J377"/>
    <mergeCell ref="B347:B351"/>
    <mergeCell ref="C347:C351"/>
    <mergeCell ref="L352:L356"/>
    <mergeCell ref="P378:P382"/>
    <mergeCell ref="Q378:Q382"/>
    <mergeCell ref="I378:I382"/>
    <mergeCell ref="J378:J382"/>
    <mergeCell ref="K378:K382"/>
    <mergeCell ref="L378:L382"/>
    <mergeCell ref="M378:M382"/>
    <mergeCell ref="N378:N382"/>
    <mergeCell ref="O378:O382"/>
    <mergeCell ref="P383:P387"/>
    <mergeCell ref="K337:K341"/>
    <mergeCell ref="L337:L341"/>
    <mergeCell ref="M337:M341"/>
    <mergeCell ref="N337:N341"/>
    <mergeCell ref="O337:O341"/>
    <mergeCell ref="B327:B331"/>
    <mergeCell ref="C327:C331"/>
    <mergeCell ref="D327:D331"/>
    <mergeCell ref="E327:E331"/>
    <mergeCell ref="F327:F331"/>
    <mergeCell ref="G327:G331"/>
    <mergeCell ref="H327:H331"/>
    <mergeCell ref="E362:E366"/>
    <mergeCell ref="F362:F366"/>
    <mergeCell ref="G362:G366"/>
    <mergeCell ref="H362:H366"/>
    <mergeCell ref="B357:B361"/>
    <mergeCell ref="C357:C361"/>
    <mergeCell ref="C373:C377"/>
    <mergeCell ref="D373:D377"/>
    <mergeCell ref="I373:I377"/>
    <mergeCell ref="P332:P336"/>
    <mergeCell ref="D455:D459"/>
    <mergeCell ref="E455:E459"/>
    <mergeCell ref="P342:P346"/>
    <mergeCell ref="Q342:Q346"/>
    <mergeCell ref="I342:I346"/>
    <mergeCell ref="J342:J346"/>
    <mergeCell ref="K342:K346"/>
    <mergeCell ref="L342:L346"/>
    <mergeCell ref="M342:M346"/>
    <mergeCell ref="N342:N346"/>
    <mergeCell ref="O342:O346"/>
    <mergeCell ref="N373:N377"/>
    <mergeCell ref="O373:O377"/>
    <mergeCell ref="P373:P377"/>
    <mergeCell ref="Q373:Q377"/>
    <mergeCell ref="M435:M439"/>
    <mergeCell ref="N435:N439"/>
    <mergeCell ref="O435:O439"/>
    <mergeCell ref="P435:P439"/>
    <mergeCell ref="Q435:Q439"/>
    <mergeCell ref="D435:D439"/>
    <mergeCell ref="E435:E439"/>
    <mergeCell ref="F435:F439"/>
    <mergeCell ref="G435:G439"/>
    <mergeCell ref="H435:H439"/>
    <mergeCell ref="I435:I439"/>
    <mergeCell ref="J435:J439"/>
    <mergeCell ref="F425:F429"/>
    <mergeCell ref="G425:G429"/>
    <mergeCell ref="H425:H429"/>
    <mergeCell ref="I425:I429"/>
    <mergeCell ref="J425:J429"/>
    <mergeCell ref="B337:B341"/>
    <mergeCell ref="C337:C341"/>
    <mergeCell ref="D337:D341"/>
    <mergeCell ref="E337:E341"/>
    <mergeCell ref="F337:F341"/>
    <mergeCell ref="G337:G341"/>
    <mergeCell ref="H337:H341"/>
    <mergeCell ref="P337:P341"/>
    <mergeCell ref="Q337:Q341"/>
    <mergeCell ref="I337:I341"/>
    <mergeCell ref="J337:J341"/>
    <mergeCell ref="B332:B336"/>
    <mergeCell ref="C332:C336"/>
    <mergeCell ref="D332:D336"/>
    <mergeCell ref="E332:E336"/>
    <mergeCell ref="F332:F336"/>
    <mergeCell ref="G332:G336"/>
    <mergeCell ref="H332:H336"/>
    <mergeCell ref="K524:K528"/>
    <mergeCell ref="L524:L528"/>
    <mergeCell ref="M524:M528"/>
    <mergeCell ref="N524:N528"/>
    <mergeCell ref="O524:O528"/>
    <mergeCell ref="P524:P528"/>
    <mergeCell ref="Q524:Q528"/>
    <mergeCell ref="D524:D528"/>
    <mergeCell ref="E524:E528"/>
    <mergeCell ref="F524:F528"/>
    <mergeCell ref="G524:G528"/>
    <mergeCell ref="H524:H528"/>
    <mergeCell ref="I524:I528"/>
    <mergeCell ref="J524:J528"/>
    <mergeCell ref="K555:K559"/>
    <mergeCell ref="L555:L559"/>
    <mergeCell ref="M555:M559"/>
    <mergeCell ref="N555:N559"/>
    <mergeCell ref="O555:O559"/>
    <mergeCell ref="P555:P559"/>
    <mergeCell ref="Q555:Q559"/>
    <mergeCell ref="D555:D559"/>
    <mergeCell ref="E555:E559"/>
    <mergeCell ref="F555:F559"/>
    <mergeCell ref="G555:G559"/>
    <mergeCell ref="H555:H559"/>
    <mergeCell ref="I555:I559"/>
    <mergeCell ref="J555:J559"/>
    <mergeCell ref="F550:F554"/>
    <mergeCell ref="G550:G554"/>
    <mergeCell ref="H550:H554"/>
    <mergeCell ref="I550:I554"/>
    <mergeCell ref="H696:H700"/>
    <mergeCell ref="I696:I700"/>
    <mergeCell ref="J696:J700"/>
    <mergeCell ref="D686:D690"/>
    <mergeCell ref="P652:P680"/>
    <mergeCell ref="Q652:Q680"/>
    <mergeCell ref="I652:I680"/>
    <mergeCell ref="J652:J680"/>
    <mergeCell ref="K652:K680"/>
    <mergeCell ref="L652:L680"/>
    <mergeCell ref="M652:M680"/>
    <mergeCell ref="N652:N680"/>
    <mergeCell ref="O652:O680"/>
    <mergeCell ref="P681:P685"/>
    <mergeCell ref="Q681:Q685"/>
    <mergeCell ref="I539:I543"/>
    <mergeCell ref="J539:J543"/>
    <mergeCell ref="K539:K543"/>
    <mergeCell ref="L539:L543"/>
    <mergeCell ref="M539:M543"/>
    <mergeCell ref="N539:N543"/>
    <mergeCell ref="O539:O543"/>
    <mergeCell ref="K550:K554"/>
    <mergeCell ref="L550:L554"/>
    <mergeCell ref="M550:M554"/>
    <mergeCell ref="N550:N554"/>
    <mergeCell ref="O550:O554"/>
    <mergeCell ref="P550:P554"/>
    <mergeCell ref="Q550:Q554"/>
    <mergeCell ref="D550:D554"/>
    <mergeCell ref="E550:E554"/>
    <mergeCell ref="P545:P549"/>
    <mergeCell ref="D681:D685"/>
    <mergeCell ref="E681:E685"/>
    <mergeCell ref="F681:F685"/>
    <mergeCell ref="G681:G685"/>
    <mergeCell ref="C545:C549"/>
    <mergeCell ref="K560:K564"/>
    <mergeCell ref="L560:L564"/>
    <mergeCell ref="M560:M564"/>
    <mergeCell ref="N560:N564"/>
    <mergeCell ref="O560:O564"/>
    <mergeCell ref="P560:P564"/>
    <mergeCell ref="Q560:Q564"/>
    <mergeCell ref="D560:D564"/>
    <mergeCell ref="E560:E564"/>
    <mergeCell ref="F560:F564"/>
    <mergeCell ref="G560:G564"/>
    <mergeCell ref="H560:H564"/>
    <mergeCell ref="I560:I564"/>
    <mergeCell ref="J560:J564"/>
    <mergeCell ref="Q545:Q549"/>
    <mergeCell ref="D545:D549"/>
    <mergeCell ref="E545:E549"/>
    <mergeCell ref="F545:F549"/>
    <mergeCell ref="G545:G549"/>
    <mergeCell ref="H545:H549"/>
    <mergeCell ref="I545:I549"/>
    <mergeCell ref="J545:J549"/>
    <mergeCell ref="P586:P590"/>
    <mergeCell ref="Q586:Q590"/>
    <mergeCell ref="N611:N615"/>
    <mergeCell ref="O611:O615"/>
    <mergeCell ref="P611:P615"/>
    <mergeCell ref="D539:D543"/>
    <mergeCell ref="E539:E543"/>
    <mergeCell ref="F539:F543"/>
    <mergeCell ref="G539:G543"/>
    <mergeCell ref="H539:H543"/>
    <mergeCell ref="K545:K549"/>
    <mergeCell ref="L545:L549"/>
    <mergeCell ref="M545:M549"/>
    <mergeCell ref="N545:N549"/>
    <mergeCell ref="O545:O549"/>
    <mergeCell ref="M601:M605"/>
    <mergeCell ref="B601:B605"/>
    <mergeCell ref="C601:C605"/>
    <mergeCell ref="D601:D605"/>
    <mergeCell ref="E601:E605"/>
    <mergeCell ref="F601:F605"/>
    <mergeCell ref="G601:G605"/>
    <mergeCell ref="H601:H605"/>
    <mergeCell ref="O565:O585"/>
    <mergeCell ref="I586:I590"/>
    <mergeCell ref="J586:J590"/>
    <mergeCell ref="K586:K590"/>
    <mergeCell ref="L586:L590"/>
    <mergeCell ref="M586:M590"/>
    <mergeCell ref="N586:N590"/>
    <mergeCell ref="O586:O590"/>
    <mergeCell ref="D565:D585"/>
    <mergeCell ref="E565:E585"/>
    <mergeCell ref="F565:F585"/>
    <mergeCell ref="G565:G585"/>
    <mergeCell ref="H565:H585"/>
    <mergeCell ref="C555:C559"/>
    <mergeCell ref="K711:K715"/>
    <mergeCell ref="L711:L715"/>
    <mergeCell ref="M711:M715"/>
    <mergeCell ref="N711:N715"/>
    <mergeCell ref="O711:O715"/>
    <mergeCell ref="P711:P715"/>
    <mergeCell ref="Q711:Q715"/>
    <mergeCell ref="D711:D715"/>
    <mergeCell ref="E711:E715"/>
    <mergeCell ref="F711:F715"/>
    <mergeCell ref="G711:G715"/>
    <mergeCell ref="H711:H715"/>
    <mergeCell ref="I711:I715"/>
    <mergeCell ref="J711:J715"/>
    <mergeCell ref="J550:J554"/>
    <mergeCell ref="K716:K720"/>
    <mergeCell ref="L716:L720"/>
    <mergeCell ref="M716:M720"/>
    <mergeCell ref="N716:N720"/>
    <mergeCell ref="O716:O720"/>
    <mergeCell ref="P716:P720"/>
    <mergeCell ref="Q716:Q720"/>
    <mergeCell ref="D716:D720"/>
    <mergeCell ref="E716:E720"/>
    <mergeCell ref="F716:F720"/>
    <mergeCell ref="G716:G720"/>
    <mergeCell ref="H716:H720"/>
    <mergeCell ref="I716:I720"/>
    <mergeCell ref="J716:J720"/>
    <mergeCell ref="K696:K700"/>
    <mergeCell ref="L696:L700"/>
    <mergeCell ref="M696:M700"/>
    <mergeCell ref="O721:O725"/>
    <mergeCell ref="P721:P725"/>
    <mergeCell ref="Q721:Q725"/>
    <mergeCell ref="D721:D725"/>
    <mergeCell ref="E721:E725"/>
    <mergeCell ref="F721:F725"/>
    <mergeCell ref="G721:G725"/>
    <mergeCell ref="H721:H725"/>
    <mergeCell ref="I721:I725"/>
    <mergeCell ref="J721:J725"/>
    <mergeCell ref="K742:K746"/>
    <mergeCell ref="L742:L746"/>
    <mergeCell ref="M742:M746"/>
    <mergeCell ref="N742:N746"/>
    <mergeCell ref="O742:O746"/>
    <mergeCell ref="P742:P746"/>
    <mergeCell ref="Q742:Q746"/>
    <mergeCell ref="D742:D746"/>
    <mergeCell ref="E742:E746"/>
    <mergeCell ref="F742:F746"/>
    <mergeCell ref="G742:G746"/>
    <mergeCell ref="H742:H746"/>
    <mergeCell ref="I742:I746"/>
    <mergeCell ref="J742:J746"/>
    <mergeCell ref="O727:O731"/>
    <mergeCell ref="P727:P731"/>
    <mergeCell ref="Q727:Q731"/>
    <mergeCell ref="H727:H731"/>
    <mergeCell ref="H737:H741"/>
    <mergeCell ref="I737:I741"/>
    <mergeCell ref="J737:J741"/>
    <mergeCell ref="I727:I731"/>
    <mergeCell ref="J727:J731"/>
    <mergeCell ref="K727:K731"/>
    <mergeCell ref="L727:L731"/>
    <mergeCell ref="M727:M731"/>
    <mergeCell ref="N727:N731"/>
    <mergeCell ref="C716:C720"/>
    <mergeCell ref="C721:C725"/>
    <mergeCell ref="C727:C731"/>
    <mergeCell ref="D727:D731"/>
    <mergeCell ref="E727:E731"/>
    <mergeCell ref="F727:F731"/>
    <mergeCell ref="G727:G731"/>
    <mergeCell ref="K732:K736"/>
    <mergeCell ref="L732:L736"/>
    <mergeCell ref="M732:M736"/>
    <mergeCell ref="N732:N736"/>
    <mergeCell ref="K721:K725"/>
    <mergeCell ref="L721:L725"/>
    <mergeCell ref="M721:M725"/>
    <mergeCell ref="N721:N725"/>
    <mergeCell ref="O804:O808"/>
    <mergeCell ref="P804:P808"/>
    <mergeCell ref="H804:H808"/>
    <mergeCell ref="I804:I808"/>
    <mergeCell ref="J804:J808"/>
    <mergeCell ref="K804:K808"/>
    <mergeCell ref="L804:L808"/>
    <mergeCell ref="M804:M808"/>
    <mergeCell ref="N804:N808"/>
    <mergeCell ref="F804:F808"/>
    <mergeCell ref="G804:G808"/>
    <mergeCell ref="O732:O736"/>
    <mergeCell ref="P732:P736"/>
    <mergeCell ref="Q732:Q736"/>
    <mergeCell ref="D732:D736"/>
    <mergeCell ref="E732:E736"/>
    <mergeCell ref="F732:F736"/>
    <mergeCell ref="G732:G736"/>
    <mergeCell ref="H732:H736"/>
    <mergeCell ref="I732:I736"/>
    <mergeCell ref="J732:J736"/>
    <mergeCell ref="K737:K741"/>
    <mergeCell ref="L737:L741"/>
    <mergeCell ref="M737:M741"/>
    <mergeCell ref="N737:N741"/>
    <mergeCell ref="O737:O741"/>
    <mergeCell ref="P737:P741"/>
    <mergeCell ref="Q737:Q741"/>
    <mergeCell ref="D737:D741"/>
    <mergeCell ref="E737:E741"/>
    <mergeCell ref="F737:F741"/>
    <mergeCell ref="G737:G741"/>
    <mergeCell ref="Q747:Q798"/>
    <mergeCell ref="Q804:Q808"/>
    <mergeCell ref="B742:B746"/>
    <mergeCell ref="B747:B798"/>
    <mergeCell ref="D747:D798"/>
    <mergeCell ref="E747:E798"/>
    <mergeCell ref="F747:F798"/>
    <mergeCell ref="G747:G798"/>
    <mergeCell ref="H747:H798"/>
    <mergeCell ref="L799:L803"/>
    <mergeCell ref="M799:M803"/>
    <mergeCell ref="N799:N803"/>
    <mergeCell ref="O799:O803"/>
    <mergeCell ref="P799:P803"/>
    <mergeCell ref="Q799:Q803"/>
    <mergeCell ref="I747:I798"/>
    <mergeCell ref="J747:J798"/>
    <mergeCell ref="K747:K798"/>
    <mergeCell ref="L747:L798"/>
    <mergeCell ref="M747:M798"/>
    <mergeCell ref="N747:N798"/>
    <mergeCell ref="O747:O798"/>
    <mergeCell ref="B799:B803"/>
    <mergeCell ref="B804:B808"/>
    <mergeCell ref="C804:C808"/>
    <mergeCell ref="D804:D808"/>
    <mergeCell ref="E804:E808"/>
    <mergeCell ref="J799:J803"/>
    <mergeCell ref="K799:K803"/>
    <mergeCell ref="C799:C803"/>
    <mergeCell ref="D799:D803"/>
    <mergeCell ref="E799:E803"/>
    <mergeCell ref="B727:B731"/>
    <mergeCell ref="D809:D813"/>
    <mergeCell ref="E809:E813"/>
    <mergeCell ref="F809:F813"/>
    <mergeCell ref="G809:G813"/>
    <mergeCell ref="H809:H813"/>
    <mergeCell ref="P809:P813"/>
    <mergeCell ref="L819:L823"/>
    <mergeCell ref="M819:M823"/>
    <mergeCell ref="N819:N823"/>
    <mergeCell ref="O819:O823"/>
    <mergeCell ref="P819:P823"/>
    <mergeCell ref="C691:C695"/>
    <mergeCell ref="C696:C700"/>
    <mergeCell ref="C701:C705"/>
    <mergeCell ref="C706:C710"/>
    <mergeCell ref="C711:C715"/>
    <mergeCell ref="B716:B720"/>
    <mergeCell ref="B721:B725"/>
    <mergeCell ref="B732:B736"/>
    <mergeCell ref="B737:B741"/>
    <mergeCell ref="P747:P798"/>
    <mergeCell ref="F799:F803"/>
    <mergeCell ref="G799:G803"/>
    <mergeCell ref="H799:H803"/>
    <mergeCell ref="I799:I803"/>
    <mergeCell ref="J809:J813"/>
    <mergeCell ref="K809:K813"/>
    <mergeCell ref="L809:L813"/>
    <mergeCell ref="M809:M813"/>
    <mergeCell ref="N809:N813"/>
    <mergeCell ref="O809:O813"/>
    <mergeCell ref="B809:B813"/>
    <mergeCell ref="B814:B818"/>
    <mergeCell ref="C814:C818"/>
    <mergeCell ref="D814:D818"/>
    <mergeCell ref="E814:E818"/>
    <mergeCell ref="F814:F818"/>
    <mergeCell ref="G814:G818"/>
    <mergeCell ref="J819:J823"/>
    <mergeCell ref="K819:K823"/>
    <mergeCell ref="C819:C823"/>
    <mergeCell ref="D819:D823"/>
    <mergeCell ref="E819:E823"/>
    <mergeCell ref="F819:F823"/>
    <mergeCell ref="G819:G823"/>
    <mergeCell ref="H819:H823"/>
    <mergeCell ref="I819:I823"/>
    <mergeCell ref="Q819:Q823"/>
    <mergeCell ref="H814:H818"/>
    <mergeCell ref="I814:I818"/>
    <mergeCell ref="J814:J818"/>
    <mergeCell ref="K814:K818"/>
    <mergeCell ref="L814:L818"/>
    <mergeCell ref="M814:M818"/>
    <mergeCell ref="N814:N818"/>
    <mergeCell ref="B819:B823"/>
    <mergeCell ref="Q809:Q813"/>
    <mergeCell ref="I809:I813"/>
    <mergeCell ref="P824:P828"/>
    <mergeCell ref="Q824:Q828"/>
    <mergeCell ref="Q834:Q838"/>
    <mergeCell ref="P839:P843"/>
    <mergeCell ref="Q839:Q843"/>
    <mergeCell ref="I824:I828"/>
    <mergeCell ref="J824:J828"/>
    <mergeCell ref="K824:K828"/>
    <mergeCell ref="L824:L828"/>
    <mergeCell ref="M824:M828"/>
    <mergeCell ref="N824:N828"/>
    <mergeCell ref="O824:O828"/>
    <mergeCell ref="P829:P833"/>
    <mergeCell ref="Q829:Q833"/>
    <mergeCell ref="P834:P838"/>
    <mergeCell ref="O814:O818"/>
    <mergeCell ref="P814:P818"/>
    <mergeCell ref="Q814:Q818"/>
    <mergeCell ref="C829:C833"/>
    <mergeCell ref="D829:D833"/>
    <mergeCell ref="E829:E833"/>
    <mergeCell ref="F829:F833"/>
    <mergeCell ref="G829:G833"/>
    <mergeCell ref="H829:H833"/>
    <mergeCell ref="I829:I833"/>
    <mergeCell ref="M839:M843"/>
    <mergeCell ref="N839:N843"/>
    <mergeCell ref="O839:O843"/>
    <mergeCell ref="M829:M833"/>
    <mergeCell ref="N829:N833"/>
    <mergeCell ref="O829:O833"/>
    <mergeCell ref="O834:O838"/>
    <mergeCell ref="H834:H838"/>
    <mergeCell ref="I834:I838"/>
    <mergeCell ref="J834:J838"/>
    <mergeCell ref="K834:K838"/>
    <mergeCell ref="L834:L838"/>
    <mergeCell ref="M834:M838"/>
    <mergeCell ref="N834:N838"/>
    <mergeCell ref="J839:J843"/>
    <mergeCell ref="K839:K843"/>
    <mergeCell ref="C839:C843"/>
    <mergeCell ref="D839:D843"/>
    <mergeCell ref="E839:E843"/>
    <mergeCell ref="F839:F843"/>
    <mergeCell ref="G839:G843"/>
    <mergeCell ref="H839:H843"/>
    <mergeCell ref="I839:I843"/>
    <mergeCell ref="A727:A843"/>
    <mergeCell ref="B839:B843"/>
    <mergeCell ref="B829:B833"/>
    <mergeCell ref="B834:B838"/>
    <mergeCell ref="C834:C838"/>
    <mergeCell ref="D834:D838"/>
    <mergeCell ref="E834:E838"/>
    <mergeCell ref="F834:F838"/>
    <mergeCell ref="G834:G838"/>
    <mergeCell ref="L829:L833"/>
    <mergeCell ref="L839:L843"/>
    <mergeCell ref="J829:J833"/>
    <mergeCell ref="K829:K833"/>
    <mergeCell ref="K637:K641"/>
    <mergeCell ref="L637:L641"/>
    <mergeCell ref="B691:B695"/>
    <mergeCell ref="B696:B700"/>
    <mergeCell ref="B701:B705"/>
    <mergeCell ref="B706:B710"/>
    <mergeCell ref="B711:B715"/>
    <mergeCell ref="C732:C736"/>
    <mergeCell ref="C737:C741"/>
    <mergeCell ref="C742:C746"/>
    <mergeCell ref="C747:C798"/>
    <mergeCell ref="C809:C813"/>
    <mergeCell ref="C824:C828"/>
    <mergeCell ref="B824:B828"/>
    <mergeCell ref="D824:D828"/>
    <mergeCell ref="E824:E828"/>
    <mergeCell ref="F824:F828"/>
    <mergeCell ref="G824:G828"/>
    <mergeCell ref="H824:H828"/>
    <mergeCell ref="Q611:Q615"/>
    <mergeCell ref="A632:A725"/>
    <mergeCell ref="B632:B636"/>
    <mergeCell ref="B637:B641"/>
    <mergeCell ref="B642:B646"/>
    <mergeCell ref="B647:B651"/>
    <mergeCell ref="B652:B680"/>
    <mergeCell ref="I681:I685"/>
    <mergeCell ref="J681:J685"/>
    <mergeCell ref="K681:K685"/>
    <mergeCell ref="L681:L685"/>
    <mergeCell ref="M681:M685"/>
    <mergeCell ref="N681:N685"/>
    <mergeCell ref="O681:O685"/>
    <mergeCell ref="L686:L690"/>
    <mergeCell ref="M686:M690"/>
    <mergeCell ref="N686:N690"/>
    <mergeCell ref="H681:H685"/>
    <mergeCell ref="N691:N695"/>
    <mergeCell ref="K616:K620"/>
    <mergeCell ref="L616:L620"/>
    <mergeCell ref="M616:M620"/>
    <mergeCell ref="D611:D615"/>
    <mergeCell ref="D616:D620"/>
    <mergeCell ref="E616:E620"/>
    <mergeCell ref="F616:F620"/>
    <mergeCell ref="G616:G620"/>
    <mergeCell ref="H616:H620"/>
    <mergeCell ref="I616:I620"/>
    <mergeCell ref="Q621:Q625"/>
    <mergeCell ref="Q616:Q620"/>
    <mergeCell ref="J611:J615"/>
    <mergeCell ref="I565:I585"/>
    <mergeCell ref="J565:J585"/>
    <mergeCell ref="K565:K585"/>
    <mergeCell ref="L565:L585"/>
    <mergeCell ref="M565:M585"/>
    <mergeCell ref="N565:N585"/>
    <mergeCell ref="D606:D610"/>
    <mergeCell ref="E606:E610"/>
    <mergeCell ref="I596:I600"/>
    <mergeCell ref="D596:D600"/>
    <mergeCell ref="E596:E600"/>
    <mergeCell ref="F596:F600"/>
    <mergeCell ref="G596:G600"/>
    <mergeCell ref="H596:H600"/>
    <mergeCell ref="O621:O625"/>
    <mergeCell ref="P621:P625"/>
    <mergeCell ref="D621:D625"/>
    <mergeCell ref="E621:E625"/>
    <mergeCell ref="F621:F625"/>
    <mergeCell ref="G621:G625"/>
    <mergeCell ref="H621:H625"/>
    <mergeCell ref="I621:I625"/>
    <mergeCell ref="J621:J625"/>
    <mergeCell ref="N616:N620"/>
    <mergeCell ref="O616:O620"/>
    <mergeCell ref="P616:P620"/>
    <mergeCell ref="K621:K625"/>
    <mergeCell ref="L621:L625"/>
    <mergeCell ref="M621:M625"/>
    <mergeCell ref="N621:N625"/>
    <mergeCell ref="I611:I615"/>
    <mergeCell ref="G591:G595"/>
    <mergeCell ref="J616:J620"/>
    <mergeCell ref="K642:K646"/>
    <mergeCell ref="L642:L646"/>
    <mergeCell ref="M642:M646"/>
    <mergeCell ref="N642:N646"/>
    <mergeCell ref="O642:O646"/>
    <mergeCell ref="P642:P646"/>
    <mergeCell ref="Q642:Q646"/>
    <mergeCell ref="D642:D646"/>
    <mergeCell ref="E642:E646"/>
    <mergeCell ref="F642:F646"/>
    <mergeCell ref="G642:G646"/>
    <mergeCell ref="H642:H646"/>
    <mergeCell ref="I642:I646"/>
    <mergeCell ref="J642:J646"/>
    <mergeCell ref="K626:K630"/>
    <mergeCell ref="L626:L630"/>
    <mergeCell ref="M626:M630"/>
    <mergeCell ref="N626:N630"/>
    <mergeCell ref="O626:O630"/>
    <mergeCell ref="P626:P630"/>
    <mergeCell ref="Q626:Q630"/>
    <mergeCell ref="D626:D630"/>
    <mergeCell ref="E626:E630"/>
    <mergeCell ref="F626:F630"/>
    <mergeCell ref="G626:G630"/>
    <mergeCell ref="H626:H630"/>
    <mergeCell ref="A373:A469"/>
    <mergeCell ref="B393:B424"/>
    <mergeCell ref="C393:C424"/>
    <mergeCell ref="B425:B429"/>
    <mergeCell ref="C425:C429"/>
    <mergeCell ref="C430:C434"/>
    <mergeCell ref="A545:A631"/>
    <mergeCell ref="B626:B630"/>
    <mergeCell ref="C626:C630"/>
    <mergeCell ref="C632:C636"/>
    <mergeCell ref="C637:C641"/>
    <mergeCell ref="C642:C646"/>
    <mergeCell ref="C647:C651"/>
    <mergeCell ref="O388:O392"/>
    <mergeCell ref="P388:P392"/>
    <mergeCell ref="Q388:Q392"/>
    <mergeCell ref="I626:I630"/>
    <mergeCell ref="J626:J630"/>
    <mergeCell ref="K632:K636"/>
    <mergeCell ref="L632:L636"/>
    <mergeCell ref="M632:M636"/>
    <mergeCell ref="N632:N636"/>
    <mergeCell ref="O632:O636"/>
    <mergeCell ref="P632:P636"/>
    <mergeCell ref="Q632:Q636"/>
    <mergeCell ref="D632:D636"/>
    <mergeCell ref="E632:E636"/>
    <mergeCell ref="F632:F636"/>
    <mergeCell ref="G632:G636"/>
    <mergeCell ref="H632:H636"/>
    <mergeCell ref="I632:I636"/>
    <mergeCell ref="J632:J636"/>
    <mergeCell ref="B555:B559"/>
    <mergeCell ref="K647:K651"/>
    <mergeCell ref="L647:L651"/>
    <mergeCell ref="M647:M651"/>
    <mergeCell ref="N647:N651"/>
    <mergeCell ref="O647:O651"/>
    <mergeCell ref="P647:P651"/>
    <mergeCell ref="Q647:Q651"/>
    <mergeCell ref="D647:D651"/>
    <mergeCell ref="E647:E651"/>
    <mergeCell ref="F647:F651"/>
    <mergeCell ref="G647:G651"/>
    <mergeCell ref="H647:H651"/>
    <mergeCell ref="I647:I651"/>
    <mergeCell ref="J647:J651"/>
    <mergeCell ref="A471:A543"/>
    <mergeCell ref="B545:B549"/>
    <mergeCell ref="M637:M641"/>
    <mergeCell ref="N637:N641"/>
    <mergeCell ref="O637:O641"/>
    <mergeCell ref="P637:P641"/>
    <mergeCell ref="Q637:Q641"/>
    <mergeCell ref="D637:D641"/>
    <mergeCell ref="E637:E641"/>
    <mergeCell ref="F637:F641"/>
    <mergeCell ref="G637:G641"/>
    <mergeCell ref="H637:H641"/>
    <mergeCell ref="I637:I641"/>
    <mergeCell ref="J637:J641"/>
    <mergeCell ref="K611:K615"/>
    <mergeCell ref="L611:L615"/>
    <mergeCell ref="M611:M615"/>
    <mergeCell ref="H388:H392"/>
    <mergeCell ref="C652:C680"/>
    <mergeCell ref="B686:B690"/>
    <mergeCell ref="C681:C685"/>
    <mergeCell ref="C686:C690"/>
    <mergeCell ref="B435:B439"/>
    <mergeCell ref="C435:C439"/>
    <mergeCell ref="B440:B444"/>
    <mergeCell ref="C440:C444"/>
    <mergeCell ref="B445:B449"/>
    <mergeCell ref="C445:C449"/>
    <mergeCell ref="B450:B454"/>
    <mergeCell ref="C450:C454"/>
    <mergeCell ref="B455:B459"/>
    <mergeCell ref="C455:C459"/>
    <mergeCell ref="B460:B464"/>
    <mergeCell ref="C460:C464"/>
    <mergeCell ref="B465:B469"/>
    <mergeCell ref="C465:C469"/>
    <mergeCell ref="B509:B513"/>
    <mergeCell ref="C509:C513"/>
    <mergeCell ref="B550:B554"/>
    <mergeCell ref="B616:B620"/>
    <mergeCell ref="C616:C620"/>
    <mergeCell ref="B621:B625"/>
    <mergeCell ref="C621:C625"/>
    <mergeCell ref="B539:B543"/>
    <mergeCell ref="C539:C543"/>
    <mergeCell ref="B606:B610"/>
    <mergeCell ref="C606:C610"/>
    <mergeCell ref="B681:B685"/>
    <mergeCell ref="C550:C554"/>
    <mergeCell ref="Q383:Q387"/>
    <mergeCell ref="I383:I387"/>
    <mergeCell ref="J383:J387"/>
    <mergeCell ref="K383:K387"/>
    <mergeCell ref="L383:L387"/>
    <mergeCell ref="M383:M387"/>
    <mergeCell ref="N383:N387"/>
    <mergeCell ref="O383:O387"/>
    <mergeCell ref="K425:K429"/>
    <mergeCell ref="L425:L429"/>
    <mergeCell ref="B378:B382"/>
    <mergeCell ref="C378:C382"/>
    <mergeCell ref="D378:D382"/>
    <mergeCell ref="E378:E382"/>
    <mergeCell ref="F378:F382"/>
    <mergeCell ref="G378:G382"/>
    <mergeCell ref="N388:N392"/>
    <mergeCell ref="B388:B392"/>
    <mergeCell ref="C388:C392"/>
    <mergeCell ref="I388:I392"/>
    <mergeCell ref="J388:J392"/>
    <mergeCell ref="K388:K392"/>
    <mergeCell ref="L388:L392"/>
    <mergeCell ref="M388:M392"/>
    <mergeCell ref="H378:H382"/>
    <mergeCell ref="B383:B387"/>
    <mergeCell ref="C383:C387"/>
    <mergeCell ref="D383:D387"/>
    <mergeCell ref="E383:E387"/>
    <mergeCell ref="F383:F387"/>
    <mergeCell ref="G383:G387"/>
    <mergeCell ref="H383:H387"/>
    <mergeCell ref="O440:O444"/>
    <mergeCell ref="P393:P424"/>
    <mergeCell ref="Q393:Q424"/>
    <mergeCell ref="M425:M429"/>
    <mergeCell ref="N425:N429"/>
    <mergeCell ref="O425:O429"/>
    <mergeCell ref="P425:P429"/>
    <mergeCell ref="Q425:Q429"/>
    <mergeCell ref="I393:I424"/>
    <mergeCell ref="J393:J424"/>
    <mergeCell ref="K393:K424"/>
    <mergeCell ref="L393:L424"/>
    <mergeCell ref="M393:M424"/>
    <mergeCell ref="N393:N424"/>
    <mergeCell ref="O393:O424"/>
    <mergeCell ref="P440:P444"/>
    <mergeCell ref="Q440:Q444"/>
    <mergeCell ref="Q460:Q464"/>
    <mergeCell ref="L430:L434"/>
    <mergeCell ref="M430:M434"/>
    <mergeCell ref="N430:N434"/>
    <mergeCell ref="O430:O434"/>
    <mergeCell ref="P430:P434"/>
    <mergeCell ref="Q430:Q434"/>
    <mergeCell ref="D430:D434"/>
    <mergeCell ref="E430:E434"/>
    <mergeCell ref="F430:F434"/>
    <mergeCell ref="G430:G434"/>
    <mergeCell ref="H430:H434"/>
    <mergeCell ref="I430:I434"/>
    <mergeCell ref="J430:J434"/>
    <mergeCell ref="K445:K449"/>
    <mergeCell ref="L445:L449"/>
    <mergeCell ref="M445:M449"/>
    <mergeCell ref="N445:N449"/>
    <mergeCell ref="O445:O449"/>
    <mergeCell ref="P445:P449"/>
    <mergeCell ref="Q445:Q449"/>
    <mergeCell ref="D445:D449"/>
    <mergeCell ref="E445:E449"/>
    <mergeCell ref="F445:F449"/>
    <mergeCell ref="G445:G449"/>
    <mergeCell ref="H445:H449"/>
    <mergeCell ref="I445:I449"/>
    <mergeCell ref="J445:J449"/>
    <mergeCell ref="K440:K444"/>
    <mergeCell ref="L440:L444"/>
    <mergeCell ref="M440:M444"/>
    <mergeCell ref="N440:N444"/>
    <mergeCell ref="K450:K454"/>
    <mergeCell ref="L450:L454"/>
    <mergeCell ref="M450:M454"/>
    <mergeCell ref="N450:N454"/>
    <mergeCell ref="O450:O454"/>
    <mergeCell ref="P450:P454"/>
    <mergeCell ref="Q450:Q454"/>
    <mergeCell ref="M455:M459"/>
    <mergeCell ref="N455:N459"/>
    <mergeCell ref="D460:D464"/>
    <mergeCell ref="E460:E464"/>
    <mergeCell ref="F460:F464"/>
    <mergeCell ref="G460:G464"/>
    <mergeCell ref="H460:H464"/>
    <mergeCell ref="I460:I464"/>
    <mergeCell ref="J460:J464"/>
    <mergeCell ref="O455:O459"/>
    <mergeCell ref="P455:P459"/>
    <mergeCell ref="Q455:Q459"/>
    <mergeCell ref="F455:F459"/>
    <mergeCell ref="G455:G459"/>
    <mergeCell ref="H455:H459"/>
    <mergeCell ref="I455:I459"/>
    <mergeCell ref="J455:J459"/>
    <mergeCell ref="K455:K459"/>
    <mergeCell ref="L455:L459"/>
    <mergeCell ref="K460:K464"/>
    <mergeCell ref="L460:L464"/>
    <mergeCell ref="M460:M464"/>
    <mergeCell ref="N460:N464"/>
    <mergeCell ref="O460:O464"/>
    <mergeCell ref="P460:P464"/>
    <mergeCell ref="K465:K469"/>
    <mergeCell ref="L465:L469"/>
    <mergeCell ref="M465:M469"/>
    <mergeCell ref="N465:N469"/>
    <mergeCell ref="O465:O469"/>
    <mergeCell ref="P465:P469"/>
    <mergeCell ref="Q465:Q469"/>
    <mergeCell ref="D465:D469"/>
    <mergeCell ref="E465:E469"/>
    <mergeCell ref="F465:F469"/>
    <mergeCell ref="G465:G469"/>
    <mergeCell ref="H465:H469"/>
    <mergeCell ref="I465:I469"/>
    <mergeCell ref="J465:J469"/>
    <mergeCell ref="D471:D475"/>
    <mergeCell ref="E471:E475"/>
    <mergeCell ref="F471:F475"/>
    <mergeCell ref="G471:G475"/>
    <mergeCell ref="H471:H475"/>
    <mergeCell ref="K486:K490"/>
    <mergeCell ref="L486:L490"/>
    <mergeCell ref="M486:M490"/>
    <mergeCell ref="N486:N490"/>
    <mergeCell ref="O486:O490"/>
    <mergeCell ref="P486:P490"/>
    <mergeCell ref="Q486:Q490"/>
    <mergeCell ref="D486:D490"/>
    <mergeCell ref="E486:E490"/>
    <mergeCell ref="F486:F490"/>
    <mergeCell ref="G486:G490"/>
    <mergeCell ref="H486:H490"/>
    <mergeCell ref="I486:I490"/>
    <mergeCell ref="J486:J490"/>
    <mergeCell ref="P471:P475"/>
    <mergeCell ref="Q471:Q475"/>
    <mergeCell ref="I471:I475"/>
    <mergeCell ref="J471:J475"/>
    <mergeCell ref="K471:K475"/>
    <mergeCell ref="L471:L475"/>
    <mergeCell ref="M471:M475"/>
    <mergeCell ref="N471:N475"/>
    <mergeCell ref="O471:O475"/>
    <mergeCell ref="K476:K480"/>
    <mergeCell ref="L476:L480"/>
    <mergeCell ref="M476:M480"/>
    <mergeCell ref="N476:N480"/>
    <mergeCell ref="O476:O480"/>
    <mergeCell ref="P476:P480"/>
    <mergeCell ref="Q476:Q480"/>
    <mergeCell ref="D476:D480"/>
    <mergeCell ref="E476:E480"/>
    <mergeCell ref="F476:F480"/>
    <mergeCell ref="G476:G480"/>
    <mergeCell ref="H476:H480"/>
    <mergeCell ref="I476:I480"/>
    <mergeCell ref="J476:J480"/>
    <mergeCell ref="K481:K485"/>
    <mergeCell ref="L481:L485"/>
    <mergeCell ref="M481:M485"/>
    <mergeCell ref="N481:N485"/>
    <mergeCell ref="O481:O485"/>
    <mergeCell ref="P481:P485"/>
    <mergeCell ref="Q481:Q485"/>
    <mergeCell ref="D481:D485"/>
    <mergeCell ref="E481:E485"/>
    <mergeCell ref="F481:F485"/>
    <mergeCell ref="G481:G485"/>
    <mergeCell ref="H481:H485"/>
    <mergeCell ref="I481:I485"/>
    <mergeCell ref="J481:J485"/>
    <mergeCell ref="O491:O498"/>
    <mergeCell ref="P491:P498"/>
    <mergeCell ref="Q492:Q498"/>
    <mergeCell ref="D492:D498"/>
    <mergeCell ref="E492:E498"/>
    <mergeCell ref="F492:F498"/>
    <mergeCell ref="G492:G498"/>
    <mergeCell ref="H492:H498"/>
    <mergeCell ref="I492:I498"/>
    <mergeCell ref="D499:D503"/>
    <mergeCell ref="I499:I503"/>
    <mergeCell ref="O499:O503"/>
    <mergeCell ref="P499:P503"/>
    <mergeCell ref="Q499:Q503"/>
    <mergeCell ref="G499:G503"/>
    <mergeCell ref="H499:H503"/>
    <mergeCell ref="J499:J503"/>
    <mergeCell ref="K499:K503"/>
    <mergeCell ref="L499:L503"/>
    <mergeCell ref="M499:M503"/>
    <mergeCell ref="N499:N503"/>
    <mergeCell ref="E499:E503"/>
    <mergeCell ref="F499:F503"/>
    <mergeCell ref="D504:D508"/>
    <mergeCell ref="E504:E508"/>
    <mergeCell ref="F504:F508"/>
    <mergeCell ref="G504:G508"/>
    <mergeCell ref="H504:H508"/>
    <mergeCell ref="P504:P508"/>
    <mergeCell ref="Q504:Q508"/>
    <mergeCell ref="I504:I508"/>
    <mergeCell ref="J504:J508"/>
    <mergeCell ref="K504:K508"/>
    <mergeCell ref="L504:L508"/>
    <mergeCell ref="M504:M508"/>
    <mergeCell ref="N504:N508"/>
    <mergeCell ref="O504:O508"/>
    <mergeCell ref="C471:C475"/>
    <mergeCell ref="B476:B480"/>
    <mergeCell ref="C476:C480"/>
    <mergeCell ref="B481:B485"/>
    <mergeCell ref="C481:C485"/>
    <mergeCell ref="B486:B490"/>
    <mergeCell ref="C486:C490"/>
    <mergeCell ref="B492:B498"/>
    <mergeCell ref="C492:C498"/>
    <mergeCell ref="B499:B503"/>
    <mergeCell ref="C499:C503"/>
    <mergeCell ref="B504:B508"/>
    <mergeCell ref="C504:C508"/>
    <mergeCell ref="J491:J498"/>
    <mergeCell ref="K491:K498"/>
    <mergeCell ref="L491:L498"/>
    <mergeCell ref="M491:M498"/>
    <mergeCell ref="N491:N498"/>
    <mergeCell ref="D509:D513"/>
    <mergeCell ref="E509:E513"/>
    <mergeCell ref="F509:F513"/>
    <mergeCell ref="G509:G513"/>
    <mergeCell ref="H509:H513"/>
    <mergeCell ref="K529:K533"/>
    <mergeCell ref="L529:L533"/>
    <mergeCell ref="M529:M533"/>
    <mergeCell ref="N529:N533"/>
    <mergeCell ref="O529:O533"/>
    <mergeCell ref="P529:P533"/>
    <mergeCell ref="Q529:Q533"/>
    <mergeCell ref="D529:D533"/>
    <mergeCell ref="E529:E533"/>
    <mergeCell ref="F529:F533"/>
    <mergeCell ref="G529:G533"/>
    <mergeCell ref="H529:H533"/>
    <mergeCell ref="I529:I533"/>
    <mergeCell ref="J529:J533"/>
    <mergeCell ref="P509:P513"/>
    <mergeCell ref="Q509:Q513"/>
    <mergeCell ref="I509:I513"/>
    <mergeCell ref="J509:J513"/>
    <mergeCell ref="K509:K513"/>
    <mergeCell ref="L509:L513"/>
    <mergeCell ref="M509:M513"/>
    <mergeCell ref="N509:N513"/>
    <mergeCell ref="O509:O513"/>
    <mergeCell ref="K514:K518"/>
    <mergeCell ref="L514:L518"/>
    <mergeCell ref="E514:E518"/>
    <mergeCell ref="F514:F518"/>
    <mergeCell ref="G514:G518"/>
    <mergeCell ref="H514:H518"/>
    <mergeCell ref="I514:I518"/>
    <mergeCell ref="J514:J518"/>
    <mergeCell ref="K519:K523"/>
    <mergeCell ref="L519:L523"/>
    <mergeCell ref="M519:M523"/>
    <mergeCell ref="N519:N523"/>
    <mergeCell ref="O519:O523"/>
    <mergeCell ref="P519:P523"/>
    <mergeCell ref="Q519:Q523"/>
    <mergeCell ref="D519:D523"/>
    <mergeCell ref="E519:E523"/>
    <mergeCell ref="F519:F523"/>
    <mergeCell ref="G519:G523"/>
    <mergeCell ref="H519:H523"/>
    <mergeCell ref="I519:I523"/>
    <mergeCell ref="J519:J523"/>
    <mergeCell ref="K534:K538"/>
    <mergeCell ref="L534:L538"/>
    <mergeCell ref="M534:M538"/>
    <mergeCell ref="N534:N538"/>
    <mergeCell ref="O534:O538"/>
    <mergeCell ref="P534:P538"/>
    <mergeCell ref="Q534:Q538"/>
    <mergeCell ref="D534:D538"/>
    <mergeCell ref="E534:E538"/>
    <mergeCell ref="F534:F538"/>
    <mergeCell ref="G534:G538"/>
    <mergeCell ref="H534:H538"/>
    <mergeCell ref="I534:I538"/>
    <mergeCell ref="J534:J538"/>
    <mergeCell ref="B430:B434"/>
    <mergeCell ref="B471:B475"/>
    <mergeCell ref="B514:B518"/>
    <mergeCell ref="C514:C518"/>
    <mergeCell ref="B519:B523"/>
    <mergeCell ref="C519:C523"/>
    <mergeCell ref="B524:B528"/>
    <mergeCell ref="C524:C528"/>
    <mergeCell ref="B529:B533"/>
    <mergeCell ref="C529:C533"/>
    <mergeCell ref="B534:B538"/>
    <mergeCell ref="C534:C538"/>
    <mergeCell ref="M514:M518"/>
    <mergeCell ref="N514:N518"/>
    <mergeCell ref="O514:O518"/>
    <mergeCell ref="P514:P518"/>
    <mergeCell ref="Q514:Q518"/>
    <mergeCell ref="D514:D518"/>
    <mergeCell ref="B560:B564"/>
    <mergeCell ref="C560:C564"/>
    <mergeCell ref="B565:B585"/>
    <mergeCell ref="C565:C585"/>
    <mergeCell ref="B586:B590"/>
    <mergeCell ref="C586:C590"/>
    <mergeCell ref="B611:B615"/>
    <mergeCell ref="C611:C615"/>
    <mergeCell ref="F611:F615"/>
    <mergeCell ref="G611:G615"/>
    <mergeCell ref="B596:B600"/>
    <mergeCell ref="C596:C600"/>
    <mergeCell ref="G606:G610"/>
    <mergeCell ref="H606:H610"/>
    <mergeCell ref="D586:D590"/>
    <mergeCell ref="E586:E590"/>
    <mergeCell ref="F586:F590"/>
    <mergeCell ref="G586:G590"/>
    <mergeCell ref="H586:H590"/>
    <mergeCell ref="F606:F610"/>
    <mergeCell ref="H591:H595"/>
    <mergeCell ref="E611:E615"/>
    <mergeCell ref="H611:H615"/>
    <mergeCell ref="D652:D680"/>
    <mergeCell ref="E652:E680"/>
    <mergeCell ref="F652:F680"/>
    <mergeCell ref="G652:G680"/>
    <mergeCell ref="H652:H680"/>
    <mergeCell ref="K701:K705"/>
    <mergeCell ref="L701:L705"/>
    <mergeCell ref="M701:M705"/>
    <mergeCell ref="N701:N705"/>
    <mergeCell ref="O701:O705"/>
    <mergeCell ref="P701:P705"/>
    <mergeCell ref="Q701:Q705"/>
    <mergeCell ref="D701:D705"/>
    <mergeCell ref="E701:E705"/>
    <mergeCell ref="F701:F705"/>
    <mergeCell ref="G701:G705"/>
    <mergeCell ref="H701:H705"/>
    <mergeCell ref="I701:I705"/>
    <mergeCell ref="J701:J705"/>
    <mergeCell ref="F686:F690"/>
    <mergeCell ref="G686:G690"/>
    <mergeCell ref="O686:O690"/>
    <mergeCell ref="P686:P690"/>
    <mergeCell ref="Q686:Q690"/>
    <mergeCell ref="H686:H690"/>
    <mergeCell ref="I686:I690"/>
    <mergeCell ref="J686:J690"/>
    <mergeCell ref="K686:K690"/>
    <mergeCell ref="E686:E690"/>
    <mergeCell ref="K691:K695"/>
    <mergeCell ref="L691:L695"/>
    <mergeCell ref="M691:M695"/>
    <mergeCell ref="D691:D695"/>
    <mergeCell ref="E691:E695"/>
    <mergeCell ref="F691:F695"/>
    <mergeCell ref="G691:G695"/>
    <mergeCell ref="H691:H695"/>
    <mergeCell ref="I691:I695"/>
    <mergeCell ref="J691:J695"/>
    <mergeCell ref="D706:D710"/>
    <mergeCell ref="E706:E710"/>
    <mergeCell ref="P706:P710"/>
    <mergeCell ref="Q706:Q710"/>
    <mergeCell ref="F706:F710"/>
    <mergeCell ref="G706:G710"/>
    <mergeCell ref="H706:H710"/>
    <mergeCell ref="I706:I710"/>
    <mergeCell ref="J706:J710"/>
    <mergeCell ref="K706:K710"/>
    <mergeCell ref="L706:L710"/>
    <mergeCell ref="N696:N700"/>
    <mergeCell ref="O696:O700"/>
    <mergeCell ref="P696:P700"/>
    <mergeCell ref="Q696:Q700"/>
    <mergeCell ref="D696:D700"/>
    <mergeCell ref="E696:E700"/>
    <mergeCell ref="O691:O695"/>
    <mergeCell ref="P691:P695"/>
    <mergeCell ref="Q691:Q695"/>
    <mergeCell ref="M706:M710"/>
    <mergeCell ref="N706:N710"/>
    <mergeCell ref="O706:O710"/>
    <mergeCell ref="F696:F700"/>
    <mergeCell ref="G696:G700"/>
  </mergeCells>
  <dataValidations count="5">
    <dataValidation type="list" allowBlank="1" showErrorMessage="1" sqref="E14 E19 E24 E29 E48 E52 E56 E60 E64 E67 E71 E75 E84 E87 E91 E95 E101 E105 E110 E115 E120 E125 E130 E135 E145 E150 E155 E166 E171 E176 E181 E186 E191 E196 E201 E206 E211 E216 E227 E232 E237 E242 E247 E252 E257">
      <formula1>INDIRECT($D14)</formula1>
    </dataValidation>
    <dataValidation type="list" allowBlank="1" showInputMessage="1" showErrorMessage="1" prompt="Orientación: - Escoja un Lineamiento Estratégico de la lista despegable." sqref="E9 E80 E161 E222 E263 E268 E273 E278 E283 E327 E337 E342 E347 E352 E357 E362 E367 E373 E378 E383 E388 E393 E425 E430 E435 E440 E445 E450 E455 E460 E465 E471 E476 E481 E486 E491:E492 E499 E504 E509 E514 E519 E524 E529 E534 E539 E545 E550 E555 E560 E565 E586 E596 E601 E606 E611 E616 E621 E626 E632 E637 E642 E647 E652 E681 E686 E691 E696 E701 E706 E711 E716 E721 E727 E732 E737 E742 E747 E799 E804 E809 E814 E819 E824 E829 E834 E839">
      <formula1>INDIRECT($D9)</formula1>
    </dataValidation>
    <dataValidation type="list" allowBlank="1" showInputMessage="1" showErrorMessage="1" prompt="Orientación: - Escoja un Eje Estratégico de la lista despegable." sqref="D9 D80 D161 D222 D263 D268 D273 D278 D283 D327 D337 D347 D352 D357 D362 D367 D373 D378 D383 D388 D393 D425 D430 D435 D440 D445 D450 D455 D460 D465 D471 D476 D481 D486 D491:D492 D499 D504 D509 D514 D519 D524 D529 D534 D539 D545 D550 D555 D560 D565 D586 D596 D606 D611 D616 D621 D626 D632 D637 D642 D647 D652 D681 D686 D691 D696 D701 D706 D711 D716 D721 D727 D732 D737 D742 D747 D799 D804 D809 D814 D819 D824 D829 D834 D839">
      <formula1>INDIRECT($F9)</formula1>
    </dataValidation>
    <dataValidation type="list" allowBlank="1" showErrorMessage="1" sqref="D14 D19 D24 D29 D48 D52 D56 D60 D64 D67 D71 D75 D84 D87 D91 D95 D101 D105 D110 D115 D120 D125 D130 D135 D140 D145 D150 D155 D166 D171 D176 D181 D186 D191 D196 D201 D206 D211 D216 D227 D232 D237 D242 D247 D252 D257">
      <formula1>INDIRECT($F14)</formula1>
    </dataValidation>
    <dataValidation type="decimal" allowBlank="1" showInputMessage="1" showErrorMessage="1" prompt="DPLAN - Sólo debe ingresar valores, NO porcentajes." sqref="L9:N9 L29:N29 L48:N48 L56:N56 L60:N60 L67:N67 L71:N71 L75:N75 L80:N80 L101:N101 L105:N105 L110:N110 L125:N125 L130:N130 L140:N140 L145:N145 L150:N150 L155:N155 L161:N161 L181:N181 L186:N186 L196:N196 L201:N201 L211:N211 M212:M215 L216:N216 L222:N222 L242:N242 L247:N247 L252:N252 L263:N263 L268:N268 L273:N273 L278:N278 L283:N283 L327:N327 L332:N332 L337:N337 L342:N342 L347:N347 L352:N352 L357:N357 L362:N362 L367:N367 L373:N373 L378:N378 L383:N383 L388:N388 L393:N393 L425:N425 L430:N430 L435:N435 L440:N440 L445:N445 L450:N450 L455:N455 L460:N460 L465:N465 L471:N471 L476:N476 L481:N481 L486:N486 L491:N491 L499:N499 L504:N504 L509:N509 L514:N514 L519:N519 L524:N524 L529:N529 L534:N534 L539:N539 L545:N545 L550:N550 L555:N555 L560:N560 L565:N565 L586:N586 L591:N591 L596:N596 L601:N601 L606:N606 L611:N611 L616:N616 L621:N621 L626:N626 L632:N632 L637:N637 L642:N642 L647:N647 L652:N652 L681:N681 L686:N686 L691:N691 L696:N696 L701:N701 L706:N706 L711:N711 L716:N716 L721:N721 L727:N727 L732:N732 L737:N737 L742:N742 L747:N747 L799:N799 L804:N804 L809:N809 L814:N814 L819:N819 L824:N824 L829:N829 L834:N834 L839:N839">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&amp;"Cambria,Cursiva"&amp;12&amp;K0070C0Facultad de Ciencias Empresariales&amp;C&amp;"Century Schoolbook,Normal"&amp;12&amp;K002060&amp;P</oddHeader>
  </headerFooter>
  <drawing r:id="rId2"/>
  <extLst>
    <ext xmlns:x14="http://schemas.microsoft.com/office/spreadsheetml/2009/9/main" uri="{CCE6A557-97BC-4b89-ADB6-D9C93CAAB3DF}">
      <x14:dataValidations xmlns:xm="http://schemas.microsoft.com/office/excel/2006/main" count="9">
        <x14:dataValidation type="list" allowBlank="1" showInputMessage="1" showErrorMessage="1" prompt="Orientación: - Escoja un OEI de la lista despegable.">
          <x14:formula1>
            <xm:f>PEDI!#REF!</xm:f>
          </x14:formula1>
          <xm:sqref>F9</xm:sqref>
        </x14:dataValidation>
        <x14:dataValidation type="list" allowBlank="1" showInputMessage="1" showErrorMessage="1" prompt="Orientación: - Escoja una Estrategia DAFO de la lista despegable.">
          <x14:formula1>
            <xm:f>INDIRECT('Estrategias DAFO'!#REF!)</xm:f>
          </x14:formula1>
          <xm:sqref>H9</xm:sqref>
        </x14:dataValidation>
        <x14:dataValidation type="list" allowBlank="1" showInputMessage="1" showErrorMessage="1" prompt="Orientación: - Escoja una Política Pública/Meta Nacional de la lista despegable.">
          <x14:formula1>
            <xm:f>PND!#REF!</xm:f>
          </x14:formula1>
          <xm:sqref>C9</xm:sqref>
        </x14:dataValidation>
        <x14:dataValidation type="list" allowBlank="1" showErrorMessage="1">
          <x14:formula1>
            <xm:f>INDIRECT('Estrategias DAFO'!#REF!)</xm:f>
          </x14:formula1>
          <xm:sqref>H14 H19 H24 H29 H48 H52 H56 H60 H64 H67 H71 H75</xm:sqref>
        </x14:dataValidation>
        <x14:dataValidation type="list" allowBlank="1" showErrorMessage="1">
          <x14:formula1>
            <xm:f>PND!#REF!</xm:f>
          </x14:formula1>
          <xm:sqref>B14:C14 B19:C19 B24:C24 B29:C29 B48:C48 B52:C52 B56:C56 B60:C60 B64:C64 B67:C67 B71:C71 B75:C75</xm:sqref>
        </x14:dataValidation>
        <x14:dataValidation type="list" allowBlank="1" showErrorMessage="1">
          <x14:formula1>
            <xm:f>(PEDI!#REF!)</xm:f>
          </x14:formula1>
          <xm:sqref>G14 G19 G24 G29 G48 G52 G56 G60 G64 G67 G71 G75</xm:sqref>
        </x14:dataValidation>
        <x14:dataValidation type="list" allowBlank="1" showInputMessage="1" showErrorMessage="1" prompt="Orientación: - Escoja un Objetivo Nacional de la lista despegable.">
          <x14:formula1>
            <xm:f>PND!#REF!</xm:f>
          </x14:formula1>
          <xm:sqref>B9</xm:sqref>
        </x14:dataValidation>
        <x14:dataValidation type="list" allowBlank="1" showErrorMessage="1">
          <x14:formula1>
            <xm:f>PEDI!#REF!</xm:f>
          </x14:formula1>
          <xm:sqref>F14 F19 F24 F29 F48 F52 F56 F60 F64 F67 F71 F75</xm:sqref>
        </x14:dataValidation>
        <x14:dataValidation type="list" allowBlank="1" showInputMessage="1" showErrorMessage="1" prompt="Orientación: - Escoja un Producto Institucional de la lista despegable.">
          <x14:formula1>
            <xm:f>(PEDI!#REF!)</xm:f>
          </x14:formula1>
          <xm:sqref>G9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AE689"/>
  <sheetViews>
    <sheetView showGridLines="0" topLeftCell="P1" workbookViewId="0">
      <selection activeCell="R10" sqref="R10"/>
    </sheetView>
  </sheetViews>
  <sheetFormatPr baseColWidth="10" defaultColWidth="12.5703125" defaultRowHeight="15.75" customHeight="1"/>
  <cols>
    <col min="1" max="1" width="7.5703125" customWidth="1"/>
    <col min="2" max="11" width="22.42578125" customWidth="1"/>
    <col min="12" max="14" width="8.7109375" customWidth="1"/>
    <col min="15" max="17" width="22.42578125" customWidth="1"/>
    <col min="18" max="18" width="34.5703125" customWidth="1"/>
    <col min="19" max="19" width="16.42578125" customWidth="1"/>
    <col min="20" max="20" width="26.42578125" customWidth="1"/>
    <col min="21" max="21" width="39.5703125" customWidth="1"/>
    <col min="22" max="22" width="26.85546875" customWidth="1"/>
    <col min="23" max="23" width="13.42578125" customWidth="1"/>
    <col min="24" max="24" width="16.42578125" customWidth="1"/>
    <col min="25" max="25" width="15.85546875" customWidth="1"/>
    <col min="26" max="26" width="12" customWidth="1"/>
    <col min="27" max="27" width="14.85546875" customWidth="1"/>
    <col min="28" max="30" width="7.7109375" customWidth="1"/>
    <col min="31" max="31" width="19.7109375" customWidth="1"/>
  </cols>
  <sheetData>
    <row r="1" spans="1:31" ht="43.5"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row>
    <row r="2" spans="1:31"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row>
    <row r="3" spans="1:31" ht="30.75">
      <c r="A3" s="4254" t="s">
        <v>2427</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row>
    <row r="4" spans="1:31"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row>
    <row r="5" spans="1:31" ht="16.5" customHeigh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row>
    <row r="6" spans="1:31" ht="24.75" customHeight="1">
      <c r="A6" s="5559" t="s">
        <v>200</v>
      </c>
      <c r="B6" s="5422" t="s">
        <v>201</v>
      </c>
      <c r="C6" s="5423"/>
      <c r="D6" s="5424" t="s">
        <v>202</v>
      </c>
      <c r="E6" s="5425"/>
      <c r="F6" s="5425"/>
      <c r="G6" s="5425"/>
      <c r="H6" s="5426"/>
      <c r="I6" s="5453" t="s">
        <v>203</v>
      </c>
      <c r="J6" s="5454"/>
      <c r="K6" s="5454"/>
      <c r="L6" s="5454"/>
      <c r="M6" s="5454"/>
      <c r="N6" s="5454"/>
      <c r="O6" s="5454"/>
      <c r="P6" s="5454"/>
      <c r="Q6" s="5455"/>
      <c r="R6" s="5456" t="s">
        <v>204</v>
      </c>
      <c r="S6" s="5457"/>
      <c r="T6" s="5457"/>
      <c r="U6" s="5457"/>
      <c r="V6" s="5457"/>
      <c r="W6" s="5457"/>
      <c r="X6" s="5457"/>
      <c r="Y6" s="5457"/>
      <c r="Z6" s="5457"/>
      <c r="AA6" s="5457"/>
      <c r="AB6" s="5457"/>
      <c r="AC6" s="5457"/>
      <c r="AD6" s="5457"/>
      <c r="AE6" s="5458"/>
    </row>
    <row r="7" spans="1:31" ht="39.75" customHeight="1">
      <c r="A7" s="5560"/>
      <c r="B7" s="5411" t="s">
        <v>205</v>
      </c>
      <c r="C7" s="5437" t="s">
        <v>206</v>
      </c>
      <c r="D7" s="5408" t="s">
        <v>207</v>
      </c>
      <c r="E7" s="5408" t="s">
        <v>208</v>
      </c>
      <c r="F7" s="5408" t="s">
        <v>209</v>
      </c>
      <c r="G7" s="5408" t="s">
        <v>210</v>
      </c>
      <c r="H7" s="5408" t="s">
        <v>211</v>
      </c>
      <c r="I7" s="5430" t="s">
        <v>212</v>
      </c>
      <c r="J7" s="5413" t="s">
        <v>213</v>
      </c>
      <c r="K7" s="5413" t="s">
        <v>214</v>
      </c>
      <c r="L7" s="5432" t="s">
        <v>215</v>
      </c>
      <c r="M7" s="5433"/>
      <c r="N7" s="5434"/>
      <c r="O7" s="5413" t="s">
        <v>216</v>
      </c>
      <c r="P7" s="5413" t="s">
        <v>217</v>
      </c>
      <c r="Q7" s="5435" t="s">
        <v>218</v>
      </c>
      <c r="R7" s="5459" t="s">
        <v>219</v>
      </c>
      <c r="S7" s="5460"/>
      <c r="T7" s="5460"/>
      <c r="U7" s="5460"/>
      <c r="V7" s="5460"/>
      <c r="W7" s="5460"/>
      <c r="X7" s="5461"/>
      <c r="Y7" s="5462" t="s">
        <v>220</v>
      </c>
      <c r="Z7" s="5460"/>
      <c r="AA7" s="5461"/>
      <c r="AB7" s="5462" t="s">
        <v>221</v>
      </c>
      <c r="AC7" s="5460"/>
      <c r="AD7" s="5461"/>
      <c r="AE7" s="5463" t="s">
        <v>222</v>
      </c>
    </row>
    <row r="8" spans="1:31" ht="51.75" customHeight="1" thickBot="1">
      <c r="A8" s="5561"/>
      <c r="B8" s="5412"/>
      <c r="C8" s="5438"/>
      <c r="D8" s="5409"/>
      <c r="E8" s="5409"/>
      <c r="F8" s="5409"/>
      <c r="G8" s="5409"/>
      <c r="H8" s="5409"/>
      <c r="I8" s="5431"/>
      <c r="J8" s="5414"/>
      <c r="K8" s="5414"/>
      <c r="L8" s="713" t="s">
        <v>223</v>
      </c>
      <c r="M8" s="713" t="s">
        <v>224</v>
      </c>
      <c r="N8" s="713" t="s">
        <v>225</v>
      </c>
      <c r="O8" s="5414"/>
      <c r="P8" s="5414"/>
      <c r="Q8" s="5436"/>
      <c r="R8" s="714" t="s">
        <v>226</v>
      </c>
      <c r="S8" s="965" t="s">
        <v>227</v>
      </c>
      <c r="T8" s="965" t="s">
        <v>228</v>
      </c>
      <c r="U8" s="965" t="s">
        <v>229</v>
      </c>
      <c r="V8" s="965" t="s">
        <v>230</v>
      </c>
      <c r="W8" s="965" t="s">
        <v>2428</v>
      </c>
      <c r="X8" s="716" t="s">
        <v>231</v>
      </c>
      <c r="Y8" s="965" t="s">
        <v>232</v>
      </c>
      <c r="Z8" s="965" t="s">
        <v>233</v>
      </c>
      <c r="AA8" s="965" t="s">
        <v>234</v>
      </c>
      <c r="AB8" s="966" t="s">
        <v>223</v>
      </c>
      <c r="AC8" s="966" t="s">
        <v>224</v>
      </c>
      <c r="AD8" s="966" t="s">
        <v>225</v>
      </c>
      <c r="AE8" s="5464"/>
    </row>
    <row r="9" spans="1:31" ht="71.25" customHeight="1">
      <c r="A9" s="5554" t="s">
        <v>1476</v>
      </c>
      <c r="B9" s="5557" t="s">
        <v>235</v>
      </c>
      <c r="C9" s="5541" t="s">
        <v>236</v>
      </c>
      <c r="D9" s="5541" t="s">
        <v>237</v>
      </c>
      <c r="E9" s="5541" t="s">
        <v>326</v>
      </c>
      <c r="F9" s="5570" t="s">
        <v>239</v>
      </c>
      <c r="G9" s="5541" t="s">
        <v>240</v>
      </c>
      <c r="H9" s="5541" t="s">
        <v>257</v>
      </c>
      <c r="I9" s="5541" t="s">
        <v>2429</v>
      </c>
      <c r="J9" s="5541" t="s">
        <v>2430</v>
      </c>
      <c r="K9" s="5541" t="s">
        <v>2431</v>
      </c>
      <c r="L9" s="5565">
        <v>1</v>
      </c>
      <c r="M9" s="5565">
        <v>1</v>
      </c>
      <c r="N9" s="5565">
        <v>1</v>
      </c>
      <c r="O9" s="5541" t="s">
        <v>2432</v>
      </c>
      <c r="P9" s="5541" t="s">
        <v>2433</v>
      </c>
      <c r="Q9" s="5562" t="s">
        <v>2434</v>
      </c>
      <c r="R9" s="4072"/>
      <c r="S9" s="2039"/>
      <c r="T9" s="2040"/>
      <c r="U9" s="176"/>
      <c r="V9" s="968"/>
      <c r="W9" s="414"/>
      <c r="X9" s="968"/>
      <c r="Y9" s="969"/>
      <c r="Z9" s="969"/>
      <c r="AA9" s="969"/>
      <c r="AB9" s="155"/>
      <c r="AC9" s="492"/>
      <c r="AD9" s="156"/>
      <c r="AE9" s="1728"/>
    </row>
    <row r="10" spans="1:31" ht="34.5" customHeight="1">
      <c r="A10" s="5555"/>
      <c r="B10" s="5528"/>
      <c r="C10" s="5515"/>
      <c r="D10" s="5515"/>
      <c r="E10" s="5515"/>
      <c r="F10" s="5515"/>
      <c r="G10" s="5515"/>
      <c r="H10" s="5515"/>
      <c r="I10" s="5515"/>
      <c r="J10" s="5515"/>
      <c r="K10" s="5515"/>
      <c r="L10" s="5515"/>
      <c r="M10" s="5515"/>
      <c r="N10" s="5515"/>
      <c r="O10" s="5515"/>
      <c r="P10" s="5515"/>
      <c r="Q10" s="5563"/>
      <c r="R10" s="2041"/>
      <c r="S10" s="2040"/>
      <c r="T10" s="2040"/>
      <c r="U10" s="1217"/>
      <c r="V10" s="968"/>
      <c r="W10" s="414"/>
      <c r="X10" s="968"/>
      <c r="Y10" s="969"/>
      <c r="Z10" s="969"/>
      <c r="AA10" s="969"/>
      <c r="AB10" s="170"/>
      <c r="AC10" s="282"/>
      <c r="AD10" s="282"/>
      <c r="AE10" s="1715"/>
    </row>
    <row r="11" spans="1:31" ht="34.5" customHeight="1">
      <c r="A11" s="5555"/>
      <c r="B11" s="5528"/>
      <c r="C11" s="5515"/>
      <c r="D11" s="5515"/>
      <c r="E11" s="5515"/>
      <c r="F11" s="5515"/>
      <c r="G11" s="5515"/>
      <c r="H11" s="5515"/>
      <c r="I11" s="5515"/>
      <c r="J11" s="5515"/>
      <c r="K11" s="5515"/>
      <c r="L11" s="5515"/>
      <c r="M11" s="5515"/>
      <c r="N11" s="5515"/>
      <c r="O11" s="5515"/>
      <c r="P11" s="5515"/>
      <c r="Q11" s="5563"/>
      <c r="R11" s="2042"/>
      <c r="S11" s="2043"/>
      <c r="T11" s="2043"/>
      <c r="U11" s="1217"/>
      <c r="V11" s="968"/>
      <c r="W11" s="414"/>
      <c r="X11" s="973"/>
      <c r="Y11" s="974"/>
      <c r="Z11" s="974"/>
      <c r="AA11" s="969"/>
      <c r="AB11" s="170"/>
      <c r="AC11" s="282"/>
      <c r="AD11" s="282"/>
      <c r="AE11" s="1715"/>
    </row>
    <row r="12" spans="1:31" ht="34.5" customHeight="1">
      <c r="A12" s="5555"/>
      <c r="B12" s="5528"/>
      <c r="C12" s="5515"/>
      <c r="D12" s="5515"/>
      <c r="E12" s="5515"/>
      <c r="F12" s="5515"/>
      <c r="G12" s="5515"/>
      <c r="H12" s="5515"/>
      <c r="I12" s="5515"/>
      <c r="J12" s="5515"/>
      <c r="K12" s="5515"/>
      <c r="L12" s="5515"/>
      <c r="M12" s="5515"/>
      <c r="N12" s="5515"/>
      <c r="O12" s="5515"/>
      <c r="P12" s="5515"/>
      <c r="Q12" s="5563"/>
      <c r="R12" s="2041"/>
      <c r="S12" s="2040"/>
      <c r="T12" s="2040"/>
      <c r="U12" s="1217"/>
      <c r="V12" s="968"/>
      <c r="W12" s="414"/>
      <c r="X12" s="973"/>
      <c r="Y12" s="974"/>
      <c r="Z12" s="974"/>
      <c r="AA12" s="969"/>
      <c r="AB12" s="170"/>
      <c r="AC12" s="282"/>
      <c r="AD12" s="282"/>
      <c r="AE12" s="1715"/>
    </row>
    <row r="13" spans="1:31" ht="34.5" customHeight="1">
      <c r="A13" s="5555"/>
      <c r="B13" s="5529"/>
      <c r="C13" s="5510"/>
      <c r="D13" s="5510"/>
      <c r="E13" s="5510"/>
      <c r="F13" s="5510"/>
      <c r="G13" s="5510"/>
      <c r="H13" s="5510"/>
      <c r="I13" s="5510"/>
      <c r="J13" s="5510"/>
      <c r="K13" s="5510"/>
      <c r="L13" s="5510"/>
      <c r="M13" s="5510"/>
      <c r="N13" s="5510"/>
      <c r="O13" s="5510"/>
      <c r="P13" s="5510"/>
      <c r="Q13" s="5564"/>
      <c r="R13" s="975"/>
      <c r="S13" s="2044"/>
      <c r="T13" s="2044"/>
      <c r="U13" s="411"/>
      <c r="V13" s="977"/>
      <c r="W13" s="165"/>
      <c r="X13" s="978"/>
      <c r="Y13" s="978"/>
      <c r="Z13" s="978"/>
      <c r="AA13" s="979"/>
      <c r="AB13" s="165"/>
      <c r="AC13" s="166"/>
      <c r="AD13" s="166"/>
      <c r="AE13" s="980"/>
    </row>
    <row r="14" spans="1:31" ht="60" customHeight="1">
      <c r="A14" s="5555"/>
      <c r="B14" s="5527" t="s">
        <v>235</v>
      </c>
      <c r="C14" s="5514" t="s">
        <v>236</v>
      </c>
      <c r="D14" s="5514" t="s">
        <v>237</v>
      </c>
      <c r="E14" s="5514" t="s">
        <v>326</v>
      </c>
      <c r="F14" s="5526" t="s">
        <v>239</v>
      </c>
      <c r="G14" s="5514" t="s">
        <v>240</v>
      </c>
      <c r="H14" s="5514" t="s">
        <v>257</v>
      </c>
      <c r="I14" s="5514" t="s">
        <v>2435</v>
      </c>
      <c r="J14" s="5514" t="s">
        <v>1482</v>
      </c>
      <c r="K14" s="5514" t="s">
        <v>2436</v>
      </c>
      <c r="L14" s="5519">
        <v>2</v>
      </c>
      <c r="M14" s="5519">
        <v>2</v>
      </c>
      <c r="N14" s="5519">
        <v>2</v>
      </c>
      <c r="O14" s="5514" t="s">
        <v>2437</v>
      </c>
      <c r="P14" s="5525" t="s">
        <v>2438</v>
      </c>
      <c r="Q14" s="5516" t="s">
        <v>2439</v>
      </c>
      <c r="R14" s="2041"/>
      <c r="S14" s="2040"/>
      <c r="T14" s="2040"/>
      <c r="U14" s="176"/>
      <c r="V14" s="968"/>
      <c r="W14" s="414"/>
      <c r="X14" s="973"/>
      <c r="Y14" s="973"/>
      <c r="Z14" s="973"/>
      <c r="AA14" s="981"/>
      <c r="AB14" s="414"/>
      <c r="AC14" s="174"/>
      <c r="AD14" s="174"/>
      <c r="AE14" s="1715"/>
    </row>
    <row r="15" spans="1:31" ht="60" customHeight="1">
      <c r="A15" s="5555"/>
      <c r="B15" s="5528"/>
      <c r="C15" s="5515"/>
      <c r="D15" s="5515"/>
      <c r="E15" s="5515"/>
      <c r="F15" s="5515"/>
      <c r="G15" s="5515"/>
      <c r="H15" s="5515"/>
      <c r="I15" s="5515"/>
      <c r="J15" s="5515"/>
      <c r="K15" s="5515"/>
      <c r="L15" s="5515"/>
      <c r="M15" s="5515"/>
      <c r="N15" s="5515"/>
      <c r="O15" s="5515"/>
      <c r="P15" s="5515"/>
      <c r="Q15" s="5517"/>
      <c r="R15" s="982"/>
      <c r="S15" s="2045"/>
      <c r="T15" s="2045"/>
      <c r="U15" s="169"/>
      <c r="V15" s="984"/>
      <c r="W15" s="170"/>
      <c r="X15" s="974"/>
      <c r="Y15" s="974"/>
      <c r="Z15" s="974"/>
      <c r="AA15" s="969"/>
      <c r="AB15" s="170"/>
      <c r="AC15" s="282"/>
      <c r="AD15" s="282"/>
      <c r="AE15" s="1715"/>
    </row>
    <row r="16" spans="1:31" ht="60" customHeight="1">
      <c r="A16" s="5555"/>
      <c r="B16" s="5528"/>
      <c r="C16" s="5515"/>
      <c r="D16" s="5515"/>
      <c r="E16" s="5515"/>
      <c r="F16" s="5515"/>
      <c r="G16" s="5515"/>
      <c r="H16" s="5515"/>
      <c r="I16" s="5515"/>
      <c r="J16" s="5515"/>
      <c r="K16" s="5515"/>
      <c r="L16" s="5515"/>
      <c r="M16" s="5515"/>
      <c r="N16" s="5515"/>
      <c r="O16" s="5515"/>
      <c r="P16" s="5515"/>
      <c r="Q16" s="5517"/>
      <c r="R16" s="2042"/>
      <c r="S16" s="2043"/>
      <c r="T16" s="2043"/>
      <c r="U16" s="1217"/>
      <c r="V16" s="968"/>
      <c r="W16" s="414"/>
      <c r="X16" s="973"/>
      <c r="Y16" s="974"/>
      <c r="Z16" s="974"/>
      <c r="AA16" s="969"/>
      <c r="AB16" s="170"/>
      <c r="AC16" s="282"/>
      <c r="AD16" s="282"/>
      <c r="AE16" s="1715"/>
    </row>
    <row r="17" spans="1:31" ht="60" customHeight="1">
      <c r="A17" s="5555"/>
      <c r="B17" s="5528"/>
      <c r="C17" s="5515"/>
      <c r="D17" s="5515"/>
      <c r="E17" s="5515"/>
      <c r="F17" s="5515"/>
      <c r="G17" s="5515"/>
      <c r="H17" s="5515"/>
      <c r="I17" s="5515"/>
      <c r="J17" s="5515"/>
      <c r="K17" s="5515"/>
      <c r="L17" s="5515"/>
      <c r="M17" s="5515"/>
      <c r="N17" s="5515"/>
      <c r="O17" s="5515"/>
      <c r="P17" s="5515"/>
      <c r="Q17" s="5517"/>
      <c r="R17" s="2041"/>
      <c r="S17" s="2040"/>
      <c r="T17" s="2040"/>
      <c r="U17" s="1217"/>
      <c r="V17" s="968"/>
      <c r="W17" s="414"/>
      <c r="X17" s="973"/>
      <c r="Y17" s="974"/>
      <c r="Z17" s="974"/>
      <c r="AA17" s="969"/>
      <c r="AB17" s="170"/>
      <c r="AC17" s="282"/>
      <c r="AD17" s="282"/>
      <c r="AE17" s="1715"/>
    </row>
    <row r="18" spans="1:31" ht="60" customHeight="1">
      <c r="A18" s="5555"/>
      <c r="B18" s="5529"/>
      <c r="C18" s="5510"/>
      <c r="D18" s="5510"/>
      <c r="E18" s="5510"/>
      <c r="F18" s="5510"/>
      <c r="G18" s="5510"/>
      <c r="H18" s="5510"/>
      <c r="I18" s="5510"/>
      <c r="J18" s="5510"/>
      <c r="K18" s="5510"/>
      <c r="L18" s="5510"/>
      <c r="M18" s="5510"/>
      <c r="N18" s="5510"/>
      <c r="O18" s="5510"/>
      <c r="P18" s="5510"/>
      <c r="Q18" s="5518"/>
      <c r="R18" s="975"/>
      <c r="S18" s="2044"/>
      <c r="T18" s="2044"/>
      <c r="U18" s="411"/>
      <c r="V18" s="977"/>
      <c r="W18" s="165"/>
      <c r="X18" s="978"/>
      <c r="Y18" s="978"/>
      <c r="Z18" s="978"/>
      <c r="AA18" s="979"/>
      <c r="AB18" s="165"/>
      <c r="AC18" s="166"/>
      <c r="AD18" s="166"/>
      <c r="AE18" s="980"/>
    </row>
    <row r="19" spans="1:31" ht="34.5" customHeight="1">
      <c r="A19" s="5555"/>
      <c r="B19" s="5527" t="s">
        <v>235</v>
      </c>
      <c r="C19" s="5514" t="s">
        <v>236</v>
      </c>
      <c r="D19" s="5514" t="s">
        <v>237</v>
      </c>
      <c r="E19" s="5514" t="s">
        <v>326</v>
      </c>
      <c r="F19" s="5526" t="s">
        <v>239</v>
      </c>
      <c r="G19" s="5514" t="s">
        <v>240</v>
      </c>
      <c r="H19" s="5514" t="s">
        <v>257</v>
      </c>
      <c r="I19" s="5514" t="s">
        <v>2440</v>
      </c>
      <c r="J19" s="5514" t="s">
        <v>1502</v>
      </c>
      <c r="K19" s="5514" t="s">
        <v>2441</v>
      </c>
      <c r="L19" s="5571">
        <v>1</v>
      </c>
      <c r="M19" s="5519">
        <v>0</v>
      </c>
      <c r="N19" s="5519">
        <v>1</v>
      </c>
      <c r="O19" s="5514" t="s">
        <v>2442</v>
      </c>
      <c r="P19" s="5525" t="s">
        <v>2443</v>
      </c>
      <c r="Q19" s="5516" t="s">
        <v>2434</v>
      </c>
      <c r="R19" s="2041"/>
      <c r="S19" s="2040"/>
      <c r="T19" s="2040"/>
      <c r="U19" s="176"/>
      <c r="V19" s="968"/>
      <c r="W19" s="414"/>
      <c r="X19" s="973"/>
      <c r="Y19" s="973"/>
      <c r="Z19" s="973"/>
      <c r="AA19" s="981"/>
      <c r="AB19" s="414"/>
      <c r="AC19" s="174"/>
      <c r="AD19" s="174"/>
      <c r="AE19" s="1715"/>
    </row>
    <row r="20" spans="1:31" ht="34.5" customHeight="1">
      <c r="A20" s="5555"/>
      <c r="B20" s="5528"/>
      <c r="C20" s="5515"/>
      <c r="D20" s="5515"/>
      <c r="E20" s="5515"/>
      <c r="F20" s="5515"/>
      <c r="G20" s="5515"/>
      <c r="H20" s="5515"/>
      <c r="I20" s="5515"/>
      <c r="J20" s="5515"/>
      <c r="K20" s="5515"/>
      <c r="L20" s="5515"/>
      <c r="M20" s="5515"/>
      <c r="N20" s="5515"/>
      <c r="O20" s="5515"/>
      <c r="P20" s="5515"/>
      <c r="Q20" s="5517"/>
      <c r="R20" s="982"/>
      <c r="S20" s="2045"/>
      <c r="T20" s="2045"/>
      <c r="U20" s="169"/>
      <c r="V20" s="984"/>
      <c r="W20" s="170"/>
      <c r="X20" s="974"/>
      <c r="Y20" s="974"/>
      <c r="Z20" s="974"/>
      <c r="AA20" s="969"/>
      <c r="AB20" s="170"/>
      <c r="AC20" s="282"/>
      <c r="AD20" s="282"/>
      <c r="AE20" s="1715"/>
    </row>
    <row r="21" spans="1:31" ht="34.5" customHeight="1">
      <c r="A21" s="5555"/>
      <c r="B21" s="5528"/>
      <c r="C21" s="5515"/>
      <c r="D21" s="5515"/>
      <c r="E21" s="5515"/>
      <c r="F21" s="5515"/>
      <c r="G21" s="5515"/>
      <c r="H21" s="5515"/>
      <c r="I21" s="5515"/>
      <c r="J21" s="5515"/>
      <c r="K21" s="5515"/>
      <c r="L21" s="5515"/>
      <c r="M21" s="5515"/>
      <c r="N21" s="5515"/>
      <c r="O21" s="5515"/>
      <c r="P21" s="5515"/>
      <c r="Q21" s="5517"/>
      <c r="R21" s="2042"/>
      <c r="S21" s="2043"/>
      <c r="T21" s="2043"/>
      <c r="U21" s="1217"/>
      <c r="V21" s="968"/>
      <c r="W21" s="414"/>
      <c r="X21" s="973"/>
      <c r="Y21" s="974"/>
      <c r="Z21" s="974"/>
      <c r="AA21" s="969"/>
      <c r="AB21" s="170"/>
      <c r="AC21" s="282"/>
      <c r="AD21" s="282"/>
      <c r="AE21" s="1715"/>
    </row>
    <row r="22" spans="1:31" ht="34.5" customHeight="1">
      <c r="A22" s="5555"/>
      <c r="B22" s="5528"/>
      <c r="C22" s="5515"/>
      <c r="D22" s="5515"/>
      <c r="E22" s="5515"/>
      <c r="F22" s="5515"/>
      <c r="G22" s="5515"/>
      <c r="H22" s="5515"/>
      <c r="I22" s="5515"/>
      <c r="J22" s="5515"/>
      <c r="K22" s="5515"/>
      <c r="L22" s="5515"/>
      <c r="M22" s="5515"/>
      <c r="N22" s="5515"/>
      <c r="O22" s="5515"/>
      <c r="P22" s="5515"/>
      <c r="Q22" s="5517"/>
      <c r="R22" s="2041"/>
      <c r="S22" s="2040"/>
      <c r="T22" s="2040"/>
      <c r="U22" s="1217"/>
      <c r="V22" s="968"/>
      <c r="W22" s="414"/>
      <c r="X22" s="973"/>
      <c r="Y22" s="974"/>
      <c r="Z22" s="974"/>
      <c r="AA22" s="969"/>
      <c r="AB22" s="170"/>
      <c r="AC22" s="282"/>
      <c r="AD22" s="282"/>
      <c r="AE22" s="1715"/>
    </row>
    <row r="23" spans="1:31" ht="34.5" customHeight="1">
      <c r="A23" s="5555"/>
      <c r="B23" s="5529"/>
      <c r="C23" s="5510"/>
      <c r="D23" s="5510"/>
      <c r="E23" s="5510"/>
      <c r="F23" s="5510"/>
      <c r="G23" s="5510"/>
      <c r="H23" s="5510"/>
      <c r="I23" s="5510"/>
      <c r="J23" s="5510"/>
      <c r="K23" s="5510"/>
      <c r="L23" s="5510"/>
      <c r="M23" s="5510"/>
      <c r="N23" s="5510"/>
      <c r="O23" s="5510"/>
      <c r="P23" s="5510"/>
      <c r="Q23" s="5518"/>
      <c r="R23" s="975"/>
      <c r="S23" s="2044"/>
      <c r="T23" s="2044"/>
      <c r="U23" s="411"/>
      <c r="V23" s="977"/>
      <c r="W23" s="165"/>
      <c r="X23" s="978"/>
      <c r="Y23" s="978"/>
      <c r="Z23" s="978"/>
      <c r="AA23" s="979"/>
      <c r="AB23" s="165"/>
      <c r="AC23" s="166"/>
      <c r="AD23" s="166"/>
      <c r="AE23" s="980"/>
    </row>
    <row r="24" spans="1:31" ht="34.5" customHeight="1">
      <c r="A24" s="5555"/>
      <c r="B24" s="5527" t="s">
        <v>235</v>
      </c>
      <c r="C24" s="5514" t="s">
        <v>236</v>
      </c>
      <c r="D24" s="5514" t="s">
        <v>237</v>
      </c>
      <c r="E24" s="5514" t="s">
        <v>326</v>
      </c>
      <c r="F24" s="5526" t="s">
        <v>239</v>
      </c>
      <c r="G24" s="5514" t="s">
        <v>240</v>
      </c>
      <c r="H24" s="5514" t="s">
        <v>257</v>
      </c>
      <c r="I24" s="5514" t="s">
        <v>2444</v>
      </c>
      <c r="J24" s="5514" t="s">
        <v>1507</v>
      </c>
      <c r="K24" s="5514" t="s">
        <v>2445</v>
      </c>
      <c r="L24" s="5519">
        <v>8</v>
      </c>
      <c r="M24" s="5519">
        <v>8</v>
      </c>
      <c r="N24" s="5519">
        <v>8</v>
      </c>
      <c r="O24" s="5514" t="s">
        <v>2446</v>
      </c>
      <c r="P24" s="5514" t="s">
        <v>2447</v>
      </c>
      <c r="Q24" s="5516" t="s">
        <v>2434</v>
      </c>
      <c r="R24" s="2041"/>
      <c r="S24" s="2040"/>
      <c r="T24" s="2040"/>
      <c r="U24" s="176"/>
      <c r="V24" s="968"/>
      <c r="W24" s="414"/>
      <c r="X24" s="973"/>
      <c r="Y24" s="973"/>
      <c r="Z24" s="973"/>
      <c r="AA24" s="981"/>
      <c r="AB24" s="414"/>
      <c r="AC24" s="174"/>
      <c r="AD24" s="174"/>
      <c r="AE24" s="1715"/>
    </row>
    <row r="25" spans="1:31" ht="34.5" customHeight="1">
      <c r="A25" s="5555"/>
      <c r="B25" s="5528"/>
      <c r="C25" s="5515"/>
      <c r="D25" s="5515"/>
      <c r="E25" s="5515"/>
      <c r="F25" s="5515"/>
      <c r="G25" s="5515"/>
      <c r="H25" s="5515"/>
      <c r="I25" s="5515"/>
      <c r="J25" s="5515"/>
      <c r="K25" s="5515"/>
      <c r="L25" s="5515"/>
      <c r="M25" s="5515"/>
      <c r="N25" s="5515"/>
      <c r="O25" s="5515"/>
      <c r="P25" s="5515"/>
      <c r="Q25" s="5517"/>
      <c r="R25" s="982"/>
      <c r="S25" s="2045"/>
      <c r="T25" s="2045"/>
      <c r="U25" s="169"/>
      <c r="V25" s="984"/>
      <c r="W25" s="170"/>
      <c r="X25" s="974"/>
      <c r="Y25" s="974"/>
      <c r="Z25" s="974"/>
      <c r="AA25" s="969"/>
      <c r="AB25" s="170"/>
      <c r="AC25" s="282"/>
      <c r="AD25" s="282"/>
      <c r="AE25" s="1715"/>
    </row>
    <row r="26" spans="1:31" ht="34.5" customHeight="1">
      <c r="A26" s="5555"/>
      <c r="B26" s="5528"/>
      <c r="C26" s="5515"/>
      <c r="D26" s="5515"/>
      <c r="E26" s="5515"/>
      <c r="F26" s="5515"/>
      <c r="G26" s="5515"/>
      <c r="H26" s="5515"/>
      <c r="I26" s="5515"/>
      <c r="J26" s="5515"/>
      <c r="K26" s="5515"/>
      <c r="L26" s="5515"/>
      <c r="M26" s="5515"/>
      <c r="N26" s="5515"/>
      <c r="O26" s="5515"/>
      <c r="P26" s="5515"/>
      <c r="Q26" s="5517"/>
      <c r="R26" s="2042"/>
      <c r="S26" s="2043"/>
      <c r="T26" s="2043"/>
      <c r="U26" s="1217"/>
      <c r="V26" s="968"/>
      <c r="W26" s="414"/>
      <c r="X26" s="973"/>
      <c r="Y26" s="974"/>
      <c r="Z26" s="974"/>
      <c r="AA26" s="969"/>
      <c r="AB26" s="170"/>
      <c r="AC26" s="282"/>
      <c r="AD26" s="282"/>
      <c r="AE26" s="1715"/>
    </row>
    <row r="27" spans="1:31" ht="34.5" customHeight="1">
      <c r="A27" s="5555"/>
      <c r="B27" s="5528"/>
      <c r="C27" s="5515"/>
      <c r="D27" s="5515"/>
      <c r="E27" s="5515"/>
      <c r="F27" s="5515"/>
      <c r="G27" s="5515"/>
      <c r="H27" s="5515"/>
      <c r="I27" s="5515"/>
      <c r="J27" s="5515"/>
      <c r="K27" s="5515"/>
      <c r="L27" s="5515"/>
      <c r="M27" s="5515"/>
      <c r="N27" s="5515"/>
      <c r="O27" s="5515"/>
      <c r="P27" s="5515"/>
      <c r="Q27" s="5517"/>
      <c r="R27" s="2041"/>
      <c r="S27" s="2040"/>
      <c r="T27" s="2040"/>
      <c r="U27" s="1217"/>
      <c r="V27" s="968"/>
      <c r="W27" s="414"/>
      <c r="X27" s="973"/>
      <c r="Y27" s="974"/>
      <c r="Z27" s="974"/>
      <c r="AA27" s="969"/>
      <c r="AB27" s="170"/>
      <c r="AC27" s="282"/>
      <c r="AD27" s="282"/>
      <c r="AE27" s="1715"/>
    </row>
    <row r="28" spans="1:31" ht="34.5" customHeight="1">
      <c r="A28" s="5555"/>
      <c r="B28" s="5529"/>
      <c r="C28" s="5510"/>
      <c r="D28" s="5510"/>
      <c r="E28" s="5510"/>
      <c r="F28" s="5510"/>
      <c r="G28" s="5510"/>
      <c r="H28" s="5510"/>
      <c r="I28" s="5510"/>
      <c r="J28" s="5510"/>
      <c r="K28" s="5510"/>
      <c r="L28" s="5510"/>
      <c r="M28" s="5510"/>
      <c r="N28" s="5510"/>
      <c r="O28" s="5510"/>
      <c r="P28" s="5510"/>
      <c r="Q28" s="5518"/>
      <c r="R28" s="975"/>
      <c r="S28" s="2044"/>
      <c r="T28" s="2044"/>
      <c r="U28" s="411"/>
      <c r="V28" s="977"/>
      <c r="W28" s="165"/>
      <c r="X28" s="978"/>
      <c r="Y28" s="978"/>
      <c r="Z28" s="978"/>
      <c r="AA28" s="979"/>
      <c r="AB28" s="165"/>
      <c r="AC28" s="166"/>
      <c r="AD28" s="166"/>
      <c r="AE28" s="980"/>
    </row>
    <row r="29" spans="1:31" ht="42.75" customHeight="1">
      <c r="A29" s="5555"/>
      <c r="B29" s="5527" t="s">
        <v>235</v>
      </c>
      <c r="C29" s="5514" t="s">
        <v>236</v>
      </c>
      <c r="D29" s="5514" t="s">
        <v>237</v>
      </c>
      <c r="E29" s="5514" t="s">
        <v>326</v>
      </c>
      <c r="F29" s="5526" t="s">
        <v>239</v>
      </c>
      <c r="G29" s="5514" t="s">
        <v>240</v>
      </c>
      <c r="H29" s="5514" t="s">
        <v>257</v>
      </c>
      <c r="I29" s="5514" t="s">
        <v>2448</v>
      </c>
      <c r="J29" s="5514" t="s">
        <v>1512</v>
      </c>
      <c r="K29" s="5514" t="s">
        <v>2449</v>
      </c>
      <c r="L29" s="5519">
        <v>1</v>
      </c>
      <c r="M29" s="5519">
        <v>1</v>
      </c>
      <c r="N29" s="5519">
        <v>1</v>
      </c>
      <c r="O29" s="5525" t="s">
        <v>2450</v>
      </c>
      <c r="P29" s="5525" t="s">
        <v>2451</v>
      </c>
      <c r="Q29" s="5516" t="s">
        <v>2434</v>
      </c>
      <c r="R29" s="2046" t="s">
        <v>39</v>
      </c>
      <c r="S29" s="2047">
        <v>530402</v>
      </c>
      <c r="T29" s="2048"/>
      <c r="U29" s="745" t="s">
        <v>16</v>
      </c>
      <c r="V29" s="731"/>
      <c r="W29" s="731"/>
      <c r="X29" s="732"/>
      <c r="Y29" s="732"/>
      <c r="Z29" s="732"/>
      <c r="AA29" s="742">
        <f>SUM($Z$30)</f>
        <v>8085.2808960000002</v>
      </c>
      <c r="AB29" s="414"/>
      <c r="AC29" s="168"/>
      <c r="AD29" s="168"/>
      <c r="AE29" s="1715"/>
    </row>
    <row r="30" spans="1:31" ht="42.75" customHeight="1">
      <c r="A30" s="5555"/>
      <c r="B30" s="5528"/>
      <c r="C30" s="5515"/>
      <c r="D30" s="5515"/>
      <c r="E30" s="5515"/>
      <c r="F30" s="5515"/>
      <c r="G30" s="5515"/>
      <c r="H30" s="5515"/>
      <c r="I30" s="5515"/>
      <c r="J30" s="5515"/>
      <c r="K30" s="5515"/>
      <c r="L30" s="5515"/>
      <c r="M30" s="5515"/>
      <c r="N30" s="5515"/>
      <c r="O30" s="5515"/>
      <c r="P30" s="5515"/>
      <c r="Q30" s="5517"/>
      <c r="R30" s="2049"/>
      <c r="S30" s="2050"/>
      <c r="T30" s="2050"/>
      <c r="U30" s="798"/>
      <c r="V30" s="748">
        <v>1</v>
      </c>
      <c r="W30" s="748" t="s">
        <v>250</v>
      </c>
      <c r="X30" s="726">
        <f>(8203.41)-8203.41*12/100</f>
        <v>7219.0007999999998</v>
      </c>
      <c r="Y30" s="613">
        <f>+V30*X30</f>
        <v>7219.0007999999998</v>
      </c>
      <c r="Z30" s="613">
        <f>+Y30*1.12</f>
        <v>8085.2808960000002</v>
      </c>
      <c r="AA30" s="727"/>
      <c r="AB30" s="170"/>
      <c r="AC30" s="751" t="s">
        <v>251</v>
      </c>
      <c r="AD30" s="752"/>
      <c r="AE30" s="1715"/>
    </row>
    <row r="31" spans="1:31" ht="42.75" customHeight="1">
      <c r="A31" s="5555"/>
      <c r="B31" s="5528"/>
      <c r="C31" s="5515"/>
      <c r="D31" s="5515"/>
      <c r="E31" s="5515"/>
      <c r="F31" s="5515"/>
      <c r="G31" s="5515"/>
      <c r="H31" s="5515"/>
      <c r="I31" s="5515"/>
      <c r="J31" s="5515"/>
      <c r="K31" s="5515"/>
      <c r="L31" s="5515"/>
      <c r="M31" s="5515"/>
      <c r="N31" s="5515"/>
      <c r="O31" s="5515"/>
      <c r="P31" s="5515"/>
      <c r="Q31" s="5517"/>
      <c r="R31" s="2049"/>
      <c r="S31" s="2050"/>
      <c r="T31" s="2050"/>
      <c r="U31" s="798"/>
      <c r="V31" s="725"/>
      <c r="W31" s="725"/>
      <c r="X31" s="726"/>
      <c r="Y31" s="726"/>
      <c r="Z31" s="726"/>
      <c r="AA31" s="727"/>
      <c r="AB31" s="170"/>
      <c r="AC31" s="170"/>
      <c r="AD31" s="282"/>
      <c r="AE31" s="1715"/>
    </row>
    <row r="32" spans="1:31" ht="42.75" customHeight="1">
      <c r="A32" s="5555"/>
      <c r="B32" s="5528"/>
      <c r="C32" s="5515"/>
      <c r="D32" s="5515"/>
      <c r="E32" s="5515"/>
      <c r="F32" s="5515"/>
      <c r="G32" s="5515"/>
      <c r="H32" s="5515"/>
      <c r="I32" s="5515"/>
      <c r="J32" s="5515"/>
      <c r="K32" s="5515"/>
      <c r="L32" s="5515"/>
      <c r="M32" s="5515"/>
      <c r="N32" s="5515"/>
      <c r="O32" s="5515"/>
      <c r="P32" s="5515"/>
      <c r="Q32" s="5517"/>
      <c r="R32" s="2051" t="s">
        <v>17</v>
      </c>
      <c r="S32" s="2052">
        <v>530404</v>
      </c>
      <c r="T32" s="2050"/>
      <c r="U32" s="985" t="s">
        <v>32</v>
      </c>
      <c r="V32" s="731"/>
      <c r="W32" s="731"/>
      <c r="X32" s="732"/>
      <c r="Y32" s="732"/>
      <c r="Z32" s="732"/>
      <c r="AA32" s="742">
        <f>SUM($Z$33)</f>
        <v>22400.000000000004</v>
      </c>
      <c r="AB32" s="170"/>
      <c r="AC32" s="170"/>
      <c r="AD32" s="282"/>
      <c r="AE32" s="1715"/>
    </row>
    <row r="33" spans="1:31" ht="42.75" customHeight="1">
      <c r="A33" s="5555"/>
      <c r="B33" s="5528"/>
      <c r="C33" s="5515"/>
      <c r="D33" s="5515"/>
      <c r="E33" s="5515"/>
      <c r="F33" s="5515"/>
      <c r="G33" s="5515"/>
      <c r="H33" s="5515"/>
      <c r="I33" s="5515"/>
      <c r="J33" s="5515"/>
      <c r="K33" s="5515"/>
      <c r="L33" s="5515"/>
      <c r="M33" s="5515"/>
      <c r="N33" s="5515"/>
      <c r="O33" s="5515"/>
      <c r="P33" s="5515"/>
      <c r="Q33" s="5517"/>
      <c r="R33" s="2049"/>
      <c r="S33" s="2050"/>
      <c r="T33" s="2050"/>
      <c r="U33" s="798"/>
      <c r="V33" s="748">
        <v>1</v>
      </c>
      <c r="W33" s="748" t="s">
        <v>250</v>
      </c>
      <c r="X33" s="986">
        <v>20000</v>
      </c>
      <c r="Y33" s="613">
        <f>+V33*X33</f>
        <v>20000</v>
      </c>
      <c r="Z33" s="613">
        <f>+Y33*1.12</f>
        <v>22400.000000000004</v>
      </c>
      <c r="AA33" s="727"/>
      <c r="AB33" s="170"/>
      <c r="AC33" s="751" t="s">
        <v>251</v>
      </c>
      <c r="AD33" s="770" t="s">
        <v>251</v>
      </c>
      <c r="AE33" s="1715"/>
    </row>
    <row r="34" spans="1:31" ht="42.75" customHeight="1">
      <c r="A34" s="5555"/>
      <c r="B34" s="5528"/>
      <c r="C34" s="5515"/>
      <c r="D34" s="5515"/>
      <c r="E34" s="5515"/>
      <c r="F34" s="5515"/>
      <c r="G34" s="5515"/>
      <c r="H34" s="5515"/>
      <c r="I34" s="5515"/>
      <c r="J34" s="5515"/>
      <c r="K34" s="5515"/>
      <c r="L34" s="5515"/>
      <c r="M34" s="5515"/>
      <c r="N34" s="5515"/>
      <c r="O34" s="5515"/>
      <c r="P34" s="5515"/>
      <c r="Q34" s="5517"/>
      <c r="R34" s="2049"/>
      <c r="S34" s="2050"/>
      <c r="T34" s="2050"/>
      <c r="U34" s="798"/>
      <c r="V34" s="725"/>
      <c r="W34" s="725"/>
      <c r="X34" s="726"/>
      <c r="Y34" s="726"/>
      <c r="Z34" s="726"/>
      <c r="AA34" s="727"/>
      <c r="AB34" s="170"/>
      <c r="AC34" s="170"/>
      <c r="AD34" s="282"/>
      <c r="AE34" s="1715"/>
    </row>
    <row r="35" spans="1:31" ht="42.75" customHeight="1">
      <c r="A35" s="5555"/>
      <c r="B35" s="5528"/>
      <c r="C35" s="5515"/>
      <c r="D35" s="5515"/>
      <c r="E35" s="5515"/>
      <c r="F35" s="5515"/>
      <c r="G35" s="5515"/>
      <c r="H35" s="5515"/>
      <c r="I35" s="5515"/>
      <c r="J35" s="5515"/>
      <c r="K35" s="5515"/>
      <c r="L35" s="5515"/>
      <c r="M35" s="5515"/>
      <c r="N35" s="5515"/>
      <c r="O35" s="5515"/>
      <c r="P35" s="5515"/>
      <c r="Q35" s="5517"/>
      <c r="R35" s="2051" t="s">
        <v>17</v>
      </c>
      <c r="S35" s="2047">
        <v>530402</v>
      </c>
      <c r="T35" s="2048"/>
      <c r="U35" s="745" t="s">
        <v>16</v>
      </c>
      <c r="V35" s="731"/>
      <c r="W35" s="731"/>
      <c r="X35" s="732"/>
      <c r="Y35" s="732"/>
      <c r="Z35" s="732"/>
      <c r="AA35" s="742">
        <f>SUM($Z$36)</f>
        <v>13440.000000000002</v>
      </c>
      <c r="AB35" s="170"/>
      <c r="AC35" s="170"/>
      <c r="AD35" s="282"/>
      <c r="AE35" s="1715"/>
    </row>
    <row r="36" spans="1:31" ht="42.75" customHeight="1">
      <c r="A36" s="5555"/>
      <c r="B36" s="5528"/>
      <c r="C36" s="5515"/>
      <c r="D36" s="5515"/>
      <c r="E36" s="5515"/>
      <c r="F36" s="5515"/>
      <c r="G36" s="5515"/>
      <c r="H36" s="5515"/>
      <c r="I36" s="5515"/>
      <c r="J36" s="5515"/>
      <c r="K36" s="5515"/>
      <c r="L36" s="5515"/>
      <c r="M36" s="5515"/>
      <c r="N36" s="5515"/>
      <c r="O36" s="5515"/>
      <c r="P36" s="5515"/>
      <c r="Q36" s="5517"/>
      <c r="R36" s="2051"/>
      <c r="S36" s="2050"/>
      <c r="T36" s="2050"/>
      <c r="U36" s="798"/>
      <c r="V36" s="748">
        <v>1</v>
      </c>
      <c r="W36" s="748" t="s">
        <v>250</v>
      </c>
      <c r="X36" s="986">
        <v>12000</v>
      </c>
      <c r="Y36" s="613">
        <f>+V36*X36</f>
        <v>12000</v>
      </c>
      <c r="Z36" s="613">
        <f>+Y36*1.12</f>
        <v>13440.000000000002</v>
      </c>
      <c r="AA36" s="727"/>
      <c r="AB36" s="751" t="s">
        <v>251</v>
      </c>
      <c r="AC36" s="751" t="s">
        <v>251</v>
      </c>
      <c r="AD36" s="282"/>
      <c r="AE36" s="1715"/>
    </row>
    <row r="37" spans="1:31" ht="42.75" customHeight="1">
      <c r="A37" s="5555"/>
      <c r="B37" s="5528"/>
      <c r="C37" s="5515"/>
      <c r="D37" s="5515"/>
      <c r="E37" s="5515"/>
      <c r="F37" s="5515"/>
      <c r="G37" s="5515"/>
      <c r="H37" s="5515"/>
      <c r="I37" s="5515"/>
      <c r="J37" s="5515"/>
      <c r="K37" s="5515"/>
      <c r="L37" s="5515"/>
      <c r="M37" s="5515"/>
      <c r="N37" s="5515"/>
      <c r="O37" s="5515"/>
      <c r="P37" s="5515"/>
      <c r="Q37" s="5517"/>
      <c r="R37" s="2051"/>
      <c r="S37" s="2052"/>
      <c r="T37" s="2053"/>
      <c r="U37" s="985"/>
      <c r="V37" s="731"/>
      <c r="W37" s="731"/>
      <c r="X37" s="732"/>
      <c r="Y37" s="732"/>
      <c r="Z37" s="732"/>
      <c r="AA37" s="742"/>
      <c r="AB37" s="170"/>
      <c r="AC37" s="170"/>
      <c r="AD37" s="282"/>
      <c r="AE37" s="1715"/>
    </row>
    <row r="38" spans="1:31" ht="42.75" customHeight="1">
      <c r="A38" s="5555"/>
      <c r="B38" s="5528"/>
      <c r="C38" s="5515"/>
      <c r="D38" s="5515"/>
      <c r="E38" s="5515"/>
      <c r="F38" s="5515"/>
      <c r="G38" s="5515"/>
      <c r="H38" s="5515"/>
      <c r="I38" s="5515"/>
      <c r="J38" s="5515"/>
      <c r="K38" s="5515"/>
      <c r="L38" s="5515"/>
      <c r="M38" s="5515"/>
      <c r="N38" s="5515"/>
      <c r="O38" s="5515"/>
      <c r="P38" s="5515"/>
      <c r="Q38" s="5517"/>
      <c r="R38" s="2051" t="s">
        <v>17</v>
      </c>
      <c r="S38" s="2052">
        <v>530204</v>
      </c>
      <c r="T38" s="2053"/>
      <c r="U38" s="985" t="s">
        <v>26</v>
      </c>
      <c r="V38" s="731"/>
      <c r="W38" s="731"/>
      <c r="X38" s="732"/>
      <c r="Y38" s="732"/>
      <c r="Z38" s="732"/>
      <c r="AA38" s="742">
        <f>SUM($Z$39)</f>
        <v>33600</v>
      </c>
      <c r="AB38" s="170"/>
      <c r="AC38" s="170"/>
      <c r="AD38" s="282"/>
      <c r="AE38" s="1715"/>
    </row>
    <row r="39" spans="1:31" ht="42.75" customHeight="1">
      <c r="A39" s="5555"/>
      <c r="B39" s="5528"/>
      <c r="C39" s="5515"/>
      <c r="D39" s="5515"/>
      <c r="E39" s="5515"/>
      <c r="F39" s="5515"/>
      <c r="G39" s="5515"/>
      <c r="H39" s="5515"/>
      <c r="I39" s="5515"/>
      <c r="J39" s="5515"/>
      <c r="K39" s="5515"/>
      <c r="L39" s="5515"/>
      <c r="M39" s="5515"/>
      <c r="N39" s="5515"/>
      <c r="O39" s="5515"/>
      <c r="P39" s="5515"/>
      <c r="Q39" s="5517"/>
      <c r="R39" s="2049"/>
      <c r="S39" s="2053"/>
      <c r="T39" s="2053"/>
      <c r="U39" s="769"/>
      <c r="V39" s="748">
        <v>1</v>
      </c>
      <c r="W39" s="748" t="s">
        <v>250</v>
      </c>
      <c r="X39" s="986">
        <v>30000</v>
      </c>
      <c r="Y39" s="613">
        <f t="shared" ref="Y39:Y40" si="0">+V39*X39</f>
        <v>30000</v>
      </c>
      <c r="Z39" s="613">
        <f t="shared" ref="Z39:Z40" si="1">+Y39*1.12</f>
        <v>33600</v>
      </c>
      <c r="AA39" s="727"/>
      <c r="AB39" s="751" t="s">
        <v>251</v>
      </c>
      <c r="AC39" s="751" t="s">
        <v>251</v>
      </c>
      <c r="AD39" s="770" t="s">
        <v>251</v>
      </c>
      <c r="AE39" s="1715"/>
    </row>
    <row r="40" spans="1:31" ht="42.75" customHeight="1">
      <c r="A40" s="5555"/>
      <c r="B40" s="5528"/>
      <c r="C40" s="5515"/>
      <c r="D40" s="5515"/>
      <c r="E40" s="5515"/>
      <c r="F40" s="5515"/>
      <c r="G40" s="5515"/>
      <c r="H40" s="5515"/>
      <c r="I40" s="5515"/>
      <c r="J40" s="5515"/>
      <c r="K40" s="5515"/>
      <c r="L40" s="5515"/>
      <c r="M40" s="5515"/>
      <c r="N40" s="5515"/>
      <c r="O40" s="5515"/>
      <c r="P40" s="5515"/>
      <c r="Q40" s="5517"/>
      <c r="R40" s="2051"/>
      <c r="S40" s="2052"/>
      <c r="T40" s="2053"/>
      <c r="U40" s="772" t="s">
        <v>1939</v>
      </c>
      <c r="V40" s="748">
        <v>0</v>
      </c>
      <c r="W40" s="725"/>
      <c r="X40" s="986">
        <v>15000</v>
      </c>
      <c r="Y40" s="613">
        <f t="shared" si="0"/>
        <v>0</v>
      </c>
      <c r="Z40" s="613">
        <f t="shared" si="1"/>
        <v>0</v>
      </c>
      <c r="AA40" s="727"/>
      <c r="AB40" s="170"/>
      <c r="AC40" s="170"/>
      <c r="AD40" s="282"/>
      <c r="AE40" s="1715"/>
    </row>
    <row r="41" spans="1:31" ht="42.75" customHeight="1">
      <c r="A41" s="5555"/>
      <c r="B41" s="5528"/>
      <c r="C41" s="5515"/>
      <c r="D41" s="5515"/>
      <c r="E41" s="5515"/>
      <c r="F41" s="5515"/>
      <c r="G41" s="5515"/>
      <c r="H41" s="5515"/>
      <c r="I41" s="5515"/>
      <c r="J41" s="5515"/>
      <c r="K41" s="5515"/>
      <c r="L41" s="5515"/>
      <c r="M41" s="5515"/>
      <c r="N41" s="5515"/>
      <c r="O41" s="5515"/>
      <c r="P41" s="5515"/>
      <c r="Q41" s="5517"/>
      <c r="R41" s="2051"/>
      <c r="S41" s="2052"/>
      <c r="T41" s="2053"/>
      <c r="U41" s="985"/>
      <c r="V41" s="725"/>
      <c r="W41" s="725"/>
      <c r="X41" s="726"/>
      <c r="Y41" s="726"/>
      <c r="Z41" s="726"/>
      <c r="AA41" s="727"/>
      <c r="AB41" s="170"/>
      <c r="AC41" s="170"/>
      <c r="AD41" s="282"/>
      <c r="AE41" s="1715"/>
    </row>
    <row r="42" spans="1:31" ht="42.75" customHeight="1">
      <c r="A42" s="5555"/>
      <c r="B42" s="5528"/>
      <c r="C42" s="5515"/>
      <c r="D42" s="5515"/>
      <c r="E42" s="5515"/>
      <c r="F42" s="5515"/>
      <c r="G42" s="5515"/>
      <c r="H42" s="5515"/>
      <c r="I42" s="5515"/>
      <c r="J42" s="5515"/>
      <c r="K42" s="5515"/>
      <c r="L42" s="5515"/>
      <c r="M42" s="5515"/>
      <c r="N42" s="5515"/>
      <c r="O42" s="5515"/>
      <c r="P42" s="5515"/>
      <c r="Q42" s="5517"/>
      <c r="R42" s="2051" t="s">
        <v>17</v>
      </c>
      <c r="S42" s="2052">
        <v>530829</v>
      </c>
      <c r="T42" s="2053"/>
      <c r="U42" s="985" t="s">
        <v>73</v>
      </c>
      <c r="V42" s="731"/>
      <c r="W42" s="731"/>
      <c r="X42" s="732"/>
      <c r="Y42" s="732"/>
      <c r="Z42" s="732"/>
      <c r="AA42" s="742">
        <f>SUM($Z$43)</f>
        <v>67200</v>
      </c>
      <c r="AB42" s="170"/>
      <c r="AC42" s="170"/>
      <c r="AD42" s="282"/>
      <c r="AE42" s="1715"/>
    </row>
    <row r="43" spans="1:31" ht="42.75" customHeight="1">
      <c r="A43" s="5555"/>
      <c r="B43" s="5528"/>
      <c r="C43" s="5515"/>
      <c r="D43" s="5515"/>
      <c r="E43" s="5515"/>
      <c r="F43" s="5515"/>
      <c r="G43" s="5515"/>
      <c r="H43" s="5515"/>
      <c r="I43" s="5515"/>
      <c r="J43" s="5515"/>
      <c r="K43" s="5515"/>
      <c r="L43" s="5515"/>
      <c r="M43" s="5515"/>
      <c r="N43" s="5515"/>
      <c r="O43" s="5515"/>
      <c r="P43" s="5515"/>
      <c r="Q43" s="5517"/>
      <c r="R43" s="2049"/>
      <c r="S43" s="2053"/>
      <c r="T43" s="2053"/>
      <c r="U43" s="769"/>
      <c r="V43" s="748">
        <v>1</v>
      </c>
      <c r="W43" s="748" t="s">
        <v>269</v>
      </c>
      <c r="X43" s="986">
        <v>60000</v>
      </c>
      <c r="Y43" s="613">
        <f>+V43*X43</f>
        <v>60000</v>
      </c>
      <c r="Z43" s="613">
        <f>+Y43*1.12</f>
        <v>67200</v>
      </c>
      <c r="AA43" s="727"/>
      <c r="AB43" s="751" t="s">
        <v>251</v>
      </c>
      <c r="AC43" s="751" t="s">
        <v>251</v>
      </c>
      <c r="AD43" s="770" t="s">
        <v>251</v>
      </c>
      <c r="AE43" s="1715"/>
    </row>
    <row r="44" spans="1:31" ht="42.75" customHeight="1">
      <c r="A44" s="5555"/>
      <c r="B44" s="5528"/>
      <c r="C44" s="5515"/>
      <c r="D44" s="5515"/>
      <c r="E44" s="5515"/>
      <c r="F44" s="5515"/>
      <c r="G44" s="5515"/>
      <c r="H44" s="5515"/>
      <c r="I44" s="5515"/>
      <c r="J44" s="5515"/>
      <c r="K44" s="5515"/>
      <c r="L44" s="5515"/>
      <c r="M44" s="5515"/>
      <c r="N44" s="5515"/>
      <c r="O44" s="5515"/>
      <c r="P44" s="5515"/>
      <c r="Q44" s="5517"/>
      <c r="R44" s="2049"/>
      <c r="S44" s="2053"/>
      <c r="T44" s="2053"/>
      <c r="U44" s="769"/>
      <c r="V44" s="725"/>
      <c r="W44" s="725"/>
      <c r="X44" s="726"/>
      <c r="Y44" s="726"/>
      <c r="Z44" s="726"/>
      <c r="AA44" s="727"/>
      <c r="AB44" s="170"/>
      <c r="AC44" s="170"/>
      <c r="AD44" s="282"/>
      <c r="AE44" s="1715"/>
    </row>
    <row r="45" spans="1:31" ht="42.75" customHeight="1">
      <c r="A45" s="5555"/>
      <c r="B45" s="5528"/>
      <c r="C45" s="5515"/>
      <c r="D45" s="5515"/>
      <c r="E45" s="5515"/>
      <c r="F45" s="5515"/>
      <c r="G45" s="5515"/>
      <c r="H45" s="5515"/>
      <c r="I45" s="5515"/>
      <c r="J45" s="5515"/>
      <c r="K45" s="5515"/>
      <c r="L45" s="5515"/>
      <c r="M45" s="5515"/>
      <c r="N45" s="5515"/>
      <c r="O45" s="5515"/>
      <c r="P45" s="5515"/>
      <c r="Q45" s="5517"/>
      <c r="R45" s="2051" t="s">
        <v>17</v>
      </c>
      <c r="S45" s="2052">
        <v>840107</v>
      </c>
      <c r="T45" s="2053"/>
      <c r="U45" s="985" t="s">
        <v>20</v>
      </c>
      <c r="V45" s="731"/>
      <c r="W45" s="731"/>
      <c r="X45" s="732"/>
      <c r="Y45" s="732"/>
      <c r="Z45" s="732"/>
      <c r="AA45" s="742">
        <f>SUM($Z$46)</f>
        <v>33600</v>
      </c>
      <c r="AB45" s="170"/>
      <c r="AC45" s="751"/>
      <c r="AD45" s="282"/>
      <c r="AE45" s="1715"/>
    </row>
    <row r="46" spans="1:31" ht="42.75" customHeight="1">
      <c r="A46" s="5555"/>
      <c r="B46" s="5528"/>
      <c r="C46" s="5515"/>
      <c r="D46" s="5515"/>
      <c r="E46" s="5515"/>
      <c r="F46" s="5515"/>
      <c r="G46" s="5515"/>
      <c r="H46" s="5515"/>
      <c r="I46" s="5515"/>
      <c r="J46" s="5515"/>
      <c r="K46" s="5515"/>
      <c r="L46" s="5515"/>
      <c r="M46" s="5515"/>
      <c r="N46" s="5515"/>
      <c r="O46" s="5515"/>
      <c r="P46" s="5515"/>
      <c r="Q46" s="5517"/>
      <c r="R46" s="2049"/>
      <c r="S46" s="2050"/>
      <c r="T46" s="2050"/>
      <c r="U46" s="798"/>
      <c r="V46" s="748">
        <v>1</v>
      </c>
      <c r="W46" s="748" t="s">
        <v>269</v>
      </c>
      <c r="X46" s="986">
        <v>30000</v>
      </c>
      <c r="Y46" s="613">
        <f>+V46*X46</f>
        <v>30000</v>
      </c>
      <c r="Z46" s="613">
        <f>+Y46*1.12</f>
        <v>33600</v>
      </c>
      <c r="AA46" s="727"/>
      <c r="AB46" s="170"/>
      <c r="AC46" s="751" t="s">
        <v>251</v>
      </c>
      <c r="AD46" s="282"/>
      <c r="AE46" s="1715"/>
    </row>
    <row r="47" spans="1:31" ht="42.75" customHeight="1">
      <c r="A47" s="5555"/>
      <c r="B47" s="5528"/>
      <c r="C47" s="5515"/>
      <c r="D47" s="5515"/>
      <c r="E47" s="5515"/>
      <c r="F47" s="5515"/>
      <c r="G47" s="5515"/>
      <c r="H47" s="5515"/>
      <c r="I47" s="5515"/>
      <c r="J47" s="5515"/>
      <c r="K47" s="5515"/>
      <c r="L47" s="5515"/>
      <c r="M47" s="5515"/>
      <c r="N47" s="5515"/>
      <c r="O47" s="5515"/>
      <c r="P47" s="5515"/>
      <c r="Q47" s="5517"/>
      <c r="R47" s="2049"/>
      <c r="S47" s="2050"/>
      <c r="T47" s="2050"/>
      <c r="U47" s="798"/>
      <c r="V47" s="725"/>
      <c r="W47" s="725"/>
      <c r="X47" s="726"/>
      <c r="Y47" s="726"/>
      <c r="Z47" s="726"/>
      <c r="AA47" s="727"/>
      <c r="AB47" s="170"/>
      <c r="AC47" s="170"/>
      <c r="AD47" s="282"/>
      <c r="AE47" s="1715"/>
    </row>
    <row r="48" spans="1:31" ht="42.75" customHeight="1">
      <c r="A48" s="5555"/>
      <c r="B48" s="5528"/>
      <c r="C48" s="5515"/>
      <c r="D48" s="5515"/>
      <c r="E48" s="5515"/>
      <c r="F48" s="5515"/>
      <c r="G48" s="5515"/>
      <c r="H48" s="5515"/>
      <c r="I48" s="5515"/>
      <c r="J48" s="5515"/>
      <c r="K48" s="5515"/>
      <c r="L48" s="5515"/>
      <c r="M48" s="5515"/>
      <c r="N48" s="5515"/>
      <c r="O48" s="5515"/>
      <c r="P48" s="5515"/>
      <c r="Q48" s="5517"/>
      <c r="R48" s="2051" t="s">
        <v>29</v>
      </c>
      <c r="S48" s="2052">
        <v>530810</v>
      </c>
      <c r="T48" s="2050"/>
      <c r="U48" s="985" t="s">
        <v>72</v>
      </c>
      <c r="V48" s="2032"/>
      <c r="W48" s="725"/>
      <c r="X48" s="726"/>
      <c r="Y48" s="732"/>
      <c r="Z48" s="732"/>
      <c r="AA48" s="742">
        <f>SUM($Z$49)</f>
        <v>26096.000000000004</v>
      </c>
      <c r="AB48" s="170"/>
      <c r="AC48" s="170"/>
      <c r="AD48" s="282"/>
      <c r="AE48" s="1715"/>
    </row>
    <row r="49" spans="1:31" ht="42.75" customHeight="1">
      <c r="A49" s="5555"/>
      <c r="B49" s="5528"/>
      <c r="C49" s="5515"/>
      <c r="D49" s="5515"/>
      <c r="E49" s="5515"/>
      <c r="F49" s="5515"/>
      <c r="G49" s="5515"/>
      <c r="H49" s="5515"/>
      <c r="I49" s="5515"/>
      <c r="J49" s="5515"/>
      <c r="K49" s="5515"/>
      <c r="L49" s="5515"/>
      <c r="M49" s="5515"/>
      <c r="N49" s="5515"/>
      <c r="O49" s="5515"/>
      <c r="P49" s="5515"/>
      <c r="Q49" s="5517"/>
      <c r="R49" s="2049"/>
      <c r="S49" s="2050"/>
      <c r="T49" s="2050"/>
      <c r="U49" s="798"/>
      <c r="V49" s="748">
        <v>1</v>
      </c>
      <c r="W49" s="748" t="s">
        <v>250</v>
      </c>
      <c r="X49" s="748">
        <v>23300</v>
      </c>
      <c r="Y49" s="613">
        <f>+V49*X49</f>
        <v>23300</v>
      </c>
      <c r="Z49" s="613">
        <f>+Y49*1.12</f>
        <v>26096.000000000004</v>
      </c>
      <c r="AA49" s="727"/>
      <c r="AB49" s="751" t="s">
        <v>251</v>
      </c>
      <c r="AC49" s="751" t="s">
        <v>251</v>
      </c>
      <c r="AD49" s="770" t="s">
        <v>251</v>
      </c>
      <c r="AE49" s="1715"/>
    </row>
    <row r="50" spans="1:31" ht="42.75" customHeight="1">
      <c r="A50" s="5556"/>
      <c r="B50" s="5529"/>
      <c r="C50" s="5510"/>
      <c r="D50" s="5510"/>
      <c r="E50" s="5510"/>
      <c r="F50" s="5510"/>
      <c r="G50" s="5510"/>
      <c r="H50" s="5510"/>
      <c r="I50" s="5510"/>
      <c r="J50" s="5510"/>
      <c r="K50" s="5510"/>
      <c r="L50" s="5510"/>
      <c r="M50" s="5510"/>
      <c r="N50" s="5510"/>
      <c r="O50" s="5510"/>
      <c r="P50" s="5510"/>
      <c r="Q50" s="5518"/>
      <c r="R50" s="987"/>
      <c r="S50" s="2054"/>
      <c r="T50" s="2054"/>
      <c r="U50" s="169"/>
      <c r="V50" s="984"/>
      <c r="W50" s="170"/>
      <c r="X50" s="974"/>
      <c r="Y50" s="978"/>
      <c r="Z50" s="978"/>
      <c r="AA50" s="981"/>
      <c r="AB50" s="414"/>
      <c r="AC50" s="168"/>
      <c r="AD50" s="168"/>
      <c r="AE50" s="1715"/>
    </row>
    <row r="51" spans="1:31" ht="34.5" customHeight="1">
      <c r="A51" s="4942" t="s">
        <v>1476</v>
      </c>
      <c r="B51" s="5527" t="s">
        <v>235</v>
      </c>
      <c r="C51" s="5514" t="s">
        <v>236</v>
      </c>
      <c r="D51" s="5514" t="s">
        <v>237</v>
      </c>
      <c r="E51" s="5514" t="s">
        <v>326</v>
      </c>
      <c r="F51" s="5526" t="s">
        <v>239</v>
      </c>
      <c r="G51" s="5514" t="s">
        <v>240</v>
      </c>
      <c r="H51" s="5514" t="s">
        <v>257</v>
      </c>
      <c r="I51" s="5514" t="s">
        <v>2452</v>
      </c>
      <c r="J51" s="5514" t="s">
        <v>1524</v>
      </c>
      <c r="K51" s="5514" t="s">
        <v>2453</v>
      </c>
      <c r="L51" s="5519">
        <v>1</v>
      </c>
      <c r="M51" s="5519">
        <v>0</v>
      </c>
      <c r="N51" s="5519">
        <v>0</v>
      </c>
      <c r="O51" s="5525" t="s">
        <v>2454</v>
      </c>
      <c r="P51" s="5525" t="s">
        <v>2455</v>
      </c>
      <c r="Q51" s="5516" t="s">
        <v>2434</v>
      </c>
      <c r="R51" s="2041"/>
      <c r="S51" s="2040"/>
      <c r="T51" s="2040"/>
      <c r="U51" s="283"/>
      <c r="V51" s="988"/>
      <c r="W51" s="178"/>
      <c r="X51" s="989"/>
      <c r="Y51" s="973"/>
      <c r="Z51" s="973"/>
      <c r="AA51" s="990"/>
      <c r="AB51" s="178"/>
      <c r="AC51" s="181"/>
      <c r="AD51" s="181"/>
      <c r="AE51" s="1714"/>
    </row>
    <row r="52" spans="1:31" ht="34.5" customHeight="1">
      <c r="A52" s="4778"/>
      <c r="B52" s="5528"/>
      <c r="C52" s="5515"/>
      <c r="D52" s="5515"/>
      <c r="E52" s="5515"/>
      <c r="F52" s="5515"/>
      <c r="G52" s="5515"/>
      <c r="H52" s="5515"/>
      <c r="I52" s="5515"/>
      <c r="J52" s="5515"/>
      <c r="K52" s="5515"/>
      <c r="L52" s="5515"/>
      <c r="M52" s="5515"/>
      <c r="N52" s="5515"/>
      <c r="O52" s="5515"/>
      <c r="P52" s="5515"/>
      <c r="Q52" s="5517"/>
      <c r="R52" s="982"/>
      <c r="S52" s="2045"/>
      <c r="T52" s="2045"/>
      <c r="U52" s="169"/>
      <c r="V52" s="984"/>
      <c r="W52" s="170"/>
      <c r="X52" s="974"/>
      <c r="Y52" s="974"/>
      <c r="Z52" s="974"/>
      <c r="AA52" s="969"/>
      <c r="AB52" s="170"/>
      <c r="AC52" s="282"/>
      <c r="AD52" s="282"/>
      <c r="AE52" s="1715"/>
    </row>
    <row r="53" spans="1:31" ht="34.5" customHeight="1">
      <c r="A53" s="4778"/>
      <c r="B53" s="5528"/>
      <c r="C53" s="5515"/>
      <c r="D53" s="5515"/>
      <c r="E53" s="5515"/>
      <c r="F53" s="5515"/>
      <c r="G53" s="5515"/>
      <c r="H53" s="5515"/>
      <c r="I53" s="5515"/>
      <c r="J53" s="5515"/>
      <c r="K53" s="5515"/>
      <c r="L53" s="5515"/>
      <c r="M53" s="5515"/>
      <c r="N53" s="5515"/>
      <c r="O53" s="5515"/>
      <c r="P53" s="5515"/>
      <c r="Q53" s="5517"/>
      <c r="R53" s="982"/>
      <c r="S53" s="2045"/>
      <c r="T53" s="2045"/>
      <c r="U53" s="169"/>
      <c r="V53" s="984"/>
      <c r="W53" s="170"/>
      <c r="X53" s="974"/>
      <c r="Y53" s="974"/>
      <c r="Z53" s="974"/>
      <c r="AA53" s="969"/>
      <c r="AB53" s="170"/>
      <c r="AC53" s="282"/>
      <c r="AD53" s="282"/>
      <c r="AE53" s="1715"/>
    </row>
    <row r="54" spans="1:31" ht="34.5" customHeight="1">
      <c r="A54" s="4778"/>
      <c r="B54" s="5528"/>
      <c r="C54" s="5515"/>
      <c r="D54" s="5515"/>
      <c r="E54" s="5515"/>
      <c r="F54" s="5515"/>
      <c r="G54" s="5515"/>
      <c r="H54" s="5515"/>
      <c r="I54" s="5515"/>
      <c r="J54" s="5515"/>
      <c r="K54" s="5515"/>
      <c r="L54" s="5515"/>
      <c r="M54" s="5515"/>
      <c r="N54" s="5515"/>
      <c r="O54" s="5515"/>
      <c r="P54" s="5515"/>
      <c r="Q54" s="5517"/>
      <c r="R54" s="982"/>
      <c r="S54" s="2045"/>
      <c r="T54" s="2045"/>
      <c r="U54" s="169"/>
      <c r="V54" s="984"/>
      <c r="W54" s="170"/>
      <c r="X54" s="974"/>
      <c r="Y54" s="974"/>
      <c r="Z54" s="974"/>
      <c r="AA54" s="969"/>
      <c r="AB54" s="170"/>
      <c r="AC54" s="282"/>
      <c r="AD54" s="282"/>
      <c r="AE54" s="1715"/>
    </row>
    <row r="55" spans="1:31" ht="34.5" customHeight="1">
      <c r="A55" s="4778"/>
      <c r="B55" s="5529"/>
      <c r="C55" s="5510"/>
      <c r="D55" s="5510"/>
      <c r="E55" s="5510"/>
      <c r="F55" s="5510"/>
      <c r="G55" s="5510"/>
      <c r="H55" s="5510"/>
      <c r="I55" s="5510"/>
      <c r="J55" s="5510"/>
      <c r="K55" s="5510"/>
      <c r="L55" s="5510"/>
      <c r="M55" s="5510"/>
      <c r="N55" s="5510"/>
      <c r="O55" s="5510"/>
      <c r="P55" s="5510"/>
      <c r="Q55" s="5518"/>
      <c r="R55" s="975"/>
      <c r="S55" s="2044"/>
      <c r="T55" s="2044"/>
      <c r="U55" s="411"/>
      <c r="V55" s="977"/>
      <c r="W55" s="165"/>
      <c r="X55" s="978"/>
      <c r="Y55" s="978"/>
      <c r="Z55" s="978"/>
      <c r="AA55" s="979"/>
      <c r="AB55" s="165"/>
      <c r="AC55" s="166"/>
      <c r="AD55" s="166"/>
      <c r="AE55" s="980"/>
    </row>
    <row r="56" spans="1:31" ht="34.5" customHeight="1">
      <c r="A56" s="4778"/>
      <c r="B56" s="5527" t="s">
        <v>235</v>
      </c>
      <c r="C56" s="5514" t="s">
        <v>236</v>
      </c>
      <c r="D56" s="5514" t="s">
        <v>237</v>
      </c>
      <c r="E56" s="5514" t="s">
        <v>326</v>
      </c>
      <c r="F56" s="5526" t="s">
        <v>239</v>
      </c>
      <c r="G56" s="5514" t="s">
        <v>240</v>
      </c>
      <c r="H56" s="5514" t="s">
        <v>257</v>
      </c>
      <c r="I56" s="5514" t="s">
        <v>2456</v>
      </c>
      <c r="J56" s="5514" t="s">
        <v>1529</v>
      </c>
      <c r="K56" s="5525" t="s">
        <v>2457</v>
      </c>
      <c r="L56" s="5519">
        <v>5</v>
      </c>
      <c r="M56" s="5519">
        <v>5</v>
      </c>
      <c r="N56" s="5519">
        <v>5</v>
      </c>
      <c r="O56" s="5525" t="s">
        <v>2458</v>
      </c>
      <c r="P56" s="5525" t="s">
        <v>2459</v>
      </c>
      <c r="Q56" s="5516" t="s">
        <v>2434</v>
      </c>
      <c r="R56" s="2041"/>
      <c r="S56" s="2040"/>
      <c r="T56" s="2040"/>
      <c r="U56" s="176"/>
      <c r="V56" s="968"/>
      <c r="W56" s="414"/>
      <c r="X56" s="973"/>
      <c r="Y56" s="973"/>
      <c r="Z56" s="973"/>
      <c r="AA56" s="981"/>
      <c r="AB56" s="414"/>
      <c r="AC56" s="174"/>
      <c r="AD56" s="174"/>
      <c r="AE56" s="1715"/>
    </row>
    <row r="57" spans="1:31" ht="34.5" customHeight="1">
      <c r="A57" s="4778"/>
      <c r="B57" s="5528"/>
      <c r="C57" s="5515"/>
      <c r="D57" s="5515"/>
      <c r="E57" s="5515"/>
      <c r="F57" s="5515"/>
      <c r="G57" s="5515"/>
      <c r="H57" s="5515"/>
      <c r="I57" s="5515"/>
      <c r="J57" s="5515"/>
      <c r="K57" s="5515"/>
      <c r="L57" s="5515"/>
      <c r="M57" s="5515"/>
      <c r="N57" s="5515"/>
      <c r="O57" s="5515"/>
      <c r="P57" s="5515"/>
      <c r="Q57" s="5517"/>
      <c r="R57" s="982"/>
      <c r="S57" s="2045"/>
      <c r="T57" s="2045"/>
      <c r="U57" s="169"/>
      <c r="V57" s="984"/>
      <c r="W57" s="170"/>
      <c r="X57" s="974"/>
      <c r="Y57" s="974"/>
      <c r="Z57" s="974"/>
      <c r="AA57" s="969"/>
      <c r="AB57" s="170"/>
      <c r="AC57" s="282"/>
      <c r="AD57" s="282"/>
      <c r="AE57" s="1715"/>
    </row>
    <row r="58" spans="1:31" ht="34.5" customHeight="1">
      <c r="A58" s="4778"/>
      <c r="B58" s="5528"/>
      <c r="C58" s="5515"/>
      <c r="D58" s="5515"/>
      <c r="E58" s="5515"/>
      <c r="F58" s="5515"/>
      <c r="G58" s="5515"/>
      <c r="H58" s="5515"/>
      <c r="I58" s="5515"/>
      <c r="J58" s="5515"/>
      <c r="K58" s="5515"/>
      <c r="L58" s="5515"/>
      <c r="M58" s="5515"/>
      <c r="N58" s="5515"/>
      <c r="O58" s="5515"/>
      <c r="P58" s="5515"/>
      <c r="Q58" s="5517"/>
      <c r="R58" s="2042"/>
      <c r="S58" s="2043"/>
      <c r="T58" s="2043"/>
      <c r="U58" s="1217"/>
      <c r="V58" s="968"/>
      <c r="W58" s="414"/>
      <c r="X58" s="973"/>
      <c r="Y58" s="974"/>
      <c r="Z58" s="974"/>
      <c r="AA58" s="969"/>
      <c r="AB58" s="170"/>
      <c r="AC58" s="282"/>
      <c r="AD58" s="282"/>
      <c r="AE58" s="1715"/>
    </row>
    <row r="59" spans="1:31" ht="34.5" customHeight="1">
      <c r="A59" s="4778"/>
      <c r="B59" s="5528"/>
      <c r="C59" s="5515"/>
      <c r="D59" s="5515"/>
      <c r="E59" s="5515"/>
      <c r="F59" s="5515"/>
      <c r="G59" s="5515"/>
      <c r="H59" s="5515"/>
      <c r="I59" s="5515"/>
      <c r="J59" s="5515"/>
      <c r="K59" s="5515"/>
      <c r="L59" s="5515"/>
      <c r="M59" s="5515"/>
      <c r="N59" s="5515"/>
      <c r="O59" s="5515"/>
      <c r="P59" s="5515"/>
      <c r="Q59" s="5517"/>
      <c r="R59" s="2041"/>
      <c r="S59" s="2040"/>
      <c r="T59" s="2040"/>
      <c r="U59" s="1217"/>
      <c r="V59" s="968"/>
      <c r="W59" s="414"/>
      <c r="X59" s="973"/>
      <c r="Y59" s="974"/>
      <c r="Z59" s="974"/>
      <c r="AA59" s="969"/>
      <c r="AB59" s="170"/>
      <c r="AC59" s="282"/>
      <c r="AD59" s="282"/>
      <c r="AE59" s="1715"/>
    </row>
    <row r="60" spans="1:31" ht="34.5" customHeight="1">
      <c r="A60" s="4778"/>
      <c r="B60" s="5529"/>
      <c r="C60" s="5510"/>
      <c r="D60" s="5510"/>
      <c r="E60" s="5510"/>
      <c r="F60" s="5510"/>
      <c r="G60" s="5510"/>
      <c r="H60" s="5510"/>
      <c r="I60" s="5510"/>
      <c r="J60" s="5510"/>
      <c r="K60" s="5510"/>
      <c r="L60" s="5510"/>
      <c r="M60" s="5510"/>
      <c r="N60" s="5510"/>
      <c r="O60" s="5510"/>
      <c r="P60" s="5510"/>
      <c r="Q60" s="5518"/>
      <c r="R60" s="975"/>
      <c r="S60" s="2044"/>
      <c r="T60" s="2044"/>
      <c r="U60" s="411"/>
      <c r="V60" s="977"/>
      <c r="W60" s="165"/>
      <c r="X60" s="978"/>
      <c r="Y60" s="978"/>
      <c r="Z60" s="978"/>
      <c r="AA60" s="979"/>
      <c r="AB60" s="165"/>
      <c r="AC60" s="166"/>
      <c r="AD60" s="166"/>
      <c r="AE60" s="980"/>
    </row>
    <row r="61" spans="1:31" ht="34.5" customHeight="1">
      <c r="A61" s="4778"/>
      <c r="B61" s="5527" t="s">
        <v>235</v>
      </c>
      <c r="C61" s="5514" t="s">
        <v>236</v>
      </c>
      <c r="D61" s="5514" t="s">
        <v>237</v>
      </c>
      <c r="E61" s="5514" t="s">
        <v>326</v>
      </c>
      <c r="F61" s="5526" t="s">
        <v>239</v>
      </c>
      <c r="G61" s="5514" t="s">
        <v>240</v>
      </c>
      <c r="H61" s="5514" t="s">
        <v>257</v>
      </c>
      <c r="I61" s="5514" t="s">
        <v>2460</v>
      </c>
      <c r="J61" s="5514" t="s">
        <v>1952</v>
      </c>
      <c r="K61" s="5514" t="s">
        <v>1535</v>
      </c>
      <c r="L61" s="5519">
        <v>2</v>
      </c>
      <c r="M61" s="5519">
        <v>3</v>
      </c>
      <c r="N61" s="5519">
        <v>2</v>
      </c>
      <c r="O61" s="5514" t="s">
        <v>2461</v>
      </c>
      <c r="P61" s="5514" t="s">
        <v>2462</v>
      </c>
      <c r="Q61" s="5516" t="s">
        <v>2434</v>
      </c>
      <c r="R61" s="2041"/>
      <c r="S61" s="2040"/>
      <c r="T61" s="2040"/>
      <c r="U61" s="176"/>
      <c r="V61" s="968"/>
      <c r="W61" s="414"/>
      <c r="X61" s="973"/>
      <c r="Y61" s="973"/>
      <c r="Z61" s="973"/>
      <c r="AA61" s="981"/>
      <c r="AB61" s="414"/>
      <c r="AC61" s="168"/>
      <c r="AD61" s="168"/>
      <c r="AE61" s="1715"/>
    </row>
    <row r="62" spans="1:31" ht="34.5" customHeight="1">
      <c r="A62" s="4778"/>
      <c r="B62" s="5528"/>
      <c r="C62" s="5515"/>
      <c r="D62" s="5515"/>
      <c r="E62" s="5515"/>
      <c r="F62" s="5515"/>
      <c r="G62" s="5515"/>
      <c r="H62" s="5515"/>
      <c r="I62" s="5515"/>
      <c r="J62" s="5515"/>
      <c r="K62" s="5515"/>
      <c r="L62" s="5515"/>
      <c r="M62" s="5515"/>
      <c r="N62" s="5515"/>
      <c r="O62" s="5515"/>
      <c r="P62" s="5515"/>
      <c r="Q62" s="5517"/>
      <c r="R62" s="982"/>
      <c r="S62" s="2045"/>
      <c r="T62" s="2045"/>
      <c r="U62" s="169"/>
      <c r="V62" s="984"/>
      <c r="W62" s="170"/>
      <c r="X62" s="974"/>
      <c r="Y62" s="974"/>
      <c r="Z62" s="974"/>
      <c r="AA62" s="969"/>
      <c r="AB62" s="170"/>
      <c r="AC62" s="170"/>
      <c r="AD62" s="171"/>
      <c r="AE62" s="1715"/>
    </row>
    <row r="63" spans="1:31" ht="34.5" customHeight="1">
      <c r="A63" s="4778"/>
      <c r="B63" s="5528"/>
      <c r="C63" s="5515"/>
      <c r="D63" s="5515"/>
      <c r="E63" s="5515"/>
      <c r="F63" s="5515"/>
      <c r="G63" s="5515"/>
      <c r="H63" s="5515"/>
      <c r="I63" s="5515"/>
      <c r="J63" s="5515"/>
      <c r="K63" s="5515"/>
      <c r="L63" s="5515"/>
      <c r="M63" s="5515"/>
      <c r="N63" s="5515"/>
      <c r="O63" s="5515"/>
      <c r="P63" s="5515"/>
      <c r="Q63" s="5517"/>
      <c r="R63" s="982"/>
      <c r="S63" s="2045"/>
      <c r="T63" s="2045"/>
      <c r="U63" s="169"/>
      <c r="V63" s="984"/>
      <c r="W63" s="170"/>
      <c r="X63" s="974"/>
      <c r="Y63" s="974"/>
      <c r="Z63" s="974"/>
      <c r="AA63" s="969"/>
      <c r="AB63" s="170"/>
      <c r="AC63" s="170"/>
      <c r="AD63" s="282"/>
      <c r="AE63" s="1715"/>
    </row>
    <row r="64" spans="1:31" ht="34.5" customHeight="1">
      <c r="A64" s="4778"/>
      <c r="B64" s="5528"/>
      <c r="C64" s="5515"/>
      <c r="D64" s="5515"/>
      <c r="E64" s="5515"/>
      <c r="F64" s="5515"/>
      <c r="G64" s="5515"/>
      <c r="H64" s="5515"/>
      <c r="I64" s="5515"/>
      <c r="J64" s="5515"/>
      <c r="K64" s="5515"/>
      <c r="L64" s="5515"/>
      <c r="M64" s="5515"/>
      <c r="N64" s="5515"/>
      <c r="O64" s="5515"/>
      <c r="P64" s="5515"/>
      <c r="Q64" s="5517"/>
      <c r="R64" s="982"/>
      <c r="S64" s="2045"/>
      <c r="T64" s="2045"/>
      <c r="U64" s="169"/>
      <c r="V64" s="984"/>
      <c r="W64" s="170"/>
      <c r="X64" s="974"/>
      <c r="Y64" s="974"/>
      <c r="Z64" s="974"/>
      <c r="AA64" s="969"/>
      <c r="AB64" s="170"/>
      <c r="AC64" s="170"/>
      <c r="AD64" s="282"/>
      <c r="AE64" s="1715"/>
    </row>
    <row r="65" spans="1:31" ht="34.5" customHeight="1">
      <c r="A65" s="4778"/>
      <c r="B65" s="5529"/>
      <c r="C65" s="5510"/>
      <c r="D65" s="5510"/>
      <c r="E65" s="5510"/>
      <c r="F65" s="5510"/>
      <c r="G65" s="5510"/>
      <c r="H65" s="5510"/>
      <c r="I65" s="5510"/>
      <c r="J65" s="5510"/>
      <c r="K65" s="5510"/>
      <c r="L65" s="5510"/>
      <c r="M65" s="5510"/>
      <c r="N65" s="5510"/>
      <c r="O65" s="5510"/>
      <c r="P65" s="5510"/>
      <c r="Q65" s="5518"/>
      <c r="R65" s="975"/>
      <c r="S65" s="2044"/>
      <c r="T65" s="2044"/>
      <c r="U65" s="411"/>
      <c r="V65" s="977"/>
      <c r="W65" s="165"/>
      <c r="X65" s="978"/>
      <c r="Y65" s="978"/>
      <c r="Z65" s="978"/>
      <c r="AA65" s="979"/>
      <c r="AB65" s="165"/>
      <c r="AC65" s="165"/>
      <c r="AD65" s="166"/>
      <c r="AE65" s="980"/>
    </row>
    <row r="66" spans="1:31" ht="34.5" customHeight="1">
      <c r="A66" s="4778"/>
      <c r="B66" s="5527" t="s">
        <v>235</v>
      </c>
      <c r="C66" s="5514" t="s">
        <v>236</v>
      </c>
      <c r="D66" s="5514" t="s">
        <v>237</v>
      </c>
      <c r="E66" s="5514" t="s">
        <v>326</v>
      </c>
      <c r="F66" s="5526" t="s">
        <v>239</v>
      </c>
      <c r="G66" s="5514" t="s">
        <v>240</v>
      </c>
      <c r="H66" s="5514" t="s">
        <v>257</v>
      </c>
      <c r="I66" s="5514" t="s">
        <v>2463</v>
      </c>
      <c r="J66" s="5514" t="s">
        <v>1539</v>
      </c>
      <c r="K66" s="5514" t="s">
        <v>2464</v>
      </c>
      <c r="L66" s="5519">
        <v>3</v>
      </c>
      <c r="M66" s="5519">
        <v>3</v>
      </c>
      <c r="N66" s="5519">
        <v>3</v>
      </c>
      <c r="O66" s="5514" t="s">
        <v>2465</v>
      </c>
      <c r="P66" s="5514" t="s">
        <v>2466</v>
      </c>
      <c r="Q66" s="5516" t="s">
        <v>2434</v>
      </c>
      <c r="R66" s="2041"/>
      <c r="S66" s="2040"/>
      <c r="T66" s="2040"/>
      <c r="U66" s="283"/>
      <c r="V66" s="988"/>
      <c r="W66" s="178"/>
      <c r="X66" s="989"/>
      <c r="Y66" s="973"/>
      <c r="Z66" s="973"/>
      <c r="AA66" s="990"/>
      <c r="AB66" s="178"/>
      <c r="AC66" s="181"/>
      <c r="AD66" s="181"/>
      <c r="AE66" s="1714"/>
    </row>
    <row r="67" spans="1:31" ht="34.5" customHeight="1">
      <c r="A67" s="4778"/>
      <c r="B67" s="5528"/>
      <c r="C67" s="5515"/>
      <c r="D67" s="5515"/>
      <c r="E67" s="5515"/>
      <c r="F67" s="5515"/>
      <c r="G67" s="5515"/>
      <c r="H67" s="5515"/>
      <c r="I67" s="5515"/>
      <c r="J67" s="5515"/>
      <c r="K67" s="5515"/>
      <c r="L67" s="5515"/>
      <c r="M67" s="5515"/>
      <c r="N67" s="5515"/>
      <c r="O67" s="5515"/>
      <c r="P67" s="5515"/>
      <c r="Q67" s="5517"/>
      <c r="R67" s="982"/>
      <c r="S67" s="2045"/>
      <c r="T67" s="2045"/>
      <c r="U67" s="169"/>
      <c r="V67" s="984"/>
      <c r="W67" s="170"/>
      <c r="X67" s="974"/>
      <c r="Y67" s="974"/>
      <c r="Z67" s="974"/>
      <c r="AA67" s="969"/>
      <c r="AB67" s="170"/>
      <c r="AC67" s="282"/>
      <c r="AD67" s="282"/>
      <c r="AE67" s="1715"/>
    </row>
    <row r="68" spans="1:31" ht="34.5" customHeight="1">
      <c r="A68" s="4778"/>
      <c r="B68" s="5528"/>
      <c r="C68" s="5515"/>
      <c r="D68" s="5515"/>
      <c r="E68" s="5515"/>
      <c r="F68" s="5515"/>
      <c r="G68" s="5515"/>
      <c r="H68" s="5515"/>
      <c r="I68" s="5515"/>
      <c r="J68" s="5515"/>
      <c r="K68" s="5515"/>
      <c r="L68" s="5515"/>
      <c r="M68" s="5515"/>
      <c r="N68" s="5515"/>
      <c r="O68" s="5515"/>
      <c r="P68" s="5515"/>
      <c r="Q68" s="5517"/>
      <c r="R68" s="982"/>
      <c r="S68" s="2045"/>
      <c r="T68" s="2045"/>
      <c r="U68" s="169"/>
      <c r="V68" s="984"/>
      <c r="W68" s="170"/>
      <c r="X68" s="974"/>
      <c r="Y68" s="974"/>
      <c r="Z68" s="974"/>
      <c r="AA68" s="969"/>
      <c r="AB68" s="170"/>
      <c r="AC68" s="282"/>
      <c r="AD68" s="282"/>
      <c r="AE68" s="1715"/>
    </row>
    <row r="69" spans="1:31" ht="34.5" customHeight="1">
      <c r="A69" s="4778"/>
      <c r="B69" s="5528"/>
      <c r="C69" s="5515"/>
      <c r="D69" s="5515"/>
      <c r="E69" s="5515"/>
      <c r="F69" s="5515"/>
      <c r="G69" s="5515"/>
      <c r="H69" s="5515"/>
      <c r="I69" s="5515"/>
      <c r="J69" s="5515"/>
      <c r="K69" s="5515"/>
      <c r="L69" s="5515"/>
      <c r="M69" s="5515"/>
      <c r="N69" s="5515"/>
      <c r="O69" s="5515"/>
      <c r="P69" s="5515"/>
      <c r="Q69" s="5517"/>
      <c r="R69" s="982"/>
      <c r="S69" s="2045"/>
      <c r="T69" s="2045"/>
      <c r="U69" s="169"/>
      <c r="V69" s="984"/>
      <c r="W69" s="170"/>
      <c r="X69" s="974"/>
      <c r="Y69" s="974"/>
      <c r="Z69" s="974"/>
      <c r="AA69" s="969"/>
      <c r="AB69" s="170"/>
      <c r="AC69" s="282"/>
      <c r="AD69" s="282"/>
      <c r="AE69" s="1715"/>
    </row>
    <row r="70" spans="1:31" ht="34.5" customHeight="1">
      <c r="A70" s="4778"/>
      <c r="B70" s="5529"/>
      <c r="C70" s="5510"/>
      <c r="D70" s="5510"/>
      <c r="E70" s="5510"/>
      <c r="F70" s="5510"/>
      <c r="G70" s="5510"/>
      <c r="H70" s="5510"/>
      <c r="I70" s="5510"/>
      <c r="J70" s="5510"/>
      <c r="K70" s="5510"/>
      <c r="L70" s="5510"/>
      <c r="M70" s="5510"/>
      <c r="N70" s="5510"/>
      <c r="O70" s="5510"/>
      <c r="P70" s="5510"/>
      <c r="Q70" s="5518"/>
      <c r="R70" s="975"/>
      <c r="S70" s="2044"/>
      <c r="T70" s="2044"/>
      <c r="U70" s="411"/>
      <c r="V70" s="977"/>
      <c r="W70" s="165"/>
      <c r="X70" s="978"/>
      <c r="Y70" s="978"/>
      <c r="Z70" s="978"/>
      <c r="AA70" s="979"/>
      <c r="AB70" s="165"/>
      <c r="AC70" s="166"/>
      <c r="AD70" s="166"/>
      <c r="AE70" s="980"/>
    </row>
    <row r="71" spans="1:31" ht="34.5" customHeight="1">
      <c r="A71" s="4778"/>
      <c r="B71" s="5527" t="s">
        <v>235</v>
      </c>
      <c r="C71" s="5514" t="s">
        <v>236</v>
      </c>
      <c r="D71" s="5514" t="s">
        <v>244</v>
      </c>
      <c r="E71" s="5514" t="s">
        <v>245</v>
      </c>
      <c r="F71" s="5526" t="s">
        <v>239</v>
      </c>
      <c r="G71" s="5514" t="s">
        <v>293</v>
      </c>
      <c r="H71" s="5514" t="s">
        <v>257</v>
      </c>
      <c r="I71" s="5514" t="s">
        <v>2467</v>
      </c>
      <c r="J71" s="5514" t="s">
        <v>1545</v>
      </c>
      <c r="K71" s="5525" t="s">
        <v>2468</v>
      </c>
      <c r="L71" s="5519">
        <v>1</v>
      </c>
      <c r="M71" s="5519">
        <v>1</v>
      </c>
      <c r="N71" s="991">
        <v>1</v>
      </c>
      <c r="O71" s="5514" t="s">
        <v>2469</v>
      </c>
      <c r="P71" s="5514" t="s">
        <v>2470</v>
      </c>
      <c r="Q71" s="5516" t="s">
        <v>2439</v>
      </c>
      <c r="R71" s="2041"/>
      <c r="S71" s="2040"/>
      <c r="T71" s="2040"/>
      <c r="U71" s="176"/>
      <c r="V71" s="968"/>
      <c r="W71" s="414"/>
      <c r="X71" s="973"/>
      <c r="Y71" s="973"/>
      <c r="Z71" s="973"/>
      <c r="AA71" s="981"/>
      <c r="AB71" s="414"/>
      <c r="AC71" s="174"/>
      <c r="AD71" s="174"/>
      <c r="AE71" s="1715"/>
    </row>
    <row r="72" spans="1:31" ht="34.5" customHeight="1">
      <c r="A72" s="4778"/>
      <c r="B72" s="5528"/>
      <c r="C72" s="5515"/>
      <c r="D72" s="5515"/>
      <c r="E72" s="5515"/>
      <c r="F72" s="5515"/>
      <c r="G72" s="5515"/>
      <c r="H72" s="5515"/>
      <c r="I72" s="5515"/>
      <c r="J72" s="5515"/>
      <c r="K72" s="5515"/>
      <c r="L72" s="5515"/>
      <c r="M72" s="5515"/>
      <c r="N72" s="992"/>
      <c r="O72" s="5515"/>
      <c r="P72" s="5515"/>
      <c r="Q72" s="5517"/>
      <c r="R72" s="982"/>
      <c r="S72" s="2045"/>
      <c r="T72" s="2045"/>
      <c r="U72" s="169"/>
      <c r="V72" s="984"/>
      <c r="W72" s="170"/>
      <c r="X72" s="974"/>
      <c r="Y72" s="974"/>
      <c r="Z72" s="974"/>
      <c r="AA72" s="969"/>
      <c r="AB72" s="170"/>
      <c r="AC72" s="282"/>
      <c r="AD72" s="282"/>
      <c r="AE72" s="1715"/>
    </row>
    <row r="73" spans="1:31" ht="34.5" customHeight="1">
      <c r="A73" s="4778"/>
      <c r="B73" s="5528"/>
      <c r="C73" s="5515"/>
      <c r="D73" s="5515"/>
      <c r="E73" s="5515"/>
      <c r="F73" s="5515"/>
      <c r="G73" s="5515"/>
      <c r="H73" s="5515"/>
      <c r="I73" s="5515"/>
      <c r="J73" s="5515"/>
      <c r="K73" s="5515"/>
      <c r="L73" s="5515"/>
      <c r="M73" s="5515"/>
      <c r="N73" s="992"/>
      <c r="O73" s="5515"/>
      <c r="P73" s="5515"/>
      <c r="Q73" s="5517"/>
      <c r="R73" s="2042"/>
      <c r="S73" s="2043"/>
      <c r="T73" s="2043"/>
      <c r="U73" s="1217"/>
      <c r="V73" s="968"/>
      <c r="W73" s="414"/>
      <c r="X73" s="973"/>
      <c r="Y73" s="974"/>
      <c r="Z73" s="974"/>
      <c r="AA73" s="969"/>
      <c r="AB73" s="170"/>
      <c r="AC73" s="282"/>
      <c r="AD73" s="282"/>
      <c r="AE73" s="1715"/>
    </row>
    <row r="74" spans="1:31" ht="34.5" customHeight="1">
      <c r="A74" s="4778"/>
      <c r="B74" s="5528"/>
      <c r="C74" s="5515"/>
      <c r="D74" s="5515"/>
      <c r="E74" s="5515"/>
      <c r="F74" s="5515"/>
      <c r="G74" s="5515"/>
      <c r="H74" s="5515"/>
      <c r="I74" s="5515"/>
      <c r="J74" s="5515"/>
      <c r="K74" s="5515"/>
      <c r="L74" s="5515"/>
      <c r="M74" s="5515"/>
      <c r="N74" s="992"/>
      <c r="O74" s="5515"/>
      <c r="P74" s="5515"/>
      <c r="Q74" s="5517"/>
      <c r="R74" s="2041"/>
      <c r="S74" s="2040"/>
      <c r="T74" s="2040"/>
      <c r="U74" s="1217"/>
      <c r="V74" s="968"/>
      <c r="W74" s="414"/>
      <c r="X74" s="973"/>
      <c r="Y74" s="974"/>
      <c r="Z74" s="974"/>
      <c r="AA74" s="969"/>
      <c r="AB74" s="170"/>
      <c r="AC74" s="282"/>
      <c r="AD74" s="282"/>
      <c r="AE74" s="1715"/>
    </row>
    <row r="75" spans="1:31" ht="34.5" customHeight="1">
      <c r="A75" s="4778"/>
      <c r="B75" s="5529"/>
      <c r="C75" s="5510"/>
      <c r="D75" s="5510"/>
      <c r="E75" s="5510"/>
      <c r="F75" s="5510"/>
      <c r="G75" s="5510"/>
      <c r="H75" s="5510"/>
      <c r="I75" s="5510"/>
      <c r="J75" s="5510"/>
      <c r="K75" s="5510"/>
      <c r="L75" s="5510"/>
      <c r="M75" s="5510"/>
      <c r="N75" s="993"/>
      <c r="O75" s="5510"/>
      <c r="P75" s="5510"/>
      <c r="Q75" s="5518"/>
      <c r="R75" s="975"/>
      <c r="S75" s="2044"/>
      <c r="T75" s="2044"/>
      <c r="U75" s="411"/>
      <c r="V75" s="977"/>
      <c r="W75" s="165"/>
      <c r="X75" s="978"/>
      <c r="Y75" s="978"/>
      <c r="Z75" s="978"/>
      <c r="AA75" s="979"/>
      <c r="AB75" s="165"/>
      <c r="AC75" s="166"/>
      <c r="AD75" s="166"/>
      <c r="AE75" s="980"/>
    </row>
    <row r="76" spans="1:31" ht="34.5" customHeight="1">
      <c r="A76" s="4778"/>
      <c r="B76" s="5527" t="s">
        <v>235</v>
      </c>
      <c r="C76" s="5514" t="s">
        <v>236</v>
      </c>
      <c r="D76" s="5514" t="s">
        <v>237</v>
      </c>
      <c r="E76" s="5514" t="s">
        <v>326</v>
      </c>
      <c r="F76" s="5526" t="s">
        <v>239</v>
      </c>
      <c r="G76" s="5514" t="s">
        <v>240</v>
      </c>
      <c r="H76" s="5514" t="s">
        <v>257</v>
      </c>
      <c r="I76" s="5514" t="s">
        <v>2471</v>
      </c>
      <c r="J76" s="5514" t="s">
        <v>2472</v>
      </c>
      <c r="K76" s="5514" t="s">
        <v>2473</v>
      </c>
      <c r="L76" s="5519">
        <v>5</v>
      </c>
      <c r="M76" s="5519">
        <v>5</v>
      </c>
      <c r="N76" s="5519">
        <v>5</v>
      </c>
      <c r="O76" s="5558" t="s">
        <v>2474</v>
      </c>
      <c r="P76" s="5506" t="s">
        <v>2475</v>
      </c>
      <c r="Q76" s="5516" t="s">
        <v>2434</v>
      </c>
      <c r="R76" s="2041"/>
      <c r="S76" s="2040"/>
      <c r="T76" s="2040"/>
      <c r="U76" s="176"/>
      <c r="V76" s="968"/>
      <c r="W76" s="414"/>
      <c r="X76" s="973"/>
      <c r="Y76" s="973"/>
      <c r="Z76" s="973"/>
      <c r="AA76" s="981"/>
      <c r="AB76" s="414"/>
      <c r="AC76" s="168"/>
      <c r="AD76" s="168"/>
      <c r="AE76" s="1715"/>
    </row>
    <row r="77" spans="1:31" ht="34.5" customHeight="1">
      <c r="A77" s="4778"/>
      <c r="B77" s="5528"/>
      <c r="C77" s="5515"/>
      <c r="D77" s="5515"/>
      <c r="E77" s="5515"/>
      <c r="F77" s="5515"/>
      <c r="G77" s="5515"/>
      <c r="H77" s="5515"/>
      <c r="I77" s="5515"/>
      <c r="J77" s="5515"/>
      <c r="K77" s="5515"/>
      <c r="L77" s="5515"/>
      <c r="M77" s="5515"/>
      <c r="N77" s="5515"/>
      <c r="O77" s="5535"/>
      <c r="P77" s="5507"/>
      <c r="Q77" s="5517"/>
      <c r="R77" s="982"/>
      <c r="S77" s="2045"/>
      <c r="T77" s="2045"/>
      <c r="U77" s="169"/>
      <c r="V77" s="984"/>
      <c r="W77" s="170"/>
      <c r="X77" s="974"/>
      <c r="Y77" s="974"/>
      <c r="Z77" s="974"/>
      <c r="AA77" s="969"/>
      <c r="AB77" s="170"/>
      <c r="AC77" s="170"/>
      <c r="AD77" s="171"/>
      <c r="AE77" s="1715"/>
    </row>
    <row r="78" spans="1:31" ht="34.5" customHeight="1">
      <c r="A78" s="4778"/>
      <c r="B78" s="5528"/>
      <c r="C78" s="5515"/>
      <c r="D78" s="5515"/>
      <c r="E78" s="5515"/>
      <c r="F78" s="5515"/>
      <c r="G78" s="5515"/>
      <c r="H78" s="5515"/>
      <c r="I78" s="5515"/>
      <c r="J78" s="5515"/>
      <c r="K78" s="5515"/>
      <c r="L78" s="5515"/>
      <c r="M78" s="5515"/>
      <c r="N78" s="5515"/>
      <c r="O78" s="5535"/>
      <c r="P78" s="5507"/>
      <c r="Q78" s="5517"/>
      <c r="R78" s="982"/>
      <c r="S78" s="2045"/>
      <c r="T78" s="2045"/>
      <c r="U78" s="169"/>
      <c r="V78" s="984"/>
      <c r="W78" s="170"/>
      <c r="X78" s="974"/>
      <c r="Y78" s="974"/>
      <c r="Z78" s="974"/>
      <c r="AA78" s="969"/>
      <c r="AB78" s="170"/>
      <c r="AC78" s="170"/>
      <c r="AD78" s="282"/>
      <c r="AE78" s="1715"/>
    </row>
    <row r="79" spans="1:31" ht="34.5" customHeight="1">
      <c r="A79" s="4778"/>
      <c r="B79" s="5528"/>
      <c r="C79" s="5515"/>
      <c r="D79" s="5515"/>
      <c r="E79" s="5515"/>
      <c r="F79" s="5515"/>
      <c r="G79" s="5515"/>
      <c r="H79" s="5515"/>
      <c r="I79" s="5515"/>
      <c r="J79" s="5515"/>
      <c r="K79" s="5515"/>
      <c r="L79" s="5515"/>
      <c r="M79" s="5515"/>
      <c r="N79" s="5515"/>
      <c r="O79" s="5535"/>
      <c r="P79" s="5507"/>
      <c r="Q79" s="5517"/>
      <c r="R79" s="982"/>
      <c r="S79" s="2045"/>
      <c r="T79" s="2045"/>
      <c r="U79" s="169"/>
      <c r="V79" s="984"/>
      <c r="W79" s="170"/>
      <c r="X79" s="974"/>
      <c r="Y79" s="974"/>
      <c r="Z79" s="974"/>
      <c r="AA79" s="969"/>
      <c r="AB79" s="170"/>
      <c r="AC79" s="170"/>
      <c r="AD79" s="282"/>
      <c r="AE79" s="1715"/>
    </row>
    <row r="80" spans="1:31" ht="34.5" customHeight="1">
      <c r="A80" s="4778"/>
      <c r="B80" s="5529"/>
      <c r="C80" s="5510"/>
      <c r="D80" s="5510"/>
      <c r="E80" s="5510"/>
      <c r="F80" s="5510"/>
      <c r="G80" s="5510"/>
      <c r="H80" s="5510"/>
      <c r="I80" s="5510"/>
      <c r="J80" s="5510"/>
      <c r="K80" s="5510"/>
      <c r="L80" s="5510"/>
      <c r="M80" s="5510"/>
      <c r="N80" s="5510"/>
      <c r="O80" s="5335"/>
      <c r="P80" s="5508"/>
      <c r="Q80" s="5518"/>
      <c r="R80" s="975"/>
      <c r="S80" s="2044"/>
      <c r="T80" s="2044"/>
      <c r="U80" s="411"/>
      <c r="V80" s="977"/>
      <c r="W80" s="165"/>
      <c r="X80" s="978"/>
      <c r="Y80" s="978"/>
      <c r="Z80" s="978"/>
      <c r="AA80" s="979"/>
      <c r="AB80" s="165"/>
      <c r="AC80" s="165"/>
      <c r="AD80" s="166"/>
      <c r="AE80" s="980"/>
    </row>
    <row r="81" spans="1:31" ht="188.25" customHeight="1">
      <c r="A81" s="5439"/>
      <c r="B81" s="616" t="s">
        <v>235</v>
      </c>
      <c r="C81" s="626" t="s">
        <v>236</v>
      </c>
      <c r="D81" s="626" t="s">
        <v>244</v>
      </c>
      <c r="E81" s="626" t="s">
        <v>471</v>
      </c>
      <c r="F81" s="616" t="s">
        <v>239</v>
      </c>
      <c r="G81" s="626" t="s">
        <v>293</v>
      </c>
      <c r="H81" s="626" t="s">
        <v>257</v>
      </c>
      <c r="I81" s="626" t="s">
        <v>2476</v>
      </c>
      <c r="J81" s="626" t="s">
        <v>338</v>
      </c>
      <c r="K81" s="626" t="s">
        <v>2477</v>
      </c>
      <c r="L81" s="994">
        <v>0</v>
      </c>
      <c r="M81" s="2055">
        <v>1</v>
      </c>
      <c r="N81" s="994">
        <v>1</v>
      </c>
      <c r="O81" s="626" t="s">
        <v>2478</v>
      </c>
      <c r="P81" s="626" t="s">
        <v>2479</v>
      </c>
      <c r="Q81" s="2056" t="s">
        <v>2439</v>
      </c>
      <c r="R81" s="2041"/>
      <c r="S81" s="2040"/>
      <c r="T81" s="2040"/>
      <c r="U81" s="283"/>
      <c r="V81" s="988"/>
      <c r="W81" s="178"/>
      <c r="X81" s="989"/>
      <c r="Y81" s="973"/>
      <c r="Z81" s="973"/>
      <c r="AA81" s="990"/>
      <c r="AB81" s="178"/>
      <c r="AC81" s="181"/>
      <c r="AD81" s="181"/>
      <c r="AE81" s="1714"/>
    </row>
    <row r="82" spans="1:31" ht="161.25" customHeight="1">
      <c r="A82" s="2162" t="s">
        <v>1476</v>
      </c>
      <c r="B82" s="616" t="s">
        <v>235</v>
      </c>
      <c r="C82" s="626" t="s">
        <v>236</v>
      </c>
      <c r="D82" s="626" t="s">
        <v>237</v>
      </c>
      <c r="E82" s="626" t="s">
        <v>326</v>
      </c>
      <c r="F82" s="616" t="s">
        <v>239</v>
      </c>
      <c r="G82" s="626" t="s">
        <v>240</v>
      </c>
      <c r="H82" s="626" t="s">
        <v>257</v>
      </c>
      <c r="I82" s="626" t="s">
        <v>2480</v>
      </c>
      <c r="J82" s="626" t="s">
        <v>707</v>
      </c>
      <c r="K82" s="626" t="s">
        <v>2481</v>
      </c>
      <c r="L82" s="994">
        <v>1</v>
      </c>
      <c r="M82" s="2055">
        <v>0</v>
      </c>
      <c r="N82" s="994">
        <v>1</v>
      </c>
      <c r="O82" s="626" t="s">
        <v>2482</v>
      </c>
      <c r="P82" s="626" t="s">
        <v>408</v>
      </c>
      <c r="Q82" s="2056" t="s">
        <v>2439</v>
      </c>
      <c r="R82" s="995"/>
      <c r="S82" s="2057"/>
      <c r="T82" s="2057"/>
      <c r="U82" s="1958"/>
      <c r="V82" s="988"/>
      <c r="W82" s="178"/>
      <c r="X82" s="989"/>
      <c r="Y82" s="989"/>
      <c r="Z82" s="989"/>
      <c r="AA82" s="990"/>
      <c r="AB82" s="178"/>
      <c r="AC82" s="181"/>
      <c r="AD82" s="181"/>
      <c r="AE82" s="1714"/>
    </row>
    <row r="83" spans="1:31" ht="22.5" customHeight="1">
      <c r="A83" s="2158"/>
      <c r="B83" s="2058"/>
      <c r="C83" s="2058"/>
      <c r="D83" s="2058"/>
      <c r="E83" s="2058"/>
      <c r="F83" s="2058"/>
      <c r="G83" s="2058"/>
      <c r="H83" s="2058"/>
      <c r="I83" s="2058"/>
      <c r="J83" s="2058"/>
      <c r="K83" s="2058"/>
      <c r="L83" s="2058"/>
      <c r="M83" s="2058"/>
      <c r="N83" s="2058"/>
      <c r="O83" s="2058"/>
      <c r="P83" s="2058"/>
      <c r="Q83" s="2059"/>
      <c r="R83" s="5520" t="s">
        <v>1561</v>
      </c>
      <c r="S83" s="4443"/>
      <c r="T83" s="4443"/>
      <c r="U83" s="4443"/>
      <c r="V83" s="4443"/>
      <c r="W83" s="4443"/>
      <c r="X83" s="4443"/>
      <c r="Y83" s="4443"/>
      <c r="Z83" s="2060" t="s">
        <v>340</v>
      </c>
      <c r="AA83" s="998">
        <f>SUM(AA9:AA82)</f>
        <v>204421.28089600001</v>
      </c>
      <c r="AB83" s="5521"/>
      <c r="AC83" s="4443"/>
      <c r="AD83" s="4443"/>
      <c r="AE83" s="4816"/>
    </row>
    <row r="84" spans="1:31" ht="45" customHeight="1">
      <c r="A84" s="5503" t="s">
        <v>1562</v>
      </c>
      <c r="B84" s="5553" t="s">
        <v>272</v>
      </c>
      <c r="C84" s="5523" t="s">
        <v>302</v>
      </c>
      <c r="D84" s="5523" t="s">
        <v>303</v>
      </c>
      <c r="E84" s="5523" t="s">
        <v>304</v>
      </c>
      <c r="F84" s="5552" t="s">
        <v>305</v>
      </c>
      <c r="G84" s="5523" t="s">
        <v>240</v>
      </c>
      <c r="H84" s="5523" t="s">
        <v>241</v>
      </c>
      <c r="I84" s="5523" t="s">
        <v>2483</v>
      </c>
      <c r="J84" s="5523" t="s">
        <v>1563</v>
      </c>
      <c r="K84" s="5523" t="s">
        <v>2484</v>
      </c>
      <c r="L84" s="5502">
        <v>2</v>
      </c>
      <c r="M84" s="5502">
        <v>0</v>
      </c>
      <c r="N84" s="5502">
        <v>2</v>
      </c>
      <c r="O84" s="5523" t="s">
        <v>2485</v>
      </c>
      <c r="P84" s="5523" t="s">
        <v>2486</v>
      </c>
      <c r="Q84" s="5524" t="s">
        <v>2487</v>
      </c>
      <c r="R84" s="999"/>
      <c r="S84" s="460"/>
      <c r="T84" s="460"/>
      <c r="U84" s="645"/>
      <c r="V84" s="608"/>
      <c r="W84" s="608"/>
      <c r="X84" s="609"/>
      <c r="Y84" s="609"/>
      <c r="Z84" s="609"/>
      <c r="AA84" s="610"/>
      <c r="AB84" s="608"/>
      <c r="AC84" s="612"/>
      <c r="AD84" s="612"/>
      <c r="AE84" s="5522" t="s">
        <v>1984</v>
      </c>
    </row>
    <row r="85" spans="1:31" ht="27.75" customHeight="1">
      <c r="A85" s="5504"/>
      <c r="B85" s="5487"/>
      <c r="C85" s="4629"/>
      <c r="D85" s="4629"/>
      <c r="E85" s="4629"/>
      <c r="F85" s="4629"/>
      <c r="G85" s="4629"/>
      <c r="H85" s="4629"/>
      <c r="I85" s="4629"/>
      <c r="J85" s="4629"/>
      <c r="K85" s="4629"/>
      <c r="L85" s="4629"/>
      <c r="M85" s="4629"/>
      <c r="N85" s="4629"/>
      <c r="O85" s="4629"/>
      <c r="P85" s="4629"/>
      <c r="Q85" s="5500"/>
      <c r="R85" s="1000"/>
      <c r="S85" s="461"/>
      <c r="T85" s="461"/>
      <c r="U85" s="1125"/>
      <c r="V85" s="582"/>
      <c r="W85" s="582"/>
      <c r="X85" s="613"/>
      <c r="Y85" s="613"/>
      <c r="Z85" s="613"/>
      <c r="AA85" s="614"/>
      <c r="AB85" s="582"/>
      <c r="AC85" s="528"/>
      <c r="AD85" s="528"/>
      <c r="AE85" s="5466"/>
    </row>
    <row r="86" spans="1:31" ht="27.75" customHeight="1">
      <c r="A86" s="5504"/>
      <c r="B86" s="5487"/>
      <c r="C86" s="4629"/>
      <c r="D86" s="4629"/>
      <c r="E86" s="4629"/>
      <c r="F86" s="4629"/>
      <c r="G86" s="4629"/>
      <c r="H86" s="4629"/>
      <c r="I86" s="4629"/>
      <c r="J86" s="4629"/>
      <c r="K86" s="4629"/>
      <c r="L86" s="4629"/>
      <c r="M86" s="4629"/>
      <c r="N86" s="4629"/>
      <c r="O86" s="4629"/>
      <c r="P86" s="4629"/>
      <c r="Q86" s="5500"/>
      <c r="R86" s="1000"/>
      <c r="S86" s="461"/>
      <c r="T86" s="461"/>
      <c r="U86" s="1125"/>
      <c r="V86" s="582"/>
      <c r="W86" s="582"/>
      <c r="X86" s="613"/>
      <c r="Y86" s="613"/>
      <c r="Z86" s="613"/>
      <c r="AA86" s="614"/>
      <c r="AB86" s="582"/>
      <c r="AC86" s="528"/>
      <c r="AD86" s="528"/>
      <c r="AE86" s="5466"/>
    </row>
    <row r="87" spans="1:31" ht="27.75" customHeight="1">
      <c r="A87" s="5504"/>
      <c r="B87" s="5487"/>
      <c r="C87" s="4629"/>
      <c r="D87" s="4629"/>
      <c r="E87" s="4629"/>
      <c r="F87" s="4629"/>
      <c r="G87" s="4629"/>
      <c r="H87" s="4629"/>
      <c r="I87" s="4629"/>
      <c r="J87" s="4629"/>
      <c r="K87" s="4629"/>
      <c r="L87" s="4629"/>
      <c r="M87" s="4629"/>
      <c r="N87" s="4629"/>
      <c r="O87" s="4629"/>
      <c r="P87" s="4629"/>
      <c r="Q87" s="5500"/>
      <c r="R87" s="1001"/>
      <c r="S87" s="677"/>
      <c r="T87" s="677"/>
      <c r="U87" s="1125"/>
      <c r="V87" s="582"/>
      <c r="W87" s="582"/>
      <c r="X87" s="613"/>
      <c r="Y87" s="613"/>
      <c r="Z87" s="613"/>
      <c r="AA87" s="614"/>
      <c r="AB87" s="582"/>
      <c r="AC87" s="528"/>
      <c r="AD87" s="528"/>
      <c r="AE87" s="5466"/>
    </row>
    <row r="88" spans="1:31" ht="27.75" customHeight="1">
      <c r="A88" s="5504"/>
      <c r="B88" s="5488"/>
      <c r="C88" s="4630"/>
      <c r="D88" s="4630"/>
      <c r="E88" s="4630"/>
      <c r="F88" s="4630"/>
      <c r="G88" s="4630"/>
      <c r="H88" s="4630"/>
      <c r="I88" s="4630"/>
      <c r="J88" s="4630"/>
      <c r="K88" s="4630"/>
      <c r="L88" s="4630"/>
      <c r="M88" s="4630"/>
      <c r="N88" s="4630"/>
      <c r="O88" s="4630"/>
      <c r="P88" s="4630"/>
      <c r="Q88" s="5501"/>
      <c r="R88" s="1002"/>
      <c r="S88" s="617"/>
      <c r="T88" s="617"/>
      <c r="U88" s="1003"/>
      <c r="V88" s="619"/>
      <c r="W88" s="619"/>
      <c r="X88" s="620"/>
      <c r="Y88" s="620"/>
      <c r="Z88" s="620"/>
      <c r="AA88" s="621"/>
      <c r="AB88" s="619"/>
      <c r="AC88" s="623"/>
      <c r="AD88" s="623"/>
      <c r="AE88" s="5494"/>
    </row>
    <row r="89" spans="1:31" ht="34.5" customHeight="1">
      <c r="A89" s="5504"/>
      <c r="B89" s="5486" t="s">
        <v>272</v>
      </c>
      <c r="C89" s="5489" t="s">
        <v>302</v>
      </c>
      <c r="D89" s="5489" t="s">
        <v>303</v>
      </c>
      <c r="E89" s="5489" t="s">
        <v>304</v>
      </c>
      <c r="F89" s="5492" t="s">
        <v>305</v>
      </c>
      <c r="G89" s="5489" t="s">
        <v>240</v>
      </c>
      <c r="H89" s="5489" t="s">
        <v>241</v>
      </c>
      <c r="I89" s="5489" t="s">
        <v>2488</v>
      </c>
      <c r="J89" s="5489" t="s">
        <v>1568</v>
      </c>
      <c r="K89" s="5489" t="s">
        <v>2489</v>
      </c>
      <c r="L89" s="5497">
        <v>10</v>
      </c>
      <c r="M89" s="5497">
        <v>10</v>
      </c>
      <c r="N89" s="5497">
        <v>10</v>
      </c>
      <c r="O89" s="5489" t="s">
        <v>1570</v>
      </c>
      <c r="P89" s="5489" t="s">
        <v>2490</v>
      </c>
      <c r="Q89" s="5499" t="s">
        <v>2491</v>
      </c>
      <c r="R89" s="999"/>
      <c r="S89" s="460"/>
      <c r="T89" s="460"/>
      <c r="U89" s="645"/>
      <c r="V89" s="608"/>
      <c r="W89" s="608"/>
      <c r="X89" s="609"/>
      <c r="Y89" s="609"/>
      <c r="Z89" s="609"/>
      <c r="AA89" s="610"/>
      <c r="AB89" s="608"/>
      <c r="AC89" s="612"/>
      <c r="AD89" s="612"/>
      <c r="AE89" s="1725"/>
    </row>
    <row r="90" spans="1:31" ht="34.5" customHeight="1">
      <c r="A90" s="5504"/>
      <c r="B90" s="5487"/>
      <c r="C90" s="4629"/>
      <c r="D90" s="4629"/>
      <c r="E90" s="4629"/>
      <c r="F90" s="4629"/>
      <c r="G90" s="4629"/>
      <c r="H90" s="4629"/>
      <c r="I90" s="4629"/>
      <c r="J90" s="4629"/>
      <c r="K90" s="4629"/>
      <c r="L90" s="4629"/>
      <c r="M90" s="4629"/>
      <c r="N90" s="4629"/>
      <c r="O90" s="4629"/>
      <c r="P90" s="4629"/>
      <c r="Q90" s="5500"/>
      <c r="R90" s="1000"/>
      <c r="S90" s="461"/>
      <c r="T90" s="461"/>
      <c r="U90" s="1125"/>
      <c r="V90" s="582"/>
      <c r="W90" s="582"/>
      <c r="X90" s="613"/>
      <c r="Y90" s="613"/>
      <c r="Z90" s="613"/>
      <c r="AA90" s="614"/>
      <c r="AB90" s="582"/>
      <c r="AC90" s="528"/>
      <c r="AD90" s="528"/>
      <c r="AE90" s="1004"/>
    </row>
    <row r="91" spans="1:31" ht="34.5" customHeight="1">
      <c r="A91" s="5504"/>
      <c r="B91" s="5487"/>
      <c r="C91" s="4629"/>
      <c r="D91" s="4629"/>
      <c r="E91" s="4629"/>
      <c r="F91" s="4629"/>
      <c r="G91" s="4629"/>
      <c r="H91" s="4629"/>
      <c r="I91" s="4629"/>
      <c r="J91" s="4629"/>
      <c r="K91" s="4629"/>
      <c r="L91" s="4629"/>
      <c r="M91" s="4629"/>
      <c r="N91" s="4629"/>
      <c r="O91" s="4629"/>
      <c r="P91" s="4629"/>
      <c r="Q91" s="5500"/>
      <c r="R91" s="1000"/>
      <c r="S91" s="461"/>
      <c r="T91" s="461"/>
      <c r="U91" s="1125"/>
      <c r="V91" s="582"/>
      <c r="W91" s="582"/>
      <c r="X91" s="613"/>
      <c r="Y91" s="613"/>
      <c r="Z91" s="613"/>
      <c r="AA91" s="614"/>
      <c r="AB91" s="582"/>
      <c r="AC91" s="528"/>
      <c r="AD91" s="528"/>
      <c r="AE91" s="1004"/>
    </row>
    <row r="92" spans="1:31" ht="34.5" customHeight="1">
      <c r="A92" s="5504"/>
      <c r="B92" s="5488"/>
      <c r="C92" s="4630"/>
      <c r="D92" s="4630"/>
      <c r="E92" s="4630"/>
      <c r="F92" s="4630"/>
      <c r="G92" s="4630"/>
      <c r="H92" s="4630"/>
      <c r="I92" s="4630"/>
      <c r="J92" s="4630"/>
      <c r="K92" s="4630"/>
      <c r="L92" s="4630"/>
      <c r="M92" s="4630"/>
      <c r="N92" s="4630"/>
      <c r="O92" s="4630"/>
      <c r="P92" s="4630"/>
      <c r="Q92" s="5501"/>
      <c r="R92" s="1005"/>
      <c r="S92" s="1006"/>
      <c r="T92" s="1006"/>
      <c r="U92" s="1003"/>
      <c r="V92" s="619"/>
      <c r="W92" s="619"/>
      <c r="X92" s="620"/>
      <c r="Y92" s="620"/>
      <c r="Z92" s="620"/>
      <c r="AA92" s="621"/>
      <c r="AB92" s="619"/>
      <c r="AC92" s="623"/>
      <c r="AD92" s="623"/>
      <c r="AE92" s="1007"/>
    </row>
    <row r="93" spans="1:31" ht="34.5" customHeight="1">
      <c r="A93" s="5504"/>
      <c r="B93" s="5486" t="s">
        <v>272</v>
      </c>
      <c r="C93" s="5489" t="s">
        <v>302</v>
      </c>
      <c r="D93" s="5489" t="s">
        <v>388</v>
      </c>
      <c r="E93" s="5489" t="s">
        <v>847</v>
      </c>
      <c r="F93" s="5492" t="s">
        <v>305</v>
      </c>
      <c r="G93" s="5489" t="s">
        <v>306</v>
      </c>
      <c r="H93" s="5489" t="s">
        <v>257</v>
      </c>
      <c r="I93" s="5489" t="s">
        <v>2492</v>
      </c>
      <c r="J93" s="5489" t="s">
        <v>1573</v>
      </c>
      <c r="K93" s="5489" t="s">
        <v>2493</v>
      </c>
      <c r="L93" s="5497">
        <v>0</v>
      </c>
      <c r="M93" s="5497">
        <v>0</v>
      </c>
      <c r="N93" s="5497">
        <v>0</v>
      </c>
      <c r="O93" s="1008"/>
      <c r="P93" s="1008"/>
      <c r="Q93" s="1099"/>
      <c r="R93" s="1009"/>
      <c r="S93" s="606"/>
      <c r="T93" s="606"/>
      <c r="U93" s="581"/>
      <c r="V93" s="608"/>
      <c r="W93" s="608"/>
      <c r="X93" s="609"/>
      <c r="Y93" s="2061"/>
      <c r="Z93" s="2061"/>
      <c r="AA93" s="610"/>
      <c r="AB93" s="608"/>
      <c r="AC93" s="612"/>
      <c r="AD93" s="612"/>
      <c r="AE93" s="5493" t="s">
        <v>2494</v>
      </c>
    </row>
    <row r="94" spans="1:31" ht="34.5" customHeight="1">
      <c r="A94" s="5504"/>
      <c r="B94" s="5487"/>
      <c r="C94" s="4629"/>
      <c r="D94" s="4629"/>
      <c r="E94" s="4629"/>
      <c r="F94" s="4629"/>
      <c r="G94" s="4629"/>
      <c r="H94" s="4629"/>
      <c r="I94" s="4629"/>
      <c r="J94" s="4629"/>
      <c r="K94" s="4629"/>
      <c r="L94" s="4629"/>
      <c r="M94" s="4629"/>
      <c r="N94" s="4629"/>
      <c r="O94" s="2062"/>
      <c r="P94" s="2062"/>
      <c r="Q94" s="2063"/>
      <c r="R94" s="1001"/>
      <c r="S94" s="677"/>
      <c r="T94" s="677"/>
      <c r="U94" s="646"/>
      <c r="V94" s="582"/>
      <c r="W94" s="582"/>
      <c r="X94" s="613"/>
      <c r="Y94" s="613"/>
      <c r="Z94" s="613"/>
      <c r="AA94" s="614"/>
      <c r="AB94" s="582"/>
      <c r="AC94" s="528"/>
      <c r="AD94" s="528"/>
      <c r="AE94" s="5466"/>
    </row>
    <row r="95" spans="1:31" ht="34.5" customHeight="1">
      <c r="A95" s="5504"/>
      <c r="B95" s="5487"/>
      <c r="C95" s="4629"/>
      <c r="D95" s="4629"/>
      <c r="E95" s="4629"/>
      <c r="F95" s="4629"/>
      <c r="G95" s="4629"/>
      <c r="H95" s="4629"/>
      <c r="I95" s="4629"/>
      <c r="J95" s="4629"/>
      <c r="K95" s="4629"/>
      <c r="L95" s="4629"/>
      <c r="M95" s="4629"/>
      <c r="N95" s="4629"/>
      <c r="O95" s="2062"/>
      <c r="P95" s="2062"/>
      <c r="Q95" s="2063"/>
      <c r="R95" s="1000"/>
      <c r="S95" s="461"/>
      <c r="T95" s="461"/>
      <c r="U95" s="1125"/>
      <c r="V95" s="582"/>
      <c r="W95" s="582"/>
      <c r="X95" s="613"/>
      <c r="Y95" s="613"/>
      <c r="Z95" s="613"/>
      <c r="AA95" s="614"/>
      <c r="AB95" s="582"/>
      <c r="AC95" s="528"/>
      <c r="AD95" s="528"/>
      <c r="AE95" s="5466"/>
    </row>
    <row r="96" spans="1:31" ht="34.5" customHeight="1">
      <c r="A96" s="5504"/>
      <c r="B96" s="5487"/>
      <c r="C96" s="4629"/>
      <c r="D96" s="4629"/>
      <c r="E96" s="4629"/>
      <c r="F96" s="4629"/>
      <c r="G96" s="4629"/>
      <c r="H96" s="4629"/>
      <c r="I96" s="4629"/>
      <c r="J96" s="4629"/>
      <c r="K96" s="4629"/>
      <c r="L96" s="4629"/>
      <c r="M96" s="4629"/>
      <c r="N96" s="4629"/>
      <c r="O96" s="2062"/>
      <c r="P96" s="2062"/>
      <c r="Q96" s="2063"/>
      <c r="R96" s="1000"/>
      <c r="S96" s="461"/>
      <c r="T96" s="461"/>
      <c r="U96" s="1125"/>
      <c r="V96" s="582"/>
      <c r="W96" s="582"/>
      <c r="X96" s="613"/>
      <c r="Y96" s="613"/>
      <c r="Z96" s="613"/>
      <c r="AA96" s="614"/>
      <c r="AB96" s="582"/>
      <c r="AC96" s="528"/>
      <c r="AD96" s="528"/>
      <c r="AE96" s="5466"/>
    </row>
    <row r="97" spans="1:31" ht="34.5" customHeight="1">
      <c r="A97" s="5504"/>
      <c r="B97" s="5488"/>
      <c r="C97" s="4630"/>
      <c r="D97" s="4630"/>
      <c r="E97" s="4630"/>
      <c r="F97" s="4630"/>
      <c r="G97" s="4630"/>
      <c r="H97" s="4630"/>
      <c r="I97" s="4630"/>
      <c r="J97" s="4630"/>
      <c r="K97" s="4630"/>
      <c r="L97" s="4630"/>
      <c r="M97" s="4630"/>
      <c r="N97" s="4630"/>
      <c r="O97" s="2064"/>
      <c r="P97" s="2064"/>
      <c r="Q97" s="2065"/>
      <c r="R97" s="1005"/>
      <c r="S97" s="1006"/>
      <c r="T97" s="1006"/>
      <c r="U97" s="1003"/>
      <c r="V97" s="619"/>
      <c r="W97" s="619"/>
      <c r="X97" s="620"/>
      <c r="Y97" s="620"/>
      <c r="Z97" s="620"/>
      <c r="AA97" s="621"/>
      <c r="AB97" s="619"/>
      <c r="AC97" s="623"/>
      <c r="AD97" s="623"/>
      <c r="AE97" s="5494"/>
    </row>
    <row r="98" spans="1:31" ht="27.75" customHeight="1">
      <c r="A98" s="5504"/>
      <c r="B98" s="5486" t="s">
        <v>272</v>
      </c>
      <c r="C98" s="5489" t="s">
        <v>302</v>
      </c>
      <c r="D98" s="5489" t="s">
        <v>303</v>
      </c>
      <c r="E98" s="5489" t="s">
        <v>304</v>
      </c>
      <c r="F98" s="5492" t="s">
        <v>305</v>
      </c>
      <c r="G98" s="5489" t="s">
        <v>240</v>
      </c>
      <c r="H98" s="5489" t="s">
        <v>257</v>
      </c>
      <c r="I98" s="5489" t="s">
        <v>2495</v>
      </c>
      <c r="J98" s="5489" t="s">
        <v>1578</v>
      </c>
      <c r="K98" s="5489" t="s">
        <v>2496</v>
      </c>
      <c r="L98" s="5497">
        <v>0</v>
      </c>
      <c r="M98" s="5497">
        <v>5</v>
      </c>
      <c r="N98" s="5497">
        <v>5</v>
      </c>
      <c r="O98" s="5498" t="s">
        <v>2497</v>
      </c>
      <c r="P98" s="5498" t="s">
        <v>2498</v>
      </c>
      <c r="Q98" s="5499" t="s">
        <v>2499</v>
      </c>
      <c r="R98" s="1009"/>
      <c r="S98" s="606"/>
      <c r="T98" s="606"/>
      <c r="U98" s="581"/>
      <c r="V98" s="608"/>
      <c r="W98" s="608"/>
      <c r="X98" s="609"/>
      <c r="Y98" s="609"/>
      <c r="Z98" s="609"/>
      <c r="AA98" s="610"/>
      <c r="AB98" s="608"/>
      <c r="AC98" s="612"/>
      <c r="AD98" s="612"/>
      <c r="AE98" s="1725"/>
    </row>
    <row r="99" spans="1:31" ht="27.75" customHeight="1">
      <c r="A99" s="5504"/>
      <c r="B99" s="5487"/>
      <c r="C99" s="4629"/>
      <c r="D99" s="4629"/>
      <c r="E99" s="4629"/>
      <c r="F99" s="4629"/>
      <c r="G99" s="4629"/>
      <c r="H99" s="4629"/>
      <c r="I99" s="4629"/>
      <c r="J99" s="4629"/>
      <c r="K99" s="4629"/>
      <c r="L99" s="4629"/>
      <c r="M99" s="4629"/>
      <c r="N99" s="4629"/>
      <c r="O99" s="4629"/>
      <c r="P99" s="4629"/>
      <c r="Q99" s="5500"/>
      <c r="R99" s="1001"/>
      <c r="S99" s="677"/>
      <c r="T99" s="677"/>
      <c r="U99" s="646"/>
      <c r="V99" s="582"/>
      <c r="W99" s="582"/>
      <c r="X99" s="613"/>
      <c r="Y99" s="613"/>
      <c r="Z99" s="613"/>
      <c r="AA99" s="614"/>
      <c r="AB99" s="582"/>
      <c r="AC99" s="528"/>
      <c r="AD99" s="528"/>
      <c r="AE99" s="1004"/>
    </row>
    <row r="100" spans="1:31" ht="27.75" customHeight="1">
      <c r="A100" s="5504"/>
      <c r="B100" s="5487"/>
      <c r="C100" s="4629"/>
      <c r="D100" s="4629"/>
      <c r="E100" s="4629"/>
      <c r="F100" s="4629"/>
      <c r="G100" s="4629"/>
      <c r="H100" s="4629"/>
      <c r="I100" s="4629"/>
      <c r="J100" s="4629"/>
      <c r="K100" s="4629"/>
      <c r="L100" s="4629"/>
      <c r="M100" s="4629"/>
      <c r="N100" s="4629"/>
      <c r="O100" s="4629"/>
      <c r="P100" s="4629"/>
      <c r="Q100" s="5500"/>
      <c r="R100" s="1000"/>
      <c r="S100" s="461"/>
      <c r="T100" s="461"/>
      <c r="U100" s="1125"/>
      <c r="V100" s="582"/>
      <c r="W100" s="582"/>
      <c r="X100" s="613"/>
      <c r="Y100" s="613"/>
      <c r="Z100" s="613"/>
      <c r="AA100" s="614"/>
      <c r="AB100" s="582"/>
      <c r="AC100" s="528"/>
      <c r="AD100" s="528"/>
      <c r="AE100" s="1004"/>
    </row>
    <row r="101" spans="1:31" ht="27.75" customHeight="1">
      <c r="A101" s="5504"/>
      <c r="B101" s="5487"/>
      <c r="C101" s="4629"/>
      <c r="D101" s="4629"/>
      <c r="E101" s="4629"/>
      <c r="F101" s="4629"/>
      <c r="G101" s="4629"/>
      <c r="H101" s="4629"/>
      <c r="I101" s="4629"/>
      <c r="J101" s="4629"/>
      <c r="K101" s="4629"/>
      <c r="L101" s="4629"/>
      <c r="M101" s="4629"/>
      <c r="N101" s="4629"/>
      <c r="O101" s="4629"/>
      <c r="P101" s="4629"/>
      <c r="Q101" s="5500"/>
      <c r="R101" s="1000"/>
      <c r="S101" s="461"/>
      <c r="T101" s="461"/>
      <c r="U101" s="1125"/>
      <c r="V101" s="582"/>
      <c r="W101" s="582"/>
      <c r="X101" s="613"/>
      <c r="Y101" s="613"/>
      <c r="Z101" s="613"/>
      <c r="AA101" s="614"/>
      <c r="AB101" s="582"/>
      <c r="AC101" s="528"/>
      <c r="AD101" s="528"/>
      <c r="AE101" s="1004"/>
    </row>
    <row r="102" spans="1:31" ht="27.75" customHeight="1">
      <c r="A102" s="5504"/>
      <c r="B102" s="5488"/>
      <c r="C102" s="4630"/>
      <c r="D102" s="4630"/>
      <c r="E102" s="4630"/>
      <c r="F102" s="4630"/>
      <c r="G102" s="4630"/>
      <c r="H102" s="4630"/>
      <c r="I102" s="4630"/>
      <c r="J102" s="4630"/>
      <c r="K102" s="4630"/>
      <c r="L102" s="4630"/>
      <c r="M102" s="4630"/>
      <c r="N102" s="4630"/>
      <c r="O102" s="4630"/>
      <c r="P102" s="4630"/>
      <c r="Q102" s="5501"/>
      <c r="R102" s="1005"/>
      <c r="S102" s="1006"/>
      <c r="T102" s="1006"/>
      <c r="U102" s="1003"/>
      <c r="V102" s="619"/>
      <c r="W102" s="619"/>
      <c r="X102" s="620"/>
      <c r="Y102" s="620"/>
      <c r="Z102" s="620"/>
      <c r="AA102" s="621"/>
      <c r="AB102" s="619"/>
      <c r="AC102" s="623"/>
      <c r="AD102" s="623"/>
      <c r="AE102" s="1007"/>
    </row>
    <row r="103" spans="1:31" ht="34.5" customHeight="1">
      <c r="A103" s="5504"/>
      <c r="B103" s="5486" t="s">
        <v>272</v>
      </c>
      <c r="C103" s="5489" t="s">
        <v>302</v>
      </c>
      <c r="D103" s="5489" t="s">
        <v>303</v>
      </c>
      <c r="E103" s="5489" t="s">
        <v>318</v>
      </c>
      <c r="F103" s="5492" t="s">
        <v>305</v>
      </c>
      <c r="G103" s="5489" t="s">
        <v>240</v>
      </c>
      <c r="H103" s="5489" t="s">
        <v>241</v>
      </c>
      <c r="I103" s="5489" t="s">
        <v>2500</v>
      </c>
      <c r="J103" s="5489" t="s">
        <v>1591</v>
      </c>
      <c r="K103" s="5489" t="s">
        <v>2501</v>
      </c>
      <c r="L103" s="5497">
        <v>1</v>
      </c>
      <c r="M103" s="5497">
        <v>0</v>
      </c>
      <c r="N103" s="5497">
        <v>1</v>
      </c>
      <c r="O103" s="5498" t="s">
        <v>2502</v>
      </c>
      <c r="P103" s="5498" t="s">
        <v>2503</v>
      </c>
      <c r="Q103" s="5499" t="s">
        <v>2504</v>
      </c>
      <c r="R103" s="1009"/>
      <c r="S103" s="606"/>
      <c r="T103" s="606"/>
      <c r="U103" s="581"/>
      <c r="V103" s="608"/>
      <c r="W103" s="608"/>
      <c r="X103" s="609"/>
      <c r="Y103" s="609"/>
      <c r="Z103" s="609"/>
      <c r="AA103" s="610"/>
      <c r="AB103" s="608"/>
      <c r="AC103" s="612"/>
      <c r="AD103" s="612"/>
      <c r="AE103" s="5493" t="s">
        <v>2000</v>
      </c>
    </row>
    <row r="104" spans="1:31" ht="34.5" customHeight="1">
      <c r="A104" s="5504"/>
      <c r="B104" s="5487"/>
      <c r="C104" s="4629"/>
      <c r="D104" s="4629"/>
      <c r="E104" s="4629"/>
      <c r="F104" s="4629"/>
      <c r="G104" s="4629"/>
      <c r="H104" s="4629"/>
      <c r="I104" s="4629"/>
      <c r="J104" s="4629"/>
      <c r="K104" s="4629"/>
      <c r="L104" s="4629"/>
      <c r="M104" s="4629"/>
      <c r="N104" s="4629"/>
      <c r="O104" s="4629"/>
      <c r="P104" s="4629"/>
      <c r="Q104" s="5500"/>
      <c r="R104" s="1001"/>
      <c r="S104" s="677"/>
      <c r="T104" s="677"/>
      <c r="U104" s="646"/>
      <c r="V104" s="582"/>
      <c r="W104" s="582"/>
      <c r="X104" s="613"/>
      <c r="Y104" s="613"/>
      <c r="Z104" s="613"/>
      <c r="AA104" s="614"/>
      <c r="AB104" s="582"/>
      <c r="AC104" s="528"/>
      <c r="AD104" s="528"/>
      <c r="AE104" s="5466"/>
    </row>
    <row r="105" spans="1:31" ht="34.5" customHeight="1">
      <c r="A105" s="5504"/>
      <c r="B105" s="5487"/>
      <c r="C105" s="4629"/>
      <c r="D105" s="4629"/>
      <c r="E105" s="4629"/>
      <c r="F105" s="4629"/>
      <c r="G105" s="4629"/>
      <c r="H105" s="4629"/>
      <c r="I105" s="4629"/>
      <c r="J105" s="4629"/>
      <c r="K105" s="4629"/>
      <c r="L105" s="4629"/>
      <c r="M105" s="4629"/>
      <c r="N105" s="4629"/>
      <c r="O105" s="4629"/>
      <c r="P105" s="4629"/>
      <c r="Q105" s="5500"/>
      <c r="R105" s="1000"/>
      <c r="S105" s="461"/>
      <c r="T105" s="461"/>
      <c r="U105" s="1125"/>
      <c r="V105" s="582"/>
      <c r="W105" s="582"/>
      <c r="X105" s="613"/>
      <c r="Y105" s="613"/>
      <c r="Z105" s="613"/>
      <c r="AA105" s="614"/>
      <c r="AB105" s="582"/>
      <c r="AC105" s="528"/>
      <c r="AD105" s="528"/>
      <c r="AE105" s="5466"/>
    </row>
    <row r="106" spans="1:31" ht="34.5" customHeight="1">
      <c r="A106" s="5504"/>
      <c r="B106" s="5487"/>
      <c r="C106" s="4629"/>
      <c r="D106" s="4629"/>
      <c r="E106" s="4629"/>
      <c r="F106" s="4629"/>
      <c r="G106" s="4629"/>
      <c r="H106" s="4629"/>
      <c r="I106" s="4629"/>
      <c r="J106" s="4629"/>
      <c r="K106" s="4629"/>
      <c r="L106" s="4629"/>
      <c r="M106" s="4629"/>
      <c r="N106" s="4629"/>
      <c r="O106" s="4629"/>
      <c r="P106" s="4629"/>
      <c r="Q106" s="5500"/>
      <c r="R106" s="1000"/>
      <c r="S106" s="461"/>
      <c r="T106" s="461"/>
      <c r="U106" s="1125"/>
      <c r="V106" s="582"/>
      <c r="W106" s="582"/>
      <c r="X106" s="613"/>
      <c r="Y106" s="613"/>
      <c r="Z106" s="613"/>
      <c r="AA106" s="614"/>
      <c r="AB106" s="582"/>
      <c r="AC106" s="528"/>
      <c r="AD106" s="528"/>
      <c r="AE106" s="5466"/>
    </row>
    <row r="107" spans="1:31" ht="34.5" customHeight="1">
      <c r="A107" s="5504"/>
      <c r="B107" s="5488"/>
      <c r="C107" s="4630"/>
      <c r="D107" s="4630"/>
      <c r="E107" s="4630"/>
      <c r="F107" s="4630"/>
      <c r="G107" s="4630"/>
      <c r="H107" s="4630"/>
      <c r="I107" s="4630"/>
      <c r="J107" s="4630"/>
      <c r="K107" s="4630"/>
      <c r="L107" s="4630"/>
      <c r="M107" s="4630"/>
      <c r="N107" s="4630"/>
      <c r="O107" s="4630"/>
      <c r="P107" s="4630"/>
      <c r="Q107" s="5501"/>
      <c r="R107" s="1005"/>
      <c r="S107" s="1006"/>
      <c r="T107" s="1006"/>
      <c r="U107" s="2030"/>
      <c r="V107" s="619"/>
      <c r="W107" s="619"/>
      <c r="X107" s="620"/>
      <c r="Y107" s="620"/>
      <c r="Z107" s="620"/>
      <c r="AA107" s="621"/>
      <c r="AB107" s="619"/>
      <c r="AC107" s="623"/>
      <c r="AD107" s="623"/>
      <c r="AE107" s="5494"/>
    </row>
    <row r="108" spans="1:31" ht="23.25" customHeight="1">
      <c r="A108" s="5504"/>
      <c r="B108" s="5486" t="s">
        <v>272</v>
      </c>
      <c r="C108" s="5489" t="s">
        <v>302</v>
      </c>
      <c r="D108" s="5489" t="s">
        <v>303</v>
      </c>
      <c r="E108" s="5489" t="s">
        <v>304</v>
      </c>
      <c r="F108" s="5492" t="s">
        <v>305</v>
      </c>
      <c r="G108" s="5489" t="s">
        <v>240</v>
      </c>
      <c r="H108" s="5489" t="s">
        <v>257</v>
      </c>
      <c r="I108" s="5489" t="s">
        <v>2505</v>
      </c>
      <c r="J108" s="5530" t="s">
        <v>2506</v>
      </c>
      <c r="K108" s="5530" t="s">
        <v>2507</v>
      </c>
      <c r="L108" s="5497">
        <v>45</v>
      </c>
      <c r="M108" s="5497">
        <v>55</v>
      </c>
      <c r="N108" s="5497">
        <v>30</v>
      </c>
      <c r="O108" s="5489" t="s">
        <v>2508</v>
      </c>
      <c r="P108" s="5506" t="s">
        <v>2509</v>
      </c>
      <c r="Q108" s="5509" t="s">
        <v>2510</v>
      </c>
      <c r="R108" s="1010"/>
      <c r="S108" s="2066"/>
      <c r="T108" s="2067"/>
      <c r="U108" s="645"/>
      <c r="V108" s="2021"/>
      <c r="W108" s="2021"/>
      <c r="X108" s="2033"/>
      <c r="Y108" s="2061"/>
      <c r="Z108" s="2061"/>
      <c r="AA108" s="2034"/>
      <c r="AB108" s="2021"/>
      <c r="AC108" s="2022"/>
      <c r="AD108" s="2022"/>
      <c r="AE108" s="5495"/>
    </row>
    <row r="109" spans="1:31" ht="23.25" customHeight="1">
      <c r="A109" s="5504"/>
      <c r="B109" s="5487"/>
      <c r="C109" s="4629"/>
      <c r="D109" s="4629"/>
      <c r="E109" s="4629"/>
      <c r="F109" s="4629"/>
      <c r="G109" s="4629"/>
      <c r="H109" s="4629"/>
      <c r="I109" s="4629"/>
      <c r="J109" s="5531"/>
      <c r="K109" s="5531"/>
      <c r="L109" s="4629"/>
      <c r="M109" s="4629"/>
      <c r="N109" s="4629"/>
      <c r="O109" s="4629"/>
      <c r="P109" s="5507"/>
      <c r="Q109" s="5515"/>
      <c r="R109" s="1011"/>
      <c r="S109" s="2068"/>
      <c r="T109" s="461"/>
      <c r="U109" s="1125"/>
      <c r="V109" s="582"/>
      <c r="W109" s="582"/>
      <c r="X109" s="613"/>
      <c r="Y109" s="613"/>
      <c r="Z109" s="613"/>
      <c r="AA109" s="614"/>
      <c r="AB109" s="624"/>
      <c r="AC109" s="615"/>
      <c r="AD109" s="615"/>
      <c r="AE109" s="5466"/>
    </row>
    <row r="110" spans="1:31" ht="37.5" customHeight="1">
      <c r="A110" s="5504"/>
      <c r="B110" s="5487"/>
      <c r="C110" s="4629"/>
      <c r="D110" s="4629"/>
      <c r="E110" s="4629"/>
      <c r="F110" s="4629"/>
      <c r="G110" s="4629"/>
      <c r="H110" s="4629"/>
      <c r="I110" s="4629"/>
      <c r="J110" s="5531"/>
      <c r="K110" s="5531"/>
      <c r="L110" s="4629"/>
      <c r="M110" s="4629"/>
      <c r="N110" s="4629"/>
      <c r="O110" s="4629"/>
      <c r="P110" s="5507"/>
      <c r="Q110" s="5515"/>
      <c r="R110" s="1012"/>
      <c r="S110" s="2068"/>
      <c r="T110" s="461"/>
      <c r="U110" s="616"/>
      <c r="V110" s="582"/>
      <c r="W110" s="582"/>
      <c r="X110" s="613"/>
      <c r="Y110" s="613"/>
      <c r="Z110" s="613"/>
      <c r="AA110" s="614"/>
      <c r="AB110" s="624"/>
      <c r="AC110" s="615"/>
      <c r="AD110" s="615"/>
      <c r="AE110" s="5466"/>
    </row>
    <row r="111" spans="1:31" ht="23.25" customHeight="1">
      <c r="A111" s="5504"/>
      <c r="B111" s="5487"/>
      <c r="C111" s="4629"/>
      <c r="D111" s="4629"/>
      <c r="E111" s="4629"/>
      <c r="F111" s="4629"/>
      <c r="G111" s="4629"/>
      <c r="H111" s="4629"/>
      <c r="I111" s="4629"/>
      <c r="J111" s="5531"/>
      <c r="K111" s="5531"/>
      <c r="L111" s="4629"/>
      <c r="M111" s="4629"/>
      <c r="N111" s="4629"/>
      <c r="O111" s="4629"/>
      <c r="P111" s="5507"/>
      <c r="Q111" s="5515"/>
      <c r="R111" s="1011"/>
      <c r="S111" s="2068"/>
      <c r="T111" s="461"/>
      <c r="U111" s="626"/>
      <c r="V111" s="582"/>
      <c r="W111" s="582"/>
      <c r="X111" s="613"/>
      <c r="Y111" s="613"/>
      <c r="Z111" s="613"/>
      <c r="AA111" s="614"/>
      <c r="AB111" s="624"/>
      <c r="AC111" s="615"/>
      <c r="AD111" s="615"/>
      <c r="AE111" s="5466"/>
    </row>
    <row r="112" spans="1:31" ht="39" customHeight="1">
      <c r="A112" s="5504"/>
      <c r="B112" s="5487"/>
      <c r="C112" s="4629"/>
      <c r="D112" s="4629"/>
      <c r="E112" s="4629"/>
      <c r="F112" s="4629"/>
      <c r="G112" s="4629"/>
      <c r="H112" s="4629"/>
      <c r="I112" s="4629"/>
      <c r="J112" s="5531"/>
      <c r="K112" s="5531"/>
      <c r="L112" s="4630"/>
      <c r="M112" s="4630"/>
      <c r="N112" s="4630"/>
      <c r="O112" s="4630"/>
      <c r="P112" s="5508"/>
      <c r="Q112" s="5510"/>
      <c r="R112" s="1013"/>
      <c r="S112" s="2068"/>
      <c r="T112" s="461"/>
      <c r="U112" s="646"/>
      <c r="V112" s="582"/>
      <c r="W112" s="582"/>
      <c r="X112" s="613"/>
      <c r="Y112" s="613"/>
      <c r="Z112" s="613"/>
      <c r="AA112" s="614"/>
      <c r="AB112" s="624"/>
      <c r="AC112" s="615"/>
      <c r="AD112" s="615"/>
      <c r="AE112" s="5467"/>
    </row>
    <row r="113" spans="1:31" ht="37.5" customHeight="1">
      <c r="A113" s="5504"/>
      <c r="B113" s="5487"/>
      <c r="C113" s="4629"/>
      <c r="D113" s="4629"/>
      <c r="E113" s="4629"/>
      <c r="F113" s="4629"/>
      <c r="G113" s="4629"/>
      <c r="H113" s="4629"/>
      <c r="I113" s="4629"/>
      <c r="J113" s="5531"/>
      <c r="K113" s="5531"/>
      <c r="L113" s="5497">
        <v>45</v>
      </c>
      <c r="M113" s="5497">
        <v>55</v>
      </c>
      <c r="N113" s="5497">
        <v>30</v>
      </c>
      <c r="O113" s="5489" t="s">
        <v>2511</v>
      </c>
      <c r="P113" s="5506" t="s">
        <v>2509</v>
      </c>
      <c r="Q113" s="1014" t="s">
        <v>2512</v>
      </c>
      <c r="R113" s="1015"/>
      <c r="S113" s="2066"/>
      <c r="T113" s="2066"/>
      <c r="U113" s="1016"/>
      <c r="V113" s="608"/>
      <c r="W113" s="2021"/>
      <c r="X113" s="2033"/>
      <c r="Y113" s="609"/>
      <c r="Z113" s="609"/>
      <c r="AA113" s="610"/>
      <c r="AB113" s="632"/>
      <c r="AC113" s="611"/>
      <c r="AD113" s="611"/>
      <c r="AE113" s="5496"/>
    </row>
    <row r="114" spans="1:31" ht="23.25" customHeight="1">
      <c r="A114" s="5504"/>
      <c r="B114" s="5487"/>
      <c r="C114" s="4629"/>
      <c r="D114" s="4629"/>
      <c r="E114" s="4629"/>
      <c r="F114" s="4629"/>
      <c r="G114" s="4629"/>
      <c r="H114" s="4629"/>
      <c r="I114" s="4629"/>
      <c r="J114" s="5531"/>
      <c r="K114" s="5531"/>
      <c r="L114" s="4629"/>
      <c r="M114" s="4629"/>
      <c r="N114" s="4629"/>
      <c r="O114" s="4629"/>
      <c r="P114" s="5507"/>
      <c r="Q114" s="1017"/>
      <c r="R114" s="1015"/>
      <c r="S114" s="677"/>
      <c r="T114" s="461"/>
      <c r="U114" s="1125"/>
      <c r="V114" s="2069"/>
      <c r="W114" s="582"/>
      <c r="X114" s="613"/>
      <c r="Y114" s="613"/>
      <c r="Z114" s="613"/>
      <c r="AA114" s="614"/>
      <c r="AB114" s="624"/>
      <c r="AC114" s="615"/>
      <c r="AD114" s="615"/>
      <c r="AE114" s="5466"/>
    </row>
    <row r="115" spans="1:31" ht="45" customHeight="1">
      <c r="A115" s="5504"/>
      <c r="B115" s="5487"/>
      <c r="C115" s="4629"/>
      <c r="D115" s="4629"/>
      <c r="E115" s="4629"/>
      <c r="F115" s="4629"/>
      <c r="G115" s="4629"/>
      <c r="H115" s="4629"/>
      <c r="I115" s="4629"/>
      <c r="J115" s="5531"/>
      <c r="K115" s="5531"/>
      <c r="L115" s="4629"/>
      <c r="M115" s="4629"/>
      <c r="N115" s="4629"/>
      <c r="O115" s="4629"/>
      <c r="P115" s="5507"/>
      <c r="Q115" s="1017"/>
      <c r="R115" s="1015"/>
      <c r="S115" s="677"/>
      <c r="T115" s="677"/>
      <c r="U115" s="616"/>
      <c r="V115" s="2069"/>
      <c r="W115" s="582"/>
      <c r="X115" s="613"/>
      <c r="Y115" s="613"/>
      <c r="Z115" s="613"/>
      <c r="AA115" s="614"/>
      <c r="AB115" s="624"/>
      <c r="AC115" s="615"/>
      <c r="AD115" s="615"/>
      <c r="AE115" s="5466"/>
    </row>
    <row r="116" spans="1:31" ht="23.25" customHeight="1">
      <c r="A116" s="5504"/>
      <c r="B116" s="5487"/>
      <c r="C116" s="4629"/>
      <c r="D116" s="4629"/>
      <c r="E116" s="4629"/>
      <c r="F116" s="4629"/>
      <c r="G116" s="4629"/>
      <c r="H116" s="4629"/>
      <c r="I116" s="4629"/>
      <c r="J116" s="5531"/>
      <c r="K116" s="5531"/>
      <c r="L116" s="4629"/>
      <c r="M116" s="4629"/>
      <c r="N116" s="4629"/>
      <c r="O116" s="4629"/>
      <c r="P116" s="5507"/>
      <c r="Q116" s="1017"/>
      <c r="R116" s="1015"/>
      <c r="S116" s="677"/>
      <c r="T116" s="461"/>
      <c r="U116" s="626"/>
      <c r="V116" s="2069"/>
      <c r="W116" s="582"/>
      <c r="X116" s="613"/>
      <c r="Y116" s="613"/>
      <c r="Z116" s="613"/>
      <c r="AA116" s="614"/>
      <c r="AB116" s="624"/>
      <c r="AC116" s="615"/>
      <c r="AD116" s="615"/>
      <c r="AE116" s="5466"/>
    </row>
    <row r="117" spans="1:31" ht="40.5" customHeight="1">
      <c r="A117" s="5504"/>
      <c r="B117" s="5487"/>
      <c r="C117" s="4629"/>
      <c r="D117" s="4629"/>
      <c r="E117" s="4629"/>
      <c r="F117" s="4629"/>
      <c r="G117" s="4629"/>
      <c r="H117" s="4629"/>
      <c r="I117" s="4629"/>
      <c r="J117" s="5531"/>
      <c r="K117" s="5531"/>
      <c r="L117" s="4629"/>
      <c r="M117" s="4629"/>
      <c r="N117" s="4629"/>
      <c r="O117" s="4629"/>
      <c r="P117" s="5507"/>
      <c r="Q117" s="1017"/>
      <c r="R117" s="1013"/>
      <c r="S117" s="677"/>
      <c r="T117" s="677"/>
      <c r="U117" s="646"/>
      <c r="V117" s="2069"/>
      <c r="W117" s="582"/>
      <c r="X117" s="613"/>
      <c r="Y117" s="613"/>
      <c r="Z117" s="613"/>
      <c r="AA117" s="614"/>
      <c r="AB117" s="624"/>
      <c r="AC117" s="615"/>
      <c r="AD117" s="615"/>
      <c r="AE117" s="5466"/>
    </row>
    <row r="118" spans="1:31" ht="23.25" customHeight="1">
      <c r="A118" s="5504"/>
      <c r="B118" s="5487"/>
      <c r="C118" s="4629"/>
      <c r="D118" s="4629"/>
      <c r="E118" s="4629"/>
      <c r="F118" s="4629"/>
      <c r="G118" s="4629"/>
      <c r="H118" s="4629"/>
      <c r="I118" s="4629"/>
      <c r="J118" s="5531"/>
      <c r="K118" s="5531"/>
      <c r="L118" s="4629"/>
      <c r="M118" s="4629"/>
      <c r="N118" s="4629"/>
      <c r="O118" s="4629"/>
      <c r="P118" s="5507"/>
      <c r="Q118" s="1017"/>
      <c r="R118" s="1011"/>
      <c r="S118" s="677"/>
      <c r="T118" s="641"/>
      <c r="U118" s="626"/>
      <c r="V118" s="2069"/>
      <c r="W118" s="582"/>
      <c r="X118" s="627"/>
      <c r="Y118" s="627"/>
      <c r="Z118" s="627"/>
      <c r="AA118" s="628"/>
      <c r="AB118" s="624"/>
      <c r="AC118" s="615"/>
      <c r="AD118" s="615"/>
      <c r="AE118" s="5466"/>
    </row>
    <row r="119" spans="1:31" ht="23.25" customHeight="1">
      <c r="A119" s="5504"/>
      <c r="B119" s="5487"/>
      <c r="C119" s="4629"/>
      <c r="D119" s="4629"/>
      <c r="E119" s="4629"/>
      <c r="F119" s="4629"/>
      <c r="G119" s="4629"/>
      <c r="H119" s="4629"/>
      <c r="I119" s="4629"/>
      <c r="J119" s="5531"/>
      <c r="K119" s="5531"/>
      <c r="L119" s="4630"/>
      <c r="M119" s="4630"/>
      <c r="N119" s="4630"/>
      <c r="O119" s="4630"/>
      <c r="P119" s="5508"/>
      <c r="Q119" s="1017"/>
      <c r="R119" s="1011"/>
      <c r="S119" s="677"/>
      <c r="T119" s="641"/>
      <c r="U119" s="631"/>
      <c r="V119" s="2070"/>
      <c r="W119" s="582"/>
      <c r="X119" s="627"/>
      <c r="Y119" s="627"/>
      <c r="Z119" s="627"/>
      <c r="AA119" s="628"/>
      <c r="AB119" s="624"/>
      <c r="AC119" s="615"/>
      <c r="AD119" s="615"/>
      <c r="AE119" s="5467"/>
    </row>
    <row r="120" spans="1:31" ht="89.25" customHeight="1">
      <c r="A120" s="5504"/>
      <c r="B120" s="5487"/>
      <c r="C120" s="4629"/>
      <c r="D120" s="4629"/>
      <c r="E120" s="4629"/>
      <c r="F120" s="4629"/>
      <c r="G120" s="4629"/>
      <c r="H120" s="4629"/>
      <c r="I120" s="4629"/>
      <c r="J120" s="5531"/>
      <c r="K120" s="5531"/>
      <c r="L120" s="284">
        <v>1</v>
      </c>
      <c r="M120" s="284">
        <v>32</v>
      </c>
      <c r="N120" s="284">
        <v>31</v>
      </c>
      <c r="O120" s="5489" t="s">
        <v>2511</v>
      </c>
      <c r="P120" s="5506" t="s">
        <v>2513</v>
      </c>
      <c r="Q120" s="5509" t="s">
        <v>2514</v>
      </c>
      <c r="R120" s="1018"/>
      <c r="S120" s="460"/>
      <c r="T120" s="606"/>
      <c r="U120" s="645"/>
      <c r="V120" s="581"/>
      <c r="W120" s="581"/>
      <c r="X120" s="1045"/>
      <c r="Y120" s="1045"/>
      <c r="Z120" s="633"/>
      <c r="AA120" s="1046"/>
      <c r="AB120" s="1044"/>
      <c r="AC120" s="2035"/>
      <c r="AD120" s="2035"/>
      <c r="AE120" s="1019"/>
    </row>
    <row r="121" spans="1:31" ht="46.5" customHeight="1">
      <c r="A121" s="5504"/>
      <c r="B121" s="5487"/>
      <c r="C121" s="4629"/>
      <c r="D121" s="4629"/>
      <c r="E121" s="4629"/>
      <c r="F121" s="4629"/>
      <c r="G121" s="4629"/>
      <c r="H121" s="4629"/>
      <c r="I121" s="4629"/>
      <c r="J121" s="5531"/>
      <c r="K121" s="5531"/>
      <c r="L121" s="2062"/>
      <c r="M121" s="2062"/>
      <c r="N121" s="2062"/>
      <c r="O121" s="4630"/>
      <c r="P121" s="5508"/>
      <c r="Q121" s="5510"/>
      <c r="R121" s="1020"/>
      <c r="S121" s="617"/>
      <c r="T121" s="617"/>
      <c r="U121" s="1003"/>
      <c r="V121" s="619"/>
      <c r="W121" s="619"/>
      <c r="X121" s="637"/>
      <c r="Y121" s="637"/>
      <c r="Z121" s="1021"/>
      <c r="AA121" s="1022"/>
      <c r="AB121" s="636"/>
      <c r="AC121" s="622"/>
      <c r="AD121" s="622"/>
      <c r="AE121" s="1023"/>
    </row>
    <row r="122" spans="1:31" ht="131.25" customHeight="1">
      <c r="A122" s="5504"/>
      <c r="B122" s="5487"/>
      <c r="C122" s="4629"/>
      <c r="D122" s="4629"/>
      <c r="E122" s="4629"/>
      <c r="F122" s="4629"/>
      <c r="G122" s="4629"/>
      <c r="H122" s="4629"/>
      <c r="I122" s="4629"/>
      <c r="J122" s="5531"/>
      <c r="K122" s="5531"/>
      <c r="L122" s="284">
        <v>1</v>
      </c>
      <c r="M122" s="284">
        <v>1</v>
      </c>
      <c r="N122" s="284">
        <v>1</v>
      </c>
      <c r="O122" s="1008" t="s">
        <v>2511</v>
      </c>
      <c r="P122" s="1024" t="s">
        <v>2515</v>
      </c>
      <c r="Q122" s="1025" t="s">
        <v>2516</v>
      </c>
      <c r="R122" s="2071"/>
      <c r="S122" s="2067"/>
      <c r="T122" s="2067"/>
      <c r="U122" s="2072"/>
      <c r="V122" s="2021"/>
      <c r="W122" s="2021"/>
      <c r="X122" s="1045"/>
      <c r="Y122" s="1045"/>
      <c r="Z122" s="1045"/>
      <c r="AA122" s="1046"/>
      <c r="AB122" s="1044"/>
      <c r="AC122" s="2035"/>
      <c r="AD122" s="2035"/>
      <c r="AE122" s="1026"/>
    </row>
    <row r="123" spans="1:31" ht="50.25" customHeight="1">
      <c r="A123" s="5504"/>
      <c r="B123" s="5487"/>
      <c r="C123" s="4629"/>
      <c r="D123" s="4629"/>
      <c r="E123" s="4629"/>
      <c r="F123" s="4629"/>
      <c r="G123" s="4629"/>
      <c r="H123" s="4629"/>
      <c r="I123" s="4629"/>
      <c r="J123" s="5531"/>
      <c r="K123" s="5531"/>
      <c r="L123" s="284">
        <v>2</v>
      </c>
      <c r="M123" s="284">
        <v>3</v>
      </c>
      <c r="N123" s="284">
        <v>2</v>
      </c>
      <c r="O123" s="5489" t="s">
        <v>2511</v>
      </c>
      <c r="P123" s="5506" t="s">
        <v>2517</v>
      </c>
      <c r="Q123" s="5509" t="s">
        <v>2518</v>
      </c>
      <c r="R123" s="1012"/>
      <c r="S123" s="1125"/>
      <c r="T123" s="1125"/>
      <c r="U123" s="646"/>
      <c r="V123" s="1125"/>
      <c r="W123" s="1125"/>
      <c r="X123" s="1027"/>
      <c r="Y123" s="1027"/>
      <c r="Z123" s="1027"/>
      <c r="AA123" s="1027"/>
      <c r="AB123" s="1027"/>
      <c r="AC123" s="1027"/>
      <c r="AD123" s="1027"/>
      <c r="AE123" s="1019"/>
    </row>
    <row r="124" spans="1:31" ht="60" customHeight="1">
      <c r="A124" s="5504"/>
      <c r="B124" s="5487"/>
      <c r="C124" s="4629"/>
      <c r="D124" s="4629"/>
      <c r="E124" s="4629"/>
      <c r="F124" s="4629"/>
      <c r="G124" s="4629"/>
      <c r="H124" s="4629"/>
      <c r="I124" s="4629"/>
      <c r="J124" s="5531"/>
      <c r="K124" s="5531"/>
      <c r="L124" s="2062"/>
      <c r="M124" s="2062"/>
      <c r="N124" s="2062"/>
      <c r="O124" s="4630"/>
      <c r="P124" s="5508"/>
      <c r="Q124" s="5510"/>
      <c r="R124" s="1011"/>
      <c r="S124" s="677"/>
      <c r="T124" s="461"/>
      <c r="U124" s="1125"/>
      <c r="V124" s="461"/>
      <c r="W124" s="461"/>
      <c r="X124" s="627"/>
      <c r="Y124" s="627"/>
      <c r="Z124" s="1027"/>
      <c r="AA124" s="1027"/>
      <c r="AB124" s="1027"/>
      <c r="AC124" s="1027"/>
      <c r="AD124" s="1027"/>
      <c r="AE124" s="1019"/>
    </row>
    <row r="125" spans="1:31" ht="39" customHeight="1">
      <c r="A125" s="5504"/>
      <c r="B125" s="5487"/>
      <c r="C125" s="4629"/>
      <c r="D125" s="4629"/>
      <c r="E125" s="4629"/>
      <c r="F125" s="4629"/>
      <c r="G125" s="4629"/>
      <c r="H125" s="4629"/>
      <c r="I125" s="4629"/>
      <c r="J125" s="5531"/>
      <c r="K125" s="5531"/>
      <c r="L125" s="284">
        <v>1</v>
      </c>
      <c r="M125" s="284">
        <v>3</v>
      </c>
      <c r="N125" s="284">
        <v>2</v>
      </c>
      <c r="O125" s="5489" t="s">
        <v>2511</v>
      </c>
      <c r="P125" s="5506" t="s">
        <v>2517</v>
      </c>
      <c r="Q125" s="1028" t="s">
        <v>2519</v>
      </c>
      <c r="R125" s="1012"/>
      <c r="S125" s="1125"/>
      <c r="T125" s="1125"/>
      <c r="U125" s="646"/>
      <c r="V125" s="2073"/>
      <c r="W125" s="2021"/>
      <c r="X125" s="1045"/>
      <c r="Y125" s="1045"/>
      <c r="Z125" s="2074"/>
      <c r="AA125" s="2075"/>
      <c r="AB125" s="2074"/>
      <c r="AC125" s="2074"/>
      <c r="AD125" s="2074"/>
      <c r="AE125" s="1019"/>
    </row>
    <row r="126" spans="1:31" ht="21" customHeight="1">
      <c r="A126" s="5504"/>
      <c r="B126" s="5487"/>
      <c r="C126" s="4629"/>
      <c r="D126" s="4629"/>
      <c r="E126" s="4629"/>
      <c r="F126" s="4629"/>
      <c r="G126" s="4629"/>
      <c r="H126" s="4629"/>
      <c r="I126" s="4629"/>
      <c r="J126" s="5531"/>
      <c r="K126" s="5531"/>
      <c r="L126" s="2062"/>
      <c r="M126" s="2062"/>
      <c r="N126" s="2062"/>
      <c r="O126" s="4629"/>
      <c r="P126" s="5507"/>
      <c r="Q126" s="1017"/>
      <c r="R126" s="1011"/>
      <c r="S126" s="2068"/>
      <c r="T126" s="2067"/>
      <c r="U126" s="2076"/>
      <c r="V126" s="582"/>
      <c r="W126" s="582"/>
      <c r="X126" s="627"/>
      <c r="Y126" s="627"/>
      <c r="Z126" s="627"/>
      <c r="AA126" s="628"/>
      <c r="AB126" s="624"/>
      <c r="AC126" s="615"/>
      <c r="AD126" s="615"/>
      <c r="AE126" s="1019"/>
    </row>
    <row r="127" spans="1:31" ht="21" customHeight="1">
      <c r="A127" s="5504"/>
      <c r="B127" s="5487"/>
      <c r="C127" s="4629"/>
      <c r="D127" s="4629"/>
      <c r="E127" s="4629"/>
      <c r="F127" s="4629"/>
      <c r="G127" s="4629"/>
      <c r="H127" s="4629"/>
      <c r="I127" s="4629"/>
      <c r="J127" s="5531"/>
      <c r="K127" s="5531"/>
      <c r="L127" s="2062"/>
      <c r="M127" s="2062"/>
      <c r="N127" s="2062"/>
      <c r="O127" s="4629"/>
      <c r="P127" s="5507"/>
      <c r="Q127" s="1017"/>
      <c r="R127" s="1029"/>
      <c r="S127" s="2077"/>
      <c r="T127" s="461"/>
      <c r="U127" s="1125"/>
      <c r="V127" s="582"/>
      <c r="W127" s="582"/>
      <c r="X127" s="627"/>
      <c r="Y127" s="627"/>
      <c r="Z127" s="627"/>
      <c r="AA127" s="628"/>
      <c r="AB127" s="624"/>
      <c r="AC127" s="615"/>
      <c r="AD127" s="615"/>
      <c r="AE127" s="1019"/>
    </row>
    <row r="128" spans="1:31" ht="21" customHeight="1">
      <c r="A128" s="5504"/>
      <c r="B128" s="5487"/>
      <c r="C128" s="4629"/>
      <c r="D128" s="4629"/>
      <c r="E128" s="4629"/>
      <c r="F128" s="4629"/>
      <c r="G128" s="4629"/>
      <c r="H128" s="4629"/>
      <c r="I128" s="4629"/>
      <c r="J128" s="5531"/>
      <c r="K128" s="5531"/>
      <c r="L128" s="2062"/>
      <c r="M128" s="2062"/>
      <c r="N128" s="2062"/>
      <c r="O128" s="4629"/>
      <c r="P128" s="5507"/>
      <c r="Q128" s="1017"/>
      <c r="R128" s="1029"/>
      <c r="S128" s="2077"/>
      <c r="T128" s="461"/>
      <c r="U128" s="1125"/>
      <c r="V128" s="582"/>
      <c r="W128" s="582"/>
      <c r="X128" s="627"/>
      <c r="Y128" s="627"/>
      <c r="Z128" s="627"/>
      <c r="AA128" s="628"/>
      <c r="AB128" s="624"/>
      <c r="AC128" s="615"/>
      <c r="AD128" s="615"/>
      <c r="AE128" s="1019"/>
    </row>
    <row r="129" spans="1:31" ht="40.5" customHeight="1">
      <c r="A129" s="5504"/>
      <c r="B129" s="5487"/>
      <c r="C129" s="4629"/>
      <c r="D129" s="4629"/>
      <c r="E129" s="4629"/>
      <c r="F129" s="4629"/>
      <c r="G129" s="4629"/>
      <c r="H129" s="4629"/>
      <c r="I129" s="4629"/>
      <c r="J129" s="5531"/>
      <c r="K129" s="5531"/>
      <c r="L129" s="2062"/>
      <c r="M129" s="2062"/>
      <c r="N129" s="2062"/>
      <c r="O129" s="4629"/>
      <c r="P129" s="5507"/>
      <c r="Q129" s="1017"/>
      <c r="R129" s="1011"/>
      <c r="S129" s="2068"/>
      <c r="T129" s="677"/>
      <c r="U129" s="616"/>
      <c r="V129" s="582"/>
      <c r="W129" s="582"/>
      <c r="X129" s="627"/>
      <c r="Y129" s="627"/>
      <c r="Z129" s="627"/>
      <c r="AA129" s="628"/>
      <c r="AB129" s="624"/>
      <c r="AC129" s="615"/>
      <c r="AD129" s="615"/>
      <c r="AE129" s="1019"/>
    </row>
    <row r="130" spans="1:31" ht="43.5" customHeight="1">
      <c r="A130" s="5504"/>
      <c r="B130" s="5487"/>
      <c r="C130" s="4629"/>
      <c r="D130" s="4629"/>
      <c r="E130" s="4629"/>
      <c r="F130" s="4629"/>
      <c r="G130" s="4629"/>
      <c r="H130" s="4629"/>
      <c r="I130" s="4629"/>
      <c r="J130" s="5531"/>
      <c r="K130" s="5531"/>
      <c r="L130" s="2062"/>
      <c r="M130" s="2062"/>
      <c r="N130" s="2062"/>
      <c r="O130" s="4630"/>
      <c r="P130" s="5508"/>
      <c r="Q130" s="1017"/>
      <c r="R130" s="1011"/>
      <c r="S130" s="2078"/>
      <c r="T130" s="461"/>
      <c r="U130" s="626"/>
      <c r="V130" s="582"/>
      <c r="W130" s="582"/>
      <c r="X130" s="627"/>
      <c r="Y130" s="627"/>
      <c r="Z130" s="627"/>
      <c r="AA130" s="628"/>
      <c r="AB130" s="636"/>
      <c r="AC130" s="615"/>
      <c r="AD130" s="615"/>
      <c r="AE130" s="1019"/>
    </row>
    <row r="131" spans="1:31" ht="121.5" customHeight="1">
      <c r="A131" s="5504"/>
      <c r="B131" s="5487"/>
      <c r="C131" s="4629"/>
      <c r="D131" s="4629"/>
      <c r="E131" s="4629"/>
      <c r="F131" s="4629"/>
      <c r="G131" s="4629"/>
      <c r="H131" s="4629"/>
      <c r="I131" s="4629"/>
      <c r="J131" s="5531"/>
      <c r="K131" s="5531"/>
      <c r="L131" s="284">
        <v>8</v>
      </c>
      <c r="M131" s="284">
        <v>20</v>
      </c>
      <c r="N131" s="284">
        <v>10</v>
      </c>
      <c r="O131" s="5489" t="s">
        <v>2511</v>
      </c>
      <c r="P131" s="5506" t="s">
        <v>2517</v>
      </c>
      <c r="Q131" s="5509" t="s">
        <v>2520</v>
      </c>
      <c r="R131" s="1030"/>
      <c r="S131" s="1031"/>
      <c r="T131" s="606"/>
      <c r="U131" s="645"/>
      <c r="V131" s="1724"/>
      <c r="W131" s="1724"/>
      <c r="X131" s="1032"/>
      <c r="Y131" s="633"/>
      <c r="Z131" s="633"/>
      <c r="AA131" s="625"/>
      <c r="AB131" s="1044"/>
      <c r="AC131" s="611"/>
      <c r="AD131" s="2035"/>
      <c r="AE131" s="1019"/>
    </row>
    <row r="132" spans="1:31" ht="90" customHeight="1">
      <c r="A132" s="5504"/>
      <c r="B132" s="5487"/>
      <c r="C132" s="4629"/>
      <c r="D132" s="4629"/>
      <c r="E132" s="4629"/>
      <c r="F132" s="4629"/>
      <c r="G132" s="4629"/>
      <c r="H132" s="4629"/>
      <c r="I132" s="4629"/>
      <c r="J132" s="5531"/>
      <c r="K132" s="5531"/>
      <c r="L132" s="2062"/>
      <c r="M132" s="2062"/>
      <c r="N132" s="2062"/>
      <c r="O132" s="4630"/>
      <c r="P132" s="5508"/>
      <c r="Q132" s="5510"/>
      <c r="R132" s="1011"/>
      <c r="S132" s="677"/>
      <c r="T132" s="461"/>
      <c r="U132" s="1033"/>
      <c r="V132" s="582"/>
      <c r="W132" s="582"/>
      <c r="X132" s="627"/>
      <c r="Y132" s="627"/>
      <c r="Z132" s="627"/>
      <c r="AA132" s="628"/>
      <c r="AB132" s="624"/>
      <c r="AC132" s="615"/>
      <c r="AD132" s="615"/>
      <c r="AE132" s="1019"/>
    </row>
    <row r="133" spans="1:31" ht="75" customHeight="1">
      <c r="A133" s="5504"/>
      <c r="B133" s="5487"/>
      <c r="C133" s="4629"/>
      <c r="D133" s="4629"/>
      <c r="E133" s="4629"/>
      <c r="F133" s="4629"/>
      <c r="G133" s="4629"/>
      <c r="H133" s="4629"/>
      <c r="I133" s="4629"/>
      <c r="J133" s="5531"/>
      <c r="K133" s="5531"/>
      <c r="L133" s="5497">
        <v>1</v>
      </c>
      <c r="M133" s="5497">
        <v>2</v>
      </c>
      <c r="N133" s="5497">
        <v>1</v>
      </c>
      <c r="O133" s="5489" t="s">
        <v>2521</v>
      </c>
      <c r="P133" s="5506" t="s">
        <v>2522</v>
      </c>
      <c r="Q133" s="5509" t="s">
        <v>2523</v>
      </c>
      <c r="R133" s="1034"/>
      <c r="S133" s="1035"/>
      <c r="T133" s="677"/>
      <c r="U133" s="616"/>
      <c r="V133" s="582"/>
      <c r="W133" s="582"/>
      <c r="X133" s="627"/>
      <c r="Y133" s="627"/>
      <c r="Z133" s="627"/>
      <c r="AA133" s="628"/>
      <c r="AB133" s="624"/>
      <c r="AC133" s="2035"/>
      <c r="AD133" s="2035"/>
      <c r="AE133" s="1019"/>
    </row>
    <row r="134" spans="1:31" ht="54.75" customHeight="1">
      <c r="A134" s="5504"/>
      <c r="B134" s="5487"/>
      <c r="C134" s="4629"/>
      <c r="D134" s="4629"/>
      <c r="E134" s="4629"/>
      <c r="F134" s="4629"/>
      <c r="G134" s="4629"/>
      <c r="H134" s="4629"/>
      <c r="I134" s="4629"/>
      <c r="J134" s="5531"/>
      <c r="K134" s="5531"/>
      <c r="L134" s="4630"/>
      <c r="M134" s="4630"/>
      <c r="N134" s="4630"/>
      <c r="O134" s="4630"/>
      <c r="P134" s="5508"/>
      <c r="Q134" s="5510"/>
      <c r="R134" s="1036"/>
      <c r="S134" s="617"/>
      <c r="T134" s="617"/>
      <c r="U134" s="618"/>
      <c r="V134" s="619"/>
      <c r="W134" s="619"/>
      <c r="X134" s="637"/>
      <c r="Y134" s="637"/>
      <c r="Z134" s="637"/>
      <c r="AA134" s="1037"/>
      <c r="AB134" s="636"/>
      <c r="AC134" s="622"/>
      <c r="AD134" s="622"/>
      <c r="AE134" s="1023"/>
    </row>
    <row r="135" spans="1:31" ht="54.75" customHeight="1">
      <c r="A135" s="5504"/>
      <c r="B135" s="5487"/>
      <c r="C135" s="4629"/>
      <c r="D135" s="4629"/>
      <c r="E135" s="4629"/>
      <c r="F135" s="4629"/>
      <c r="G135" s="4629"/>
      <c r="H135" s="4629"/>
      <c r="I135" s="4629"/>
      <c r="J135" s="5531"/>
      <c r="K135" s="5531"/>
      <c r="L135" s="5497">
        <v>15</v>
      </c>
      <c r="M135" s="5497">
        <v>30</v>
      </c>
      <c r="N135" s="5497">
        <v>15</v>
      </c>
      <c r="O135" s="5489" t="s">
        <v>2524</v>
      </c>
      <c r="P135" s="5489" t="s">
        <v>2525</v>
      </c>
      <c r="Q135" s="5551" t="s">
        <v>2526</v>
      </c>
      <c r="R135" s="1084"/>
      <c r="S135" s="2079"/>
      <c r="T135" s="2067"/>
      <c r="U135" s="2020"/>
      <c r="V135" s="2021"/>
      <c r="W135" s="2021"/>
      <c r="X135" s="1045"/>
      <c r="Y135" s="1045"/>
      <c r="Z135" s="1045"/>
      <c r="AA135" s="1046"/>
      <c r="AB135" s="1044"/>
      <c r="AC135" s="2035"/>
      <c r="AD135" s="2035"/>
      <c r="AE135" s="1026"/>
    </row>
    <row r="136" spans="1:31" ht="54.75" customHeight="1">
      <c r="A136" s="5504"/>
      <c r="B136" s="5487"/>
      <c r="C136" s="4629"/>
      <c r="D136" s="4629"/>
      <c r="E136" s="4629"/>
      <c r="F136" s="4629"/>
      <c r="G136" s="4629"/>
      <c r="H136" s="4629"/>
      <c r="I136" s="4629"/>
      <c r="J136" s="5531"/>
      <c r="K136" s="5531"/>
      <c r="L136" s="4629"/>
      <c r="M136" s="4629"/>
      <c r="N136" s="4629"/>
      <c r="O136" s="4629"/>
      <c r="P136" s="4629"/>
      <c r="Q136" s="5507"/>
      <c r="R136" s="2080"/>
      <c r="S136" s="677"/>
      <c r="T136" s="677"/>
      <c r="U136" s="626"/>
      <c r="V136" s="582"/>
      <c r="W136" s="582"/>
      <c r="X136" s="627"/>
      <c r="Y136" s="627"/>
      <c r="Z136" s="627"/>
      <c r="AA136" s="628"/>
      <c r="AB136" s="624"/>
      <c r="AC136" s="615"/>
      <c r="AD136" s="615"/>
      <c r="AE136" s="1019"/>
    </row>
    <row r="137" spans="1:31" ht="54.75" customHeight="1">
      <c r="A137" s="5504"/>
      <c r="B137" s="5487"/>
      <c r="C137" s="4629"/>
      <c r="D137" s="4629"/>
      <c r="E137" s="4629"/>
      <c r="F137" s="4629"/>
      <c r="G137" s="4629"/>
      <c r="H137" s="4629"/>
      <c r="I137" s="4629"/>
      <c r="J137" s="5531"/>
      <c r="K137" s="5531"/>
      <c r="L137" s="4629"/>
      <c r="M137" s="4629"/>
      <c r="N137" s="4629"/>
      <c r="O137" s="4629"/>
      <c r="P137" s="4629"/>
      <c r="Q137" s="5507"/>
      <c r="R137" s="1034"/>
      <c r="S137" s="677"/>
      <c r="T137" s="461"/>
      <c r="U137" s="616"/>
      <c r="V137" s="582"/>
      <c r="W137" s="582"/>
      <c r="X137" s="627"/>
      <c r="Y137" s="627"/>
      <c r="Z137" s="627"/>
      <c r="AA137" s="628"/>
      <c r="AB137" s="624"/>
      <c r="AC137" s="615"/>
      <c r="AD137" s="615"/>
      <c r="AE137" s="1019"/>
    </row>
    <row r="138" spans="1:31" ht="54.75" customHeight="1">
      <c r="A138" s="5504"/>
      <c r="B138" s="5487"/>
      <c r="C138" s="4629"/>
      <c r="D138" s="4629"/>
      <c r="E138" s="4629"/>
      <c r="F138" s="4629"/>
      <c r="G138" s="4629"/>
      <c r="H138" s="4629"/>
      <c r="I138" s="4629"/>
      <c r="J138" s="5531"/>
      <c r="K138" s="5531"/>
      <c r="L138" s="4630"/>
      <c r="M138" s="4630"/>
      <c r="N138" s="4630"/>
      <c r="O138" s="4630"/>
      <c r="P138" s="4630"/>
      <c r="Q138" s="5508"/>
      <c r="R138" s="1034"/>
      <c r="S138" s="2077"/>
      <c r="T138" s="461"/>
      <c r="U138" s="626"/>
      <c r="V138" s="2069"/>
      <c r="W138" s="582"/>
      <c r="X138" s="627"/>
      <c r="Y138" s="627"/>
      <c r="Z138" s="627"/>
      <c r="AA138" s="628"/>
      <c r="AB138" s="624"/>
      <c r="AC138" s="615"/>
      <c r="AD138" s="615"/>
      <c r="AE138" s="1019"/>
    </row>
    <row r="139" spans="1:31" ht="105.75" customHeight="1">
      <c r="A139" s="5504"/>
      <c r="B139" s="5487"/>
      <c r="C139" s="4629"/>
      <c r="D139" s="4629"/>
      <c r="E139" s="4629"/>
      <c r="F139" s="4629"/>
      <c r="G139" s="4629"/>
      <c r="H139" s="4629"/>
      <c r="I139" s="4629"/>
      <c r="J139" s="5531"/>
      <c r="K139" s="5531"/>
      <c r="L139" s="5497">
        <v>5</v>
      </c>
      <c r="M139" s="5497">
        <v>50</v>
      </c>
      <c r="N139" s="5497">
        <v>3</v>
      </c>
      <c r="O139" s="5489" t="s">
        <v>2527</v>
      </c>
      <c r="P139" s="5489" t="s">
        <v>2528</v>
      </c>
      <c r="Q139" s="1038" t="s">
        <v>2529</v>
      </c>
      <c r="R139" s="1051"/>
      <c r="S139" s="2066"/>
      <c r="T139" s="2066"/>
      <c r="U139" s="2020"/>
      <c r="V139" s="2021"/>
      <c r="W139" s="2021"/>
      <c r="X139" s="1045"/>
      <c r="Y139" s="1045"/>
      <c r="Z139" s="1045"/>
      <c r="AA139" s="1046"/>
      <c r="AB139" s="1044"/>
      <c r="AC139" s="2035"/>
      <c r="AD139" s="2035"/>
      <c r="AE139" s="1019"/>
    </row>
    <row r="140" spans="1:31" ht="27.75" customHeight="1">
      <c r="A140" s="5504"/>
      <c r="B140" s="5487"/>
      <c r="C140" s="4629"/>
      <c r="D140" s="4629"/>
      <c r="E140" s="4629"/>
      <c r="F140" s="4629"/>
      <c r="G140" s="4629"/>
      <c r="H140" s="4629"/>
      <c r="I140" s="4629"/>
      <c r="J140" s="5531"/>
      <c r="K140" s="5531"/>
      <c r="L140" s="4629"/>
      <c r="M140" s="4629"/>
      <c r="N140" s="4629"/>
      <c r="O140" s="4629"/>
      <c r="P140" s="4629"/>
      <c r="Q140" s="1039"/>
      <c r="R140" s="630"/>
      <c r="S140" s="461"/>
      <c r="T140" s="629"/>
      <c r="U140" s="1125"/>
      <c r="V140" s="582"/>
      <c r="W140" s="582"/>
      <c r="X140" s="627"/>
      <c r="Y140" s="627"/>
      <c r="Z140" s="627"/>
      <c r="AA140" s="627"/>
      <c r="AB140" s="624"/>
      <c r="AC140" s="615"/>
      <c r="AD140" s="615"/>
      <c r="AE140" s="1019"/>
    </row>
    <row r="141" spans="1:31" ht="27.75" customHeight="1">
      <c r="A141" s="5504"/>
      <c r="B141" s="5487"/>
      <c r="C141" s="4629"/>
      <c r="D141" s="4629"/>
      <c r="E141" s="4629"/>
      <c r="F141" s="4629"/>
      <c r="G141" s="4629"/>
      <c r="H141" s="4629"/>
      <c r="I141" s="4629"/>
      <c r="J141" s="5531"/>
      <c r="K141" s="5531"/>
      <c r="L141" s="4629"/>
      <c r="M141" s="4629"/>
      <c r="N141" s="4629"/>
      <c r="O141" s="4629"/>
      <c r="P141" s="4629"/>
      <c r="Q141" s="1039"/>
      <c r="R141" s="630"/>
      <c r="S141" s="641"/>
      <c r="T141" s="641"/>
      <c r="U141" s="1125"/>
      <c r="V141" s="582"/>
      <c r="W141" s="582"/>
      <c r="X141" s="627"/>
      <c r="Y141" s="627"/>
      <c r="Z141" s="627"/>
      <c r="AA141" s="627"/>
      <c r="AB141" s="624"/>
      <c r="AC141" s="615"/>
      <c r="AD141" s="615"/>
      <c r="AE141" s="1019"/>
    </row>
    <row r="142" spans="1:31" ht="27.75" customHeight="1">
      <c r="A142" s="5504"/>
      <c r="B142" s="5487"/>
      <c r="C142" s="4629"/>
      <c r="D142" s="4629"/>
      <c r="E142" s="4629"/>
      <c r="F142" s="4629"/>
      <c r="G142" s="4629"/>
      <c r="H142" s="4629"/>
      <c r="I142" s="4629"/>
      <c r="J142" s="5531"/>
      <c r="K142" s="5531"/>
      <c r="L142" s="4629"/>
      <c r="M142" s="4629"/>
      <c r="N142" s="4629"/>
      <c r="O142" s="4629"/>
      <c r="P142" s="4629"/>
      <c r="Q142" s="1039"/>
      <c r="R142" s="630"/>
      <c r="S142" s="641"/>
      <c r="T142" s="641"/>
      <c r="U142" s="1125"/>
      <c r="V142" s="582"/>
      <c r="W142" s="582"/>
      <c r="X142" s="627"/>
      <c r="Y142" s="627"/>
      <c r="Z142" s="627"/>
      <c r="AA142" s="627"/>
      <c r="AB142" s="624"/>
      <c r="AC142" s="615"/>
      <c r="AD142" s="615"/>
      <c r="AE142" s="1019"/>
    </row>
    <row r="143" spans="1:31" ht="27.75" customHeight="1">
      <c r="A143" s="5504"/>
      <c r="B143" s="5487"/>
      <c r="C143" s="4629"/>
      <c r="D143" s="4629"/>
      <c r="E143" s="4629"/>
      <c r="F143" s="4629"/>
      <c r="G143" s="4629"/>
      <c r="H143" s="4629"/>
      <c r="I143" s="4629"/>
      <c r="J143" s="5531"/>
      <c r="K143" s="5531"/>
      <c r="L143" s="4629"/>
      <c r="M143" s="4629"/>
      <c r="N143" s="4629"/>
      <c r="O143" s="4629"/>
      <c r="P143" s="4629"/>
      <c r="Q143" s="1039"/>
      <c r="R143" s="630"/>
      <c r="S143" s="641"/>
      <c r="T143" s="641"/>
      <c r="U143" s="626"/>
      <c r="V143" s="2024"/>
      <c r="W143" s="582"/>
      <c r="X143" s="627"/>
      <c r="Y143" s="627"/>
      <c r="Z143" s="627"/>
      <c r="AA143" s="627"/>
      <c r="AB143" s="624"/>
      <c r="AC143" s="615"/>
      <c r="AD143" s="615"/>
      <c r="AE143" s="1019"/>
    </row>
    <row r="144" spans="1:31" ht="27.75" customHeight="1">
      <c r="A144" s="5504"/>
      <c r="B144" s="5487"/>
      <c r="C144" s="4629"/>
      <c r="D144" s="4629"/>
      <c r="E144" s="4629"/>
      <c r="F144" s="4629"/>
      <c r="G144" s="4629"/>
      <c r="H144" s="4629"/>
      <c r="I144" s="4629"/>
      <c r="J144" s="5531"/>
      <c r="K144" s="5531"/>
      <c r="L144" s="4629"/>
      <c r="M144" s="4629"/>
      <c r="N144" s="4629"/>
      <c r="O144" s="4629"/>
      <c r="P144" s="4629"/>
      <c r="Q144" s="1039"/>
      <c r="R144" s="630"/>
      <c r="S144" s="641"/>
      <c r="T144" s="641"/>
      <c r="U144" s="626"/>
      <c r="V144" s="582"/>
      <c r="W144" s="582"/>
      <c r="X144" s="627"/>
      <c r="Y144" s="627"/>
      <c r="Z144" s="627"/>
      <c r="AA144" s="627"/>
      <c r="AB144" s="624"/>
      <c r="AC144" s="615"/>
      <c r="AD144" s="615"/>
      <c r="AE144" s="1019"/>
    </row>
    <row r="145" spans="1:31" ht="27.75" customHeight="1">
      <c r="A145" s="5504"/>
      <c r="B145" s="5487"/>
      <c r="C145" s="4629"/>
      <c r="D145" s="4629"/>
      <c r="E145" s="4629"/>
      <c r="F145" s="4629"/>
      <c r="G145" s="4629"/>
      <c r="H145" s="4629"/>
      <c r="I145" s="4629"/>
      <c r="J145" s="5531"/>
      <c r="K145" s="5531"/>
      <c r="L145" s="4630"/>
      <c r="M145" s="4630"/>
      <c r="N145" s="4630"/>
      <c r="O145" s="4630"/>
      <c r="P145" s="4630"/>
      <c r="Q145" s="1039"/>
      <c r="R145" s="1040"/>
      <c r="S145" s="639"/>
      <c r="T145" s="639"/>
      <c r="U145" s="618"/>
      <c r="V145" s="619"/>
      <c r="W145" s="619"/>
      <c r="X145" s="637"/>
      <c r="Y145" s="637"/>
      <c r="Z145" s="637"/>
      <c r="AA145" s="637"/>
      <c r="AB145" s="636"/>
      <c r="AC145" s="622"/>
      <c r="AD145" s="622"/>
      <c r="AE145" s="1023"/>
    </row>
    <row r="146" spans="1:31" ht="132" customHeight="1">
      <c r="A146" s="5504"/>
      <c r="B146" s="5487"/>
      <c r="C146" s="4629"/>
      <c r="D146" s="4629"/>
      <c r="E146" s="4629"/>
      <c r="F146" s="4629"/>
      <c r="G146" s="4629"/>
      <c r="H146" s="4629"/>
      <c r="I146" s="4629"/>
      <c r="J146" s="5531"/>
      <c r="K146" s="5531"/>
      <c r="L146" s="5497">
        <v>3</v>
      </c>
      <c r="M146" s="5497">
        <v>12</v>
      </c>
      <c r="N146" s="5497">
        <v>5</v>
      </c>
      <c r="O146" s="5489" t="s">
        <v>2527</v>
      </c>
      <c r="P146" s="5489" t="s">
        <v>2530</v>
      </c>
      <c r="Q146" s="5551" t="s">
        <v>2531</v>
      </c>
      <c r="R146" s="1015"/>
      <c r="S146" s="1041"/>
      <c r="T146" s="1042"/>
      <c r="U146" s="1043"/>
      <c r="V146" s="1044"/>
      <c r="W146" s="1044"/>
      <c r="X146" s="1045"/>
      <c r="Y146" s="1045"/>
      <c r="Z146" s="1045"/>
      <c r="AA146" s="1046"/>
      <c r="AB146" s="1044"/>
      <c r="AC146" s="1047"/>
      <c r="AD146" s="1047"/>
      <c r="AE146" s="1026"/>
    </row>
    <row r="147" spans="1:31" ht="31.5" customHeight="1">
      <c r="A147" s="5504"/>
      <c r="B147" s="5487"/>
      <c r="C147" s="4629"/>
      <c r="D147" s="4629"/>
      <c r="E147" s="4629"/>
      <c r="F147" s="4629"/>
      <c r="G147" s="4629"/>
      <c r="H147" s="4629"/>
      <c r="I147" s="4629"/>
      <c r="J147" s="5531"/>
      <c r="K147" s="5531"/>
      <c r="L147" s="4630"/>
      <c r="M147" s="4630"/>
      <c r="N147" s="4630"/>
      <c r="O147" s="4630"/>
      <c r="P147" s="4630"/>
      <c r="Q147" s="5508"/>
      <c r="R147" s="1051"/>
      <c r="S147" s="1048"/>
      <c r="T147" s="634"/>
      <c r="U147" s="626"/>
      <c r="V147" s="582"/>
      <c r="W147" s="582"/>
      <c r="X147" s="627"/>
      <c r="Y147" s="627"/>
      <c r="Z147" s="627"/>
      <c r="AA147" s="628"/>
      <c r="AB147" s="624"/>
      <c r="AC147" s="615"/>
      <c r="AD147" s="615"/>
      <c r="AE147" s="1019"/>
    </row>
    <row r="148" spans="1:31" ht="82.5" customHeight="1">
      <c r="A148" s="5504"/>
      <c r="B148" s="5487"/>
      <c r="C148" s="4629"/>
      <c r="D148" s="4629"/>
      <c r="E148" s="4629"/>
      <c r="F148" s="4629"/>
      <c r="G148" s="4629"/>
      <c r="H148" s="4629"/>
      <c r="I148" s="4629"/>
      <c r="J148" s="5531"/>
      <c r="K148" s="5531"/>
      <c r="L148" s="5497">
        <v>17</v>
      </c>
      <c r="M148" s="5497">
        <v>110</v>
      </c>
      <c r="N148" s="5497">
        <v>20</v>
      </c>
      <c r="O148" s="5489" t="s">
        <v>2532</v>
      </c>
      <c r="P148" s="5489" t="s">
        <v>2530</v>
      </c>
      <c r="Q148" s="5551" t="s">
        <v>2533</v>
      </c>
      <c r="R148" s="1013"/>
      <c r="S148" s="2079"/>
      <c r="T148" s="2067"/>
      <c r="U148" s="2072"/>
      <c r="V148" s="2021"/>
      <c r="W148" s="2021"/>
      <c r="X148" s="1045"/>
      <c r="Y148" s="1045"/>
      <c r="Z148" s="1045"/>
      <c r="AA148" s="1046"/>
      <c r="AB148" s="1044"/>
      <c r="AC148" s="2035"/>
      <c r="AD148" s="2035"/>
      <c r="AE148" s="1019"/>
    </row>
    <row r="149" spans="1:31" ht="27.75" customHeight="1">
      <c r="A149" s="5504"/>
      <c r="B149" s="5487"/>
      <c r="C149" s="4629"/>
      <c r="D149" s="4629"/>
      <c r="E149" s="4629"/>
      <c r="F149" s="4629"/>
      <c r="G149" s="4629"/>
      <c r="H149" s="4629"/>
      <c r="I149" s="4629"/>
      <c r="J149" s="5531"/>
      <c r="K149" s="5531"/>
      <c r="L149" s="4629"/>
      <c r="M149" s="4629"/>
      <c r="N149" s="4629"/>
      <c r="O149" s="4629"/>
      <c r="P149" s="4629"/>
      <c r="Q149" s="5507"/>
      <c r="R149" s="1051"/>
      <c r="S149" s="677"/>
      <c r="T149" s="461"/>
      <c r="U149" s="626"/>
      <c r="V149" s="2069"/>
      <c r="W149" s="582"/>
      <c r="X149" s="627"/>
      <c r="Y149" s="627"/>
      <c r="Z149" s="627"/>
      <c r="AA149" s="628"/>
      <c r="AB149" s="624"/>
      <c r="AC149" s="615"/>
      <c r="AD149" s="615"/>
      <c r="AE149" s="1019"/>
    </row>
    <row r="150" spans="1:31" ht="36.75" customHeight="1">
      <c r="A150" s="5504"/>
      <c r="B150" s="5487"/>
      <c r="C150" s="4629"/>
      <c r="D150" s="4629"/>
      <c r="E150" s="4629"/>
      <c r="F150" s="4629"/>
      <c r="G150" s="4629"/>
      <c r="H150" s="4629"/>
      <c r="I150" s="4629"/>
      <c r="J150" s="5531"/>
      <c r="K150" s="5531"/>
      <c r="L150" s="4629"/>
      <c r="M150" s="4629"/>
      <c r="N150" s="4629"/>
      <c r="O150" s="4629"/>
      <c r="P150" s="4629"/>
      <c r="Q150" s="5507"/>
      <c r="R150" s="2081"/>
      <c r="S150" s="677"/>
      <c r="T150" s="461"/>
      <c r="U150" s="646"/>
      <c r="V150" s="582"/>
      <c r="W150" s="582"/>
      <c r="X150" s="627"/>
      <c r="Y150" s="627"/>
      <c r="Z150" s="2082"/>
      <c r="AA150" s="628"/>
      <c r="AB150" s="624"/>
      <c r="AC150" s="615"/>
      <c r="AD150" s="615"/>
      <c r="AE150" s="1019"/>
    </row>
    <row r="151" spans="1:31" ht="47.25" customHeight="1">
      <c r="A151" s="5504"/>
      <c r="B151" s="5487"/>
      <c r="C151" s="4629"/>
      <c r="D151" s="4629"/>
      <c r="E151" s="4629"/>
      <c r="F151" s="4629"/>
      <c r="G151" s="4629"/>
      <c r="H151" s="4629"/>
      <c r="I151" s="4629"/>
      <c r="J151" s="5531"/>
      <c r="K151" s="5531"/>
      <c r="L151" s="4630"/>
      <c r="M151" s="4630"/>
      <c r="N151" s="4630"/>
      <c r="O151" s="4630"/>
      <c r="P151" s="4630"/>
      <c r="Q151" s="5508"/>
      <c r="R151" s="1049"/>
      <c r="S151" s="461"/>
      <c r="T151" s="461"/>
      <c r="U151" s="1125"/>
      <c r="V151" s="582"/>
      <c r="W151" s="582"/>
      <c r="X151" s="627"/>
      <c r="Y151" s="627"/>
      <c r="Z151" s="2082"/>
      <c r="AA151" s="628"/>
      <c r="AB151" s="624"/>
      <c r="AC151" s="615"/>
      <c r="AD151" s="615"/>
      <c r="AE151" s="1019"/>
    </row>
    <row r="152" spans="1:31" ht="79.5" customHeight="1">
      <c r="A152" s="5504"/>
      <c r="B152" s="5487"/>
      <c r="C152" s="4629"/>
      <c r="D152" s="4629"/>
      <c r="E152" s="4629"/>
      <c r="F152" s="4629"/>
      <c r="G152" s="4629"/>
      <c r="H152" s="4629"/>
      <c r="I152" s="4629"/>
      <c r="J152" s="5531"/>
      <c r="K152" s="5531"/>
      <c r="L152" s="5497">
        <v>10</v>
      </c>
      <c r="M152" s="5497">
        <v>20</v>
      </c>
      <c r="N152" s="5497">
        <v>15</v>
      </c>
      <c r="O152" s="5498" t="s">
        <v>2534</v>
      </c>
      <c r="P152" s="5489" t="s">
        <v>2535</v>
      </c>
      <c r="Q152" s="5551" t="s">
        <v>2536</v>
      </c>
      <c r="R152" s="1015"/>
      <c r="S152" s="1050"/>
      <c r="T152" s="460"/>
      <c r="U152" s="607"/>
      <c r="V152" s="608"/>
      <c r="W152" s="608"/>
      <c r="X152" s="633"/>
      <c r="Y152" s="633"/>
      <c r="Z152" s="633"/>
      <c r="AA152" s="625"/>
      <c r="AB152" s="632"/>
      <c r="AC152" s="611"/>
      <c r="AD152" s="611"/>
      <c r="AE152" s="1019"/>
    </row>
    <row r="153" spans="1:31" ht="79.5" customHeight="1">
      <c r="A153" s="5504"/>
      <c r="B153" s="5487"/>
      <c r="C153" s="4629"/>
      <c r="D153" s="4629"/>
      <c r="E153" s="4629"/>
      <c r="F153" s="4629"/>
      <c r="G153" s="4629"/>
      <c r="H153" s="4629"/>
      <c r="I153" s="4629"/>
      <c r="J153" s="5531"/>
      <c r="K153" s="5531"/>
      <c r="L153" s="4629"/>
      <c r="M153" s="4629"/>
      <c r="N153" s="4629"/>
      <c r="O153" s="4629"/>
      <c r="P153" s="4629"/>
      <c r="Q153" s="5507"/>
      <c r="R153" s="1013"/>
      <c r="S153" s="677"/>
      <c r="T153" s="461"/>
      <c r="U153" s="643"/>
      <c r="V153" s="624"/>
      <c r="W153" s="624"/>
      <c r="X153" s="627"/>
      <c r="Y153" s="627"/>
      <c r="Z153" s="627"/>
      <c r="AA153" s="628"/>
      <c r="AB153" s="624"/>
      <c r="AC153" s="615"/>
      <c r="AD153" s="615"/>
      <c r="AE153" s="1019"/>
    </row>
    <row r="154" spans="1:31" ht="79.5" customHeight="1">
      <c r="A154" s="5504"/>
      <c r="B154" s="5487"/>
      <c r="C154" s="4629"/>
      <c r="D154" s="4629"/>
      <c r="E154" s="4629"/>
      <c r="F154" s="4629"/>
      <c r="G154" s="4629"/>
      <c r="H154" s="4629"/>
      <c r="I154" s="4629"/>
      <c r="J154" s="5531"/>
      <c r="K154" s="5531"/>
      <c r="L154" s="4630"/>
      <c r="M154" s="4630"/>
      <c r="N154" s="4630"/>
      <c r="O154" s="4630"/>
      <c r="P154" s="4630"/>
      <c r="Q154" s="5508"/>
      <c r="R154" s="1013"/>
      <c r="S154" s="2077"/>
      <c r="T154" s="461"/>
      <c r="U154" s="1027"/>
      <c r="V154" s="624"/>
      <c r="W154" s="624"/>
      <c r="X154" s="627"/>
      <c r="Y154" s="627"/>
      <c r="Z154" s="627"/>
      <c r="AA154" s="628"/>
      <c r="AB154" s="624"/>
      <c r="AC154" s="615"/>
      <c r="AD154" s="615"/>
      <c r="AE154" s="1019"/>
    </row>
    <row r="155" spans="1:31" ht="98.25" customHeight="1">
      <c r="A155" s="5504"/>
      <c r="B155" s="5487"/>
      <c r="C155" s="4629"/>
      <c r="D155" s="4629"/>
      <c r="E155" s="4629"/>
      <c r="F155" s="4629"/>
      <c r="G155" s="4629"/>
      <c r="H155" s="4629"/>
      <c r="I155" s="4629"/>
      <c r="J155" s="5531"/>
      <c r="K155" s="5531"/>
      <c r="L155" s="5497">
        <v>12</v>
      </c>
      <c r="M155" s="5497">
        <v>25</v>
      </c>
      <c r="N155" s="5546">
        <v>25</v>
      </c>
      <c r="O155" s="5547" t="s">
        <v>2537</v>
      </c>
      <c r="P155" s="5514" t="s">
        <v>2538</v>
      </c>
      <c r="Q155" s="5509" t="s">
        <v>2539</v>
      </c>
      <c r="R155" s="1051"/>
      <c r="S155" s="2066"/>
      <c r="T155" s="2066"/>
      <c r="U155" s="1043"/>
      <c r="V155" s="1044"/>
      <c r="W155" s="1044"/>
      <c r="X155" s="1045"/>
      <c r="Y155" s="1045"/>
      <c r="Z155" s="1045"/>
      <c r="AA155" s="1046"/>
      <c r="AB155" s="1044"/>
      <c r="AC155" s="1047"/>
      <c r="AD155" s="2035"/>
      <c r="AE155" s="1026"/>
    </row>
    <row r="156" spans="1:31" ht="42" customHeight="1">
      <c r="A156" s="5504"/>
      <c r="B156" s="5487"/>
      <c r="C156" s="4629"/>
      <c r="D156" s="4629"/>
      <c r="E156" s="4629"/>
      <c r="F156" s="4629"/>
      <c r="G156" s="4629"/>
      <c r="H156" s="4629"/>
      <c r="I156" s="4629"/>
      <c r="J156" s="5531"/>
      <c r="K156" s="5531"/>
      <c r="L156" s="4629"/>
      <c r="M156" s="4629"/>
      <c r="N156" s="5531"/>
      <c r="O156" s="5548"/>
      <c r="P156" s="5515"/>
      <c r="Q156" s="5515"/>
      <c r="R156" s="1051"/>
      <c r="S156" s="677"/>
      <c r="T156" s="1052"/>
      <c r="U156" s="1053"/>
      <c r="V156" s="624"/>
      <c r="W156" s="624"/>
      <c r="X156" s="627"/>
      <c r="Y156" s="627"/>
      <c r="Z156" s="627"/>
      <c r="AA156" s="628"/>
      <c r="AB156" s="1054"/>
      <c r="AC156" s="1055"/>
      <c r="AD156" s="1056"/>
      <c r="AE156" s="1019"/>
    </row>
    <row r="157" spans="1:31" ht="42" customHeight="1">
      <c r="A157" s="5504"/>
      <c r="B157" s="5487"/>
      <c r="C157" s="4629"/>
      <c r="D157" s="4629"/>
      <c r="E157" s="4629"/>
      <c r="F157" s="4629"/>
      <c r="G157" s="4629"/>
      <c r="H157" s="4629"/>
      <c r="I157" s="4629"/>
      <c r="J157" s="5531"/>
      <c r="K157" s="5531"/>
      <c r="L157" s="4629"/>
      <c r="M157" s="4629"/>
      <c r="N157" s="5531"/>
      <c r="O157" s="5548"/>
      <c r="P157" s="5515"/>
      <c r="Q157" s="5515"/>
      <c r="R157" s="1051"/>
      <c r="S157" s="677"/>
      <c r="T157" s="1057"/>
      <c r="U157" s="1058"/>
      <c r="V157" s="624"/>
      <c r="W157" s="624"/>
      <c r="X157" s="627"/>
      <c r="Y157" s="627"/>
      <c r="Z157" s="627"/>
      <c r="AA157" s="628"/>
      <c r="AB157" s="624"/>
      <c r="AC157" s="2035"/>
      <c r="AD157" s="615"/>
      <c r="AE157" s="1019"/>
    </row>
    <row r="158" spans="1:31" ht="42" customHeight="1">
      <c r="A158" s="5504"/>
      <c r="B158" s="5487"/>
      <c r="C158" s="4629"/>
      <c r="D158" s="4629"/>
      <c r="E158" s="4629"/>
      <c r="F158" s="4629"/>
      <c r="G158" s="4629"/>
      <c r="H158" s="4629"/>
      <c r="I158" s="4629"/>
      <c r="J158" s="5531"/>
      <c r="K158" s="5531"/>
      <c r="L158" s="4629"/>
      <c r="M158" s="4629"/>
      <c r="N158" s="5531"/>
      <c r="O158" s="5548"/>
      <c r="P158" s="5515"/>
      <c r="Q158" s="5515"/>
      <c r="R158" s="1051"/>
      <c r="S158" s="677"/>
      <c r="T158" s="1059"/>
      <c r="U158" s="643"/>
      <c r="V158" s="624"/>
      <c r="W158" s="624"/>
      <c r="X158" s="627"/>
      <c r="Y158" s="627"/>
      <c r="Z158" s="627"/>
      <c r="AA158" s="628"/>
      <c r="AB158" s="624"/>
      <c r="AC158" s="615"/>
      <c r="AD158" s="615"/>
      <c r="AE158" s="1019"/>
    </row>
    <row r="159" spans="1:31" ht="42" customHeight="1">
      <c r="A159" s="5504"/>
      <c r="B159" s="5487"/>
      <c r="C159" s="4629"/>
      <c r="D159" s="4629"/>
      <c r="E159" s="4629"/>
      <c r="F159" s="4629"/>
      <c r="G159" s="4629"/>
      <c r="H159" s="4629"/>
      <c r="I159" s="4629"/>
      <c r="J159" s="5531"/>
      <c r="K159" s="5531"/>
      <c r="L159" s="4629"/>
      <c r="M159" s="4629"/>
      <c r="N159" s="5531"/>
      <c r="O159" s="5548"/>
      <c r="P159" s="5515"/>
      <c r="Q159" s="5515"/>
      <c r="R159" s="1051"/>
      <c r="S159" s="677"/>
      <c r="T159" s="1059"/>
      <c r="U159" s="643"/>
      <c r="V159" s="624"/>
      <c r="W159" s="624"/>
      <c r="X159" s="627"/>
      <c r="Y159" s="627"/>
      <c r="Z159" s="627"/>
      <c r="AA159" s="628"/>
      <c r="AB159" s="624"/>
      <c r="AC159" s="615"/>
      <c r="AD159" s="615"/>
      <c r="AE159" s="1019"/>
    </row>
    <row r="160" spans="1:31" ht="42" customHeight="1">
      <c r="A160" s="5504"/>
      <c r="B160" s="5487"/>
      <c r="C160" s="4629"/>
      <c r="D160" s="4629"/>
      <c r="E160" s="4629"/>
      <c r="F160" s="4629"/>
      <c r="G160" s="4629"/>
      <c r="H160" s="4629"/>
      <c r="I160" s="4629"/>
      <c r="J160" s="5531"/>
      <c r="K160" s="5531"/>
      <c r="L160" s="4629"/>
      <c r="M160" s="4629"/>
      <c r="N160" s="5531"/>
      <c r="O160" s="5548"/>
      <c r="P160" s="5515"/>
      <c r="Q160" s="5515"/>
      <c r="R160" s="1051"/>
      <c r="S160" s="2031"/>
      <c r="T160" s="2083"/>
      <c r="U160" s="2084"/>
      <c r="V160" s="624"/>
      <c r="W160" s="624"/>
      <c r="X160" s="627"/>
      <c r="Y160" s="627"/>
      <c r="Z160" s="627"/>
      <c r="AA160" s="628"/>
      <c r="AB160" s="624"/>
      <c r="AC160" s="615"/>
      <c r="AD160" s="615"/>
      <c r="AE160" s="1019"/>
    </row>
    <row r="161" spans="1:31" ht="42" customHeight="1">
      <c r="A161" s="5504"/>
      <c r="B161" s="5487"/>
      <c r="C161" s="4629"/>
      <c r="D161" s="4629"/>
      <c r="E161" s="4629"/>
      <c r="F161" s="4629"/>
      <c r="G161" s="4629"/>
      <c r="H161" s="4629"/>
      <c r="I161" s="4629"/>
      <c r="J161" s="5531"/>
      <c r="K161" s="5531"/>
      <c r="L161" s="4629"/>
      <c r="M161" s="4629"/>
      <c r="N161" s="5531"/>
      <c r="O161" s="5548"/>
      <c r="P161" s="5515"/>
      <c r="Q161" s="5515"/>
      <c r="R161" s="1051"/>
      <c r="S161" s="461"/>
      <c r="T161" s="1059"/>
      <c r="U161" s="643"/>
      <c r="V161" s="624"/>
      <c r="W161" s="624"/>
      <c r="X161" s="627"/>
      <c r="Y161" s="627"/>
      <c r="Z161" s="627"/>
      <c r="AA161" s="628"/>
      <c r="AB161" s="624"/>
      <c r="AC161" s="615"/>
      <c r="AD161" s="615"/>
      <c r="AE161" s="1019"/>
    </row>
    <row r="162" spans="1:31" ht="42" customHeight="1">
      <c r="A162" s="5504"/>
      <c r="B162" s="5487"/>
      <c r="C162" s="4629"/>
      <c r="D162" s="4629"/>
      <c r="E162" s="4629"/>
      <c r="F162" s="4629"/>
      <c r="G162" s="4629"/>
      <c r="H162" s="4629"/>
      <c r="I162" s="4629"/>
      <c r="J162" s="5531"/>
      <c r="K162" s="5531"/>
      <c r="L162" s="4629"/>
      <c r="M162" s="4629"/>
      <c r="N162" s="5531"/>
      <c r="O162" s="5548"/>
      <c r="P162" s="5515"/>
      <c r="Q162" s="5515"/>
      <c r="R162" s="1051"/>
      <c r="S162" s="1035"/>
      <c r="T162" s="677"/>
      <c r="U162" s="1058"/>
      <c r="V162" s="904"/>
      <c r="W162" s="904"/>
      <c r="X162" s="904"/>
      <c r="Y162" s="904"/>
      <c r="Z162" s="904"/>
      <c r="AA162" s="628"/>
      <c r="AB162" s="624"/>
      <c r="AC162" s="615"/>
      <c r="AD162" s="615"/>
      <c r="AE162" s="1019"/>
    </row>
    <row r="163" spans="1:31" ht="42" customHeight="1">
      <c r="A163" s="5504"/>
      <c r="B163" s="5487"/>
      <c r="C163" s="4629"/>
      <c r="D163" s="4629"/>
      <c r="E163" s="4629"/>
      <c r="F163" s="4629"/>
      <c r="G163" s="4629"/>
      <c r="H163" s="4629"/>
      <c r="I163" s="4629"/>
      <c r="J163" s="5531"/>
      <c r="K163" s="5531"/>
      <c r="L163" s="4629"/>
      <c r="M163" s="4629"/>
      <c r="N163" s="5531"/>
      <c r="O163" s="5548"/>
      <c r="P163" s="5515"/>
      <c r="Q163" s="5515"/>
      <c r="R163" s="2085"/>
      <c r="S163" s="2038"/>
      <c r="T163" s="461"/>
      <c r="U163" s="643"/>
      <c r="V163" s="1060"/>
      <c r="W163" s="1060"/>
      <c r="X163" s="1087"/>
      <c r="Y163" s="1087"/>
      <c r="Z163" s="1087"/>
      <c r="AA163" s="2037"/>
      <c r="AB163" s="1060"/>
      <c r="AC163" s="1061"/>
      <c r="AD163" s="622"/>
      <c r="AE163" s="1019"/>
    </row>
    <row r="164" spans="1:31" ht="42" customHeight="1">
      <c r="A164" s="5504"/>
      <c r="B164" s="5487"/>
      <c r="C164" s="4629"/>
      <c r="D164" s="4629"/>
      <c r="E164" s="4629"/>
      <c r="F164" s="4629"/>
      <c r="G164" s="4629"/>
      <c r="H164" s="4629"/>
      <c r="I164" s="4629"/>
      <c r="J164" s="5531"/>
      <c r="K164" s="5531"/>
      <c r="L164" s="4630"/>
      <c r="M164" s="4630"/>
      <c r="N164" s="5532"/>
      <c r="O164" s="5549"/>
      <c r="P164" s="5510"/>
      <c r="Q164" s="5510"/>
      <c r="R164" s="1062"/>
      <c r="S164" s="1006"/>
      <c r="T164" s="1063"/>
      <c r="U164" s="1064"/>
      <c r="V164" s="1060"/>
      <c r="W164" s="1060"/>
      <c r="X164" s="1087"/>
      <c r="Y164" s="1087"/>
      <c r="Z164" s="1087"/>
      <c r="AA164" s="2037"/>
      <c r="AB164" s="1060"/>
      <c r="AC164" s="1061"/>
      <c r="AD164" s="622"/>
      <c r="AE164" s="1019"/>
    </row>
    <row r="165" spans="1:31" ht="87" customHeight="1">
      <c r="A165" s="5504"/>
      <c r="B165" s="5487"/>
      <c r="C165" s="4629"/>
      <c r="D165" s="4629"/>
      <c r="E165" s="4629"/>
      <c r="F165" s="4629"/>
      <c r="G165" s="4629"/>
      <c r="H165" s="4629"/>
      <c r="I165" s="4629"/>
      <c r="J165" s="5531"/>
      <c r="K165" s="5531"/>
      <c r="L165" s="5497">
        <v>25</v>
      </c>
      <c r="M165" s="5497">
        <v>35</v>
      </c>
      <c r="N165" s="5546">
        <v>30</v>
      </c>
      <c r="O165" s="5547" t="s">
        <v>2537</v>
      </c>
      <c r="P165" s="5514" t="s">
        <v>2538</v>
      </c>
      <c r="Q165" s="5509" t="s">
        <v>2540</v>
      </c>
      <c r="R165" s="1051"/>
      <c r="S165" s="1065"/>
      <c r="T165" s="2066"/>
      <c r="U165" s="1043"/>
      <c r="V165" s="632"/>
      <c r="W165" s="632"/>
      <c r="X165" s="633"/>
      <c r="Y165" s="633"/>
      <c r="Z165" s="633"/>
      <c r="AA165" s="625"/>
      <c r="AB165" s="632"/>
      <c r="AC165" s="611"/>
      <c r="AD165" s="2035"/>
      <c r="AE165" s="1019"/>
    </row>
    <row r="166" spans="1:31" ht="18" customHeight="1">
      <c r="A166" s="5504"/>
      <c r="B166" s="5487"/>
      <c r="C166" s="4629"/>
      <c r="D166" s="4629"/>
      <c r="E166" s="4629"/>
      <c r="F166" s="4629"/>
      <c r="G166" s="4629"/>
      <c r="H166" s="4629"/>
      <c r="I166" s="4629"/>
      <c r="J166" s="5531"/>
      <c r="K166" s="5531"/>
      <c r="L166" s="4629"/>
      <c r="M166" s="4629"/>
      <c r="N166" s="5531"/>
      <c r="O166" s="5548"/>
      <c r="P166" s="5515"/>
      <c r="Q166" s="5515"/>
      <c r="R166" s="1051"/>
      <c r="S166" s="677"/>
      <c r="T166" s="461"/>
      <c r="U166" s="1066"/>
      <c r="V166" s="624"/>
      <c r="W166" s="624"/>
      <c r="X166" s="627"/>
      <c r="Y166" s="627"/>
      <c r="Z166" s="627"/>
      <c r="AA166" s="628"/>
      <c r="AB166" s="624"/>
      <c r="AC166" s="624"/>
      <c r="AD166" s="624"/>
      <c r="AE166" s="1019"/>
    </row>
    <row r="167" spans="1:31" ht="39" customHeight="1">
      <c r="A167" s="5504"/>
      <c r="B167" s="5487"/>
      <c r="C167" s="4629"/>
      <c r="D167" s="4629"/>
      <c r="E167" s="4629"/>
      <c r="F167" s="4629"/>
      <c r="G167" s="4629"/>
      <c r="H167" s="4629"/>
      <c r="I167" s="4629"/>
      <c r="J167" s="5531"/>
      <c r="K167" s="5531"/>
      <c r="L167" s="4629"/>
      <c r="M167" s="4629"/>
      <c r="N167" s="5531"/>
      <c r="O167" s="5548"/>
      <c r="P167" s="5515"/>
      <c r="Q167" s="5515"/>
      <c r="R167" s="1013"/>
      <c r="S167" s="2068"/>
      <c r="T167" s="461"/>
      <c r="U167" s="1067"/>
      <c r="V167" s="624"/>
      <c r="W167" s="624"/>
      <c r="X167" s="627"/>
      <c r="Y167" s="627"/>
      <c r="Z167" s="627"/>
      <c r="AA167" s="628"/>
      <c r="AB167" s="624"/>
      <c r="AC167" s="624"/>
      <c r="AD167" s="624"/>
      <c r="AE167" s="1019"/>
    </row>
    <row r="168" spans="1:31" ht="48" customHeight="1">
      <c r="A168" s="5504"/>
      <c r="B168" s="5487"/>
      <c r="C168" s="4629"/>
      <c r="D168" s="4629"/>
      <c r="E168" s="4629"/>
      <c r="F168" s="4629"/>
      <c r="G168" s="4629"/>
      <c r="H168" s="4629"/>
      <c r="I168" s="4629"/>
      <c r="J168" s="5531"/>
      <c r="K168" s="5531"/>
      <c r="L168" s="4629"/>
      <c r="M168" s="4629"/>
      <c r="N168" s="5531"/>
      <c r="O168" s="5548"/>
      <c r="P168" s="5515"/>
      <c r="Q168" s="5515"/>
      <c r="R168" s="1051"/>
      <c r="S168" s="677"/>
      <c r="T168" s="1068"/>
      <c r="U168" s="896"/>
      <c r="V168" s="1069"/>
      <c r="W168" s="1070"/>
      <c r="X168" s="627"/>
      <c r="Y168" s="627"/>
      <c r="Z168" s="627"/>
      <c r="AA168" s="628"/>
      <c r="AB168" s="624"/>
      <c r="AC168" s="624"/>
      <c r="AD168" s="624"/>
      <c r="AE168" s="1019"/>
    </row>
    <row r="169" spans="1:31" ht="60.75" customHeight="1">
      <c r="A169" s="5504"/>
      <c r="B169" s="5487"/>
      <c r="C169" s="4629"/>
      <c r="D169" s="4629"/>
      <c r="E169" s="4629"/>
      <c r="F169" s="4629"/>
      <c r="G169" s="4629"/>
      <c r="H169" s="4629"/>
      <c r="I169" s="4629"/>
      <c r="J169" s="5531"/>
      <c r="K169" s="5531"/>
      <c r="L169" s="4629"/>
      <c r="M169" s="4629"/>
      <c r="N169" s="5531"/>
      <c r="O169" s="5548"/>
      <c r="P169" s="5515"/>
      <c r="Q169" s="5515"/>
      <c r="R169" s="1051"/>
      <c r="S169" s="677"/>
      <c r="T169" s="1068"/>
      <c r="U169" s="896"/>
      <c r="V169" s="1069"/>
      <c r="W169" s="1070"/>
      <c r="X169" s="627"/>
      <c r="Y169" s="627"/>
      <c r="Z169" s="627"/>
      <c r="AA169" s="628"/>
      <c r="AB169" s="624"/>
      <c r="AC169" s="624"/>
      <c r="AD169" s="624"/>
      <c r="AE169" s="1019"/>
    </row>
    <row r="170" spans="1:31" ht="53.25" customHeight="1">
      <c r="A170" s="5504"/>
      <c r="B170" s="5487"/>
      <c r="C170" s="4629"/>
      <c r="D170" s="4629"/>
      <c r="E170" s="4629"/>
      <c r="F170" s="4629"/>
      <c r="G170" s="4629"/>
      <c r="H170" s="4629"/>
      <c r="I170" s="4629"/>
      <c r="J170" s="5531"/>
      <c r="K170" s="5531"/>
      <c r="L170" s="4629"/>
      <c r="M170" s="4629"/>
      <c r="N170" s="5531"/>
      <c r="O170" s="5548"/>
      <c r="P170" s="5515"/>
      <c r="Q170" s="5515"/>
      <c r="R170" s="1051"/>
      <c r="S170" s="677"/>
      <c r="T170" s="1071"/>
      <c r="U170" s="1072"/>
      <c r="V170" s="1070"/>
      <c r="W170" s="1070"/>
      <c r="X170" s="627"/>
      <c r="Y170" s="627"/>
      <c r="Z170" s="627"/>
      <c r="AA170" s="628"/>
      <c r="AB170" s="624"/>
      <c r="AC170" s="624"/>
      <c r="AD170" s="624"/>
      <c r="AE170" s="1019"/>
    </row>
    <row r="171" spans="1:31" ht="24.75" customHeight="1">
      <c r="A171" s="5504"/>
      <c r="B171" s="5487"/>
      <c r="C171" s="4629"/>
      <c r="D171" s="4629"/>
      <c r="E171" s="4629"/>
      <c r="F171" s="4629"/>
      <c r="G171" s="4629"/>
      <c r="H171" s="4629"/>
      <c r="I171" s="4629"/>
      <c r="J171" s="5531"/>
      <c r="K171" s="5531"/>
      <c r="L171" s="4629"/>
      <c r="M171" s="4629"/>
      <c r="N171" s="5531"/>
      <c r="O171" s="5548"/>
      <c r="P171" s="5515"/>
      <c r="Q171" s="5515"/>
      <c r="R171" s="1051"/>
      <c r="S171" s="677"/>
      <c r="T171" s="1071"/>
      <c r="U171" s="1072"/>
      <c r="V171" s="624"/>
      <c r="W171" s="1070"/>
      <c r="X171" s="627"/>
      <c r="Y171" s="627"/>
      <c r="Z171" s="627"/>
      <c r="AA171" s="628"/>
      <c r="AB171" s="624"/>
      <c r="AC171" s="624"/>
      <c r="AD171" s="624"/>
      <c r="AE171" s="1019"/>
    </row>
    <row r="172" spans="1:31" ht="51.75" customHeight="1">
      <c r="A172" s="5504"/>
      <c r="B172" s="5487"/>
      <c r="C172" s="4629"/>
      <c r="D172" s="4629"/>
      <c r="E172" s="4629"/>
      <c r="F172" s="4629"/>
      <c r="G172" s="4629"/>
      <c r="H172" s="4629"/>
      <c r="I172" s="4629"/>
      <c r="J172" s="5531"/>
      <c r="K172" s="5531"/>
      <c r="L172" s="4629"/>
      <c r="M172" s="4629"/>
      <c r="N172" s="5531"/>
      <c r="O172" s="5548"/>
      <c r="P172" s="5515"/>
      <c r="Q172" s="5515"/>
      <c r="R172" s="1051"/>
      <c r="S172" s="677"/>
      <c r="T172" s="1073"/>
      <c r="U172" s="1072"/>
      <c r="V172" s="1069"/>
      <c r="W172" s="1070"/>
      <c r="X172" s="627"/>
      <c r="Y172" s="627"/>
      <c r="Z172" s="627"/>
      <c r="AA172" s="628"/>
      <c r="AB172" s="624"/>
      <c r="AC172" s="624"/>
      <c r="AD172" s="624"/>
      <c r="AE172" s="1019"/>
    </row>
    <row r="173" spans="1:31" ht="37.5" customHeight="1">
      <c r="A173" s="5504"/>
      <c r="B173" s="5487"/>
      <c r="C173" s="4629"/>
      <c r="D173" s="4629"/>
      <c r="E173" s="4629"/>
      <c r="F173" s="4629"/>
      <c r="G173" s="4629"/>
      <c r="H173" s="4629"/>
      <c r="I173" s="4629"/>
      <c r="J173" s="5531"/>
      <c r="K173" s="5531"/>
      <c r="L173" s="4629"/>
      <c r="M173" s="4629"/>
      <c r="N173" s="5531"/>
      <c r="O173" s="5548"/>
      <c r="P173" s="5515"/>
      <c r="Q173" s="5515"/>
      <c r="R173" s="1051"/>
      <c r="S173" s="677"/>
      <c r="T173" s="1068"/>
      <c r="U173" s="896"/>
      <c r="V173" s="1074"/>
      <c r="W173" s="1070"/>
      <c r="X173" s="627"/>
      <c r="Y173" s="627"/>
      <c r="Z173" s="627"/>
      <c r="AA173" s="628"/>
      <c r="AB173" s="624"/>
      <c r="AC173" s="624"/>
      <c r="AD173" s="624"/>
      <c r="AE173" s="1019"/>
    </row>
    <row r="174" spans="1:31" ht="24.75" customHeight="1">
      <c r="A174" s="5504"/>
      <c r="B174" s="5487"/>
      <c r="C174" s="4629"/>
      <c r="D174" s="4629"/>
      <c r="E174" s="4629"/>
      <c r="F174" s="4629"/>
      <c r="G174" s="4629"/>
      <c r="H174" s="4629"/>
      <c r="I174" s="4629"/>
      <c r="J174" s="5531"/>
      <c r="K174" s="5531"/>
      <c r="L174" s="4629"/>
      <c r="M174" s="4629"/>
      <c r="N174" s="5531"/>
      <c r="O174" s="5548"/>
      <c r="P174" s="5515"/>
      <c r="Q174" s="5515"/>
      <c r="R174" s="1051"/>
      <c r="S174" s="677"/>
      <c r="T174" s="1068"/>
      <c r="U174" s="643"/>
      <c r="V174" s="1069"/>
      <c r="W174" s="1070"/>
      <c r="X174" s="627"/>
      <c r="Y174" s="627"/>
      <c r="Z174" s="627"/>
      <c r="AA174" s="628"/>
      <c r="AB174" s="624"/>
      <c r="AC174" s="624"/>
      <c r="AD174" s="624"/>
      <c r="AE174" s="1019"/>
    </row>
    <row r="175" spans="1:31" ht="24.75" customHeight="1">
      <c r="A175" s="5504"/>
      <c r="B175" s="5487"/>
      <c r="C175" s="4629"/>
      <c r="D175" s="4629"/>
      <c r="E175" s="4629"/>
      <c r="F175" s="4629"/>
      <c r="G175" s="4629"/>
      <c r="H175" s="4629"/>
      <c r="I175" s="4629"/>
      <c r="J175" s="5531"/>
      <c r="K175" s="5531"/>
      <c r="L175" s="4629"/>
      <c r="M175" s="4629"/>
      <c r="N175" s="5531"/>
      <c r="O175" s="5548"/>
      <c r="P175" s="5515"/>
      <c r="Q175" s="5515"/>
      <c r="R175" s="1051"/>
      <c r="S175" s="677"/>
      <c r="T175" s="1068"/>
      <c r="U175" s="643"/>
      <c r="V175" s="1069"/>
      <c r="W175" s="1070"/>
      <c r="X175" s="627"/>
      <c r="Y175" s="627"/>
      <c r="Z175" s="627"/>
      <c r="AA175" s="628"/>
      <c r="AB175" s="624"/>
      <c r="AC175" s="624"/>
      <c r="AD175" s="624"/>
      <c r="AE175" s="1019"/>
    </row>
    <row r="176" spans="1:31" ht="48" customHeight="1">
      <c r="A176" s="5504"/>
      <c r="B176" s="5487"/>
      <c r="C176" s="4629"/>
      <c r="D176" s="4629"/>
      <c r="E176" s="4629"/>
      <c r="F176" s="4629"/>
      <c r="G176" s="4629"/>
      <c r="H176" s="4629"/>
      <c r="I176" s="4629"/>
      <c r="J176" s="5531"/>
      <c r="K176" s="5531"/>
      <c r="L176" s="4629"/>
      <c r="M176" s="4629"/>
      <c r="N176" s="5531"/>
      <c r="O176" s="5548"/>
      <c r="P176" s="5515"/>
      <c r="Q176" s="5515"/>
      <c r="R176" s="1034"/>
      <c r="S176" s="677"/>
      <c r="T176" s="1057"/>
      <c r="U176" s="1058"/>
      <c r="V176" s="624"/>
      <c r="W176" s="624"/>
      <c r="X176" s="627"/>
      <c r="Y176" s="627"/>
      <c r="Z176" s="627"/>
      <c r="AA176" s="628"/>
      <c r="AB176" s="624"/>
      <c r="AC176" s="615"/>
      <c r="AD176" s="615"/>
      <c r="AE176" s="1019"/>
    </row>
    <row r="177" spans="1:31" ht="24.75" customHeight="1">
      <c r="A177" s="5504"/>
      <c r="B177" s="5487"/>
      <c r="C177" s="4629"/>
      <c r="D177" s="4629"/>
      <c r="E177" s="4629"/>
      <c r="F177" s="4629"/>
      <c r="G177" s="4629"/>
      <c r="H177" s="4629"/>
      <c r="I177" s="4629"/>
      <c r="J177" s="5531"/>
      <c r="K177" s="5531"/>
      <c r="L177" s="4629"/>
      <c r="M177" s="4629"/>
      <c r="N177" s="5531"/>
      <c r="O177" s="5548"/>
      <c r="P177" s="5515"/>
      <c r="Q177" s="5515"/>
      <c r="R177" s="1034"/>
      <c r="S177" s="677"/>
      <c r="T177" s="1059"/>
      <c r="U177" s="643"/>
      <c r="V177" s="624"/>
      <c r="W177" s="624"/>
      <c r="X177" s="627"/>
      <c r="Y177" s="627"/>
      <c r="Z177" s="627"/>
      <c r="AA177" s="628"/>
      <c r="AB177" s="624"/>
      <c r="AC177" s="624"/>
      <c r="AD177" s="624"/>
      <c r="AE177" s="1019"/>
    </row>
    <row r="178" spans="1:31" ht="24.75" customHeight="1">
      <c r="A178" s="5504"/>
      <c r="B178" s="5487"/>
      <c r="C178" s="4629"/>
      <c r="D178" s="4629"/>
      <c r="E178" s="4629"/>
      <c r="F178" s="4629"/>
      <c r="G178" s="4629"/>
      <c r="H178" s="4629"/>
      <c r="I178" s="4629"/>
      <c r="J178" s="5531"/>
      <c r="K178" s="5531"/>
      <c r="L178" s="4629"/>
      <c r="M178" s="4629"/>
      <c r="N178" s="5531"/>
      <c r="O178" s="5548"/>
      <c r="P178" s="5515"/>
      <c r="Q178" s="5515"/>
      <c r="R178" s="1034"/>
      <c r="S178" s="677"/>
      <c r="T178" s="1059"/>
      <c r="U178" s="643"/>
      <c r="V178" s="624"/>
      <c r="W178" s="624"/>
      <c r="X178" s="627"/>
      <c r="Y178" s="627"/>
      <c r="Z178" s="627"/>
      <c r="AA178" s="628"/>
      <c r="AB178" s="624"/>
      <c r="AC178" s="624"/>
      <c r="AD178" s="624"/>
      <c r="AE178" s="1019"/>
    </row>
    <row r="179" spans="1:31" ht="24.75" customHeight="1">
      <c r="A179" s="5504"/>
      <c r="B179" s="5487"/>
      <c r="C179" s="4629"/>
      <c r="D179" s="4629"/>
      <c r="E179" s="4629"/>
      <c r="F179" s="4629"/>
      <c r="G179" s="4629"/>
      <c r="H179" s="4629"/>
      <c r="I179" s="4629"/>
      <c r="J179" s="5531"/>
      <c r="K179" s="5531"/>
      <c r="L179" s="4629"/>
      <c r="M179" s="4629"/>
      <c r="N179" s="5531"/>
      <c r="O179" s="5548"/>
      <c r="P179" s="5515"/>
      <c r="Q179" s="5515"/>
      <c r="R179" s="1034"/>
      <c r="S179" s="461"/>
      <c r="T179" s="1059"/>
      <c r="U179" s="635"/>
      <c r="V179" s="624"/>
      <c r="W179" s="624"/>
      <c r="X179" s="627"/>
      <c r="Y179" s="627"/>
      <c r="Z179" s="627"/>
      <c r="AA179" s="628"/>
      <c r="AB179" s="624"/>
      <c r="AC179" s="624"/>
      <c r="AD179" s="624"/>
      <c r="AE179" s="1019"/>
    </row>
    <row r="180" spans="1:31" ht="24.75" customHeight="1">
      <c r="A180" s="5504"/>
      <c r="B180" s="5487"/>
      <c r="C180" s="4629"/>
      <c r="D180" s="4629"/>
      <c r="E180" s="4629"/>
      <c r="F180" s="4629"/>
      <c r="G180" s="4629"/>
      <c r="H180" s="4629"/>
      <c r="I180" s="4629"/>
      <c r="J180" s="5531"/>
      <c r="K180" s="5531"/>
      <c r="L180" s="4629"/>
      <c r="M180" s="4629"/>
      <c r="N180" s="5531"/>
      <c r="O180" s="5548"/>
      <c r="P180" s="5515"/>
      <c r="Q180" s="5515"/>
      <c r="R180" s="1034"/>
      <c r="S180" s="677"/>
      <c r="T180" s="677"/>
      <c r="U180" s="643"/>
      <c r="V180" s="624"/>
      <c r="W180" s="624"/>
      <c r="X180" s="627"/>
      <c r="Y180" s="627"/>
      <c r="Z180" s="627"/>
      <c r="AA180" s="628"/>
      <c r="AB180" s="624"/>
      <c r="AC180" s="624"/>
      <c r="AD180" s="624"/>
      <c r="AE180" s="1019"/>
    </row>
    <row r="181" spans="1:31" ht="42" customHeight="1">
      <c r="A181" s="5504"/>
      <c r="B181" s="5487"/>
      <c r="C181" s="4629"/>
      <c r="D181" s="4629"/>
      <c r="E181" s="4629"/>
      <c r="F181" s="4629"/>
      <c r="G181" s="4629"/>
      <c r="H181" s="4629"/>
      <c r="I181" s="4629"/>
      <c r="J181" s="5531"/>
      <c r="K181" s="5531"/>
      <c r="L181" s="4630"/>
      <c r="M181" s="4630"/>
      <c r="N181" s="5532"/>
      <c r="O181" s="5549"/>
      <c r="P181" s="5510"/>
      <c r="Q181" s="5510"/>
      <c r="R181" s="1034"/>
      <c r="S181" s="461"/>
      <c r="T181" s="1059"/>
      <c r="U181" s="643"/>
      <c r="V181" s="624"/>
      <c r="W181" s="624"/>
      <c r="X181" s="627"/>
      <c r="Y181" s="627"/>
      <c r="Z181" s="627"/>
      <c r="AA181" s="628"/>
      <c r="AB181" s="624"/>
      <c r="AC181" s="624"/>
      <c r="AD181" s="624"/>
      <c r="AE181" s="1019"/>
    </row>
    <row r="182" spans="1:31" ht="54.75" customHeight="1">
      <c r="A182" s="5504"/>
      <c r="B182" s="5487"/>
      <c r="C182" s="4629"/>
      <c r="D182" s="4629"/>
      <c r="E182" s="4629"/>
      <c r="F182" s="4629"/>
      <c r="G182" s="4629"/>
      <c r="H182" s="4629"/>
      <c r="I182" s="4629"/>
      <c r="J182" s="5531"/>
      <c r="K182" s="5531"/>
      <c r="L182" s="5497">
        <v>10</v>
      </c>
      <c r="M182" s="5497">
        <v>15</v>
      </c>
      <c r="N182" s="5497">
        <v>15</v>
      </c>
      <c r="O182" s="5550" t="s">
        <v>2537</v>
      </c>
      <c r="P182" s="5514" t="s">
        <v>2541</v>
      </c>
      <c r="Q182" s="5509" t="s">
        <v>2542</v>
      </c>
      <c r="R182" s="2071"/>
      <c r="S182" s="2086"/>
      <c r="T182" s="2067"/>
      <c r="U182" s="1043"/>
      <c r="V182" s="1044"/>
      <c r="W182" s="1044"/>
      <c r="X182" s="1045"/>
      <c r="Y182" s="1045"/>
      <c r="Z182" s="1045"/>
      <c r="AA182" s="1046"/>
      <c r="AB182" s="1044"/>
      <c r="AC182" s="2035"/>
      <c r="AD182" s="2035"/>
      <c r="AE182" s="1019"/>
    </row>
    <row r="183" spans="1:31" ht="25.5" customHeight="1">
      <c r="A183" s="5504"/>
      <c r="B183" s="5487"/>
      <c r="C183" s="4629"/>
      <c r="D183" s="4629"/>
      <c r="E183" s="4629"/>
      <c r="F183" s="4629"/>
      <c r="G183" s="4629"/>
      <c r="H183" s="4629"/>
      <c r="I183" s="4629"/>
      <c r="J183" s="5531"/>
      <c r="K183" s="5531"/>
      <c r="L183" s="4629"/>
      <c r="M183" s="4629"/>
      <c r="N183" s="4629"/>
      <c r="O183" s="5507"/>
      <c r="P183" s="5515"/>
      <c r="Q183" s="5515"/>
      <c r="R183" s="1075"/>
      <c r="S183" s="461"/>
      <c r="T183" s="461"/>
      <c r="U183" s="295"/>
      <c r="V183" s="624"/>
      <c r="W183" s="624"/>
      <c r="X183" s="627"/>
      <c r="Y183" s="627"/>
      <c r="Z183" s="627"/>
      <c r="AA183" s="628"/>
      <c r="AB183" s="624"/>
      <c r="AC183" s="624"/>
      <c r="AD183" s="624"/>
      <c r="AE183" s="1019"/>
    </row>
    <row r="184" spans="1:31" ht="33" customHeight="1">
      <c r="A184" s="5504"/>
      <c r="B184" s="5487"/>
      <c r="C184" s="4629"/>
      <c r="D184" s="4629"/>
      <c r="E184" s="4629"/>
      <c r="F184" s="4629"/>
      <c r="G184" s="4629"/>
      <c r="H184" s="4629"/>
      <c r="I184" s="4629"/>
      <c r="J184" s="5531"/>
      <c r="K184" s="5531"/>
      <c r="L184" s="4629"/>
      <c r="M184" s="4629"/>
      <c r="N184" s="4629"/>
      <c r="O184" s="5507"/>
      <c r="P184" s="5515"/>
      <c r="Q184" s="5515"/>
      <c r="R184" s="2071"/>
      <c r="S184" s="296"/>
      <c r="T184" s="1076"/>
      <c r="U184" s="1058"/>
      <c r="V184" s="624"/>
      <c r="W184" s="624"/>
      <c r="X184" s="627"/>
      <c r="Y184" s="627"/>
      <c r="Z184" s="627"/>
      <c r="AA184" s="628"/>
      <c r="AB184" s="624"/>
      <c r="AC184" s="615"/>
      <c r="AD184" s="615"/>
      <c r="AE184" s="1019"/>
    </row>
    <row r="185" spans="1:31" ht="33" customHeight="1">
      <c r="A185" s="5504"/>
      <c r="B185" s="5487"/>
      <c r="C185" s="4629"/>
      <c r="D185" s="4629"/>
      <c r="E185" s="4629"/>
      <c r="F185" s="4629"/>
      <c r="G185" s="4629"/>
      <c r="H185" s="4629"/>
      <c r="I185" s="4629"/>
      <c r="J185" s="5531"/>
      <c r="K185" s="5531"/>
      <c r="L185" s="4629"/>
      <c r="M185" s="4629"/>
      <c r="N185" s="4629"/>
      <c r="O185" s="5507"/>
      <c r="P185" s="5515"/>
      <c r="Q185" s="5515"/>
      <c r="R185" s="2071"/>
      <c r="S185" s="1048"/>
      <c r="T185" s="1077"/>
      <c r="U185" s="643"/>
      <c r="V185" s="624"/>
      <c r="W185" s="624"/>
      <c r="X185" s="627"/>
      <c r="Y185" s="627"/>
      <c r="Z185" s="627"/>
      <c r="AA185" s="628"/>
      <c r="AB185" s="624"/>
      <c r="AC185" s="624"/>
      <c r="AD185" s="624"/>
      <c r="AE185" s="1019"/>
    </row>
    <row r="186" spans="1:31" ht="33" customHeight="1">
      <c r="A186" s="5504"/>
      <c r="B186" s="5487"/>
      <c r="C186" s="4629"/>
      <c r="D186" s="4629"/>
      <c r="E186" s="4629"/>
      <c r="F186" s="4629"/>
      <c r="G186" s="4629"/>
      <c r="H186" s="4629"/>
      <c r="I186" s="4629"/>
      <c r="J186" s="5531"/>
      <c r="K186" s="5531"/>
      <c r="L186" s="4629"/>
      <c r="M186" s="4629"/>
      <c r="N186" s="4629"/>
      <c r="O186" s="5507"/>
      <c r="P186" s="5515"/>
      <c r="Q186" s="5515"/>
      <c r="R186" s="2071"/>
      <c r="S186" s="1048"/>
      <c r="T186" s="1077"/>
      <c r="U186" s="643"/>
      <c r="V186" s="624"/>
      <c r="W186" s="624"/>
      <c r="X186" s="627"/>
      <c r="Y186" s="627"/>
      <c r="Z186" s="627"/>
      <c r="AA186" s="628"/>
      <c r="AB186" s="624"/>
      <c r="AC186" s="624"/>
      <c r="AD186" s="624"/>
      <c r="AE186" s="1019"/>
    </row>
    <row r="187" spans="1:31" ht="33" customHeight="1">
      <c r="A187" s="5504"/>
      <c r="B187" s="5487"/>
      <c r="C187" s="4629"/>
      <c r="D187" s="4629"/>
      <c r="E187" s="4629"/>
      <c r="F187" s="4629"/>
      <c r="G187" s="4629"/>
      <c r="H187" s="4629"/>
      <c r="I187" s="4629"/>
      <c r="J187" s="5531"/>
      <c r="K187" s="5531"/>
      <c r="L187" s="4629"/>
      <c r="M187" s="4629"/>
      <c r="N187" s="4629"/>
      <c r="O187" s="5507"/>
      <c r="P187" s="5515"/>
      <c r="Q187" s="5515"/>
      <c r="R187" s="2071"/>
      <c r="S187" s="641"/>
      <c r="T187" s="1077"/>
      <c r="U187" s="635"/>
      <c r="V187" s="624"/>
      <c r="W187" s="624"/>
      <c r="X187" s="627"/>
      <c r="Y187" s="627"/>
      <c r="Z187" s="627"/>
      <c r="AA187" s="628"/>
      <c r="AB187" s="624"/>
      <c r="AC187" s="624"/>
      <c r="AD187" s="624"/>
      <c r="AE187" s="1019"/>
    </row>
    <row r="188" spans="1:31" ht="39" customHeight="1">
      <c r="A188" s="5504"/>
      <c r="B188" s="5487"/>
      <c r="C188" s="4629"/>
      <c r="D188" s="4629"/>
      <c r="E188" s="4629"/>
      <c r="F188" s="4629"/>
      <c r="G188" s="4629"/>
      <c r="H188" s="4629"/>
      <c r="I188" s="4629"/>
      <c r="J188" s="5531"/>
      <c r="K188" s="5531"/>
      <c r="L188" s="4630"/>
      <c r="M188" s="4630"/>
      <c r="N188" s="4630"/>
      <c r="O188" s="5508"/>
      <c r="P188" s="5510"/>
      <c r="Q188" s="5510"/>
      <c r="R188" s="2087"/>
      <c r="S188" s="639"/>
      <c r="T188" s="1078"/>
      <c r="U188" s="640"/>
      <c r="V188" s="636"/>
      <c r="W188" s="636"/>
      <c r="X188" s="637"/>
      <c r="Y188" s="637"/>
      <c r="Z188" s="637"/>
      <c r="AA188" s="638"/>
      <c r="AB188" s="624"/>
      <c r="AC188" s="624"/>
      <c r="AD188" s="624"/>
      <c r="AE188" s="1019"/>
    </row>
    <row r="189" spans="1:31" ht="79.5" customHeight="1">
      <c r="A189" s="5504"/>
      <c r="B189" s="5487"/>
      <c r="C189" s="4629"/>
      <c r="D189" s="4629"/>
      <c r="E189" s="4629"/>
      <c r="F189" s="4629"/>
      <c r="G189" s="4629"/>
      <c r="H189" s="4629"/>
      <c r="I189" s="4629"/>
      <c r="J189" s="5531"/>
      <c r="K189" s="5531"/>
      <c r="L189" s="5533">
        <v>8</v>
      </c>
      <c r="M189" s="5533">
        <v>20</v>
      </c>
      <c r="N189" s="5533">
        <v>12</v>
      </c>
      <c r="O189" s="5514" t="s">
        <v>2543</v>
      </c>
      <c r="P189" s="5514" t="s">
        <v>2544</v>
      </c>
      <c r="Q189" s="5509" t="s">
        <v>2545</v>
      </c>
      <c r="R189" s="1079"/>
      <c r="S189" s="1042"/>
      <c r="T189" s="2088"/>
      <c r="U189" s="1043"/>
      <c r="V189" s="1044"/>
      <c r="W189" s="1044"/>
      <c r="X189" s="1045"/>
      <c r="Y189" s="1045"/>
      <c r="Z189" s="1045"/>
      <c r="AA189" s="1046"/>
      <c r="AB189" s="1044"/>
      <c r="AC189" s="611"/>
      <c r="AD189" s="611"/>
      <c r="AE189" s="1019"/>
    </row>
    <row r="190" spans="1:31" ht="51" customHeight="1">
      <c r="A190" s="5504"/>
      <c r="B190" s="5487"/>
      <c r="C190" s="4629"/>
      <c r="D190" s="4629"/>
      <c r="E190" s="4629"/>
      <c r="F190" s="4629"/>
      <c r="G190" s="4629"/>
      <c r="H190" s="4629"/>
      <c r="I190" s="4629"/>
      <c r="J190" s="5531"/>
      <c r="K190" s="5531"/>
      <c r="L190" s="5515"/>
      <c r="M190" s="5515"/>
      <c r="N190" s="5515"/>
      <c r="O190" s="5515"/>
      <c r="P190" s="5515"/>
      <c r="Q190" s="5515"/>
      <c r="R190" s="2071"/>
      <c r="S190" s="641"/>
      <c r="T190" s="1080"/>
      <c r="U190" s="1027"/>
      <c r="V190" s="624"/>
      <c r="W190" s="624"/>
      <c r="X190" s="627"/>
      <c r="Y190" s="627"/>
      <c r="Z190" s="627"/>
      <c r="AA190" s="628"/>
      <c r="AB190" s="624"/>
      <c r="AC190" s="615"/>
      <c r="AD190" s="615"/>
      <c r="AE190" s="1019"/>
    </row>
    <row r="191" spans="1:31" ht="54.75" customHeight="1">
      <c r="A191" s="5504"/>
      <c r="B191" s="5487"/>
      <c r="C191" s="4629"/>
      <c r="D191" s="4629"/>
      <c r="E191" s="4629"/>
      <c r="F191" s="4629"/>
      <c r="G191" s="4629"/>
      <c r="H191" s="4629"/>
      <c r="I191" s="4629"/>
      <c r="J191" s="5531"/>
      <c r="K191" s="5531"/>
      <c r="L191" s="5515"/>
      <c r="M191" s="5515"/>
      <c r="N191" s="5515"/>
      <c r="O191" s="5515"/>
      <c r="P191" s="5515"/>
      <c r="Q191" s="5515"/>
      <c r="R191" s="2071"/>
      <c r="S191" s="641"/>
      <c r="T191" s="1080"/>
      <c r="U191" s="1027"/>
      <c r="V191" s="624"/>
      <c r="W191" s="624"/>
      <c r="X191" s="627"/>
      <c r="Y191" s="627"/>
      <c r="Z191" s="627"/>
      <c r="AA191" s="628"/>
      <c r="AB191" s="624"/>
      <c r="AC191" s="615"/>
      <c r="AD191" s="615"/>
      <c r="AE191" s="1019"/>
    </row>
    <row r="192" spans="1:31" ht="22.5" customHeight="1">
      <c r="A192" s="5504"/>
      <c r="B192" s="5487"/>
      <c r="C192" s="4629"/>
      <c r="D192" s="4629"/>
      <c r="E192" s="4629"/>
      <c r="F192" s="4629"/>
      <c r="G192" s="4629"/>
      <c r="H192" s="4629"/>
      <c r="I192" s="4629"/>
      <c r="J192" s="5531"/>
      <c r="K192" s="5531"/>
      <c r="L192" s="5515"/>
      <c r="M192" s="5515"/>
      <c r="N192" s="5515"/>
      <c r="O192" s="5515"/>
      <c r="P192" s="5515"/>
      <c r="Q192" s="5515"/>
      <c r="R192" s="2071"/>
      <c r="S192" s="641"/>
      <c r="T192" s="1080"/>
      <c r="U192" s="1027"/>
      <c r="V192" s="624"/>
      <c r="W192" s="624"/>
      <c r="X192" s="627"/>
      <c r="Y192" s="627"/>
      <c r="Z192" s="627"/>
      <c r="AA192" s="628"/>
      <c r="AB192" s="624"/>
      <c r="AC192" s="615"/>
      <c r="AD192" s="615"/>
      <c r="AE192" s="1019"/>
    </row>
    <row r="193" spans="1:31" ht="30" customHeight="1">
      <c r="A193" s="5504"/>
      <c r="B193" s="5487"/>
      <c r="C193" s="4629"/>
      <c r="D193" s="4629"/>
      <c r="E193" s="4629"/>
      <c r="F193" s="4629"/>
      <c r="G193" s="4629"/>
      <c r="H193" s="4629"/>
      <c r="I193" s="4629"/>
      <c r="J193" s="5531"/>
      <c r="K193" s="5531"/>
      <c r="L193" s="5515"/>
      <c r="M193" s="5515"/>
      <c r="N193" s="5515"/>
      <c r="O193" s="5515"/>
      <c r="P193" s="5515"/>
      <c r="Q193" s="5515"/>
      <c r="R193" s="2071"/>
      <c r="S193" s="641"/>
      <c r="T193" s="1080"/>
      <c r="U193" s="1027"/>
      <c r="V193" s="624"/>
      <c r="W193" s="624"/>
      <c r="X193" s="627"/>
      <c r="Y193" s="627"/>
      <c r="Z193" s="627"/>
      <c r="AA193" s="628"/>
      <c r="AB193" s="624"/>
      <c r="AC193" s="615"/>
      <c r="AD193" s="615"/>
      <c r="AE193" s="1019"/>
    </row>
    <row r="194" spans="1:31" ht="33.75" customHeight="1">
      <c r="A194" s="5504"/>
      <c r="B194" s="5487"/>
      <c r="C194" s="4629"/>
      <c r="D194" s="4629"/>
      <c r="E194" s="4629"/>
      <c r="F194" s="4629"/>
      <c r="G194" s="4629"/>
      <c r="H194" s="4629"/>
      <c r="I194" s="4629"/>
      <c r="J194" s="5531"/>
      <c r="K194" s="5531"/>
      <c r="L194" s="5515"/>
      <c r="M194" s="5515"/>
      <c r="N194" s="5515"/>
      <c r="O194" s="5515"/>
      <c r="P194" s="5515"/>
      <c r="Q194" s="5515"/>
      <c r="R194" s="2071"/>
      <c r="S194" s="641"/>
      <c r="T194" s="641"/>
      <c r="U194" s="1027"/>
      <c r="V194" s="624"/>
      <c r="W194" s="624"/>
      <c r="X194" s="627"/>
      <c r="Y194" s="627"/>
      <c r="Z194" s="627"/>
      <c r="AA194" s="628"/>
      <c r="AB194" s="624"/>
      <c r="AC194" s="615"/>
      <c r="AD194" s="615"/>
      <c r="AE194" s="1019"/>
    </row>
    <row r="195" spans="1:31" ht="16.5" customHeight="1">
      <c r="A195" s="5504"/>
      <c r="B195" s="5487"/>
      <c r="C195" s="4629"/>
      <c r="D195" s="4629"/>
      <c r="E195" s="4629"/>
      <c r="F195" s="4629"/>
      <c r="G195" s="4629"/>
      <c r="H195" s="4629"/>
      <c r="I195" s="4629"/>
      <c r="J195" s="5531"/>
      <c r="K195" s="5531"/>
      <c r="L195" s="5515"/>
      <c r="M195" s="5515"/>
      <c r="N195" s="5515"/>
      <c r="O195" s="5515"/>
      <c r="P195" s="5515"/>
      <c r="Q195" s="5515"/>
      <c r="R195" s="2071"/>
      <c r="S195" s="641"/>
      <c r="T195" s="641"/>
      <c r="U195" s="1027"/>
      <c r="V195" s="624"/>
      <c r="W195" s="624"/>
      <c r="X195" s="627"/>
      <c r="Y195" s="627"/>
      <c r="Z195" s="627"/>
      <c r="AA195" s="628"/>
      <c r="AB195" s="624"/>
      <c r="AC195" s="615"/>
      <c r="AD195" s="615"/>
      <c r="AE195" s="1019"/>
    </row>
    <row r="196" spans="1:31" ht="36.75" customHeight="1">
      <c r="A196" s="5504"/>
      <c r="B196" s="5487"/>
      <c r="C196" s="4629"/>
      <c r="D196" s="4629"/>
      <c r="E196" s="4629"/>
      <c r="F196" s="4629"/>
      <c r="G196" s="4629"/>
      <c r="H196" s="4629"/>
      <c r="I196" s="4629"/>
      <c r="J196" s="5531"/>
      <c r="K196" s="5531"/>
      <c r="L196" s="5515"/>
      <c r="M196" s="5515"/>
      <c r="N196" s="5515"/>
      <c r="O196" s="5515"/>
      <c r="P196" s="5515"/>
      <c r="Q196" s="5515"/>
      <c r="R196" s="2071"/>
      <c r="S196" s="641"/>
      <c r="T196" s="641"/>
      <c r="U196" s="1027"/>
      <c r="V196" s="624"/>
      <c r="W196" s="624"/>
      <c r="X196" s="627"/>
      <c r="Y196" s="627"/>
      <c r="Z196" s="627"/>
      <c r="AA196" s="628"/>
      <c r="AB196" s="624"/>
      <c r="AC196" s="615"/>
      <c r="AD196" s="615"/>
      <c r="AE196" s="1019"/>
    </row>
    <row r="197" spans="1:31" ht="16.5" customHeight="1">
      <c r="A197" s="5504"/>
      <c r="B197" s="5487"/>
      <c r="C197" s="4629"/>
      <c r="D197" s="4629"/>
      <c r="E197" s="4629"/>
      <c r="F197" s="4629"/>
      <c r="G197" s="4629"/>
      <c r="H197" s="4629"/>
      <c r="I197" s="4629"/>
      <c r="J197" s="5531"/>
      <c r="K197" s="5531"/>
      <c r="L197" s="5515"/>
      <c r="M197" s="5515"/>
      <c r="N197" s="5515"/>
      <c r="O197" s="5515"/>
      <c r="P197" s="5515"/>
      <c r="Q197" s="5515"/>
      <c r="R197" s="2071"/>
      <c r="S197" s="641"/>
      <c r="T197" s="641"/>
      <c r="U197" s="1027"/>
      <c r="V197" s="624"/>
      <c r="W197" s="624"/>
      <c r="X197" s="627"/>
      <c r="Y197" s="627"/>
      <c r="Z197" s="627"/>
      <c r="AA197" s="628"/>
      <c r="AB197" s="624"/>
      <c r="AC197" s="615"/>
      <c r="AD197" s="615"/>
      <c r="AE197" s="1019"/>
    </row>
    <row r="198" spans="1:31" ht="16.5" customHeight="1">
      <c r="A198" s="5504"/>
      <c r="B198" s="5487"/>
      <c r="C198" s="4629"/>
      <c r="D198" s="4629"/>
      <c r="E198" s="4629"/>
      <c r="F198" s="4629"/>
      <c r="G198" s="4629"/>
      <c r="H198" s="4629"/>
      <c r="I198" s="4629"/>
      <c r="J198" s="5531"/>
      <c r="K198" s="5531"/>
      <c r="L198" s="5515"/>
      <c r="M198" s="5515"/>
      <c r="N198" s="5515"/>
      <c r="O198" s="5515"/>
      <c r="P198" s="5515"/>
      <c r="Q198" s="5515"/>
      <c r="R198" s="2071"/>
      <c r="S198" s="641"/>
      <c r="T198" s="641"/>
      <c r="U198" s="1027"/>
      <c r="V198" s="624"/>
      <c r="W198" s="624"/>
      <c r="X198" s="627"/>
      <c r="Y198" s="627"/>
      <c r="Z198" s="627"/>
      <c r="AA198" s="628"/>
      <c r="AB198" s="624"/>
      <c r="AC198" s="615"/>
      <c r="AD198" s="615"/>
      <c r="AE198" s="1019"/>
    </row>
    <row r="199" spans="1:31" ht="16.5" customHeight="1">
      <c r="A199" s="5504"/>
      <c r="B199" s="5487"/>
      <c r="C199" s="4629"/>
      <c r="D199" s="4629"/>
      <c r="E199" s="4629"/>
      <c r="F199" s="4629"/>
      <c r="G199" s="4629"/>
      <c r="H199" s="4629"/>
      <c r="I199" s="4629"/>
      <c r="J199" s="5531"/>
      <c r="K199" s="5531"/>
      <c r="L199" s="5515"/>
      <c r="M199" s="5515"/>
      <c r="N199" s="5515"/>
      <c r="O199" s="5515"/>
      <c r="P199" s="5515"/>
      <c r="Q199" s="5515"/>
      <c r="R199" s="2071"/>
      <c r="S199" s="641"/>
      <c r="T199" s="641"/>
      <c r="U199" s="1027"/>
      <c r="V199" s="624"/>
      <c r="W199" s="624"/>
      <c r="X199" s="627"/>
      <c r="Y199" s="627"/>
      <c r="Z199" s="627"/>
      <c r="AA199" s="628"/>
      <c r="AB199" s="624"/>
      <c r="AC199" s="615"/>
      <c r="AD199" s="615"/>
      <c r="AE199" s="1019"/>
    </row>
    <row r="200" spans="1:31" ht="16.5" customHeight="1">
      <c r="A200" s="5504"/>
      <c r="B200" s="5487"/>
      <c r="C200" s="4629"/>
      <c r="D200" s="4629"/>
      <c r="E200" s="4629"/>
      <c r="F200" s="4629"/>
      <c r="G200" s="4629"/>
      <c r="H200" s="4629"/>
      <c r="I200" s="4629"/>
      <c r="J200" s="5531"/>
      <c r="K200" s="5531"/>
      <c r="L200" s="5515"/>
      <c r="M200" s="5515"/>
      <c r="N200" s="5515"/>
      <c r="O200" s="5515"/>
      <c r="P200" s="5515"/>
      <c r="Q200" s="5515"/>
      <c r="R200" s="2071"/>
      <c r="S200" s="641"/>
      <c r="T200" s="641"/>
      <c r="U200" s="1027"/>
      <c r="V200" s="624"/>
      <c r="W200" s="624"/>
      <c r="X200" s="627"/>
      <c r="Y200" s="627"/>
      <c r="Z200" s="627"/>
      <c r="AA200" s="628"/>
      <c r="AB200" s="624"/>
      <c r="AC200" s="615"/>
      <c r="AD200" s="615"/>
      <c r="AE200" s="1019"/>
    </row>
    <row r="201" spans="1:31" ht="16.5" customHeight="1">
      <c r="A201" s="5504"/>
      <c r="B201" s="5487"/>
      <c r="C201" s="4629"/>
      <c r="D201" s="4629"/>
      <c r="E201" s="4629"/>
      <c r="F201" s="4629"/>
      <c r="G201" s="4629"/>
      <c r="H201" s="4629"/>
      <c r="I201" s="4629"/>
      <c r="J201" s="5531"/>
      <c r="K201" s="5531"/>
      <c r="L201" s="5515"/>
      <c r="M201" s="5515"/>
      <c r="N201" s="5515"/>
      <c r="O201" s="5515"/>
      <c r="P201" s="5515"/>
      <c r="Q201" s="5515"/>
      <c r="R201" s="2071"/>
      <c r="S201" s="641"/>
      <c r="T201" s="641"/>
      <c r="U201" s="1027"/>
      <c r="V201" s="624"/>
      <c r="W201" s="624"/>
      <c r="X201" s="627"/>
      <c r="Y201" s="627"/>
      <c r="Z201" s="627"/>
      <c r="AA201" s="628"/>
      <c r="AB201" s="624"/>
      <c r="AC201" s="615"/>
      <c r="AD201" s="615"/>
      <c r="AE201" s="1019"/>
    </row>
    <row r="202" spans="1:31" ht="16.5" customHeight="1">
      <c r="A202" s="5504"/>
      <c r="B202" s="5487"/>
      <c r="C202" s="4629"/>
      <c r="D202" s="4629"/>
      <c r="E202" s="4629"/>
      <c r="F202" s="4629"/>
      <c r="G202" s="4629"/>
      <c r="H202" s="4629"/>
      <c r="I202" s="4629"/>
      <c r="J202" s="5531"/>
      <c r="K202" s="5531"/>
      <c r="L202" s="5515"/>
      <c r="M202" s="5515"/>
      <c r="N202" s="5515"/>
      <c r="O202" s="5515"/>
      <c r="P202" s="5515"/>
      <c r="Q202" s="5515"/>
      <c r="R202" s="2071"/>
      <c r="S202" s="641"/>
      <c r="T202" s="641"/>
      <c r="U202" s="1027"/>
      <c r="V202" s="624"/>
      <c r="W202" s="624"/>
      <c r="X202" s="627"/>
      <c r="Y202" s="627"/>
      <c r="Z202" s="627"/>
      <c r="AA202" s="628"/>
      <c r="AB202" s="624"/>
      <c r="AC202" s="615"/>
      <c r="AD202" s="615"/>
      <c r="AE202" s="1019"/>
    </row>
    <row r="203" spans="1:31" ht="16.5" customHeight="1">
      <c r="A203" s="5504"/>
      <c r="B203" s="5487"/>
      <c r="C203" s="4629"/>
      <c r="D203" s="4629"/>
      <c r="E203" s="4629"/>
      <c r="F203" s="4629"/>
      <c r="G203" s="4629"/>
      <c r="H203" s="4629"/>
      <c r="I203" s="4629"/>
      <c r="J203" s="5531"/>
      <c r="K203" s="5531"/>
      <c r="L203" s="5515"/>
      <c r="M203" s="5515"/>
      <c r="N203" s="5515"/>
      <c r="O203" s="5515"/>
      <c r="P203" s="5515"/>
      <c r="Q203" s="5515"/>
      <c r="R203" s="2071"/>
      <c r="S203" s="641"/>
      <c r="T203" s="1080"/>
      <c r="U203" s="1027"/>
      <c r="V203" s="624"/>
      <c r="W203" s="624"/>
      <c r="X203" s="627"/>
      <c r="Y203" s="627"/>
      <c r="Z203" s="627"/>
      <c r="AA203" s="628"/>
      <c r="AB203" s="624"/>
      <c r="AC203" s="615"/>
      <c r="AD203" s="615"/>
      <c r="AE203" s="1019"/>
    </row>
    <row r="204" spans="1:31" ht="16.5" customHeight="1">
      <c r="A204" s="5504"/>
      <c r="B204" s="5487"/>
      <c r="C204" s="4629"/>
      <c r="D204" s="4629"/>
      <c r="E204" s="4629"/>
      <c r="F204" s="4629"/>
      <c r="G204" s="4629"/>
      <c r="H204" s="4629"/>
      <c r="I204" s="4629"/>
      <c r="J204" s="5531"/>
      <c r="K204" s="5531"/>
      <c r="L204" s="5515"/>
      <c r="M204" s="5515"/>
      <c r="N204" s="5515"/>
      <c r="O204" s="5515"/>
      <c r="P204" s="5515"/>
      <c r="Q204" s="5515"/>
      <c r="R204" s="2071"/>
      <c r="S204" s="641"/>
      <c r="T204" s="1080"/>
      <c r="U204" s="1027"/>
      <c r="V204" s="624"/>
      <c r="W204" s="624"/>
      <c r="X204" s="627"/>
      <c r="Y204" s="627"/>
      <c r="Z204" s="627"/>
      <c r="AA204" s="628"/>
      <c r="AB204" s="624"/>
      <c r="AC204" s="615"/>
      <c r="AD204" s="615"/>
      <c r="AE204" s="1019"/>
    </row>
    <row r="205" spans="1:31" ht="16.5" customHeight="1">
      <c r="A205" s="5504"/>
      <c r="B205" s="5487"/>
      <c r="C205" s="4629"/>
      <c r="D205" s="4629"/>
      <c r="E205" s="4629"/>
      <c r="F205" s="4629"/>
      <c r="G205" s="4629"/>
      <c r="H205" s="4629"/>
      <c r="I205" s="4629"/>
      <c r="J205" s="5531"/>
      <c r="K205" s="5531"/>
      <c r="L205" s="5515"/>
      <c r="M205" s="5515"/>
      <c r="N205" s="5515"/>
      <c r="O205" s="5515"/>
      <c r="P205" s="5515"/>
      <c r="Q205" s="5515"/>
      <c r="R205" s="2071"/>
      <c r="S205" s="641"/>
      <c r="T205" s="1080"/>
      <c r="U205" s="1027"/>
      <c r="V205" s="624"/>
      <c r="W205" s="624"/>
      <c r="X205" s="627"/>
      <c r="Y205" s="627"/>
      <c r="Z205" s="627"/>
      <c r="AA205" s="628"/>
      <c r="AB205" s="624"/>
      <c r="AC205" s="615"/>
      <c r="AD205" s="615"/>
      <c r="AE205" s="1019"/>
    </row>
    <row r="206" spans="1:31" ht="33" customHeight="1">
      <c r="A206" s="5504"/>
      <c r="B206" s="5487"/>
      <c r="C206" s="4629"/>
      <c r="D206" s="4629"/>
      <c r="E206" s="4629"/>
      <c r="F206" s="4629"/>
      <c r="G206" s="4629"/>
      <c r="H206" s="4629"/>
      <c r="I206" s="4629"/>
      <c r="J206" s="5531"/>
      <c r="K206" s="5531"/>
      <c r="L206" s="5515"/>
      <c r="M206" s="5515"/>
      <c r="N206" s="5515"/>
      <c r="O206" s="5515"/>
      <c r="P206" s="5515"/>
      <c r="Q206" s="5515"/>
      <c r="R206" s="2071"/>
      <c r="S206" s="1048"/>
      <c r="T206" s="1080"/>
      <c r="U206" s="1067"/>
      <c r="V206" s="624"/>
      <c r="W206" s="624"/>
      <c r="X206" s="627"/>
      <c r="Y206" s="627"/>
      <c r="Z206" s="627"/>
      <c r="AA206" s="628"/>
      <c r="AB206" s="624"/>
      <c r="AC206" s="615"/>
      <c r="AD206" s="615"/>
      <c r="AE206" s="1019"/>
    </row>
    <row r="207" spans="1:31" ht="42" customHeight="1">
      <c r="A207" s="5504"/>
      <c r="B207" s="5487"/>
      <c r="C207" s="4629"/>
      <c r="D207" s="4629"/>
      <c r="E207" s="4629"/>
      <c r="F207" s="4629"/>
      <c r="G207" s="4629"/>
      <c r="H207" s="4629"/>
      <c r="I207" s="4629"/>
      <c r="J207" s="5531"/>
      <c r="K207" s="5531"/>
      <c r="L207" s="5515"/>
      <c r="M207" s="5515"/>
      <c r="N207" s="5515"/>
      <c r="O207" s="5515"/>
      <c r="P207" s="5515"/>
      <c r="Q207" s="5515"/>
      <c r="R207" s="2071"/>
      <c r="S207" s="641"/>
      <c r="T207" s="1080"/>
      <c r="U207" s="1027"/>
      <c r="V207" s="624"/>
      <c r="W207" s="624"/>
      <c r="X207" s="627"/>
      <c r="Y207" s="627"/>
      <c r="Z207" s="627"/>
      <c r="AA207" s="628"/>
      <c r="AB207" s="624"/>
      <c r="AC207" s="615"/>
      <c r="AD207" s="615"/>
      <c r="AE207" s="1019"/>
    </row>
    <row r="208" spans="1:31" ht="35.25" customHeight="1">
      <c r="A208" s="5504"/>
      <c r="B208" s="5487"/>
      <c r="C208" s="4629"/>
      <c r="D208" s="4629"/>
      <c r="E208" s="4629"/>
      <c r="F208" s="4629"/>
      <c r="G208" s="4629"/>
      <c r="H208" s="4629"/>
      <c r="I208" s="4629"/>
      <c r="J208" s="5531"/>
      <c r="K208" s="5531"/>
      <c r="L208" s="5515"/>
      <c r="M208" s="5515"/>
      <c r="N208" s="5515"/>
      <c r="O208" s="5515"/>
      <c r="P208" s="5515"/>
      <c r="Q208" s="5515"/>
      <c r="R208" s="1079"/>
      <c r="S208" s="1048"/>
      <c r="T208" s="1080"/>
      <c r="U208" s="1067"/>
      <c r="V208" s="624"/>
      <c r="W208" s="624"/>
      <c r="X208" s="627"/>
      <c r="Y208" s="627"/>
      <c r="Z208" s="627"/>
      <c r="AA208" s="628"/>
      <c r="AB208" s="624"/>
      <c r="AC208" s="615"/>
      <c r="AD208" s="615"/>
      <c r="AE208" s="1019"/>
    </row>
    <row r="209" spans="1:31" ht="25.5" customHeight="1">
      <c r="A209" s="5504"/>
      <c r="B209" s="5487"/>
      <c r="C209" s="4629"/>
      <c r="D209" s="4629"/>
      <c r="E209" s="4629"/>
      <c r="F209" s="4629"/>
      <c r="G209" s="4629"/>
      <c r="H209" s="4629"/>
      <c r="I209" s="4629"/>
      <c r="J209" s="5531"/>
      <c r="K209" s="5531"/>
      <c r="L209" s="5510"/>
      <c r="M209" s="5510"/>
      <c r="N209" s="5510"/>
      <c r="O209" s="5510"/>
      <c r="P209" s="5510"/>
      <c r="Q209" s="5536"/>
      <c r="R209" s="1020"/>
      <c r="S209" s="1037"/>
      <c r="T209" s="639"/>
      <c r="U209" s="1081"/>
      <c r="V209" s="636"/>
      <c r="W209" s="636"/>
      <c r="X209" s="637"/>
      <c r="Y209" s="637"/>
      <c r="Z209" s="637"/>
      <c r="AA209" s="638"/>
      <c r="AB209" s="636"/>
      <c r="AC209" s="622"/>
      <c r="AD209" s="622"/>
      <c r="AE209" s="1019"/>
    </row>
    <row r="210" spans="1:31" ht="27" customHeight="1">
      <c r="A210" s="5504"/>
      <c r="B210" s="5487"/>
      <c r="C210" s="4629"/>
      <c r="D210" s="4629"/>
      <c r="E210" s="4629"/>
      <c r="F210" s="4629"/>
      <c r="G210" s="4629"/>
      <c r="H210" s="4629"/>
      <c r="I210" s="4629"/>
      <c r="J210" s="5531"/>
      <c r="K210" s="5531"/>
      <c r="L210" s="5533">
        <v>12</v>
      </c>
      <c r="M210" s="5533">
        <v>20</v>
      </c>
      <c r="N210" s="5533">
        <v>8</v>
      </c>
      <c r="O210" s="5533" t="s">
        <v>2546</v>
      </c>
      <c r="P210" s="5533" t="s">
        <v>2544</v>
      </c>
      <c r="Q210" s="5538" t="s">
        <v>2547</v>
      </c>
      <c r="R210" s="1084"/>
      <c r="S210" s="1042"/>
      <c r="T210" s="2088"/>
      <c r="U210" s="1082"/>
      <c r="V210" s="1044"/>
      <c r="W210" s="1044"/>
      <c r="X210" s="1045"/>
      <c r="Y210" s="1045"/>
      <c r="Z210" s="1045"/>
      <c r="AA210" s="1046"/>
      <c r="AB210" s="1044"/>
      <c r="AC210" s="2035"/>
      <c r="AD210" s="2035"/>
      <c r="AE210" s="1019"/>
    </row>
    <row r="211" spans="1:31" ht="16.5" customHeight="1">
      <c r="A211" s="5504"/>
      <c r="B211" s="5487"/>
      <c r="C211" s="4629"/>
      <c r="D211" s="4629"/>
      <c r="E211" s="4629"/>
      <c r="F211" s="4629"/>
      <c r="G211" s="4629"/>
      <c r="H211" s="4629"/>
      <c r="I211" s="4629"/>
      <c r="J211" s="5531"/>
      <c r="K211" s="5531"/>
      <c r="L211" s="5515"/>
      <c r="M211" s="5515"/>
      <c r="N211" s="5515"/>
      <c r="O211" s="5515"/>
      <c r="P211" s="5515"/>
      <c r="Q211" s="5515"/>
      <c r="R211" s="1084"/>
      <c r="S211" s="641"/>
      <c r="T211" s="641"/>
      <c r="U211" s="1027"/>
      <c r="V211" s="624"/>
      <c r="W211" s="624"/>
      <c r="X211" s="627"/>
      <c r="Y211" s="627"/>
      <c r="Z211" s="627"/>
      <c r="AA211" s="628"/>
      <c r="AB211" s="624"/>
      <c r="AC211" s="615"/>
      <c r="AD211" s="615"/>
      <c r="AE211" s="1019"/>
    </row>
    <row r="212" spans="1:31" ht="16.5" customHeight="1">
      <c r="A212" s="5504"/>
      <c r="B212" s="5487"/>
      <c r="C212" s="4629"/>
      <c r="D212" s="4629"/>
      <c r="E212" s="4629"/>
      <c r="F212" s="4629"/>
      <c r="G212" s="4629"/>
      <c r="H212" s="4629"/>
      <c r="I212" s="4629"/>
      <c r="J212" s="5531"/>
      <c r="K212" s="5531"/>
      <c r="L212" s="5515"/>
      <c r="M212" s="5515"/>
      <c r="N212" s="5515"/>
      <c r="O212" s="5515"/>
      <c r="P212" s="5515"/>
      <c r="Q212" s="5515"/>
      <c r="R212" s="1084"/>
      <c r="S212" s="641"/>
      <c r="T212" s="641"/>
      <c r="U212" s="1027"/>
      <c r="V212" s="624"/>
      <c r="W212" s="624"/>
      <c r="X212" s="627"/>
      <c r="Y212" s="627"/>
      <c r="Z212" s="627"/>
      <c r="AA212" s="628"/>
      <c r="AB212" s="624"/>
      <c r="AC212" s="615"/>
      <c r="AD212" s="615"/>
      <c r="AE212" s="1019"/>
    </row>
    <row r="213" spans="1:31" ht="16.5" customHeight="1">
      <c r="A213" s="5504"/>
      <c r="B213" s="5487"/>
      <c r="C213" s="4629"/>
      <c r="D213" s="4629"/>
      <c r="E213" s="4629"/>
      <c r="F213" s="4629"/>
      <c r="G213" s="4629"/>
      <c r="H213" s="4629"/>
      <c r="I213" s="4629"/>
      <c r="J213" s="5531"/>
      <c r="K213" s="5531"/>
      <c r="L213" s="5515"/>
      <c r="M213" s="5515"/>
      <c r="N213" s="5515"/>
      <c r="O213" s="5515"/>
      <c r="P213" s="5515"/>
      <c r="Q213" s="5515"/>
      <c r="R213" s="1084"/>
      <c r="S213" s="641"/>
      <c r="T213" s="641"/>
      <c r="U213" s="1027"/>
      <c r="V213" s="624"/>
      <c r="W213" s="624"/>
      <c r="X213" s="627"/>
      <c r="Y213" s="627"/>
      <c r="Z213" s="627"/>
      <c r="AA213" s="628"/>
      <c r="AB213" s="624"/>
      <c r="AC213" s="615"/>
      <c r="AD213" s="615"/>
      <c r="AE213" s="1019"/>
    </row>
    <row r="214" spans="1:31" ht="16.5" customHeight="1">
      <c r="A214" s="5504"/>
      <c r="B214" s="5487"/>
      <c r="C214" s="4629"/>
      <c r="D214" s="4629"/>
      <c r="E214" s="4629"/>
      <c r="F214" s="4629"/>
      <c r="G214" s="4629"/>
      <c r="H214" s="4629"/>
      <c r="I214" s="4629"/>
      <c r="J214" s="5531"/>
      <c r="K214" s="5531"/>
      <c r="L214" s="5515"/>
      <c r="M214" s="5515"/>
      <c r="N214" s="5515"/>
      <c r="O214" s="5515"/>
      <c r="P214" s="5515"/>
      <c r="Q214" s="5515"/>
      <c r="R214" s="1084"/>
      <c r="S214" s="641"/>
      <c r="T214" s="641"/>
      <c r="U214" s="1027"/>
      <c r="V214" s="624"/>
      <c r="W214" s="624"/>
      <c r="X214" s="627"/>
      <c r="Y214" s="627"/>
      <c r="Z214" s="627"/>
      <c r="AA214" s="628"/>
      <c r="AB214" s="624"/>
      <c r="AC214" s="615"/>
      <c r="AD214" s="615"/>
      <c r="AE214" s="1019"/>
    </row>
    <row r="215" spans="1:31" ht="16.5" customHeight="1">
      <c r="A215" s="5504"/>
      <c r="B215" s="5487"/>
      <c r="C215" s="4629"/>
      <c r="D215" s="4629"/>
      <c r="E215" s="4629"/>
      <c r="F215" s="4629"/>
      <c r="G215" s="4629"/>
      <c r="H215" s="4629"/>
      <c r="I215" s="4629"/>
      <c r="J215" s="5531"/>
      <c r="K215" s="5531"/>
      <c r="L215" s="5515"/>
      <c r="M215" s="5515"/>
      <c r="N215" s="5515"/>
      <c r="O215" s="5515"/>
      <c r="P215" s="5515"/>
      <c r="Q215" s="5515"/>
      <c r="R215" s="1084"/>
      <c r="S215" s="641"/>
      <c r="T215" s="641"/>
      <c r="U215" s="1027"/>
      <c r="V215" s="624"/>
      <c r="W215" s="624"/>
      <c r="X215" s="627"/>
      <c r="Y215" s="627"/>
      <c r="Z215" s="627"/>
      <c r="AA215" s="628"/>
      <c r="AB215" s="624"/>
      <c r="AC215" s="615"/>
      <c r="AD215" s="615"/>
      <c r="AE215" s="1019"/>
    </row>
    <row r="216" spans="1:31" ht="16.5" customHeight="1">
      <c r="A216" s="5504"/>
      <c r="B216" s="5487"/>
      <c r="C216" s="4629"/>
      <c r="D216" s="4629"/>
      <c r="E216" s="4629"/>
      <c r="F216" s="4629"/>
      <c r="G216" s="4629"/>
      <c r="H216" s="4629"/>
      <c r="I216" s="4629"/>
      <c r="J216" s="5531"/>
      <c r="K216" s="5531"/>
      <c r="L216" s="5515"/>
      <c r="M216" s="5515"/>
      <c r="N216" s="5515"/>
      <c r="O216" s="5515"/>
      <c r="P216" s="5515"/>
      <c r="Q216" s="5515"/>
      <c r="R216" s="1084"/>
      <c r="S216" s="641"/>
      <c r="T216" s="641"/>
      <c r="U216" s="1027"/>
      <c r="V216" s="624"/>
      <c r="W216" s="624"/>
      <c r="X216" s="627"/>
      <c r="Y216" s="627"/>
      <c r="Z216" s="627"/>
      <c r="AA216" s="628"/>
      <c r="AB216" s="624"/>
      <c r="AC216" s="615"/>
      <c r="AD216" s="615"/>
      <c r="AE216" s="1019"/>
    </row>
    <row r="217" spans="1:31" ht="16.5" customHeight="1">
      <c r="A217" s="5504"/>
      <c r="B217" s="5487"/>
      <c r="C217" s="4629"/>
      <c r="D217" s="4629"/>
      <c r="E217" s="4629"/>
      <c r="F217" s="4629"/>
      <c r="G217" s="4629"/>
      <c r="H217" s="4629"/>
      <c r="I217" s="4629"/>
      <c r="J217" s="5531"/>
      <c r="K217" s="5531"/>
      <c r="L217" s="5515"/>
      <c r="M217" s="5515"/>
      <c r="N217" s="5515"/>
      <c r="O217" s="5515"/>
      <c r="P217" s="5515"/>
      <c r="Q217" s="5515"/>
      <c r="R217" s="1084"/>
      <c r="S217" s="641"/>
      <c r="T217" s="641"/>
      <c r="U217" s="1027"/>
      <c r="V217" s="624"/>
      <c r="W217" s="624"/>
      <c r="X217" s="627"/>
      <c r="Y217" s="627"/>
      <c r="Z217" s="627"/>
      <c r="AA217" s="628"/>
      <c r="AB217" s="624"/>
      <c r="AC217" s="615"/>
      <c r="AD217" s="615"/>
      <c r="AE217" s="1019"/>
    </row>
    <row r="218" spans="1:31" ht="16.5" customHeight="1">
      <c r="A218" s="5504"/>
      <c r="B218" s="5487"/>
      <c r="C218" s="4629"/>
      <c r="D218" s="4629"/>
      <c r="E218" s="4629"/>
      <c r="F218" s="4629"/>
      <c r="G218" s="4629"/>
      <c r="H218" s="4629"/>
      <c r="I218" s="4629"/>
      <c r="J218" s="5531"/>
      <c r="K218" s="5531"/>
      <c r="L218" s="5515"/>
      <c r="M218" s="5515"/>
      <c r="N218" s="5515"/>
      <c r="O218" s="5515"/>
      <c r="P218" s="5515"/>
      <c r="Q218" s="5515"/>
      <c r="R218" s="1084"/>
      <c r="S218" s="641"/>
      <c r="T218" s="641"/>
      <c r="U218" s="1027"/>
      <c r="V218" s="624"/>
      <c r="W218" s="624"/>
      <c r="X218" s="627"/>
      <c r="Y218" s="627"/>
      <c r="Z218" s="627"/>
      <c r="AA218" s="628"/>
      <c r="AB218" s="624"/>
      <c r="AC218" s="615"/>
      <c r="AD218" s="615"/>
      <c r="AE218" s="1019"/>
    </row>
    <row r="219" spans="1:31" ht="16.5" customHeight="1">
      <c r="A219" s="5504"/>
      <c r="B219" s="5487"/>
      <c r="C219" s="4629"/>
      <c r="D219" s="4629"/>
      <c r="E219" s="4629"/>
      <c r="F219" s="4629"/>
      <c r="G219" s="4629"/>
      <c r="H219" s="4629"/>
      <c r="I219" s="4629"/>
      <c r="J219" s="5531"/>
      <c r="K219" s="5531"/>
      <c r="L219" s="5515"/>
      <c r="M219" s="5515"/>
      <c r="N219" s="5515"/>
      <c r="O219" s="5515"/>
      <c r="P219" s="5515"/>
      <c r="Q219" s="5515"/>
      <c r="R219" s="1084"/>
      <c r="S219" s="641"/>
      <c r="T219" s="641"/>
      <c r="U219" s="1027"/>
      <c r="V219" s="624"/>
      <c r="W219" s="624"/>
      <c r="X219" s="627"/>
      <c r="Y219" s="627"/>
      <c r="Z219" s="627"/>
      <c r="AA219" s="628"/>
      <c r="AB219" s="624"/>
      <c r="AC219" s="615"/>
      <c r="AD219" s="615"/>
      <c r="AE219" s="1019"/>
    </row>
    <row r="220" spans="1:31" ht="16.5" customHeight="1">
      <c r="A220" s="5504"/>
      <c r="B220" s="5487"/>
      <c r="C220" s="4629"/>
      <c r="D220" s="4629"/>
      <c r="E220" s="4629"/>
      <c r="F220" s="4629"/>
      <c r="G220" s="4629"/>
      <c r="H220" s="4629"/>
      <c r="I220" s="4629"/>
      <c r="J220" s="5531"/>
      <c r="K220" s="5531"/>
      <c r="L220" s="5515"/>
      <c r="M220" s="5515"/>
      <c r="N220" s="5515"/>
      <c r="O220" s="5515"/>
      <c r="P220" s="5515"/>
      <c r="Q220" s="5515"/>
      <c r="R220" s="1084"/>
      <c r="S220" s="641"/>
      <c r="T220" s="641"/>
      <c r="U220" s="1027"/>
      <c r="V220" s="624"/>
      <c r="W220" s="624"/>
      <c r="X220" s="627"/>
      <c r="Y220" s="627"/>
      <c r="Z220" s="627"/>
      <c r="AA220" s="628"/>
      <c r="AB220" s="624"/>
      <c r="AC220" s="615"/>
      <c r="AD220" s="615"/>
      <c r="AE220" s="1019"/>
    </row>
    <row r="221" spans="1:31" ht="51.75" customHeight="1">
      <c r="A221" s="5504"/>
      <c r="B221" s="5487"/>
      <c r="C221" s="4629"/>
      <c r="D221" s="4629"/>
      <c r="E221" s="4629"/>
      <c r="F221" s="4629"/>
      <c r="G221" s="4629"/>
      <c r="H221" s="4629"/>
      <c r="I221" s="4629"/>
      <c r="J221" s="5531"/>
      <c r="K221" s="5531"/>
      <c r="L221" s="5515"/>
      <c r="M221" s="5515"/>
      <c r="N221" s="5515"/>
      <c r="O221" s="5515"/>
      <c r="P221" s="5515"/>
      <c r="Q221" s="5515"/>
      <c r="R221" s="1084"/>
      <c r="S221" s="1048"/>
      <c r="T221" s="641"/>
      <c r="U221" s="1067"/>
      <c r="V221" s="624"/>
      <c r="W221" s="624"/>
      <c r="X221" s="627"/>
      <c r="Y221" s="627"/>
      <c r="Z221" s="627"/>
      <c r="AA221" s="628"/>
      <c r="AB221" s="624"/>
      <c r="AC221" s="615"/>
      <c r="AD221" s="615"/>
      <c r="AE221" s="1019"/>
    </row>
    <row r="222" spans="1:31" ht="16.5" customHeight="1">
      <c r="A222" s="5504"/>
      <c r="B222" s="5487"/>
      <c r="C222" s="4629"/>
      <c r="D222" s="4629"/>
      <c r="E222" s="4629"/>
      <c r="F222" s="4629"/>
      <c r="G222" s="4629"/>
      <c r="H222" s="4629"/>
      <c r="I222" s="4629"/>
      <c r="J222" s="5531"/>
      <c r="K222" s="5531"/>
      <c r="L222" s="5515"/>
      <c r="M222" s="5515"/>
      <c r="N222" s="5515"/>
      <c r="O222" s="5515"/>
      <c r="P222" s="5515"/>
      <c r="Q222" s="5515"/>
      <c r="R222" s="1084"/>
      <c r="S222" s="641"/>
      <c r="T222" s="641"/>
      <c r="U222" s="1027"/>
      <c r="V222" s="624"/>
      <c r="W222" s="624"/>
      <c r="X222" s="627"/>
      <c r="Y222" s="627"/>
      <c r="Z222" s="627"/>
      <c r="AA222" s="628"/>
      <c r="AB222" s="624"/>
      <c r="AC222" s="615"/>
      <c r="AD222" s="615"/>
      <c r="AE222" s="1019"/>
    </row>
    <row r="223" spans="1:31" ht="16.5" customHeight="1">
      <c r="A223" s="5504"/>
      <c r="B223" s="5487"/>
      <c r="C223" s="4629"/>
      <c r="D223" s="4629"/>
      <c r="E223" s="4629"/>
      <c r="F223" s="4629"/>
      <c r="G223" s="4629"/>
      <c r="H223" s="4629"/>
      <c r="I223" s="4629"/>
      <c r="J223" s="5531"/>
      <c r="K223" s="5531"/>
      <c r="L223" s="5515"/>
      <c r="M223" s="5515"/>
      <c r="N223" s="5515"/>
      <c r="O223" s="5515"/>
      <c r="P223" s="5515"/>
      <c r="Q223" s="5515"/>
      <c r="R223" s="1084"/>
      <c r="S223" s="641"/>
      <c r="T223" s="641"/>
      <c r="U223" s="1027"/>
      <c r="V223" s="624"/>
      <c r="W223" s="624"/>
      <c r="X223" s="627"/>
      <c r="Y223" s="627"/>
      <c r="Z223" s="627"/>
      <c r="AA223" s="628"/>
      <c r="AB223" s="624"/>
      <c r="AC223" s="615"/>
      <c r="AD223" s="615"/>
      <c r="AE223" s="1019"/>
    </row>
    <row r="224" spans="1:31" ht="16.5" customHeight="1">
      <c r="A224" s="5504"/>
      <c r="B224" s="5487"/>
      <c r="C224" s="4629"/>
      <c r="D224" s="4629"/>
      <c r="E224" s="4629"/>
      <c r="F224" s="4629"/>
      <c r="G224" s="4629"/>
      <c r="H224" s="4629"/>
      <c r="I224" s="4629"/>
      <c r="J224" s="5531"/>
      <c r="K224" s="5531"/>
      <c r="L224" s="5515"/>
      <c r="M224" s="5515"/>
      <c r="N224" s="5515"/>
      <c r="O224" s="5515"/>
      <c r="P224" s="5515"/>
      <c r="Q224" s="5515"/>
      <c r="R224" s="1084"/>
      <c r="S224" s="641"/>
      <c r="T224" s="641"/>
      <c r="U224" s="1027"/>
      <c r="V224" s="624"/>
      <c r="W224" s="624"/>
      <c r="X224" s="627"/>
      <c r="Y224" s="627"/>
      <c r="Z224" s="627"/>
      <c r="AA224" s="628"/>
      <c r="AB224" s="624"/>
      <c r="AC224" s="615"/>
      <c r="AD224" s="615"/>
      <c r="AE224" s="1019"/>
    </row>
    <row r="225" spans="1:31" ht="16.5" customHeight="1">
      <c r="A225" s="5504"/>
      <c r="B225" s="5487"/>
      <c r="C225" s="4629"/>
      <c r="D225" s="4629"/>
      <c r="E225" s="4629"/>
      <c r="F225" s="4629"/>
      <c r="G225" s="4629"/>
      <c r="H225" s="4629"/>
      <c r="I225" s="4629"/>
      <c r="J225" s="5531"/>
      <c r="K225" s="5531"/>
      <c r="L225" s="5515"/>
      <c r="M225" s="5515"/>
      <c r="N225" s="5515"/>
      <c r="O225" s="5515"/>
      <c r="P225" s="5515"/>
      <c r="Q225" s="5515"/>
      <c r="R225" s="1034"/>
      <c r="S225" s="641"/>
      <c r="T225" s="641"/>
      <c r="U225" s="1027"/>
      <c r="V225" s="624"/>
      <c r="W225" s="624"/>
      <c r="X225" s="627"/>
      <c r="Y225" s="627"/>
      <c r="Z225" s="627"/>
      <c r="AA225" s="628"/>
      <c r="AB225" s="624"/>
      <c r="AC225" s="615"/>
      <c r="AD225" s="615"/>
      <c r="AE225" s="1019"/>
    </row>
    <row r="226" spans="1:31" ht="16.5" customHeight="1">
      <c r="A226" s="5504"/>
      <c r="B226" s="5487"/>
      <c r="C226" s="4629"/>
      <c r="D226" s="4629"/>
      <c r="E226" s="4629"/>
      <c r="F226" s="4629"/>
      <c r="G226" s="4629"/>
      <c r="H226" s="4629"/>
      <c r="I226" s="4629"/>
      <c r="J226" s="5531"/>
      <c r="K226" s="5531"/>
      <c r="L226" s="5515"/>
      <c r="M226" s="5515"/>
      <c r="N226" s="5515"/>
      <c r="O226" s="5515"/>
      <c r="P226" s="5515"/>
      <c r="Q226" s="5515"/>
      <c r="R226" s="1051"/>
      <c r="S226" s="641"/>
      <c r="T226" s="641"/>
      <c r="U226" s="1027"/>
      <c r="V226" s="624"/>
      <c r="W226" s="624"/>
      <c r="X226" s="627"/>
      <c r="Y226" s="627"/>
      <c r="Z226" s="627"/>
      <c r="AA226" s="628"/>
      <c r="AB226" s="624"/>
      <c r="AC226" s="615"/>
      <c r="AD226" s="615"/>
      <c r="AE226" s="1019"/>
    </row>
    <row r="227" spans="1:31" ht="60" customHeight="1">
      <c r="A227" s="5504"/>
      <c r="B227" s="5487"/>
      <c r="C227" s="4629"/>
      <c r="D227" s="4629"/>
      <c r="E227" s="4629"/>
      <c r="F227" s="4629"/>
      <c r="G227" s="4629"/>
      <c r="H227" s="4629"/>
      <c r="I227" s="4629"/>
      <c r="J227" s="5531"/>
      <c r="K227" s="5531"/>
      <c r="L227" s="5515"/>
      <c r="M227" s="5515"/>
      <c r="N227" s="5515"/>
      <c r="O227" s="5515"/>
      <c r="P227" s="5515"/>
      <c r="Q227" s="5515"/>
      <c r="R227" s="1084"/>
      <c r="S227" s="1048"/>
      <c r="T227" s="1048"/>
      <c r="U227" s="1067"/>
      <c r="V227" s="624"/>
      <c r="W227" s="624"/>
      <c r="X227" s="627"/>
      <c r="Y227" s="627"/>
      <c r="Z227" s="627"/>
      <c r="AA227" s="628"/>
      <c r="AB227" s="624"/>
      <c r="AC227" s="615"/>
      <c r="AD227" s="615"/>
      <c r="AE227" s="1019"/>
    </row>
    <row r="228" spans="1:31" ht="60" customHeight="1">
      <c r="A228" s="5504"/>
      <c r="B228" s="5487"/>
      <c r="C228" s="4629"/>
      <c r="D228" s="4629"/>
      <c r="E228" s="4629"/>
      <c r="F228" s="4629"/>
      <c r="G228" s="4629"/>
      <c r="H228" s="4629"/>
      <c r="I228" s="4629"/>
      <c r="J228" s="5531"/>
      <c r="K228" s="5531"/>
      <c r="L228" s="5510"/>
      <c r="M228" s="5510"/>
      <c r="N228" s="5510"/>
      <c r="O228" s="5510"/>
      <c r="P228" s="5536"/>
      <c r="Q228" s="5536"/>
      <c r="R228" s="1036"/>
      <c r="S228" s="1006"/>
      <c r="T228" s="617"/>
      <c r="U228" s="1081"/>
      <c r="V228" s="636"/>
      <c r="W228" s="636"/>
      <c r="X228" s="637"/>
      <c r="Y228" s="637"/>
      <c r="Z228" s="637"/>
      <c r="AA228" s="638"/>
      <c r="AB228" s="636"/>
      <c r="AC228" s="622"/>
      <c r="AD228" s="622"/>
      <c r="AE228" s="1019"/>
    </row>
    <row r="229" spans="1:31" ht="60" customHeight="1">
      <c r="A229" s="5504"/>
      <c r="B229" s="5487"/>
      <c r="C229" s="4629"/>
      <c r="D229" s="4629"/>
      <c r="E229" s="4629"/>
      <c r="F229" s="4629"/>
      <c r="G229" s="4629"/>
      <c r="H229" s="4629"/>
      <c r="I229" s="4629"/>
      <c r="J229" s="5531"/>
      <c r="K229" s="5531"/>
      <c r="L229" s="5533">
        <v>8</v>
      </c>
      <c r="M229" s="5533">
        <v>16</v>
      </c>
      <c r="N229" s="5533">
        <v>16</v>
      </c>
      <c r="O229" s="5514" t="s">
        <v>2548</v>
      </c>
      <c r="P229" s="5537" t="s">
        <v>2549</v>
      </c>
      <c r="Q229" s="5538" t="s">
        <v>2550</v>
      </c>
      <c r="R229" s="1084"/>
      <c r="S229" s="2079"/>
      <c r="T229" s="2067"/>
      <c r="U229" s="1043"/>
      <c r="V229" s="1044"/>
      <c r="W229" s="1044"/>
      <c r="X229" s="1045"/>
      <c r="Y229" s="1045"/>
      <c r="Z229" s="1045"/>
      <c r="AA229" s="1046"/>
      <c r="AB229" s="1044"/>
      <c r="AC229" s="2035"/>
      <c r="AD229" s="2035"/>
      <c r="AE229" s="1019"/>
    </row>
    <row r="230" spans="1:31" ht="60" customHeight="1">
      <c r="A230" s="5504"/>
      <c r="B230" s="5487"/>
      <c r="C230" s="4629"/>
      <c r="D230" s="4629"/>
      <c r="E230" s="4629"/>
      <c r="F230" s="4629"/>
      <c r="G230" s="4629"/>
      <c r="H230" s="4629"/>
      <c r="I230" s="4629"/>
      <c r="J230" s="5531"/>
      <c r="K230" s="5531"/>
      <c r="L230" s="5515"/>
      <c r="M230" s="5515"/>
      <c r="N230" s="5515"/>
      <c r="O230" s="5515"/>
      <c r="P230" s="5515"/>
      <c r="Q230" s="5515"/>
      <c r="R230" s="1084"/>
      <c r="S230" s="461"/>
      <c r="T230" s="1059"/>
      <c r="U230" s="643"/>
      <c r="V230" s="624"/>
      <c r="W230" s="624"/>
      <c r="X230" s="627"/>
      <c r="Y230" s="627"/>
      <c r="Z230" s="627"/>
      <c r="AA230" s="628"/>
      <c r="AB230" s="624"/>
      <c r="AC230" s="615"/>
      <c r="AD230" s="615"/>
      <c r="AE230" s="1019"/>
    </row>
    <row r="231" spans="1:31" ht="60" customHeight="1">
      <c r="A231" s="5504"/>
      <c r="B231" s="5487"/>
      <c r="C231" s="4629"/>
      <c r="D231" s="4629"/>
      <c r="E231" s="4629"/>
      <c r="F231" s="4629"/>
      <c r="G231" s="4629"/>
      <c r="H231" s="4629"/>
      <c r="I231" s="4629"/>
      <c r="J231" s="5531"/>
      <c r="K231" s="5531"/>
      <c r="L231" s="5515"/>
      <c r="M231" s="5515"/>
      <c r="N231" s="5515"/>
      <c r="O231" s="5515"/>
      <c r="P231" s="5515"/>
      <c r="Q231" s="5515"/>
      <c r="R231" s="1084"/>
      <c r="S231" s="461"/>
      <c r="T231" s="641"/>
      <c r="U231" s="643"/>
      <c r="V231" s="624"/>
      <c r="W231" s="624"/>
      <c r="X231" s="627"/>
      <c r="Y231" s="627"/>
      <c r="Z231" s="627"/>
      <c r="AA231" s="628"/>
      <c r="AB231" s="624"/>
      <c r="AC231" s="615"/>
      <c r="AD231" s="615"/>
      <c r="AE231" s="1019"/>
    </row>
    <row r="232" spans="1:31" ht="60" customHeight="1">
      <c r="A232" s="5504"/>
      <c r="B232" s="5487"/>
      <c r="C232" s="4629"/>
      <c r="D232" s="4629"/>
      <c r="E232" s="4629"/>
      <c r="F232" s="4629"/>
      <c r="G232" s="4629"/>
      <c r="H232" s="4629"/>
      <c r="I232" s="4629"/>
      <c r="J232" s="5531"/>
      <c r="K232" s="5531"/>
      <c r="L232" s="5515"/>
      <c r="M232" s="5515"/>
      <c r="N232" s="5515"/>
      <c r="O232" s="5515"/>
      <c r="P232" s="5515"/>
      <c r="Q232" s="5515"/>
      <c r="R232" s="1084"/>
      <c r="S232" s="461"/>
      <c r="T232" s="641"/>
      <c r="U232" s="1058"/>
      <c r="V232" s="624"/>
      <c r="W232" s="624"/>
      <c r="X232" s="627"/>
      <c r="Y232" s="627"/>
      <c r="Z232" s="627"/>
      <c r="AA232" s="628"/>
      <c r="AB232" s="624"/>
      <c r="AC232" s="615"/>
      <c r="AD232" s="615"/>
      <c r="AE232" s="1019"/>
    </row>
    <row r="233" spans="1:31" ht="60" customHeight="1">
      <c r="A233" s="5504"/>
      <c r="B233" s="5487"/>
      <c r="C233" s="4629"/>
      <c r="D233" s="4629"/>
      <c r="E233" s="4629"/>
      <c r="F233" s="4629"/>
      <c r="G233" s="4629"/>
      <c r="H233" s="4629"/>
      <c r="I233" s="4629"/>
      <c r="J233" s="5531"/>
      <c r="K233" s="5531"/>
      <c r="L233" s="5515"/>
      <c r="M233" s="5515"/>
      <c r="N233" s="5515"/>
      <c r="O233" s="5515"/>
      <c r="P233" s="5515"/>
      <c r="Q233" s="5515"/>
      <c r="R233" s="1084"/>
      <c r="S233" s="461"/>
      <c r="T233" s="1077"/>
      <c r="U233" s="643"/>
      <c r="V233" s="624"/>
      <c r="W233" s="624"/>
      <c r="X233" s="627"/>
      <c r="Y233" s="627"/>
      <c r="Z233" s="627"/>
      <c r="AA233" s="628"/>
      <c r="AB233" s="624"/>
      <c r="AC233" s="615"/>
      <c r="AD233" s="615"/>
      <c r="AE233" s="1019"/>
    </row>
    <row r="234" spans="1:31" ht="42" customHeight="1">
      <c r="A234" s="5504"/>
      <c r="B234" s="5487"/>
      <c r="C234" s="4629"/>
      <c r="D234" s="4629"/>
      <c r="E234" s="4629"/>
      <c r="F234" s="4629"/>
      <c r="G234" s="4629"/>
      <c r="H234" s="4629"/>
      <c r="I234" s="4629"/>
      <c r="J234" s="5531"/>
      <c r="K234" s="5531"/>
      <c r="L234" s="5515"/>
      <c r="M234" s="5515"/>
      <c r="N234" s="5515"/>
      <c r="O234" s="5515"/>
      <c r="P234" s="5515"/>
      <c r="Q234" s="5515"/>
      <c r="R234" s="1084"/>
      <c r="S234" s="461"/>
      <c r="T234" s="1077"/>
      <c r="U234" s="643"/>
      <c r="V234" s="624"/>
      <c r="W234" s="624"/>
      <c r="X234" s="627"/>
      <c r="Y234" s="627"/>
      <c r="Z234" s="627"/>
      <c r="AA234" s="628"/>
      <c r="AB234" s="624"/>
      <c r="AC234" s="615"/>
      <c r="AD234" s="615"/>
      <c r="AE234" s="1019"/>
    </row>
    <row r="235" spans="1:31" ht="42" customHeight="1">
      <c r="A235" s="5504"/>
      <c r="B235" s="5487"/>
      <c r="C235" s="4629"/>
      <c r="D235" s="4629"/>
      <c r="E235" s="4629"/>
      <c r="F235" s="4629"/>
      <c r="G235" s="4629"/>
      <c r="H235" s="4629"/>
      <c r="I235" s="4629"/>
      <c r="J235" s="5531"/>
      <c r="K235" s="5531"/>
      <c r="L235" s="5515"/>
      <c r="M235" s="5515"/>
      <c r="N235" s="5515"/>
      <c r="O235" s="5515"/>
      <c r="P235" s="5515"/>
      <c r="Q235" s="5515"/>
      <c r="R235" s="1084"/>
      <c r="S235" s="461"/>
      <c r="T235" s="1077"/>
      <c r="U235" s="635"/>
      <c r="V235" s="624"/>
      <c r="W235" s="624"/>
      <c r="X235" s="627"/>
      <c r="Y235" s="627"/>
      <c r="Z235" s="627"/>
      <c r="AA235" s="628"/>
      <c r="AB235" s="624"/>
      <c r="AC235" s="615"/>
      <c r="AD235" s="615"/>
      <c r="AE235" s="1019"/>
    </row>
    <row r="236" spans="1:31" ht="42" customHeight="1">
      <c r="A236" s="5504"/>
      <c r="B236" s="5487"/>
      <c r="C236" s="4629"/>
      <c r="D236" s="4629"/>
      <c r="E236" s="4629"/>
      <c r="F236" s="4629"/>
      <c r="G236" s="4629"/>
      <c r="H236" s="4629"/>
      <c r="I236" s="4629"/>
      <c r="J236" s="5531"/>
      <c r="K236" s="5531"/>
      <c r="L236" s="5510"/>
      <c r="M236" s="5510"/>
      <c r="N236" s="5510"/>
      <c r="O236" s="5536"/>
      <c r="P236" s="5536"/>
      <c r="Q236" s="5536"/>
      <c r="R236" s="1084"/>
      <c r="S236" s="2031"/>
      <c r="T236" s="2089"/>
      <c r="U236" s="1083"/>
      <c r="V236" s="636"/>
      <c r="W236" s="636"/>
      <c r="X236" s="637"/>
      <c r="Y236" s="637"/>
      <c r="Z236" s="637"/>
      <c r="AA236" s="638"/>
      <c r="AB236" s="1060"/>
      <c r="AC236" s="615"/>
      <c r="AD236" s="1061"/>
      <c r="AE236" s="1019"/>
    </row>
    <row r="237" spans="1:31" ht="42" customHeight="1">
      <c r="A237" s="5504"/>
      <c r="B237" s="5487"/>
      <c r="C237" s="4629"/>
      <c r="D237" s="4629"/>
      <c r="E237" s="4629"/>
      <c r="F237" s="4629"/>
      <c r="G237" s="4629"/>
      <c r="H237" s="4629"/>
      <c r="I237" s="4629"/>
      <c r="J237" s="5531"/>
      <c r="K237" s="5531"/>
      <c r="L237" s="5533">
        <v>3</v>
      </c>
      <c r="M237" s="5533">
        <v>10</v>
      </c>
      <c r="N237" s="5533">
        <v>10</v>
      </c>
      <c r="O237" s="5541" t="s">
        <v>2548</v>
      </c>
      <c r="P237" s="5545" t="s">
        <v>2549</v>
      </c>
      <c r="Q237" s="5538" t="s">
        <v>2551</v>
      </c>
      <c r="R237" s="1084"/>
      <c r="S237" s="460"/>
      <c r="T237" s="678"/>
      <c r="U237" s="644"/>
      <c r="V237" s="1044"/>
      <c r="W237" s="1044"/>
      <c r="X237" s="1045"/>
      <c r="Y237" s="1045"/>
      <c r="Z237" s="1045"/>
      <c r="AA237" s="1046"/>
      <c r="AB237" s="632"/>
      <c r="AC237" s="611"/>
      <c r="AD237" s="611"/>
      <c r="AE237" s="1019"/>
    </row>
    <row r="238" spans="1:31" ht="42" customHeight="1">
      <c r="A238" s="5504"/>
      <c r="B238" s="5487"/>
      <c r="C238" s="4629"/>
      <c r="D238" s="4629"/>
      <c r="E238" s="4629"/>
      <c r="F238" s="4629"/>
      <c r="G238" s="4629"/>
      <c r="H238" s="4629"/>
      <c r="I238" s="4629"/>
      <c r="J238" s="5531"/>
      <c r="K238" s="5531"/>
      <c r="L238" s="5515"/>
      <c r="M238" s="5515"/>
      <c r="N238" s="5515"/>
      <c r="O238" s="5515"/>
      <c r="P238" s="5515"/>
      <c r="Q238" s="5515"/>
      <c r="R238" s="1084"/>
      <c r="S238" s="677"/>
      <c r="T238" s="634"/>
      <c r="U238" s="643"/>
      <c r="V238" s="624"/>
      <c r="W238" s="624"/>
      <c r="X238" s="627"/>
      <c r="Y238" s="627"/>
      <c r="Z238" s="627"/>
      <c r="AA238" s="628"/>
      <c r="AB238" s="624"/>
      <c r="AC238" s="615"/>
      <c r="AD238" s="615"/>
      <c r="AE238" s="1019"/>
    </row>
    <row r="239" spans="1:31" ht="42" customHeight="1">
      <c r="A239" s="5504"/>
      <c r="B239" s="5487"/>
      <c r="C239" s="4629"/>
      <c r="D239" s="4629"/>
      <c r="E239" s="4629"/>
      <c r="F239" s="4629"/>
      <c r="G239" s="4629"/>
      <c r="H239" s="4629"/>
      <c r="I239" s="4629"/>
      <c r="J239" s="5531"/>
      <c r="K239" s="5531"/>
      <c r="L239" s="5515"/>
      <c r="M239" s="5515"/>
      <c r="N239" s="5515"/>
      <c r="O239" s="5515"/>
      <c r="P239" s="5515"/>
      <c r="Q239" s="5515"/>
      <c r="R239" s="1084"/>
      <c r="S239" s="1035"/>
      <c r="T239" s="634"/>
      <c r="U239" s="1058"/>
      <c r="V239" s="624"/>
      <c r="W239" s="624"/>
      <c r="X239" s="627"/>
      <c r="Y239" s="627"/>
      <c r="Z239" s="627"/>
      <c r="AA239" s="628"/>
      <c r="AB239" s="624"/>
      <c r="AC239" s="615"/>
      <c r="AD239" s="615"/>
      <c r="AE239" s="1019"/>
    </row>
    <row r="240" spans="1:31" ht="42" customHeight="1">
      <c r="A240" s="5504"/>
      <c r="B240" s="5487"/>
      <c r="C240" s="4629"/>
      <c r="D240" s="4629"/>
      <c r="E240" s="4629"/>
      <c r="F240" s="4629"/>
      <c r="G240" s="4629"/>
      <c r="H240" s="4629"/>
      <c r="I240" s="4629"/>
      <c r="J240" s="5531"/>
      <c r="K240" s="5531"/>
      <c r="L240" s="5515"/>
      <c r="M240" s="5515"/>
      <c r="N240" s="5515"/>
      <c r="O240" s="5515"/>
      <c r="P240" s="5515"/>
      <c r="Q240" s="5515"/>
      <c r="R240" s="1084"/>
      <c r="S240" s="461"/>
      <c r="T240" s="1077"/>
      <c r="U240" s="643"/>
      <c r="V240" s="624"/>
      <c r="W240" s="624"/>
      <c r="X240" s="627"/>
      <c r="Y240" s="627"/>
      <c r="Z240" s="627"/>
      <c r="AA240" s="628"/>
      <c r="AB240" s="624"/>
      <c r="AC240" s="615"/>
      <c r="AD240" s="615"/>
      <c r="AE240" s="1019"/>
    </row>
    <row r="241" spans="1:31" ht="42" customHeight="1">
      <c r="A241" s="5504"/>
      <c r="B241" s="5487"/>
      <c r="C241" s="4629"/>
      <c r="D241" s="4629"/>
      <c r="E241" s="4629"/>
      <c r="F241" s="4629"/>
      <c r="G241" s="4629"/>
      <c r="H241" s="4629"/>
      <c r="I241" s="4629"/>
      <c r="J241" s="5531"/>
      <c r="K241" s="5531"/>
      <c r="L241" s="5515"/>
      <c r="M241" s="5515"/>
      <c r="N241" s="5515"/>
      <c r="O241" s="5515"/>
      <c r="P241" s="5515"/>
      <c r="Q241" s="5515"/>
      <c r="R241" s="1084"/>
      <c r="S241" s="461"/>
      <c r="T241" s="634"/>
      <c r="U241" s="643"/>
      <c r="V241" s="624"/>
      <c r="W241" s="624"/>
      <c r="X241" s="627"/>
      <c r="Y241" s="627"/>
      <c r="Z241" s="627"/>
      <c r="AA241" s="628"/>
      <c r="AB241" s="624"/>
      <c r="AC241" s="615"/>
      <c r="AD241" s="615"/>
      <c r="AE241" s="1019"/>
    </row>
    <row r="242" spans="1:31" ht="42" customHeight="1">
      <c r="A242" s="5504"/>
      <c r="B242" s="5487"/>
      <c r="C242" s="4629"/>
      <c r="D242" s="4629"/>
      <c r="E242" s="4629"/>
      <c r="F242" s="4629"/>
      <c r="G242" s="4629"/>
      <c r="H242" s="4629"/>
      <c r="I242" s="4629"/>
      <c r="J242" s="5531"/>
      <c r="K242" s="5531"/>
      <c r="L242" s="5515"/>
      <c r="M242" s="5515"/>
      <c r="N242" s="5515"/>
      <c r="O242" s="5515"/>
      <c r="P242" s="5515"/>
      <c r="Q242" s="5515"/>
      <c r="R242" s="1084"/>
      <c r="S242" s="677"/>
      <c r="T242" s="1077"/>
      <c r="U242" s="1058"/>
      <c r="V242" s="624"/>
      <c r="W242" s="624"/>
      <c r="X242" s="627"/>
      <c r="Y242" s="627"/>
      <c r="Z242" s="627"/>
      <c r="AA242" s="628"/>
      <c r="AB242" s="624"/>
      <c r="AC242" s="615"/>
      <c r="AD242" s="615"/>
      <c r="AE242" s="1019"/>
    </row>
    <row r="243" spans="1:31" ht="42" customHeight="1">
      <c r="A243" s="5504"/>
      <c r="B243" s="5487"/>
      <c r="C243" s="4629"/>
      <c r="D243" s="4629"/>
      <c r="E243" s="4629"/>
      <c r="F243" s="4629"/>
      <c r="G243" s="4629"/>
      <c r="H243" s="4629"/>
      <c r="I243" s="4629"/>
      <c r="J243" s="5531"/>
      <c r="K243" s="5531"/>
      <c r="L243" s="5515"/>
      <c r="M243" s="5515"/>
      <c r="N243" s="5515"/>
      <c r="O243" s="5515"/>
      <c r="P243" s="5515"/>
      <c r="Q243" s="5515"/>
      <c r="R243" s="1084"/>
      <c r="S243" s="677"/>
      <c r="T243" s="1077"/>
      <c r="U243" s="643"/>
      <c r="V243" s="624"/>
      <c r="W243" s="624"/>
      <c r="X243" s="627"/>
      <c r="Y243" s="627"/>
      <c r="Z243" s="627"/>
      <c r="AA243" s="628"/>
      <c r="AB243" s="624"/>
      <c r="AC243" s="615"/>
      <c r="AD243" s="615"/>
      <c r="AE243" s="1019"/>
    </row>
    <row r="244" spans="1:31" ht="51.75" customHeight="1">
      <c r="A244" s="5504"/>
      <c r="B244" s="5487"/>
      <c r="C244" s="4629"/>
      <c r="D244" s="4629"/>
      <c r="E244" s="4629"/>
      <c r="F244" s="4629"/>
      <c r="G244" s="4629"/>
      <c r="H244" s="4629"/>
      <c r="I244" s="4629"/>
      <c r="J244" s="5531"/>
      <c r="K244" s="5531"/>
      <c r="L244" s="5515"/>
      <c r="M244" s="5515"/>
      <c r="N244" s="5515"/>
      <c r="O244" s="5515"/>
      <c r="P244" s="5515"/>
      <c r="Q244" s="5515"/>
      <c r="R244" s="1084"/>
      <c r="S244" s="677"/>
      <c r="T244" s="1077"/>
      <c r="U244" s="643"/>
      <c r="V244" s="624"/>
      <c r="W244" s="624"/>
      <c r="X244" s="627"/>
      <c r="Y244" s="627"/>
      <c r="Z244" s="627"/>
      <c r="AA244" s="628"/>
      <c r="AB244" s="624"/>
      <c r="AC244" s="615"/>
      <c r="AD244" s="615"/>
      <c r="AE244" s="1019"/>
    </row>
    <row r="245" spans="1:31" ht="51.75" customHeight="1">
      <c r="A245" s="5504"/>
      <c r="B245" s="5487"/>
      <c r="C245" s="4629"/>
      <c r="D245" s="4629"/>
      <c r="E245" s="4629"/>
      <c r="F245" s="4629"/>
      <c r="G245" s="4629"/>
      <c r="H245" s="4629"/>
      <c r="I245" s="4629"/>
      <c r="J245" s="5531"/>
      <c r="K245" s="5531"/>
      <c r="L245" s="5515"/>
      <c r="M245" s="5515"/>
      <c r="N245" s="5515"/>
      <c r="O245" s="5515"/>
      <c r="P245" s="5515"/>
      <c r="Q245" s="5515"/>
      <c r="R245" s="1084"/>
      <c r="S245" s="677"/>
      <c r="T245" s="1077"/>
      <c r="U245" s="635"/>
      <c r="V245" s="624"/>
      <c r="W245" s="624"/>
      <c r="X245" s="627"/>
      <c r="Y245" s="627"/>
      <c r="Z245" s="627"/>
      <c r="AA245" s="628"/>
      <c r="AB245" s="624"/>
      <c r="AC245" s="615"/>
      <c r="AD245" s="615"/>
      <c r="AE245" s="1019"/>
    </row>
    <row r="246" spans="1:31" ht="51.75" customHeight="1">
      <c r="A246" s="5504"/>
      <c r="B246" s="5487"/>
      <c r="C246" s="4629"/>
      <c r="D246" s="4629"/>
      <c r="E246" s="4629"/>
      <c r="F246" s="4629"/>
      <c r="G246" s="4629"/>
      <c r="H246" s="4629"/>
      <c r="I246" s="4629"/>
      <c r="J246" s="5531"/>
      <c r="K246" s="5531"/>
      <c r="L246" s="5510"/>
      <c r="M246" s="5510"/>
      <c r="N246" s="5510"/>
      <c r="O246" s="5536"/>
      <c r="P246" s="5536"/>
      <c r="Q246" s="5536"/>
      <c r="R246" s="1084"/>
      <c r="S246" s="617"/>
      <c r="T246" s="1078"/>
      <c r="U246" s="640"/>
      <c r="V246" s="636"/>
      <c r="W246" s="636"/>
      <c r="X246" s="637"/>
      <c r="Y246" s="637"/>
      <c r="Z246" s="637"/>
      <c r="AA246" s="638"/>
      <c r="AB246" s="636"/>
      <c r="AC246" s="615"/>
      <c r="AD246" s="622"/>
      <c r="AE246" s="1019"/>
    </row>
    <row r="247" spans="1:31" ht="51.75" customHeight="1">
      <c r="A247" s="5504"/>
      <c r="B247" s="5487"/>
      <c r="C247" s="4629"/>
      <c r="D247" s="4629"/>
      <c r="E247" s="4629"/>
      <c r="F247" s="4629"/>
      <c r="G247" s="4629"/>
      <c r="H247" s="4629"/>
      <c r="I247" s="4629"/>
      <c r="J247" s="5531"/>
      <c r="K247" s="5531"/>
      <c r="L247" s="5533">
        <v>3</v>
      </c>
      <c r="M247" s="5533">
        <v>8</v>
      </c>
      <c r="N247" s="5533">
        <v>8</v>
      </c>
      <c r="O247" s="5541" t="s">
        <v>2548</v>
      </c>
      <c r="P247" s="5542" t="s">
        <v>2552</v>
      </c>
      <c r="Q247" s="5538" t="s">
        <v>2553</v>
      </c>
      <c r="R247" s="1084"/>
      <c r="S247" s="2066"/>
      <c r="T247" s="1042"/>
      <c r="U247" s="1043"/>
      <c r="V247" s="1044"/>
      <c r="W247" s="1044"/>
      <c r="X247" s="1045"/>
      <c r="Y247" s="1045"/>
      <c r="Z247" s="1045"/>
      <c r="AA247" s="1046"/>
      <c r="AB247" s="1044"/>
      <c r="AC247" s="2035"/>
      <c r="AD247" s="2035"/>
      <c r="AE247" s="1019"/>
    </row>
    <row r="248" spans="1:31" ht="51.75" customHeight="1">
      <c r="A248" s="5504"/>
      <c r="B248" s="5487"/>
      <c r="C248" s="4629"/>
      <c r="D248" s="4629"/>
      <c r="E248" s="4629"/>
      <c r="F248" s="4629"/>
      <c r="G248" s="4629"/>
      <c r="H248" s="4629"/>
      <c r="I248" s="4629"/>
      <c r="J248" s="5531"/>
      <c r="K248" s="5531"/>
      <c r="L248" s="5515"/>
      <c r="M248" s="5515"/>
      <c r="N248" s="5515"/>
      <c r="O248" s="5515"/>
      <c r="P248" s="5515"/>
      <c r="Q248" s="5515"/>
      <c r="R248" s="1084"/>
      <c r="S248" s="677"/>
      <c r="T248" s="1048"/>
      <c r="U248" s="643"/>
      <c r="V248" s="624"/>
      <c r="W248" s="624"/>
      <c r="X248" s="627"/>
      <c r="Y248" s="627"/>
      <c r="Z248" s="627"/>
      <c r="AA248" s="628"/>
      <c r="AB248" s="624"/>
      <c r="AC248" s="615"/>
      <c r="AD248" s="615"/>
      <c r="AE248" s="1019"/>
    </row>
    <row r="249" spans="1:31" ht="51.75" customHeight="1">
      <c r="A249" s="5504"/>
      <c r="B249" s="5487"/>
      <c r="C249" s="4629"/>
      <c r="D249" s="4629"/>
      <c r="E249" s="4629"/>
      <c r="F249" s="4629"/>
      <c r="G249" s="4629"/>
      <c r="H249" s="4629"/>
      <c r="I249" s="4629"/>
      <c r="J249" s="5531"/>
      <c r="K249" s="5531"/>
      <c r="L249" s="5515"/>
      <c r="M249" s="5515"/>
      <c r="N249" s="5515"/>
      <c r="O249" s="5515"/>
      <c r="P249" s="5515"/>
      <c r="Q249" s="5515"/>
      <c r="R249" s="1084"/>
      <c r="S249" s="677"/>
      <c r="T249" s="1048"/>
      <c r="U249" s="643"/>
      <c r="V249" s="624"/>
      <c r="W249" s="624"/>
      <c r="X249" s="627"/>
      <c r="Y249" s="627"/>
      <c r="Z249" s="627"/>
      <c r="AA249" s="628"/>
      <c r="AB249" s="624"/>
      <c r="AC249" s="615"/>
      <c r="AD249" s="615"/>
      <c r="AE249" s="1019"/>
    </row>
    <row r="250" spans="1:31" ht="51.75" customHeight="1">
      <c r="A250" s="5504"/>
      <c r="B250" s="5487"/>
      <c r="C250" s="4629"/>
      <c r="D250" s="4629"/>
      <c r="E250" s="4629"/>
      <c r="F250" s="4629"/>
      <c r="G250" s="4629"/>
      <c r="H250" s="4629"/>
      <c r="I250" s="4629"/>
      <c r="J250" s="5531"/>
      <c r="K250" s="5531"/>
      <c r="L250" s="5515"/>
      <c r="M250" s="5515"/>
      <c r="N250" s="5515"/>
      <c r="O250" s="5515"/>
      <c r="P250" s="5515"/>
      <c r="Q250" s="5515"/>
      <c r="R250" s="1084"/>
      <c r="S250" s="677"/>
      <c r="T250" s="1080"/>
      <c r="U250" s="643"/>
      <c r="V250" s="624"/>
      <c r="W250" s="624"/>
      <c r="X250" s="627"/>
      <c r="Y250" s="627"/>
      <c r="Z250" s="627"/>
      <c r="AA250" s="628"/>
      <c r="AB250" s="624"/>
      <c r="AC250" s="615"/>
      <c r="AD250" s="615"/>
      <c r="AE250" s="1019"/>
    </row>
    <row r="251" spans="1:31" ht="51.75" customHeight="1">
      <c r="A251" s="5504"/>
      <c r="B251" s="5487"/>
      <c r="C251" s="4629"/>
      <c r="D251" s="4629"/>
      <c r="E251" s="4629"/>
      <c r="F251" s="4629"/>
      <c r="G251" s="4629"/>
      <c r="H251" s="4629"/>
      <c r="I251" s="4629"/>
      <c r="J251" s="5531"/>
      <c r="K251" s="5531"/>
      <c r="L251" s="5515"/>
      <c r="M251" s="5515"/>
      <c r="N251" s="5515"/>
      <c r="O251" s="5515"/>
      <c r="P251" s="5515"/>
      <c r="Q251" s="5515"/>
      <c r="R251" s="1084"/>
      <c r="S251" s="677"/>
      <c r="T251" s="1080"/>
      <c r="U251" s="1058"/>
      <c r="V251" s="624"/>
      <c r="W251" s="624"/>
      <c r="X251" s="627"/>
      <c r="Y251" s="627"/>
      <c r="Z251" s="627"/>
      <c r="AA251" s="628"/>
      <c r="AB251" s="624"/>
      <c r="AC251" s="615"/>
      <c r="AD251" s="615"/>
      <c r="AE251" s="1019"/>
    </row>
    <row r="252" spans="1:31" ht="27" customHeight="1">
      <c r="A252" s="5504"/>
      <c r="B252" s="5487"/>
      <c r="C252" s="4629"/>
      <c r="D252" s="4629"/>
      <c r="E252" s="4629"/>
      <c r="F252" s="4629"/>
      <c r="G252" s="4629"/>
      <c r="H252" s="4629"/>
      <c r="I252" s="4629"/>
      <c r="J252" s="5531"/>
      <c r="K252" s="5531"/>
      <c r="L252" s="5515"/>
      <c r="M252" s="5515"/>
      <c r="N252" s="5515"/>
      <c r="O252" s="5515"/>
      <c r="P252" s="5515"/>
      <c r="Q252" s="5515"/>
      <c r="R252" s="1084"/>
      <c r="S252" s="677"/>
      <c r="T252" s="1077"/>
      <c r="U252" s="643"/>
      <c r="V252" s="624"/>
      <c r="W252" s="624"/>
      <c r="X252" s="627"/>
      <c r="Y252" s="627"/>
      <c r="Z252" s="627"/>
      <c r="AA252" s="628"/>
      <c r="AB252" s="624"/>
      <c r="AC252" s="615"/>
      <c r="AD252" s="615"/>
      <c r="AE252" s="1019"/>
    </row>
    <row r="253" spans="1:31" ht="16.5" customHeight="1">
      <c r="A253" s="5504"/>
      <c r="B253" s="5487"/>
      <c r="C253" s="4629"/>
      <c r="D253" s="4629"/>
      <c r="E253" s="4629"/>
      <c r="F253" s="4629"/>
      <c r="G253" s="4629"/>
      <c r="H253" s="4629"/>
      <c r="I253" s="4629"/>
      <c r="J253" s="5531"/>
      <c r="K253" s="5531"/>
      <c r="L253" s="5515"/>
      <c r="M253" s="5515"/>
      <c r="N253" s="5515"/>
      <c r="O253" s="5515"/>
      <c r="P253" s="5515"/>
      <c r="Q253" s="5515"/>
      <c r="R253" s="1084"/>
      <c r="S253" s="461"/>
      <c r="T253" s="1077"/>
      <c r="U253" s="643"/>
      <c r="V253" s="624"/>
      <c r="W253" s="624"/>
      <c r="X253" s="627"/>
      <c r="Y253" s="627"/>
      <c r="Z253" s="627"/>
      <c r="AA253" s="628"/>
      <c r="AB253" s="624"/>
      <c r="AC253" s="615"/>
      <c r="AD253" s="615"/>
      <c r="AE253" s="1019"/>
    </row>
    <row r="254" spans="1:31" ht="16.5" customHeight="1">
      <c r="A254" s="5504"/>
      <c r="B254" s="5487"/>
      <c r="C254" s="4629"/>
      <c r="D254" s="4629"/>
      <c r="E254" s="4629"/>
      <c r="F254" s="4629"/>
      <c r="G254" s="4629"/>
      <c r="H254" s="4629"/>
      <c r="I254" s="4629"/>
      <c r="J254" s="5531"/>
      <c r="K254" s="5531"/>
      <c r="L254" s="5515"/>
      <c r="M254" s="5515"/>
      <c r="N254" s="5515"/>
      <c r="O254" s="5515"/>
      <c r="P254" s="5515"/>
      <c r="Q254" s="5515"/>
      <c r="R254" s="1084"/>
      <c r="S254" s="461"/>
      <c r="T254" s="1077"/>
      <c r="U254" s="642"/>
      <c r="V254" s="624"/>
      <c r="W254" s="624"/>
      <c r="X254" s="627"/>
      <c r="Y254" s="627"/>
      <c r="Z254" s="627"/>
      <c r="AA254" s="628"/>
      <c r="AB254" s="624"/>
      <c r="AC254" s="615"/>
      <c r="AD254" s="615"/>
      <c r="AE254" s="1019"/>
    </row>
    <row r="255" spans="1:31" ht="16.5" customHeight="1">
      <c r="A255" s="5504"/>
      <c r="B255" s="5487"/>
      <c r="C255" s="4629"/>
      <c r="D255" s="4629"/>
      <c r="E255" s="4629"/>
      <c r="F255" s="4629"/>
      <c r="G255" s="4629"/>
      <c r="H255" s="4629"/>
      <c r="I255" s="4629"/>
      <c r="J255" s="5531"/>
      <c r="K255" s="5532"/>
      <c r="L255" s="5510"/>
      <c r="M255" s="5510"/>
      <c r="N255" s="5510"/>
      <c r="O255" s="5536"/>
      <c r="P255" s="5536"/>
      <c r="Q255" s="5536"/>
      <c r="R255" s="1084"/>
      <c r="S255" s="617"/>
      <c r="T255" s="1078"/>
      <c r="U255" s="640"/>
      <c r="V255" s="636"/>
      <c r="W255" s="636"/>
      <c r="X255" s="637"/>
      <c r="Y255" s="637"/>
      <c r="Z255" s="637"/>
      <c r="AA255" s="638"/>
      <c r="AB255" s="636"/>
      <c r="AC255" s="615"/>
      <c r="AD255" s="622"/>
      <c r="AE255" s="1019"/>
    </row>
    <row r="256" spans="1:31" ht="33.75" customHeight="1">
      <c r="A256" s="5504"/>
      <c r="B256" s="5487"/>
      <c r="C256" s="4629"/>
      <c r="D256" s="4629"/>
      <c r="E256" s="4629"/>
      <c r="F256" s="4629"/>
      <c r="G256" s="4629"/>
      <c r="H256" s="4629"/>
      <c r="I256" s="4629"/>
      <c r="J256" s="5531"/>
      <c r="K256" s="5514" t="s">
        <v>2554</v>
      </c>
      <c r="L256" s="5533">
        <v>20</v>
      </c>
      <c r="M256" s="5533">
        <v>130</v>
      </c>
      <c r="N256" s="5533">
        <v>30</v>
      </c>
      <c r="O256" s="5542" t="s">
        <v>2555</v>
      </c>
      <c r="P256" s="5542" t="s">
        <v>2556</v>
      </c>
      <c r="Q256" s="5538" t="s">
        <v>2557</v>
      </c>
      <c r="R256" s="1084"/>
      <c r="S256" s="2079"/>
      <c r="T256" s="1042"/>
      <c r="U256" s="1043"/>
      <c r="V256" s="1044"/>
      <c r="W256" s="1044"/>
      <c r="X256" s="1045"/>
      <c r="Y256" s="1045"/>
      <c r="Z256" s="1045"/>
      <c r="AA256" s="1046"/>
      <c r="AB256" s="1044"/>
      <c r="AC256" s="2035"/>
      <c r="AD256" s="2035"/>
      <c r="AE256" s="1019"/>
    </row>
    <row r="257" spans="1:31" ht="16.5" customHeight="1">
      <c r="A257" s="5504"/>
      <c r="B257" s="5487"/>
      <c r="C257" s="4629"/>
      <c r="D257" s="4629"/>
      <c r="E257" s="4629"/>
      <c r="F257" s="4629"/>
      <c r="G257" s="4629"/>
      <c r="H257" s="4629"/>
      <c r="I257" s="4629"/>
      <c r="J257" s="5531"/>
      <c r="K257" s="5515"/>
      <c r="L257" s="5515"/>
      <c r="M257" s="5515"/>
      <c r="N257" s="5515"/>
      <c r="O257" s="5515"/>
      <c r="P257" s="5515"/>
      <c r="Q257" s="5515"/>
      <c r="R257" s="1084"/>
      <c r="S257" s="461"/>
      <c r="T257" s="641"/>
      <c r="U257" s="643"/>
      <c r="V257" s="624"/>
      <c r="W257" s="624"/>
      <c r="X257" s="627"/>
      <c r="Y257" s="627"/>
      <c r="Z257" s="627"/>
      <c r="AA257" s="628"/>
      <c r="AB257" s="624"/>
      <c r="AC257" s="615"/>
      <c r="AD257" s="615"/>
      <c r="AE257" s="1019"/>
    </row>
    <row r="258" spans="1:31" ht="16.5" customHeight="1">
      <c r="A258" s="5504"/>
      <c r="B258" s="5487"/>
      <c r="C258" s="4629"/>
      <c r="D258" s="4629"/>
      <c r="E258" s="4629"/>
      <c r="F258" s="4629"/>
      <c r="G258" s="4629"/>
      <c r="H258" s="4629"/>
      <c r="I258" s="4629"/>
      <c r="J258" s="5531"/>
      <c r="K258" s="5515"/>
      <c r="L258" s="5515"/>
      <c r="M258" s="5515"/>
      <c r="N258" s="5515"/>
      <c r="O258" s="5515"/>
      <c r="P258" s="5515"/>
      <c r="Q258" s="5515"/>
      <c r="R258" s="1084"/>
      <c r="S258" s="461"/>
      <c r="T258" s="641"/>
      <c r="U258" s="643"/>
      <c r="V258" s="624"/>
      <c r="W258" s="624"/>
      <c r="X258" s="627"/>
      <c r="Y258" s="627"/>
      <c r="Z258" s="627"/>
      <c r="AA258" s="628"/>
      <c r="AB258" s="624"/>
      <c r="AC258" s="615"/>
      <c r="AD258" s="615"/>
      <c r="AE258" s="1019"/>
    </row>
    <row r="259" spans="1:31" ht="16.5" customHeight="1">
      <c r="A259" s="5504"/>
      <c r="B259" s="5487"/>
      <c r="C259" s="4629"/>
      <c r="D259" s="4629"/>
      <c r="E259" s="4629"/>
      <c r="F259" s="4629"/>
      <c r="G259" s="4629"/>
      <c r="H259" s="4629"/>
      <c r="I259" s="4629"/>
      <c r="J259" s="5531"/>
      <c r="K259" s="5515"/>
      <c r="L259" s="5515"/>
      <c r="M259" s="5515"/>
      <c r="N259" s="5515"/>
      <c r="O259" s="5515"/>
      <c r="P259" s="5515"/>
      <c r="Q259" s="5515"/>
      <c r="R259" s="1084"/>
      <c r="S259" s="461"/>
      <c r="T259" s="641"/>
      <c r="U259" s="643"/>
      <c r="V259" s="624"/>
      <c r="W259" s="624"/>
      <c r="X259" s="627"/>
      <c r="Y259" s="627"/>
      <c r="Z259" s="627"/>
      <c r="AA259" s="628"/>
      <c r="AB259" s="624"/>
      <c r="AC259" s="615"/>
      <c r="AD259" s="615"/>
      <c r="AE259" s="1019"/>
    </row>
    <row r="260" spans="1:31" ht="16.5" customHeight="1">
      <c r="A260" s="5504"/>
      <c r="B260" s="5487"/>
      <c r="C260" s="4629"/>
      <c r="D260" s="4629"/>
      <c r="E260" s="4629"/>
      <c r="F260" s="4629"/>
      <c r="G260" s="4629"/>
      <c r="H260" s="4629"/>
      <c r="I260" s="4629"/>
      <c r="J260" s="5531"/>
      <c r="K260" s="5515"/>
      <c r="L260" s="5515"/>
      <c r="M260" s="5515"/>
      <c r="N260" s="5515"/>
      <c r="O260" s="5515"/>
      <c r="P260" s="5515"/>
      <c r="Q260" s="5515"/>
      <c r="R260" s="1084"/>
      <c r="S260" s="461"/>
      <c r="T260" s="641"/>
      <c r="U260" s="643"/>
      <c r="V260" s="624"/>
      <c r="W260" s="624"/>
      <c r="X260" s="627"/>
      <c r="Y260" s="627"/>
      <c r="Z260" s="627"/>
      <c r="AA260" s="628"/>
      <c r="AB260" s="624"/>
      <c r="AC260" s="615"/>
      <c r="AD260" s="615"/>
      <c r="AE260" s="1019"/>
    </row>
    <row r="261" spans="1:31" ht="16.5" customHeight="1">
      <c r="A261" s="5504"/>
      <c r="B261" s="5487"/>
      <c r="C261" s="4629"/>
      <c r="D261" s="4629"/>
      <c r="E261" s="4629"/>
      <c r="F261" s="4629"/>
      <c r="G261" s="4629"/>
      <c r="H261" s="4629"/>
      <c r="I261" s="4629"/>
      <c r="J261" s="5531"/>
      <c r="K261" s="5515"/>
      <c r="L261" s="5515"/>
      <c r="M261" s="5515"/>
      <c r="N261" s="5515"/>
      <c r="O261" s="5515"/>
      <c r="P261" s="5515"/>
      <c r="Q261" s="5515"/>
      <c r="R261" s="1084"/>
      <c r="S261" s="461"/>
      <c r="T261" s="641"/>
      <c r="U261" s="643"/>
      <c r="V261" s="624"/>
      <c r="W261" s="624"/>
      <c r="X261" s="627"/>
      <c r="Y261" s="627"/>
      <c r="Z261" s="627"/>
      <c r="AA261" s="628"/>
      <c r="AB261" s="624"/>
      <c r="AC261" s="615"/>
      <c r="AD261" s="615"/>
      <c r="AE261" s="1019"/>
    </row>
    <row r="262" spans="1:31" ht="16.5" customHeight="1">
      <c r="A262" s="5504"/>
      <c r="B262" s="5487"/>
      <c r="C262" s="4629"/>
      <c r="D262" s="4629"/>
      <c r="E262" s="4629"/>
      <c r="F262" s="4629"/>
      <c r="G262" s="4629"/>
      <c r="H262" s="4629"/>
      <c r="I262" s="4629"/>
      <c r="J262" s="5531"/>
      <c r="K262" s="5515"/>
      <c r="L262" s="5515"/>
      <c r="M262" s="5515"/>
      <c r="N262" s="5515"/>
      <c r="O262" s="5515"/>
      <c r="P262" s="5515"/>
      <c r="Q262" s="5515"/>
      <c r="R262" s="1084"/>
      <c r="S262" s="461"/>
      <c r="T262" s="641"/>
      <c r="U262" s="643"/>
      <c r="V262" s="624"/>
      <c r="W262" s="624"/>
      <c r="X262" s="627"/>
      <c r="Y262" s="627"/>
      <c r="Z262" s="627"/>
      <c r="AA262" s="628"/>
      <c r="AB262" s="624"/>
      <c r="AC262" s="615"/>
      <c r="AD262" s="615"/>
      <c r="AE262" s="1019"/>
    </row>
    <row r="263" spans="1:31" ht="16.5" customHeight="1">
      <c r="A263" s="5504"/>
      <c r="B263" s="5487"/>
      <c r="C263" s="4629"/>
      <c r="D263" s="4629"/>
      <c r="E263" s="4629"/>
      <c r="F263" s="4629"/>
      <c r="G263" s="4629"/>
      <c r="H263" s="4629"/>
      <c r="I263" s="4629"/>
      <c r="J263" s="5531"/>
      <c r="K263" s="5515"/>
      <c r="L263" s="5515"/>
      <c r="M263" s="5515"/>
      <c r="N263" s="5515"/>
      <c r="O263" s="5515"/>
      <c r="P263" s="5515"/>
      <c r="Q263" s="5515"/>
      <c r="R263" s="1084"/>
      <c r="S263" s="461"/>
      <c r="T263" s="641"/>
      <c r="U263" s="643"/>
      <c r="V263" s="624"/>
      <c r="W263" s="624"/>
      <c r="X263" s="627"/>
      <c r="Y263" s="627"/>
      <c r="Z263" s="627"/>
      <c r="AA263" s="628"/>
      <c r="AB263" s="624"/>
      <c r="AC263" s="615"/>
      <c r="AD263" s="615"/>
      <c r="AE263" s="1019"/>
    </row>
    <row r="264" spans="1:31" ht="16.5" customHeight="1">
      <c r="A264" s="5504"/>
      <c r="B264" s="5487"/>
      <c r="C264" s="4629"/>
      <c r="D264" s="4629"/>
      <c r="E264" s="4629"/>
      <c r="F264" s="4629"/>
      <c r="G264" s="4629"/>
      <c r="H264" s="4629"/>
      <c r="I264" s="4629"/>
      <c r="J264" s="5531"/>
      <c r="K264" s="5515"/>
      <c r="L264" s="5515"/>
      <c r="M264" s="5515"/>
      <c r="N264" s="5515"/>
      <c r="O264" s="5515"/>
      <c r="P264" s="5515"/>
      <c r="Q264" s="5515"/>
      <c r="R264" s="1084"/>
      <c r="S264" s="461"/>
      <c r="T264" s="641"/>
      <c r="U264" s="643"/>
      <c r="V264" s="624"/>
      <c r="W264" s="624"/>
      <c r="X264" s="627"/>
      <c r="Y264" s="627"/>
      <c r="Z264" s="627"/>
      <c r="AA264" s="628"/>
      <c r="AB264" s="624"/>
      <c r="AC264" s="615"/>
      <c r="AD264" s="615"/>
      <c r="AE264" s="1019"/>
    </row>
    <row r="265" spans="1:31" ht="16.5" customHeight="1">
      <c r="A265" s="5504"/>
      <c r="B265" s="5487"/>
      <c r="C265" s="4629"/>
      <c r="D265" s="4629"/>
      <c r="E265" s="4629"/>
      <c r="F265" s="4629"/>
      <c r="G265" s="4629"/>
      <c r="H265" s="4629"/>
      <c r="I265" s="4629"/>
      <c r="J265" s="5531"/>
      <c r="K265" s="5515"/>
      <c r="L265" s="5515"/>
      <c r="M265" s="5515"/>
      <c r="N265" s="5515"/>
      <c r="O265" s="5515"/>
      <c r="P265" s="5515"/>
      <c r="Q265" s="5515"/>
      <c r="R265" s="1084"/>
      <c r="S265" s="461"/>
      <c r="T265" s="641"/>
      <c r="U265" s="643"/>
      <c r="V265" s="624"/>
      <c r="W265" s="624"/>
      <c r="X265" s="627"/>
      <c r="Y265" s="627"/>
      <c r="Z265" s="627"/>
      <c r="AA265" s="628"/>
      <c r="AB265" s="624"/>
      <c r="AC265" s="615"/>
      <c r="AD265" s="615"/>
      <c r="AE265" s="1019"/>
    </row>
    <row r="266" spans="1:31" ht="16.5" customHeight="1">
      <c r="A266" s="5504"/>
      <c r="B266" s="5487"/>
      <c r="C266" s="4629"/>
      <c r="D266" s="4629"/>
      <c r="E266" s="4629"/>
      <c r="F266" s="4629"/>
      <c r="G266" s="4629"/>
      <c r="H266" s="4629"/>
      <c r="I266" s="4629"/>
      <c r="J266" s="5531"/>
      <c r="K266" s="5515"/>
      <c r="L266" s="5515"/>
      <c r="M266" s="5515"/>
      <c r="N266" s="5515"/>
      <c r="O266" s="5515"/>
      <c r="P266" s="5515"/>
      <c r="Q266" s="5515"/>
      <c r="R266" s="1084"/>
      <c r="S266" s="461"/>
      <c r="T266" s="641"/>
      <c r="U266" s="643"/>
      <c r="V266" s="624"/>
      <c r="W266" s="624"/>
      <c r="X266" s="627"/>
      <c r="Y266" s="627"/>
      <c r="Z266" s="627"/>
      <c r="AA266" s="628"/>
      <c r="AB266" s="624"/>
      <c r="AC266" s="615"/>
      <c r="AD266" s="615"/>
      <c r="AE266" s="1019"/>
    </row>
    <row r="267" spans="1:31" ht="16.5" customHeight="1">
      <c r="A267" s="5504"/>
      <c r="B267" s="5487"/>
      <c r="C267" s="4629"/>
      <c r="D267" s="4629"/>
      <c r="E267" s="4629"/>
      <c r="F267" s="4629"/>
      <c r="G267" s="4629"/>
      <c r="H267" s="4629"/>
      <c r="I267" s="4629"/>
      <c r="J267" s="5531"/>
      <c r="K267" s="5515"/>
      <c r="L267" s="5515"/>
      <c r="M267" s="5515"/>
      <c r="N267" s="5515"/>
      <c r="O267" s="5515"/>
      <c r="P267" s="5515"/>
      <c r="Q267" s="5515"/>
      <c r="R267" s="1084"/>
      <c r="S267" s="461"/>
      <c r="T267" s="641"/>
      <c r="U267" s="643"/>
      <c r="V267" s="624"/>
      <c r="W267" s="624"/>
      <c r="X267" s="627"/>
      <c r="Y267" s="627"/>
      <c r="Z267" s="627"/>
      <c r="AA267" s="628"/>
      <c r="AB267" s="624"/>
      <c r="AC267" s="615"/>
      <c r="AD267" s="615"/>
      <c r="AE267" s="1019"/>
    </row>
    <row r="268" spans="1:31" ht="16.5" customHeight="1">
      <c r="A268" s="5504"/>
      <c r="B268" s="5487"/>
      <c r="C268" s="4629"/>
      <c r="D268" s="4629"/>
      <c r="E268" s="4629"/>
      <c r="F268" s="4629"/>
      <c r="G268" s="4629"/>
      <c r="H268" s="4629"/>
      <c r="I268" s="4629"/>
      <c r="J268" s="5531"/>
      <c r="K268" s="5515"/>
      <c r="L268" s="5515"/>
      <c r="M268" s="5515"/>
      <c r="N268" s="5515"/>
      <c r="O268" s="5515"/>
      <c r="P268" s="5515"/>
      <c r="Q268" s="5515"/>
      <c r="R268" s="1084"/>
      <c r="S268" s="461"/>
      <c r="T268" s="641"/>
      <c r="U268" s="643"/>
      <c r="V268" s="624"/>
      <c r="W268" s="624"/>
      <c r="X268" s="627"/>
      <c r="Y268" s="627"/>
      <c r="Z268" s="627"/>
      <c r="AA268" s="628"/>
      <c r="AB268" s="624"/>
      <c r="AC268" s="615"/>
      <c r="AD268" s="615"/>
      <c r="AE268" s="1019"/>
    </row>
    <row r="269" spans="1:31" ht="16.5" customHeight="1">
      <c r="A269" s="5504"/>
      <c r="B269" s="5487"/>
      <c r="C269" s="4629"/>
      <c r="D269" s="4629"/>
      <c r="E269" s="4629"/>
      <c r="F269" s="4629"/>
      <c r="G269" s="4629"/>
      <c r="H269" s="4629"/>
      <c r="I269" s="4629"/>
      <c r="J269" s="5531"/>
      <c r="K269" s="5515"/>
      <c r="L269" s="5515"/>
      <c r="M269" s="5515"/>
      <c r="N269" s="5515"/>
      <c r="O269" s="5515"/>
      <c r="P269" s="5515"/>
      <c r="Q269" s="5515"/>
      <c r="R269" s="1084"/>
      <c r="S269" s="461"/>
      <c r="T269" s="641"/>
      <c r="U269" s="643"/>
      <c r="V269" s="624"/>
      <c r="W269" s="624"/>
      <c r="X269" s="627"/>
      <c r="Y269" s="627"/>
      <c r="Z269" s="627"/>
      <c r="AA269" s="628"/>
      <c r="AB269" s="624"/>
      <c r="AC269" s="615"/>
      <c r="AD269" s="615"/>
      <c r="AE269" s="1019"/>
    </row>
    <row r="270" spans="1:31" ht="16.5" customHeight="1">
      <c r="A270" s="5504"/>
      <c r="B270" s="5487"/>
      <c r="C270" s="4629"/>
      <c r="D270" s="4629"/>
      <c r="E270" s="4629"/>
      <c r="F270" s="4629"/>
      <c r="G270" s="4629"/>
      <c r="H270" s="4629"/>
      <c r="I270" s="4629"/>
      <c r="J270" s="5531"/>
      <c r="K270" s="5515"/>
      <c r="L270" s="5515"/>
      <c r="M270" s="5515"/>
      <c r="N270" s="5515"/>
      <c r="O270" s="5515"/>
      <c r="P270" s="5515"/>
      <c r="Q270" s="5515"/>
      <c r="R270" s="1084"/>
      <c r="S270" s="461"/>
      <c r="T270" s="641"/>
      <c r="U270" s="643"/>
      <c r="V270" s="624"/>
      <c r="W270" s="624"/>
      <c r="X270" s="627"/>
      <c r="Y270" s="627"/>
      <c r="Z270" s="627"/>
      <c r="AA270" s="628"/>
      <c r="AB270" s="624"/>
      <c r="AC270" s="615"/>
      <c r="AD270" s="615"/>
      <c r="AE270" s="1019"/>
    </row>
    <row r="271" spans="1:31" ht="16.5" customHeight="1">
      <c r="A271" s="5504"/>
      <c r="B271" s="5487"/>
      <c r="C271" s="4629"/>
      <c r="D271" s="4629"/>
      <c r="E271" s="4629"/>
      <c r="F271" s="4629"/>
      <c r="G271" s="4629"/>
      <c r="H271" s="4629"/>
      <c r="I271" s="4629"/>
      <c r="J271" s="5531"/>
      <c r="K271" s="5515"/>
      <c r="L271" s="5515"/>
      <c r="M271" s="5515"/>
      <c r="N271" s="5515"/>
      <c r="O271" s="5515"/>
      <c r="P271" s="5515"/>
      <c r="Q271" s="5515"/>
      <c r="R271" s="1084"/>
      <c r="S271" s="461"/>
      <c r="T271" s="641"/>
      <c r="U271" s="643"/>
      <c r="V271" s="624"/>
      <c r="W271" s="624"/>
      <c r="X271" s="627"/>
      <c r="Y271" s="627"/>
      <c r="Z271" s="627"/>
      <c r="AA271" s="628"/>
      <c r="AB271" s="624"/>
      <c r="AC271" s="615"/>
      <c r="AD271" s="615"/>
      <c r="AE271" s="1019"/>
    </row>
    <row r="272" spans="1:31" ht="16.5" customHeight="1">
      <c r="A272" s="5504"/>
      <c r="B272" s="5487"/>
      <c r="C272" s="4629"/>
      <c r="D272" s="4629"/>
      <c r="E272" s="4629"/>
      <c r="F272" s="4629"/>
      <c r="G272" s="4629"/>
      <c r="H272" s="4629"/>
      <c r="I272" s="4629"/>
      <c r="J272" s="5531"/>
      <c r="K272" s="5515"/>
      <c r="L272" s="5515"/>
      <c r="M272" s="5515"/>
      <c r="N272" s="5515"/>
      <c r="O272" s="5515"/>
      <c r="P272" s="5515"/>
      <c r="Q272" s="5515"/>
      <c r="R272" s="1084"/>
      <c r="S272" s="461"/>
      <c r="T272" s="641"/>
      <c r="U272" s="643"/>
      <c r="V272" s="624"/>
      <c r="W272" s="624"/>
      <c r="X272" s="627"/>
      <c r="Y272" s="627"/>
      <c r="Z272" s="627"/>
      <c r="AA272" s="628"/>
      <c r="AB272" s="624"/>
      <c r="AC272" s="615"/>
      <c r="AD272" s="615"/>
      <c r="AE272" s="1019"/>
    </row>
    <row r="273" spans="1:31" ht="16.5" customHeight="1">
      <c r="A273" s="5504"/>
      <c r="B273" s="5487"/>
      <c r="C273" s="4629"/>
      <c r="D273" s="4629"/>
      <c r="E273" s="4629"/>
      <c r="F273" s="4629"/>
      <c r="G273" s="4629"/>
      <c r="H273" s="4629"/>
      <c r="I273" s="4629"/>
      <c r="J273" s="5531"/>
      <c r="K273" s="5515"/>
      <c r="L273" s="5515"/>
      <c r="M273" s="5515"/>
      <c r="N273" s="5515"/>
      <c r="O273" s="5515"/>
      <c r="P273" s="5515"/>
      <c r="Q273" s="5515"/>
      <c r="R273" s="1084"/>
      <c r="S273" s="461"/>
      <c r="T273" s="641"/>
      <c r="U273" s="643"/>
      <c r="V273" s="624"/>
      <c r="W273" s="624"/>
      <c r="X273" s="627"/>
      <c r="Y273" s="627"/>
      <c r="Z273" s="627"/>
      <c r="AA273" s="628"/>
      <c r="AB273" s="624"/>
      <c r="AC273" s="615"/>
      <c r="AD273" s="615"/>
      <c r="AE273" s="1019"/>
    </row>
    <row r="274" spans="1:31" ht="16.5" customHeight="1">
      <c r="A274" s="5504"/>
      <c r="B274" s="5487"/>
      <c r="C274" s="4629"/>
      <c r="D274" s="4629"/>
      <c r="E274" s="4629"/>
      <c r="F274" s="4629"/>
      <c r="G274" s="4629"/>
      <c r="H274" s="4629"/>
      <c r="I274" s="4629"/>
      <c r="J274" s="5531"/>
      <c r="K274" s="5515"/>
      <c r="L274" s="5515"/>
      <c r="M274" s="5515"/>
      <c r="N274" s="5515"/>
      <c r="O274" s="5515"/>
      <c r="P274" s="5515"/>
      <c r="Q274" s="5515"/>
      <c r="R274" s="1084"/>
      <c r="S274" s="461"/>
      <c r="T274" s="641"/>
      <c r="U274" s="643"/>
      <c r="V274" s="624"/>
      <c r="W274" s="624"/>
      <c r="X274" s="627"/>
      <c r="Y274" s="627"/>
      <c r="Z274" s="627"/>
      <c r="AA274" s="628"/>
      <c r="AB274" s="624"/>
      <c r="AC274" s="615"/>
      <c r="AD274" s="615"/>
      <c r="AE274" s="1019"/>
    </row>
    <row r="275" spans="1:31" ht="16.5" customHeight="1">
      <c r="A275" s="5504"/>
      <c r="B275" s="5487"/>
      <c r="C275" s="4629"/>
      <c r="D275" s="4629"/>
      <c r="E275" s="4629"/>
      <c r="F275" s="4629"/>
      <c r="G275" s="4629"/>
      <c r="H275" s="4629"/>
      <c r="I275" s="4629"/>
      <c r="J275" s="5531"/>
      <c r="K275" s="5515"/>
      <c r="L275" s="5515"/>
      <c r="M275" s="5515"/>
      <c r="N275" s="5515"/>
      <c r="O275" s="5515"/>
      <c r="P275" s="5515"/>
      <c r="Q275" s="5515"/>
      <c r="R275" s="1084"/>
      <c r="S275" s="461"/>
      <c r="T275" s="641"/>
      <c r="U275" s="643"/>
      <c r="V275" s="624"/>
      <c r="W275" s="624"/>
      <c r="X275" s="627"/>
      <c r="Y275" s="627"/>
      <c r="Z275" s="627"/>
      <c r="AA275" s="628"/>
      <c r="AB275" s="624"/>
      <c r="AC275" s="615"/>
      <c r="AD275" s="615"/>
      <c r="AE275" s="1019"/>
    </row>
    <row r="276" spans="1:31" ht="16.5" customHeight="1">
      <c r="A276" s="5504"/>
      <c r="B276" s="5487"/>
      <c r="C276" s="4629"/>
      <c r="D276" s="4629"/>
      <c r="E276" s="4629"/>
      <c r="F276" s="4629"/>
      <c r="G276" s="4629"/>
      <c r="H276" s="4629"/>
      <c r="I276" s="4629"/>
      <c r="J276" s="5531"/>
      <c r="K276" s="5515"/>
      <c r="L276" s="5515"/>
      <c r="M276" s="5515"/>
      <c r="N276" s="5515"/>
      <c r="O276" s="5515"/>
      <c r="P276" s="5515"/>
      <c r="Q276" s="5515"/>
      <c r="R276" s="1084"/>
      <c r="S276" s="461"/>
      <c r="T276" s="641"/>
      <c r="U276" s="643"/>
      <c r="V276" s="624"/>
      <c r="W276" s="624"/>
      <c r="X276" s="627"/>
      <c r="Y276" s="627"/>
      <c r="Z276" s="627"/>
      <c r="AA276" s="628"/>
      <c r="AB276" s="624"/>
      <c r="AC276" s="615"/>
      <c r="AD276" s="615"/>
      <c r="AE276" s="1019"/>
    </row>
    <row r="277" spans="1:31" ht="16.5" customHeight="1">
      <c r="A277" s="5504"/>
      <c r="B277" s="5487"/>
      <c r="C277" s="4629"/>
      <c r="D277" s="4629"/>
      <c r="E277" s="4629"/>
      <c r="F277" s="4629"/>
      <c r="G277" s="4629"/>
      <c r="H277" s="4629"/>
      <c r="I277" s="4629"/>
      <c r="J277" s="5531"/>
      <c r="K277" s="5515"/>
      <c r="L277" s="5515"/>
      <c r="M277" s="5515"/>
      <c r="N277" s="5515"/>
      <c r="O277" s="5515"/>
      <c r="P277" s="5515"/>
      <c r="Q277" s="5515"/>
      <c r="R277" s="1084"/>
      <c r="S277" s="461"/>
      <c r="T277" s="1085"/>
      <c r="U277" s="643"/>
      <c r="V277" s="624"/>
      <c r="W277" s="624"/>
      <c r="X277" s="627"/>
      <c r="Y277" s="627"/>
      <c r="Z277" s="627"/>
      <c r="AA277" s="628"/>
      <c r="AB277" s="624"/>
      <c r="AC277" s="615"/>
      <c r="AD277" s="615"/>
      <c r="AE277" s="1019"/>
    </row>
    <row r="278" spans="1:31" ht="16.5" customHeight="1">
      <c r="A278" s="5504"/>
      <c r="B278" s="5487"/>
      <c r="C278" s="4629"/>
      <c r="D278" s="4629"/>
      <c r="E278" s="4629"/>
      <c r="F278" s="4629"/>
      <c r="G278" s="4629"/>
      <c r="H278" s="4629"/>
      <c r="I278" s="4629"/>
      <c r="J278" s="5531"/>
      <c r="K278" s="5510"/>
      <c r="L278" s="5510"/>
      <c r="M278" s="5510"/>
      <c r="N278" s="5510"/>
      <c r="O278" s="5536"/>
      <c r="P278" s="5536"/>
      <c r="Q278" s="5536"/>
      <c r="R278" s="1084"/>
      <c r="S278" s="617"/>
      <c r="T278" s="1086"/>
      <c r="U278" s="640"/>
      <c r="V278" s="636"/>
      <c r="W278" s="636"/>
      <c r="X278" s="637"/>
      <c r="Y278" s="637"/>
      <c r="Z278" s="637"/>
      <c r="AA278" s="638"/>
      <c r="AB278" s="636"/>
      <c r="AC278" s="622"/>
      <c r="AD278" s="622"/>
      <c r="AE278" s="1019"/>
    </row>
    <row r="279" spans="1:31" ht="39.75" customHeight="1">
      <c r="A279" s="5504"/>
      <c r="B279" s="5487"/>
      <c r="C279" s="4629"/>
      <c r="D279" s="4629"/>
      <c r="E279" s="4629"/>
      <c r="F279" s="4629"/>
      <c r="G279" s="4629"/>
      <c r="H279" s="4629"/>
      <c r="I279" s="4629"/>
      <c r="J279" s="5531"/>
      <c r="K279" s="5514" t="s">
        <v>2558</v>
      </c>
      <c r="L279" s="5534">
        <v>7</v>
      </c>
      <c r="M279" s="5497">
        <v>138</v>
      </c>
      <c r="N279" s="5497">
        <v>19</v>
      </c>
      <c r="O279" s="5539" t="s">
        <v>2559</v>
      </c>
      <c r="P279" s="5539" t="s">
        <v>2560</v>
      </c>
      <c r="Q279" s="5543" t="s">
        <v>2561</v>
      </c>
      <c r="R279" s="1084"/>
      <c r="S279" s="2079"/>
      <c r="T279" s="1042"/>
      <c r="U279" s="1082"/>
      <c r="V279" s="1044"/>
      <c r="W279" s="1044"/>
      <c r="X279" s="1045"/>
      <c r="Y279" s="1045"/>
      <c r="Z279" s="1045"/>
      <c r="AA279" s="1046"/>
      <c r="AB279" s="1044"/>
      <c r="AC279" s="2035"/>
      <c r="AD279" s="2035"/>
      <c r="AE279" s="1019"/>
    </row>
    <row r="280" spans="1:31" ht="16.5" customHeight="1">
      <c r="A280" s="5504"/>
      <c r="B280" s="5487"/>
      <c r="C280" s="4629"/>
      <c r="D280" s="4629"/>
      <c r="E280" s="4629"/>
      <c r="F280" s="4629"/>
      <c r="G280" s="4629"/>
      <c r="H280" s="4629"/>
      <c r="I280" s="4629"/>
      <c r="J280" s="5531"/>
      <c r="K280" s="5515"/>
      <c r="L280" s="5535"/>
      <c r="M280" s="4629"/>
      <c r="N280" s="4629"/>
      <c r="O280" s="4629"/>
      <c r="P280" s="4629"/>
      <c r="Q280" s="5507"/>
      <c r="R280" s="1084"/>
      <c r="S280" s="677"/>
      <c r="T280" s="1048"/>
      <c r="U280" s="1053"/>
      <c r="V280" s="641"/>
      <c r="W280" s="641"/>
      <c r="X280" s="627"/>
      <c r="Y280" s="627"/>
      <c r="Z280" s="627"/>
      <c r="AA280" s="628"/>
      <c r="AB280" s="624"/>
      <c r="AC280" s="615"/>
      <c r="AD280" s="615"/>
      <c r="AE280" s="1019"/>
    </row>
    <row r="281" spans="1:31" ht="16.5" customHeight="1">
      <c r="A281" s="5504"/>
      <c r="B281" s="5487"/>
      <c r="C281" s="4629"/>
      <c r="D281" s="4629"/>
      <c r="E281" s="4629"/>
      <c r="F281" s="4629"/>
      <c r="G281" s="4629"/>
      <c r="H281" s="4629"/>
      <c r="I281" s="4629"/>
      <c r="J281" s="5531"/>
      <c r="K281" s="5515"/>
      <c r="L281" s="5535"/>
      <c r="M281" s="4629"/>
      <c r="N281" s="4629"/>
      <c r="O281" s="4629"/>
      <c r="P281" s="4629"/>
      <c r="Q281" s="5507"/>
      <c r="R281" s="1084"/>
      <c r="S281" s="677"/>
      <c r="T281" s="1048"/>
      <c r="U281" s="1027"/>
      <c r="V281" s="624"/>
      <c r="W281" s="641"/>
      <c r="X281" s="627"/>
      <c r="Y281" s="627"/>
      <c r="Z281" s="627"/>
      <c r="AA281" s="628"/>
      <c r="AB281" s="624"/>
      <c r="AC281" s="615"/>
      <c r="AD281" s="615"/>
      <c r="AE281" s="1019"/>
    </row>
    <row r="282" spans="1:31" ht="34.5" customHeight="1">
      <c r="A282" s="5504"/>
      <c r="B282" s="5487"/>
      <c r="C282" s="4629"/>
      <c r="D282" s="4629"/>
      <c r="E282" s="4629"/>
      <c r="F282" s="4629"/>
      <c r="G282" s="4629"/>
      <c r="H282" s="4629"/>
      <c r="I282" s="4629"/>
      <c r="J282" s="5531"/>
      <c r="K282" s="5515"/>
      <c r="L282" s="5535"/>
      <c r="M282" s="4629"/>
      <c r="N282" s="4629"/>
      <c r="O282" s="4629"/>
      <c r="P282" s="4629"/>
      <c r="Q282" s="5507"/>
      <c r="R282" s="1084"/>
      <c r="S282" s="461"/>
      <c r="T282" s="641"/>
      <c r="U282" s="1027"/>
      <c r="V282" s="624"/>
      <c r="W282" s="624"/>
      <c r="X282" s="627"/>
      <c r="Y282" s="627"/>
      <c r="Z282" s="627"/>
      <c r="AA282" s="628"/>
      <c r="AB282" s="624"/>
      <c r="AC282" s="615"/>
      <c r="AD282" s="615"/>
      <c r="AE282" s="1019"/>
    </row>
    <row r="283" spans="1:31" ht="34.5" customHeight="1">
      <c r="A283" s="5504"/>
      <c r="B283" s="5487"/>
      <c r="C283" s="4629"/>
      <c r="D283" s="4629"/>
      <c r="E283" s="4629"/>
      <c r="F283" s="4629"/>
      <c r="G283" s="4629"/>
      <c r="H283" s="4629"/>
      <c r="I283" s="4629"/>
      <c r="J283" s="5531"/>
      <c r="K283" s="5515"/>
      <c r="L283" s="5535"/>
      <c r="M283" s="4629"/>
      <c r="N283" s="4629"/>
      <c r="O283" s="4629"/>
      <c r="P283" s="4629"/>
      <c r="Q283" s="5507"/>
      <c r="R283" s="1084"/>
      <c r="S283" s="461"/>
      <c r="T283" s="641"/>
      <c r="U283" s="1027"/>
      <c r="V283" s="624"/>
      <c r="W283" s="624"/>
      <c r="X283" s="627"/>
      <c r="Y283" s="627"/>
      <c r="Z283" s="627"/>
      <c r="AA283" s="628"/>
      <c r="AB283" s="624"/>
      <c r="AC283" s="615"/>
      <c r="AD283" s="615"/>
      <c r="AE283" s="1019"/>
    </row>
    <row r="284" spans="1:31" ht="34.5" customHeight="1">
      <c r="A284" s="5504"/>
      <c r="B284" s="5487"/>
      <c r="C284" s="4629"/>
      <c r="D284" s="4629"/>
      <c r="E284" s="4629"/>
      <c r="F284" s="4629"/>
      <c r="G284" s="4629"/>
      <c r="H284" s="4629"/>
      <c r="I284" s="4629"/>
      <c r="J284" s="5531"/>
      <c r="K284" s="5515"/>
      <c r="L284" s="5535"/>
      <c r="M284" s="4629"/>
      <c r="N284" s="4629"/>
      <c r="O284" s="4629"/>
      <c r="P284" s="4629"/>
      <c r="Q284" s="5507"/>
      <c r="R284" s="1084"/>
      <c r="S284" s="461"/>
      <c r="T284" s="641"/>
      <c r="U284" s="1027"/>
      <c r="V284" s="624"/>
      <c r="W284" s="624"/>
      <c r="X284" s="627"/>
      <c r="Y284" s="627"/>
      <c r="Z284" s="627"/>
      <c r="AA284" s="628"/>
      <c r="AB284" s="624"/>
      <c r="AC284" s="615"/>
      <c r="AD284" s="615"/>
      <c r="AE284" s="1019"/>
    </row>
    <row r="285" spans="1:31" ht="34.5" customHeight="1">
      <c r="A285" s="5504"/>
      <c r="B285" s="5488"/>
      <c r="C285" s="4630"/>
      <c r="D285" s="4630"/>
      <c r="E285" s="4630"/>
      <c r="F285" s="4630"/>
      <c r="G285" s="4630"/>
      <c r="H285" s="4630"/>
      <c r="I285" s="4630"/>
      <c r="J285" s="5532"/>
      <c r="K285" s="5510"/>
      <c r="L285" s="5335"/>
      <c r="M285" s="4630"/>
      <c r="N285" s="4630"/>
      <c r="O285" s="5491"/>
      <c r="P285" s="5491"/>
      <c r="Q285" s="5544"/>
      <c r="R285" s="1084"/>
      <c r="S285" s="2031"/>
      <c r="T285" s="2036"/>
      <c r="U285" s="2090"/>
      <c r="V285" s="1060"/>
      <c r="W285" s="1060"/>
      <c r="X285" s="1087"/>
      <c r="Y285" s="1087"/>
      <c r="Z285" s="1087"/>
      <c r="AA285" s="2037"/>
      <c r="AB285" s="1060"/>
      <c r="AC285" s="1061"/>
      <c r="AD285" s="1061"/>
      <c r="AE285" s="1731"/>
    </row>
    <row r="286" spans="1:31" ht="34.5" customHeight="1">
      <c r="A286" s="5504"/>
      <c r="B286" s="5486" t="s">
        <v>235</v>
      </c>
      <c r="C286" s="5489" t="s">
        <v>236</v>
      </c>
      <c r="D286" s="5489" t="s">
        <v>244</v>
      </c>
      <c r="E286" s="5489" t="s">
        <v>292</v>
      </c>
      <c r="F286" s="5492" t="s">
        <v>239</v>
      </c>
      <c r="G286" s="5489" t="s">
        <v>293</v>
      </c>
      <c r="H286" s="5489" t="s">
        <v>278</v>
      </c>
      <c r="I286" s="5489" t="s">
        <v>2562</v>
      </c>
      <c r="J286" s="5489" t="s">
        <v>1596</v>
      </c>
      <c r="K286" s="5489" t="s">
        <v>2563</v>
      </c>
      <c r="L286" s="5497">
        <v>0</v>
      </c>
      <c r="M286" s="5497">
        <v>5</v>
      </c>
      <c r="N286" s="5497">
        <v>5</v>
      </c>
      <c r="O286" s="5523" t="s">
        <v>2564</v>
      </c>
      <c r="P286" s="5523" t="s">
        <v>2565</v>
      </c>
      <c r="Q286" s="5540" t="s">
        <v>2566</v>
      </c>
      <c r="R286" s="1088"/>
      <c r="S286" s="999"/>
      <c r="T286" s="678"/>
      <c r="U286" s="1089"/>
      <c r="V286" s="632"/>
      <c r="W286" s="632"/>
      <c r="X286" s="633"/>
      <c r="Y286" s="633"/>
      <c r="Z286" s="633"/>
      <c r="AA286" s="625"/>
      <c r="AB286" s="632"/>
      <c r="AC286" s="611"/>
      <c r="AD286" s="611"/>
      <c r="AE286" s="1725" t="s">
        <v>2013</v>
      </c>
    </row>
    <row r="287" spans="1:31" ht="54.75" customHeight="1">
      <c r="A287" s="5504"/>
      <c r="B287" s="5487"/>
      <c r="C287" s="4629"/>
      <c r="D287" s="4629"/>
      <c r="E287" s="4629"/>
      <c r="F287" s="4629"/>
      <c r="G287" s="4629"/>
      <c r="H287" s="4629"/>
      <c r="I287" s="4629"/>
      <c r="J287" s="4629"/>
      <c r="K287" s="4629"/>
      <c r="L287" s="4629"/>
      <c r="M287" s="4629"/>
      <c r="N287" s="4629"/>
      <c r="O287" s="4629"/>
      <c r="P287" s="4629"/>
      <c r="Q287" s="5500"/>
      <c r="R287" s="1090"/>
      <c r="S287" s="1000"/>
      <c r="T287" s="641"/>
      <c r="U287" s="1027"/>
      <c r="V287" s="624"/>
      <c r="W287" s="624"/>
      <c r="X287" s="627"/>
      <c r="Y287" s="627"/>
      <c r="Z287" s="627"/>
      <c r="AA287" s="628"/>
      <c r="AB287" s="624"/>
      <c r="AC287" s="615"/>
      <c r="AD287" s="615"/>
      <c r="AE287" s="1004"/>
    </row>
    <row r="288" spans="1:31" ht="54.75" customHeight="1">
      <c r="A288" s="5504"/>
      <c r="B288" s="5487"/>
      <c r="C288" s="4629"/>
      <c r="D288" s="4629"/>
      <c r="E288" s="4629"/>
      <c r="F288" s="4629"/>
      <c r="G288" s="4629"/>
      <c r="H288" s="4629"/>
      <c r="I288" s="4629"/>
      <c r="J288" s="4629"/>
      <c r="K288" s="4629"/>
      <c r="L288" s="4629"/>
      <c r="M288" s="4629"/>
      <c r="N288" s="4629"/>
      <c r="O288" s="4629"/>
      <c r="P288" s="4629"/>
      <c r="Q288" s="5500"/>
      <c r="R288" s="1091"/>
      <c r="S288" s="1001"/>
      <c r="T288" s="1048"/>
      <c r="U288" s="1067"/>
      <c r="V288" s="624"/>
      <c r="W288" s="624"/>
      <c r="X288" s="627"/>
      <c r="Y288" s="627"/>
      <c r="Z288" s="627"/>
      <c r="AA288" s="628"/>
      <c r="AB288" s="624"/>
      <c r="AC288" s="615"/>
      <c r="AD288" s="615"/>
      <c r="AE288" s="1004"/>
    </row>
    <row r="289" spans="1:31" ht="112.5" customHeight="1">
      <c r="A289" s="5504"/>
      <c r="B289" s="5487"/>
      <c r="C289" s="4629"/>
      <c r="D289" s="4629"/>
      <c r="E289" s="4629"/>
      <c r="F289" s="4629"/>
      <c r="G289" s="4629"/>
      <c r="H289" s="4629"/>
      <c r="I289" s="4629"/>
      <c r="J289" s="4629"/>
      <c r="K289" s="4629"/>
      <c r="L289" s="4629"/>
      <c r="M289" s="4629"/>
      <c r="N289" s="4629"/>
      <c r="O289" s="4629"/>
      <c r="P289" s="4629"/>
      <c r="Q289" s="5500"/>
      <c r="R289" s="1090"/>
      <c r="S289" s="1000"/>
      <c r="T289" s="641"/>
      <c r="U289" s="1027"/>
      <c r="V289" s="624"/>
      <c r="W289" s="624"/>
      <c r="X289" s="627"/>
      <c r="Y289" s="627"/>
      <c r="Z289" s="627"/>
      <c r="AA289" s="628"/>
      <c r="AB289" s="624"/>
      <c r="AC289" s="615"/>
      <c r="AD289" s="615"/>
      <c r="AE289" s="1004"/>
    </row>
    <row r="290" spans="1:31" ht="54.75" customHeight="1">
      <c r="A290" s="5504"/>
      <c r="B290" s="5488"/>
      <c r="C290" s="4630"/>
      <c r="D290" s="4630"/>
      <c r="E290" s="4630"/>
      <c r="F290" s="4630"/>
      <c r="G290" s="4630"/>
      <c r="H290" s="4630"/>
      <c r="I290" s="4630"/>
      <c r="J290" s="4630"/>
      <c r="K290" s="4630"/>
      <c r="L290" s="4630"/>
      <c r="M290" s="4630"/>
      <c r="N290" s="4630"/>
      <c r="O290" s="4630"/>
      <c r="P290" s="4630"/>
      <c r="Q290" s="5501"/>
      <c r="R290" s="1092"/>
      <c r="S290" s="1002"/>
      <c r="T290" s="617"/>
      <c r="U290" s="1003"/>
      <c r="V290" s="619"/>
      <c r="W290" s="619"/>
      <c r="X290" s="620"/>
      <c r="Y290" s="620"/>
      <c r="Z290" s="620"/>
      <c r="AA290" s="621"/>
      <c r="AB290" s="619"/>
      <c r="AC290" s="623"/>
      <c r="AD290" s="623"/>
      <c r="AE290" s="1007"/>
    </row>
    <row r="291" spans="1:31" ht="54.75" customHeight="1">
      <c r="A291" s="5504"/>
      <c r="B291" s="5486" t="s">
        <v>272</v>
      </c>
      <c r="C291" s="5489" t="s">
        <v>302</v>
      </c>
      <c r="D291" s="5489" t="s">
        <v>274</v>
      </c>
      <c r="E291" s="5489" t="s">
        <v>885</v>
      </c>
      <c r="F291" s="5492" t="s">
        <v>305</v>
      </c>
      <c r="G291" s="5489" t="s">
        <v>262</v>
      </c>
      <c r="H291" s="5489" t="s">
        <v>241</v>
      </c>
      <c r="I291" s="5489" t="s">
        <v>2567</v>
      </c>
      <c r="J291" s="5489" t="s">
        <v>2568</v>
      </c>
      <c r="K291" s="5489" t="s">
        <v>2015</v>
      </c>
      <c r="L291" s="5497">
        <v>0</v>
      </c>
      <c r="M291" s="5497">
        <v>1</v>
      </c>
      <c r="N291" s="5497">
        <v>1</v>
      </c>
      <c r="O291" s="5489" t="s">
        <v>2016</v>
      </c>
      <c r="P291" s="5489" t="s">
        <v>1604</v>
      </c>
      <c r="Q291" s="5499" t="s">
        <v>2569</v>
      </c>
      <c r="R291" s="999"/>
      <c r="S291" s="2066"/>
      <c r="T291" s="2066"/>
      <c r="U291" s="2091"/>
      <c r="V291" s="2021"/>
      <c r="W291" s="2021"/>
      <c r="X291" s="2033"/>
      <c r="Y291" s="2033"/>
      <c r="Z291" s="2033"/>
      <c r="AA291" s="2034"/>
      <c r="AB291" s="2021"/>
      <c r="AC291" s="2022"/>
      <c r="AD291" s="2022"/>
      <c r="AE291" s="1713" t="s">
        <v>2013</v>
      </c>
    </row>
    <row r="292" spans="1:31" ht="34.5" customHeight="1">
      <c r="A292" s="5504"/>
      <c r="B292" s="5487"/>
      <c r="C292" s="4629"/>
      <c r="D292" s="4629"/>
      <c r="E292" s="4629"/>
      <c r="F292" s="4629"/>
      <c r="G292" s="4629"/>
      <c r="H292" s="4629"/>
      <c r="I292" s="4629"/>
      <c r="J292" s="4629"/>
      <c r="K292" s="4629"/>
      <c r="L292" s="4629"/>
      <c r="M292" s="4629"/>
      <c r="N292" s="4629"/>
      <c r="O292" s="4629"/>
      <c r="P292" s="4629"/>
      <c r="Q292" s="5500"/>
      <c r="R292" s="1000"/>
      <c r="S292" s="461"/>
      <c r="T292" s="461"/>
      <c r="U292" s="1125"/>
      <c r="V292" s="582"/>
      <c r="W292" s="582"/>
      <c r="X292" s="613"/>
      <c r="Y292" s="613"/>
      <c r="Z292" s="613"/>
      <c r="AA292" s="614"/>
      <c r="AB292" s="582"/>
      <c r="AC292" s="528"/>
      <c r="AD292" s="528"/>
      <c r="AE292" s="1004"/>
    </row>
    <row r="293" spans="1:31" ht="34.5" customHeight="1">
      <c r="A293" s="5504"/>
      <c r="B293" s="5487"/>
      <c r="C293" s="4629"/>
      <c r="D293" s="4629"/>
      <c r="E293" s="4629"/>
      <c r="F293" s="4629"/>
      <c r="G293" s="4629"/>
      <c r="H293" s="4629"/>
      <c r="I293" s="4629"/>
      <c r="J293" s="4629"/>
      <c r="K293" s="4629"/>
      <c r="L293" s="4629"/>
      <c r="M293" s="4629"/>
      <c r="N293" s="4629"/>
      <c r="O293" s="4629"/>
      <c r="P293" s="4629"/>
      <c r="Q293" s="5500"/>
      <c r="R293" s="1001"/>
      <c r="S293" s="677"/>
      <c r="T293" s="677"/>
      <c r="U293" s="646"/>
      <c r="V293" s="582"/>
      <c r="W293" s="582"/>
      <c r="X293" s="613"/>
      <c r="Y293" s="613"/>
      <c r="Z293" s="613"/>
      <c r="AA293" s="614"/>
      <c r="AB293" s="582"/>
      <c r="AC293" s="528"/>
      <c r="AD293" s="528"/>
      <c r="AE293" s="1004"/>
    </row>
    <row r="294" spans="1:31" ht="34.5" customHeight="1">
      <c r="A294" s="5504"/>
      <c r="B294" s="5487"/>
      <c r="C294" s="4629"/>
      <c r="D294" s="4629"/>
      <c r="E294" s="4629"/>
      <c r="F294" s="4629"/>
      <c r="G294" s="4629"/>
      <c r="H294" s="4629"/>
      <c r="I294" s="4629"/>
      <c r="J294" s="4629"/>
      <c r="K294" s="4629"/>
      <c r="L294" s="4629"/>
      <c r="M294" s="4629"/>
      <c r="N294" s="4629"/>
      <c r="O294" s="4629"/>
      <c r="P294" s="4629"/>
      <c r="Q294" s="5500"/>
      <c r="R294" s="1000"/>
      <c r="S294" s="461"/>
      <c r="T294" s="461"/>
      <c r="U294" s="1125"/>
      <c r="V294" s="582"/>
      <c r="W294" s="582"/>
      <c r="X294" s="613"/>
      <c r="Y294" s="613"/>
      <c r="Z294" s="613"/>
      <c r="AA294" s="614"/>
      <c r="AB294" s="582"/>
      <c r="AC294" s="528"/>
      <c r="AD294" s="528"/>
      <c r="AE294" s="1004"/>
    </row>
    <row r="295" spans="1:31" ht="34.5" customHeight="1">
      <c r="A295" s="5504"/>
      <c r="B295" s="5488"/>
      <c r="C295" s="4630"/>
      <c r="D295" s="4630"/>
      <c r="E295" s="4630"/>
      <c r="F295" s="4630"/>
      <c r="G295" s="4630"/>
      <c r="H295" s="4630"/>
      <c r="I295" s="4630"/>
      <c r="J295" s="4630"/>
      <c r="K295" s="4630"/>
      <c r="L295" s="4630"/>
      <c r="M295" s="4630"/>
      <c r="N295" s="4630"/>
      <c r="O295" s="4630"/>
      <c r="P295" s="4630"/>
      <c r="Q295" s="5501"/>
      <c r="R295" s="1002"/>
      <c r="S295" s="617"/>
      <c r="T295" s="617"/>
      <c r="U295" s="1003"/>
      <c r="V295" s="619"/>
      <c r="W295" s="619"/>
      <c r="X295" s="620"/>
      <c r="Y295" s="620"/>
      <c r="Z295" s="620"/>
      <c r="AA295" s="621"/>
      <c r="AB295" s="619"/>
      <c r="AC295" s="623"/>
      <c r="AD295" s="623"/>
      <c r="AE295" s="1007"/>
    </row>
    <row r="296" spans="1:31" ht="34.5" customHeight="1">
      <c r="A296" s="5504"/>
      <c r="B296" s="5486" t="s">
        <v>235</v>
      </c>
      <c r="C296" s="5489" t="s">
        <v>236</v>
      </c>
      <c r="D296" s="5489" t="s">
        <v>237</v>
      </c>
      <c r="E296" s="5489" t="s">
        <v>255</v>
      </c>
      <c r="F296" s="5492" t="s">
        <v>239</v>
      </c>
      <c r="G296" s="5489" t="s">
        <v>256</v>
      </c>
      <c r="H296" s="5489" t="s">
        <v>241</v>
      </c>
      <c r="I296" s="5489" t="s">
        <v>2570</v>
      </c>
      <c r="J296" s="5489" t="s">
        <v>1610</v>
      </c>
      <c r="K296" s="5489" t="s">
        <v>2571</v>
      </c>
      <c r="L296" s="5497">
        <v>0</v>
      </c>
      <c r="M296" s="5497">
        <v>0</v>
      </c>
      <c r="N296" s="5497">
        <v>5</v>
      </c>
      <c r="O296" s="5489" t="s">
        <v>2019</v>
      </c>
      <c r="P296" s="5489" t="s">
        <v>2572</v>
      </c>
      <c r="Q296" s="5499" t="s">
        <v>2573</v>
      </c>
      <c r="R296" s="999"/>
      <c r="S296" s="460"/>
      <c r="T296" s="460"/>
      <c r="U296" s="581"/>
      <c r="V296" s="608"/>
      <c r="W296" s="608"/>
      <c r="X296" s="609"/>
      <c r="Y296" s="609"/>
      <c r="Z296" s="609"/>
      <c r="AA296" s="610"/>
      <c r="AB296" s="608"/>
      <c r="AC296" s="612"/>
      <c r="AD296" s="612"/>
      <c r="AE296" s="1725"/>
    </row>
    <row r="297" spans="1:31" ht="84.75" customHeight="1">
      <c r="A297" s="5504"/>
      <c r="B297" s="5487"/>
      <c r="C297" s="4629"/>
      <c r="D297" s="4629"/>
      <c r="E297" s="4629"/>
      <c r="F297" s="4629"/>
      <c r="G297" s="4629"/>
      <c r="H297" s="4629"/>
      <c r="I297" s="4629"/>
      <c r="J297" s="4629"/>
      <c r="K297" s="4629"/>
      <c r="L297" s="4629"/>
      <c r="M297" s="4629"/>
      <c r="N297" s="4629"/>
      <c r="O297" s="4629"/>
      <c r="P297" s="4629"/>
      <c r="Q297" s="5500"/>
      <c r="R297" s="1000"/>
      <c r="S297" s="461"/>
      <c r="T297" s="461"/>
      <c r="U297" s="1125"/>
      <c r="V297" s="582"/>
      <c r="W297" s="582"/>
      <c r="X297" s="613"/>
      <c r="Y297" s="613"/>
      <c r="Z297" s="613"/>
      <c r="AA297" s="614"/>
      <c r="AB297" s="582"/>
      <c r="AC297" s="528"/>
      <c r="AD297" s="528"/>
      <c r="AE297" s="1004"/>
    </row>
    <row r="298" spans="1:31" ht="84.75" customHeight="1">
      <c r="A298" s="5504"/>
      <c r="B298" s="5487"/>
      <c r="C298" s="4629"/>
      <c r="D298" s="4629"/>
      <c r="E298" s="4629"/>
      <c r="F298" s="4629"/>
      <c r="G298" s="4629"/>
      <c r="H298" s="4629"/>
      <c r="I298" s="4629"/>
      <c r="J298" s="4629"/>
      <c r="K298" s="4629"/>
      <c r="L298" s="4629"/>
      <c r="M298" s="4629"/>
      <c r="N298" s="4629"/>
      <c r="O298" s="4629"/>
      <c r="P298" s="4629"/>
      <c r="Q298" s="5500"/>
      <c r="R298" s="1001"/>
      <c r="S298" s="677"/>
      <c r="T298" s="677"/>
      <c r="U298" s="646"/>
      <c r="V298" s="582"/>
      <c r="W298" s="582"/>
      <c r="X298" s="613"/>
      <c r="Y298" s="613"/>
      <c r="Z298" s="613"/>
      <c r="AA298" s="614"/>
      <c r="AB298" s="582"/>
      <c r="AC298" s="528"/>
      <c r="AD298" s="528"/>
      <c r="AE298" s="1004"/>
    </row>
    <row r="299" spans="1:31" ht="84.75" customHeight="1">
      <c r="A299" s="5504"/>
      <c r="B299" s="5487"/>
      <c r="C299" s="4629"/>
      <c r="D299" s="4629"/>
      <c r="E299" s="4629"/>
      <c r="F299" s="4629"/>
      <c r="G299" s="4629"/>
      <c r="H299" s="4629"/>
      <c r="I299" s="4629"/>
      <c r="J299" s="4629"/>
      <c r="K299" s="4629"/>
      <c r="L299" s="4629"/>
      <c r="M299" s="4629"/>
      <c r="N299" s="4629"/>
      <c r="O299" s="4629"/>
      <c r="P299" s="4629"/>
      <c r="Q299" s="5500"/>
      <c r="R299" s="1000"/>
      <c r="S299" s="461"/>
      <c r="T299" s="461"/>
      <c r="U299" s="1125"/>
      <c r="V299" s="582"/>
      <c r="W299" s="582"/>
      <c r="X299" s="613"/>
      <c r="Y299" s="613"/>
      <c r="Z299" s="613"/>
      <c r="AA299" s="614"/>
      <c r="AB299" s="582"/>
      <c r="AC299" s="528"/>
      <c r="AD299" s="528"/>
      <c r="AE299" s="1004"/>
    </row>
    <row r="300" spans="1:31" ht="54.75" customHeight="1">
      <c r="A300" s="5504"/>
      <c r="B300" s="5488"/>
      <c r="C300" s="4630"/>
      <c r="D300" s="4630"/>
      <c r="E300" s="4630"/>
      <c r="F300" s="4630"/>
      <c r="G300" s="4630"/>
      <c r="H300" s="4630"/>
      <c r="I300" s="4630"/>
      <c r="J300" s="4630"/>
      <c r="K300" s="4630"/>
      <c r="L300" s="4630"/>
      <c r="M300" s="4630"/>
      <c r="N300" s="4630"/>
      <c r="O300" s="4630"/>
      <c r="P300" s="4630"/>
      <c r="Q300" s="5501"/>
      <c r="R300" s="1002"/>
      <c r="S300" s="617"/>
      <c r="T300" s="617"/>
      <c r="U300" s="1003"/>
      <c r="V300" s="619"/>
      <c r="W300" s="619"/>
      <c r="X300" s="620"/>
      <c r="Y300" s="620"/>
      <c r="Z300" s="620"/>
      <c r="AA300" s="621"/>
      <c r="AB300" s="619"/>
      <c r="AC300" s="623"/>
      <c r="AD300" s="623"/>
      <c r="AE300" s="1007"/>
    </row>
    <row r="301" spans="1:31" ht="54.75" customHeight="1">
      <c r="A301" s="5504"/>
      <c r="B301" s="5486" t="s">
        <v>272</v>
      </c>
      <c r="C301" s="5489" t="s">
        <v>302</v>
      </c>
      <c r="D301" s="5489" t="s">
        <v>303</v>
      </c>
      <c r="E301" s="5489" t="s">
        <v>304</v>
      </c>
      <c r="F301" s="5492" t="s">
        <v>305</v>
      </c>
      <c r="G301" s="5489" t="s">
        <v>262</v>
      </c>
      <c r="H301" s="5489" t="s">
        <v>257</v>
      </c>
      <c r="I301" s="5489" t="s">
        <v>2574</v>
      </c>
      <c r="J301" s="5489" t="s">
        <v>1616</v>
      </c>
      <c r="K301" s="5489" t="s">
        <v>2575</v>
      </c>
      <c r="L301" s="5497">
        <v>0</v>
      </c>
      <c r="M301" s="5497">
        <v>5</v>
      </c>
      <c r="N301" s="5497">
        <v>5</v>
      </c>
      <c r="O301" s="5489" t="s">
        <v>2576</v>
      </c>
      <c r="P301" s="5489" t="s">
        <v>2577</v>
      </c>
      <c r="Q301" s="5499" t="s">
        <v>2569</v>
      </c>
      <c r="R301" s="999"/>
      <c r="S301" s="460"/>
      <c r="T301" s="460"/>
      <c r="U301" s="581"/>
      <c r="V301" s="608"/>
      <c r="W301" s="608"/>
      <c r="X301" s="609"/>
      <c r="Y301" s="609"/>
      <c r="Z301" s="609"/>
      <c r="AA301" s="610"/>
      <c r="AB301" s="608"/>
      <c r="AC301" s="612"/>
      <c r="AD301" s="612"/>
      <c r="AE301" s="1725"/>
    </row>
    <row r="302" spans="1:31" ht="54.75" customHeight="1">
      <c r="A302" s="5504"/>
      <c r="B302" s="5487"/>
      <c r="C302" s="4629"/>
      <c r="D302" s="4629"/>
      <c r="E302" s="4629"/>
      <c r="F302" s="4629"/>
      <c r="G302" s="4629"/>
      <c r="H302" s="4629"/>
      <c r="I302" s="4629"/>
      <c r="J302" s="4629"/>
      <c r="K302" s="4629"/>
      <c r="L302" s="4629"/>
      <c r="M302" s="4629"/>
      <c r="N302" s="4629"/>
      <c r="O302" s="4629"/>
      <c r="P302" s="4629"/>
      <c r="Q302" s="5500"/>
      <c r="R302" s="1000"/>
      <c r="S302" s="461"/>
      <c r="T302" s="461"/>
      <c r="U302" s="1125"/>
      <c r="V302" s="582"/>
      <c r="W302" s="582"/>
      <c r="X302" s="613"/>
      <c r="Y302" s="613"/>
      <c r="Z302" s="613"/>
      <c r="AA302" s="614"/>
      <c r="AB302" s="582"/>
      <c r="AC302" s="528"/>
      <c r="AD302" s="528"/>
      <c r="AE302" s="1004"/>
    </row>
    <row r="303" spans="1:31" ht="54.75" customHeight="1">
      <c r="A303" s="5504"/>
      <c r="B303" s="5488"/>
      <c r="C303" s="4630"/>
      <c r="D303" s="4630"/>
      <c r="E303" s="4630"/>
      <c r="F303" s="4630"/>
      <c r="G303" s="4630"/>
      <c r="H303" s="4630"/>
      <c r="I303" s="4630"/>
      <c r="J303" s="4630"/>
      <c r="K303" s="4630"/>
      <c r="L303" s="4630"/>
      <c r="M303" s="4630"/>
      <c r="N303" s="4630"/>
      <c r="O303" s="4630"/>
      <c r="P303" s="4630"/>
      <c r="Q303" s="5501"/>
      <c r="R303" s="1005"/>
      <c r="S303" s="1006"/>
      <c r="T303" s="1006"/>
      <c r="U303" s="1093"/>
      <c r="V303" s="619"/>
      <c r="W303" s="619"/>
      <c r="X303" s="620"/>
      <c r="Y303" s="613"/>
      <c r="Z303" s="613"/>
      <c r="AA303" s="621"/>
      <c r="AB303" s="619"/>
      <c r="AC303" s="623"/>
      <c r="AD303" s="623"/>
      <c r="AE303" s="1007"/>
    </row>
    <row r="304" spans="1:31" ht="54.75" customHeight="1">
      <c r="A304" s="5504"/>
      <c r="B304" s="5486" t="s">
        <v>272</v>
      </c>
      <c r="C304" s="5489" t="s">
        <v>302</v>
      </c>
      <c r="D304" s="5489" t="s">
        <v>303</v>
      </c>
      <c r="E304" s="5489" t="s">
        <v>304</v>
      </c>
      <c r="F304" s="5492" t="s">
        <v>305</v>
      </c>
      <c r="G304" s="5489" t="s">
        <v>240</v>
      </c>
      <c r="H304" s="5489" t="s">
        <v>257</v>
      </c>
      <c r="I304" s="5489" t="s">
        <v>2578</v>
      </c>
      <c r="J304" s="5489" t="s">
        <v>1622</v>
      </c>
      <c r="K304" s="5489" t="s">
        <v>2579</v>
      </c>
      <c r="L304" s="5497">
        <v>0</v>
      </c>
      <c r="M304" s="5497">
        <v>1</v>
      </c>
      <c r="N304" s="5497">
        <v>1</v>
      </c>
      <c r="O304" s="5489" t="s">
        <v>2028</v>
      </c>
      <c r="P304" s="5489" t="s">
        <v>2580</v>
      </c>
      <c r="Q304" s="5499" t="s">
        <v>2569</v>
      </c>
      <c r="R304" s="1009"/>
      <c r="S304" s="606"/>
      <c r="T304" s="606"/>
      <c r="U304" s="581"/>
      <c r="V304" s="608"/>
      <c r="W304" s="608"/>
      <c r="X304" s="609"/>
      <c r="Y304" s="609"/>
      <c r="Z304" s="609"/>
      <c r="AA304" s="610"/>
      <c r="AB304" s="608"/>
      <c r="AC304" s="612"/>
      <c r="AD304" s="612"/>
      <c r="AE304" s="1725" t="s">
        <v>2013</v>
      </c>
    </row>
    <row r="305" spans="1:31" ht="54.75" customHeight="1">
      <c r="A305" s="5504"/>
      <c r="B305" s="5487"/>
      <c r="C305" s="4629"/>
      <c r="D305" s="4629"/>
      <c r="E305" s="4629"/>
      <c r="F305" s="4629"/>
      <c r="G305" s="4629"/>
      <c r="H305" s="4629"/>
      <c r="I305" s="4629"/>
      <c r="J305" s="4629"/>
      <c r="K305" s="4629"/>
      <c r="L305" s="4629"/>
      <c r="M305" s="4629"/>
      <c r="N305" s="4629"/>
      <c r="O305" s="4629"/>
      <c r="P305" s="4629"/>
      <c r="Q305" s="5500"/>
      <c r="R305" s="1000"/>
      <c r="S305" s="461"/>
      <c r="T305" s="461"/>
      <c r="U305" s="1125"/>
      <c r="V305" s="582"/>
      <c r="W305" s="582"/>
      <c r="X305" s="613"/>
      <c r="Y305" s="613"/>
      <c r="Z305" s="613"/>
      <c r="AA305" s="614"/>
      <c r="AB305" s="582"/>
      <c r="AC305" s="528"/>
      <c r="AD305" s="528"/>
      <c r="AE305" s="1004"/>
    </row>
    <row r="306" spans="1:31" ht="54.75" customHeight="1">
      <c r="A306" s="5504"/>
      <c r="B306" s="5487"/>
      <c r="C306" s="4629"/>
      <c r="D306" s="4629"/>
      <c r="E306" s="4629"/>
      <c r="F306" s="4629"/>
      <c r="G306" s="4629"/>
      <c r="H306" s="4629"/>
      <c r="I306" s="4629"/>
      <c r="J306" s="4629"/>
      <c r="K306" s="4629"/>
      <c r="L306" s="4629"/>
      <c r="M306" s="4629"/>
      <c r="N306" s="4629"/>
      <c r="O306" s="4629"/>
      <c r="P306" s="4629"/>
      <c r="Q306" s="5500"/>
      <c r="R306" s="1001"/>
      <c r="S306" s="677"/>
      <c r="T306" s="677"/>
      <c r="U306" s="1125"/>
      <c r="V306" s="582"/>
      <c r="W306" s="582"/>
      <c r="X306" s="613"/>
      <c r="Y306" s="613"/>
      <c r="Z306" s="613"/>
      <c r="AA306" s="614"/>
      <c r="AB306" s="582"/>
      <c r="AC306" s="528"/>
      <c r="AD306" s="528"/>
      <c r="AE306" s="1004"/>
    </row>
    <row r="307" spans="1:31" ht="54.75" customHeight="1">
      <c r="A307" s="5504"/>
      <c r="B307" s="5487"/>
      <c r="C307" s="4629"/>
      <c r="D307" s="4629"/>
      <c r="E307" s="4629"/>
      <c r="F307" s="4629"/>
      <c r="G307" s="4629"/>
      <c r="H307" s="4629"/>
      <c r="I307" s="4629"/>
      <c r="J307" s="4629"/>
      <c r="K307" s="4629"/>
      <c r="L307" s="4629"/>
      <c r="M307" s="4629"/>
      <c r="N307" s="4629"/>
      <c r="O307" s="4629"/>
      <c r="P307" s="4629"/>
      <c r="Q307" s="5500"/>
      <c r="R307" s="1000"/>
      <c r="S307" s="461"/>
      <c r="T307" s="461"/>
      <c r="U307" s="1125"/>
      <c r="V307" s="582"/>
      <c r="W307" s="582"/>
      <c r="X307" s="613"/>
      <c r="Y307" s="613"/>
      <c r="Z307" s="613"/>
      <c r="AA307" s="614"/>
      <c r="AB307" s="582"/>
      <c r="AC307" s="528"/>
      <c r="AD307" s="528"/>
      <c r="AE307" s="1004"/>
    </row>
    <row r="308" spans="1:31" ht="54.75" customHeight="1">
      <c r="A308" s="5504"/>
      <c r="B308" s="5488"/>
      <c r="C308" s="4630"/>
      <c r="D308" s="4630"/>
      <c r="E308" s="4630"/>
      <c r="F308" s="4630"/>
      <c r="G308" s="4630"/>
      <c r="H308" s="4630"/>
      <c r="I308" s="4630"/>
      <c r="J308" s="4630"/>
      <c r="K308" s="4630"/>
      <c r="L308" s="4630"/>
      <c r="M308" s="4630"/>
      <c r="N308" s="4630"/>
      <c r="O308" s="4630"/>
      <c r="P308" s="4630"/>
      <c r="Q308" s="5501"/>
      <c r="R308" s="1005"/>
      <c r="S308" s="1006"/>
      <c r="T308" s="1006"/>
      <c r="U308" s="1093"/>
      <c r="V308" s="619"/>
      <c r="W308" s="619"/>
      <c r="X308" s="620"/>
      <c r="Y308" s="613"/>
      <c r="Z308" s="613"/>
      <c r="AA308" s="621"/>
      <c r="AB308" s="619"/>
      <c r="AC308" s="623"/>
      <c r="AD308" s="623"/>
      <c r="AE308" s="1007"/>
    </row>
    <row r="309" spans="1:31" ht="54.75" customHeight="1">
      <c r="A309" s="5504"/>
      <c r="B309" s="5486" t="s">
        <v>272</v>
      </c>
      <c r="C309" s="5489" t="s">
        <v>302</v>
      </c>
      <c r="D309" s="5489" t="s">
        <v>303</v>
      </c>
      <c r="E309" s="5489" t="s">
        <v>955</v>
      </c>
      <c r="F309" s="5492" t="s">
        <v>305</v>
      </c>
      <c r="G309" s="5489" t="s">
        <v>256</v>
      </c>
      <c r="H309" s="5489" t="s">
        <v>241</v>
      </c>
      <c r="I309" s="5489" t="s">
        <v>2581</v>
      </c>
      <c r="J309" s="5489" t="s">
        <v>1627</v>
      </c>
      <c r="K309" s="5489" t="s">
        <v>2582</v>
      </c>
      <c r="L309" s="5497">
        <v>0</v>
      </c>
      <c r="M309" s="5497">
        <v>1</v>
      </c>
      <c r="N309" s="5497">
        <v>1</v>
      </c>
      <c r="O309" s="5489" t="s">
        <v>2583</v>
      </c>
      <c r="P309" s="5489" t="s">
        <v>1630</v>
      </c>
      <c r="Q309" s="5499" t="s">
        <v>2569</v>
      </c>
      <c r="R309" s="1009"/>
      <c r="S309" s="606"/>
      <c r="T309" s="606"/>
      <c r="U309" s="581"/>
      <c r="V309" s="608"/>
      <c r="W309" s="608"/>
      <c r="X309" s="609"/>
      <c r="Y309" s="609"/>
      <c r="Z309" s="609"/>
      <c r="AA309" s="610"/>
      <c r="AB309" s="608"/>
      <c r="AC309" s="612"/>
      <c r="AD309" s="612"/>
      <c r="AE309" s="1725" t="s">
        <v>2013</v>
      </c>
    </row>
    <row r="310" spans="1:31" ht="27.75" customHeight="1">
      <c r="A310" s="5504"/>
      <c r="B310" s="5487"/>
      <c r="C310" s="4629"/>
      <c r="D310" s="4629"/>
      <c r="E310" s="4629"/>
      <c r="F310" s="4629"/>
      <c r="G310" s="4629"/>
      <c r="H310" s="4629"/>
      <c r="I310" s="4629"/>
      <c r="J310" s="4629"/>
      <c r="K310" s="4629"/>
      <c r="L310" s="4629"/>
      <c r="M310" s="4629"/>
      <c r="N310" s="4629"/>
      <c r="O310" s="4629"/>
      <c r="P310" s="4629"/>
      <c r="Q310" s="5500"/>
      <c r="R310" s="1000"/>
      <c r="S310" s="461"/>
      <c r="T310" s="461"/>
      <c r="U310" s="1125"/>
      <c r="V310" s="582"/>
      <c r="W310" s="582"/>
      <c r="X310" s="613"/>
      <c r="Y310" s="613"/>
      <c r="Z310" s="613"/>
      <c r="AA310" s="614"/>
      <c r="AB310" s="582"/>
      <c r="AC310" s="528"/>
      <c r="AD310" s="528"/>
      <c r="AE310" s="1004"/>
    </row>
    <row r="311" spans="1:31" ht="27.75" customHeight="1">
      <c r="A311" s="5504"/>
      <c r="B311" s="5487"/>
      <c r="C311" s="4629"/>
      <c r="D311" s="4629"/>
      <c r="E311" s="4629"/>
      <c r="F311" s="4629"/>
      <c r="G311" s="4629"/>
      <c r="H311" s="4629"/>
      <c r="I311" s="4629"/>
      <c r="J311" s="4629"/>
      <c r="K311" s="4629"/>
      <c r="L311" s="4629"/>
      <c r="M311" s="4629"/>
      <c r="N311" s="4629"/>
      <c r="O311" s="4629"/>
      <c r="P311" s="4629"/>
      <c r="Q311" s="5500"/>
      <c r="R311" s="1001"/>
      <c r="S311" s="677"/>
      <c r="T311" s="677"/>
      <c r="U311" s="1125"/>
      <c r="V311" s="582"/>
      <c r="W311" s="582"/>
      <c r="X311" s="613"/>
      <c r="Y311" s="613"/>
      <c r="Z311" s="613"/>
      <c r="AA311" s="614"/>
      <c r="AB311" s="582"/>
      <c r="AC311" s="528"/>
      <c r="AD311" s="528"/>
      <c r="AE311" s="1004"/>
    </row>
    <row r="312" spans="1:31" ht="27.75" customHeight="1">
      <c r="A312" s="5504"/>
      <c r="B312" s="5487"/>
      <c r="C312" s="4629"/>
      <c r="D312" s="4629"/>
      <c r="E312" s="4629"/>
      <c r="F312" s="4629"/>
      <c r="G312" s="4629"/>
      <c r="H312" s="4629"/>
      <c r="I312" s="4629"/>
      <c r="J312" s="4629"/>
      <c r="K312" s="4629"/>
      <c r="L312" s="4629"/>
      <c r="M312" s="4629"/>
      <c r="N312" s="4629"/>
      <c r="O312" s="4629"/>
      <c r="P312" s="4629"/>
      <c r="Q312" s="5500"/>
      <c r="R312" s="1000"/>
      <c r="S312" s="461"/>
      <c r="T312" s="461"/>
      <c r="U312" s="1125"/>
      <c r="V312" s="582"/>
      <c r="W312" s="582"/>
      <c r="X312" s="613"/>
      <c r="Y312" s="613"/>
      <c r="Z312" s="613"/>
      <c r="AA312" s="614"/>
      <c r="AB312" s="582"/>
      <c r="AC312" s="528"/>
      <c r="AD312" s="528"/>
      <c r="AE312" s="1004"/>
    </row>
    <row r="313" spans="1:31" ht="27.75" customHeight="1">
      <c r="A313" s="5504"/>
      <c r="B313" s="5488"/>
      <c r="C313" s="4630"/>
      <c r="D313" s="4630"/>
      <c r="E313" s="4630"/>
      <c r="F313" s="4630"/>
      <c r="G313" s="4630"/>
      <c r="H313" s="4630"/>
      <c r="I313" s="4630"/>
      <c r="J313" s="4630"/>
      <c r="K313" s="4630"/>
      <c r="L313" s="4630"/>
      <c r="M313" s="4630"/>
      <c r="N313" s="4630"/>
      <c r="O313" s="4630"/>
      <c r="P313" s="4630"/>
      <c r="Q313" s="5501"/>
      <c r="R313" s="1005"/>
      <c r="S313" s="1006"/>
      <c r="T313" s="1006"/>
      <c r="U313" s="1093"/>
      <c r="V313" s="619"/>
      <c r="W313" s="619"/>
      <c r="X313" s="620"/>
      <c r="Y313" s="613"/>
      <c r="Z313" s="613"/>
      <c r="AA313" s="621"/>
      <c r="AB313" s="619"/>
      <c r="AC313" s="623"/>
      <c r="AD313" s="623"/>
      <c r="AE313" s="1007"/>
    </row>
    <row r="314" spans="1:31" ht="27.75" customHeight="1">
      <c r="A314" s="5504"/>
      <c r="B314" s="5486" t="s">
        <v>272</v>
      </c>
      <c r="C314" s="5489" t="s">
        <v>302</v>
      </c>
      <c r="D314" s="5489" t="s">
        <v>303</v>
      </c>
      <c r="E314" s="5489" t="s">
        <v>304</v>
      </c>
      <c r="F314" s="5492" t="s">
        <v>305</v>
      </c>
      <c r="G314" s="5489" t="s">
        <v>240</v>
      </c>
      <c r="H314" s="5489" t="s">
        <v>257</v>
      </c>
      <c r="I314" s="5489" t="s">
        <v>2584</v>
      </c>
      <c r="J314" s="5489" t="s">
        <v>1633</v>
      </c>
      <c r="K314" s="5489"/>
      <c r="L314" s="5497">
        <v>0</v>
      </c>
      <c r="M314" s="5497">
        <v>0</v>
      </c>
      <c r="N314" s="5497">
        <v>0</v>
      </c>
      <c r="O314" s="1955"/>
      <c r="P314" s="2092"/>
      <c r="Q314" s="1094"/>
      <c r="R314" s="1009"/>
      <c r="S314" s="606"/>
      <c r="T314" s="606"/>
      <c r="U314" s="581"/>
      <c r="V314" s="608"/>
      <c r="W314" s="608"/>
      <c r="X314" s="609"/>
      <c r="Y314" s="609"/>
      <c r="Z314" s="609"/>
      <c r="AA314" s="610"/>
      <c r="AB314" s="608"/>
      <c r="AC314" s="612"/>
      <c r="AD314" s="612"/>
      <c r="AE314" s="1095" t="s">
        <v>2585</v>
      </c>
    </row>
    <row r="315" spans="1:31" ht="54.75" customHeight="1">
      <c r="A315" s="5504"/>
      <c r="B315" s="5487"/>
      <c r="C315" s="4629"/>
      <c r="D315" s="4629"/>
      <c r="E315" s="4629"/>
      <c r="F315" s="4629"/>
      <c r="G315" s="4629"/>
      <c r="H315" s="4629"/>
      <c r="I315" s="4629"/>
      <c r="J315" s="4629"/>
      <c r="K315" s="4629"/>
      <c r="L315" s="4629"/>
      <c r="M315" s="4629"/>
      <c r="N315" s="4629"/>
      <c r="O315" s="2062"/>
      <c r="P315" s="1951"/>
      <c r="Q315" s="909"/>
      <c r="R315" s="1000"/>
      <c r="S315" s="461"/>
      <c r="T315" s="461"/>
      <c r="U315" s="1125"/>
      <c r="V315" s="582"/>
      <c r="W315" s="582"/>
      <c r="X315" s="613"/>
      <c r="Y315" s="613"/>
      <c r="Z315" s="613"/>
      <c r="AA315" s="614"/>
      <c r="AB315" s="582"/>
      <c r="AC315" s="528"/>
      <c r="AD315" s="528"/>
      <c r="AE315" s="1096"/>
    </row>
    <row r="316" spans="1:31" ht="54.75" customHeight="1">
      <c r="A316" s="5504"/>
      <c r="B316" s="5487"/>
      <c r="C316" s="4629"/>
      <c r="D316" s="4629"/>
      <c r="E316" s="4629"/>
      <c r="F316" s="4629"/>
      <c r="G316" s="4629"/>
      <c r="H316" s="4629"/>
      <c r="I316" s="4629"/>
      <c r="J316" s="4629"/>
      <c r="K316" s="4629"/>
      <c r="L316" s="4629"/>
      <c r="M316" s="4629"/>
      <c r="N316" s="4629"/>
      <c r="O316" s="2062"/>
      <c r="P316" s="1951"/>
      <c r="Q316" s="909"/>
      <c r="R316" s="1001"/>
      <c r="S316" s="677"/>
      <c r="T316" s="677"/>
      <c r="U316" s="1125"/>
      <c r="V316" s="582"/>
      <c r="W316" s="582"/>
      <c r="X316" s="613"/>
      <c r="Y316" s="613"/>
      <c r="Z316" s="613"/>
      <c r="AA316" s="614"/>
      <c r="AB316" s="582"/>
      <c r="AC316" s="528"/>
      <c r="AD316" s="528"/>
      <c r="AE316" s="1096"/>
    </row>
    <row r="317" spans="1:31" ht="54.75" customHeight="1">
      <c r="A317" s="5504"/>
      <c r="B317" s="5487"/>
      <c r="C317" s="4629"/>
      <c r="D317" s="4629"/>
      <c r="E317" s="4629"/>
      <c r="F317" s="4629"/>
      <c r="G317" s="4629"/>
      <c r="H317" s="4629"/>
      <c r="I317" s="4629"/>
      <c r="J317" s="4629"/>
      <c r="K317" s="4629"/>
      <c r="L317" s="4629"/>
      <c r="M317" s="4629"/>
      <c r="N317" s="4629"/>
      <c r="O317" s="2062"/>
      <c r="P317" s="1951"/>
      <c r="Q317" s="909"/>
      <c r="R317" s="1000"/>
      <c r="S317" s="461"/>
      <c r="T317" s="461"/>
      <c r="U317" s="1125"/>
      <c r="V317" s="582"/>
      <c r="W317" s="582"/>
      <c r="X317" s="613"/>
      <c r="Y317" s="613"/>
      <c r="Z317" s="613"/>
      <c r="AA317" s="614"/>
      <c r="AB317" s="582"/>
      <c r="AC317" s="528"/>
      <c r="AD317" s="528"/>
      <c r="AE317" s="1096"/>
    </row>
    <row r="318" spans="1:31" ht="54.75" customHeight="1">
      <c r="A318" s="5504"/>
      <c r="B318" s="5488"/>
      <c r="C318" s="4630"/>
      <c r="D318" s="4630"/>
      <c r="E318" s="4630"/>
      <c r="F318" s="4630"/>
      <c r="G318" s="4630"/>
      <c r="H318" s="4630"/>
      <c r="I318" s="4630"/>
      <c r="J318" s="4630"/>
      <c r="K318" s="4630"/>
      <c r="L318" s="4630"/>
      <c r="M318" s="4630"/>
      <c r="N318" s="4630"/>
      <c r="O318" s="2064"/>
      <c r="P318" s="1959"/>
      <c r="Q318" s="1097"/>
      <c r="R318" s="1005"/>
      <c r="S318" s="1006"/>
      <c r="T318" s="1006"/>
      <c r="U318" s="1093"/>
      <c r="V318" s="619"/>
      <c r="W318" s="619"/>
      <c r="X318" s="620"/>
      <c r="Y318" s="613"/>
      <c r="Z318" s="613"/>
      <c r="AA318" s="621"/>
      <c r="AB318" s="619"/>
      <c r="AC318" s="623"/>
      <c r="AD318" s="623"/>
      <c r="AE318" s="1098"/>
    </row>
    <row r="319" spans="1:31" ht="54.75" customHeight="1">
      <c r="A319" s="5504"/>
      <c r="B319" s="5486" t="s">
        <v>272</v>
      </c>
      <c r="C319" s="5489" t="s">
        <v>302</v>
      </c>
      <c r="D319" s="5489" t="s">
        <v>303</v>
      </c>
      <c r="E319" s="5489" t="s">
        <v>304</v>
      </c>
      <c r="F319" s="5492" t="s">
        <v>305</v>
      </c>
      <c r="G319" s="5489" t="s">
        <v>240</v>
      </c>
      <c r="H319" s="5489" t="s">
        <v>257</v>
      </c>
      <c r="I319" s="5489" t="s">
        <v>2586</v>
      </c>
      <c r="J319" s="5489" t="s">
        <v>2587</v>
      </c>
      <c r="K319" s="5489" t="s">
        <v>2039</v>
      </c>
      <c r="L319" s="5497">
        <v>0</v>
      </c>
      <c r="M319" s="5497">
        <v>5</v>
      </c>
      <c r="N319" s="5497">
        <v>5</v>
      </c>
      <c r="O319" s="5489" t="s">
        <v>2588</v>
      </c>
      <c r="P319" s="5489" t="s">
        <v>2589</v>
      </c>
      <c r="Q319" s="5499" t="s">
        <v>2569</v>
      </c>
      <c r="R319" s="1009"/>
      <c r="S319" s="606"/>
      <c r="T319" s="606"/>
      <c r="U319" s="581"/>
      <c r="V319" s="608"/>
      <c r="W319" s="608"/>
      <c r="X319" s="609"/>
      <c r="Y319" s="609"/>
      <c r="Z319" s="609"/>
      <c r="AA319" s="610"/>
      <c r="AB319" s="608"/>
      <c r="AC319" s="612"/>
      <c r="AD319" s="612"/>
      <c r="AE319" s="1725" t="s">
        <v>2166</v>
      </c>
    </row>
    <row r="320" spans="1:31" ht="54.75" customHeight="1">
      <c r="A320" s="5504"/>
      <c r="B320" s="5487"/>
      <c r="C320" s="4629"/>
      <c r="D320" s="4629"/>
      <c r="E320" s="4629"/>
      <c r="F320" s="4629"/>
      <c r="G320" s="4629"/>
      <c r="H320" s="4629"/>
      <c r="I320" s="4629"/>
      <c r="J320" s="4629"/>
      <c r="K320" s="4629"/>
      <c r="L320" s="4629"/>
      <c r="M320" s="4629"/>
      <c r="N320" s="4629"/>
      <c r="O320" s="4629"/>
      <c r="P320" s="4629"/>
      <c r="Q320" s="5500"/>
      <c r="R320" s="1000"/>
      <c r="S320" s="461"/>
      <c r="T320" s="461"/>
      <c r="U320" s="1125"/>
      <c r="V320" s="582"/>
      <c r="W320" s="582"/>
      <c r="X320" s="613"/>
      <c r="Y320" s="613"/>
      <c r="Z320" s="613"/>
      <c r="AA320" s="614"/>
      <c r="AB320" s="582"/>
      <c r="AC320" s="528"/>
      <c r="AD320" s="528"/>
      <c r="AE320" s="1004"/>
    </row>
    <row r="321" spans="1:31" ht="54.75" customHeight="1">
      <c r="A321" s="5504"/>
      <c r="B321" s="5487"/>
      <c r="C321" s="4629"/>
      <c r="D321" s="4629"/>
      <c r="E321" s="4629"/>
      <c r="F321" s="4629"/>
      <c r="G321" s="4629"/>
      <c r="H321" s="4629"/>
      <c r="I321" s="4629"/>
      <c r="J321" s="4629"/>
      <c r="K321" s="4629"/>
      <c r="L321" s="4629"/>
      <c r="M321" s="4629"/>
      <c r="N321" s="4629"/>
      <c r="O321" s="4629"/>
      <c r="P321" s="4629"/>
      <c r="Q321" s="5500"/>
      <c r="R321" s="1001"/>
      <c r="S321" s="677"/>
      <c r="T321" s="677"/>
      <c r="U321" s="1125"/>
      <c r="V321" s="582"/>
      <c r="W321" s="582"/>
      <c r="X321" s="613"/>
      <c r="Y321" s="613"/>
      <c r="Z321" s="613"/>
      <c r="AA321" s="614"/>
      <c r="AB321" s="582"/>
      <c r="AC321" s="528"/>
      <c r="AD321" s="528"/>
      <c r="AE321" s="1004"/>
    </row>
    <row r="322" spans="1:31" ht="54.75" customHeight="1">
      <c r="A322" s="5504"/>
      <c r="B322" s="5487"/>
      <c r="C322" s="4629"/>
      <c r="D322" s="4629"/>
      <c r="E322" s="4629"/>
      <c r="F322" s="4629"/>
      <c r="G322" s="4629"/>
      <c r="H322" s="4629"/>
      <c r="I322" s="4629"/>
      <c r="J322" s="4629"/>
      <c r="K322" s="4629"/>
      <c r="L322" s="4629"/>
      <c r="M322" s="4629"/>
      <c r="N322" s="4629"/>
      <c r="O322" s="4629"/>
      <c r="P322" s="4629"/>
      <c r="Q322" s="5500"/>
      <c r="R322" s="1000"/>
      <c r="S322" s="461"/>
      <c r="T322" s="461"/>
      <c r="U322" s="1125"/>
      <c r="V322" s="582"/>
      <c r="W322" s="582"/>
      <c r="X322" s="613"/>
      <c r="Y322" s="613"/>
      <c r="Z322" s="613"/>
      <c r="AA322" s="614"/>
      <c r="AB322" s="582"/>
      <c r="AC322" s="528"/>
      <c r="AD322" s="528"/>
      <c r="AE322" s="1004"/>
    </row>
    <row r="323" spans="1:31" ht="54.75" customHeight="1">
      <c r="A323" s="5504"/>
      <c r="B323" s="5488"/>
      <c r="C323" s="4630"/>
      <c r="D323" s="4630"/>
      <c r="E323" s="4630"/>
      <c r="F323" s="4630"/>
      <c r="G323" s="4630"/>
      <c r="H323" s="4630"/>
      <c r="I323" s="4630"/>
      <c r="J323" s="4630"/>
      <c r="K323" s="4630"/>
      <c r="L323" s="4630"/>
      <c r="M323" s="4630"/>
      <c r="N323" s="4630"/>
      <c r="O323" s="4630"/>
      <c r="P323" s="4630"/>
      <c r="Q323" s="5501"/>
      <c r="R323" s="1005"/>
      <c r="S323" s="1006"/>
      <c r="T323" s="1006"/>
      <c r="U323" s="1093"/>
      <c r="V323" s="619"/>
      <c r="W323" s="619"/>
      <c r="X323" s="620"/>
      <c r="Y323" s="613"/>
      <c r="Z323" s="613"/>
      <c r="AA323" s="621"/>
      <c r="AB323" s="619"/>
      <c r="AC323" s="623"/>
      <c r="AD323" s="623"/>
      <c r="AE323" s="1007"/>
    </row>
    <row r="324" spans="1:31" ht="54.75" customHeight="1">
      <c r="A324" s="5504"/>
      <c r="B324" s="5486" t="s">
        <v>235</v>
      </c>
      <c r="C324" s="5489" t="s">
        <v>236</v>
      </c>
      <c r="D324" s="5489" t="s">
        <v>244</v>
      </c>
      <c r="E324" s="5489" t="s">
        <v>808</v>
      </c>
      <c r="F324" s="5492" t="s">
        <v>239</v>
      </c>
      <c r="G324" s="5489" t="s">
        <v>240</v>
      </c>
      <c r="H324" s="5489" t="s">
        <v>241</v>
      </c>
      <c r="I324" s="5489" t="s">
        <v>2590</v>
      </c>
      <c r="J324" s="5489" t="s">
        <v>1709</v>
      </c>
      <c r="K324" s="5489" t="s">
        <v>2591</v>
      </c>
      <c r="L324" s="5497">
        <v>5</v>
      </c>
      <c r="M324" s="5497">
        <v>5</v>
      </c>
      <c r="N324" s="284">
        <v>10</v>
      </c>
      <c r="O324" s="1955" t="s">
        <v>2044</v>
      </c>
      <c r="P324" s="1955" t="s">
        <v>2045</v>
      </c>
      <c r="Q324" s="1099" t="s">
        <v>2569</v>
      </c>
      <c r="R324" s="1009"/>
      <c r="S324" s="606"/>
      <c r="T324" s="606"/>
      <c r="U324" s="581"/>
      <c r="V324" s="608"/>
      <c r="W324" s="608"/>
      <c r="X324" s="609"/>
      <c r="Y324" s="609"/>
      <c r="Z324" s="609"/>
      <c r="AA324" s="610"/>
      <c r="AB324" s="608"/>
      <c r="AC324" s="612"/>
      <c r="AD324" s="612"/>
      <c r="AE324" s="1725" t="s">
        <v>2013</v>
      </c>
    </row>
    <row r="325" spans="1:31" ht="34.5" customHeight="1">
      <c r="A325" s="5504"/>
      <c r="B325" s="5487"/>
      <c r="C325" s="4629"/>
      <c r="D325" s="4629"/>
      <c r="E325" s="4629"/>
      <c r="F325" s="4629"/>
      <c r="G325" s="4629"/>
      <c r="H325" s="4629"/>
      <c r="I325" s="4629"/>
      <c r="J325" s="4629"/>
      <c r="K325" s="4629"/>
      <c r="L325" s="4629"/>
      <c r="M325" s="4629"/>
      <c r="N325" s="2062"/>
      <c r="O325" s="2062"/>
      <c r="P325" s="2062"/>
      <c r="Q325" s="2063"/>
      <c r="R325" s="1000"/>
      <c r="S325" s="461"/>
      <c r="T325" s="461"/>
      <c r="U325" s="1125"/>
      <c r="V325" s="582"/>
      <c r="W325" s="582"/>
      <c r="X325" s="613"/>
      <c r="Y325" s="613"/>
      <c r="Z325" s="613"/>
      <c r="AA325" s="614"/>
      <c r="AB325" s="582"/>
      <c r="AC325" s="528"/>
      <c r="AD325" s="528"/>
      <c r="AE325" s="1004"/>
    </row>
    <row r="326" spans="1:31" ht="34.5" customHeight="1">
      <c r="A326" s="5504"/>
      <c r="B326" s="5487"/>
      <c r="C326" s="4629"/>
      <c r="D326" s="4629"/>
      <c r="E326" s="4629"/>
      <c r="F326" s="4629"/>
      <c r="G326" s="4629"/>
      <c r="H326" s="4629"/>
      <c r="I326" s="4629"/>
      <c r="J326" s="4629"/>
      <c r="K326" s="4629"/>
      <c r="L326" s="4629"/>
      <c r="M326" s="4629"/>
      <c r="N326" s="2062"/>
      <c r="O326" s="2062"/>
      <c r="P326" s="2062"/>
      <c r="Q326" s="2063"/>
      <c r="R326" s="1001"/>
      <c r="S326" s="677"/>
      <c r="T326" s="677"/>
      <c r="U326" s="1125"/>
      <c r="V326" s="582"/>
      <c r="W326" s="582"/>
      <c r="X326" s="613"/>
      <c r="Y326" s="613"/>
      <c r="Z326" s="613"/>
      <c r="AA326" s="614"/>
      <c r="AB326" s="582"/>
      <c r="AC326" s="528"/>
      <c r="AD326" s="528"/>
      <c r="AE326" s="1004"/>
    </row>
    <row r="327" spans="1:31" ht="34.5" customHeight="1">
      <c r="A327" s="5504"/>
      <c r="B327" s="5487"/>
      <c r="C327" s="4629"/>
      <c r="D327" s="4629"/>
      <c r="E327" s="4629"/>
      <c r="F327" s="4629"/>
      <c r="G327" s="4629"/>
      <c r="H327" s="4629"/>
      <c r="I327" s="4629"/>
      <c r="J327" s="4629"/>
      <c r="K327" s="4629"/>
      <c r="L327" s="4629"/>
      <c r="M327" s="4629"/>
      <c r="N327" s="2062"/>
      <c r="O327" s="2062"/>
      <c r="P327" s="2062"/>
      <c r="Q327" s="2063"/>
      <c r="R327" s="1000"/>
      <c r="S327" s="461"/>
      <c r="T327" s="461"/>
      <c r="U327" s="1125"/>
      <c r="V327" s="582"/>
      <c r="W327" s="582"/>
      <c r="X327" s="613"/>
      <c r="Y327" s="613"/>
      <c r="Z327" s="613"/>
      <c r="AA327" s="614"/>
      <c r="AB327" s="582"/>
      <c r="AC327" s="528"/>
      <c r="AD327" s="528"/>
      <c r="AE327" s="1004"/>
    </row>
    <row r="328" spans="1:31" ht="34.5" customHeight="1">
      <c r="A328" s="5504"/>
      <c r="B328" s="5488"/>
      <c r="C328" s="4630"/>
      <c r="D328" s="4630"/>
      <c r="E328" s="4630"/>
      <c r="F328" s="4630"/>
      <c r="G328" s="4630"/>
      <c r="H328" s="4630"/>
      <c r="I328" s="4630"/>
      <c r="J328" s="4630"/>
      <c r="K328" s="4630"/>
      <c r="L328" s="4630"/>
      <c r="M328" s="4630"/>
      <c r="N328" s="2064"/>
      <c r="O328" s="2064"/>
      <c r="P328" s="2064"/>
      <c r="Q328" s="2065"/>
      <c r="R328" s="1005"/>
      <c r="S328" s="1006"/>
      <c r="T328" s="1006"/>
      <c r="U328" s="1093"/>
      <c r="V328" s="619"/>
      <c r="W328" s="619"/>
      <c r="X328" s="620"/>
      <c r="Y328" s="613"/>
      <c r="Z328" s="613"/>
      <c r="AA328" s="621"/>
      <c r="AB328" s="619"/>
      <c r="AC328" s="623"/>
      <c r="AD328" s="623"/>
      <c r="AE328" s="1007"/>
    </row>
    <row r="329" spans="1:31" ht="34.5" customHeight="1">
      <c r="A329" s="5504"/>
      <c r="B329" s="5486" t="s">
        <v>235</v>
      </c>
      <c r="C329" s="5489" t="s">
        <v>236</v>
      </c>
      <c r="D329" s="5489" t="s">
        <v>237</v>
      </c>
      <c r="E329" s="5489" t="s">
        <v>255</v>
      </c>
      <c r="F329" s="5492" t="s">
        <v>239</v>
      </c>
      <c r="G329" s="5489" t="s">
        <v>240</v>
      </c>
      <c r="H329" s="5489" t="s">
        <v>257</v>
      </c>
      <c r="I329" s="5489" t="s">
        <v>2592</v>
      </c>
      <c r="J329" s="5489" t="s">
        <v>338</v>
      </c>
      <c r="K329" s="5489" t="s">
        <v>2593</v>
      </c>
      <c r="L329" s="5614">
        <v>0</v>
      </c>
      <c r="M329" s="5614">
        <v>1</v>
      </c>
      <c r="N329" s="5614">
        <v>1</v>
      </c>
      <c r="O329" s="5489" t="s">
        <v>2594</v>
      </c>
      <c r="P329" s="5489" t="s">
        <v>2595</v>
      </c>
      <c r="Q329" s="1099" t="s">
        <v>2596</v>
      </c>
      <c r="R329" s="1009"/>
      <c r="S329" s="606"/>
      <c r="T329" s="606"/>
      <c r="U329" s="581"/>
      <c r="V329" s="608"/>
      <c r="W329" s="608"/>
      <c r="X329" s="609"/>
      <c r="Y329" s="609"/>
      <c r="Z329" s="609"/>
      <c r="AA329" s="610"/>
      <c r="AB329" s="608"/>
      <c r="AC329" s="612"/>
      <c r="AD329" s="612"/>
      <c r="AE329" s="1725"/>
    </row>
    <row r="330" spans="1:31" ht="34.5" customHeight="1">
      <c r="A330" s="5504"/>
      <c r="B330" s="5487"/>
      <c r="C330" s="4629"/>
      <c r="D330" s="4629"/>
      <c r="E330" s="4629"/>
      <c r="F330" s="4629"/>
      <c r="G330" s="4629"/>
      <c r="H330" s="4629"/>
      <c r="I330" s="4629"/>
      <c r="J330" s="4629"/>
      <c r="K330" s="4629"/>
      <c r="L330" s="4629"/>
      <c r="M330" s="4629"/>
      <c r="N330" s="4629"/>
      <c r="O330" s="4629"/>
      <c r="P330" s="4629"/>
      <c r="Q330" s="2063"/>
      <c r="R330" s="1000"/>
      <c r="S330" s="461"/>
      <c r="T330" s="461"/>
      <c r="U330" s="1125"/>
      <c r="V330" s="582"/>
      <c r="W330" s="582"/>
      <c r="X330" s="613"/>
      <c r="Y330" s="613"/>
      <c r="Z330" s="613"/>
      <c r="AA330" s="614"/>
      <c r="AB330" s="582"/>
      <c r="AC330" s="528"/>
      <c r="AD330" s="528"/>
      <c r="AE330" s="1004"/>
    </row>
    <row r="331" spans="1:31" ht="34.5" customHeight="1">
      <c r="A331" s="5504"/>
      <c r="B331" s="5487"/>
      <c r="C331" s="4629"/>
      <c r="D331" s="4629"/>
      <c r="E331" s="4629"/>
      <c r="F331" s="4629"/>
      <c r="G331" s="4629"/>
      <c r="H331" s="4629"/>
      <c r="I331" s="4629"/>
      <c r="J331" s="4629"/>
      <c r="K331" s="4629"/>
      <c r="L331" s="4629"/>
      <c r="M331" s="4629"/>
      <c r="N331" s="4629"/>
      <c r="O331" s="4629"/>
      <c r="P331" s="4629"/>
      <c r="Q331" s="2063"/>
      <c r="R331" s="1001"/>
      <c r="S331" s="677"/>
      <c r="T331" s="677"/>
      <c r="U331" s="1125"/>
      <c r="V331" s="582"/>
      <c r="W331" s="582"/>
      <c r="X331" s="613"/>
      <c r="Y331" s="613"/>
      <c r="Z331" s="613"/>
      <c r="AA331" s="614"/>
      <c r="AB331" s="582"/>
      <c r="AC331" s="528"/>
      <c r="AD331" s="528"/>
      <c r="AE331" s="1004"/>
    </row>
    <row r="332" spans="1:31" ht="34.5" customHeight="1">
      <c r="A332" s="5504"/>
      <c r="B332" s="5487"/>
      <c r="C332" s="4629"/>
      <c r="D332" s="4629"/>
      <c r="E332" s="4629"/>
      <c r="F332" s="4629"/>
      <c r="G332" s="4629"/>
      <c r="H332" s="4629"/>
      <c r="I332" s="4629"/>
      <c r="J332" s="4629"/>
      <c r="K332" s="4629"/>
      <c r="L332" s="4629"/>
      <c r="M332" s="4629"/>
      <c r="N332" s="4629"/>
      <c r="O332" s="4629"/>
      <c r="P332" s="4629"/>
      <c r="Q332" s="2063"/>
      <c r="R332" s="1000"/>
      <c r="S332" s="461"/>
      <c r="T332" s="461"/>
      <c r="U332" s="1125"/>
      <c r="V332" s="582"/>
      <c r="W332" s="582"/>
      <c r="X332" s="613"/>
      <c r="Y332" s="613"/>
      <c r="Z332" s="613"/>
      <c r="AA332" s="614"/>
      <c r="AB332" s="582"/>
      <c r="AC332" s="528"/>
      <c r="AD332" s="528"/>
      <c r="AE332" s="1004"/>
    </row>
    <row r="333" spans="1:31" ht="34.5" customHeight="1">
      <c r="A333" s="5504"/>
      <c r="B333" s="5488"/>
      <c r="C333" s="4630"/>
      <c r="D333" s="4630"/>
      <c r="E333" s="4630"/>
      <c r="F333" s="4630"/>
      <c r="G333" s="4630"/>
      <c r="H333" s="4630"/>
      <c r="I333" s="4630"/>
      <c r="J333" s="4630"/>
      <c r="K333" s="4630"/>
      <c r="L333" s="4630"/>
      <c r="M333" s="4630"/>
      <c r="N333" s="4630"/>
      <c r="O333" s="4630"/>
      <c r="P333" s="4630"/>
      <c r="Q333" s="2065"/>
      <c r="R333" s="1005"/>
      <c r="S333" s="1006"/>
      <c r="T333" s="1006"/>
      <c r="U333" s="1093"/>
      <c r="V333" s="619"/>
      <c r="W333" s="619"/>
      <c r="X333" s="620"/>
      <c r="Y333" s="613"/>
      <c r="Z333" s="613"/>
      <c r="AA333" s="621"/>
      <c r="AB333" s="619"/>
      <c r="AC333" s="623"/>
      <c r="AD333" s="623"/>
      <c r="AE333" s="1007"/>
    </row>
    <row r="334" spans="1:31" ht="34.5" customHeight="1">
      <c r="A334" s="5504"/>
      <c r="B334" s="5486" t="s">
        <v>235</v>
      </c>
      <c r="C334" s="5489" t="s">
        <v>236</v>
      </c>
      <c r="D334" s="5489" t="s">
        <v>237</v>
      </c>
      <c r="E334" s="5489" t="s">
        <v>255</v>
      </c>
      <c r="F334" s="5492" t="s">
        <v>239</v>
      </c>
      <c r="G334" s="5489" t="s">
        <v>240</v>
      </c>
      <c r="H334" s="5489" t="s">
        <v>257</v>
      </c>
      <c r="I334" s="5489" t="s">
        <v>2597</v>
      </c>
      <c r="J334" s="5489" t="s">
        <v>707</v>
      </c>
      <c r="K334" s="5489" t="s">
        <v>1719</v>
      </c>
      <c r="L334" s="5497">
        <v>0</v>
      </c>
      <c r="M334" s="5497">
        <v>1</v>
      </c>
      <c r="N334" s="5497">
        <v>0</v>
      </c>
      <c r="O334" s="5489" t="s">
        <v>1720</v>
      </c>
      <c r="P334" s="5489" t="s">
        <v>408</v>
      </c>
      <c r="Q334" s="5499" t="s">
        <v>2598</v>
      </c>
      <c r="R334" s="1009"/>
      <c r="S334" s="606"/>
      <c r="T334" s="606"/>
      <c r="U334" s="581"/>
      <c r="V334" s="608"/>
      <c r="W334" s="608"/>
      <c r="X334" s="609"/>
      <c r="Y334" s="609"/>
      <c r="Z334" s="609"/>
      <c r="AA334" s="610"/>
      <c r="AB334" s="608"/>
      <c r="AC334" s="612"/>
      <c r="AD334" s="612"/>
      <c r="AE334" s="1725"/>
    </row>
    <row r="335" spans="1:31" ht="16.5" customHeight="1">
      <c r="A335" s="5504"/>
      <c r="B335" s="5487"/>
      <c r="C335" s="4629"/>
      <c r="D335" s="4629"/>
      <c r="E335" s="4629"/>
      <c r="F335" s="4629"/>
      <c r="G335" s="4629"/>
      <c r="H335" s="4629"/>
      <c r="I335" s="4629"/>
      <c r="J335" s="4629"/>
      <c r="K335" s="4629"/>
      <c r="L335" s="4629"/>
      <c r="M335" s="4629"/>
      <c r="N335" s="4629"/>
      <c r="O335" s="4629"/>
      <c r="P335" s="4629"/>
      <c r="Q335" s="5500"/>
      <c r="R335" s="1000"/>
      <c r="S335" s="461"/>
      <c r="T335" s="461"/>
      <c r="U335" s="1125"/>
      <c r="V335" s="582"/>
      <c r="W335" s="582"/>
      <c r="X335" s="613"/>
      <c r="Y335" s="613"/>
      <c r="Z335" s="613"/>
      <c r="AA335" s="614"/>
      <c r="AB335" s="582"/>
      <c r="AC335" s="528"/>
      <c r="AD335" s="528"/>
      <c r="AE335" s="1004"/>
    </row>
    <row r="336" spans="1:31" ht="84.75" customHeight="1">
      <c r="A336" s="5504"/>
      <c r="B336" s="5487"/>
      <c r="C336" s="4629"/>
      <c r="D336" s="4629"/>
      <c r="E336" s="4629"/>
      <c r="F336" s="4629"/>
      <c r="G336" s="4629"/>
      <c r="H336" s="4629"/>
      <c r="I336" s="4629"/>
      <c r="J336" s="4629"/>
      <c r="K336" s="4629"/>
      <c r="L336" s="4629"/>
      <c r="M336" s="4629"/>
      <c r="N336" s="4629"/>
      <c r="O336" s="4629"/>
      <c r="P336" s="4629"/>
      <c r="Q336" s="5500"/>
      <c r="R336" s="1001"/>
      <c r="S336" s="677"/>
      <c r="T336" s="677"/>
      <c r="U336" s="1125"/>
      <c r="V336" s="582"/>
      <c r="W336" s="582"/>
      <c r="X336" s="613"/>
      <c r="Y336" s="613"/>
      <c r="Z336" s="613"/>
      <c r="AA336" s="614"/>
      <c r="AB336" s="582"/>
      <c r="AC336" s="528"/>
      <c r="AD336" s="528"/>
      <c r="AE336" s="1004"/>
    </row>
    <row r="337" spans="1:31" ht="84.75" customHeight="1">
      <c r="A337" s="5504"/>
      <c r="B337" s="5487"/>
      <c r="C337" s="4629"/>
      <c r="D337" s="4629"/>
      <c r="E337" s="4629"/>
      <c r="F337" s="4629"/>
      <c r="G337" s="4629"/>
      <c r="H337" s="4629"/>
      <c r="I337" s="4629"/>
      <c r="J337" s="4629"/>
      <c r="K337" s="4629"/>
      <c r="L337" s="4629"/>
      <c r="M337" s="4629"/>
      <c r="N337" s="4629"/>
      <c r="O337" s="4629"/>
      <c r="P337" s="4629"/>
      <c r="Q337" s="5500"/>
      <c r="R337" s="1000"/>
      <c r="S337" s="461"/>
      <c r="T337" s="461"/>
      <c r="U337" s="1125"/>
      <c r="V337" s="582"/>
      <c r="W337" s="582"/>
      <c r="X337" s="613"/>
      <c r="Y337" s="613"/>
      <c r="Z337" s="613"/>
      <c r="AA337" s="614"/>
      <c r="AB337" s="582"/>
      <c r="AC337" s="528"/>
      <c r="AD337" s="528"/>
      <c r="AE337" s="1004"/>
    </row>
    <row r="338" spans="1:31" ht="84.75" customHeight="1">
      <c r="A338" s="5504"/>
      <c r="B338" s="5490"/>
      <c r="C338" s="5491"/>
      <c r="D338" s="5491"/>
      <c r="E338" s="5491"/>
      <c r="F338" s="5491"/>
      <c r="G338" s="5491"/>
      <c r="H338" s="5491"/>
      <c r="I338" s="5491"/>
      <c r="J338" s="5491"/>
      <c r="K338" s="5491"/>
      <c r="L338" s="5491"/>
      <c r="M338" s="5491"/>
      <c r="N338" s="5491"/>
      <c r="O338" s="5491"/>
      <c r="P338" s="5491"/>
      <c r="Q338" s="5511"/>
      <c r="R338" s="1002"/>
      <c r="S338" s="617"/>
      <c r="T338" s="617"/>
      <c r="U338" s="1003"/>
      <c r="V338" s="619"/>
      <c r="W338" s="619"/>
      <c r="X338" s="620"/>
      <c r="Y338" s="620"/>
      <c r="Z338" s="620"/>
      <c r="AA338" s="621"/>
      <c r="AB338" s="619"/>
      <c r="AC338" s="623"/>
      <c r="AD338" s="623"/>
      <c r="AE338" s="1007"/>
    </row>
    <row r="339" spans="1:31" ht="18.75">
      <c r="A339" s="5505"/>
      <c r="B339" s="1100"/>
      <c r="C339" s="2093"/>
      <c r="D339" s="2093"/>
      <c r="E339" s="2093"/>
      <c r="F339" s="2093"/>
      <c r="G339" s="2093"/>
      <c r="H339" s="2093"/>
      <c r="I339" s="2093"/>
      <c r="J339" s="2093"/>
      <c r="K339" s="2093"/>
      <c r="L339" s="2093"/>
      <c r="M339" s="2093"/>
      <c r="N339" s="2093"/>
      <c r="O339" s="2094"/>
      <c r="P339" s="2095"/>
      <c r="Q339" s="5512" t="s">
        <v>2599</v>
      </c>
      <c r="R339" s="4540"/>
      <c r="S339" s="4540"/>
      <c r="T339" s="4540"/>
      <c r="U339" s="4540"/>
      <c r="V339" s="4540"/>
      <c r="W339" s="5513"/>
      <c r="X339" s="1101"/>
      <c r="Y339" s="1101"/>
      <c r="Z339" s="2060" t="s">
        <v>340</v>
      </c>
      <c r="AA339" s="2096">
        <f>SUM(AA84:AA338)</f>
        <v>0</v>
      </c>
      <c r="AB339" s="5484"/>
      <c r="AC339" s="4540"/>
      <c r="AD339" s="4540"/>
      <c r="AE339" s="5485"/>
    </row>
    <row r="340" spans="1:31" ht="91.5" customHeight="1">
      <c r="A340" s="2163" t="s">
        <v>1722</v>
      </c>
      <c r="B340" s="5592" t="s">
        <v>235</v>
      </c>
      <c r="C340" s="5523" t="s">
        <v>236</v>
      </c>
      <c r="D340" s="5523" t="s">
        <v>237</v>
      </c>
      <c r="E340" s="5523" t="s">
        <v>326</v>
      </c>
      <c r="F340" s="5552" t="s">
        <v>239</v>
      </c>
      <c r="G340" s="5523" t="s">
        <v>2051</v>
      </c>
      <c r="H340" s="5523" t="s">
        <v>257</v>
      </c>
      <c r="I340" s="5523" t="s">
        <v>2600</v>
      </c>
      <c r="J340" s="5523" t="s">
        <v>1723</v>
      </c>
      <c r="K340" s="5523" t="s">
        <v>2601</v>
      </c>
      <c r="L340" s="5607">
        <v>3</v>
      </c>
      <c r="M340" s="5607">
        <v>1</v>
      </c>
      <c r="N340" s="5607">
        <v>2</v>
      </c>
      <c r="O340" s="5523" t="s">
        <v>2602</v>
      </c>
      <c r="P340" s="5523" t="s">
        <v>2603</v>
      </c>
      <c r="Q340" s="5608" t="s">
        <v>2604</v>
      </c>
      <c r="R340" s="1102"/>
      <c r="S340" s="1103"/>
      <c r="T340" s="1103"/>
      <c r="U340" s="154"/>
      <c r="V340" s="1104"/>
      <c r="W340" s="155"/>
      <c r="X340" s="1105"/>
      <c r="Y340" s="1105"/>
      <c r="Z340" s="1105"/>
      <c r="AA340" s="1106"/>
      <c r="AB340" s="155"/>
      <c r="AC340" s="156"/>
      <c r="AD340" s="156"/>
      <c r="AE340" s="1728"/>
    </row>
    <row r="341" spans="1:31" ht="91.5" customHeight="1">
      <c r="A341" s="2164"/>
      <c r="B341" s="5573"/>
      <c r="C341" s="4629"/>
      <c r="D341" s="4629"/>
      <c r="E341" s="4629"/>
      <c r="F341" s="4629"/>
      <c r="G341" s="4629"/>
      <c r="H341" s="4629"/>
      <c r="I341" s="4629"/>
      <c r="J341" s="4629"/>
      <c r="K341" s="4629"/>
      <c r="L341" s="4629"/>
      <c r="M341" s="4629"/>
      <c r="N341" s="4629"/>
      <c r="O341" s="4629"/>
      <c r="P341" s="4629"/>
      <c r="Q341" s="5500"/>
      <c r="R341" s="982"/>
      <c r="S341" s="2045"/>
      <c r="T341" s="2045"/>
      <c r="U341" s="169"/>
      <c r="V341" s="984"/>
      <c r="W341" s="170"/>
      <c r="X341" s="974"/>
      <c r="Y341" s="974"/>
      <c r="Z341" s="974"/>
      <c r="AA341" s="969"/>
      <c r="AB341" s="170"/>
      <c r="AC341" s="282"/>
      <c r="AD341" s="282"/>
      <c r="AE341" s="1715"/>
    </row>
    <row r="342" spans="1:31" ht="91.5" customHeight="1">
      <c r="A342" s="2164"/>
      <c r="B342" s="5573"/>
      <c r="C342" s="4629"/>
      <c r="D342" s="4629"/>
      <c r="E342" s="4629"/>
      <c r="F342" s="4629"/>
      <c r="G342" s="4629"/>
      <c r="H342" s="4629"/>
      <c r="I342" s="4629"/>
      <c r="J342" s="4629"/>
      <c r="K342" s="4629"/>
      <c r="L342" s="4629"/>
      <c r="M342" s="4629"/>
      <c r="N342" s="4629"/>
      <c r="O342" s="4629"/>
      <c r="P342" s="4629"/>
      <c r="Q342" s="5500"/>
      <c r="R342" s="2042"/>
      <c r="S342" s="2043"/>
      <c r="T342" s="2043"/>
      <c r="U342" s="1217"/>
      <c r="V342" s="968"/>
      <c r="W342" s="414"/>
      <c r="X342" s="973"/>
      <c r="Y342" s="974"/>
      <c r="Z342" s="974"/>
      <c r="AA342" s="969"/>
      <c r="AB342" s="170"/>
      <c r="AC342" s="282"/>
      <c r="AD342" s="282"/>
      <c r="AE342" s="1715"/>
    </row>
    <row r="343" spans="1:31" ht="91.5" customHeight="1">
      <c r="A343" s="2164"/>
      <c r="B343" s="5573"/>
      <c r="C343" s="4629"/>
      <c r="D343" s="4629"/>
      <c r="E343" s="4629"/>
      <c r="F343" s="4629"/>
      <c r="G343" s="4629"/>
      <c r="H343" s="4629"/>
      <c r="I343" s="4629"/>
      <c r="J343" s="4629"/>
      <c r="K343" s="4629"/>
      <c r="L343" s="4629"/>
      <c r="M343" s="4629"/>
      <c r="N343" s="4629"/>
      <c r="O343" s="4629"/>
      <c r="P343" s="4629"/>
      <c r="Q343" s="5500"/>
      <c r="R343" s="2041"/>
      <c r="S343" s="2040"/>
      <c r="T343" s="2040"/>
      <c r="U343" s="1217"/>
      <c r="V343" s="968"/>
      <c r="W343" s="414"/>
      <c r="X343" s="973"/>
      <c r="Y343" s="974"/>
      <c r="Z343" s="974"/>
      <c r="AA343" s="969"/>
      <c r="AB343" s="170"/>
      <c r="AC343" s="282"/>
      <c r="AD343" s="282"/>
      <c r="AE343" s="1715"/>
    </row>
    <row r="344" spans="1:31" ht="91.5" customHeight="1">
      <c r="A344" s="2164"/>
      <c r="B344" s="5574"/>
      <c r="C344" s="4630"/>
      <c r="D344" s="4630"/>
      <c r="E344" s="4630"/>
      <c r="F344" s="4630"/>
      <c r="G344" s="4630"/>
      <c r="H344" s="4630"/>
      <c r="I344" s="4630"/>
      <c r="J344" s="4630"/>
      <c r="K344" s="4630"/>
      <c r="L344" s="4630"/>
      <c r="M344" s="4630"/>
      <c r="N344" s="4630"/>
      <c r="O344" s="4630"/>
      <c r="P344" s="4630"/>
      <c r="Q344" s="5511"/>
      <c r="R344" s="975"/>
      <c r="S344" s="2044"/>
      <c r="T344" s="2044"/>
      <c r="U344" s="411"/>
      <c r="V344" s="977"/>
      <c r="W344" s="165"/>
      <c r="X344" s="978"/>
      <c r="Y344" s="978"/>
      <c r="Z344" s="978"/>
      <c r="AA344" s="979"/>
      <c r="AB344" s="165"/>
      <c r="AC344" s="166"/>
      <c r="AD344" s="166"/>
      <c r="AE344" s="980"/>
    </row>
    <row r="345" spans="1:31" ht="34.5" customHeight="1">
      <c r="A345" s="2164"/>
      <c r="B345" s="5591" t="s">
        <v>235</v>
      </c>
      <c r="C345" s="5489" t="s">
        <v>236</v>
      </c>
      <c r="D345" s="5489" t="s">
        <v>237</v>
      </c>
      <c r="E345" s="5489" t="s">
        <v>326</v>
      </c>
      <c r="F345" s="5492" t="s">
        <v>239</v>
      </c>
      <c r="G345" s="5489" t="s">
        <v>240</v>
      </c>
      <c r="H345" s="5489" t="s">
        <v>257</v>
      </c>
      <c r="I345" s="5489" t="s">
        <v>2605</v>
      </c>
      <c r="J345" s="5489" t="s">
        <v>1728</v>
      </c>
      <c r="K345" s="5489" t="s">
        <v>2059</v>
      </c>
      <c r="L345" s="5611">
        <v>0</v>
      </c>
      <c r="M345" s="5611">
        <v>3</v>
      </c>
      <c r="N345" s="5611">
        <v>3</v>
      </c>
      <c r="O345" s="5613" t="s">
        <v>2606</v>
      </c>
      <c r="P345" s="5489" t="s">
        <v>2607</v>
      </c>
      <c r="Q345" s="5608" t="s">
        <v>2604</v>
      </c>
      <c r="R345" s="2041"/>
      <c r="S345" s="2040"/>
      <c r="T345" s="2040"/>
      <c r="U345" s="176"/>
      <c r="V345" s="968"/>
      <c r="W345" s="414"/>
      <c r="X345" s="973"/>
      <c r="Y345" s="973"/>
      <c r="Z345" s="973"/>
      <c r="AA345" s="981"/>
      <c r="AB345" s="414"/>
      <c r="AC345" s="174"/>
      <c r="AD345" s="174"/>
      <c r="AE345" s="1715"/>
    </row>
    <row r="346" spans="1:31" ht="34.5" customHeight="1">
      <c r="A346" s="2164"/>
      <c r="B346" s="5573"/>
      <c r="C346" s="4629"/>
      <c r="D346" s="4629"/>
      <c r="E346" s="4629"/>
      <c r="F346" s="4629"/>
      <c r="G346" s="4629"/>
      <c r="H346" s="4629"/>
      <c r="I346" s="4629"/>
      <c r="J346" s="4629"/>
      <c r="K346" s="4629"/>
      <c r="L346" s="4629"/>
      <c r="M346" s="4629"/>
      <c r="N346" s="4629"/>
      <c r="O346" s="4629"/>
      <c r="P346" s="4629"/>
      <c r="Q346" s="5500"/>
      <c r="R346" s="982"/>
      <c r="S346" s="2045"/>
      <c r="T346" s="2045"/>
      <c r="U346" s="169"/>
      <c r="V346" s="984"/>
      <c r="W346" s="170"/>
      <c r="X346" s="974"/>
      <c r="Y346" s="974"/>
      <c r="Z346" s="974"/>
      <c r="AA346" s="969"/>
      <c r="AB346" s="170"/>
      <c r="AC346" s="282"/>
      <c r="AD346" s="282"/>
      <c r="AE346" s="1715"/>
    </row>
    <row r="347" spans="1:31" ht="34.5" customHeight="1">
      <c r="A347" s="2164"/>
      <c r="B347" s="5573"/>
      <c r="C347" s="4629"/>
      <c r="D347" s="4629"/>
      <c r="E347" s="4629"/>
      <c r="F347" s="4629"/>
      <c r="G347" s="4629"/>
      <c r="H347" s="4629"/>
      <c r="I347" s="4629"/>
      <c r="J347" s="4629"/>
      <c r="K347" s="4629"/>
      <c r="L347" s="4629"/>
      <c r="M347" s="4629"/>
      <c r="N347" s="4629"/>
      <c r="O347" s="4629"/>
      <c r="P347" s="4629"/>
      <c r="Q347" s="5500"/>
      <c r="R347" s="2042"/>
      <c r="S347" s="2043"/>
      <c r="T347" s="2043"/>
      <c r="U347" s="1217"/>
      <c r="V347" s="968"/>
      <c r="W347" s="414"/>
      <c r="X347" s="973"/>
      <c r="Y347" s="974"/>
      <c r="Z347" s="974"/>
      <c r="AA347" s="969"/>
      <c r="AB347" s="170"/>
      <c r="AC347" s="282"/>
      <c r="AD347" s="282"/>
      <c r="AE347" s="1715"/>
    </row>
    <row r="348" spans="1:31" ht="34.5" customHeight="1">
      <c r="A348" s="2164"/>
      <c r="B348" s="5573"/>
      <c r="C348" s="4629"/>
      <c r="D348" s="4629"/>
      <c r="E348" s="4629"/>
      <c r="F348" s="4629"/>
      <c r="G348" s="4629"/>
      <c r="H348" s="4629"/>
      <c r="I348" s="4629"/>
      <c r="J348" s="4629"/>
      <c r="K348" s="4629"/>
      <c r="L348" s="4629"/>
      <c r="M348" s="4629"/>
      <c r="N348" s="4629"/>
      <c r="O348" s="4629"/>
      <c r="P348" s="4629"/>
      <c r="Q348" s="5500"/>
      <c r="R348" s="2041"/>
      <c r="S348" s="2040"/>
      <c r="T348" s="2040"/>
      <c r="U348" s="1217"/>
      <c r="V348" s="968"/>
      <c r="W348" s="414"/>
      <c r="X348" s="973"/>
      <c r="Y348" s="974"/>
      <c r="Z348" s="974"/>
      <c r="AA348" s="969"/>
      <c r="AB348" s="170"/>
      <c r="AC348" s="282"/>
      <c r="AD348" s="282"/>
      <c r="AE348" s="1715"/>
    </row>
    <row r="349" spans="1:31" ht="34.5" customHeight="1">
      <c r="A349" s="2164"/>
      <c r="B349" s="5574"/>
      <c r="C349" s="4630"/>
      <c r="D349" s="4630"/>
      <c r="E349" s="4630"/>
      <c r="F349" s="4630"/>
      <c r="G349" s="4630"/>
      <c r="H349" s="4630"/>
      <c r="I349" s="4630"/>
      <c r="J349" s="4630"/>
      <c r="K349" s="4630"/>
      <c r="L349" s="4630"/>
      <c r="M349" s="4630"/>
      <c r="N349" s="4630"/>
      <c r="O349" s="4630"/>
      <c r="P349" s="4630"/>
      <c r="Q349" s="5511"/>
      <c r="R349" s="975"/>
      <c r="S349" s="2044"/>
      <c r="T349" s="2044"/>
      <c r="U349" s="411"/>
      <c r="V349" s="977"/>
      <c r="W349" s="165"/>
      <c r="X349" s="978"/>
      <c r="Y349" s="978"/>
      <c r="Z349" s="978"/>
      <c r="AA349" s="979"/>
      <c r="AB349" s="165"/>
      <c r="AC349" s="166"/>
      <c r="AD349" s="166"/>
      <c r="AE349" s="980"/>
    </row>
    <row r="350" spans="1:31" ht="91.5" customHeight="1">
      <c r="A350" s="2164"/>
      <c r="B350" s="5591" t="s">
        <v>235</v>
      </c>
      <c r="C350" s="5489" t="s">
        <v>236</v>
      </c>
      <c r="D350" s="5489" t="s">
        <v>237</v>
      </c>
      <c r="E350" s="5489" t="s">
        <v>326</v>
      </c>
      <c r="F350" s="5492" t="s">
        <v>239</v>
      </c>
      <c r="G350" s="5489" t="s">
        <v>240</v>
      </c>
      <c r="H350" s="5489" t="s">
        <v>257</v>
      </c>
      <c r="I350" s="5489" t="s">
        <v>2608</v>
      </c>
      <c r="J350" s="5489" t="s">
        <v>1733</v>
      </c>
      <c r="K350" s="5489" t="s">
        <v>2609</v>
      </c>
      <c r="L350" s="5611">
        <v>5</v>
      </c>
      <c r="M350" s="5611">
        <v>5</v>
      </c>
      <c r="N350" s="5611">
        <v>0</v>
      </c>
      <c r="O350" s="5489" t="s">
        <v>2610</v>
      </c>
      <c r="P350" s="5489" t="s">
        <v>2611</v>
      </c>
      <c r="Q350" s="5608" t="s">
        <v>2604</v>
      </c>
      <c r="R350" s="2041"/>
      <c r="S350" s="2040"/>
      <c r="T350" s="2040"/>
      <c r="U350" s="176"/>
      <c r="V350" s="968"/>
      <c r="W350" s="414"/>
      <c r="X350" s="973"/>
      <c r="Y350" s="973"/>
      <c r="Z350" s="973"/>
      <c r="AA350" s="981"/>
      <c r="AB350" s="414"/>
      <c r="AC350" s="174"/>
      <c r="AD350" s="174"/>
      <c r="AE350" s="1715"/>
    </row>
    <row r="351" spans="1:31" ht="91.5" customHeight="1">
      <c r="A351" s="2164"/>
      <c r="B351" s="5573"/>
      <c r="C351" s="4629"/>
      <c r="D351" s="4629"/>
      <c r="E351" s="4629"/>
      <c r="F351" s="4629"/>
      <c r="G351" s="4629"/>
      <c r="H351" s="4629"/>
      <c r="I351" s="4629"/>
      <c r="J351" s="4629"/>
      <c r="K351" s="4629"/>
      <c r="L351" s="4629"/>
      <c r="M351" s="4629"/>
      <c r="N351" s="4629"/>
      <c r="O351" s="4629"/>
      <c r="P351" s="4629"/>
      <c r="Q351" s="5500"/>
      <c r="R351" s="982"/>
      <c r="S351" s="2045"/>
      <c r="T351" s="2045"/>
      <c r="U351" s="169"/>
      <c r="V351" s="984"/>
      <c r="W351" s="170"/>
      <c r="X351" s="974"/>
      <c r="Y351" s="974"/>
      <c r="Z351" s="974"/>
      <c r="AA351" s="969"/>
      <c r="AB351" s="170"/>
      <c r="AC351" s="282"/>
      <c r="AD351" s="282"/>
      <c r="AE351" s="1715"/>
    </row>
    <row r="352" spans="1:31" ht="91.5" customHeight="1">
      <c r="A352" s="2164"/>
      <c r="B352" s="5573"/>
      <c r="C352" s="4629"/>
      <c r="D352" s="4629"/>
      <c r="E352" s="4629"/>
      <c r="F352" s="4629"/>
      <c r="G352" s="4629"/>
      <c r="H352" s="4629"/>
      <c r="I352" s="4629"/>
      <c r="J352" s="4629"/>
      <c r="K352" s="4629"/>
      <c r="L352" s="4629"/>
      <c r="M352" s="4629"/>
      <c r="N352" s="4629"/>
      <c r="O352" s="4629"/>
      <c r="P352" s="4629"/>
      <c r="Q352" s="5500"/>
      <c r="R352" s="2042"/>
      <c r="S352" s="2043"/>
      <c r="T352" s="2043"/>
      <c r="U352" s="1217"/>
      <c r="V352" s="968"/>
      <c r="W352" s="414"/>
      <c r="X352" s="973"/>
      <c r="Y352" s="974"/>
      <c r="Z352" s="974"/>
      <c r="AA352" s="969"/>
      <c r="AB352" s="170"/>
      <c r="AC352" s="282"/>
      <c r="AD352" s="282"/>
      <c r="AE352" s="1715"/>
    </row>
    <row r="353" spans="1:31" ht="91.5" customHeight="1">
      <c r="A353" s="2164"/>
      <c r="B353" s="5573"/>
      <c r="C353" s="4629"/>
      <c r="D353" s="4629"/>
      <c r="E353" s="4629"/>
      <c r="F353" s="4629"/>
      <c r="G353" s="4629"/>
      <c r="H353" s="4629"/>
      <c r="I353" s="4629"/>
      <c r="J353" s="4629"/>
      <c r="K353" s="4629"/>
      <c r="L353" s="4629"/>
      <c r="M353" s="4629"/>
      <c r="N353" s="4629"/>
      <c r="O353" s="4629"/>
      <c r="P353" s="4629"/>
      <c r="Q353" s="5500"/>
      <c r="R353" s="2041"/>
      <c r="S353" s="2040"/>
      <c r="T353" s="2040"/>
      <c r="U353" s="1217"/>
      <c r="V353" s="968"/>
      <c r="W353" s="414"/>
      <c r="X353" s="973"/>
      <c r="Y353" s="974"/>
      <c r="Z353" s="974"/>
      <c r="AA353" s="969"/>
      <c r="AB353" s="170"/>
      <c r="AC353" s="282"/>
      <c r="AD353" s="282"/>
      <c r="AE353" s="1715"/>
    </row>
    <row r="354" spans="1:31" ht="91.5" customHeight="1">
      <c r="A354" s="2164"/>
      <c r="B354" s="5574"/>
      <c r="C354" s="4630"/>
      <c r="D354" s="4630"/>
      <c r="E354" s="4630"/>
      <c r="F354" s="4630"/>
      <c r="G354" s="4630"/>
      <c r="H354" s="4630"/>
      <c r="I354" s="4630"/>
      <c r="J354" s="4630"/>
      <c r="K354" s="4630"/>
      <c r="L354" s="4630"/>
      <c r="M354" s="4630"/>
      <c r="N354" s="4630"/>
      <c r="O354" s="4630"/>
      <c r="P354" s="4630"/>
      <c r="Q354" s="5501"/>
      <c r="R354" s="975"/>
      <c r="S354" s="2044"/>
      <c r="T354" s="2044"/>
      <c r="U354" s="411"/>
      <c r="V354" s="977"/>
      <c r="W354" s="165"/>
      <c r="X354" s="978"/>
      <c r="Y354" s="978"/>
      <c r="Z354" s="978"/>
      <c r="AA354" s="979"/>
      <c r="AB354" s="165"/>
      <c r="AC354" s="166"/>
      <c r="AD354" s="166"/>
      <c r="AE354" s="980"/>
    </row>
    <row r="355" spans="1:31" ht="34.5" customHeight="1">
      <c r="A355" s="2164"/>
      <c r="B355" s="5591" t="s">
        <v>235</v>
      </c>
      <c r="C355" s="5489" t="s">
        <v>236</v>
      </c>
      <c r="D355" s="5489" t="s">
        <v>237</v>
      </c>
      <c r="E355" s="5489" t="s">
        <v>326</v>
      </c>
      <c r="F355" s="5492" t="s">
        <v>239</v>
      </c>
      <c r="G355" s="5489" t="s">
        <v>240</v>
      </c>
      <c r="H355" s="5489" t="s">
        <v>257</v>
      </c>
      <c r="I355" s="5489" t="s">
        <v>2612</v>
      </c>
      <c r="J355" s="5489" t="s">
        <v>1738</v>
      </c>
      <c r="K355" s="5612" t="s">
        <v>2613</v>
      </c>
      <c r="L355" s="5611">
        <v>0</v>
      </c>
      <c r="M355" s="5611">
        <v>0</v>
      </c>
      <c r="N355" s="5611">
        <v>0</v>
      </c>
      <c r="O355" s="5612" t="s">
        <v>2613</v>
      </c>
      <c r="P355" s="5612" t="s">
        <v>2613</v>
      </c>
      <c r="Q355" s="5594" t="s">
        <v>2069</v>
      </c>
      <c r="R355" s="2041"/>
      <c r="S355" s="2040"/>
      <c r="T355" s="2040"/>
      <c r="U355" s="176"/>
      <c r="V355" s="968"/>
      <c r="W355" s="414"/>
      <c r="X355" s="973"/>
      <c r="Y355" s="973"/>
      <c r="Z355" s="973"/>
      <c r="AA355" s="981"/>
      <c r="AB355" s="414"/>
      <c r="AC355" s="174"/>
      <c r="AD355" s="174"/>
      <c r="AE355" s="1715"/>
    </row>
    <row r="356" spans="1:31" ht="34.5" customHeight="1">
      <c r="A356" s="2164"/>
      <c r="B356" s="5573"/>
      <c r="C356" s="4629"/>
      <c r="D356" s="4629"/>
      <c r="E356" s="4629"/>
      <c r="F356" s="4629"/>
      <c r="G356" s="4629"/>
      <c r="H356" s="4629"/>
      <c r="I356" s="4629"/>
      <c r="J356" s="4629"/>
      <c r="K356" s="4629"/>
      <c r="L356" s="4629"/>
      <c r="M356" s="4629"/>
      <c r="N356" s="4629"/>
      <c r="O356" s="4629"/>
      <c r="P356" s="4629"/>
      <c r="Q356" s="5500"/>
      <c r="R356" s="982"/>
      <c r="S356" s="2045"/>
      <c r="T356" s="2045"/>
      <c r="U356" s="169"/>
      <c r="V356" s="984"/>
      <c r="W356" s="170"/>
      <c r="X356" s="974"/>
      <c r="Y356" s="974"/>
      <c r="Z356" s="974"/>
      <c r="AA356" s="969"/>
      <c r="AB356" s="170"/>
      <c r="AC356" s="282"/>
      <c r="AD356" s="282"/>
      <c r="AE356" s="1715"/>
    </row>
    <row r="357" spans="1:31" ht="34.5" customHeight="1">
      <c r="A357" s="2164"/>
      <c r="B357" s="5573"/>
      <c r="C357" s="4629"/>
      <c r="D357" s="4629"/>
      <c r="E357" s="4629"/>
      <c r="F357" s="4629"/>
      <c r="G357" s="4629"/>
      <c r="H357" s="4629"/>
      <c r="I357" s="4629"/>
      <c r="J357" s="4629"/>
      <c r="K357" s="4629"/>
      <c r="L357" s="4629"/>
      <c r="M357" s="4629"/>
      <c r="N357" s="4629"/>
      <c r="O357" s="4629"/>
      <c r="P357" s="4629"/>
      <c r="Q357" s="5500"/>
      <c r="R357" s="2042"/>
      <c r="S357" s="2043"/>
      <c r="T357" s="2043"/>
      <c r="U357" s="1217"/>
      <c r="V357" s="968"/>
      <c r="W357" s="414"/>
      <c r="X357" s="973"/>
      <c r="Y357" s="974"/>
      <c r="Z357" s="974"/>
      <c r="AA357" s="969"/>
      <c r="AB357" s="170"/>
      <c r="AC357" s="282"/>
      <c r="AD357" s="282"/>
      <c r="AE357" s="1715"/>
    </row>
    <row r="358" spans="1:31" ht="34.5" customHeight="1">
      <c r="A358" s="2164"/>
      <c r="B358" s="5573"/>
      <c r="C358" s="4629"/>
      <c r="D358" s="4629"/>
      <c r="E358" s="4629"/>
      <c r="F358" s="4629"/>
      <c r="G358" s="4629"/>
      <c r="H358" s="4629"/>
      <c r="I358" s="4629"/>
      <c r="J358" s="4629"/>
      <c r="K358" s="4629"/>
      <c r="L358" s="4629"/>
      <c r="M358" s="4629"/>
      <c r="N358" s="4629"/>
      <c r="O358" s="4629"/>
      <c r="P358" s="4629"/>
      <c r="Q358" s="5500"/>
      <c r="R358" s="2041"/>
      <c r="S358" s="2040"/>
      <c r="T358" s="2040"/>
      <c r="U358" s="1217"/>
      <c r="V358" s="968"/>
      <c r="W358" s="414"/>
      <c r="X358" s="973"/>
      <c r="Y358" s="974"/>
      <c r="Z358" s="974"/>
      <c r="AA358" s="969"/>
      <c r="AB358" s="170"/>
      <c r="AC358" s="282"/>
      <c r="AD358" s="282"/>
      <c r="AE358" s="1715"/>
    </row>
    <row r="359" spans="1:31" ht="34.5" customHeight="1">
      <c r="A359" s="2164"/>
      <c r="B359" s="5574"/>
      <c r="C359" s="4630"/>
      <c r="D359" s="4630"/>
      <c r="E359" s="4630"/>
      <c r="F359" s="4630"/>
      <c r="G359" s="4630"/>
      <c r="H359" s="4630"/>
      <c r="I359" s="4630"/>
      <c r="J359" s="4630"/>
      <c r="K359" s="4630"/>
      <c r="L359" s="4630"/>
      <c r="M359" s="4630"/>
      <c r="N359" s="4630"/>
      <c r="O359" s="4630"/>
      <c r="P359" s="4630"/>
      <c r="Q359" s="5511"/>
      <c r="R359" s="975"/>
      <c r="S359" s="2044"/>
      <c r="T359" s="2044"/>
      <c r="U359" s="411"/>
      <c r="V359" s="977"/>
      <c r="W359" s="165"/>
      <c r="X359" s="978"/>
      <c r="Y359" s="978"/>
      <c r="Z359" s="978"/>
      <c r="AA359" s="979"/>
      <c r="AB359" s="165"/>
      <c r="AC359" s="166"/>
      <c r="AD359" s="166"/>
      <c r="AE359" s="980"/>
    </row>
    <row r="360" spans="1:31" ht="69.75" customHeight="1">
      <c r="A360" s="2164"/>
      <c r="B360" s="5591" t="s">
        <v>235</v>
      </c>
      <c r="C360" s="5489" t="s">
        <v>236</v>
      </c>
      <c r="D360" s="5489" t="s">
        <v>237</v>
      </c>
      <c r="E360" s="5489" t="s">
        <v>326</v>
      </c>
      <c r="F360" s="5492" t="s">
        <v>239</v>
      </c>
      <c r="G360" s="5489" t="s">
        <v>240</v>
      </c>
      <c r="H360" s="5489" t="s">
        <v>257</v>
      </c>
      <c r="I360" s="5489" t="s">
        <v>2614</v>
      </c>
      <c r="J360" s="5489" t="s">
        <v>1743</v>
      </c>
      <c r="K360" s="5616" t="s">
        <v>2615</v>
      </c>
      <c r="L360" s="5611">
        <v>0</v>
      </c>
      <c r="M360" s="5611">
        <v>3</v>
      </c>
      <c r="N360" s="5611">
        <v>3</v>
      </c>
      <c r="O360" s="5617" t="s">
        <v>2616</v>
      </c>
      <c r="P360" s="5616" t="s">
        <v>2617</v>
      </c>
      <c r="Q360" s="5608" t="s">
        <v>2618</v>
      </c>
      <c r="R360" s="2041"/>
      <c r="S360" s="2040"/>
      <c r="T360" s="2040"/>
      <c r="U360" s="176"/>
      <c r="V360" s="968"/>
      <c r="W360" s="414"/>
      <c r="X360" s="973"/>
      <c r="Y360" s="973"/>
      <c r="Z360" s="973"/>
      <c r="AA360" s="981"/>
      <c r="AB360" s="414"/>
      <c r="AC360" s="168"/>
      <c r="AD360" s="168"/>
      <c r="AE360" s="1715"/>
    </row>
    <row r="361" spans="1:31" ht="69.75" customHeight="1">
      <c r="A361" s="2164"/>
      <c r="B361" s="5573"/>
      <c r="C361" s="4629"/>
      <c r="D361" s="4629"/>
      <c r="E361" s="4629"/>
      <c r="F361" s="4629"/>
      <c r="G361" s="4629"/>
      <c r="H361" s="4629"/>
      <c r="I361" s="4629"/>
      <c r="J361" s="4629"/>
      <c r="K361" s="4629"/>
      <c r="L361" s="4629"/>
      <c r="M361" s="4629"/>
      <c r="N361" s="4629"/>
      <c r="O361" s="4629"/>
      <c r="P361" s="4629"/>
      <c r="Q361" s="5500"/>
      <c r="R361" s="982"/>
      <c r="S361" s="2045"/>
      <c r="T361" s="2045"/>
      <c r="U361" s="169"/>
      <c r="V361" s="984"/>
      <c r="W361" s="170"/>
      <c r="X361" s="974"/>
      <c r="Y361" s="974"/>
      <c r="Z361" s="974"/>
      <c r="AA361" s="969"/>
      <c r="AB361" s="170"/>
      <c r="AC361" s="170"/>
      <c r="AD361" s="171"/>
      <c r="AE361" s="1715"/>
    </row>
    <row r="362" spans="1:31" ht="69.75" customHeight="1">
      <c r="A362" s="2165"/>
      <c r="B362" s="5573"/>
      <c r="C362" s="4629"/>
      <c r="D362" s="4629"/>
      <c r="E362" s="4629"/>
      <c r="F362" s="4629"/>
      <c r="G362" s="4629"/>
      <c r="H362" s="4629"/>
      <c r="I362" s="4629"/>
      <c r="J362" s="4629"/>
      <c r="K362" s="4629"/>
      <c r="L362" s="4629"/>
      <c r="M362" s="4629"/>
      <c r="N362" s="4629"/>
      <c r="O362" s="4629"/>
      <c r="P362" s="4629"/>
      <c r="Q362" s="5500"/>
      <c r="R362" s="982"/>
      <c r="S362" s="2045"/>
      <c r="T362" s="2045"/>
      <c r="U362" s="169"/>
      <c r="V362" s="984"/>
      <c r="W362" s="170"/>
      <c r="X362" s="974"/>
      <c r="Y362" s="974"/>
      <c r="Z362" s="974"/>
      <c r="AA362" s="969"/>
      <c r="AB362" s="170"/>
      <c r="AC362" s="170"/>
      <c r="AD362" s="282"/>
      <c r="AE362" s="1715"/>
    </row>
    <row r="363" spans="1:31" ht="69.75" customHeight="1">
      <c r="A363" s="2162" t="s">
        <v>1722</v>
      </c>
      <c r="B363" s="5573"/>
      <c r="C363" s="4629"/>
      <c r="D363" s="4629"/>
      <c r="E363" s="4629"/>
      <c r="F363" s="4629"/>
      <c r="G363" s="4629"/>
      <c r="H363" s="4629"/>
      <c r="I363" s="4629"/>
      <c r="J363" s="4629"/>
      <c r="K363" s="4629"/>
      <c r="L363" s="4629"/>
      <c r="M363" s="4629"/>
      <c r="N363" s="4629"/>
      <c r="O363" s="4629"/>
      <c r="P363" s="4629"/>
      <c r="Q363" s="5500"/>
      <c r="R363" s="982"/>
      <c r="S363" s="2045"/>
      <c r="T363" s="2045"/>
      <c r="U363" s="169"/>
      <c r="V363" s="984"/>
      <c r="W363" s="170"/>
      <c r="X363" s="974"/>
      <c r="Y363" s="974"/>
      <c r="Z363" s="974"/>
      <c r="AA363" s="969"/>
      <c r="AB363" s="170"/>
      <c r="AC363" s="170"/>
      <c r="AD363" s="282"/>
      <c r="AE363" s="1715"/>
    </row>
    <row r="364" spans="1:31" ht="69.75" customHeight="1">
      <c r="A364" s="2164"/>
      <c r="B364" s="5574"/>
      <c r="C364" s="4630"/>
      <c r="D364" s="4630"/>
      <c r="E364" s="4630"/>
      <c r="F364" s="4630"/>
      <c r="G364" s="4630"/>
      <c r="H364" s="4630"/>
      <c r="I364" s="4630"/>
      <c r="J364" s="4630"/>
      <c r="K364" s="4630"/>
      <c r="L364" s="4630"/>
      <c r="M364" s="4630"/>
      <c r="N364" s="4630"/>
      <c r="O364" s="4630"/>
      <c r="P364" s="4630"/>
      <c r="Q364" s="5511"/>
      <c r="R364" s="975"/>
      <c r="S364" s="2044"/>
      <c r="T364" s="2044"/>
      <c r="U364" s="411"/>
      <c r="V364" s="977"/>
      <c r="W364" s="165"/>
      <c r="X364" s="978"/>
      <c r="Y364" s="978"/>
      <c r="Z364" s="978"/>
      <c r="AA364" s="979"/>
      <c r="AB364" s="165"/>
      <c r="AC364" s="165"/>
      <c r="AD364" s="166"/>
      <c r="AE364" s="980"/>
    </row>
    <row r="365" spans="1:31" ht="144.75" customHeight="1">
      <c r="A365" s="2164"/>
      <c r="B365" s="5591" t="s">
        <v>235</v>
      </c>
      <c r="C365" s="5489" t="s">
        <v>236</v>
      </c>
      <c r="D365" s="5489" t="s">
        <v>237</v>
      </c>
      <c r="E365" s="5489" t="s">
        <v>326</v>
      </c>
      <c r="F365" s="5492" t="s">
        <v>239</v>
      </c>
      <c r="G365" s="5489" t="s">
        <v>240</v>
      </c>
      <c r="H365" s="5489" t="s">
        <v>257</v>
      </c>
      <c r="I365" s="5489" t="s">
        <v>2619</v>
      </c>
      <c r="J365" s="5489" t="s">
        <v>1748</v>
      </c>
      <c r="K365" s="5489" t="s">
        <v>2620</v>
      </c>
      <c r="L365" s="5611">
        <v>2</v>
      </c>
      <c r="M365" s="5611">
        <v>1</v>
      </c>
      <c r="N365" s="5611">
        <v>1</v>
      </c>
      <c r="O365" s="5613" t="s">
        <v>2621</v>
      </c>
      <c r="P365" s="5498" t="s">
        <v>2622</v>
      </c>
      <c r="Q365" s="1107" t="s">
        <v>2604</v>
      </c>
      <c r="R365" s="2041"/>
      <c r="S365" s="2040"/>
      <c r="T365" s="2040"/>
      <c r="U365" s="283"/>
      <c r="V365" s="988"/>
      <c r="W365" s="178"/>
      <c r="X365" s="989"/>
      <c r="Y365" s="973"/>
      <c r="Z365" s="973"/>
      <c r="AA365" s="990"/>
      <c r="AB365" s="178"/>
      <c r="AC365" s="181"/>
      <c r="AD365" s="181"/>
      <c r="AE365" s="1714"/>
    </row>
    <row r="366" spans="1:31" ht="144.75" customHeight="1">
      <c r="A366" s="2164"/>
      <c r="B366" s="5573"/>
      <c r="C366" s="4629"/>
      <c r="D366" s="4629"/>
      <c r="E366" s="4629"/>
      <c r="F366" s="4629"/>
      <c r="G366" s="4629"/>
      <c r="H366" s="4629"/>
      <c r="I366" s="4629"/>
      <c r="J366" s="4629"/>
      <c r="K366" s="4629"/>
      <c r="L366" s="4629"/>
      <c r="M366" s="4629"/>
      <c r="N366" s="4629"/>
      <c r="O366" s="4629"/>
      <c r="P366" s="4629"/>
      <c r="Q366" s="2097"/>
      <c r="R366" s="982"/>
      <c r="S366" s="2045"/>
      <c r="T366" s="2045"/>
      <c r="U366" s="169"/>
      <c r="V366" s="984"/>
      <c r="W366" s="170"/>
      <c r="X366" s="974"/>
      <c r="Y366" s="974"/>
      <c r="Z366" s="974"/>
      <c r="AA366" s="969"/>
      <c r="AB366" s="170"/>
      <c r="AC366" s="282"/>
      <c r="AD366" s="282"/>
      <c r="AE366" s="1715"/>
    </row>
    <row r="367" spans="1:31" ht="144.75" customHeight="1">
      <c r="A367" s="2164"/>
      <c r="B367" s="5573"/>
      <c r="C367" s="4629"/>
      <c r="D367" s="4629"/>
      <c r="E367" s="4629"/>
      <c r="F367" s="4629"/>
      <c r="G367" s="4629"/>
      <c r="H367" s="4629"/>
      <c r="I367" s="4629"/>
      <c r="J367" s="4629"/>
      <c r="K367" s="4629"/>
      <c r="L367" s="4629"/>
      <c r="M367" s="4629"/>
      <c r="N367" s="4629"/>
      <c r="O367" s="4629"/>
      <c r="P367" s="4629"/>
      <c r="Q367" s="2097"/>
      <c r="R367" s="982"/>
      <c r="S367" s="2045"/>
      <c r="T367" s="2045"/>
      <c r="U367" s="169"/>
      <c r="V367" s="984"/>
      <c r="W367" s="170"/>
      <c r="X367" s="974"/>
      <c r="Y367" s="974"/>
      <c r="Z367" s="974"/>
      <c r="AA367" s="969"/>
      <c r="AB367" s="170"/>
      <c r="AC367" s="282"/>
      <c r="AD367" s="282"/>
      <c r="AE367" s="1715"/>
    </row>
    <row r="368" spans="1:31" ht="144.75" customHeight="1">
      <c r="A368" s="2164"/>
      <c r="B368" s="5573"/>
      <c r="C368" s="4629"/>
      <c r="D368" s="4629"/>
      <c r="E368" s="4629"/>
      <c r="F368" s="4629"/>
      <c r="G368" s="4629"/>
      <c r="H368" s="4629"/>
      <c r="I368" s="4629"/>
      <c r="J368" s="4629"/>
      <c r="K368" s="4629"/>
      <c r="L368" s="4629"/>
      <c r="M368" s="4629"/>
      <c r="N368" s="4629"/>
      <c r="O368" s="4629"/>
      <c r="P368" s="4629"/>
      <c r="Q368" s="2097"/>
      <c r="R368" s="982"/>
      <c r="S368" s="2045"/>
      <c r="T368" s="2045"/>
      <c r="U368" s="169"/>
      <c r="V368" s="984"/>
      <c r="W368" s="170"/>
      <c r="X368" s="974"/>
      <c r="Y368" s="974"/>
      <c r="Z368" s="974"/>
      <c r="AA368" s="969"/>
      <c r="AB368" s="170"/>
      <c r="AC368" s="282"/>
      <c r="AD368" s="282"/>
      <c r="AE368" s="1715"/>
    </row>
    <row r="369" spans="1:31" ht="144.75" customHeight="1">
      <c r="A369" s="2164"/>
      <c r="B369" s="5574"/>
      <c r="C369" s="4630"/>
      <c r="D369" s="4630"/>
      <c r="E369" s="4630"/>
      <c r="F369" s="4630"/>
      <c r="G369" s="4630"/>
      <c r="H369" s="4630"/>
      <c r="I369" s="4630"/>
      <c r="J369" s="4630"/>
      <c r="K369" s="4630"/>
      <c r="L369" s="4630"/>
      <c r="M369" s="4630"/>
      <c r="N369" s="4630"/>
      <c r="O369" s="4630"/>
      <c r="P369" s="4630"/>
      <c r="Q369" s="1108"/>
      <c r="R369" s="975"/>
      <c r="S369" s="2044"/>
      <c r="T369" s="2044"/>
      <c r="U369" s="411"/>
      <c r="V369" s="977"/>
      <c r="W369" s="165"/>
      <c r="X369" s="978"/>
      <c r="Y369" s="978"/>
      <c r="Z369" s="978"/>
      <c r="AA369" s="979"/>
      <c r="AB369" s="165"/>
      <c r="AC369" s="166"/>
      <c r="AD369" s="166"/>
      <c r="AE369" s="980"/>
    </row>
    <row r="370" spans="1:31" ht="45" customHeight="1">
      <c r="A370" s="2164"/>
      <c r="B370" s="5591" t="s">
        <v>235</v>
      </c>
      <c r="C370" s="5489" t="s">
        <v>236</v>
      </c>
      <c r="D370" s="5489" t="s">
        <v>237</v>
      </c>
      <c r="E370" s="5489" t="s">
        <v>326</v>
      </c>
      <c r="F370" s="5492" t="s">
        <v>239</v>
      </c>
      <c r="G370" s="5489" t="s">
        <v>240</v>
      </c>
      <c r="H370" s="5489" t="s">
        <v>257</v>
      </c>
      <c r="I370" s="5489" t="s">
        <v>2623</v>
      </c>
      <c r="J370" s="5489" t="s">
        <v>1753</v>
      </c>
      <c r="K370" s="5489" t="s">
        <v>2624</v>
      </c>
      <c r="L370" s="5611">
        <v>2</v>
      </c>
      <c r="M370" s="5611">
        <v>0</v>
      </c>
      <c r="N370" s="5611">
        <v>0</v>
      </c>
      <c r="O370" s="5613" t="s">
        <v>2625</v>
      </c>
      <c r="P370" s="5489" t="s">
        <v>2626</v>
      </c>
      <c r="Q370" s="5608" t="s">
        <v>2627</v>
      </c>
      <c r="R370" s="2041"/>
      <c r="S370" s="2040"/>
      <c r="T370" s="2040"/>
      <c r="U370" s="176"/>
      <c r="V370" s="968"/>
      <c r="W370" s="414"/>
      <c r="X370" s="973"/>
      <c r="Y370" s="973"/>
      <c r="Z370" s="973"/>
      <c r="AA370" s="981"/>
      <c r="AB370" s="414"/>
      <c r="AC370" s="174"/>
      <c r="AD370" s="174"/>
      <c r="AE370" s="1715"/>
    </row>
    <row r="371" spans="1:31" ht="45" customHeight="1">
      <c r="A371" s="2164"/>
      <c r="B371" s="5573"/>
      <c r="C371" s="4629"/>
      <c r="D371" s="4629"/>
      <c r="E371" s="4629"/>
      <c r="F371" s="4629"/>
      <c r="G371" s="4629"/>
      <c r="H371" s="4629"/>
      <c r="I371" s="4629"/>
      <c r="J371" s="4629"/>
      <c r="K371" s="4629"/>
      <c r="L371" s="4629"/>
      <c r="M371" s="4629"/>
      <c r="N371" s="4629"/>
      <c r="O371" s="4629"/>
      <c r="P371" s="4629"/>
      <c r="Q371" s="5500"/>
      <c r="R371" s="982"/>
      <c r="S371" s="2045"/>
      <c r="T371" s="2045"/>
      <c r="U371" s="169"/>
      <c r="V371" s="984"/>
      <c r="W371" s="170"/>
      <c r="X371" s="974"/>
      <c r="Y371" s="974"/>
      <c r="Z371" s="974"/>
      <c r="AA371" s="969"/>
      <c r="AB371" s="170"/>
      <c r="AC371" s="282"/>
      <c r="AD371" s="282"/>
      <c r="AE371" s="1715"/>
    </row>
    <row r="372" spans="1:31" ht="45" customHeight="1">
      <c r="A372" s="2164"/>
      <c r="B372" s="5573"/>
      <c r="C372" s="4629"/>
      <c r="D372" s="4629"/>
      <c r="E372" s="4629"/>
      <c r="F372" s="4629"/>
      <c r="G372" s="4629"/>
      <c r="H372" s="4629"/>
      <c r="I372" s="4629"/>
      <c r="J372" s="4629"/>
      <c r="K372" s="4629"/>
      <c r="L372" s="4629"/>
      <c r="M372" s="4629"/>
      <c r="N372" s="4629"/>
      <c r="O372" s="4629"/>
      <c r="P372" s="4629"/>
      <c r="Q372" s="5500"/>
      <c r="R372" s="2042"/>
      <c r="S372" s="2043"/>
      <c r="T372" s="2043"/>
      <c r="U372" s="1217"/>
      <c r="V372" s="968"/>
      <c r="W372" s="414"/>
      <c r="X372" s="973"/>
      <c r="Y372" s="974"/>
      <c r="Z372" s="974"/>
      <c r="AA372" s="969"/>
      <c r="AB372" s="170"/>
      <c r="AC372" s="282"/>
      <c r="AD372" s="282"/>
      <c r="AE372" s="1715"/>
    </row>
    <row r="373" spans="1:31" ht="45" customHeight="1">
      <c r="A373" s="2164"/>
      <c r="B373" s="5573"/>
      <c r="C373" s="4629"/>
      <c r="D373" s="4629"/>
      <c r="E373" s="4629"/>
      <c r="F373" s="4629"/>
      <c r="G373" s="4629"/>
      <c r="H373" s="4629"/>
      <c r="I373" s="4629"/>
      <c r="J373" s="4629"/>
      <c r="K373" s="4629"/>
      <c r="L373" s="4629"/>
      <c r="M373" s="4629"/>
      <c r="N373" s="4629"/>
      <c r="O373" s="4629"/>
      <c r="P373" s="4629"/>
      <c r="Q373" s="5500"/>
      <c r="R373" s="2041"/>
      <c r="S373" s="2040"/>
      <c r="T373" s="2040"/>
      <c r="U373" s="1217"/>
      <c r="V373" s="968"/>
      <c r="W373" s="414"/>
      <c r="X373" s="973"/>
      <c r="Y373" s="974"/>
      <c r="Z373" s="974"/>
      <c r="AA373" s="969"/>
      <c r="AB373" s="170"/>
      <c r="AC373" s="282"/>
      <c r="AD373" s="282"/>
      <c r="AE373" s="1715"/>
    </row>
    <row r="374" spans="1:31" ht="45" customHeight="1">
      <c r="A374" s="2164"/>
      <c r="B374" s="5574"/>
      <c r="C374" s="4630"/>
      <c r="D374" s="4630"/>
      <c r="E374" s="4630"/>
      <c r="F374" s="4630"/>
      <c r="G374" s="4630"/>
      <c r="H374" s="4630"/>
      <c r="I374" s="4630"/>
      <c r="J374" s="4630"/>
      <c r="K374" s="4630"/>
      <c r="L374" s="4630"/>
      <c r="M374" s="4630"/>
      <c r="N374" s="4630"/>
      <c r="O374" s="4630"/>
      <c r="P374" s="4630"/>
      <c r="Q374" s="5511"/>
      <c r="R374" s="975"/>
      <c r="S374" s="2044"/>
      <c r="T374" s="2044"/>
      <c r="U374" s="411"/>
      <c r="V374" s="977"/>
      <c r="W374" s="165"/>
      <c r="X374" s="978"/>
      <c r="Y374" s="978"/>
      <c r="Z374" s="978"/>
      <c r="AA374" s="979"/>
      <c r="AB374" s="165"/>
      <c r="AC374" s="166"/>
      <c r="AD374" s="166"/>
      <c r="AE374" s="980"/>
    </row>
    <row r="375" spans="1:31" ht="204.75" customHeight="1">
      <c r="A375" s="2164"/>
      <c r="B375" s="5591" t="s">
        <v>235</v>
      </c>
      <c r="C375" s="5489" t="s">
        <v>236</v>
      </c>
      <c r="D375" s="5489" t="s">
        <v>237</v>
      </c>
      <c r="E375" s="5489" t="s">
        <v>326</v>
      </c>
      <c r="F375" s="5492" t="s">
        <v>239</v>
      </c>
      <c r="G375" s="5489" t="s">
        <v>240</v>
      </c>
      <c r="H375" s="5489" t="s">
        <v>257</v>
      </c>
      <c r="I375" s="5489" t="s">
        <v>2628</v>
      </c>
      <c r="J375" s="5489" t="s">
        <v>1758</v>
      </c>
      <c r="K375" s="5615" t="s">
        <v>2629</v>
      </c>
      <c r="L375" s="5611">
        <v>40</v>
      </c>
      <c r="M375" s="5611">
        <v>30</v>
      </c>
      <c r="N375" s="5611">
        <v>30</v>
      </c>
      <c r="O375" s="5489" t="s">
        <v>2630</v>
      </c>
      <c r="P375" s="5489" t="s">
        <v>2631</v>
      </c>
      <c r="Q375" s="5608" t="s">
        <v>2604</v>
      </c>
      <c r="R375" s="2041"/>
      <c r="S375" s="2040"/>
      <c r="T375" s="2040"/>
      <c r="U375" s="176"/>
      <c r="V375" s="968"/>
      <c r="W375" s="414"/>
      <c r="X375" s="973"/>
      <c r="Y375" s="973"/>
      <c r="Z375" s="973"/>
      <c r="AA375" s="981"/>
      <c r="AB375" s="414"/>
      <c r="AC375" s="168"/>
      <c r="AD375" s="168"/>
      <c r="AE375" s="1715"/>
    </row>
    <row r="376" spans="1:31" ht="204.75" customHeight="1">
      <c r="A376" s="2164"/>
      <c r="B376" s="5573"/>
      <c r="C376" s="4629"/>
      <c r="D376" s="4629"/>
      <c r="E376" s="4629"/>
      <c r="F376" s="4629"/>
      <c r="G376" s="4629"/>
      <c r="H376" s="4629"/>
      <c r="I376" s="4629"/>
      <c r="J376" s="4629"/>
      <c r="K376" s="4629"/>
      <c r="L376" s="4629"/>
      <c r="M376" s="4629"/>
      <c r="N376" s="4629"/>
      <c r="O376" s="4629"/>
      <c r="P376" s="4629"/>
      <c r="Q376" s="5500"/>
      <c r="R376" s="982"/>
      <c r="S376" s="2045"/>
      <c r="T376" s="2045"/>
      <c r="U376" s="169"/>
      <c r="V376" s="984"/>
      <c r="W376" s="170"/>
      <c r="X376" s="974"/>
      <c r="Y376" s="974"/>
      <c r="Z376" s="974"/>
      <c r="AA376" s="969"/>
      <c r="AB376" s="170"/>
      <c r="AC376" s="170"/>
      <c r="AD376" s="171"/>
      <c r="AE376" s="1715"/>
    </row>
    <row r="377" spans="1:31" ht="204.75" customHeight="1">
      <c r="A377" s="2164"/>
      <c r="B377" s="5573"/>
      <c r="C377" s="4629"/>
      <c r="D377" s="4629"/>
      <c r="E377" s="4629"/>
      <c r="F377" s="4629"/>
      <c r="G377" s="4629"/>
      <c r="H377" s="4629"/>
      <c r="I377" s="4629"/>
      <c r="J377" s="4629"/>
      <c r="K377" s="4629"/>
      <c r="L377" s="4629"/>
      <c r="M377" s="4629"/>
      <c r="N377" s="4629"/>
      <c r="O377" s="4629"/>
      <c r="P377" s="4629"/>
      <c r="Q377" s="5500"/>
      <c r="R377" s="982"/>
      <c r="S377" s="2045"/>
      <c r="T377" s="2045"/>
      <c r="U377" s="169"/>
      <c r="V377" s="984"/>
      <c r="W377" s="170"/>
      <c r="X377" s="974"/>
      <c r="Y377" s="974"/>
      <c r="Z377" s="974"/>
      <c r="AA377" s="969"/>
      <c r="AB377" s="170"/>
      <c r="AC377" s="170"/>
      <c r="AD377" s="282"/>
      <c r="AE377" s="1715"/>
    </row>
    <row r="378" spans="1:31" ht="204.75" customHeight="1">
      <c r="A378" s="2164"/>
      <c r="B378" s="5573"/>
      <c r="C378" s="4629"/>
      <c r="D378" s="4629"/>
      <c r="E378" s="4629"/>
      <c r="F378" s="4629"/>
      <c r="G378" s="4629"/>
      <c r="H378" s="4629"/>
      <c r="I378" s="4629"/>
      <c r="J378" s="4629"/>
      <c r="K378" s="4629"/>
      <c r="L378" s="4629"/>
      <c r="M378" s="4629"/>
      <c r="N378" s="4629"/>
      <c r="O378" s="4629"/>
      <c r="P378" s="4629"/>
      <c r="Q378" s="5500"/>
      <c r="R378" s="982"/>
      <c r="S378" s="2045"/>
      <c r="T378" s="2045"/>
      <c r="U378" s="169"/>
      <c r="V378" s="984"/>
      <c r="W378" s="170"/>
      <c r="X378" s="974"/>
      <c r="Y378" s="974"/>
      <c r="Z378" s="974"/>
      <c r="AA378" s="969"/>
      <c r="AB378" s="170"/>
      <c r="AC378" s="170"/>
      <c r="AD378" s="282"/>
      <c r="AE378" s="1715"/>
    </row>
    <row r="379" spans="1:31" ht="204.75" customHeight="1">
      <c r="A379" s="2164"/>
      <c r="B379" s="5574"/>
      <c r="C379" s="4630"/>
      <c r="D379" s="4630"/>
      <c r="E379" s="4630"/>
      <c r="F379" s="4630"/>
      <c r="G379" s="4630"/>
      <c r="H379" s="4630"/>
      <c r="I379" s="4630"/>
      <c r="J379" s="4630"/>
      <c r="K379" s="4630"/>
      <c r="L379" s="4630"/>
      <c r="M379" s="4630"/>
      <c r="N379" s="4630"/>
      <c r="O379" s="4630"/>
      <c r="P379" s="4630"/>
      <c r="Q379" s="5511"/>
      <c r="R379" s="975"/>
      <c r="S379" s="2044"/>
      <c r="T379" s="2044"/>
      <c r="U379" s="411"/>
      <c r="V379" s="977"/>
      <c r="W379" s="165"/>
      <c r="X379" s="978"/>
      <c r="Y379" s="978"/>
      <c r="Z379" s="978"/>
      <c r="AA379" s="979"/>
      <c r="AB379" s="165"/>
      <c r="AC379" s="165"/>
      <c r="AD379" s="166"/>
      <c r="AE379" s="980"/>
    </row>
    <row r="380" spans="1:31" ht="135" customHeight="1">
      <c r="A380" s="2164"/>
      <c r="B380" s="5591" t="s">
        <v>235</v>
      </c>
      <c r="C380" s="5489" t="s">
        <v>236</v>
      </c>
      <c r="D380" s="5489" t="s">
        <v>237</v>
      </c>
      <c r="E380" s="5489" t="s">
        <v>326</v>
      </c>
      <c r="F380" s="5492" t="s">
        <v>239</v>
      </c>
      <c r="G380" s="5489" t="s">
        <v>240</v>
      </c>
      <c r="H380" s="5489" t="s">
        <v>257</v>
      </c>
      <c r="I380" s="5489" t="s">
        <v>2632</v>
      </c>
      <c r="J380" s="5489" t="s">
        <v>1763</v>
      </c>
      <c r="K380" s="5613" t="s">
        <v>2633</v>
      </c>
      <c r="L380" s="5611">
        <v>30</v>
      </c>
      <c r="M380" s="5611">
        <v>20</v>
      </c>
      <c r="N380" s="5611">
        <v>20</v>
      </c>
      <c r="O380" s="5613" t="s">
        <v>2634</v>
      </c>
      <c r="P380" s="5613" t="s">
        <v>2635</v>
      </c>
      <c r="Q380" s="5608" t="s">
        <v>2604</v>
      </c>
      <c r="R380" s="2041"/>
      <c r="S380" s="2040"/>
      <c r="T380" s="2040"/>
      <c r="U380" s="283"/>
      <c r="V380" s="988"/>
      <c r="W380" s="178"/>
      <c r="X380" s="989"/>
      <c r="Y380" s="973"/>
      <c r="Z380" s="973"/>
      <c r="AA380" s="990"/>
      <c r="AB380" s="178"/>
      <c r="AC380" s="181"/>
      <c r="AD380" s="181"/>
      <c r="AE380" s="1714"/>
    </row>
    <row r="381" spans="1:31" ht="135" customHeight="1">
      <c r="A381" s="2164"/>
      <c r="B381" s="5573"/>
      <c r="C381" s="4629"/>
      <c r="D381" s="4629"/>
      <c r="E381" s="4629"/>
      <c r="F381" s="4629"/>
      <c r="G381" s="4629"/>
      <c r="H381" s="4629"/>
      <c r="I381" s="4629"/>
      <c r="J381" s="4629"/>
      <c r="K381" s="4629"/>
      <c r="L381" s="4629"/>
      <c r="M381" s="4629"/>
      <c r="N381" s="4629"/>
      <c r="O381" s="4629"/>
      <c r="P381" s="4629"/>
      <c r="Q381" s="5500"/>
      <c r="R381" s="982"/>
      <c r="S381" s="2045"/>
      <c r="T381" s="2045"/>
      <c r="U381" s="169"/>
      <c r="V381" s="984"/>
      <c r="W381" s="170"/>
      <c r="X381" s="974"/>
      <c r="Y381" s="974"/>
      <c r="Z381" s="974"/>
      <c r="AA381" s="969"/>
      <c r="AB381" s="170"/>
      <c r="AC381" s="282"/>
      <c r="AD381" s="282"/>
      <c r="AE381" s="1715"/>
    </row>
    <row r="382" spans="1:31" ht="135" customHeight="1">
      <c r="A382" s="2164"/>
      <c r="B382" s="5573"/>
      <c r="C382" s="4629"/>
      <c r="D382" s="4629"/>
      <c r="E382" s="4629"/>
      <c r="F382" s="4629"/>
      <c r="G382" s="4629"/>
      <c r="H382" s="4629"/>
      <c r="I382" s="4629"/>
      <c r="J382" s="4629"/>
      <c r="K382" s="4629"/>
      <c r="L382" s="4629"/>
      <c r="M382" s="4629"/>
      <c r="N382" s="4629"/>
      <c r="O382" s="4629"/>
      <c r="P382" s="4629"/>
      <c r="Q382" s="5500"/>
      <c r="R382" s="982"/>
      <c r="S382" s="2045"/>
      <c r="T382" s="2045"/>
      <c r="U382" s="169"/>
      <c r="V382" s="984"/>
      <c r="W382" s="170"/>
      <c r="X382" s="974"/>
      <c r="Y382" s="974"/>
      <c r="Z382" s="974"/>
      <c r="AA382" s="969"/>
      <c r="AB382" s="170"/>
      <c r="AC382" s="282"/>
      <c r="AD382" s="282"/>
      <c r="AE382" s="1715"/>
    </row>
    <row r="383" spans="1:31" ht="135" customHeight="1">
      <c r="A383" s="2164"/>
      <c r="B383" s="5573"/>
      <c r="C383" s="4629"/>
      <c r="D383" s="4629"/>
      <c r="E383" s="4629"/>
      <c r="F383" s="4629"/>
      <c r="G383" s="4629"/>
      <c r="H383" s="4629"/>
      <c r="I383" s="4629"/>
      <c r="J383" s="4629"/>
      <c r="K383" s="4629"/>
      <c r="L383" s="4629"/>
      <c r="M383" s="4629"/>
      <c r="N383" s="4629"/>
      <c r="O383" s="4629"/>
      <c r="P383" s="4629"/>
      <c r="Q383" s="5500"/>
      <c r="R383" s="982"/>
      <c r="S383" s="2045"/>
      <c r="T383" s="2045"/>
      <c r="U383" s="169"/>
      <c r="V383" s="984"/>
      <c r="W383" s="170"/>
      <c r="X383" s="974"/>
      <c r="Y383" s="974"/>
      <c r="Z383" s="974"/>
      <c r="AA383" s="969"/>
      <c r="AB383" s="170"/>
      <c r="AC383" s="282"/>
      <c r="AD383" s="282"/>
      <c r="AE383" s="1715"/>
    </row>
    <row r="384" spans="1:31" ht="135" customHeight="1">
      <c r="A384" s="2164"/>
      <c r="B384" s="5574"/>
      <c r="C384" s="4630"/>
      <c r="D384" s="4630"/>
      <c r="E384" s="4630"/>
      <c r="F384" s="4630"/>
      <c r="G384" s="4630"/>
      <c r="H384" s="4630"/>
      <c r="I384" s="4630"/>
      <c r="J384" s="4630"/>
      <c r="K384" s="4630"/>
      <c r="L384" s="4630"/>
      <c r="M384" s="4630"/>
      <c r="N384" s="4630"/>
      <c r="O384" s="4630"/>
      <c r="P384" s="4630"/>
      <c r="Q384" s="5511"/>
      <c r="R384" s="975"/>
      <c r="S384" s="2044"/>
      <c r="T384" s="2044"/>
      <c r="U384" s="411"/>
      <c r="V384" s="977"/>
      <c r="W384" s="165"/>
      <c r="X384" s="978"/>
      <c r="Y384" s="978"/>
      <c r="Z384" s="978"/>
      <c r="AA384" s="979"/>
      <c r="AB384" s="165"/>
      <c r="AC384" s="166"/>
      <c r="AD384" s="166"/>
      <c r="AE384" s="980"/>
    </row>
    <row r="385" spans="1:31" ht="49.5" customHeight="1">
      <c r="A385" s="2164"/>
      <c r="B385" s="5591" t="s">
        <v>235</v>
      </c>
      <c r="C385" s="5489" t="s">
        <v>236</v>
      </c>
      <c r="D385" s="5489" t="s">
        <v>244</v>
      </c>
      <c r="E385" s="5489" t="s">
        <v>292</v>
      </c>
      <c r="F385" s="5492" t="s">
        <v>239</v>
      </c>
      <c r="G385" s="5489" t="s">
        <v>240</v>
      </c>
      <c r="H385" s="5489" t="s">
        <v>257</v>
      </c>
      <c r="I385" s="5489" t="s">
        <v>2636</v>
      </c>
      <c r="J385" s="5489" t="s">
        <v>1768</v>
      </c>
      <c r="K385" s="5489" t="s">
        <v>2637</v>
      </c>
      <c r="L385" s="5611">
        <v>1</v>
      </c>
      <c r="M385" s="5611">
        <v>1</v>
      </c>
      <c r="N385" s="5611">
        <v>1</v>
      </c>
      <c r="O385" s="5613" t="s">
        <v>2638</v>
      </c>
      <c r="P385" s="5489" t="s">
        <v>2639</v>
      </c>
      <c r="Q385" s="5608" t="s">
        <v>2604</v>
      </c>
      <c r="R385" s="2041"/>
      <c r="S385" s="2040"/>
      <c r="T385" s="2040"/>
      <c r="U385" s="176"/>
      <c r="V385" s="968"/>
      <c r="W385" s="414"/>
      <c r="X385" s="973"/>
      <c r="Y385" s="973"/>
      <c r="Z385" s="973"/>
      <c r="AA385" s="981"/>
      <c r="AB385" s="414"/>
      <c r="AC385" s="174"/>
      <c r="AD385" s="174"/>
      <c r="AE385" s="1715"/>
    </row>
    <row r="386" spans="1:31" ht="49.5" customHeight="1">
      <c r="A386" s="2164"/>
      <c r="B386" s="5573"/>
      <c r="C386" s="4629"/>
      <c r="D386" s="4629"/>
      <c r="E386" s="4629"/>
      <c r="F386" s="4629"/>
      <c r="G386" s="4629"/>
      <c r="H386" s="4629"/>
      <c r="I386" s="4629"/>
      <c r="J386" s="4629"/>
      <c r="K386" s="4629"/>
      <c r="L386" s="4629"/>
      <c r="M386" s="4629"/>
      <c r="N386" s="4629"/>
      <c r="O386" s="4629"/>
      <c r="P386" s="4629"/>
      <c r="Q386" s="5500"/>
      <c r="R386" s="982"/>
      <c r="S386" s="2045"/>
      <c r="T386" s="2045"/>
      <c r="U386" s="169"/>
      <c r="V386" s="984"/>
      <c r="W386" s="170"/>
      <c r="X386" s="974"/>
      <c r="Y386" s="974"/>
      <c r="Z386" s="974"/>
      <c r="AA386" s="969"/>
      <c r="AB386" s="170"/>
      <c r="AC386" s="282"/>
      <c r="AD386" s="282"/>
      <c r="AE386" s="1715"/>
    </row>
    <row r="387" spans="1:31" ht="49.5" customHeight="1">
      <c r="A387" s="2164"/>
      <c r="B387" s="5573"/>
      <c r="C387" s="4629"/>
      <c r="D387" s="4629"/>
      <c r="E387" s="4629"/>
      <c r="F387" s="4629"/>
      <c r="G387" s="4629"/>
      <c r="H387" s="4629"/>
      <c r="I387" s="4629"/>
      <c r="J387" s="4629"/>
      <c r="K387" s="4629"/>
      <c r="L387" s="4629"/>
      <c r="M387" s="4629"/>
      <c r="N387" s="4629"/>
      <c r="O387" s="4629"/>
      <c r="P387" s="4629"/>
      <c r="Q387" s="5500"/>
      <c r="R387" s="2042"/>
      <c r="S387" s="2043"/>
      <c r="T387" s="2043"/>
      <c r="U387" s="1217"/>
      <c r="V387" s="968"/>
      <c r="W387" s="414"/>
      <c r="X387" s="973"/>
      <c r="Y387" s="974"/>
      <c r="Z387" s="974"/>
      <c r="AA387" s="969"/>
      <c r="AB387" s="170"/>
      <c r="AC387" s="282"/>
      <c r="AD387" s="282"/>
      <c r="AE387" s="1715"/>
    </row>
    <row r="388" spans="1:31" ht="49.5" customHeight="1">
      <c r="A388" s="2164"/>
      <c r="B388" s="5573"/>
      <c r="C388" s="4629"/>
      <c r="D388" s="4629"/>
      <c r="E388" s="4629"/>
      <c r="F388" s="4629"/>
      <c r="G388" s="4629"/>
      <c r="H388" s="4629"/>
      <c r="I388" s="4629"/>
      <c r="J388" s="4629"/>
      <c r="K388" s="4629"/>
      <c r="L388" s="4629"/>
      <c r="M388" s="4629"/>
      <c r="N388" s="4629"/>
      <c r="O388" s="4629"/>
      <c r="P388" s="4629"/>
      <c r="Q388" s="5500"/>
      <c r="R388" s="2041"/>
      <c r="S388" s="2040"/>
      <c r="T388" s="2040"/>
      <c r="U388" s="1217"/>
      <c r="V388" s="968"/>
      <c r="W388" s="414"/>
      <c r="X388" s="973"/>
      <c r="Y388" s="974"/>
      <c r="Z388" s="974"/>
      <c r="AA388" s="969"/>
      <c r="AB388" s="170"/>
      <c r="AC388" s="282"/>
      <c r="AD388" s="282"/>
      <c r="AE388" s="1715"/>
    </row>
    <row r="389" spans="1:31" ht="49.5" customHeight="1">
      <c r="A389" s="2164"/>
      <c r="B389" s="5574"/>
      <c r="C389" s="4630"/>
      <c r="D389" s="4630"/>
      <c r="E389" s="4630"/>
      <c r="F389" s="4630"/>
      <c r="G389" s="4630"/>
      <c r="H389" s="4630"/>
      <c r="I389" s="4630"/>
      <c r="J389" s="4630"/>
      <c r="K389" s="4630"/>
      <c r="L389" s="4630"/>
      <c r="M389" s="4630"/>
      <c r="N389" s="4630"/>
      <c r="O389" s="4630"/>
      <c r="P389" s="4630"/>
      <c r="Q389" s="5511"/>
      <c r="R389" s="975"/>
      <c r="S389" s="2044"/>
      <c r="T389" s="2044"/>
      <c r="U389" s="411"/>
      <c r="V389" s="977"/>
      <c r="W389" s="165"/>
      <c r="X389" s="978"/>
      <c r="Y389" s="978"/>
      <c r="Z389" s="978"/>
      <c r="AA389" s="979"/>
      <c r="AB389" s="165"/>
      <c r="AC389" s="166"/>
      <c r="AD389" s="166"/>
      <c r="AE389" s="980"/>
    </row>
    <row r="390" spans="1:31" ht="34.5" customHeight="1">
      <c r="A390" s="2164"/>
      <c r="B390" s="5591" t="s">
        <v>235</v>
      </c>
      <c r="C390" s="5489" t="s">
        <v>236</v>
      </c>
      <c r="D390" s="5489" t="s">
        <v>244</v>
      </c>
      <c r="E390" s="5489" t="s">
        <v>292</v>
      </c>
      <c r="F390" s="5492" t="s">
        <v>239</v>
      </c>
      <c r="G390" s="5489" t="s">
        <v>240</v>
      </c>
      <c r="H390" s="5489" t="s">
        <v>257</v>
      </c>
      <c r="I390" s="5489" t="s">
        <v>2640</v>
      </c>
      <c r="J390" s="5489" t="s">
        <v>338</v>
      </c>
      <c r="K390" s="5489" t="s">
        <v>2641</v>
      </c>
      <c r="L390" s="5611">
        <v>0</v>
      </c>
      <c r="M390" s="5611">
        <v>1</v>
      </c>
      <c r="N390" s="5611">
        <v>1</v>
      </c>
      <c r="O390" s="5489" t="s">
        <v>2642</v>
      </c>
      <c r="P390" s="5489" t="s">
        <v>2643</v>
      </c>
      <c r="Q390" s="5608" t="s">
        <v>2604</v>
      </c>
      <c r="R390" s="2041"/>
      <c r="S390" s="2040"/>
      <c r="T390" s="2040"/>
      <c r="U390" s="176"/>
      <c r="V390" s="968"/>
      <c r="W390" s="414"/>
      <c r="X390" s="973"/>
      <c r="Y390" s="973"/>
      <c r="Z390" s="973"/>
      <c r="AA390" s="981"/>
      <c r="AB390" s="414"/>
      <c r="AC390" s="168"/>
      <c r="AD390" s="168"/>
      <c r="AE390" s="1715"/>
    </row>
    <row r="391" spans="1:31" ht="34.5" customHeight="1">
      <c r="A391" s="2164"/>
      <c r="B391" s="5573"/>
      <c r="C391" s="4629"/>
      <c r="D391" s="4629"/>
      <c r="E391" s="4629"/>
      <c r="F391" s="4629"/>
      <c r="G391" s="4629"/>
      <c r="H391" s="4629"/>
      <c r="I391" s="4629"/>
      <c r="J391" s="4629"/>
      <c r="K391" s="4629"/>
      <c r="L391" s="4629"/>
      <c r="M391" s="4629"/>
      <c r="N391" s="4629"/>
      <c r="O391" s="4629"/>
      <c r="P391" s="4629"/>
      <c r="Q391" s="5500"/>
      <c r="R391" s="982"/>
      <c r="S391" s="2045"/>
      <c r="T391" s="2045"/>
      <c r="U391" s="169"/>
      <c r="V391" s="984"/>
      <c r="W391" s="170"/>
      <c r="X391" s="974"/>
      <c r="Y391" s="974"/>
      <c r="Z391" s="974"/>
      <c r="AA391" s="969"/>
      <c r="AB391" s="170"/>
      <c r="AC391" s="170"/>
      <c r="AD391" s="171"/>
      <c r="AE391" s="1715"/>
    </row>
    <row r="392" spans="1:31" ht="34.5" customHeight="1">
      <c r="A392" s="2164"/>
      <c r="B392" s="5573"/>
      <c r="C392" s="4629"/>
      <c r="D392" s="4629"/>
      <c r="E392" s="4629"/>
      <c r="F392" s="4629"/>
      <c r="G392" s="4629"/>
      <c r="H392" s="4629"/>
      <c r="I392" s="4629"/>
      <c r="J392" s="4629"/>
      <c r="K392" s="4629"/>
      <c r="L392" s="4629"/>
      <c r="M392" s="4629"/>
      <c r="N392" s="4629"/>
      <c r="O392" s="4629"/>
      <c r="P392" s="4629"/>
      <c r="Q392" s="5500"/>
      <c r="R392" s="982"/>
      <c r="S392" s="2045"/>
      <c r="T392" s="2045"/>
      <c r="U392" s="169"/>
      <c r="V392" s="984"/>
      <c r="W392" s="170"/>
      <c r="X392" s="974"/>
      <c r="Y392" s="974"/>
      <c r="Z392" s="974"/>
      <c r="AA392" s="969"/>
      <c r="AB392" s="170"/>
      <c r="AC392" s="170"/>
      <c r="AD392" s="282"/>
      <c r="AE392" s="1715"/>
    </row>
    <row r="393" spans="1:31" ht="34.5" customHeight="1">
      <c r="A393" s="2164"/>
      <c r="B393" s="5573"/>
      <c r="C393" s="4629"/>
      <c r="D393" s="4629"/>
      <c r="E393" s="4629"/>
      <c r="F393" s="4629"/>
      <c r="G393" s="4629"/>
      <c r="H393" s="4629"/>
      <c r="I393" s="4629"/>
      <c r="J393" s="4629"/>
      <c r="K393" s="4629"/>
      <c r="L393" s="4629"/>
      <c r="M393" s="4629"/>
      <c r="N393" s="4629"/>
      <c r="O393" s="4629"/>
      <c r="P393" s="4629"/>
      <c r="Q393" s="5500"/>
      <c r="R393" s="982"/>
      <c r="S393" s="2045"/>
      <c r="T393" s="2045"/>
      <c r="U393" s="169"/>
      <c r="V393" s="984"/>
      <c r="W393" s="170"/>
      <c r="X393" s="974"/>
      <c r="Y393" s="974"/>
      <c r="Z393" s="974"/>
      <c r="AA393" s="969"/>
      <c r="AB393" s="170"/>
      <c r="AC393" s="170"/>
      <c r="AD393" s="282"/>
      <c r="AE393" s="1715"/>
    </row>
    <row r="394" spans="1:31" ht="34.5" customHeight="1">
      <c r="A394" s="2164"/>
      <c r="B394" s="5574"/>
      <c r="C394" s="4630"/>
      <c r="D394" s="4630"/>
      <c r="E394" s="4630"/>
      <c r="F394" s="4630"/>
      <c r="G394" s="4630"/>
      <c r="H394" s="4630"/>
      <c r="I394" s="4630"/>
      <c r="J394" s="4630"/>
      <c r="K394" s="4630"/>
      <c r="L394" s="4630"/>
      <c r="M394" s="4630"/>
      <c r="N394" s="4630"/>
      <c r="O394" s="4630"/>
      <c r="P394" s="4630"/>
      <c r="Q394" s="5511"/>
      <c r="R394" s="975"/>
      <c r="S394" s="2044"/>
      <c r="T394" s="2044"/>
      <c r="U394" s="411"/>
      <c r="V394" s="977"/>
      <c r="W394" s="165"/>
      <c r="X394" s="978"/>
      <c r="Y394" s="978"/>
      <c r="Z394" s="978"/>
      <c r="AA394" s="979"/>
      <c r="AB394" s="165"/>
      <c r="AC394" s="165"/>
      <c r="AD394" s="166"/>
      <c r="AE394" s="980"/>
    </row>
    <row r="395" spans="1:31" ht="54.75" customHeight="1">
      <c r="A395" s="2164"/>
      <c r="B395" s="5591" t="s">
        <v>235</v>
      </c>
      <c r="C395" s="5489" t="s">
        <v>236</v>
      </c>
      <c r="D395" s="5489" t="s">
        <v>237</v>
      </c>
      <c r="E395" s="5489" t="s">
        <v>326</v>
      </c>
      <c r="F395" s="5492" t="s">
        <v>239</v>
      </c>
      <c r="G395" s="5489" t="s">
        <v>240</v>
      </c>
      <c r="H395" s="5489" t="s">
        <v>257</v>
      </c>
      <c r="I395" s="5489" t="s">
        <v>2644</v>
      </c>
      <c r="J395" s="5489" t="s">
        <v>707</v>
      </c>
      <c r="K395" s="5489" t="s">
        <v>2645</v>
      </c>
      <c r="L395" s="5611">
        <v>2</v>
      </c>
      <c r="M395" s="5611">
        <v>2</v>
      </c>
      <c r="N395" s="5611">
        <v>2</v>
      </c>
      <c r="O395" s="5489" t="s">
        <v>2646</v>
      </c>
      <c r="P395" s="5489" t="s">
        <v>2647</v>
      </c>
      <c r="Q395" s="5608" t="s">
        <v>2604</v>
      </c>
      <c r="R395" s="995"/>
      <c r="S395" s="2057"/>
      <c r="T395" s="2057"/>
      <c r="U395" s="1958"/>
      <c r="V395" s="988"/>
      <c r="W395" s="178"/>
      <c r="X395" s="989"/>
      <c r="Y395" s="989"/>
      <c r="Z395" s="989"/>
      <c r="AA395" s="990"/>
      <c r="AB395" s="178"/>
      <c r="AC395" s="181"/>
      <c r="AD395" s="181"/>
      <c r="AE395" s="1714"/>
    </row>
    <row r="396" spans="1:31" ht="54.75" customHeight="1">
      <c r="A396" s="2164"/>
      <c r="B396" s="5573"/>
      <c r="C396" s="4629"/>
      <c r="D396" s="4629"/>
      <c r="E396" s="4629"/>
      <c r="F396" s="4629"/>
      <c r="G396" s="4629"/>
      <c r="H396" s="4629"/>
      <c r="I396" s="4629"/>
      <c r="J396" s="4629"/>
      <c r="K396" s="4629"/>
      <c r="L396" s="4629"/>
      <c r="M396" s="4629"/>
      <c r="N396" s="4629"/>
      <c r="O396" s="4629"/>
      <c r="P396" s="4629"/>
      <c r="Q396" s="5500"/>
      <c r="R396" s="2042"/>
      <c r="S396" s="2043"/>
      <c r="T396" s="2043"/>
      <c r="U396" s="169"/>
      <c r="V396" s="984"/>
      <c r="W396" s="170"/>
      <c r="X396" s="974"/>
      <c r="Y396" s="974"/>
      <c r="Z396" s="974"/>
      <c r="AA396" s="969"/>
      <c r="AB396" s="170"/>
      <c r="AC396" s="282"/>
      <c r="AD396" s="282"/>
      <c r="AE396" s="1715"/>
    </row>
    <row r="397" spans="1:31" ht="54.75" customHeight="1">
      <c r="A397" s="2164"/>
      <c r="B397" s="5573"/>
      <c r="C397" s="4629"/>
      <c r="D397" s="4629"/>
      <c r="E397" s="4629"/>
      <c r="F397" s="4629"/>
      <c r="G397" s="4629"/>
      <c r="H397" s="4629"/>
      <c r="I397" s="4629"/>
      <c r="J397" s="4629"/>
      <c r="K397" s="4629"/>
      <c r="L397" s="4629"/>
      <c r="M397" s="4629"/>
      <c r="N397" s="4629"/>
      <c r="O397" s="4629"/>
      <c r="P397" s="4629"/>
      <c r="Q397" s="5500"/>
      <c r="R397" s="982"/>
      <c r="S397" s="2045"/>
      <c r="T397" s="2045"/>
      <c r="U397" s="169"/>
      <c r="V397" s="984"/>
      <c r="W397" s="170"/>
      <c r="X397" s="974"/>
      <c r="Y397" s="974"/>
      <c r="Z397" s="974"/>
      <c r="AA397" s="969"/>
      <c r="AB397" s="170"/>
      <c r="AC397" s="282"/>
      <c r="AD397" s="282"/>
      <c r="AE397" s="1715"/>
    </row>
    <row r="398" spans="1:31" ht="54.75" customHeight="1">
      <c r="A398" s="2164"/>
      <c r="B398" s="5573"/>
      <c r="C398" s="4629"/>
      <c r="D398" s="4629"/>
      <c r="E398" s="4629"/>
      <c r="F398" s="4629"/>
      <c r="G398" s="4629"/>
      <c r="H398" s="4629"/>
      <c r="I398" s="4629"/>
      <c r="J398" s="4629"/>
      <c r="K398" s="4629"/>
      <c r="L398" s="4629"/>
      <c r="M398" s="4629"/>
      <c r="N398" s="4629"/>
      <c r="O398" s="4629"/>
      <c r="P398" s="4629"/>
      <c r="Q398" s="5500"/>
      <c r="R398" s="982"/>
      <c r="S398" s="2045"/>
      <c r="T398" s="2045"/>
      <c r="U398" s="169"/>
      <c r="V398" s="984"/>
      <c r="W398" s="170"/>
      <c r="X398" s="974"/>
      <c r="Y398" s="974"/>
      <c r="Z398" s="974"/>
      <c r="AA398" s="969"/>
      <c r="AB398" s="170"/>
      <c r="AC398" s="282"/>
      <c r="AD398" s="282"/>
      <c r="AE398" s="1715"/>
    </row>
    <row r="399" spans="1:31" ht="54.75" customHeight="1">
      <c r="A399" s="2164"/>
      <c r="B399" s="5574"/>
      <c r="C399" s="4630"/>
      <c r="D399" s="4630"/>
      <c r="E399" s="4630"/>
      <c r="F399" s="4630"/>
      <c r="G399" s="4630"/>
      <c r="H399" s="4630"/>
      <c r="I399" s="4630"/>
      <c r="J399" s="4630"/>
      <c r="K399" s="4630"/>
      <c r="L399" s="4630"/>
      <c r="M399" s="4630"/>
      <c r="N399" s="4630"/>
      <c r="O399" s="4630"/>
      <c r="P399" s="4630"/>
      <c r="Q399" s="5501"/>
      <c r="R399" s="975"/>
      <c r="S399" s="2044"/>
      <c r="T399" s="2044"/>
      <c r="U399" s="411"/>
      <c r="V399" s="977"/>
      <c r="W399" s="165"/>
      <c r="X399" s="978"/>
      <c r="Y399" s="978"/>
      <c r="Z399" s="978"/>
      <c r="AA399" s="979"/>
      <c r="AB399" s="165"/>
      <c r="AC399" s="166"/>
      <c r="AD399" s="166"/>
      <c r="AE399" s="980"/>
    </row>
    <row r="400" spans="1:31" ht="30" customHeight="1">
      <c r="A400" s="2159"/>
      <c r="B400" s="2058"/>
      <c r="C400" s="2058"/>
      <c r="D400" s="2058"/>
      <c r="E400" s="2058"/>
      <c r="F400" s="2058"/>
      <c r="G400" s="2058"/>
      <c r="H400" s="2058"/>
      <c r="I400" s="2058"/>
      <c r="J400" s="2058"/>
      <c r="K400" s="2058"/>
      <c r="L400" s="2058"/>
      <c r="M400" s="2058"/>
      <c r="N400" s="2058"/>
      <c r="O400" s="2058"/>
      <c r="P400" s="2058"/>
      <c r="Q400" s="2059"/>
      <c r="R400" s="5520" t="s">
        <v>1779</v>
      </c>
      <c r="S400" s="4443"/>
      <c r="T400" s="4443"/>
      <c r="U400" s="4443"/>
      <c r="V400" s="4443"/>
      <c r="W400" s="4443"/>
      <c r="X400" s="4443"/>
      <c r="Y400" s="4443"/>
      <c r="Z400" s="2060" t="s">
        <v>340</v>
      </c>
      <c r="AA400" s="998">
        <f>SUM(AA340:AA398)</f>
        <v>0</v>
      </c>
      <c r="AB400" s="5599"/>
      <c r="AC400" s="4642"/>
      <c r="AD400" s="4642"/>
      <c r="AE400" s="4797"/>
    </row>
    <row r="401" spans="1:31" ht="64.5" customHeight="1">
      <c r="A401" s="4777" t="s">
        <v>1780</v>
      </c>
      <c r="B401" s="5557" t="s">
        <v>235</v>
      </c>
      <c r="C401" s="5541" t="s">
        <v>236</v>
      </c>
      <c r="D401" s="5541" t="s">
        <v>237</v>
      </c>
      <c r="E401" s="5541" t="s">
        <v>326</v>
      </c>
      <c r="F401" s="5570" t="s">
        <v>239</v>
      </c>
      <c r="G401" s="5541" t="s">
        <v>240</v>
      </c>
      <c r="H401" s="5541" t="s">
        <v>257</v>
      </c>
      <c r="I401" s="5541" t="s">
        <v>2648</v>
      </c>
      <c r="J401" s="5541" t="s">
        <v>1781</v>
      </c>
      <c r="K401" s="5541" t="s">
        <v>2649</v>
      </c>
      <c r="L401" s="5609">
        <v>230</v>
      </c>
      <c r="M401" s="5609">
        <v>230</v>
      </c>
      <c r="N401" s="5609">
        <v>230</v>
      </c>
      <c r="O401" s="5610" t="s">
        <v>2650</v>
      </c>
      <c r="P401" s="5610" t="s">
        <v>2651</v>
      </c>
      <c r="Q401" s="5562" t="s">
        <v>2652</v>
      </c>
      <c r="R401" s="616"/>
      <c r="S401" s="2039"/>
      <c r="T401" s="2045"/>
      <c r="U401" s="1109"/>
      <c r="V401" s="1104"/>
      <c r="W401" s="176"/>
      <c r="X401" s="1105"/>
      <c r="Y401" s="1105"/>
      <c r="Z401" s="1105"/>
      <c r="AA401" s="1106"/>
      <c r="AB401" s="155"/>
      <c r="AC401" s="156"/>
      <c r="AD401" s="156"/>
      <c r="AE401" s="1728"/>
    </row>
    <row r="402" spans="1:31" ht="64.5" customHeight="1">
      <c r="A402" s="4778"/>
      <c r="B402" s="5528"/>
      <c r="C402" s="5515"/>
      <c r="D402" s="5515"/>
      <c r="E402" s="5515"/>
      <c r="F402" s="5515"/>
      <c r="G402" s="5515"/>
      <c r="H402" s="5515"/>
      <c r="I402" s="5515"/>
      <c r="J402" s="5515"/>
      <c r="K402" s="5515"/>
      <c r="L402" s="5515"/>
      <c r="M402" s="5515"/>
      <c r="N402" s="5515"/>
      <c r="O402" s="5515"/>
      <c r="P402" s="5515"/>
      <c r="Q402" s="5563"/>
      <c r="R402" s="2042"/>
      <c r="S402" s="2040"/>
      <c r="T402" s="2098"/>
      <c r="U402" s="1217"/>
      <c r="V402" s="984"/>
      <c r="W402" s="414"/>
      <c r="X402" s="974"/>
      <c r="Y402" s="974"/>
      <c r="Z402" s="974"/>
      <c r="AA402" s="969"/>
      <c r="AB402" s="170"/>
      <c r="AC402" s="282"/>
      <c r="AD402" s="282"/>
      <c r="AE402" s="1715"/>
    </row>
    <row r="403" spans="1:31" ht="64.5" customHeight="1">
      <c r="A403" s="4778"/>
      <c r="B403" s="5528"/>
      <c r="C403" s="5515"/>
      <c r="D403" s="5515"/>
      <c r="E403" s="5515"/>
      <c r="F403" s="5515"/>
      <c r="G403" s="5515"/>
      <c r="H403" s="5515"/>
      <c r="I403" s="5515"/>
      <c r="J403" s="5515"/>
      <c r="K403" s="5515"/>
      <c r="L403" s="5515"/>
      <c r="M403" s="5515"/>
      <c r="N403" s="5515"/>
      <c r="O403" s="5515"/>
      <c r="P403" s="5515"/>
      <c r="Q403" s="5563"/>
      <c r="R403" s="2042"/>
      <c r="S403" s="2040"/>
      <c r="T403" s="2043"/>
      <c r="U403" s="1217"/>
      <c r="V403" s="968"/>
      <c r="W403" s="414"/>
      <c r="X403" s="973"/>
      <c r="Y403" s="974"/>
      <c r="Z403" s="974"/>
      <c r="AA403" s="969"/>
      <c r="AB403" s="170"/>
      <c r="AC403" s="282"/>
      <c r="AD403" s="282"/>
      <c r="AE403" s="1715"/>
    </row>
    <row r="404" spans="1:31" ht="64.5" customHeight="1">
      <c r="A404" s="4778"/>
      <c r="B404" s="5528"/>
      <c r="C404" s="5515"/>
      <c r="D404" s="5515"/>
      <c r="E404" s="5515"/>
      <c r="F404" s="5515"/>
      <c r="G404" s="5515"/>
      <c r="H404" s="5515"/>
      <c r="I404" s="5515"/>
      <c r="J404" s="5515"/>
      <c r="K404" s="5515"/>
      <c r="L404" s="5515"/>
      <c r="M404" s="5515"/>
      <c r="N404" s="5515"/>
      <c r="O404" s="5515"/>
      <c r="P404" s="5515"/>
      <c r="Q404" s="5563"/>
      <c r="R404" s="2041"/>
      <c r="S404" s="2040"/>
      <c r="T404" s="2040"/>
      <c r="U404" s="1217"/>
      <c r="V404" s="968"/>
      <c r="W404" s="414"/>
      <c r="X404" s="973"/>
      <c r="Y404" s="974"/>
      <c r="Z404" s="974"/>
      <c r="AA404" s="969"/>
      <c r="AB404" s="170"/>
      <c r="AC404" s="282"/>
      <c r="AD404" s="282"/>
      <c r="AE404" s="1715"/>
    </row>
    <row r="405" spans="1:31" ht="64.5" customHeight="1">
      <c r="A405" s="4778"/>
      <c r="B405" s="5529"/>
      <c r="C405" s="5510"/>
      <c r="D405" s="5510"/>
      <c r="E405" s="5510"/>
      <c r="F405" s="5510"/>
      <c r="G405" s="5510"/>
      <c r="H405" s="5510"/>
      <c r="I405" s="5510"/>
      <c r="J405" s="5510"/>
      <c r="K405" s="5510"/>
      <c r="L405" s="5510"/>
      <c r="M405" s="5510"/>
      <c r="N405" s="5510"/>
      <c r="O405" s="5510"/>
      <c r="P405" s="5510"/>
      <c r="Q405" s="5564"/>
      <c r="R405" s="975"/>
      <c r="S405" s="2044"/>
      <c r="T405" s="2044"/>
      <c r="U405" s="411"/>
      <c r="V405" s="977"/>
      <c r="W405" s="165"/>
      <c r="X405" s="978"/>
      <c r="Y405" s="978"/>
      <c r="Z405" s="978"/>
      <c r="AA405" s="979"/>
      <c r="AB405" s="165"/>
      <c r="AC405" s="166"/>
      <c r="AD405" s="166"/>
      <c r="AE405" s="980"/>
    </row>
    <row r="406" spans="1:31" ht="34.5" customHeight="1">
      <c r="A406" s="4778"/>
      <c r="B406" s="5527" t="s">
        <v>235</v>
      </c>
      <c r="C406" s="5514" t="s">
        <v>236</v>
      </c>
      <c r="D406" s="5514" t="s">
        <v>237</v>
      </c>
      <c r="E406" s="5514" t="s">
        <v>326</v>
      </c>
      <c r="F406" s="5526" t="s">
        <v>239</v>
      </c>
      <c r="G406" s="5514" t="s">
        <v>240</v>
      </c>
      <c r="H406" s="5514" t="s">
        <v>257</v>
      </c>
      <c r="I406" s="5514" t="s">
        <v>2653</v>
      </c>
      <c r="J406" s="5514" t="s">
        <v>1786</v>
      </c>
      <c r="K406" s="5514" t="s">
        <v>2654</v>
      </c>
      <c r="L406" s="5605">
        <v>500</v>
      </c>
      <c r="M406" s="5605">
        <v>500</v>
      </c>
      <c r="N406" s="5605">
        <v>500</v>
      </c>
      <c r="O406" s="5525" t="s">
        <v>2655</v>
      </c>
      <c r="P406" s="5525" t="s">
        <v>2656</v>
      </c>
      <c r="Q406" s="5516" t="s">
        <v>2657</v>
      </c>
      <c r="R406" s="2041"/>
      <c r="S406" s="2040"/>
      <c r="T406" s="2040"/>
      <c r="U406" s="176"/>
      <c r="V406" s="968"/>
      <c r="W406" s="414"/>
      <c r="X406" s="973"/>
      <c r="Y406" s="973"/>
      <c r="Z406" s="973"/>
      <c r="AA406" s="981"/>
      <c r="AB406" s="414"/>
      <c r="AC406" s="174"/>
      <c r="AD406" s="174"/>
      <c r="AE406" s="1715"/>
    </row>
    <row r="407" spans="1:31" ht="34.5" customHeight="1">
      <c r="A407" s="4778"/>
      <c r="B407" s="5528"/>
      <c r="C407" s="5515"/>
      <c r="D407" s="5515"/>
      <c r="E407" s="5515"/>
      <c r="F407" s="5515"/>
      <c r="G407" s="5515"/>
      <c r="H407" s="5515"/>
      <c r="I407" s="5515"/>
      <c r="J407" s="5515"/>
      <c r="K407" s="5515"/>
      <c r="L407" s="5515"/>
      <c r="M407" s="5515"/>
      <c r="N407" s="5515"/>
      <c r="O407" s="5515"/>
      <c r="P407" s="5515"/>
      <c r="Q407" s="5517"/>
      <c r="R407" s="982"/>
      <c r="S407" s="2045"/>
      <c r="T407" s="2045"/>
      <c r="U407" s="169"/>
      <c r="V407" s="984"/>
      <c r="W407" s="170"/>
      <c r="X407" s="974"/>
      <c r="Y407" s="974"/>
      <c r="Z407" s="974"/>
      <c r="AA407" s="969"/>
      <c r="AB407" s="170"/>
      <c r="AC407" s="282"/>
      <c r="AD407" s="282"/>
      <c r="AE407" s="1715"/>
    </row>
    <row r="408" spans="1:31" ht="34.5" customHeight="1">
      <c r="A408" s="4778"/>
      <c r="B408" s="5528"/>
      <c r="C408" s="5515"/>
      <c r="D408" s="5515"/>
      <c r="E408" s="5515"/>
      <c r="F408" s="5515"/>
      <c r="G408" s="5515"/>
      <c r="H408" s="5515"/>
      <c r="I408" s="5515"/>
      <c r="J408" s="5515"/>
      <c r="K408" s="5515"/>
      <c r="L408" s="5515"/>
      <c r="M408" s="5515"/>
      <c r="N408" s="5515"/>
      <c r="O408" s="5515"/>
      <c r="P408" s="5515"/>
      <c r="Q408" s="5517"/>
      <c r="R408" s="2042"/>
      <c r="S408" s="2043"/>
      <c r="T408" s="2043"/>
      <c r="U408" s="1217"/>
      <c r="V408" s="968"/>
      <c r="W408" s="414"/>
      <c r="X408" s="973"/>
      <c r="Y408" s="974"/>
      <c r="Z408" s="974"/>
      <c r="AA408" s="969"/>
      <c r="AB408" s="170"/>
      <c r="AC408" s="282"/>
      <c r="AD408" s="282"/>
      <c r="AE408" s="1715"/>
    </row>
    <row r="409" spans="1:31" ht="34.5" customHeight="1">
      <c r="A409" s="4778"/>
      <c r="B409" s="5528"/>
      <c r="C409" s="5515"/>
      <c r="D409" s="5515"/>
      <c r="E409" s="5515"/>
      <c r="F409" s="5515"/>
      <c r="G409" s="5515"/>
      <c r="H409" s="5515"/>
      <c r="I409" s="5515"/>
      <c r="J409" s="5515"/>
      <c r="K409" s="5515"/>
      <c r="L409" s="5515"/>
      <c r="M409" s="5515"/>
      <c r="N409" s="5515"/>
      <c r="O409" s="5515"/>
      <c r="P409" s="5515"/>
      <c r="Q409" s="5517"/>
      <c r="R409" s="2041"/>
      <c r="S409" s="2040"/>
      <c r="T409" s="2040"/>
      <c r="U409" s="1217"/>
      <c r="V409" s="968"/>
      <c r="W409" s="414"/>
      <c r="X409" s="973"/>
      <c r="Y409" s="974"/>
      <c r="Z409" s="974"/>
      <c r="AA409" s="969"/>
      <c r="AB409" s="170"/>
      <c r="AC409" s="282"/>
      <c r="AD409" s="282"/>
      <c r="AE409" s="1715"/>
    </row>
    <row r="410" spans="1:31" ht="34.5" customHeight="1">
      <c r="A410" s="4778"/>
      <c r="B410" s="5529"/>
      <c r="C410" s="5510"/>
      <c r="D410" s="5510"/>
      <c r="E410" s="5510"/>
      <c r="F410" s="5510"/>
      <c r="G410" s="5510"/>
      <c r="H410" s="5510"/>
      <c r="I410" s="5510"/>
      <c r="J410" s="5510"/>
      <c r="K410" s="5510"/>
      <c r="L410" s="5510"/>
      <c r="M410" s="5510"/>
      <c r="N410" s="5510"/>
      <c r="O410" s="5510"/>
      <c r="P410" s="5510"/>
      <c r="Q410" s="5518"/>
      <c r="R410" s="975"/>
      <c r="S410" s="2044"/>
      <c r="T410" s="2044"/>
      <c r="U410" s="411"/>
      <c r="V410" s="977"/>
      <c r="W410" s="165"/>
      <c r="X410" s="978"/>
      <c r="Y410" s="978"/>
      <c r="Z410" s="978"/>
      <c r="AA410" s="979"/>
      <c r="AB410" s="165"/>
      <c r="AC410" s="166"/>
      <c r="AD410" s="166"/>
      <c r="AE410" s="980"/>
    </row>
    <row r="411" spans="1:31" ht="34.5" customHeight="1">
      <c r="A411" s="4778"/>
      <c r="B411" s="5527" t="s">
        <v>235</v>
      </c>
      <c r="C411" s="5514" t="s">
        <v>236</v>
      </c>
      <c r="D411" s="5514" t="s">
        <v>237</v>
      </c>
      <c r="E411" s="5514" t="s">
        <v>326</v>
      </c>
      <c r="F411" s="5526" t="s">
        <v>239</v>
      </c>
      <c r="G411" s="5514" t="s">
        <v>240</v>
      </c>
      <c r="H411" s="5514" t="s">
        <v>257</v>
      </c>
      <c r="I411" s="5514" t="s">
        <v>2658</v>
      </c>
      <c r="J411" s="5514" t="s">
        <v>1791</v>
      </c>
      <c r="K411" s="5514" t="s">
        <v>2659</v>
      </c>
      <c r="L411" s="5605">
        <v>115</v>
      </c>
      <c r="M411" s="5605">
        <v>161</v>
      </c>
      <c r="N411" s="5605">
        <v>135</v>
      </c>
      <c r="O411" s="5525" t="s">
        <v>2660</v>
      </c>
      <c r="P411" s="5525" t="s">
        <v>2661</v>
      </c>
      <c r="Q411" s="5516" t="s">
        <v>2662</v>
      </c>
      <c r="R411" s="2041"/>
      <c r="S411" s="2040"/>
      <c r="T411" s="2040"/>
      <c r="U411" s="176"/>
      <c r="V411" s="968"/>
      <c r="W411" s="414"/>
      <c r="X411" s="973"/>
      <c r="Y411" s="973"/>
      <c r="Z411" s="973"/>
      <c r="AA411" s="981"/>
      <c r="AB411" s="414"/>
      <c r="AC411" s="174"/>
      <c r="AD411" s="174"/>
      <c r="AE411" s="1715"/>
    </row>
    <row r="412" spans="1:31" ht="34.5" customHeight="1">
      <c r="A412" s="4778"/>
      <c r="B412" s="5528"/>
      <c r="C412" s="5515"/>
      <c r="D412" s="5515"/>
      <c r="E412" s="5515"/>
      <c r="F412" s="5515"/>
      <c r="G412" s="5515"/>
      <c r="H412" s="5515"/>
      <c r="I412" s="5515"/>
      <c r="J412" s="5515"/>
      <c r="K412" s="5515"/>
      <c r="L412" s="5515"/>
      <c r="M412" s="5515"/>
      <c r="N412" s="5515"/>
      <c r="O412" s="5515"/>
      <c r="P412" s="5515"/>
      <c r="Q412" s="5517"/>
      <c r="R412" s="982"/>
      <c r="S412" s="2045"/>
      <c r="T412" s="2045"/>
      <c r="U412" s="169"/>
      <c r="V412" s="984"/>
      <c r="W412" s="170"/>
      <c r="X412" s="974"/>
      <c r="Y412" s="974"/>
      <c r="Z412" s="974"/>
      <c r="AA412" s="969"/>
      <c r="AB412" s="170"/>
      <c r="AC412" s="282"/>
      <c r="AD412" s="282"/>
      <c r="AE412" s="1715"/>
    </row>
    <row r="413" spans="1:31" ht="34.5" customHeight="1">
      <c r="A413" s="4778"/>
      <c r="B413" s="5528"/>
      <c r="C413" s="5515"/>
      <c r="D413" s="5515"/>
      <c r="E413" s="5515"/>
      <c r="F413" s="5515"/>
      <c r="G413" s="5515"/>
      <c r="H413" s="5515"/>
      <c r="I413" s="5515"/>
      <c r="J413" s="5515"/>
      <c r="K413" s="5515"/>
      <c r="L413" s="5515"/>
      <c r="M413" s="5515"/>
      <c r="N413" s="5515"/>
      <c r="O413" s="5515"/>
      <c r="P413" s="5515"/>
      <c r="Q413" s="5517"/>
      <c r="R413" s="2042"/>
      <c r="S413" s="2043"/>
      <c r="T413" s="2043"/>
      <c r="U413" s="1217"/>
      <c r="V413" s="968"/>
      <c r="W413" s="414"/>
      <c r="X413" s="973"/>
      <c r="Y413" s="974"/>
      <c r="Z413" s="974"/>
      <c r="AA413" s="969"/>
      <c r="AB413" s="170"/>
      <c r="AC413" s="282"/>
      <c r="AD413" s="282"/>
      <c r="AE413" s="1715"/>
    </row>
    <row r="414" spans="1:31" ht="34.5" customHeight="1">
      <c r="A414" s="4778"/>
      <c r="B414" s="5528"/>
      <c r="C414" s="5515"/>
      <c r="D414" s="5515"/>
      <c r="E414" s="5515"/>
      <c r="F414" s="5515"/>
      <c r="G414" s="5515"/>
      <c r="H414" s="5515"/>
      <c r="I414" s="5515"/>
      <c r="J414" s="5515"/>
      <c r="K414" s="5515"/>
      <c r="L414" s="5515"/>
      <c r="M414" s="5515"/>
      <c r="N414" s="5515"/>
      <c r="O414" s="5515"/>
      <c r="P414" s="5515"/>
      <c r="Q414" s="5517"/>
      <c r="R414" s="2041"/>
      <c r="S414" s="2040"/>
      <c r="T414" s="2040"/>
      <c r="U414" s="1217"/>
      <c r="V414" s="968"/>
      <c r="W414" s="414"/>
      <c r="X414" s="973"/>
      <c r="Y414" s="974"/>
      <c r="Z414" s="974"/>
      <c r="AA414" s="969"/>
      <c r="AB414" s="170"/>
      <c r="AC414" s="282"/>
      <c r="AD414" s="282"/>
      <c r="AE414" s="1715"/>
    </row>
    <row r="415" spans="1:31" ht="34.5" customHeight="1">
      <c r="A415" s="4778"/>
      <c r="B415" s="5529"/>
      <c r="C415" s="5510"/>
      <c r="D415" s="5510"/>
      <c r="E415" s="5510"/>
      <c r="F415" s="5510"/>
      <c r="G415" s="5510"/>
      <c r="H415" s="5510"/>
      <c r="I415" s="5510"/>
      <c r="J415" s="5510"/>
      <c r="K415" s="5510"/>
      <c r="L415" s="5510"/>
      <c r="M415" s="5510"/>
      <c r="N415" s="5510"/>
      <c r="O415" s="5510"/>
      <c r="P415" s="5510"/>
      <c r="Q415" s="5518"/>
      <c r="R415" s="975"/>
      <c r="S415" s="2044"/>
      <c r="T415" s="2044"/>
      <c r="U415" s="411"/>
      <c r="V415" s="977"/>
      <c r="W415" s="165"/>
      <c r="X415" s="978"/>
      <c r="Y415" s="978"/>
      <c r="Z415" s="978"/>
      <c r="AA415" s="979"/>
      <c r="AB415" s="165"/>
      <c r="AC415" s="166"/>
      <c r="AD415" s="166"/>
      <c r="AE415" s="980"/>
    </row>
    <row r="416" spans="1:31" ht="34.5" customHeight="1">
      <c r="A416" s="4778"/>
      <c r="B416" s="5527" t="s">
        <v>235</v>
      </c>
      <c r="C416" s="5514" t="s">
        <v>236</v>
      </c>
      <c r="D416" s="5514" t="s">
        <v>237</v>
      </c>
      <c r="E416" s="5514" t="s">
        <v>326</v>
      </c>
      <c r="F416" s="5526" t="s">
        <v>239</v>
      </c>
      <c r="G416" s="5514" t="s">
        <v>240</v>
      </c>
      <c r="H416" s="5514" t="s">
        <v>257</v>
      </c>
      <c r="I416" s="5514" t="s">
        <v>2663</v>
      </c>
      <c r="J416" s="5514" t="s">
        <v>1796</v>
      </c>
      <c r="K416" s="5514" t="s">
        <v>2664</v>
      </c>
      <c r="L416" s="5605">
        <v>12</v>
      </c>
      <c r="M416" s="5605">
        <v>12</v>
      </c>
      <c r="N416" s="5605">
        <v>12</v>
      </c>
      <c r="O416" s="5514" t="s">
        <v>2665</v>
      </c>
      <c r="P416" s="5525" t="s">
        <v>2666</v>
      </c>
      <c r="Q416" s="5516" t="s">
        <v>2667</v>
      </c>
      <c r="R416" s="2041"/>
      <c r="S416" s="2040"/>
      <c r="T416" s="2040"/>
      <c r="U416" s="176"/>
      <c r="V416" s="968"/>
      <c r="W416" s="414"/>
      <c r="X416" s="973"/>
      <c r="Y416" s="973"/>
      <c r="Z416" s="973"/>
      <c r="AA416" s="981"/>
      <c r="AB416" s="414"/>
      <c r="AC416" s="174"/>
      <c r="AD416" s="174"/>
      <c r="AE416" s="1715"/>
    </row>
    <row r="417" spans="1:31" ht="34.5" customHeight="1">
      <c r="A417" s="4778"/>
      <c r="B417" s="5528"/>
      <c r="C417" s="5515"/>
      <c r="D417" s="5515"/>
      <c r="E417" s="5515"/>
      <c r="F417" s="5515"/>
      <c r="G417" s="5515"/>
      <c r="H417" s="5515"/>
      <c r="I417" s="5515"/>
      <c r="J417" s="5515"/>
      <c r="K417" s="5515"/>
      <c r="L417" s="5515"/>
      <c r="M417" s="5515"/>
      <c r="N417" s="5515"/>
      <c r="O417" s="5515"/>
      <c r="P417" s="5515"/>
      <c r="Q417" s="5517"/>
      <c r="R417" s="982"/>
      <c r="S417" s="2045"/>
      <c r="T417" s="2045"/>
      <c r="U417" s="169"/>
      <c r="V417" s="984"/>
      <c r="W417" s="170"/>
      <c r="X417" s="974"/>
      <c r="Y417" s="974"/>
      <c r="Z417" s="974"/>
      <c r="AA417" s="969"/>
      <c r="AB417" s="170"/>
      <c r="AC417" s="282"/>
      <c r="AD417" s="282"/>
      <c r="AE417" s="1715"/>
    </row>
    <row r="418" spans="1:31" ht="34.5" customHeight="1">
      <c r="A418" s="4778"/>
      <c r="B418" s="5528"/>
      <c r="C418" s="5515"/>
      <c r="D418" s="5515"/>
      <c r="E418" s="5515"/>
      <c r="F418" s="5515"/>
      <c r="G418" s="5515"/>
      <c r="H418" s="5515"/>
      <c r="I418" s="5515"/>
      <c r="J418" s="5515"/>
      <c r="K418" s="5515"/>
      <c r="L418" s="5515"/>
      <c r="M418" s="5515"/>
      <c r="N418" s="5515"/>
      <c r="O418" s="5515"/>
      <c r="P418" s="5515"/>
      <c r="Q418" s="5517"/>
      <c r="R418" s="2042"/>
      <c r="S418" s="2043"/>
      <c r="T418" s="2043"/>
      <c r="U418" s="1217"/>
      <c r="V418" s="968"/>
      <c r="W418" s="414"/>
      <c r="X418" s="973"/>
      <c r="Y418" s="974"/>
      <c r="Z418" s="974"/>
      <c r="AA418" s="969"/>
      <c r="AB418" s="170"/>
      <c r="AC418" s="282"/>
      <c r="AD418" s="282"/>
      <c r="AE418" s="1715"/>
    </row>
    <row r="419" spans="1:31" ht="34.5" customHeight="1">
      <c r="A419" s="4778"/>
      <c r="B419" s="5528"/>
      <c r="C419" s="5515"/>
      <c r="D419" s="5515"/>
      <c r="E419" s="5515"/>
      <c r="F419" s="5515"/>
      <c r="G419" s="5515"/>
      <c r="H419" s="5515"/>
      <c r="I419" s="5515"/>
      <c r="J419" s="5515"/>
      <c r="K419" s="5515"/>
      <c r="L419" s="5515"/>
      <c r="M419" s="5515"/>
      <c r="N419" s="5515"/>
      <c r="O419" s="5515"/>
      <c r="P419" s="5515"/>
      <c r="Q419" s="5517"/>
      <c r="R419" s="2041"/>
      <c r="S419" s="2040"/>
      <c r="T419" s="2040"/>
      <c r="U419" s="1217"/>
      <c r="V419" s="968"/>
      <c r="W419" s="414"/>
      <c r="X419" s="973"/>
      <c r="Y419" s="974"/>
      <c r="Z419" s="974"/>
      <c r="AA419" s="969"/>
      <c r="AB419" s="170"/>
      <c r="AC419" s="282"/>
      <c r="AD419" s="282"/>
      <c r="AE419" s="1715"/>
    </row>
    <row r="420" spans="1:31" ht="34.5" customHeight="1">
      <c r="A420" s="4778"/>
      <c r="B420" s="5529"/>
      <c r="C420" s="5510"/>
      <c r="D420" s="5510"/>
      <c r="E420" s="5510"/>
      <c r="F420" s="5510"/>
      <c r="G420" s="5510"/>
      <c r="H420" s="5510"/>
      <c r="I420" s="5510"/>
      <c r="J420" s="5510"/>
      <c r="K420" s="5510"/>
      <c r="L420" s="5510"/>
      <c r="M420" s="5510"/>
      <c r="N420" s="5510"/>
      <c r="O420" s="5510"/>
      <c r="P420" s="5510"/>
      <c r="Q420" s="5518"/>
      <c r="R420" s="975"/>
      <c r="S420" s="2044"/>
      <c r="T420" s="2044"/>
      <c r="U420" s="411"/>
      <c r="V420" s="977"/>
      <c r="W420" s="165"/>
      <c r="X420" s="978"/>
      <c r="Y420" s="978"/>
      <c r="Z420" s="978"/>
      <c r="AA420" s="979"/>
      <c r="AB420" s="165"/>
      <c r="AC420" s="166"/>
      <c r="AD420" s="166"/>
      <c r="AE420" s="980"/>
    </row>
    <row r="421" spans="1:31" ht="34.5" customHeight="1">
      <c r="A421" s="4778"/>
      <c r="B421" s="5527" t="s">
        <v>235</v>
      </c>
      <c r="C421" s="5514" t="s">
        <v>236</v>
      </c>
      <c r="D421" s="5514" t="s">
        <v>237</v>
      </c>
      <c r="E421" s="5514" t="s">
        <v>326</v>
      </c>
      <c r="F421" s="5526" t="s">
        <v>239</v>
      </c>
      <c r="G421" s="5514" t="s">
        <v>240</v>
      </c>
      <c r="H421" s="5514" t="s">
        <v>257</v>
      </c>
      <c r="I421" s="5514" t="s">
        <v>2668</v>
      </c>
      <c r="J421" s="5514" t="s">
        <v>1801</v>
      </c>
      <c r="K421" s="5514" t="s">
        <v>2669</v>
      </c>
      <c r="L421" s="5519">
        <v>0</v>
      </c>
      <c r="M421" s="5519">
        <v>0</v>
      </c>
      <c r="N421" s="5605">
        <v>0</v>
      </c>
      <c r="O421" s="5525" t="s">
        <v>2670</v>
      </c>
      <c r="P421" s="5525" t="s">
        <v>2671</v>
      </c>
      <c r="Q421" s="5516" t="s">
        <v>2667</v>
      </c>
      <c r="R421" s="2041"/>
      <c r="S421" s="2040"/>
      <c r="T421" s="2040"/>
      <c r="U421" s="176"/>
      <c r="V421" s="968"/>
      <c r="W421" s="414"/>
      <c r="X421" s="973"/>
      <c r="Y421" s="973"/>
      <c r="Z421" s="973"/>
      <c r="AA421" s="981"/>
      <c r="AB421" s="414"/>
      <c r="AC421" s="168"/>
      <c r="AD421" s="168"/>
      <c r="AE421" s="1715"/>
    </row>
    <row r="422" spans="1:31" ht="34.5" customHeight="1">
      <c r="A422" s="4778"/>
      <c r="B422" s="5528"/>
      <c r="C422" s="5515"/>
      <c r="D422" s="5515"/>
      <c r="E422" s="5515"/>
      <c r="F422" s="5515"/>
      <c r="G422" s="5515"/>
      <c r="H422" s="5515"/>
      <c r="I422" s="5515"/>
      <c r="J422" s="5515"/>
      <c r="K422" s="5515"/>
      <c r="L422" s="5515"/>
      <c r="M422" s="5515"/>
      <c r="N422" s="5515"/>
      <c r="O422" s="5515"/>
      <c r="P422" s="5515"/>
      <c r="Q422" s="5517"/>
      <c r="R422" s="982"/>
      <c r="S422" s="2045"/>
      <c r="T422" s="2045"/>
      <c r="U422" s="169"/>
      <c r="V422" s="984"/>
      <c r="W422" s="170"/>
      <c r="X422" s="974"/>
      <c r="Y422" s="974"/>
      <c r="Z422" s="974"/>
      <c r="AA422" s="969"/>
      <c r="AB422" s="170"/>
      <c r="AC422" s="170"/>
      <c r="AD422" s="171"/>
      <c r="AE422" s="1715"/>
    </row>
    <row r="423" spans="1:31" ht="34.5" customHeight="1">
      <c r="A423" s="4778"/>
      <c r="B423" s="5528"/>
      <c r="C423" s="5515"/>
      <c r="D423" s="5515"/>
      <c r="E423" s="5515"/>
      <c r="F423" s="5515"/>
      <c r="G423" s="5515"/>
      <c r="H423" s="5515"/>
      <c r="I423" s="5515"/>
      <c r="J423" s="5515"/>
      <c r="K423" s="5515"/>
      <c r="L423" s="5515"/>
      <c r="M423" s="5515"/>
      <c r="N423" s="5515"/>
      <c r="O423" s="5515"/>
      <c r="P423" s="5515"/>
      <c r="Q423" s="5517"/>
      <c r="R423" s="982"/>
      <c r="S423" s="2045"/>
      <c r="T423" s="2045"/>
      <c r="U423" s="169"/>
      <c r="V423" s="984"/>
      <c r="W423" s="170"/>
      <c r="X423" s="974"/>
      <c r="Y423" s="974"/>
      <c r="Z423" s="974"/>
      <c r="AA423" s="969"/>
      <c r="AB423" s="170"/>
      <c r="AC423" s="170"/>
      <c r="AD423" s="282"/>
      <c r="AE423" s="1715"/>
    </row>
    <row r="424" spans="1:31" ht="34.5" customHeight="1">
      <c r="A424" s="4778"/>
      <c r="B424" s="5528"/>
      <c r="C424" s="5515"/>
      <c r="D424" s="5515"/>
      <c r="E424" s="5515"/>
      <c r="F424" s="5515"/>
      <c r="G424" s="5515"/>
      <c r="H424" s="5515"/>
      <c r="I424" s="5515"/>
      <c r="J424" s="5515"/>
      <c r="K424" s="5515"/>
      <c r="L424" s="5515"/>
      <c r="M424" s="5515"/>
      <c r="N424" s="5515"/>
      <c r="O424" s="5515"/>
      <c r="P424" s="5515"/>
      <c r="Q424" s="5517"/>
      <c r="R424" s="982"/>
      <c r="S424" s="2045"/>
      <c r="T424" s="2045"/>
      <c r="U424" s="169"/>
      <c r="V424" s="984"/>
      <c r="W424" s="170"/>
      <c r="X424" s="974"/>
      <c r="Y424" s="974"/>
      <c r="Z424" s="974"/>
      <c r="AA424" s="969"/>
      <c r="AB424" s="170"/>
      <c r="AC424" s="170"/>
      <c r="AD424" s="282"/>
      <c r="AE424" s="1715"/>
    </row>
    <row r="425" spans="1:31" ht="34.5" customHeight="1">
      <c r="A425" s="4778"/>
      <c r="B425" s="5529"/>
      <c r="C425" s="5510"/>
      <c r="D425" s="5510"/>
      <c r="E425" s="5510"/>
      <c r="F425" s="5510"/>
      <c r="G425" s="5510"/>
      <c r="H425" s="5510"/>
      <c r="I425" s="5510"/>
      <c r="J425" s="5510"/>
      <c r="K425" s="5510"/>
      <c r="L425" s="5510"/>
      <c r="M425" s="5510"/>
      <c r="N425" s="5510"/>
      <c r="O425" s="5510"/>
      <c r="P425" s="5510"/>
      <c r="Q425" s="5518"/>
      <c r="R425" s="975"/>
      <c r="S425" s="2044"/>
      <c r="T425" s="2044"/>
      <c r="U425" s="411"/>
      <c r="V425" s="977"/>
      <c r="W425" s="165"/>
      <c r="X425" s="978"/>
      <c r="Y425" s="978"/>
      <c r="Z425" s="978"/>
      <c r="AA425" s="979"/>
      <c r="AB425" s="165"/>
      <c r="AC425" s="165"/>
      <c r="AD425" s="166"/>
      <c r="AE425" s="980"/>
    </row>
    <row r="426" spans="1:31" ht="34.5" customHeight="1">
      <c r="A426" s="4778"/>
      <c r="B426" s="5527" t="s">
        <v>235</v>
      </c>
      <c r="C426" s="5514" t="s">
        <v>236</v>
      </c>
      <c r="D426" s="5514" t="s">
        <v>237</v>
      </c>
      <c r="E426" s="5514" t="s">
        <v>326</v>
      </c>
      <c r="F426" s="5526" t="s">
        <v>239</v>
      </c>
      <c r="G426" s="5514" t="s">
        <v>240</v>
      </c>
      <c r="H426" s="5514" t="s">
        <v>257</v>
      </c>
      <c r="I426" s="5525" t="s">
        <v>2672</v>
      </c>
      <c r="J426" s="5514" t="s">
        <v>2673</v>
      </c>
      <c r="K426" s="5525" t="s">
        <v>2674</v>
      </c>
      <c r="L426" s="5605">
        <v>200</v>
      </c>
      <c r="M426" s="5519">
        <v>200</v>
      </c>
      <c r="N426" s="5605">
        <v>200</v>
      </c>
      <c r="O426" s="5514" t="s">
        <v>2675</v>
      </c>
      <c r="P426" s="5525" t="s">
        <v>2676</v>
      </c>
      <c r="Q426" s="5516" t="s">
        <v>2677</v>
      </c>
      <c r="R426" s="1110"/>
      <c r="S426" s="2099"/>
      <c r="T426" s="2099"/>
      <c r="U426" s="1951"/>
      <c r="V426" s="2100"/>
      <c r="W426" s="1952"/>
      <c r="X426" s="2101"/>
      <c r="Y426" s="2101"/>
      <c r="Z426" s="2101"/>
      <c r="AA426" s="2102"/>
      <c r="AB426" s="1952"/>
      <c r="AC426" s="1952"/>
      <c r="AD426" s="1953"/>
      <c r="AE426" s="1715"/>
    </row>
    <row r="427" spans="1:31" ht="34.5" customHeight="1">
      <c r="A427" s="4778"/>
      <c r="B427" s="5528"/>
      <c r="C427" s="5515"/>
      <c r="D427" s="5515"/>
      <c r="E427" s="5515"/>
      <c r="F427" s="5515"/>
      <c r="G427" s="5515"/>
      <c r="H427" s="5515"/>
      <c r="I427" s="5515"/>
      <c r="J427" s="5515"/>
      <c r="K427" s="5515"/>
      <c r="L427" s="5515"/>
      <c r="M427" s="5515"/>
      <c r="N427" s="5515"/>
      <c r="O427" s="5515"/>
      <c r="P427" s="5515"/>
      <c r="Q427" s="5517"/>
      <c r="R427" s="1110"/>
      <c r="S427" s="2099"/>
      <c r="T427" s="2099"/>
      <c r="U427" s="1951"/>
      <c r="V427" s="2100"/>
      <c r="W427" s="1952"/>
      <c r="X427" s="2101"/>
      <c r="Y427" s="2101"/>
      <c r="Z427" s="2101"/>
      <c r="AA427" s="2102"/>
      <c r="AB427" s="1952"/>
      <c r="AC427" s="1952"/>
      <c r="AD427" s="1953"/>
      <c r="AE427" s="1715"/>
    </row>
    <row r="428" spans="1:31" ht="34.5" customHeight="1">
      <c r="A428" s="4778"/>
      <c r="B428" s="5528"/>
      <c r="C428" s="5515"/>
      <c r="D428" s="5515"/>
      <c r="E428" s="5515"/>
      <c r="F428" s="5515"/>
      <c r="G428" s="5515"/>
      <c r="H428" s="5515"/>
      <c r="I428" s="5515"/>
      <c r="J428" s="5515"/>
      <c r="K428" s="5515"/>
      <c r="L428" s="5515"/>
      <c r="M428" s="5515"/>
      <c r="N428" s="5515"/>
      <c r="O428" s="5515"/>
      <c r="P428" s="5515"/>
      <c r="Q428" s="5517"/>
      <c r="R428" s="1110"/>
      <c r="S428" s="2099"/>
      <c r="T428" s="2099"/>
      <c r="U428" s="1951"/>
      <c r="V428" s="2100"/>
      <c r="W428" s="1952"/>
      <c r="X428" s="2101"/>
      <c r="Y428" s="2101"/>
      <c r="Z428" s="2101"/>
      <c r="AA428" s="2102"/>
      <c r="AB428" s="1952"/>
      <c r="AC428" s="1952"/>
      <c r="AD428" s="1953"/>
      <c r="AE428" s="1715"/>
    </row>
    <row r="429" spans="1:31" ht="34.5" customHeight="1">
      <c r="A429" s="4778"/>
      <c r="B429" s="5528"/>
      <c r="C429" s="5515"/>
      <c r="D429" s="5515"/>
      <c r="E429" s="5515"/>
      <c r="F429" s="5515"/>
      <c r="G429" s="5515"/>
      <c r="H429" s="5515"/>
      <c r="I429" s="5515"/>
      <c r="J429" s="5515"/>
      <c r="K429" s="5515"/>
      <c r="L429" s="5515"/>
      <c r="M429" s="5515"/>
      <c r="N429" s="5515"/>
      <c r="O429" s="5515"/>
      <c r="P429" s="5515"/>
      <c r="Q429" s="5517"/>
      <c r="R429" s="1110"/>
      <c r="S429" s="2099"/>
      <c r="T429" s="2099"/>
      <c r="U429" s="1951"/>
      <c r="V429" s="2100"/>
      <c r="W429" s="1952"/>
      <c r="X429" s="2101"/>
      <c r="Y429" s="2101"/>
      <c r="Z429" s="2101"/>
      <c r="AA429" s="2102"/>
      <c r="AB429" s="1952"/>
      <c r="AC429" s="1952"/>
      <c r="AD429" s="1953"/>
      <c r="AE429" s="1715"/>
    </row>
    <row r="430" spans="1:31" ht="34.5" customHeight="1">
      <c r="A430" s="4778"/>
      <c r="B430" s="5529"/>
      <c r="C430" s="5510"/>
      <c r="D430" s="5510"/>
      <c r="E430" s="5510"/>
      <c r="F430" s="5510"/>
      <c r="G430" s="5510"/>
      <c r="H430" s="5510"/>
      <c r="I430" s="5510"/>
      <c r="J430" s="5510"/>
      <c r="K430" s="5510"/>
      <c r="L430" s="5510"/>
      <c r="M430" s="5510"/>
      <c r="N430" s="5510"/>
      <c r="O430" s="5510"/>
      <c r="P430" s="5510"/>
      <c r="Q430" s="5518"/>
      <c r="R430" s="1110"/>
      <c r="S430" s="2099"/>
      <c r="T430" s="2099"/>
      <c r="U430" s="1951"/>
      <c r="V430" s="2100"/>
      <c r="W430" s="1952"/>
      <c r="X430" s="2101"/>
      <c r="Y430" s="2101"/>
      <c r="Z430" s="2101"/>
      <c r="AA430" s="2102"/>
      <c r="AB430" s="1952"/>
      <c r="AC430" s="1952"/>
      <c r="AD430" s="1953"/>
      <c r="AE430" s="1715"/>
    </row>
    <row r="431" spans="1:31" ht="34.5" customHeight="1">
      <c r="A431" s="4778"/>
      <c r="B431" s="5527" t="s">
        <v>235</v>
      </c>
      <c r="C431" s="5514" t="s">
        <v>236</v>
      </c>
      <c r="D431" s="5514" t="s">
        <v>237</v>
      </c>
      <c r="E431" s="5514" t="s">
        <v>326</v>
      </c>
      <c r="F431" s="5526" t="s">
        <v>239</v>
      </c>
      <c r="G431" s="5514" t="s">
        <v>240</v>
      </c>
      <c r="H431" s="5514" t="s">
        <v>257</v>
      </c>
      <c r="I431" s="5525" t="s">
        <v>2678</v>
      </c>
      <c r="J431" s="5514" t="s">
        <v>338</v>
      </c>
      <c r="K431" s="5525" t="s">
        <v>2679</v>
      </c>
      <c r="L431" s="5605">
        <v>0</v>
      </c>
      <c r="M431" s="5519">
        <v>1</v>
      </c>
      <c r="N431" s="5605">
        <v>1</v>
      </c>
      <c r="O431" s="5514" t="s">
        <v>2680</v>
      </c>
      <c r="P431" s="5525" t="s">
        <v>2681</v>
      </c>
      <c r="Q431" s="5516" t="s">
        <v>2677</v>
      </c>
      <c r="R431" s="1110"/>
      <c r="S431" s="2099"/>
      <c r="T431" s="2099"/>
      <c r="U431" s="1951"/>
      <c r="V431" s="2100"/>
      <c r="W431" s="1952"/>
      <c r="X431" s="2101"/>
      <c r="Y431" s="2101"/>
      <c r="Z431" s="2101"/>
      <c r="AA431" s="2102"/>
      <c r="AB431" s="1952"/>
      <c r="AC431" s="1952"/>
      <c r="AD431" s="1953"/>
      <c r="AE431" s="1715"/>
    </row>
    <row r="432" spans="1:31" ht="34.5" customHeight="1">
      <c r="A432" s="4778"/>
      <c r="B432" s="5528"/>
      <c r="C432" s="5515"/>
      <c r="D432" s="5515"/>
      <c r="E432" s="5515"/>
      <c r="F432" s="5515"/>
      <c r="G432" s="5515"/>
      <c r="H432" s="5515"/>
      <c r="I432" s="5515"/>
      <c r="J432" s="5515"/>
      <c r="K432" s="5515"/>
      <c r="L432" s="5515"/>
      <c r="M432" s="5515"/>
      <c r="N432" s="5515"/>
      <c r="O432" s="5515"/>
      <c r="P432" s="5515"/>
      <c r="Q432" s="5517"/>
      <c r="R432" s="1110"/>
      <c r="S432" s="2099"/>
      <c r="T432" s="2099"/>
      <c r="U432" s="1951"/>
      <c r="V432" s="2100"/>
      <c r="W432" s="1952"/>
      <c r="X432" s="2101"/>
      <c r="Y432" s="2101"/>
      <c r="Z432" s="2101"/>
      <c r="AA432" s="2102"/>
      <c r="AB432" s="1952"/>
      <c r="AC432" s="1952"/>
      <c r="AD432" s="1953"/>
      <c r="AE432" s="1715"/>
    </row>
    <row r="433" spans="1:31" ht="34.5" customHeight="1">
      <c r="A433" s="4778"/>
      <c r="B433" s="5528"/>
      <c r="C433" s="5515"/>
      <c r="D433" s="5515"/>
      <c r="E433" s="5515"/>
      <c r="F433" s="5515"/>
      <c r="G433" s="5515"/>
      <c r="H433" s="5515"/>
      <c r="I433" s="5515"/>
      <c r="J433" s="5515"/>
      <c r="K433" s="5515"/>
      <c r="L433" s="5515"/>
      <c r="M433" s="5515"/>
      <c r="N433" s="5515"/>
      <c r="O433" s="5515"/>
      <c r="P433" s="5515"/>
      <c r="Q433" s="5517"/>
      <c r="R433" s="1110"/>
      <c r="S433" s="2099"/>
      <c r="T433" s="2099"/>
      <c r="U433" s="1951"/>
      <c r="V433" s="2100"/>
      <c r="W433" s="1952"/>
      <c r="X433" s="2101"/>
      <c r="Y433" s="2101"/>
      <c r="Z433" s="2101"/>
      <c r="AA433" s="2102"/>
      <c r="AB433" s="1952"/>
      <c r="AC433" s="1952"/>
      <c r="AD433" s="1953"/>
      <c r="AE433" s="1715"/>
    </row>
    <row r="434" spans="1:31" ht="34.5" customHeight="1">
      <c r="A434" s="4778"/>
      <c r="B434" s="5528"/>
      <c r="C434" s="5515"/>
      <c r="D434" s="5515"/>
      <c r="E434" s="5515"/>
      <c r="F434" s="5515"/>
      <c r="G434" s="5515"/>
      <c r="H434" s="5515"/>
      <c r="I434" s="5515"/>
      <c r="J434" s="5515"/>
      <c r="K434" s="5515"/>
      <c r="L434" s="5515"/>
      <c r="M434" s="5515"/>
      <c r="N434" s="5515"/>
      <c r="O434" s="5515"/>
      <c r="P434" s="5515"/>
      <c r="Q434" s="5517"/>
      <c r="R434" s="1110"/>
      <c r="S434" s="2099"/>
      <c r="T434" s="2099"/>
      <c r="U434" s="169"/>
      <c r="V434" s="169"/>
      <c r="W434" s="169"/>
      <c r="X434" s="169"/>
      <c r="Y434" s="2040"/>
      <c r="Z434" s="2040"/>
      <c r="AA434" s="2040"/>
      <c r="AB434" s="2040"/>
      <c r="AC434" s="2040"/>
      <c r="AD434" s="2040"/>
      <c r="AE434" s="1115"/>
    </row>
    <row r="435" spans="1:31" ht="34.5" customHeight="1">
      <c r="A435" s="4778"/>
      <c r="B435" s="5529"/>
      <c r="C435" s="5510"/>
      <c r="D435" s="5510"/>
      <c r="E435" s="5510"/>
      <c r="F435" s="5510"/>
      <c r="G435" s="5510"/>
      <c r="H435" s="5510"/>
      <c r="I435" s="5510"/>
      <c r="J435" s="5510"/>
      <c r="K435" s="5510"/>
      <c r="L435" s="5510"/>
      <c r="M435" s="5510"/>
      <c r="N435" s="5510"/>
      <c r="O435" s="5510"/>
      <c r="P435" s="5510"/>
      <c r="Q435" s="5518"/>
      <c r="R435" s="1110"/>
      <c r="S435" s="2099"/>
      <c r="T435" s="2099"/>
      <c r="U435" s="169"/>
      <c r="V435" s="169"/>
      <c r="W435" s="169"/>
      <c r="X435" s="169"/>
      <c r="Y435" s="2040"/>
      <c r="Z435" s="2040"/>
      <c r="AA435" s="969"/>
      <c r="AB435" s="969"/>
      <c r="AC435" s="969"/>
      <c r="AD435" s="969"/>
      <c r="AE435" s="1116"/>
    </row>
    <row r="436" spans="1:31" ht="34.5" customHeight="1">
      <c r="A436" s="4778"/>
      <c r="B436" s="5527" t="s">
        <v>235</v>
      </c>
      <c r="C436" s="5514" t="s">
        <v>236</v>
      </c>
      <c r="D436" s="5514" t="s">
        <v>237</v>
      </c>
      <c r="E436" s="5514" t="s">
        <v>326</v>
      </c>
      <c r="F436" s="5526" t="s">
        <v>239</v>
      </c>
      <c r="G436" s="5514" t="s">
        <v>240</v>
      </c>
      <c r="H436" s="5514" t="s">
        <v>257</v>
      </c>
      <c r="I436" s="5514" t="s">
        <v>2682</v>
      </c>
      <c r="J436" s="5514" t="s">
        <v>1814</v>
      </c>
      <c r="K436" s="5514" t="s">
        <v>2683</v>
      </c>
      <c r="L436" s="5605">
        <v>15</v>
      </c>
      <c r="M436" s="5605">
        <v>15</v>
      </c>
      <c r="N436" s="5605">
        <v>15</v>
      </c>
      <c r="O436" s="5514" t="s">
        <v>2684</v>
      </c>
      <c r="P436" s="5525" t="s">
        <v>426</v>
      </c>
      <c r="Q436" s="5516" t="s">
        <v>2685</v>
      </c>
      <c r="R436" s="2041"/>
      <c r="S436" s="2040"/>
      <c r="T436" s="2040"/>
      <c r="U436" s="169"/>
      <c r="V436" s="169"/>
      <c r="W436" s="169"/>
      <c r="X436" s="169"/>
      <c r="Y436" s="973"/>
      <c r="Z436" s="973"/>
      <c r="AA436" s="969"/>
      <c r="AB436" s="969"/>
      <c r="AC436" s="969"/>
      <c r="AD436" s="969"/>
      <c r="AE436" s="1116"/>
    </row>
    <row r="437" spans="1:31" ht="34.5" customHeight="1">
      <c r="A437" s="4778"/>
      <c r="B437" s="5528"/>
      <c r="C437" s="5515"/>
      <c r="D437" s="5515"/>
      <c r="E437" s="5515"/>
      <c r="F437" s="5515"/>
      <c r="G437" s="5515"/>
      <c r="H437" s="5515"/>
      <c r="I437" s="5515"/>
      <c r="J437" s="5515"/>
      <c r="K437" s="5515"/>
      <c r="L437" s="5515"/>
      <c r="M437" s="5515"/>
      <c r="N437" s="5515"/>
      <c r="O437" s="5515"/>
      <c r="P437" s="5515"/>
      <c r="Q437" s="5517"/>
      <c r="R437" s="982"/>
      <c r="S437" s="2045"/>
      <c r="T437" s="2045"/>
      <c r="U437" s="169"/>
      <c r="V437" s="984"/>
      <c r="W437" s="170"/>
      <c r="X437" s="974"/>
      <c r="Y437" s="974"/>
      <c r="Z437" s="974"/>
      <c r="AA437" s="969"/>
      <c r="AB437" s="170"/>
      <c r="AC437" s="282"/>
      <c r="AD437" s="282"/>
      <c r="AE437" s="1715"/>
    </row>
    <row r="438" spans="1:31" ht="34.5" customHeight="1">
      <c r="A438" s="4778"/>
      <c r="B438" s="5528"/>
      <c r="C438" s="5515"/>
      <c r="D438" s="5515"/>
      <c r="E438" s="5515"/>
      <c r="F438" s="5515"/>
      <c r="G438" s="5515"/>
      <c r="H438" s="5515"/>
      <c r="I438" s="5515"/>
      <c r="J438" s="5515"/>
      <c r="K438" s="5515"/>
      <c r="L438" s="5515"/>
      <c r="M438" s="5515"/>
      <c r="N438" s="5515"/>
      <c r="O438" s="5515"/>
      <c r="P438" s="5515"/>
      <c r="Q438" s="5517"/>
      <c r="R438" s="982"/>
      <c r="S438" s="2045"/>
      <c r="T438" s="2045"/>
      <c r="U438" s="169"/>
      <c r="V438" s="984"/>
      <c r="W438" s="170"/>
      <c r="X438" s="974"/>
      <c r="Y438" s="974"/>
      <c r="Z438" s="974"/>
      <c r="AA438" s="969"/>
      <c r="AB438" s="170"/>
      <c r="AC438" s="282"/>
      <c r="AD438" s="282"/>
      <c r="AE438" s="1715"/>
    </row>
    <row r="439" spans="1:31" ht="34.5" customHeight="1">
      <c r="A439" s="4778"/>
      <c r="B439" s="5528"/>
      <c r="C439" s="5515"/>
      <c r="D439" s="5515"/>
      <c r="E439" s="5515"/>
      <c r="F439" s="5515"/>
      <c r="G439" s="5515"/>
      <c r="H439" s="5515"/>
      <c r="I439" s="5515"/>
      <c r="J439" s="5515"/>
      <c r="K439" s="5515"/>
      <c r="L439" s="5515"/>
      <c r="M439" s="5515"/>
      <c r="N439" s="5515"/>
      <c r="O439" s="5515"/>
      <c r="P439" s="5515"/>
      <c r="Q439" s="5517"/>
      <c r="R439" s="982"/>
      <c r="S439" s="2045"/>
      <c r="T439" s="2045"/>
      <c r="U439" s="169"/>
      <c r="V439" s="984"/>
      <c r="W439" s="170"/>
      <c r="X439" s="974"/>
      <c r="Y439" s="974"/>
      <c r="Z439" s="974"/>
      <c r="AA439" s="969"/>
      <c r="AB439" s="170"/>
      <c r="AC439" s="282"/>
      <c r="AD439" s="282"/>
      <c r="AE439" s="1715"/>
    </row>
    <row r="440" spans="1:31" ht="34.5" customHeight="1">
      <c r="A440" s="4778"/>
      <c r="B440" s="5529"/>
      <c r="C440" s="5510"/>
      <c r="D440" s="5510"/>
      <c r="E440" s="5510"/>
      <c r="F440" s="5510"/>
      <c r="G440" s="5510"/>
      <c r="H440" s="5510"/>
      <c r="I440" s="5510"/>
      <c r="J440" s="5510"/>
      <c r="K440" s="5510"/>
      <c r="L440" s="5510"/>
      <c r="M440" s="5510"/>
      <c r="N440" s="5510"/>
      <c r="O440" s="5510"/>
      <c r="P440" s="5510"/>
      <c r="Q440" s="5518"/>
      <c r="R440" s="975"/>
      <c r="S440" s="2044"/>
      <c r="T440" s="2044"/>
      <c r="U440" s="411"/>
      <c r="V440" s="977"/>
      <c r="W440" s="165"/>
      <c r="X440" s="978"/>
      <c r="Y440" s="978"/>
      <c r="Z440" s="978"/>
      <c r="AA440" s="979"/>
      <c r="AB440" s="165"/>
      <c r="AC440" s="166"/>
      <c r="AD440" s="166"/>
      <c r="AE440" s="980"/>
    </row>
    <row r="441" spans="1:31" ht="40.5" customHeight="1">
      <c r="A441" s="5595"/>
      <c r="B441" s="2058"/>
      <c r="C441" s="2058"/>
      <c r="D441" s="2058"/>
      <c r="E441" s="2058"/>
      <c r="F441" s="2058"/>
      <c r="G441" s="2058"/>
      <c r="H441" s="2058"/>
      <c r="I441" s="2058"/>
      <c r="J441" s="2058"/>
      <c r="K441" s="2058"/>
      <c r="L441" s="2058"/>
      <c r="M441" s="2058"/>
      <c r="N441" s="2058"/>
      <c r="O441" s="2058"/>
      <c r="P441" s="2058"/>
      <c r="Q441" s="2059"/>
      <c r="R441" s="5520" t="s">
        <v>1819</v>
      </c>
      <c r="S441" s="4443"/>
      <c r="T441" s="4443"/>
      <c r="U441" s="4443"/>
      <c r="V441" s="4443"/>
      <c r="W441" s="4443"/>
      <c r="X441" s="4443"/>
      <c r="Y441" s="4443"/>
      <c r="Z441" s="2060" t="s">
        <v>340</v>
      </c>
      <c r="AA441" s="998">
        <f>SUM(AA401:AA440)</f>
        <v>0</v>
      </c>
      <c r="AB441" s="5599"/>
      <c r="AC441" s="4642"/>
      <c r="AD441" s="4642"/>
      <c r="AE441" s="4797"/>
    </row>
    <row r="442" spans="1:31" ht="99.75" customHeight="1">
      <c r="A442" s="4777" t="s">
        <v>2686</v>
      </c>
      <c r="B442" s="5592" t="s">
        <v>272</v>
      </c>
      <c r="C442" s="5523" t="s">
        <v>302</v>
      </c>
      <c r="D442" s="5523" t="s">
        <v>303</v>
      </c>
      <c r="E442" s="5523" t="s">
        <v>2687</v>
      </c>
      <c r="F442" s="5552" t="s">
        <v>305</v>
      </c>
      <c r="G442" s="5523" t="s">
        <v>306</v>
      </c>
      <c r="H442" s="5523" t="s">
        <v>241</v>
      </c>
      <c r="I442" s="5523" t="s">
        <v>2688</v>
      </c>
      <c r="J442" s="5596" t="s">
        <v>2689</v>
      </c>
      <c r="K442" s="5523" t="s">
        <v>2690</v>
      </c>
      <c r="L442" s="5607">
        <v>3</v>
      </c>
      <c r="M442" s="5607">
        <v>2</v>
      </c>
      <c r="N442" s="5523">
        <v>2</v>
      </c>
      <c r="O442" s="5523" t="s">
        <v>2691</v>
      </c>
      <c r="P442" s="5523" t="s">
        <v>2692</v>
      </c>
      <c r="Q442" s="5608" t="s">
        <v>2693</v>
      </c>
      <c r="R442" s="1102"/>
      <c r="S442" s="1103"/>
      <c r="T442" s="1103"/>
      <c r="U442" s="154"/>
      <c r="V442" s="1104"/>
      <c r="W442" s="155"/>
      <c r="X442" s="1105"/>
      <c r="Y442" s="1105"/>
      <c r="Z442" s="1105"/>
      <c r="AA442" s="1106"/>
      <c r="AB442" s="155"/>
      <c r="AC442" s="156"/>
      <c r="AD442" s="156"/>
      <c r="AE442" s="1728"/>
    </row>
    <row r="443" spans="1:31" ht="99.75" customHeight="1">
      <c r="A443" s="4778"/>
      <c r="B443" s="5573"/>
      <c r="C443" s="4629"/>
      <c r="D443" s="4629"/>
      <c r="E443" s="4629"/>
      <c r="F443" s="4629"/>
      <c r="G443" s="4629"/>
      <c r="H443" s="4629"/>
      <c r="I443" s="4629"/>
      <c r="J443" s="4629"/>
      <c r="K443" s="4629"/>
      <c r="L443" s="4629"/>
      <c r="M443" s="4629"/>
      <c r="N443" s="4629"/>
      <c r="O443" s="4629"/>
      <c r="P443" s="4629"/>
      <c r="Q443" s="5500"/>
      <c r="R443" s="982"/>
      <c r="S443" s="2045"/>
      <c r="T443" s="2045"/>
      <c r="U443" s="169"/>
      <c r="V443" s="984"/>
      <c r="W443" s="170"/>
      <c r="X443" s="974"/>
      <c r="Y443" s="974"/>
      <c r="Z443" s="974"/>
      <c r="AA443" s="969"/>
      <c r="AB443" s="170"/>
      <c r="AC443" s="282"/>
      <c r="AD443" s="282"/>
      <c r="AE443" s="1715"/>
    </row>
    <row r="444" spans="1:31" ht="99.75" customHeight="1">
      <c r="A444" s="4778"/>
      <c r="B444" s="5573"/>
      <c r="C444" s="4629"/>
      <c r="D444" s="4629"/>
      <c r="E444" s="4629"/>
      <c r="F444" s="4629"/>
      <c r="G444" s="4629"/>
      <c r="H444" s="4629"/>
      <c r="I444" s="4629"/>
      <c r="J444" s="4629"/>
      <c r="K444" s="4629"/>
      <c r="L444" s="4629"/>
      <c r="M444" s="4629"/>
      <c r="N444" s="4629"/>
      <c r="O444" s="4629"/>
      <c r="P444" s="4629"/>
      <c r="Q444" s="5500"/>
      <c r="R444" s="2042"/>
      <c r="S444" s="2043"/>
      <c r="T444" s="2043"/>
      <c r="U444" s="1217"/>
      <c r="V444" s="968"/>
      <c r="W444" s="414"/>
      <c r="X444" s="973"/>
      <c r="Y444" s="974"/>
      <c r="Z444" s="974"/>
      <c r="AA444" s="969"/>
      <c r="AB444" s="170"/>
      <c r="AC444" s="282"/>
      <c r="AD444" s="282"/>
      <c r="AE444" s="1715"/>
    </row>
    <row r="445" spans="1:31" ht="99.75" customHeight="1">
      <c r="A445" s="4778"/>
      <c r="B445" s="5573"/>
      <c r="C445" s="4629"/>
      <c r="D445" s="4629"/>
      <c r="E445" s="4629"/>
      <c r="F445" s="4629"/>
      <c r="G445" s="4629"/>
      <c r="H445" s="4629"/>
      <c r="I445" s="4629"/>
      <c r="J445" s="4629"/>
      <c r="K445" s="4629"/>
      <c r="L445" s="4629"/>
      <c r="M445" s="4629"/>
      <c r="N445" s="4629"/>
      <c r="O445" s="4629"/>
      <c r="P445" s="4629"/>
      <c r="Q445" s="5500"/>
      <c r="R445" s="2041"/>
      <c r="S445" s="2040"/>
      <c r="T445" s="2040"/>
      <c r="U445" s="1217"/>
      <c r="V445" s="968"/>
      <c r="W445" s="414"/>
      <c r="X445" s="973"/>
      <c r="Y445" s="974"/>
      <c r="Z445" s="974"/>
      <c r="AA445" s="969"/>
      <c r="AB445" s="170"/>
      <c r="AC445" s="282"/>
      <c r="AD445" s="282"/>
      <c r="AE445" s="1715"/>
    </row>
    <row r="446" spans="1:31" ht="99.75" customHeight="1">
      <c r="A446" s="4778"/>
      <c r="B446" s="5574"/>
      <c r="C446" s="4630"/>
      <c r="D446" s="4630"/>
      <c r="E446" s="4630"/>
      <c r="F446" s="4630"/>
      <c r="G446" s="4630"/>
      <c r="H446" s="4630"/>
      <c r="I446" s="4630"/>
      <c r="J446" s="4630"/>
      <c r="K446" s="4630"/>
      <c r="L446" s="4630"/>
      <c r="M446" s="4630"/>
      <c r="N446" s="4630"/>
      <c r="O446" s="4630"/>
      <c r="P446" s="4630"/>
      <c r="Q446" s="5501"/>
      <c r="R446" s="975"/>
      <c r="S446" s="2044"/>
      <c r="T446" s="2044"/>
      <c r="U446" s="411"/>
      <c r="V446" s="977"/>
      <c r="W446" s="165"/>
      <c r="X446" s="978"/>
      <c r="Y446" s="978"/>
      <c r="Z446" s="978"/>
      <c r="AA446" s="979"/>
      <c r="AB446" s="165"/>
      <c r="AC446" s="166"/>
      <c r="AD446" s="166"/>
      <c r="AE446" s="980"/>
    </row>
    <row r="447" spans="1:31" ht="34.5" customHeight="1">
      <c r="A447" s="4778"/>
      <c r="B447" s="5591" t="s">
        <v>272</v>
      </c>
      <c r="C447" s="5489" t="s">
        <v>302</v>
      </c>
      <c r="D447" s="5489" t="s">
        <v>303</v>
      </c>
      <c r="E447" s="5489" t="s">
        <v>318</v>
      </c>
      <c r="F447" s="5492" t="s">
        <v>305</v>
      </c>
      <c r="G447" s="5489" t="s">
        <v>262</v>
      </c>
      <c r="H447" s="5489" t="s">
        <v>241</v>
      </c>
      <c r="I447" s="5489" t="s">
        <v>2694</v>
      </c>
      <c r="J447" s="5593" t="s">
        <v>2695</v>
      </c>
      <c r="K447" s="5489" t="s">
        <v>2696</v>
      </c>
      <c r="L447" s="4628">
        <v>1</v>
      </c>
      <c r="M447" s="4628">
        <v>0</v>
      </c>
      <c r="N447" s="5489">
        <v>1</v>
      </c>
      <c r="O447" s="5489" t="s">
        <v>2697</v>
      </c>
      <c r="P447" s="5489" t="s">
        <v>2698</v>
      </c>
      <c r="Q447" s="5594" t="s">
        <v>2699</v>
      </c>
      <c r="R447" s="2041"/>
      <c r="S447" s="2040"/>
      <c r="T447" s="2040"/>
      <c r="U447" s="176"/>
      <c r="V447" s="968"/>
      <c r="W447" s="414"/>
      <c r="X447" s="973"/>
      <c r="Y447" s="973"/>
      <c r="Z447" s="973"/>
      <c r="AA447" s="981"/>
      <c r="AB447" s="414"/>
      <c r="AC447" s="174"/>
      <c r="AD447" s="174"/>
      <c r="AE447" s="1715"/>
    </row>
    <row r="448" spans="1:31" ht="34.5" customHeight="1">
      <c r="A448" s="4778"/>
      <c r="B448" s="5573"/>
      <c r="C448" s="4629"/>
      <c r="D448" s="4629"/>
      <c r="E448" s="4629"/>
      <c r="F448" s="4629"/>
      <c r="G448" s="4629"/>
      <c r="H448" s="4629"/>
      <c r="I448" s="4629"/>
      <c r="J448" s="4629"/>
      <c r="K448" s="4629"/>
      <c r="L448" s="4629"/>
      <c r="M448" s="4629"/>
      <c r="N448" s="4629"/>
      <c r="O448" s="4629"/>
      <c r="P448" s="4629"/>
      <c r="Q448" s="5500"/>
      <c r="R448" s="982"/>
      <c r="S448" s="2045"/>
      <c r="T448" s="2045"/>
      <c r="U448" s="169"/>
      <c r="V448" s="984"/>
      <c r="W448" s="170"/>
      <c r="X448" s="974"/>
      <c r="Y448" s="974"/>
      <c r="Z448" s="974"/>
      <c r="AA448" s="969"/>
      <c r="AB448" s="170"/>
      <c r="AC448" s="282"/>
      <c r="AD448" s="282"/>
      <c r="AE448" s="1715"/>
    </row>
    <row r="449" spans="1:31" ht="34.5" customHeight="1">
      <c r="A449" s="4778"/>
      <c r="B449" s="5573"/>
      <c r="C449" s="4629"/>
      <c r="D449" s="4629"/>
      <c r="E449" s="4629"/>
      <c r="F449" s="4629"/>
      <c r="G449" s="4629"/>
      <c r="H449" s="4629"/>
      <c r="I449" s="4629"/>
      <c r="J449" s="4629"/>
      <c r="K449" s="4629"/>
      <c r="L449" s="4629"/>
      <c r="M449" s="4629"/>
      <c r="N449" s="4629"/>
      <c r="O449" s="4629"/>
      <c r="P449" s="4629"/>
      <c r="Q449" s="5500"/>
      <c r="R449" s="2042"/>
      <c r="S449" s="2043"/>
      <c r="T449" s="2043"/>
      <c r="U449" s="1217"/>
      <c r="V449" s="968"/>
      <c r="W449" s="414"/>
      <c r="X449" s="973"/>
      <c r="Y449" s="974"/>
      <c r="Z449" s="974"/>
      <c r="AA449" s="969"/>
      <c r="AB449" s="170"/>
      <c r="AC449" s="282"/>
      <c r="AD449" s="282"/>
      <c r="AE449" s="1715"/>
    </row>
    <row r="450" spans="1:31" ht="34.5" customHeight="1">
      <c r="A450" s="4778"/>
      <c r="B450" s="5573"/>
      <c r="C450" s="4629"/>
      <c r="D450" s="4629"/>
      <c r="E450" s="4629"/>
      <c r="F450" s="4629"/>
      <c r="G450" s="4629"/>
      <c r="H450" s="4629"/>
      <c r="I450" s="4629"/>
      <c r="J450" s="4629"/>
      <c r="K450" s="4629"/>
      <c r="L450" s="4629"/>
      <c r="M450" s="4629"/>
      <c r="N450" s="4629"/>
      <c r="O450" s="4629"/>
      <c r="P450" s="4629"/>
      <c r="Q450" s="5500"/>
      <c r="R450" s="2041"/>
      <c r="S450" s="2040"/>
      <c r="T450" s="2040"/>
      <c r="U450" s="1217"/>
      <c r="V450" s="968"/>
      <c r="W450" s="414"/>
      <c r="X450" s="973"/>
      <c r="Y450" s="974"/>
      <c r="Z450" s="974"/>
      <c r="AA450" s="969"/>
      <c r="AB450" s="170"/>
      <c r="AC450" s="282"/>
      <c r="AD450" s="282"/>
      <c r="AE450" s="1715"/>
    </row>
    <row r="451" spans="1:31" ht="34.5" customHeight="1">
      <c r="A451" s="4778"/>
      <c r="B451" s="5574"/>
      <c r="C451" s="4630"/>
      <c r="D451" s="4630"/>
      <c r="E451" s="4630"/>
      <c r="F451" s="4630"/>
      <c r="G451" s="4630"/>
      <c r="H451" s="4630"/>
      <c r="I451" s="4630"/>
      <c r="J451" s="4630"/>
      <c r="K451" s="4630"/>
      <c r="L451" s="4630"/>
      <c r="M451" s="4630"/>
      <c r="N451" s="4630"/>
      <c r="O451" s="4630"/>
      <c r="P451" s="4630"/>
      <c r="Q451" s="5501"/>
      <c r="R451" s="975"/>
      <c r="S451" s="2044"/>
      <c r="T451" s="2044"/>
      <c r="U451" s="411"/>
      <c r="V451" s="977"/>
      <c r="W451" s="165"/>
      <c r="X451" s="978"/>
      <c r="Y451" s="978"/>
      <c r="Z451" s="978"/>
      <c r="AA451" s="979"/>
      <c r="AB451" s="165"/>
      <c r="AC451" s="166"/>
      <c r="AD451" s="166"/>
      <c r="AE451" s="980"/>
    </row>
    <row r="452" spans="1:31" ht="49.5" customHeight="1">
      <c r="A452" s="4778"/>
      <c r="B452" s="5591" t="s">
        <v>235</v>
      </c>
      <c r="C452" s="5489" t="s">
        <v>236</v>
      </c>
      <c r="D452" s="5489" t="s">
        <v>237</v>
      </c>
      <c r="E452" s="5489" t="s">
        <v>238</v>
      </c>
      <c r="F452" s="5492" t="s">
        <v>239</v>
      </c>
      <c r="G452" s="5489" t="s">
        <v>240</v>
      </c>
      <c r="H452" s="5489" t="s">
        <v>294</v>
      </c>
      <c r="I452" s="5489" t="s">
        <v>2700</v>
      </c>
      <c r="J452" s="5593" t="s">
        <v>338</v>
      </c>
      <c r="K452" s="5489" t="s">
        <v>2701</v>
      </c>
      <c r="L452" s="4628">
        <v>1</v>
      </c>
      <c r="M452" s="5606">
        <v>2</v>
      </c>
      <c r="N452" s="5514">
        <v>1</v>
      </c>
      <c r="O452" s="5558" t="s">
        <v>2702</v>
      </c>
      <c r="P452" s="5489" t="s">
        <v>2703</v>
      </c>
      <c r="Q452" s="5594" t="s">
        <v>2704</v>
      </c>
      <c r="R452" s="2041"/>
      <c r="S452" s="2040"/>
      <c r="T452" s="2040"/>
      <c r="U452" s="176"/>
      <c r="V452" s="968"/>
      <c r="W452" s="414"/>
      <c r="X452" s="973"/>
      <c r="Y452" s="973"/>
      <c r="Z452" s="973"/>
      <c r="AA452" s="981"/>
      <c r="AB452" s="414"/>
      <c r="AC452" s="174"/>
      <c r="AD452" s="174"/>
      <c r="AE452" s="1715"/>
    </row>
    <row r="453" spans="1:31" ht="49.5" customHeight="1">
      <c r="A453" s="4778"/>
      <c r="B453" s="5573"/>
      <c r="C453" s="4629"/>
      <c r="D453" s="4629"/>
      <c r="E453" s="4629"/>
      <c r="F453" s="4629"/>
      <c r="G453" s="4629"/>
      <c r="H453" s="4629"/>
      <c r="I453" s="4629"/>
      <c r="J453" s="4629"/>
      <c r="K453" s="4629"/>
      <c r="L453" s="4629"/>
      <c r="M453" s="5507"/>
      <c r="N453" s="5515"/>
      <c r="O453" s="5535"/>
      <c r="P453" s="4629"/>
      <c r="Q453" s="5500"/>
      <c r="R453" s="982"/>
      <c r="S453" s="2045"/>
      <c r="T453" s="2045"/>
      <c r="U453" s="169"/>
      <c r="V453" s="984"/>
      <c r="W453" s="170"/>
      <c r="X453" s="974"/>
      <c r="Y453" s="974"/>
      <c r="Z453" s="974"/>
      <c r="AA453" s="969"/>
      <c r="AB453" s="170"/>
      <c r="AC453" s="282"/>
      <c r="AD453" s="282"/>
      <c r="AE453" s="1715"/>
    </row>
    <row r="454" spans="1:31" ht="49.5" customHeight="1">
      <c r="A454" s="4778"/>
      <c r="B454" s="5573"/>
      <c r="C454" s="4629"/>
      <c r="D454" s="4629"/>
      <c r="E454" s="4629"/>
      <c r="F454" s="4629"/>
      <c r="G454" s="4629"/>
      <c r="H454" s="4629"/>
      <c r="I454" s="4629"/>
      <c r="J454" s="4629"/>
      <c r="K454" s="4629"/>
      <c r="L454" s="4629"/>
      <c r="M454" s="5507"/>
      <c r="N454" s="5515"/>
      <c r="O454" s="5535"/>
      <c r="P454" s="4629"/>
      <c r="Q454" s="5500"/>
      <c r="R454" s="2042"/>
      <c r="S454" s="2043"/>
      <c r="T454" s="2043"/>
      <c r="U454" s="1217"/>
      <c r="V454" s="968"/>
      <c r="W454" s="414"/>
      <c r="X454" s="973"/>
      <c r="Y454" s="974"/>
      <c r="Z454" s="974"/>
      <c r="AA454" s="969"/>
      <c r="AB454" s="170"/>
      <c r="AC454" s="282"/>
      <c r="AD454" s="282"/>
      <c r="AE454" s="1715"/>
    </row>
    <row r="455" spans="1:31" ht="49.5" customHeight="1">
      <c r="A455" s="4778"/>
      <c r="B455" s="5573"/>
      <c r="C455" s="4629"/>
      <c r="D455" s="4629"/>
      <c r="E455" s="4629"/>
      <c r="F455" s="4629"/>
      <c r="G455" s="4629"/>
      <c r="H455" s="4629"/>
      <c r="I455" s="4629"/>
      <c r="J455" s="4629"/>
      <c r="K455" s="4629"/>
      <c r="L455" s="4629"/>
      <c r="M455" s="5507"/>
      <c r="N455" s="5515"/>
      <c r="O455" s="5535"/>
      <c r="P455" s="4629"/>
      <c r="Q455" s="5500"/>
      <c r="R455" s="2041"/>
      <c r="S455" s="2040"/>
      <c r="T455" s="2040"/>
      <c r="U455" s="1217"/>
      <c r="V455" s="968"/>
      <c r="W455" s="414"/>
      <c r="X455" s="973"/>
      <c r="Y455" s="974"/>
      <c r="Z455" s="974"/>
      <c r="AA455" s="969"/>
      <c r="AB455" s="170"/>
      <c r="AC455" s="282"/>
      <c r="AD455" s="282"/>
      <c r="AE455" s="1715"/>
    </row>
    <row r="456" spans="1:31" ht="49.5" customHeight="1">
      <c r="A456" s="4778"/>
      <c r="B456" s="5574"/>
      <c r="C456" s="4630"/>
      <c r="D456" s="4630"/>
      <c r="E456" s="4630"/>
      <c r="F456" s="4630"/>
      <c r="G456" s="4630"/>
      <c r="H456" s="4630"/>
      <c r="I456" s="4630"/>
      <c r="J456" s="4630"/>
      <c r="K456" s="4630"/>
      <c r="L456" s="4630"/>
      <c r="M456" s="5508"/>
      <c r="N456" s="5510"/>
      <c r="O456" s="5335"/>
      <c r="P456" s="4630"/>
      <c r="Q456" s="5501"/>
      <c r="R456" s="975"/>
      <c r="S456" s="2044"/>
      <c r="T456" s="2044"/>
      <c r="U456" s="411"/>
      <c r="V456" s="977"/>
      <c r="W456" s="165"/>
      <c r="X456" s="978"/>
      <c r="Y456" s="978"/>
      <c r="Z456" s="978"/>
      <c r="AA456" s="979"/>
      <c r="AB456" s="165"/>
      <c r="AC456" s="166"/>
      <c r="AD456" s="166"/>
      <c r="AE456" s="980"/>
    </row>
    <row r="457" spans="1:31" ht="45" customHeight="1">
      <c r="A457" s="4778"/>
      <c r="B457" s="5591" t="s">
        <v>272</v>
      </c>
      <c r="C457" s="5489" t="s">
        <v>273</v>
      </c>
      <c r="D457" s="5489" t="s">
        <v>274</v>
      </c>
      <c r="E457" s="5489" t="s">
        <v>885</v>
      </c>
      <c r="F457" s="5492" t="s">
        <v>276</v>
      </c>
      <c r="G457" s="5489" t="s">
        <v>314</v>
      </c>
      <c r="H457" s="5489" t="s">
        <v>241</v>
      </c>
      <c r="I457" s="5489" t="s">
        <v>2705</v>
      </c>
      <c r="J457" s="5593" t="s">
        <v>2706</v>
      </c>
      <c r="K457" s="5489" t="s">
        <v>2707</v>
      </c>
      <c r="L457" s="4628">
        <v>1</v>
      </c>
      <c r="M457" s="4628">
        <v>0</v>
      </c>
      <c r="N457" s="5489">
        <v>1</v>
      </c>
      <c r="O457" s="5489" t="s">
        <v>2708</v>
      </c>
      <c r="P457" s="5489" t="s">
        <v>2709</v>
      </c>
      <c r="Q457" s="5594" t="s">
        <v>2710</v>
      </c>
      <c r="R457" s="2041"/>
      <c r="S457" s="2040"/>
      <c r="T457" s="2040"/>
      <c r="U457" s="176"/>
      <c r="V457" s="968"/>
      <c r="W457" s="414"/>
      <c r="X457" s="973"/>
      <c r="Y457" s="973"/>
      <c r="Z457" s="973"/>
      <c r="AA457" s="981"/>
      <c r="AB457" s="414"/>
      <c r="AC457" s="174"/>
      <c r="AD457" s="174"/>
      <c r="AE457" s="1715"/>
    </row>
    <row r="458" spans="1:31" ht="45" customHeight="1">
      <c r="A458" s="4778"/>
      <c r="B458" s="5573"/>
      <c r="C458" s="4629"/>
      <c r="D458" s="4629"/>
      <c r="E458" s="4629"/>
      <c r="F458" s="4629"/>
      <c r="G458" s="4629"/>
      <c r="H458" s="4629"/>
      <c r="I458" s="4629"/>
      <c r="J458" s="4629"/>
      <c r="K458" s="4629"/>
      <c r="L458" s="4629"/>
      <c r="M458" s="4629"/>
      <c r="N458" s="4629"/>
      <c r="O458" s="4629"/>
      <c r="P458" s="4629"/>
      <c r="Q458" s="5500"/>
      <c r="R458" s="982"/>
      <c r="S458" s="2045"/>
      <c r="T458" s="2045"/>
      <c r="U458" s="169"/>
      <c r="V458" s="984"/>
      <c r="W458" s="170"/>
      <c r="X458" s="974"/>
      <c r="Y458" s="974"/>
      <c r="Z458" s="974"/>
      <c r="AA458" s="969"/>
      <c r="AB458" s="170"/>
      <c r="AC458" s="282"/>
      <c r="AD458" s="282"/>
      <c r="AE458" s="1715"/>
    </row>
    <row r="459" spans="1:31" ht="45" customHeight="1">
      <c r="A459" s="4778"/>
      <c r="B459" s="5573"/>
      <c r="C459" s="4629"/>
      <c r="D459" s="4629"/>
      <c r="E459" s="4629"/>
      <c r="F459" s="4629"/>
      <c r="G459" s="4629"/>
      <c r="H459" s="4629"/>
      <c r="I459" s="4629"/>
      <c r="J459" s="4629"/>
      <c r="K459" s="4629"/>
      <c r="L459" s="4629"/>
      <c r="M459" s="4629"/>
      <c r="N459" s="4629"/>
      <c r="O459" s="4629"/>
      <c r="P459" s="4629"/>
      <c r="Q459" s="5500"/>
      <c r="R459" s="2042"/>
      <c r="S459" s="2043"/>
      <c r="T459" s="2043"/>
      <c r="U459" s="1217"/>
      <c r="V459" s="968"/>
      <c r="W459" s="414"/>
      <c r="X459" s="973"/>
      <c r="Y459" s="974"/>
      <c r="Z459" s="974"/>
      <c r="AA459" s="969"/>
      <c r="AB459" s="170"/>
      <c r="AC459" s="282"/>
      <c r="AD459" s="282"/>
      <c r="AE459" s="1715"/>
    </row>
    <row r="460" spans="1:31" ht="45" customHeight="1">
      <c r="A460" s="4778"/>
      <c r="B460" s="5573"/>
      <c r="C460" s="4629"/>
      <c r="D460" s="4629"/>
      <c r="E460" s="4629"/>
      <c r="F460" s="4629"/>
      <c r="G460" s="4629"/>
      <c r="H460" s="4629"/>
      <c r="I460" s="4629"/>
      <c r="J460" s="4629"/>
      <c r="K460" s="4629"/>
      <c r="L460" s="4629"/>
      <c r="M460" s="4629"/>
      <c r="N460" s="4629"/>
      <c r="O460" s="4629"/>
      <c r="P460" s="4629"/>
      <c r="Q460" s="5500"/>
      <c r="R460" s="2041"/>
      <c r="S460" s="2040"/>
      <c r="T460" s="2040"/>
      <c r="U460" s="1217"/>
      <c r="V460" s="968"/>
      <c r="W460" s="414"/>
      <c r="X460" s="973"/>
      <c r="Y460" s="974"/>
      <c r="Z460" s="974"/>
      <c r="AA460" s="969"/>
      <c r="AB460" s="170"/>
      <c r="AC460" s="282"/>
      <c r="AD460" s="282"/>
      <c r="AE460" s="1715"/>
    </row>
    <row r="461" spans="1:31" ht="45" customHeight="1">
      <c r="A461" s="4778"/>
      <c r="B461" s="5574"/>
      <c r="C461" s="4630"/>
      <c r="D461" s="4630"/>
      <c r="E461" s="4630"/>
      <c r="F461" s="4630"/>
      <c r="G461" s="4630"/>
      <c r="H461" s="4630"/>
      <c r="I461" s="4630"/>
      <c r="J461" s="4630"/>
      <c r="K461" s="4630"/>
      <c r="L461" s="4630"/>
      <c r="M461" s="4630"/>
      <c r="N461" s="4630"/>
      <c r="O461" s="4630"/>
      <c r="P461" s="4630"/>
      <c r="Q461" s="5501"/>
      <c r="R461" s="975"/>
      <c r="S461" s="2044"/>
      <c r="T461" s="2044"/>
      <c r="U461" s="411"/>
      <c r="V461" s="977"/>
      <c r="W461" s="165"/>
      <c r="X461" s="978"/>
      <c r="Y461" s="978"/>
      <c r="Z461" s="978"/>
      <c r="AA461" s="979"/>
      <c r="AB461" s="165"/>
      <c r="AC461" s="166"/>
      <c r="AD461" s="166"/>
      <c r="AE461" s="980"/>
    </row>
    <row r="462" spans="1:31" ht="34.5" customHeight="1">
      <c r="A462" s="4778"/>
      <c r="B462" s="5591" t="s">
        <v>235</v>
      </c>
      <c r="C462" s="5489" t="s">
        <v>236</v>
      </c>
      <c r="D462" s="5489" t="s">
        <v>237</v>
      </c>
      <c r="E462" s="5489" t="s">
        <v>255</v>
      </c>
      <c r="F462" s="5492" t="s">
        <v>239</v>
      </c>
      <c r="G462" s="5489" t="s">
        <v>240</v>
      </c>
      <c r="H462" s="5489" t="s">
        <v>257</v>
      </c>
      <c r="I462" s="5489" t="s">
        <v>2711</v>
      </c>
      <c r="J462" s="5593" t="s">
        <v>707</v>
      </c>
      <c r="K462" s="5489" t="s">
        <v>2712</v>
      </c>
      <c r="L462" s="4628">
        <v>1</v>
      </c>
      <c r="M462" s="4628">
        <v>1</v>
      </c>
      <c r="N462" s="4628">
        <v>1</v>
      </c>
      <c r="O462" s="5489" t="s">
        <v>2713</v>
      </c>
      <c r="P462" s="5489" t="s">
        <v>426</v>
      </c>
      <c r="Q462" s="5594" t="s">
        <v>2714</v>
      </c>
      <c r="R462" s="2041"/>
      <c r="S462" s="2040"/>
      <c r="T462" s="2040"/>
      <c r="U462" s="176"/>
      <c r="V462" s="968"/>
      <c r="W462" s="414"/>
      <c r="X462" s="973"/>
      <c r="Y462" s="973"/>
      <c r="Z462" s="973"/>
      <c r="AA462" s="981"/>
      <c r="AB462" s="414"/>
      <c r="AC462" s="174"/>
      <c r="AD462" s="174"/>
      <c r="AE462" s="1715"/>
    </row>
    <row r="463" spans="1:31" ht="34.5" customHeight="1">
      <c r="A463" s="4778"/>
      <c r="B463" s="5573"/>
      <c r="C463" s="4629"/>
      <c r="D463" s="4629"/>
      <c r="E463" s="4629"/>
      <c r="F463" s="4629"/>
      <c r="G463" s="4629"/>
      <c r="H463" s="4629"/>
      <c r="I463" s="4629"/>
      <c r="J463" s="4629"/>
      <c r="K463" s="4629"/>
      <c r="L463" s="4629"/>
      <c r="M463" s="4629"/>
      <c r="N463" s="4629"/>
      <c r="O463" s="4629"/>
      <c r="P463" s="4629"/>
      <c r="Q463" s="5500"/>
      <c r="R463" s="982"/>
      <c r="S463" s="2045"/>
      <c r="T463" s="2045"/>
      <c r="U463" s="169"/>
      <c r="V463" s="984"/>
      <c r="W463" s="170"/>
      <c r="X463" s="974"/>
      <c r="Y463" s="974"/>
      <c r="Z463" s="974"/>
      <c r="AA463" s="969"/>
      <c r="AB463" s="170"/>
      <c r="AC463" s="282"/>
      <c r="AD463" s="282"/>
      <c r="AE463" s="1715"/>
    </row>
    <row r="464" spans="1:31" ht="34.5" customHeight="1">
      <c r="A464" s="4778"/>
      <c r="B464" s="5573"/>
      <c r="C464" s="4629"/>
      <c r="D464" s="4629"/>
      <c r="E464" s="4629"/>
      <c r="F464" s="4629"/>
      <c r="G464" s="4629"/>
      <c r="H464" s="4629"/>
      <c r="I464" s="4629"/>
      <c r="J464" s="4629"/>
      <c r="K464" s="4629"/>
      <c r="L464" s="4629"/>
      <c r="M464" s="4629"/>
      <c r="N464" s="4629"/>
      <c r="O464" s="4629"/>
      <c r="P464" s="4629"/>
      <c r="Q464" s="5500"/>
      <c r="R464" s="2042"/>
      <c r="S464" s="2043"/>
      <c r="T464" s="2043"/>
      <c r="U464" s="1217"/>
      <c r="V464" s="968"/>
      <c r="W464" s="414"/>
      <c r="X464" s="973"/>
      <c r="Y464" s="974"/>
      <c r="Z464" s="974"/>
      <c r="AA464" s="969"/>
      <c r="AB464" s="170"/>
      <c r="AC464" s="282"/>
      <c r="AD464" s="282"/>
      <c r="AE464" s="1715"/>
    </row>
    <row r="465" spans="1:31" ht="34.5" customHeight="1">
      <c r="A465" s="4778"/>
      <c r="B465" s="5573"/>
      <c r="C465" s="4629"/>
      <c r="D465" s="4629"/>
      <c r="E465" s="4629"/>
      <c r="F465" s="4629"/>
      <c r="G465" s="4629"/>
      <c r="H465" s="4629"/>
      <c r="I465" s="4629"/>
      <c r="J465" s="4629"/>
      <c r="K465" s="4629"/>
      <c r="L465" s="4629"/>
      <c r="M465" s="4629"/>
      <c r="N465" s="4629"/>
      <c r="O465" s="4629"/>
      <c r="P465" s="4629"/>
      <c r="Q465" s="5500"/>
      <c r="R465" s="2041"/>
      <c r="S465" s="2040"/>
      <c r="T465" s="2040"/>
      <c r="U465" s="1217"/>
      <c r="V465" s="968"/>
      <c r="W465" s="414"/>
      <c r="X465" s="973"/>
      <c r="Y465" s="974"/>
      <c r="Z465" s="974"/>
      <c r="AA465" s="969"/>
      <c r="AB465" s="170"/>
      <c r="AC465" s="282"/>
      <c r="AD465" s="282"/>
      <c r="AE465" s="1715"/>
    </row>
    <row r="466" spans="1:31" ht="34.5" customHeight="1">
      <c r="A466" s="4778"/>
      <c r="B466" s="5574"/>
      <c r="C466" s="4630"/>
      <c r="D466" s="4630"/>
      <c r="E466" s="4630"/>
      <c r="F466" s="4630"/>
      <c r="G466" s="4630"/>
      <c r="H466" s="4630"/>
      <c r="I466" s="4630"/>
      <c r="J466" s="4630"/>
      <c r="K466" s="4629"/>
      <c r="L466" s="4629"/>
      <c r="M466" s="4629"/>
      <c r="N466" s="4629"/>
      <c r="O466" s="4630"/>
      <c r="P466" s="4630"/>
      <c r="Q466" s="5501"/>
      <c r="R466" s="975"/>
      <c r="S466" s="2044"/>
      <c r="T466" s="2044"/>
      <c r="U466" s="411"/>
      <c r="V466" s="977"/>
      <c r="W466" s="165"/>
      <c r="X466" s="978"/>
      <c r="Y466" s="978"/>
      <c r="Z466" s="978"/>
      <c r="AA466" s="979"/>
      <c r="AB466" s="165"/>
      <c r="AC466" s="166"/>
      <c r="AD466" s="166"/>
      <c r="AE466" s="980"/>
    </row>
    <row r="467" spans="1:31" ht="30" customHeight="1">
      <c r="A467" s="5595"/>
      <c r="B467" s="2058"/>
      <c r="C467" s="2058"/>
      <c r="D467" s="2058"/>
      <c r="E467" s="2058"/>
      <c r="F467" s="2058"/>
      <c r="G467" s="2058"/>
      <c r="H467" s="2058"/>
      <c r="I467" s="2058"/>
      <c r="J467" s="2058"/>
      <c r="K467" s="2058"/>
      <c r="L467" s="2058"/>
      <c r="M467" s="2058"/>
      <c r="N467" s="2058"/>
      <c r="O467" s="2058"/>
      <c r="P467" s="2058"/>
      <c r="Q467" s="2059"/>
      <c r="R467" s="5604" t="s">
        <v>2715</v>
      </c>
      <c r="S467" s="4443"/>
      <c r="T467" s="4443"/>
      <c r="U467" s="4443"/>
      <c r="V467" s="4443"/>
      <c r="W467" s="4443"/>
      <c r="X467" s="4443"/>
      <c r="Y467" s="4443"/>
      <c r="Z467" s="2060" t="s">
        <v>340</v>
      </c>
      <c r="AA467" s="998">
        <f>SUM(AA442:AA466)</f>
        <v>0</v>
      </c>
      <c r="AB467" s="5599"/>
      <c r="AC467" s="4642"/>
      <c r="AD467" s="4642"/>
      <c r="AE467" s="4797"/>
    </row>
    <row r="468" spans="1:31" ht="111" customHeight="1">
      <c r="A468" s="4777" t="s">
        <v>2716</v>
      </c>
      <c r="B468" s="1117" t="s">
        <v>272</v>
      </c>
      <c r="C468" s="608" t="s">
        <v>302</v>
      </c>
      <c r="D468" s="608" t="s">
        <v>303</v>
      </c>
      <c r="E468" s="2103" t="s">
        <v>363</v>
      </c>
      <c r="F468" s="647" t="s">
        <v>305</v>
      </c>
      <c r="G468" s="648" t="s">
        <v>240</v>
      </c>
      <c r="H468" s="648" t="s">
        <v>257</v>
      </c>
      <c r="I468" s="2104" t="s">
        <v>2717</v>
      </c>
      <c r="J468" s="2030" t="s">
        <v>2718</v>
      </c>
      <c r="K468" s="2103" t="s">
        <v>2719</v>
      </c>
      <c r="L468" s="1118">
        <v>1</v>
      </c>
      <c r="M468" s="1119">
        <v>1</v>
      </c>
      <c r="N468" s="1120">
        <v>1</v>
      </c>
      <c r="O468" s="1121" t="s">
        <v>2720</v>
      </c>
      <c r="P468" s="1125" t="s">
        <v>2721</v>
      </c>
      <c r="Q468" s="1125" t="s">
        <v>2722</v>
      </c>
      <c r="R468" s="1102"/>
      <c r="S468" s="1103"/>
      <c r="T468" s="1103"/>
      <c r="U468" s="154"/>
      <c r="V468" s="1104"/>
      <c r="W468" s="155"/>
      <c r="X468" s="1105"/>
      <c r="Y468" s="1105"/>
      <c r="Z468" s="1105"/>
      <c r="AA468" s="1106"/>
      <c r="AB468" s="155"/>
      <c r="AC468" s="156"/>
      <c r="AD468" s="156"/>
      <c r="AE468" s="1728"/>
    </row>
    <row r="469" spans="1:31" ht="138.75" customHeight="1">
      <c r="A469" s="4778"/>
      <c r="B469" s="1117" t="s">
        <v>272</v>
      </c>
      <c r="C469" s="608" t="s">
        <v>302</v>
      </c>
      <c r="D469" s="2103" t="s">
        <v>388</v>
      </c>
      <c r="E469" s="2103" t="s">
        <v>944</v>
      </c>
      <c r="F469" s="2105" t="s">
        <v>305</v>
      </c>
      <c r="G469" s="2103" t="s">
        <v>240</v>
      </c>
      <c r="H469" s="2104" t="s">
        <v>257</v>
      </c>
      <c r="I469" s="2030" t="s">
        <v>2723</v>
      </c>
      <c r="J469" s="2030" t="s">
        <v>2724</v>
      </c>
      <c r="K469" s="2030" t="s">
        <v>2725</v>
      </c>
      <c r="L469" s="1122">
        <v>1</v>
      </c>
      <c r="M469" s="1123">
        <v>1</v>
      </c>
      <c r="N469" s="1122">
        <v>1</v>
      </c>
      <c r="O469" s="2103" t="s">
        <v>2726</v>
      </c>
      <c r="P469" s="2103" t="s">
        <v>2727</v>
      </c>
      <c r="Q469" s="1125" t="s">
        <v>2722</v>
      </c>
      <c r="R469" s="982"/>
      <c r="S469" s="2045"/>
      <c r="T469" s="2045"/>
      <c r="U469" s="169"/>
      <c r="V469" s="984"/>
      <c r="W469" s="170"/>
      <c r="X469" s="974"/>
      <c r="Y469" s="974"/>
      <c r="Z469" s="974"/>
      <c r="AA469" s="969"/>
      <c r="AB469" s="170"/>
      <c r="AC469" s="282"/>
      <c r="AD469" s="282"/>
      <c r="AE469" s="1715"/>
    </row>
    <row r="470" spans="1:31" ht="194.25" customHeight="1">
      <c r="A470" s="4778"/>
      <c r="B470" s="1723" t="s">
        <v>272</v>
      </c>
      <c r="C470" s="1724" t="s">
        <v>302</v>
      </c>
      <c r="D470" s="2103" t="s">
        <v>303</v>
      </c>
      <c r="E470" s="1124" t="s">
        <v>363</v>
      </c>
      <c r="F470" s="2105" t="s">
        <v>305</v>
      </c>
      <c r="G470" s="2103" t="s">
        <v>306</v>
      </c>
      <c r="H470" s="2104" t="s">
        <v>241</v>
      </c>
      <c r="I470" s="1125" t="s">
        <v>2728</v>
      </c>
      <c r="J470" s="1125" t="s">
        <v>2729</v>
      </c>
      <c r="K470" s="1125" t="s">
        <v>2730</v>
      </c>
      <c r="L470" s="1126">
        <v>1</v>
      </c>
      <c r="M470" s="1127">
        <v>1</v>
      </c>
      <c r="N470" s="1126">
        <v>1</v>
      </c>
      <c r="O470" s="2103" t="s">
        <v>2731</v>
      </c>
      <c r="P470" s="2103" t="s">
        <v>2732</v>
      </c>
      <c r="Q470" s="1125" t="s">
        <v>2722</v>
      </c>
      <c r="R470" s="2042"/>
      <c r="S470" s="2043"/>
      <c r="T470" s="2043"/>
      <c r="U470" s="1217"/>
      <c r="V470" s="968"/>
      <c r="W470" s="414"/>
      <c r="X470" s="973"/>
      <c r="Y470" s="974"/>
      <c r="Z470" s="974"/>
      <c r="AA470" s="969"/>
      <c r="AB470" s="170"/>
      <c r="AC470" s="282"/>
      <c r="AD470" s="282"/>
      <c r="AE470" s="1715"/>
    </row>
    <row r="471" spans="1:31" ht="183" customHeight="1">
      <c r="A471" s="4778"/>
      <c r="B471" s="646" t="s">
        <v>272</v>
      </c>
      <c r="C471" s="1125" t="s">
        <v>236</v>
      </c>
      <c r="D471" s="1125" t="s">
        <v>303</v>
      </c>
      <c r="E471" s="1125" t="s">
        <v>363</v>
      </c>
      <c r="F471" s="646" t="s">
        <v>305</v>
      </c>
      <c r="G471" s="1125" t="s">
        <v>240</v>
      </c>
      <c r="H471" s="2106" t="s">
        <v>278</v>
      </c>
      <c r="I471" s="2103" t="s">
        <v>2733</v>
      </c>
      <c r="J471" s="2103" t="s">
        <v>2734</v>
      </c>
      <c r="K471" s="2104" t="s">
        <v>2735</v>
      </c>
      <c r="L471" s="1128">
        <v>1</v>
      </c>
      <c r="M471" s="1128">
        <v>1</v>
      </c>
      <c r="N471" s="1128">
        <v>1</v>
      </c>
      <c r="O471" s="1125" t="s">
        <v>2736</v>
      </c>
      <c r="P471" s="1125" t="s">
        <v>2737</v>
      </c>
      <c r="Q471" s="1125" t="s">
        <v>2722</v>
      </c>
      <c r="R471" s="2041"/>
      <c r="S471" s="2040"/>
      <c r="T471" s="2040"/>
      <c r="U471" s="1217"/>
      <c r="V471" s="968"/>
      <c r="W471" s="414"/>
      <c r="X471" s="973"/>
      <c r="Y471" s="974"/>
      <c r="Z471" s="974"/>
      <c r="AA471" s="969"/>
      <c r="AB471" s="170"/>
      <c r="AC471" s="282"/>
      <c r="AD471" s="282"/>
      <c r="AE471" s="1715"/>
    </row>
    <row r="472" spans="1:31" ht="113.25" customHeight="1">
      <c r="A472" s="4778"/>
      <c r="B472" s="646" t="s">
        <v>272</v>
      </c>
      <c r="C472" s="1125" t="s">
        <v>679</v>
      </c>
      <c r="D472" s="1125" t="s">
        <v>674</v>
      </c>
      <c r="E472" s="1125" t="s">
        <v>944</v>
      </c>
      <c r="F472" s="646" t="s">
        <v>276</v>
      </c>
      <c r="G472" s="1125" t="s">
        <v>686</v>
      </c>
      <c r="H472" s="1125" t="s">
        <v>241</v>
      </c>
      <c r="I472" s="1125" t="s">
        <v>2738</v>
      </c>
      <c r="J472" s="1125" t="s">
        <v>2739</v>
      </c>
      <c r="K472" s="1125" t="s">
        <v>2740</v>
      </c>
      <c r="L472" s="1129">
        <v>1</v>
      </c>
      <c r="M472" s="1129">
        <v>1</v>
      </c>
      <c r="N472" s="1129">
        <v>1</v>
      </c>
      <c r="O472" s="1125" t="s">
        <v>2741</v>
      </c>
      <c r="P472" s="1125" t="s">
        <v>2742</v>
      </c>
      <c r="Q472" s="1125" t="s">
        <v>2722</v>
      </c>
      <c r="R472" s="2107"/>
      <c r="S472" s="2039"/>
      <c r="T472" s="2108"/>
      <c r="U472" s="476"/>
      <c r="V472" s="1130"/>
      <c r="W472" s="355"/>
      <c r="X472" s="1131"/>
      <c r="Y472" s="1131"/>
      <c r="Z472" s="1131"/>
      <c r="AA472" s="1132"/>
      <c r="AB472" s="357"/>
      <c r="AC472" s="358"/>
      <c r="AD472" s="358"/>
      <c r="AE472" s="1715"/>
    </row>
    <row r="473" spans="1:31" ht="99" customHeight="1">
      <c r="A473" s="4778"/>
      <c r="B473" s="646" t="s">
        <v>272</v>
      </c>
      <c r="C473" s="1125" t="s">
        <v>302</v>
      </c>
      <c r="D473" s="1125" t="s">
        <v>303</v>
      </c>
      <c r="E473" s="1125" t="s">
        <v>363</v>
      </c>
      <c r="F473" s="646" t="s">
        <v>305</v>
      </c>
      <c r="G473" s="1125" t="s">
        <v>240</v>
      </c>
      <c r="H473" s="1125" t="s">
        <v>257</v>
      </c>
      <c r="I473" s="1125" t="s">
        <v>2743</v>
      </c>
      <c r="J473" s="1125" t="s">
        <v>2744</v>
      </c>
      <c r="K473" s="2109" t="s">
        <v>2745</v>
      </c>
      <c r="L473" s="1129">
        <v>1</v>
      </c>
      <c r="M473" s="1129">
        <v>2</v>
      </c>
      <c r="N473" s="1129">
        <v>1</v>
      </c>
      <c r="O473" s="1125" t="s">
        <v>2746</v>
      </c>
      <c r="P473" s="1125" t="s">
        <v>2747</v>
      </c>
      <c r="Q473" s="1125" t="s">
        <v>2722</v>
      </c>
      <c r="R473" s="2045"/>
      <c r="S473" s="2045"/>
      <c r="T473" s="2045"/>
      <c r="U473" s="412"/>
      <c r="V473" s="1275"/>
      <c r="W473" s="357"/>
      <c r="X473" s="1133"/>
      <c r="Y473" s="1133"/>
      <c r="Z473" s="1133"/>
      <c r="AA473" s="1134"/>
      <c r="AB473" s="357"/>
      <c r="AC473" s="358"/>
      <c r="AD473" s="358"/>
      <c r="AE473" s="980"/>
    </row>
    <row r="474" spans="1:31" ht="160.5" customHeight="1">
      <c r="A474" s="4778"/>
      <c r="B474" s="646" t="s">
        <v>272</v>
      </c>
      <c r="C474" s="1125" t="s">
        <v>302</v>
      </c>
      <c r="D474" s="1125" t="s">
        <v>303</v>
      </c>
      <c r="E474" s="1125" t="s">
        <v>363</v>
      </c>
      <c r="F474" s="646" t="s">
        <v>305</v>
      </c>
      <c r="G474" s="1125" t="s">
        <v>256</v>
      </c>
      <c r="H474" s="1125" t="s">
        <v>241</v>
      </c>
      <c r="I474" s="1125" t="s">
        <v>2748</v>
      </c>
      <c r="J474" s="1125" t="s">
        <v>2749</v>
      </c>
      <c r="K474" s="1125" t="s">
        <v>2750</v>
      </c>
      <c r="L474" s="1129">
        <v>1</v>
      </c>
      <c r="M474" s="1129">
        <v>1</v>
      </c>
      <c r="N474" s="1129">
        <v>1</v>
      </c>
      <c r="O474" s="1125" t="s">
        <v>2751</v>
      </c>
      <c r="P474" s="1125" t="s">
        <v>2752</v>
      </c>
      <c r="Q474" s="1125" t="s">
        <v>2722</v>
      </c>
      <c r="R474" s="2043"/>
      <c r="S474" s="2040"/>
      <c r="T474" s="2045"/>
      <c r="U474" s="413"/>
      <c r="V474" s="1130"/>
      <c r="W474" s="355"/>
      <c r="X474" s="1131"/>
      <c r="Y474" s="1133"/>
      <c r="Z474" s="1133"/>
      <c r="AA474" s="1134"/>
      <c r="AB474" s="357"/>
      <c r="AC474" s="358"/>
      <c r="AD474" s="358"/>
      <c r="AE474" s="1715"/>
    </row>
    <row r="475" spans="1:31" ht="159.75" customHeight="1">
      <c r="A475" s="4778"/>
      <c r="B475" s="646" t="s">
        <v>272</v>
      </c>
      <c r="C475" s="1125" t="s">
        <v>302</v>
      </c>
      <c r="D475" s="1125" t="s">
        <v>388</v>
      </c>
      <c r="E475" s="1125" t="s">
        <v>944</v>
      </c>
      <c r="F475" s="646" t="s">
        <v>305</v>
      </c>
      <c r="G475" s="1125" t="s">
        <v>306</v>
      </c>
      <c r="H475" s="1125" t="s">
        <v>278</v>
      </c>
      <c r="I475" s="1125" t="s">
        <v>2753</v>
      </c>
      <c r="J475" s="1125" t="s">
        <v>2754</v>
      </c>
      <c r="K475" s="1125" t="s">
        <v>2755</v>
      </c>
      <c r="L475" s="1129">
        <v>1</v>
      </c>
      <c r="M475" s="1129">
        <v>1</v>
      </c>
      <c r="N475" s="1129">
        <v>1</v>
      </c>
      <c r="O475" s="1125" t="s">
        <v>2697</v>
      </c>
      <c r="P475" s="1125" t="s">
        <v>2698</v>
      </c>
      <c r="Q475" s="1125" t="s">
        <v>2722</v>
      </c>
      <c r="R475" s="2042"/>
      <c r="S475" s="2045"/>
      <c r="T475" s="2045"/>
      <c r="U475" s="413"/>
      <c r="V475" s="1130"/>
      <c r="W475" s="355"/>
      <c r="X475" s="1131"/>
      <c r="Y475" s="1133"/>
      <c r="Z475" s="1133"/>
      <c r="AA475" s="1134"/>
      <c r="AB475" s="357"/>
      <c r="AC475" s="358"/>
      <c r="AD475" s="358"/>
      <c r="AE475" s="1715"/>
    </row>
    <row r="476" spans="1:31" ht="147.75" customHeight="1">
      <c r="A476" s="4778"/>
      <c r="B476" s="646" t="s">
        <v>272</v>
      </c>
      <c r="C476" s="1125" t="s">
        <v>302</v>
      </c>
      <c r="D476" s="1125" t="s">
        <v>303</v>
      </c>
      <c r="E476" s="1125" t="s">
        <v>363</v>
      </c>
      <c r="F476" s="646" t="s">
        <v>305</v>
      </c>
      <c r="G476" s="1125" t="s">
        <v>306</v>
      </c>
      <c r="H476" s="1125" t="s">
        <v>278</v>
      </c>
      <c r="I476" s="1125" t="s">
        <v>2756</v>
      </c>
      <c r="J476" s="1125" t="s">
        <v>2757</v>
      </c>
      <c r="K476" s="1125" t="s">
        <v>2758</v>
      </c>
      <c r="L476" s="1129">
        <v>1</v>
      </c>
      <c r="M476" s="1129">
        <v>1</v>
      </c>
      <c r="N476" s="1129">
        <v>1</v>
      </c>
      <c r="O476" s="1125" t="s">
        <v>2759</v>
      </c>
      <c r="P476" s="1125" t="s">
        <v>2760</v>
      </c>
      <c r="Q476" s="1125" t="s">
        <v>2722</v>
      </c>
      <c r="R476" s="2042"/>
      <c r="S476" s="2043"/>
      <c r="T476" s="2043"/>
      <c r="U476" s="2110"/>
      <c r="V476" s="2111"/>
      <c r="W476" s="2111"/>
      <c r="X476" s="1131"/>
      <c r="Y476" s="1133"/>
      <c r="Z476" s="1133"/>
      <c r="AA476" s="2112"/>
      <c r="AB476" s="2112"/>
      <c r="AC476" s="2112"/>
      <c r="AD476" s="2112"/>
      <c r="AE476" s="1715"/>
    </row>
    <row r="477" spans="1:31" ht="144.75" customHeight="1">
      <c r="A477" s="4778"/>
      <c r="B477" s="646" t="s">
        <v>272</v>
      </c>
      <c r="C477" s="1125" t="s">
        <v>302</v>
      </c>
      <c r="D477" s="1125" t="s">
        <v>388</v>
      </c>
      <c r="E477" s="1125" t="s">
        <v>944</v>
      </c>
      <c r="F477" s="646" t="s">
        <v>305</v>
      </c>
      <c r="G477" s="1125" t="s">
        <v>306</v>
      </c>
      <c r="H477" s="1125" t="s">
        <v>241</v>
      </c>
      <c r="I477" s="1125" t="s">
        <v>2761</v>
      </c>
      <c r="J477" s="1125" t="s">
        <v>2762</v>
      </c>
      <c r="K477" s="1125" t="s">
        <v>2763</v>
      </c>
      <c r="L477" s="1129">
        <v>1</v>
      </c>
      <c r="M477" s="1129">
        <v>1</v>
      </c>
      <c r="N477" s="1129">
        <v>1</v>
      </c>
      <c r="O477" s="1125" t="s">
        <v>2764</v>
      </c>
      <c r="P477" s="1125" t="s">
        <v>2765</v>
      </c>
      <c r="Q477" s="1125" t="s">
        <v>2722</v>
      </c>
      <c r="R477" s="2041"/>
      <c r="S477" s="2040"/>
      <c r="T477" s="2040"/>
      <c r="U477" s="1217"/>
      <c r="V477" s="968"/>
      <c r="W477" s="414"/>
      <c r="X477" s="973"/>
      <c r="Y477" s="974"/>
      <c r="Z477" s="974"/>
      <c r="AA477" s="969"/>
      <c r="AB477" s="170"/>
      <c r="AC477" s="282"/>
      <c r="AD477" s="282"/>
      <c r="AE477" s="1715"/>
    </row>
    <row r="478" spans="1:31" ht="172.5" customHeight="1">
      <c r="A478" s="4778"/>
      <c r="B478" s="646" t="s">
        <v>272</v>
      </c>
      <c r="C478" s="1125" t="s">
        <v>236</v>
      </c>
      <c r="D478" s="1125" t="s">
        <v>303</v>
      </c>
      <c r="E478" s="1125" t="s">
        <v>363</v>
      </c>
      <c r="F478" s="646" t="s">
        <v>305</v>
      </c>
      <c r="G478" s="1125" t="s">
        <v>262</v>
      </c>
      <c r="H478" s="1125" t="s">
        <v>241</v>
      </c>
      <c r="I478" s="1125" t="s">
        <v>2766</v>
      </c>
      <c r="J478" s="1125" t="s">
        <v>2767</v>
      </c>
      <c r="K478" s="1125" t="s">
        <v>2768</v>
      </c>
      <c r="L478" s="1129">
        <v>1</v>
      </c>
      <c r="M478" s="1129">
        <v>1</v>
      </c>
      <c r="N478" s="1129">
        <v>1</v>
      </c>
      <c r="O478" s="1125" t="s">
        <v>2769</v>
      </c>
      <c r="P478" s="1125" t="s">
        <v>2770</v>
      </c>
      <c r="Q478" s="1125" t="s">
        <v>2722</v>
      </c>
      <c r="R478" s="975"/>
      <c r="S478" s="2044"/>
      <c r="T478" s="2044"/>
      <c r="U478" s="411"/>
      <c r="V478" s="977"/>
      <c r="W478" s="165"/>
      <c r="X478" s="978"/>
      <c r="Y478" s="978"/>
      <c r="Z478" s="978"/>
      <c r="AA478" s="979"/>
      <c r="AB478" s="165"/>
      <c r="AC478" s="166"/>
      <c r="AD478" s="166"/>
      <c r="AE478" s="980"/>
    </row>
    <row r="479" spans="1:31" ht="138" customHeight="1">
      <c r="A479" s="4778"/>
      <c r="B479" s="646" t="s">
        <v>272</v>
      </c>
      <c r="C479" s="1125" t="s">
        <v>302</v>
      </c>
      <c r="D479" s="1125" t="s">
        <v>388</v>
      </c>
      <c r="E479" s="1125" t="s">
        <v>944</v>
      </c>
      <c r="F479" s="646" t="s">
        <v>305</v>
      </c>
      <c r="G479" s="1125" t="s">
        <v>306</v>
      </c>
      <c r="H479" s="1125" t="s">
        <v>257</v>
      </c>
      <c r="I479" s="1125" t="s">
        <v>2771</v>
      </c>
      <c r="J479" s="1125" t="s">
        <v>2772</v>
      </c>
      <c r="K479" s="1125" t="s">
        <v>2773</v>
      </c>
      <c r="L479" s="1129">
        <v>1</v>
      </c>
      <c r="M479" s="1129">
        <v>1</v>
      </c>
      <c r="N479" s="1129">
        <v>1</v>
      </c>
      <c r="O479" s="1125" t="s">
        <v>2774</v>
      </c>
      <c r="P479" s="1125" t="s">
        <v>2775</v>
      </c>
      <c r="Q479" s="1125" t="s">
        <v>2722</v>
      </c>
      <c r="R479" s="2107"/>
      <c r="S479" s="2039"/>
      <c r="T479" s="2108"/>
      <c r="U479" s="176"/>
      <c r="V479" s="968"/>
      <c r="W479" s="414"/>
      <c r="X479" s="973"/>
      <c r="Y479" s="973"/>
      <c r="Z479" s="973"/>
      <c r="AA479" s="981"/>
      <c r="AB479" s="414"/>
      <c r="AC479" s="174"/>
      <c r="AD479" s="174"/>
      <c r="AE479" s="1715"/>
    </row>
    <row r="480" spans="1:31" ht="145.5" customHeight="1">
      <c r="A480" s="4778"/>
      <c r="B480" s="646" t="s">
        <v>272</v>
      </c>
      <c r="C480" s="1125" t="s">
        <v>302</v>
      </c>
      <c r="D480" s="1125" t="s">
        <v>303</v>
      </c>
      <c r="E480" s="1125" t="s">
        <v>318</v>
      </c>
      <c r="F480" s="646" t="s">
        <v>305</v>
      </c>
      <c r="G480" s="1125" t="s">
        <v>306</v>
      </c>
      <c r="H480" s="1125" t="s">
        <v>278</v>
      </c>
      <c r="I480" s="1125" t="s">
        <v>2776</v>
      </c>
      <c r="J480" s="1125" t="s">
        <v>2777</v>
      </c>
      <c r="K480" s="1125" t="s">
        <v>2778</v>
      </c>
      <c r="L480" s="1129">
        <v>1</v>
      </c>
      <c r="M480" s="1129">
        <v>1</v>
      </c>
      <c r="N480" s="1129">
        <v>1</v>
      </c>
      <c r="O480" s="1125" t="s">
        <v>2779</v>
      </c>
      <c r="P480" s="1125" t="s">
        <v>2780</v>
      </c>
      <c r="Q480" s="1125" t="s">
        <v>2722</v>
      </c>
      <c r="R480" s="982"/>
      <c r="S480" s="2045"/>
      <c r="T480" s="2045"/>
      <c r="U480" s="169"/>
      <c r="V480" s="984"/>
      <c r="W480" s="170"/>
      <c r="X480" s="974"/>
      <c r="Y480" s="974"/>
      <c r="Z480" s="974"/>
      <c r="AA480" s="969"/>
      <c r="AB480" s="170"/>
      <c r="AC480" s="358"/>
      <c r="AD480" s="282"/>
      <c r="AE480" s="1715"/>
    </row>
    <row r="481" spans="1:31" ht="144" customHeight="1">
      <c r="A481" s="4778"/>
      <c r="B481" s="646" t="s">
        <v>272</v>
      </c>
      <c r="C481" s="1125" t="s">
        <v>302</v>
      </c>
      <c r="D481" s="1125" t="s">
        <v>303</v>
      </c>
      <c r="E481" s="1125" t="s">
        <v>363</v>
      </c>
      <c r="F481" s="646" t="s">
        <v>305</v>
      </c>
      <c r="G481" s="1125" t="s">
        <v>306</v>
      </c>
      <c r="H481" s="1125" t="s">
        <v>241</v>
      </c>
      <c r="I481" s="1125" t="s">
        <v>2781</v>
      </c>
      <c r="J481" s="1125" t="s">
        <v>2782</v>
      </c>
      <c r="K481" s="1125" t="s">
        <v>2783</v>
      </c>
      <c r="L481" s="1129">
        <v>1</v>
      </c>
      <c r="M481" s="1129">
        <v>1</v>
      </c>
      <c r="N481" s="1129">
        <v>1</v>
      </c>
      <c r="O481" s="1125" t="s">
        <v>2784</v>
      </c>
      <c r="P481" s="1125" t="s">
        <v>2785</v>
      </c>
      <c r="Q481" s="1125" t="s">
        <v>2722</v>
      </c>
      <c r="R481" s="2042"/>
      <c r="S481" s="2043"/>
      <c r="T481" s="2045"/>
      <c r="U481" s="1217"/>
      <c r="V481" s="968"/>
      <c r="W481" s="414"/>
      <c r="X481" s="973"/>
      <c r="Y481" s="974"/>
      <c r="Z481" s="974"/>
      <c r="AA481" s="969"/>
      <c r="AB481" s="170"/>
      <c r="AC481" s="358"/>
      <c r="AD481" s="282"/>
      <c r="AE481" s="1715"/>
    </row>
    <row r="482" spans="1:31" ht="146.25" customHeight="1">
      <c r="A482" s="4778"/>
      <c r="B482" s="1137" t="s">
        <v>272</v>
      </c>
      <c r="C482" s="1125" t="s">
        <v>236</v>
      </c>
      <c r="D482" s="1125" t="s">
        <v>237</v>
      </c>
      <c r="E482" s="1125" t="s">
        <v>255</v>
      </c>
      <c r="F482" s="646" t="s">
        <v>239</v>
      </c>
      <c r="G482" s="1125" t="s">
        <v>293</v>
      </c>
      <c r="H482" s="1125" t="s">
        <v>257</v>
      </c>
      <c r="I482" s="1125" t="s">
        <v>2786</v>
      </c>
      <c r="J482" s="1125" t="s">
        <v>2787</v>
      </c>
      <c r="K482" s="1125" t="s">
        <v>2788</v>
      </c>
      <c r="L482" s="1129">
        <v>1</v>
      </c>
      <c r="M482" s="1129">
        <v>1</v>
      </c>
      <c r="N482" s="1129">
        <v>1</v>
      </c>
      <c r="O482" s="1125" t="s">
        <v>2789</v>
      </c>
      <c r="P482" s="1125" t="s">
        <v>2790</v>
      </c>
      <c r="Q482" s="1125" t="s">
        <v>2722</v>
      </c>
      <c r="R482" s="2041"/>
      <c r="S482" s="2040"/>
      <c r="T482" s="2045"/>
      <c r="U482" s="1217"/>
      <c r="V482" s="968"/>
      <c r="W482" s="414"/>
      <c r="X482" s="973"/>
      <c r="Y482" s="974"/>
      <c r="Z482" s="974"/>
      <c r="AA482" s="969"/>
      <c r="AB482" s="170"/>
      <c r="AC482" s="358"/>
      <c r="AD482" s="282"/>
      <c r="AE482" s="1715"/>
    </row>
    <row r="483" spans="1:31" ht="28.5" customHeight="1">
      <c r="A483" s="2158"/>
      <c r="B483" s="2058"/>
      <c r="C483" s="2058"/>
      <c r="D483" s="2058"/>
      <c r="E483" s="2058"/>
      <c r="F483" s="2058"/>
      <c r="G483" s="2058"/>
      <c r="H483" s="2058"/>
      <c r="I483" s="2058"/>
      <c r="J483" s="2058"/>
      <c r="K483" s="2058"/>
      <c r="L483" s="2058"/>
      <c r="M483" s="2058"/>
      <c r="N483" s="2058"/>
      <c r="O483" s="2058"/>
      <c r="P483" s="2058"/>
      <c r="Q483" s="2059"/>
      <c r="R483" s="5520" t="s">
        <v>2791</v>
      </c>
      <c r="S483" s="4443"/>
      <c r="T483" s="4443"/>
      <c r="U483" s="4443"/>
      <c r="V483" s="4443"/>
      <c r="W483" s="4443"/>
      <c r="X483" s="4443"/>
      <c r="Y483" s="4443"/>
      <c r="Z483" s="2060" t="s">
        <v>340</v>
      </c>
      <c r="AA483" s="998">
        <f>SUM(AA468:AA482)</f>
        <v>0</v>
      </c>
      <c r="AB483" s="5521"/>
      <c r="AC483" s="4443"/>
      <c r="AD483" s="4443"/>
      <c r="AE483" s="4816"/>
    </row>
    <row r="484" spans="1:31" ht="34.5" customHeight="1">
      <c r="A484" s="2163" t="s">
        <v>2792</v>
      </c>
      <c r="B484" s="5592" t="s">
        <v>272</v>
      </c>
      <c r="C484" s="5575" t="s">
        <v>302</v>
      </c>
      <c r="D484" s="5575" t="s">
        <v>303</v>
      </c>
      <c r="E484" s="5575" t="s">
        <v>363</v>
      </c>
      <c r="F484" s="5580" t="s">
        <v>305</v>
      </c>
      <c r="G484" s="5575" t="s">
        <v>240</v>
      </c>
      <c r="H484" s="5575" t="s">
        <v>257</v>
      </c>
      <c r="I484" s="5575" t="s">
        <v>2793</v>
      </c>
      <c r="J484" s="5596" t="s">
        <v>2794</v>
      </c>
      <c r="K484" s="5575" t="s">
        <v>2719</v>
      </c>
      <c r="L484" s="5579">
        <v>1</v>
      </c>
      <c r="M484" s="5579">
        <v>1</v>
      </c>
      <c r="N484" s="5579">
        <v>1</v>
      </c>
      <c r="O484" s="5575" t="s">
        <v>2720</v>
      </c>
      <c r="P484" s="5575" t="s">
        <v>2721</v>
      </c>
      <c r="Q484" s="5392" t="s">
        <v>2795</v>
      </c>
      <c r="R484" s="1138"/>
      <c r="S484" s="1139"/>
      <c r="T484" s="1140"/>
      <c r="U484" s="1141"/>
      <c r="V484" s="1142"/>
      <c r="W484" s="1143"/>
      <c r="X484" s="1144"/>
      <c r="Y484" s="1144"/>
      <c r="Z484" s="1144"/>
      <c r="AA484" s="1145"/>
      <c r="AB484" s="1143"/>
      <c r="AC484" s="492"/>
      <c r="AD484" s="492"/>
      <c r="AE484" s="1728"/>
    </row>
    <row r="485" spans="1:31" ht="34.5" customHeight="1">
      <c r="A485" s="2164"/>
      <c r="B485" s="5573"/>
      <c r="C485" s="4629"/>
      <c r="D485" s="4629"/>
      <c r="E485" s="4629"/>
      <c r="F485" s="4629"/>
      <c r="G485" s="4629"/>
      <c r="H485" s="4629"/>
      <c r="I485" s="4629"/>
      <c r="J485" s="4629"/>
      <c r="K485" s="4629"/>
      <c r="L485" s="4629"/>
      <c r="M485" s="4629"/>
      <c r="N485" s="4629"/>
      <c r="O485" s="4629"/>
      <c r="P485" s="4629"/>
      <c r="Q485" s="5500"/>
      <c r="R485" s="1146"/>
      <c r="S485" s="1188"/>
      <c r="T485" s="1188"/>
      <c r="U485" s="1148"/>
      <c r="V485" s="1149"/>
      <c r="W485" s="357"/>
      <c r="X485" s="1133"/>
      <c r="Y485" s="1133"/>
      <c r="Z485" s="1133"/>
      <c r="AA485" s="1134"/>
      <c r="AB485" s="357"/>
      <c r="AC485" s="358"/>
      <c r="AD485" s="358"/>
      <c r="AE485" s="1715"/>
    </row>
    <row r="486" spans="1:31" ht="34.5" customHeight="1">
      <c r="A486" s="2164"/>
      <c r="B486" s="5573"/>
      <c r="C486" s="4629"/>
      <c r="D486" s="4629"/>
      <c r="E486" s="4629"/>
      <c r="F486" s="4629"/>
      <c r="G486" s="4629"/>
      <c r="H486" s="4629"/>
      <c r="I486" s="4629"/>
      <c r="J486" s="4629"/>
      <c r="K486" s="4629"/>
      <c r="L486" s="4629"/>
      <c r="M486" s="4629"/>
      <c r="N486" s="4629"/>
      <c r="O486" s="4629"/>
      <c r="P486" s="4629"/>
      <c r="Q486" s="5500"/>
      <c r="R486" s="2113"/>
      <c r="S486" s="2111"/>
      <c r="T486" s="2111"/>
      <c r="U486" s="1150"/>
      <c r="V486" s="1151"/>
      <c r="W486" s="355"/>
      <c r="X486" s="1131"/>
      <c r="Y486" s="1133"/>
      <c r="Z486" s="1133"/>
      <c r="AA486" s="1134"/>
      <c r="AB486" s="357"/>
      <c r="AC486" s="358"/>
      <c r="AD486" s="358"/>
      <c r="AE486" s="1715"/>
    </row>
    <row r="487" spans="1:31" ht="34.5" customHeight="1">
      <c r="A487" s="2164"/>
      <c r="B487" s="5573"/>
      <c r="C487" s="4629"/>
      <c r="D487" s="4629"/>
      <c r="E487" s="4629"/>
      <c r="F487" s="4629"/>
      <c r="G487" s="4629"/>
      <c r="H487" s="4629"/>
      <c r="I487" s="4629"/>
      <c r="J487" s="4629"/>
      <c r="K487" s="4629"/>
      <c r="L487" s="4629"/>
      <c r="M487" s="4629"/>
      <c r="N487" s="4629"/>
      <c r="O487" s="4629"/>
      <c r="P487" s="4629"/>
      <c r="Q487" s="5500"/>
      <c r="R487" s="2114"/>
      <c r="S487" s="2112"/>
      <c r="T487" s="2112"/>
      <c r="U487" s="1150"/>
      <c r="V487" s="1151"/>
      <c r="W487" s="355"/>
      <c r="X487" s="1131"/>
      <c r="Y487" s="1133"/>
      <c r="Z487" s="1133"/>
      <c r="AA487" s="1134"/>
      <c r="AB487" s="357"/>
      <c r="AC487" s="358"/>
      <c r="AD487" s="358"/>
      <c r="AE487" s="1715"/>
    </row>
    <row r="488" spans="1:31" ht="34.5" customHeight="1">
      <c r="A488" s="2164"/>
      <c r="B488" s="5597"/>
      <c r="C488" s="4630"/>
      <c r="D488" s="4630"/>
      <c r="E488" s="4630"/>
      <c r="F488" s="4630"/>
      <c r="G488" s="4630"/>
      <c r="H488" s="4630"/>
      <c r="I488" s="4630"/>
      <c r="J488" s="4630"/>
      <c r="K488" s="4630"/>
      <c r="L488" s="4630"/>
      <c r="M488" s="4630"/>
      <c r="N488" s="4630"/>
      <c r="O488" s="4630"/>
      <c r="P488" s="4630"/>
      <c r="Q488" s="5501"/>
      <c r="R488" s="1152"/>
      <c r="S488" s="2115"/>
      <c r="T488" s="2115"/>
      <c r="U488" s="360"/>
      <c r="V488" s="1154"/>
      <c r="W488" s="361"/>
      <c r="X488" s="1304"/>
      <c r="Y488" s="1304"/>
      <c r="Z488" s="1304"/>
      <c r="AA488" s="1155"/>
      <c r="AB488" s="361"/>
      <c r="AC488" s="354"/>
      <c r="AD488" s="354"/>
      <c r="AE488" s="980"/>
    </row>
    <row r="489" spans="1:31" ht="34.5" customHeight="1">
      <c r="A489" s="2164"/>
      <c r="B489" s="5576" t="s">
        <v>272</v>
      </c>
      <c r="C489" s="5575" t="s">
        <v>302</v>
      </c>
      <c r="D489" s="5575" t="s">
        <v>388</v>
      </c>
      <c r="E489" s="5575" t="s">
        <v>944</v>
      </c>
      <c r="F489" s="5580" t="s">
        <v>305</v>
      </c>
      <c r="G489" s="5575" t="s">
        <v>240</v>
      </c>
      <c r="H489" s="5575" t="s">
        <v>257</v>
      </c>
      <c r="I489" s="5575" t="s">
        <v>2723</v>
      </c>
      <c r="J489" s="5590" t="s">
        <v>2796</v>
      </c>
      <c r="K489" s="5575" t="s">
        <v>2725</v>
      </c>
      <c r="L489" s="5579">
        <v>1</v>
      </c>
      <c r="M489" s="5579">
        <v>1</v>
      </c>
      <c r="N489" s="5579">
        <v>1</v>
      </c>
      <c r="O489" s="5575" t="s">
        <v>2726</v>
      </c>
      <c r="P489" s="5575" t="s">
        <v>2727</v>
      </c>
      <c r="Q489" s="5392" t="s">
        <v>2795</v>
      </c>
      <c r="R489" s="2116"/>
      <c r="S489" s="1139"/>
      <c r="T489" s="1140"/>
      <c r="U489" s="1141"/>
      <c r="V489" s="1130"/>
      <c r="W489" s="355"/>
      <c r="X489" s="1131"/>
      <c r="Y489" s="1131"/>
      <c r="Z489" s="1131"/>
      <c r="AA489" s="1132"/>
      <c r="AB489" s="355"/>
      <c r="AC489" s="356"/>
      <c r="AD489" s="356"/>
      <c r="AE489" s="1715"/>
    </row>
    <row r="490" spans="1:31" ht="34.5" customHeight="1">
      <c r="A490" s="2164"/>
      <c r="B490" s="5573"/>
      <c r="C490" s="4629"/>
      <c r="D490" s="4629"/>
      <c r="E490" s="4629"/>
      <c r="F490" s="4629"/>
      <c r="G490" s="4629"/>
      <c r="H490" s="4629"/>
      <c r="I490" s="4629"/>
      <c r="J490" s="4629"/>
      <c r="K490" s="4629"/>
      <c r="L490" s="4629"/>
      <c r="M490" s="4629"/>
      <c r="N490" s="4629"/>
      <c r="O490" s="4629"/>
      <c r="P490" s="4629"/>
      <c r="Q490" s="5500"/>
      <c r="R490" s="1146"/>
      <c r="S490" s="1188"/>
      <c r="T490" s="1188"/>
      <c r="U490" s="1156"/>
      <c r="V490" s="1275"/>
      <c r="W490" s="1157"/>
      <c r="X490" s="1133"/>
      <c r="Y490" s="1133"/>
      <c r="Z490" s="1133"/>
      <c r="AA490" s="1134"/>
      <c r="AB490" s="357"/>
      <c r="AC490" s="358"/>
      <c r="AD490" s="358"/>
      <c r="AE490" s="1715"/>
    </row>
    <row r="491" spans="1:31" ht="34.5" customHeight="1">
      <c r="A491" s="2164"/>
      <c r="B491" s="5573"/>
      <c r="C491" s="4629"/>
      <c r="D491" s="4629"/>
      <c r="E491" s="4629"/>
      <c r="F491" s="4629"/>
      <c r="G491" s="4629"/>
      <c r="H491" s="4629"/>
      <c r="I491" s="4629"/>
      <c r="J491" s="4629"/>
      <c r="K491" s="4629"/>
      <c r="L491" s="4629"/>
      <c r="M491" s="4629"/>
      <c r="N491" s="4629"/>
      <c r="O491" s="4629"/>
      <c r="P491" s="4629"/>
      <c r="Q491" s="5500"/>
      <c r="R491" s="2113"/>
      <c r="S491" s="2111"/>
      <c r="T491" s="2111"/>
      <c r="U491" s="1156"/>
      <c r="V491" s="1130"/>
      <c r="W491" s="1158"/>
      <c r="X491" s="1131"/>
      <c r="Y491" s="1133"/>
      <c r="Z491" s="1133"/>
      <c r="AA491" s="1134"/>
      <c r="AB491" s="357"/>
      <c r="AC491" s="358"/>
      <c r="AD491" s="358"/>
      <c r="AE491" s="1715"/>
    </row>
    <row r="492" spans="1:31" ht="34.5" customHeight="1">
      <c r="A492" s="2164"/>
      <c r="B492" s="5573"/>
      <c r="C492" s="4629"/>
      <c r="D492" s="4629"/>
      <c r="E492" s="4629"/>
      <c r="F492" s="4629"/>
      <c r="G492" s="4629"/>
      <c r="H492" s="4629"/>
      <c r="I492" s="4629"/>
      <c r="J492" s="4629"/>
      <c r="K492" s="4629"/>
      <c r="L492" s="4629"/>
      <c r="M492" s="4629"/>
      <c r="N492" s="4629"/>
      <c r="O492" s="4629"/>
      <c r="P492" s="4629"/>
      <c r="Q492" s="5500"/>
      <c r="R492" s="2114"/>
      <c r="S492" s="2112"/>
      <c r="T492" s="2112"/>
      <c r="U492" s="1156"/>
      <c r="V492" s="1130"/>
      <c r="W492" s="1158"/>
      <c r="X492" s="1131"/>
      <c r="Y492" s="1133"/>
      <c r="Z492" s="1133"/>
      <c r="AA492" s="1134"/>
      <c r="AB492" s="357"/>
      <c r="AC492" s="358"/>
      <c r="AD492" s="358"/>
      <c r="AE492" s="1715"/>
    </row>
    <row r="493" spans="1:31" ht="34.5" customHeight="1">
      <c r="A493" s="2164"/>
      <c r="B493" s="5574"/>
      <c r="C493" s="4630"/>
      <c r="D493" s="4630"/>
      <c r="E493" s="4630"/>
      <c r="F493" s="4630"/>
      <c r="G493" s="4630"/>
      <c r="H493" s="4630"/>
      <c r="I493" s="4630"/>
      <c r="J493" s="4630"/>
      <c r="K493" s="4630"/>
      <c r="L493" s="4630"/>
      <c r="M493" s="4630"/>
      <c r="N493" s="4630"/>
      <c r="O493" s="4630"/>
      <c r="P493" s="4630"/>
      <c r="Q493" s="5501"/>
      <c r="R493" s="1152"/>
      <c r="S493" s="2115"/>
      <c r="T493" s="2115"/>
      <c r="U493" s="360"/>
      <c r="V493" s="1154"/>
      <c r="W493" s="361"/>
      <c r="X493" s="1304"/>
      <c r="Y493" s="1304"/>
      <c r="Z493" s="1304"/>
      <c r="AA493" s="1155"/>
      <c r="AB493" s="361"/>
      <c r="AC493" s="354"/>
      <c r="AD493" s="354"/>
      <c r="AE493" s="980"/>
    </row>
    <row r="494" spans="1:31" ht="34.5" customHeight="1">
      <c r="A494" s="2164"/>
      <c r="B494" s="5576" t="s">
        <v>272</v>
      </c>
      <c r="C494" s="5575" t="s">
        <v>302</v>
      </c>
      <c r="D494" s="5575" t="s">
        <v>303</v>
      </c>
      <c r="E494" s="5589" t="s">
        <v>363</v>
      </c>
      <c r="F494" s="5580" t="s">
        <v>305</v>
      </c>
      <c r="G494" s="5575" t="s">
        <v>306</v>
      </c>
      <c r="H494" s="5575" t="s">
        <v>241</v>
      </c>
      <c r="I494" s="5575" t="s">
        <v>2728</v>
      </c>
      <c r="J494" s="5590" t="s">
        <v>2797</v>
      </c>
      <c r="K494" s="5575" t="s">
        <v>2730</v>
      </c>
      <c r="L494" s="5579">
        <v>1</v>
      </c>
      <c r="M494" s="5579">
        <v>1</v>
      </c>
      <c r="N494" s="5579">
        <v>1</v>
      </c>
      <c r="O494" s="5575" t="s">
        <v>2731</v>
      </c>
      <c r="P494" s="5575" t="s">
        <v>2732</v>
      </c>
      <c r="Q494" s="5392" t="s">
        <v>2795</v>
      </c>
      <c r="R494" s="2116"/>
      <c r="S494" s="1139"/>
      <c r="T494" s="1140"/>
      <c r="U494" s="1141"/>
      <c r="V494" s="1130"/>
      <c r="W494" s="355"/>
      <c r="X494" s="1131"/>
      <c r="Y494" s="1131"/>
      <c r="Z494" s="1131"/>
      <c r="AA494" s="1132"/>
      <c r="AB494" s="355"/>
      <c r="AC494" s="356"/>
      <c r="AD494" s="356"/>
      <c r="AE494" s="1715"/>
    </row>
    <row r="495" spans="1:31" ht="34.5" customHeight="1">
      <c r="A495" s="2165"/>
      <c r="B495" s="5573"/>
      <c r="C495" s="4629"/>
      <c r="D495" s="4629"/>
      <c r="E495" s="5573"/>
      <c r="F495" s="4629"/>
      <c r="G495" s="4629"/>
      <c r="H495" s="4629"/>
      <c r="I495" s="4629"/>
      <c r="J495" s="4629"/>
      <c r="K495" s="4629"/>
      <c r="L495" s="4629"/>
      <c r="M495" s="4629"/>
      <c r="N495" s="4629"/>
      <c r="O495" s="4629"/>
      <c r="P495" s="4629"/>
      <c r="Q495" s="5500"/>
      <c r="R495" s="1146"/>
      <c r="S495" s="1188"/>
      <c r="T495" s="1188"/>
      <c r="U495" s="1148"/>
      <c r="V495" s="1275"/>
      <c r="W495" s="357"/>
      <c r="X495" s="1133"/>
      <c r="Y495" s="1133"/>
      <c r="Z495" s="1133"/>
      <c r="AA495" s="1134"/>
      <c r="AB495" s="357"/>
      <c r="AC495" s="358"/>
      <c r="AD495" s="358"/>
      <c r="AE495" s="1715"/>
    </row>
    <row r="496" spans="1:31" ht="34.5" customHeight="1">
      <c r="A496" s="5578" t="s">
        <v>2792</v>
      </c>
      <c r="B496" s="5573"/>
      <c r="C496" s="4629"/>
      <c r="D496" s="4629"/>
      <c r="E496" s="5573"/>
      <c r="F496" s="4629"/>
      <c r="G496" s="4629"/>
      <c r="H496" s="4629"/>
      <c r="I496" s="4629"/>
      <c r="J496" s="4629"/>
      <c r="K496" s="4629"/>
      <c r="L496" s="4629"/>
      <c r="M496" s="4629"/>
      <c r="N496" s="4629"/>
      <c r="O496" s="4629"/>
      <c r="P496" s="4629"/>
      <c r="Q496" s="5500"/>
      <c r="R496" s="2113"/>
      <c r="S496" s="2111"/>
      <c r="T496" s="2111"/>
      <c r="U496" s="413"/>
      <c r="V496" s="1130"/>
      <c r="W496" s="355"/>
      <c r="X496" s="1131"/>
      <c r="Y496" s="1133"/>
      <c r="Z496" s="1133"/>
      <c r="AA496" s="1134"/>
      <c r="AB496" s="357"/>
      <c r="AC496" s="358"/>
      <c r="AD496" s="358"/>
      <c r="AE496" s="1715"/>
    </row>
    <row r="497" spans="1:31" ht="34.5" customHeight="1">
      <c r="A497" s="5555"/>
      <c r="B497" s="5573"/>
      <c r="C497" s="4629"/>
      <c r="D497" s="4629"/>
      <c r="E497" s="5573"/>
      <c r="F497" s="4629"/>
      <c r="G497" s="4629"/>
      <c r="H497" s="4629"/>
      <c r="I497" s="4629"/>
      <c r="J497" s="4629"/>
      <c r="K497" s="4629"/>
      <c r="L497" s="4629"/>
      <c r="M497" s="4629"/>
      <c r="N497" s="4629"/>
      <c r="O497" s="4629"/>
      <c r="P497" s="4629"/>
      <c r="Q497" s="5500"/>
      <c r="R497" s="2041"/>
      <c r="S497" s="2040"/>
      <c r="T497" s="2040"/>
      <c r="U497" s="1217"/>
      <c r="V497" s="968"/>
      <c r="W497" s="414"/>
      <c r="X497" s="973"/>
      <c r="Y497" s="974"/>
      <c r="Z497" s="974"/>
      <c r="AA497" s="969"/>
      <c r="AB497" s="170"/>
      <c r="AC497" s="282"/>
      <c r="AD497" s="282"/>
      <c r="AE497" s="1715"/>
    </row>
    <row r="498" spans="1:31" ht="34.5" customHeight="1">
      <c r="A498" s="5555"/>
      <c r="B498" s="5574"/>
      <c r="C498" s="4630"/>
      <c r="D498" s="4630"/>
      <c r="E498" s="5574"/>
      <c r="F498" s="4630"/>
      <c r="G498" s="4630"/>
      <c r="H498" s="4630"/>
      <c r="I498" s="4630"/>
      <c r="J498" s="4630"/>
      <c r="K498" s="4630"/>
      <c r="L498" s="4630"/>
      <c r="M498" s="4630"/>
      <c r="N498" s="4630"/>
      <c r="O498" s="4630"/>
      <c r="P498" s="4630"/>
      <c r="Q498" s="5501"/>
      <c r="R498" s="975"/>
      <c r="S498" s="2044"/>
      <c r="T498" s="2044"/>
      <c r="U498" s="411"/>
      <c r="V498" s="977"/>
      <c r="W498" s="165"/>
      <c r="X498" s="978"/>
      <c r="Y498" s="978"/>
      <c r="Z498" s="978"/>
      <c r="AA498" s="979"/>
      <c r="AB498" s="165"/>
      <c r="AC498" s="166"/>
      <c r="AD498" s="166"/>
      <c r="AE498" s="980"/>
    </row>
    <row r="499" spans="1:31" ht="34.5" customHeight="1">
      <c r="A499" s="5555"/>
      <c r="B499" s="5576" t="s">
        <v>272</v>
      </c>
      <c r="C499" s="5575" t="s">
        <v>236</v>
      </c>
      <c r="D499" s="5575" t="s">
        <v>303</v>
      </c>
      <c r="E499" s="5589" t="s">
        <v>363</v>
      </c>
      <c r="F499" s="5580" t="s">
        <v>305</v>
      </c>
      <c r="G499" s="5575" t="s">
        <v>240</v>
      </c>
      <c r="H499" s="5575" t="s">
        <v>278</v>
      </c>
      <c r="I499" s="5575" t="s">
        <v>2733</v>
      </c>
      <c r="J499" s="5590" t="s">
        <v>2798</v>
      </c>
      <c r="K499" s="5575" t="s">
        <v>2735</v>
      </c>
      <c r="L499" s="5579">
        <v>1</v>
      </c>
      <c r="M499" s="5579">
        <v>1</v>
      </c>
      <c r="N499" s="5579">
        <v>1</v>
      </c>
      <c r="O499" s="5523" t="s">
        <v>2799</v>
      </c>
      <c r="P499" s="5575" t="s">
        <v>2737</v>
      </c>
      <c r="Q499" s="5392" t="s">
        <v>2795</v>
      </c>
      <c r="R499" s="2117"/>
      <c r="S499" s="1159"/>
      <c r="T499" s="1103"/>
      <c r="U499" s="154"/>
      <c r="V499" s="968"/>
      <c r="W499" s="414"/>
      <c r="X499" s="973"/>
      <c r="Y499" s="973"/>
      <c r="Z499" s="973"/>
      <c r="AA499" s="981"/>
      <c r="AB499" s="414"/>
      <c r="AC499" s="356"/>
      <c r="AD499" s="174"/>
      <c r="AE499" s="1715"/>
    </row>
    <row r="500" spans="1:31" ht="34.5" customHeight="1">
      <c r="A500" s="5555"/>
      <c r="B500" s="5573"/>
      <c r="C500" s="4629"/>
      <c r="D500" s="4629"/>
      <c r="E500" s="5573"/>
      <c r="F500" s="4629"/>
      <c r="G500" s="4629"/>
      <c r="H500" s="4629"/>
      <c r="I500" s="4629"/>
      <c r="J500" s="4629"/>
      <c r="K500" s="4629"/>
      <c r="L500" s="4629"/>
      <c r="M500" s="4629"/>
      <c r="N500" s="4629"/>
      <c r="O500" s="4629"/>
      <c r="P500" s="4629"/>
      <c r="Q500" s="5500"/>
      <c r="R500" s="982"/>
      <c r="S500" s="2045"/>
      <c r="T500" s="2045"/>
      <c r="U500" s="169"/>
      <c r="V500" s="984"/>
      <c r="W500" s="170"/>
      <c r="X500" s="1160"/>
      <c r="Y500" s="1160"/>
      <c r="Z500" s="1160"/>
      <c r="AA500" s="969"/>
      <c r="AB500" s="170"/>
      <c r="AC500" s="358"/>
      <c r="AD500" s="282"/>
      <c r="AE500" s="1715"/>
    </row>
    <row r="501" spans="1:31" ht="34.5" customHeight="1">
      <c r="A501" s="5555"/>
      <c r="B501" s="5573"/>
      <c r="C501" s="4629"/>
      <c r="D501" s="4629"/>
      <c r="E501" s="5573"/>
      <c r="F501" s="4629"/>
      <c r="G501" s="4629"/>
      <c r="H501" s="4629"/>
      <c r="I501" s="4629"/>
      <c r="J501" s="4629"/>
      <c r="K501" s="4629"/>
      <c r="L501" s="4629"/>
      <c r="M501" s="4629"/>
      <c r="N501" s="4629"/>
      <c r="O501" s="4629"/>
      <c r="P501" s="4629"/>
      <c r="Q501" s="5500"/>
      <c r="R501" s="2042"/>
      <c r="S501" s="2043"/>
      <c r="T501" s="2043"/>
      <c r="U501" s="1217"/>
      <c r="V501" s="968"/>
      <c r="W501" s="414"/>
      <c r="X501" s="1161"/>
      <c r="Y501" s="1160"/>
      <c r="Z501" s="1160"/>
      <c r="AA501" s="969"/>
      <c r="AB501" s="170"/>
      <c r="AC501" s="358"/>
      <c r="AD501" s="282"/>
      <c r="AE501" s="1715"/>
    </row>
    <row r="502" spans="1:31" ht="34.5" customHeight="1">
      <c r="A502" s="5555"/>
      <c r="B502" s="5573"/>
      <c r="C502" s="4629"/>
      <c r="D502" s="4629"/>
      <c r="E502" s="5573"/>
      <c r="F502" s="4629"/>
      <c r="G502" s="4629"/>
      <c r="H502" s="4629"/>
      <c r="I502" s="4629"/>
      <c r="J502" s="4629"/>
      <c r="K502" s="4629"/>
      <c r="L502" s="4629"/>
      <c r="M502" s="4629"/>
      <c r="N502" s="4629"/>
      <c r="O502" s="4629"/>
      <c r="P502" s="4629"/>
      <c r="Q502" s="5500"/>
      <c r="R502" s="2041"/>
      <c r="S502" s="2040"/>
      <c r="T502" s="2040"/>
      <c r="U502" s="1217"/>
      <c r="V502" s="968"/>
      <c r="W502" s="414"/>
      <c r="X502" s="1161"/>
      <c r="Y502" s="1160"/>
      <c r="Z502" s="1160"/>
      <c r="AA502" s="969"/>
      <c r="AB502" s="170"/>
      <c r="AC502" s="358"/>
      <c r="AD502" s="282"/>
      <c r="AE502" s="1715"/>
    </row>
    <row r="503" spans="1:31" ht="34.5" customHeight="1">
      <c r="A503" s="5555"/>
      <c r="B503" s="5574"/>
      <c r="C503" s="4630"/>
      <c r="D503" s="4630"/>
      <c r="E503" s="5574"/>
      <c r="F503" s="4630"/>
      <c r="G503" s="4630"/>
      <c r="H503" s="4630"/>
      <c r="I503" s="4630"/>
      <c r="J503" s="4630"/>
      <c r="K503" s="4630"/>
      <c r="L503" s="4630"/>
      <c r="M503" s="4630"/>
      <c r="N503" s="4630"/>
      <c r="O503" s="4630"/>
      <c r="P503" s="4630"/>
      <c r="Q503" s="5501"/>
      <c r="R503" s="975"/>
      <c r="S503" s="2044"/>
      <c r="T503" s="2044"/>
      <c r="U503" s="411"/>
      <c r="V503" s="977"/>
      <c r="W503" s="165"/>
      <c r="X503" s="978"/>
      <c r="Y503" s="978"/>
      <c r="Z503" s="978"/>
      <c r="AA503" s="979"/>
      <c r="AB503" s="165"/>
      <c r="AC503" s="354"/>
      <c r="AD503" s="166"/>
      <c r="AE503" s="980"/>
    </row>
    <row r="504" spans="1:31" ht="45" customHeight="1">
      <c r="A504" s="5555"/>
      <c r="B504" s="5591" t="s">
        <v>272</v>
      </c>
      <c r="C504" s="5489" t="s">
        <v>679</v>
      </c>
      <c r="D504" s="5523" t="s">
        <v>674</v>
      </c>
      <c r="E504" s="5566" t="s">
        <v>944</v>
      </c>
      <c r="F504" s="5567" t="s">
        <v>276</v>
      </c>
      <c r="G504" s="5566" t="s">
        <v>686</v>
      </c>
      <c r="H504" s="5566" t="s">
        <v>241</v>
      </c>
      <c r="I504" s="5568" t="s">
        <v>2738</v>
      </c>
      <c r="J504" s="5577" t="s">
        <v>2800</v>
      </c>
      <c r="K504" s="5566" t="s">
        <v>2740</v>
      </c>
      <c r="L504" s="4662">
        <v>1</v>
      </c>
      <c r="M504" s="4628">
        <v>1</v>
      </c>
      <c r="N504" s="4662">
        <v>1</v>
      </c>
      <c r="O504" s="5566" t="s">
        <v>2741</v>
      </c>
      <c r="P504" s="5566" t="s">
        <v>2742</v>
      </c>
      <c r="Q504" s="5587" t="s">
        <v>2795</v>
      </c>
      <c r="R504" s="2117"/>
      <c r="S504" s="1159"/>
      <c r="T504" s="1103"/>
      <c r="U504" s="154"/>
      <c r="V504" s="968"/>
      <c r="W504" s="414"/>
      <c r="X504" s="973"/>
      <c r="Y504" s="973"/>
      <c r="Z504" s="973"/>
      <c r="AA504" s="981"/>
      <c r="AB504" s="414"/>
      <c r="AC504" s="356"/>
      <c r="AD504" s="174"/>
      <c r="AE504" s="1715"/>
    </row>
    <row r="505" spans="1:31" ht="45" customHeight="1">
      <c r="A505" s="5555"/>
      <c r="B505" s="5573"/>
      <c r="C505" s="4629"/>
      <c r="D505" s="4629"/>
      <c r="E505" s="4629"/>
      <c r="F505" s="4629"/>
      <c r="G505" s="4629"/>
      <c r="H505" s="4629"/>
      <c r="I505" s="4629"/>
      <c r="J505" s="4629"/>
      <c r="K505" s="4629"/>
      <c r="L505" s="4629"/>
      <c r="M505" s="4629"/>
      <c r="N505" s="4629"/>
      <c r="O505" s="4629"/>
      <c r="P505" s="4629"/>
      <c r="Q505" s="5500"/>
      <c r="R505" s="982"/>
      <c r="S505" s="2045"/>
      <c r="T505" s="2045"/>
      <c r="U505" s="169"/>
      <c r="V505" s="984"/>
      <c r="W505" s="170"/>
      <c r="X505" s="1160"/>
      <c r="Y505" s="1160"/>
      <c r="Z505" s="1160"/>
      <c r="AA505" s="969"/>
      <c r="AB505" s="170"/>
      <c r="AC505" s="358"/>
      <c r="AD505" s="282"/>
      <c r="AE505" s="1715"/>
    </row>
    <row r="506" spans="1:31" ht="45" customHeight="1">
      <c r="A506" s="5555"/>
      <c r="B506" s="5573"/>
      <c r="C506" s="4629"/>
      <c r="D506" s="4629"/>
      <c r="E506" s="4629"/>
      <c r="F506" s="4629"/>
      <c r="G506" s="4629"/>
      <c r="H506" s="4629"/>
      <c r="I506" s="4629"/>
      <c r="J506" s="4629"/>
      <c r="K506" s="4629"/>
      <c r="L506" s="4629"/>
      <c r="M506" s="4629"/>
      <c r="N506" s="4629"/>
      <c r="O506" s="4629"/>
      <c r="P506" s="4629"/>
      <c r="Q506" s="5500"/>
      <c r="R506" s="2042"/>
      <c r="S506" s="2043"/>
      <c r="T506" s="2043"/>
      <c r="U506" s="1217"/>
      <c r="V506" s="968"/>
      <c r="W506" s="414"/>
      <c r="X506" s="973"/>
      <c r="Y506" s="974"/>
      <c r="Z506" s="974"/>
      <c r="AA506" s="969"/>
      <c r="AB506" s="170"/>
      <c r="AC506" s="358"/>
      <c r="AD506" s="282"/>
      <c r="AE506" s="1715"/>
    </row>
    <row r="507" spans="1:31" ht="45" customHeight="1">
      <c r="A507" s="5555"/>
      <c r="B507" s="5573"/>
      <c r="C507" s="4629"/>
      <c r="D507" s="4629"/>
      <c r="E507" s="4629"/>
      <c r="F507" s="4629"/>
      <c r="G507" s="4629"/>
      <c r="H507" s="4629"/>
      <c r="I507" s="4629"/>
      <c r="J507" s="4629"/>
      <c r="K507" s="4629"/>
      <c r="L507" s="4629"/>
      <c r="M507" s="4629"/>
      <c r="N507" s="4629"/>
      <c r="O507" s="4629"/>
      <c r="P507" s="4629"/>
      <c r="Q507" s="5500"/>
      <c r="R507" s="2041"/>
      <c r="S507" s="2040"/>
      <c r="T507" s="2040"/>
      <c r="U507" s="1217"/>
      <c r="V507" s="968"/>
      <c r="W507" s="414"/>
      <c r="X507" s="973"/>
      <c r="Y507" s="974"/>
      <c r="Z507" s="974"/>
      <c r="AA507" s="969"/>
      <c r="AB507" s="170"/>
      <c r="AC507" s="358"/>
      <c r="AD507" s="282"/>
      <c r="AE507" s="1715"/>
    </row>
    <row r="508" spans="1:31" ht="45" customHeight="1">
      <c r="A508" s="5555"/>
      <c r="B508" s="5574"/>
      <c r="C508" s="4630"/>
      <c r="D508" s="4630"/>
      <c r="E508" s="4630"/>
      <c r="F508" s="4630"/>
      <c r="G508" s="4630"/>
      <c r="H508" s="4630"/>
      <c r="I508" s="4630"/>
      <c r="J508" s="4630"/>
      <c r="K508" s="4630"/>
      <c r="L508" s="4630"/>
      <c r="M508" s="4630"/>
      <c r="N508" s="4630"/>
      <c r="O508" s="4630"/>
      <c r="P508" s="4630"/>
      <c r="Q508" s="5501"/>
      <c r="R508" s="975"/>
      <c r="S508" s="2044"/>
      <c r="T508" s="2044"/>
      <c r="U508" s="411"/>
      <c r="V508" s="977"/>
      <c r="W508" s="165"/>
      <c r="X508" s="978"/>
      <c r="Y508" s="978"/>
      <c r="Z508" s="978"/>
      <c r="AA508" s="979"/>
      <c r="AB508" s="165"/>
      <c r="AC508" s="354"/>
      <c r="AD508" s="166"/>
      <c r="AE508" s="980"/>
    </row>
    <row r="509" spans="1:31" ht="30" customHeight="1">
      <c r="A509" s="5555"/>
      <c r="B509" s="5572" t="s">
        <v>272</v>
      </c>
      <c r="C509" s="5566" t="s">
        <v>302</v>
      </c>
      <c r="D509" s="5566" t="s">
        <v>303</v>
      </c>
      <c r="E509" s="5566" t="s">
        <v>363</v>
      </c>
      <c r="F509" s="5567" t="s">
        <v>305</v>
      </c>
      <c r="G509" s="5566" t="s">
        <v>240</v>
      </c>
      <c r="H509" s="5566" t="s">
        <v>257</v>
      </c>
      <c r="I509" s="5568" t="s">
        <v>2743</v>
      </c>
      <c r="J509" s="5577" t="s">
        <v>2744</v>
      </c>
      <c r="K509" s="5566" t="s">
        <v>2745</v>
      </c>
      <c r="L509" s="4662">
        <v>1</v>
      </c>
      <c r="M509" s="4628">
        <v>2</v>
      </c>
      <c r="N509" s="4662">
        <v>1</v>
      </c>
      <c r="O509" s="5566" t="s">
        <v>2746</v>
      </c>
      <c r="P509" s="5566" t="s">
        <v>2747</v>
      </c>
      <c r="Q509" s="5586" t="s">
        <v>2795</v>
      </c>
      <c r="R509" s="1102"/>
      <c r="S509" s="1103"/>
      <c r="T509" s="1103"/>
      <c r="U509" s="154"/>
      <c r="V509" s="1104"/>
      <c r="W509" s="155"/>
      <c r="X509" s="1105"/>
      <c r="Y509" s="1105"/>
      <c r="Z509" s="1105"/>
      <c r="AA509" s="1106"/>
      <c r="AB509" s="155"/>
      <c r="AC509" s="156"/>
      <c r="AD509" s="402"/>
      <c r="AE509" s="1162"/>
    </row>
    <row r="510" spans="1:31" ht="30" customHeight="1">
      <c r="A510" s="5555"/>
      <c r="B510" s="5573"/>
      <c r="C510" s="4629"/>
      <c r="D510" s="4629"/>
      <c r="E510" s="4629"/>
      <c r="F510" s="4629"/>
      <c r="G510" s="4629"/>
      <c r="H510" s="4629"/>
      <c r="I510" s="4629"/>
      <c r="J510" s="4629"/>
      <c r="K510" s="4629"/>
      <c r="L510" s="4629"/>
      <c r="M510" s="4629"/>
      <c r="N510" s="4629"/>
      <c r="O510" s="4629"/>
      <c r="P510" s="4629"/>
      <c r="Q510" s="5500"/>
      <c r="R510" s="982"/>
      <c r="S510" s="2045"/>
      <c r="T510" s="2045"/>
      <c r="U510" s="169"/>
      <c r="V510" s="984"/>
      <c r="W510" s="170"/>
      <c r="X510" s="974"/>
      <c r="Y510" s="974"/>
      <c r="Z510" s="974"/>
      <c r="AA510" s="969"/>
      <c r="AB510" s="170"/>
      <c r="AC510" s="282"/>
      <c r="AD510" s="403"/>
      <c r="AE510" s="1163"/>
    </row>
    <row r="511" spans="1:31" ht="30" customHeight="1">
      <c r="A511" s="5555"/>
      <c r="B511" s="5573"/>
      <c r="C511" s="4629"/>
      <c r="D511" s="4629"/>
      <c r="E511" s="4629"/>
      <c r="F511" s="4629"/>
      <c r="G511" s="4629"/>
      <c r="H511" s="4629"/>
      <c r="I511" s="4629"/>
      <c r="J511" s="4629"/>
      <c r="K511" s="4629"/>
      <c r="L511" s="4629"/>
      <c r="M511" s="4629"/>
      <c r="N511" s="4629"/>
      <c r="O511" s="4629"/>
      <c r="P511" s="4629"/>
      <c r="Q511" s="5500"/>
      <c r="R511" s="2042"/>
      <c r="S511" s="2043"/>
      <c r="T511" s="2043"/>
      <c r="U511" s="1217"/>
      <c r="V511" s="968"/>
      <c r="W511" s="414"/>
      <c r="X511" s="973"/>
      <c r="Y511" s="974"/>
      <c r="Z511" s="974"/>
      <c r="AA511" s="969"/>
      <c r="AB511" s="170"/>
      <c r="AC511" s="282"/>
      <c r="AD511" s="403"/>
      <c r="AE511" s="1164"/>
    </row>
    <row r="512" spans="1:31" ht="30" customHeight="1">
      <c r="A512" s="5555"/>
      <c r="B512" s="5573"/>
      <c r="C512" s="4629"/>
      <c r="D512" s="4629"/>
      <c r="E512" s="4629"/>
      <c r="F512" s="4629"/>
      <c r="G512" s="4629"/>
      <c r="H512" s="4629"/>
      <c r="I512" s="4629"/>
      <c r="J512" s="4629"/>
      <c r="K512" s="4629"/>
      <c r="L512" s="4629"/>
      <c r="M512" s="4629"/>
      <c r="N512" s="4629"/>
      <c r="O512" s="4629"/>
      <c r="P512" s="4629"/>
      <c r="Q512" s="5500"/>
      <c r="R512" s="2041"/>
      <c r="S512" s="2040"/>
      <c r="T512" s="2040"/>
      <c r="U512" s="1217"/>
      <c r="V512" s="968"/>
      <c r="W512" s="414"/>
      <c r="X512" s="973"/>
      <c r="Y512" s="974"/>
      <c r="Z512" s="974"/>
      <c r="AA512" s="969"/>
      <c r="AB512" s="170"/>
      <c r="AC512" s="282"/>
      <c r="AD512" s="403"/>
      <c r="AE512" s="1165"/>
    </row>
    <row r="513" spans="1:31" ht="30" customHeight="1">
      <c r="A513" s="5555"/>
      <c r="B513" s="5574"/>
      <c r="C513" s="4630"/>
      <c r="D513" s="4630"/>
      <c r="E513" s="4630"/>
      <c r="F513" s="4630"/>
      <c r="G513" s="4630"/>
      <c r="H513" s="4630"/>
      <c r="I513" s="4630"/>
      <c r="J513" s="4630"/>
      <c r="K513" s="4630"/>
      <c r="L513" s="4630"/>
      <c r="M513" s="4630"/>
      <c r="N513" s="4630"/>
      <c r="O513" s="4630"/>
      <c r="P513" s="4630"/>
      <c r="Q513" s="5501"/>
      <c r="R513" s="975"/>
      <c r="S513" s="2044"/>
      <c r="T513" s="2044"/>
      <c r="U513" s="411"/>
      <c r="V513" s="977"/>
      <c r="W513" s="165"/>
      <c r="X513" s="978"/>
      <c r="Y513" s="978"/>
      <c r="Z513" s="978"/>
      <c r="AA513" s="979"/>
      <c r="AB513" s="165"/>
      <c r="AC513" s="166"/>
      <c r="AD513" s="404"/>
      <c r="AE513" s="1166"/>
    </row>
    <row r="514" spans="1:31" ht="34.5" customHeight="1">
      <c r="A514" s="5555"/>
      <c r="B514" s="5572" t="s">
        <v>272</v>
      </c>
      <c r="C514" s="5566" t="s">
        <v>302</v>
      </c>
      <c r="D514" s="5566" t="s">
        <v>303</v>
      </c>
      <c r="E514" s="5566" t="s">
        <v>363</v>
      </c>
      <c r="F514" s="5567" t="s">
        <v>305</v>
      </c>
      <c r="G514" s="5566" t="s">
        <v>256</v>
      </c>
      <c r="H514" s="5566" t="s">
        <v>241</v>
      </c>
      <c r="I514" s="5568" t="s">
        <v>2748</v>
      </c>
      <c r="J514" s="5577" t="s">
        <v>2801</v>
      </c>
      <c r="K514" s="5566" t="s">
        <v>2750</v>
      </c>
      <c r="L514" s="4662">
        <v>1</v>
      </c>
      <c r="M514" s="4662">
        <v>1</v>
      </c>
      <c r="N514" s="4662">
        <v>1</v>
      </c>
      <c r="O514" s="5566" t="s">
        <v>2751</v>
      </c>
      <c r="P514" s="5566" t="s">
        <v>2752</v>
      </c>
      <c r="Q514" s="5587" t="s">
        <v>2795</v>
      </c>
      <c r="R514" s="1102"/>
      <c r="S514" s="1103"/>
      <c r="T514" s="1103"/>
      <c r="U514" s="154"/>
      <c r="V514" s="1104"/>
      <c r="W514" s="155"/>
      <c r="X514" s="1105"/>
      <c r="Y514" s="1105"/>
      <c r="Z514" s="1105"/>
      <c r="AA514" s="1106"/>
      <c r="AB514" s="155"/>
      <c r="AC514" s="156"/>
      <c r="AD514" s="402"/>
      <c r="AE514" s="1162"/>
    </row>
    <row r="515" spans="1:31" ht="34.5" customHeight="1">
      <c r="A515" s="5555"/>
      <c r="B515" s="5573"/>
      <c r="C515" s="4629"/>
      <c r="D515" s="4629"/>
      <c r="E515" s="4629"/>
      <c r="F515" s="4629"/>
      <c r="G515" s="4629"/>
      <c r="H515" s="4629"/>
      <c r="I515" s="4629"/>
      <c r="J515" s="4629"/>
      <c r="K515" s="4629"/>
      <c r="L515" s="4629"/>
      <c r="M515" s="4629"/>
      <c r="N515" s="4629"/>
      <c r="O515" s="4629"/>
      <c r="P515" s="4629"/>
      <c r="Q515" s="5500"/>
      <c r="R515" s="982"/>
      <c r="S515" s="2045"/>
      <c r="T515" s="2045"/>
      <c r="U515" s="169"/>
      <c r="V515" s="984"/>
      <c r="W515" s="170"/>
      <c r="X515" s="974"/>
      <c r="Y515" s="974"/>
      <c r="Z515" s="974"/>
      <c r="AA515" s="969"/>
      <c r="AB515" s="170"/>
      <c r="AC515" s="282"/>
      <c r="AD515" s="403"/>
      <c r="AE515" s="1163"/>
    </row>
    <row r="516" spans="1:31" ht="34.5" customHeight="1">
      <c r="A516" s="5555"/>
      <c r="B516" s="5573"/>
      <c r="C516" s="4629"/>
      <c r="D516" s="4629"/>
      <c r="E516" s="4629"/>
      <c r="F516" s="4629"/>
      <c r="G516" s="4629"/>
      <c r="H516" s="4629"/>
      <c r="I516" s="4629"/>
      <c r="J516" s="4629"/>
      <c r="K516" s="4629"/>
      <c r="L516" s="4629"/>
      <c r="M516" s="4629"/>
      <c r="N516" s="4629"/>
      <c r="O516" s="4629"/>
      <c r="P516" s="4629"/>
      <c r="Q516" s="5500"/>
      <c r="R516" s="2042"/>
      <c r="S516" s="2043"/>
      <c r="T516" s="2043"/>
      <c r="U516" s="1217"/>
      <c r="V516" s="968"/>
      <c r="W516" s="414"/>
      <c r="X516" s="973"/>
      <c r="Y516" s="974"/>
      <c r="Z516" s="974"/>
      <c r="AA516" s="969"/>
      <c r="AB516" s="170"/>
      <c r="AC516" s="282"/>
      <c r="AD516" s="403"/>
      <c r="AE516" s="1164"/>
    </row>
    <row r="517" spans="1:31" ht="34.5" customHeight="1">
      <c r="A517" s="5555"/>
      <c r="B517" s="5573"/>
      <c r="C517" s="4629"/>
      <c r="D517" s="4629"/>
      <c r="E517" s="4629"/>
      <c r="F517" s="4629"/>
      <c r="G517" s="4629"/>
      <c r="H517" s="4629"/>
      <c r="I517" s="4629"/>
      <c r="J517" s="4629"/>
      <c r="K517" s="4629"/>
      <c r="L517" s="4629"/>
      <c r="M517" s="4629"/>
      <c r="N517" s="4629"/>
      <c r="O517" s="4629"/>
      <c r="P517" s="4629"/>
      <c r="Q517" s="5500"/>
      <c r="R517" s="2041"/>
      <c r="S517" s="2040"/>
      <c r="T517" s="2040"/>
      <c r="U517" s="1217"/>
      <c r="V517" s="968"/>
      <c r="W517" s="414"/>
      <c r="X517" s="973"/>
      <c r="Y517" s="974"/>
      <c r="Z517" s="974"/>
      <c r="AA517" s="969"/>
      <c r="AB517" s="170"/>
      <c r="AC517" s="282"/>
      <c r="AD517" s="403"/>
      <c r="AE517" s="1165"/>
    </row>
    <row r="518" spans="1:31" ht="34.5" customHeight="1">
      <c r="A518" s="5555"/>
      <c r="B518" s="5574"/>
      <c r="C518" s="4630"/>
      <c r="D518" s="4630"/>
      <c r="E518" s="4630"/>
      <c r="F518" s="4630"/>
      <c r="G518" s="4630"/>
      <c r="H518" s="4630"/>
      <c r="I518" s="4630"/>
      <c r="J518" s="4630"/>
      <c r="K518" s="4630"/>
      <c r="L518" s="4630"/>
      <c r="M518" s="4630"/>
      <c r="N518" s="4630"/>
      <c r="O518" s="4630"/>
      <c r="P518" s="4630"/>
      <c r="Q518" s="5501"/>
      <c r="R518" s="975"/>
      <c r="S518" s="2044"/>
      <c r="T518" s="2044"/>
      <c r="U518" s="411"/>
      <c r="V518" s="977"/>
      <c r="W518" s="165"/>
      <c r="X518" s="978"/>
      <c r="Y518" s="978"/>
      <c r="Z518" s="978"/>
      <c r="AA518" s="979"/>
      <c r="AB518" s="165"/>
      <c r="AC518" s="166"/>
      <c r="AD518" s="404"/>
      <c r="AE518" s="1166"/>
    </row>
    <row r="519" spans="1:31" ht="34.5" customHeight="1">
      <c r="A519" s="5555"/>
      <c r="B519" s="5572" t="s">
        <v>272</v>
      </c>
      <c r="C519" s="5566" t="s">
        <v>302</v>
      </c>
      <c r="D519" s="5566" t="s">
        <v>388</v>
      </c>
      <c r="E519" s="5566" t="s">
        <v>944</v>
      </c>
      <c r="F519" s="5567" t="s">
        <v>305</v>
      </c>
      <c r="G519" s="5566" t="s">
        <v>306</v>
      </c>
      <c r="H519" s="5566" t="s">
        <v>278</v>
      </c>
      <c r="I519" s="5568" t="s">
        <v>2753</v>
      </c>
      <c r="J519" s="5577" t="s">
        <v>2802</v>
      </c>
      <c r="K519" s="5566" t="s">
        <v>2755</v>
      </c>
      <c r="L519" s="4662">
        <v>1</v>
      </c>
      <c r="M519" s="4662">
        <v>1</v>
      </c>
      <c r="N519" s="4662">
        <v>1</v>
      </c>
      <c r="O519" s="5566" t="s">
        <v>2697</v>
      </c>
      <c r="P519" s="5566" t="s">
        <v>2698</v>
      </c>
      <c r="Q519" s="5587" t="s">
        <v>2795</v>
      </c>
      <c r="R519" s="1102"/>
      <c r="S519" s="1103"/>
      <c r="T519" s="1103"/>
      <c r="U519" s="154"/>
      <c r="V519" s="1104"/>
      <c r="W519" s="155"/>
      <c r="X519" s="1105"/>
      <c r="Y519" s="1105"/>
      <c r="Z519" s="1105"/>
      <c r="AA519" s="1106"/>
      <c r="AB519" s="155"/>
      <c r="AC519" s="156"/>
      <c r="AD519" s="402"/>
      <c r="AE519" s="1162"/>
    </row>
    <row r="520" spans="1:31" ht="34.5" customHeight="1">
      <c r="A520" s="5555"/>
      <c r="B520" s="5573"/>
      <c r="C520" s="4629"/>
      <c r="D520" s="4629"/>
      <c r="E520" s="4629"/>
      <c r="F520" s="4629"/>
      <c r="G520" s="4629"/>
      <c r="H520" s="4629"/>
      <c r="I520" s="4629"/>
      <c r="J520" s="4629"/>
      <c r="K520" s="4629"/>
      <c r="L520" s="4629"/>
      <c r="M520" s="4629"/>
      <c r="N520" s="4629"/>
      <c r="O520" s="4629"/>
      <c r="P520" s="4629"/>
      <c r="Q520" s="5500"/>
      <c r="R520" s="982"/>
      <c r="S520" s="2045"/>
      <c r="T520" s="2045"/>
      <c r="U520" s="169"/>
      <c r="V520" s="984"/>
      <c r="W520" s="170"/>
      <c r="X520" s="974"/>
      <c r="Y520" s="974"/>
      <c r="Z520" s="974"/>
      <c r="AA520" s="969"/>
      <c r="AB520" s="170"/>
      <c r="AC520" s="282"/>
      <c r="AD520" s="403"/>
      <c r="AE520" s="1163"/>
    </row>
    <row r="521" spans="1:31" ht="34.5" customHeight="1">
      <c r="A521" s="5555"/>
      <c r="B521" s="5573"/>
      <c r="C521" s="4629"/>
      <c r="D521" s="4629"/>
      <c r="E521" s="4629"/>
      <c r="F521" s="4629"/>
      <c r="G521" s="4629"/>
      <c r="H521" s="4629"/>
      <c r="I521" s="4629"/>
      <c r="J521" s="4629"/>
      <c r="K521" s="4629"/>
      <c r="L521" s="4629"/>
      <c r="M521" s="4629"/>
      <c r="N521" s="4629"/>
      <c r="O521" s="4629"/>
      <c r="P521" s="4629"/>
      <c r="Q521" s="5500"/>
      <c r="R521" s="2042"/>
      <c r="S521" s="2043"/>
      <c r="T521" s="2043"/>
      <c r="U521" s="1217"/>
      <c r="V521" s="968"/>
      <c r="W521" s="414"/>
      <c r="X521" s="973"/>
      <c r="Y521" s="974"/>
      <c r="Z521" s="974"/>
      <c r="AA521" s="969"/>
      <c r="AB521" s="170"/>
      <c r="AC521" s="282"/>
      <c r="AD521" s="403"/>
      <c r="AE521" s="1164"/>
    </row>
    <row r="522" spans="1:31" ht="34.5" customHeight="1">
      <c r="A522" s="5555"/>
      <c r="B522" s="5573"/>
      <c r="C522" s="4629"/>
      <c r="D522" s="4629"/>
      <c r="E522" s="4629"/>
      <c r="F522" s="4629"/>
      <c r="G522" s="4629"/>
      <c r="H522" s="4629"/>
      <c r="I522" s="4629"/>
      <c r="J522" s="4629"/>
      <c r="K522" s="4629"/>
      <c r="L522" s="4629"/>
      <c r="M522" s="4629"/>
      <c r="N522" s="4629"/>
      <c r="O522" s="4629"/>
      <c r="P522" s="4629"/>
      <c r="Q522" s="5500"/>
      <c r="R522" s="2041"/>
      <c r="S522" s="2040"/>
      <c r="T522" s="2040"/>
      <c r="U522" s="1217"/>
      <c r="V522" s="968"/>
      <c r="W522" s="414"/>
      <c r="X522" s="973"/>
      <c r="Y522" s="974"/>
      <c r="Z522" s="974"/>
      <c r="AA522" s="969"/>
      <c r="AB522" s="170"/>
      <c r="AC522" s="282"/>
      <c r="AD522" s="403"/>
      <c r="AE522" s="1165"/>
    </row>
    <row r="523" spans="1:31" ht="34.5" customHeight="1">
      <c r="A523" s="5555"/>
      <c r="B523" s="5574"/>
      <c r="C523" s="4630"/>
      <c r="D523" s="4630"/>
      <c r="E523" s="4630"/>
      <c r="F523" s="4630"/>
      <c r="G523" s="4630"/>
      <c r="H523" s="4630"/>
      <c r="I523" s="4630"/>
      <c r="J523" s="4630"/>
      <c r="K523" s="4630"/>
      <c r="L523" s="4630"/>
      <c r="M523" s="4630"/>
      <c r="N523" s="4630"/>
      <c r="O523" s="4630"/>
      <c r="P523" s="4630"/>
      <c r="Q523" s="5501"/>
      <c r="R523" s="975"/>
      <c r="S523" s="2044"/>
      <c r="T523" s="2044"/>
      <c r="U523" s="411"/>
      <c r="V523" s="977"/>
      <c r="W523" s="165"/>
      <c r="X523" s="978"/>
      <c r="Y523" s="978"/>
      <c r="Z523" s="978"/>
      <c r="AA523" s="979"/>
      <c r="AB523" s="165"/>
      <c r="AC523" s="166"/>
      <c r="AD523" s="404"/>
      <c r="AE523" s="1166"/>
    </row>
    <row r="524" spans="1:31" ht="34.5" customHeight="1">
      <c r="A524" s="5555"/>
      <c r="B524" s="5572" t="s">
        <v>272</v>
      </c>
      <c r="C524" s="5566" t="s">
        <v>302</v>
      </c>
      <c r="D524" s="5566" t="s">
        <v>303</v>
      </c>
      <c r="E524" s="5566" t="s">
        <v>363</v>
      </c>
      <c r="F524" s="5567" t="s">
        <v>305</v>
      </c>
      <c r="G524" s="5566" t="s">
        <v>306</v>
      </c>
      <c r="H524" s="5566" t="s">
        <v>278</v>
      </c>
      <c r="I524" s="5568" t="s">
        <v>2756</v>
      </c>
      <c r="J524" s="5577" t="s">
        <v>2803</v>
      </c>
      <c r="K524" s="5566" t="s">
        <v>2758</v>
      </c>
      <c r="L524" s="4662">
        <v>1</v>
      </c>
      <c r="M524" s="4662">
        <v>1</v>
      </c>
      <c r="N524" s="4662">
        <v>1</v>
      </c>
      <c r="O524" s="5566" t="s">
        <v>2759</v>
      </c>
      <c r="P524" s="5566" t="s">
        <v>2760</v>
      </c>
      <c r="Q524" s="5587" t="s">
        <v>2795</v>
      </c>
      <c r="R524" s="1102"/>
      <c r="S524" s="1103"/>
      <c r="T524" s="1103"/>
      <c r="U524" s="154"/>
      <c r="V524" s="1104"/>
      <c r="W524" s="155"/>
      <c r="X524" s="1105"/>
      <c r="Y524" s="1105"/>
      <c r="Z524" s="1105"/>
      <c r="AA524" s="1106"/>
      <c r="AB524" s="155"/>
      <c r="AC524" s="156"/>
      <c r="AD524" s="402"/>
      <c r="AE524" s="1162"/>
    </row>
    <row r="525" spans="1:31" ht="34.5" customHeight="1">
      <c r="A525" s="5555"/>
      <c r="B525" s="5573"/>
      <c r="C525" s="4629"/>
      <c r="D525" s="4629"/>
      <c r="E525" s="4629"/>
      <c r="F525" s="4629"/>
      <c r="G525" s="4629"/>
      <c r="H525" s="4629"/>
      <c r="I525" s="4629"/>
      <c r="J525" s="4629"/>
      <c r="K525" s="4629"/>
      <c r="L525" s="4629"/>
      <c r="M525" s="4629"/>
      <c r="N525" s="4629"/>
      <c r="O525" s="4629"/>
      <c r="P525" s="4629"/>
      <c r="Q525" s="5500"/>
      <c r="R525" s="982"/>
      <c r="S525" s="2045"/>
      <c r="T525" s="2045"/>
      <c r="U525" s="169"/>
      <c r="V525" s="984"/>
      <c r="W525" s="170"/>
      <c r="X525" s="974"/>
      <c r="Y525" s="974"/>
      <c r="Z525" s="974"/>
      <c r="AA525" s="969"/>
      <c r="AB525" s="170"/>
      <c r="AC525" s="282"/>
      <c r="AD525" s="403"/>
      <c r="AE525" s="1163"/>
    </row>
    <row r="526" spans="1:31" ht="34.5" customHeight="1">
      <c r="A526" s="5555"/>
      <c r="B526" s="5573"/>
      <c r="C526" s="4629"/>
      <c r="D526" s="4629"/>
      <c r="E526" s="4629"/>
      <c r="F526" s="4629"/>
      <c r="G526" s="4629"/>
      <c r="H526" s="4629"/>
      <c r="I526" s="4629"/>
      <c r="J526" s="4629"/>
      <c r="K526" s="4629"/>
      <c r="L526" s="4629"/>
      <c r="M526" s="4629"/>
      <c r="N526" s="4629"/>
      <c r="O526" s="4629"/>
      <c r="P526" s="4629"/>
      <c r="Q526" s="5500"/>
      <c r="R526" s="2042"/>
      <c r="S526" s="2043"/>
      <c r="T526" s="2043"/>
      <c r="U526" s="1217"/>
      <c r="V526" s="968"/>
      <c r="W526" s="414"/>
      <c r="X526" s="973"/>
      <c r="Y526" s="974"/>
      <c r="Z526" s="974"/>
      <c r="AA526" s="969"/>
      <c r="AB526" s="170"/>
      <c r="AC526" s="282"/>
      <c r="AD526" s="403"/>
      <c r="AE526" s="1164"/>
    </row>
    <row r="527" spans="1:31" ht="34.5" customHeight="1">
      <c r="A527" s="5555"/>
      <c r="B527" s="5573"/>
      <c r="C527" s="4629"/>
      <c r="D527" s="4629"/>
      <c r="E527" s="4629"/>
      <c r="F527" s="4629"/>
      <c r="G527" s="4629"/>
      <c r="H527" s="4629"/>
      <c r="I527" s="4629"/>
      <c r="J527" s="4629"/>
      <c r="K527" s="4629"/>
      <c r="L527" s="4629"/>
      <c r="M527" s="4629"/>
      <c r="N527" s="4629"/>
      <c r="O527" s="4629"/>
      <c r="P527" s="4629"/>
      <c r="Q527" s="5500"/>
      <c r="R527" s="2041"/>
      <c r="S527" s="2040"/>
      <c r="T527" s="2040"/>
      <c r="U527" s="1217"/>
      <c r="V527" s="968"/>
      <c r="W527" s="414"/>
      <c r="X527" s="973"/>
      <c r="Y527" s="974"/>
      <c r="Z527" s="974"/>
      <c r="AA527" s="969"/>
      <c r="AB527" s="170"/>
      <c r="AC527" s="282"/>
      <c r="AD527" s="403"/>
      <c r="AE527" s="1165"/>
    </row>
    <row r="528" spans="1:31" ht="34.5" customHeight="1">
      <c r="A528" s="5555"/>
      <c r="B528" s="5574"/>
      <c r="C528" s="4630"/>
      <c r="D528" s="4630"/>
      <c r="E528" s="4630"/>
      <c r="F528" s="4630"/>
      <c r="G528" s="4630"/>
      <c r="H528" s="4630"/>
      <c r="I528" s="4630"/>
      <c r="J528" s="4630"/>
      <c r="K528" s="4630"/>
      <c r="L528" s="4630"/>
      <c r="M528" s="4630"/>
      <c r="N528" s="4630"/>
      <c r="O528" s="4630"/>
      <c r="P528" s="4630"/>
      <c r="Q528" s="5501"/>
      <c r="R528" s="975"/>
      <c r="S528" s="2044"/>
      <c r="T528" s="2044"/>
      <c r="U528" s="411"/>
      <c r="V528" s="977"/>
      <c r="W528" s="165"/>
      <c r="X528" s="978"/>
      <c r="Y528" s="978"/>
      <c r="Z528" s="978"/>
      <c r="AA528" s="979"/>
      <c r="AB528" s="165"/>
      <c r="AC528" s="166"/>
      <c r="AD528" s="404"/>
      <c r="AE528" s="1166"/>
    </row>
    <row r="529" spans="1:31" ht="34.5" customHeight="1">
      <c r="A529" s="5555"/>
      <c r="B529" s="5572" t="s">
        <v>272</v>
      </c>
      <c r="C529" s="5566" t="s">
        <v>302</v>
      </c>
      <c r="D529" s="5566" t="s">
        <v>388</v>
      </c>
      <c r="E529" s="5566" t="s">
        <v>944</v>
      </c>
      <c r="F529" s="5567" t="s">
        <v>305</v>
      </c>
      <c r="G529" s="5566" t="s">
        <v>306</v>
      </c>
      <c r="H529" s="5566" t="s">
        <v>241</v>
      </c>
      <c r="I529" s="5568" t="s">
        <v>2761</v>
      </c>
      <c r="J529" s="5577" t="s">
        <v>2804</v>
      </c>
      <c r="K529" s="5566" t="s">
        <v>2763</v>
      </c>
      <c r="L529" s="4662">
        <v>1</v>
      </c>
      <c r="M529" s="4662">
        <v>1</v>
      </c>
      <c r="N529" s="4662">
        <v>1</v>
      </c>
      <c r="O529" s="5566" t="s">
        <v>2764</v>
      </c>
      <c r="P529" s="5566" t="s">
        <v>2765</v>
      </c>
      <c r="Q529" s="5587" t="s">
        <v>2795</v>
      </c>
      <c r="R529" s="1102"/>
      <c r="S529" s="1103"/>
      <c r="T529" s="1103"/>
      <c r="U529" s="154"/>
      <c r="V529" s="1104"/>
      <c r="W529" s="155"/>
      <c r="X529" s="1105"/>
      <c r="Y529" s="1105"/>
      <c r="Z529" s="1105"/>
      <c r="AA529" s="1106"/>
      <c r="AB529" s="155"/>
      <c r="AC529" s="156"/>
      <c r="AD529" s="402"/>
      <c r="AE529" s="1162"/>
    </row>
    <row r="530" spans="1:31" ht="34.5" customHeight="1">
      <c r="A530" s="5555"/>
      <c r="B530" s="5573"/>
      <c r="C530" s="4629"/>
      <c r="D530" s="4629"/>
      <c r="E530" s="4629"/>
      <c r="F530" s="4629"/>
      <c r="G530" s="4629"/>
      <c r="H530" s="4629"/>
      <c r="I530" s="4629"/>
      <c r="J530" s="4629"/>
      <c r="K530" s="4629"/>
      <c r="L530" s="4629"/>
      <c r="M530" s="4629"/>
      <c r="N530" s="4629"/>
      <c r="O530" s="4629"/>
      <c r="P530" s="4629"/>
      <c r="Q530" s="5500"/>
      <c r="R530" s="982"/>
      <c r="S530" s="2045"/>
      <c r="T530" s="2045"/>
      <c r="U530" s="169"/>
      <c r="V530" s="984"/>
      <c r="W530" s="170"/>
      <c r="X530" s="974"/>
      <c r="Y530" s="974"/>
      <c r="Z530" s="974"/>
      <c r="AA530" s="969"/>
      <c r="AB530" s="170"/>
      <c r="AC530" s="282"/>
      <c r="AD530" s="403"/>
      <c r="AE530" s="1163"/>
    </row>
    <row r="531" spans="1:31" ht="34.5" customHeight="1">
      <c r="A531" s="5555"/>
      <c r="B531" s="5573"/>
      <c r="C531" s="4629"/>
      <c r="D531" s="4629"/>
      <c r="E531" s="4629"/>
      <c r="F531" s="4629"/>
      <c r="G531" s="4629"/>
      <c r="H531" s="4629"/>
      <c r="I531" s="4629"/>
      <c r="J531" s="4629"/>
      <c r="K531" s="4629"/>
      <c r="L531" s="4629"/>
      <c r="M531" s="4629"/>
      <c r="N531" s="4629"/>
      <c r="O531" s="4629"/>
      <c r="P531" s="4629"/>
      <c r="Q531" s="5500"/>
      <c r="R531" s="2042"/>
      <c r="S531" s="2043"/>
      <c r="T531" s="2043"/>
      <c r="U531" s="1217"/>
      <c r="V531" s="968"/>
      <c r="W531" s="414"/>
      <c r="X531" s="973"/>
      <c r="Y531" s="974"/>
      <c r="Z531" s="974"/>
      <c r="AA531" s="969"/>
      <c r="AB531" s="170"/>
      <c r="AC531" s="282"/>
      <c r="AD531" s="403"/>
      <c r="AE531" s="1164"/>
    </row>
    <row r="532" spans="1:31" ht="34.5" customHeight="1">
      <c r="A532" s="5555"/>
      <c r="B532" s="5573"/>
      <c r="C532" s="4629"/>
      <c r="D532" s="4629"/>
      <c r="E532" s="4629"/>
      <c r="F532" s="4629"/>
      <c r="G532" s="4629"/>
      <c r="H532" s="4629"/>
      <c r="I532" s="4629"/>
      <c r="J532" s="4629"/>
      <c r="K532" s="4629"/>
      <c r="L532" s="4629"/>
      <c r="M532" s="4629"/>
      <c r="N532" s="4629"/>
      <c r="O532" s="4629"/>
      <c r="P532" s="4629"/>
      <c r="Q532" s="5500"/>
      <c r="R532" s="2041"/>
      <c r="S532" s="2040"/>
      <c r="T532" s="2040"/>
      <c r="U532" s="1217"/>
      <c r="V532" s="968"/>
      <c r="W532" s="414"/>
      <c r="X532" s="973"/>
      <c r="Y532" s="974"/>
      <c r="Z532" s="974"/>
      <c r="AA532" s="969"/>
      <c r="AB532" s="170"/>
      <c r="AC532" s="282"/>
      <c r="AD532" s="403"/>
      <c r="AE532" s="1165"/>
    </row>
    <row r="533" spans="1:31" ht="34.5" customHeight="1">
      <c r="A533" s="5555"/>
      <c r="B533" s="5574"/>
      <c r="C533" s="4630"/>
      <c r="D533" s="4630"/>
      <c r="E533" s="4630"/>
      <c r="F533" s="4630"/>
      <c r="G533" s="4630"/>
      <c r="H533" s="4630"/>
      <c r="I533" s="4630"/>
      <c r="J533" s="4630"/>
      <c r="K533" s="4630"/>
      <c r="L533" s="4630"/>
      <c r="M533" s="4630"/>
      <c r="N533" s="4630"/>
      <c r="O533" s="4630"/>
      <c r="P533" s="4630"/>
      <c r="Q533" s="5501"/>
      <c r="R533" s="975"/>
      <c r="S533" s="2044"/>
      <c r="T533" s="2044"/>
      <c r="U533" s="411"/>
      <c r="V533" s="977"/>
      <c r="W533" s="165"/>
      <c r="X533" s="978"/>
      <c r="Y533" s="978"/>
      <c r="Z533" s="978"/>
      <c r="AA533" s="979"/>
      <c r="AB533" s="165"/>
      <c r="AC533" s="166"/>
      <c r="AD533" s="404"/>
      <c r="AE533" s="1166"/>
    </row>
    <row r="534" spans="1:31" ht="34.5" customHeight="1">
      <c r="A534" s="5555"/>
      <c r="B534" s="5572" t="s">
        <v>272</v>
      </c>
      <c r="C534" s="5566" t="s">
        <v>236</v>
      </c>
      <c r="D534" s="5566" t="s">
        <v>303</v>
      </c>
      <c r="E534" s="5566" t="s">
        <v>363</v>
      </c>
      <c r="F534" s="5567" t="s">
        <v>305</v>
      </c>
      <c r="G534" s="5569" t="s">
        <v>262</v>
      </c>
      <c r="H534" s="5566" t="s">
        <v>241</v>
      </c>
      <c r="I534" s="5568" t="s">
        <v>2766</v>
      </c>
      <c r="J534" s="5577" t="s">
        <v>2805</v>
      </c>
      <c r="K534" s="5566" t="s">
        <v>2768</v>
      </c>
      <c r="L534" s="4662">
        <v>1</v>
      </c>
      <c r="M534" s="4662">
        <v>1</v>
      </c>
      <c r="N534" s="4662">
        <v>1</v>
      </c>
      <c r="O534" s="5566" t="s">
        <v>2769</v>
      </c>
      <c r="P534" s="5566" t="s">
        <v>2770</v>
      </c>
      <c r="Q534" s="5587" t="s">
        <v>2795</v>
      </c>
      <c r="R534" s="1102"/>
      <c r="S534" s="1103"/>
      <c r="T534" s="1103"/>
      <c r="U534" s="154"/>
      <c r="V534" s="1104"/>
      <c r="W534" s="155"/>
      <c r="X534" s="1105"/>
      <c r="Y534" s="1105"/>
      <c r="Z534" s="1105"/>
      <c r="AA534" s="1106"/>
      <c r="AB534" s="155"/>
      <c r="AC534" s="156"/>
      <c r="AD534" s="402"/>
      <c r="AE534" s="1162"/>
    </row>
    <row r="535" spans="1:31" ht="34.5" customHeight="1">
      <c r="A535" s="5555"/>
      <c r="B535" s="5573"/>
      <c r="C535" s="4629"/>
      <c r="D535" s="4629"/>
      <c r="E535" s="4629"/>
      <c r="F535" s="4629"/>
      <c r="G535" s="4629"/>
      <c r="H535" s="4629"/>
      <c r="I535" s="4629"/>
      <c r="J535" s="4629"/>
      <c r="K535" s="4629"/>
      <c r="L535" s="4629"/>
      <c r="M535" s="4629"/>
      <c r="N535" s="4629"/>
      <c r="O535" s="4629"/>
      <c r="P535" s="4629"/>
      <c r="Q535" s="5500"/>
      <c r="R535" s="982"/>
      <c r="S535" s="2045"/>
      <c r="T535" s="2045"/>
      <c r="U535" s="169"/>
      <c r="V535" s="984"/>
      <c r="W535" s="170"/>
      <c r="X535" s="974"/>
      <c r="Y535" s="974"/>
      <c r="Z535" s="974"/>
      <c r="AA535" s="969"/>
      <c r="AB535" s="170"/>
      <c r="AC535" s="282"/>
      <c r="AD535" s="403"/>
      <c r="AE535" s="1163"/>
    </row>
    <row r="536" spans="1:31" ht="34.5" customHeight="1">
      <c r="A536" s="5555"/>
      <c r="B536" s="5573"/>
      <c r="C536" s="4629"/>
      <c r="D536" s="4629"/>
      <c r="E536" s="4629"/>
      <c r="F536" s="4629"/>
      <c r="G536" s="4629"/>
      <c r="H536" s="4629"/>
      <c r="I536" s="4629"/>
      <c r="J536" s="4629"/>
      <c r="K536" s="4629"/>
      <c r="L536" s="4629"/>
      <c r="M536" s="4629"/>
      <c r="N536" s="4629"/>
      <c r="O536" s="4629"/>
      <c r="P536" s="4629"/>
      <c r="Q536" s="5500"/>
      <c r="R536" s="2042"/>
      <c r="S536" s="2043"/>
      <c r="T536" s="2043"/>
      <c r="U536" s="1217"/>
      <c r="V536" s="968"/>
      <c r="W536" s="414"/>
      <c r="X536" s="973"/>
      <c r="Y536" s="974"/>
      <c r="Z536" s="974"/>
      <c r="AA536" s="969"/>
      <c r="AB536" s="170"/>
      <c r="AC536" s="282"/>
      <c r="AD536" s="403"/>
      <c r="AE536" s="1164"/>
    </row>
    <row r="537" spans="1:31" ht="34.5" customHeight="1">
      <c r="A537" s="5555"/>
      <c r="B537" s="5573"/>
      <c r="C537" s="4629"/>
      <c r="D537" s="4629"/>
      <c r="E537" s="4629"/>
      <c r="F537" s="4629"/>
      <c r="G537" s="4629"/>
      <c r="H537" s="4629"/>
      <c r="I537" s="4629"/>
      <c r="J537" s="4629"/>
      <c r="K537" s="4629"/>
      <c r="L537" s="4629"/>
      <c r="M537" s="4629"/>
      <c r="N537" s="4629"/>
      <c r="O537" s="4629"/>
      <c r="P537" s="4629"/>
      <c r="Q537" s="5500"/>
      <c r="R537" s="2041"/>
      <c r="S537" s="2040"/>
      <c r="T537" s="2040"/>
      <c r="U537" s="1217"/>
      <c r="V537" s="968"/>
      <c r="W537" s="414"/>
      <c r="X537" s="973"/>
      <c r="Y537" s="974"/>
      <c r="Z537" s="974"/>
      <c r="AA537" s="969"/>
      <c r="AB537" s="170"/>
      <c r="AC537" s="282"/>
      <c r="AD537" s="403"/>
      <c r="AE537" s="1165"/>
    </row>
    <row r="538" spans="1:31" ht="34.5" customHeight="1">
      <c r="A538" s="5555"/>
      <c r="B538" s="5574"/>
      <c r="C538" s="4630"/>
      <c r="D538" s="4630"/>
      <c r="E538" s="4630"/>
      <c r="F538" s="4630"/>
      <c r="G538" s="4630"/>
      <c r="H538" s="4630"/>
      <c r="I538" s="4630"/>
      <c r="J538" s="4630"/>
      <c r="K538" s="4630"/>
      <c r="L538" s="4630"/>
      <c r="M538" s="4630"/>
      <c r="N538" s="4630"/>
      <c r="O538" s="4630"/>
      <c r="P538" s="4630"/>
      <c r="Q538" s="5501"/>
      <c r="R538" s="975"/>
      <c r="S538" s="2044"/>
      <c r="T538" s="2044"/>
      <c r="U538" s="411"/>
      <c r="V538" s="977"/>
      <c r="W538" s="165"/>
      <c r="X538" s="978"/>
      <c r="Y538" s="978"/>
      <c r="Z538" s="978"/>
      <c r="AA538" s="979"/>
      <c r="AB538" s="165"/>
      <c r="AC538" s="166"/>
      <c r="AD538" s="404"/>
      <c r="AE538" s="1166"/>
    </row>
    <row r="539" spans="1:31" ht="34.5" customHeight="1">
      <c r="A539" s="5555"/>
      <c r="B539" s="5572" t="s">
        <v>272</v>
      </c>
      <c r="C539" s="5566" t="s">
        <v>302</v>
      </c>
      <c r="D539" s="5566" t="s">
        <v>388</v>
      </c>
      <c r="E539" s="5566" t="s">
        <v>944</v>
      </c>
      <c r="F539" s="5567" t="s">
        <v>305</v>
      </c>
      <c r="G539" s="5569" t="s">
        <v>306</v>
      </c>
      <c r="H539" s="5566" t="s">
        <v>257</v>
      </c>
      <c r="I539" s="5568" t="s">
        <v>2771</v>
      </c>
      <c r="J539" s="5577" t="s">
        <v>2806</v>
      </c>
      <c r="K539" s="5566" t="s">
        <v>2773</v>
      </c>
      <c r="L539" s="4662">
        <v>1</v>
      </c>
      <c r="M539" s="4662">
        <v>1</v>
      </c>
      <c r="N539" s="4662">
        <v>1</v>
      </c>
      <c r="O539" s="5566" t="s">
        <v>2774</v>
      </c>
      <c r="P539" s="5566" t="s">
        <v>2775</v>
      </c>
      <c r="Q539" s="5587" t="s">
        <v>2795</v>
      </c>
      <c r="R539" s="1102"/>
      <c r="S539" s="1103"/>
      <c r="T539" s="1103"/>
      <c r="U539" s="154"/>
      <c r="V539" s="1104"/>
      <c r="W539" s="155"/>
      <c r="X539" s="1105"/>
      <c r="Y539" s="1105"/>
      <c r="Z539" s="1105"/>
      <c r="AA539" s="1106"/>
      <c r="AB539" s="155"/>
      <c r="AC539" s="156"/>
      <c r="AD539" s="402"/>
      <c r="AE539" s="1162"/>
    </row>
    <row r="540" spans="1:31" ht="34.5" customHeight="1">
      <c r="A540" s="5555"/>
      <c r="B540" s="5573"/>
      <c r="C540" s="4629"/>
      <c r="D540" s="4629"/>
      <c r="E540" s="4629"/>
      <c r="F540" s="4629"/>
      <c r="G540" s="4629"/>
      <c r="H540" s="4629"/>
      <c r="I540" s="4629"/>
      <c r="J540" s="4629"/>
      <c r="K540" s="4629"/>
      <c r="L540" s="4629"/>
      <c r="M540" s="4629"/>
      <c r="N540" s="4629"/>
      <c r="O540" s="4629"/>
      <c r="P540" s="4629"/>
      <c r="Q540" s="5500"/>
      <c r="R540" s="982"/>
      <c r="S540" s="2045"/>
      <c r="T540" s="2045"/>
      <c r="U540" s="169"/>
      <c r="V540" s="984"/>
      <c r="W540" s="170"/>
      <c r="X540" s="974"/>
      <c r="Y540" s="974"/>
      <c r="Z540" s="974"/>
      <c r="AA540" s="969"/>
      <c r="AB540" s="170"/>
      <c r="AC540" s="282"/>
      <c r="AD540" s="403"/>
      <c r="AE540" s="1163"/>
    </row>
    <row r="541" spans="1:31" ht="34.5" customHeight="1">
      <c r="A541" s="5555"/>
      <c r="B541" s="5573"/>
      <c r="C541" s="4629"/>
      <c r="D541" s="4629"/>
      <c r="E541" s="4629"/>
      <c r="F541" s="4629"/>
      <c r="G541" s="4629"/>
      <c r="H541" s="4629"/>
      <c r="I541" s="4629"/>
      <c r="J541" s="4629"/>
      <c r="K541" s="4629"/>
      <c r="L541" s="4629"/>
      <c r="M541" s="4629"/>
      <c r="N541" s="4629"/>
      <c r="O541" s="4629"/>
      <c r="P541" s="4629"/>
      <c r="Q541" s="5500"/>
      <c r="R541" s="2042"/>
      <c r="S541" s="2043"/>
      <c r="T541" s="2043"/>
      <c r="U541" s="1217"/>
      <c r="V541" s="968"/>
      <c r="W541" s="414"/>
      <c r="X541" s="973"/>
      <c r="Y541" s="974"/>
      <c r="Z541" s="974"/>
      <c r="AA541" s="969"/>
      <c r="AB541" s="170"/>
      <c r="AC541" s="282"/>
      <c r="AD541" s="403"/>
      <c r="AE541" s="1164"/>
    </row>
    <row r="542" spans="1:31" ht="34.5" customHeight="1">
      <c r="A542" s="5555"/>
      <c r="B542" s="5573"/>
      <c r="C542" s="4629"/>
      <c r="D542" s="4629"/>
      <c r="E542" s="4629"/>
      <c r="F542" s="4629"/>
      <c r="G542" s="4629"/>
      <c r="H542" s="4629"/>
      <c r="I542" s="4629"/>
      <c r="J542" s="4629"/>
      <c r="K542" s="4629"/>
      <c r="L542" s="4629"/>
      <c r="M542" s="4629"/>
      <c r="N542" s="4629"/>
      <c r="O542" s="4629"/>
      <c r="P542" s="4629"/>
      <c r="Q542" s="5500"/>
      <c r="R542" s="2041"/>
      <c r="S542" s="2040"/>
      <c r="T542" s="2040"/>
      <c r="U542" s="1217"/>
      <c r="V542" s="968"/>
      <c r="W542" s="414"/>
      <c r="X542" s="973"/>
      <c r="Y542" s="974"/>
      <c r="Z542" s="974"/>
      <c r="AA542" s="969"/>
      <c r="AB542" s="170"/>
      <c r="AC542" s="282"/>
      <c r="AD542" s="403"/>
      <c r="AE542" s="1165"/>
    </row>
    <row r="543" spans="1:31" ht="34.5" customHeight="1">
      <c r="A543" s="5555"/>
      <c r="B543" s="5574"/>
      <c r="C543" s="4630"/>
      <c r="D543" s="4630"/>
      <c r="E543" s="4630"/>
      <c r="F543" s="4630"/>
      <c r="G543" s="4630"/>
      <c r="H543" s="4630"/>
      <c r="I543" s="4630"/>
      <c r="J543" s="4630"/>
      <c r="K543" s="4630"/>
      <c r="L543" s="4630"/>
      <c r="M543" s="4630"/>
      <c r="N543" s="4630"/>
      <c r="O543" s="4630"/>
      <c r="P543" s="4630"/>
      <c r="Q543" s="5501"/>
      <c r="R543" s="975"/>
      <c r="S543" s="2044"/>
      <c r="T543" s="2044"/>
      <c r="U543" s="411"/>
      <c r="V543" s="977"/>
      <c r="W543" s="165"/>
      <c r="X543" s="978"/>
      <c r="Y543" s="978"/>
      <c r="Z543" s="978"/>
      <c r="AA543" s="979"/>
      <c r="AB543" s="165"/>
      <c r="AC543" s="166"/>
      <c r="AD543" s="404"/>
      <c r="AE543" s="1166"/>
    </row>
    <row r="544" spans="1:31" ht="30" customHeight="1">
      <c r="A544" s="5555"/>
      <c r="B544" s="5572" t="s">
        <v>272</v>
      </c>
      <c r="C544" s="5566" t="s">
        <v>302</v>
      </c>
      <c r="D544" s="5566" t="s">
        <v>303</v>
      </c>
      <c r="E544" s="5566" t="s">
        <v>318</v>
      </c>
      <c r="F544" s="5567" t="s">
        <v>305</v>
      </c>
      <c r="G544" s="5569" t="s">
        <v>306</v>
      </c>
      <c r="H544" s="5566" t="s">
        <v>278</v>
      </c>
      <c r="I544" s="5568" t="s">
        <v>2776</v>
      </c>
      <c r="J544" s="5577" t="s">
        <v>2807</v>
      </c>
      <c r="K544" s="5566" t="s">
        <v>2778</v>
      </c>
      <c r="L544" s="4662">
        <v>1</v>
      </c>
      <c r="M544" s="4662">
        <v>1</v>
      </c>
      <c r="N544" s="4662">
        <v>1</v>
      </c>
      <c r="O544" s="5566" t="s">
        <v>2779</v>
      </c>
      <c r="P544" s="5566" t="s">
        <v>2780</v>
      </c>
      <c r="Q544" s="5587" t="s">
        <v>2795</v>
      </c>
      <c r="R544" s="1102"/>
      <c r="S544" s="1103"/>
      <c r="T544" s="1103"/>
      <c r="U544" s="154"/>
      <c r="V544" s="1104"/>
      <c r="W544" s="155"/>
      <c r="X544" s="1105"/>
      <c r="Y544" s="1105"/>
      <c r="Z544" s="1105"/>
      <c r="AA544" s="1106"/>
      <c r="AB544" s="155"/>
      <c r="AC544" s="156"/>
      <c r="AD544" s="402"/>
      <c r="AE544" s="1162"/>
    </row>
    <row r="545" spans="1:31" ht="30" customHeight="1">
      <c r="A545" s="5555"/>
      <c r="B545" s="5573"/>
      <c r="C545" s="4629"/>
      <c r="D545" s="4629"/>
      <c r="E545" s="4629"/>
      <c r="F545" s="4629"/>
      <c r="G545" s="4629"/>
      <c r="H545" s="4629"/>
      <c r="I545" s="4629"/>
      <c r="J545" s="4629"/>
      <c r="K545" s="4629"/>
      <c r="L545" s="4629"/>
      <c r="M545" s="4629"/>
      <c r="N545" s="4629"/>
      <c r="O545" s="4629"/>
      <c r="P545" s="4629"/>
      <c r="Q545" s="5500"/>
      <c r="R545" s="982"/>
      <c r="S545" s="2045"/>
      <c r="T545" s="2045"/>
      <c r="U545" s="169"/>
      <c r="V545" s="984"/>
      <c r="W545" s="170"/>
      <c r="X545" s="974"/>
      <c r="Y545" s="974"/>
      <c r="Z545" s="974"/>
      <c r="AA545" s="969"/>
      <c r="AB545" s="170"/>
      <c r="AC545" s="282"/>
      <c r="AD545" s="403"/>
      <c r="AE545" s="1163"/>
    </row>
    <row r="546" spans="1:31" ht="30" customHeight="1">
      <c r="A546" s="5555"/>
      <c r="B546" s="5573"/>
      <c r="C546" s="4629"/>
      <c r="D546" s="4629"/>
      <c r="E546" s="4629"/>
      <c r="F546" s="4629"/>
      <c r="G546" s="4629"/>
      <c r="H546" s="4629"/>
      <c r="I546" s="4629"/>
      <c r="J546" s="4629"/>
      <c r="K546" s="4629"/>
      <c r="L546" s="4629"/>
      <c r="M546" s="4629"/>
      <c r="N546" s="4629"/>
      <c r="O546" s="4629"/>
      <c r="P546" s="4629"/>
      <c r="Q546" s="5500"/>
      <c r="R546" s="2042"/>
      <c r="S546" s="2043"/>
      <c r="T546" s="2043"/>
      <c r="U546" s="1217"/>
      <c r="V546" s="968"/>
      <c r="W546" s="414"/>
      <c r="X546" s="973"/>
      <c r="Y546" s="974"/>
      <c r="Z546" s="974"/>
      <c r="AA546" s="969"/>
      <c r="AB546" s="170"/>
      <c r="AC546" s="282"/>
      <c r="AD546" s="403"/>
      <c r="AE546" s="1164"/>
    </row>
    <row r="547" spans="1:31" ht="30" customHeight="1">
      <c r="A547" s="5555"/>
      <c r="B547" s="5573"/>
      <c r="C547" s="4629"/>
      <c r="D547" s="4629"/>
      <c r="E547" s="4629"/>
      <c r="F547" s="4629"/>
      <c r="G547" s="4629"/>
      <c r="H547" s="4629"/>
      <c r="I547" s="4629"/>
      <c r="J547" s="4629"/>
      <c r="K547" s="4629"/>
      <c r="L547" s="4629"/>
      <c r="M547" s="4629"/>
      <c r="N547" s="4629"/>
      <c r="O547" s="4629"/>
      <c r="P547" s="4629"/>
      <c r="Q547" s="5500"/>
      <c r="R547" s="2041"/>
      <c r="S547" s="2040"/>
      <c r="T547" s="2040"/>
      <c r="U547" s="1217"/>
      <c r="V547" s="968"/>
      <c r="W547" s="414"/>
      <c r="X547" s="973"/>
      <c r="Y547" s="974"/>
      <c r="Z547" s="974"/>
      <c r="AA547" s="969"/>
      <c r="AB547" s="170"/>
      <c r="AC547" s="282"/>
      <c r="AD547" s="403"/>
      <c r="AE547" s="1165"/>
    </row>
    <row r="548" spans="1:31" ht="30" customHeight="1">
      <c r="A548" s="5555"/>
      <c r="B548" s="5574"/>
      <c r="C548" s="4630"/>
      <c r="D548" s="4630"/>
      <c r="E548" s="4630"/>
      <c r="F548" s="4630"/>
      <c r="G548" s="4630"/>
      <c r="H548" s="4630"/>
      <c r="I548" s="4630"/>
      <c r="J548" s="4630"/>
      <c r="K548" s="4630"/>
      <c r="L548" s="4630"/>
      <c r="M548" s="4630"/>
      <c r="N548" s="4630"/>
      <c r="O548" s="4630"/>
      <c r="P548" s="4630"/>
      <c r="Q548" s="5501"/>
      <c r="R548" s="975"/>
      <c r="S548" s="2044"/>
      <c r="T548" s="2044"/>
      <c r="U548" s="411"/>
      <c r="V548" s="977"/>
      <c r="W548" s="165"/>
      <c r="X548" s="978"/>
      <c r="Y548" s="978"/>
      <c r="Z548" s="978"/>
      <c r="AA548" s="979"/>
      <c r="AB548" s="165"/>
      <c r="AC548" s="166"/>
      <c r="AD548" s="404"/>
      <c r="AE548" s="1166"/>
    </row>
    <row r="549" spans="1:31" ht="34.5" customHeight="1">
      <c r="A549" s="5555"/>
      <c r="B549" s="5572" t="s">
        <v>272</v>
      </c>
      <c r="C549" s="5566" t="s">
        <v>302</v>
      </c>
      <c r="D549" s="5566" t="s">
        <v>303</v>
      </c>
      <c r="E549" s="5566" t="s">
        <v>363</v>
      </c>
      <c r="F549" s="5567" t="s">
        <v>305</v>
      </c>
      <c r="G549" s="5569" t="s">
        <v>306</v>
      </c>
      <c r="H549" s="5566" t="s">
        <v>241</v>
      </c>
      <c r="I549" s="5568" t="s">
        <v>2781</v>
      </c>
      <c r="J549" s="5577" t="s">
        <v>2808</v>
      </c>
      <c r="K549" s="5566" t="s">
        <v>2783</v>
      </c>
      <c r="L549" s="4662">
        <v>1</v>
      </c>
      <c r="M549" s="4662">
        <v>1</v>
      </c>
      <c r="N549" s="4662">
        <v>1</v>
      </c>
      <c r="O549" s="5566" t="s">
        <v>2784</v>
      </c>
      <c r="P549" s="5566" t="s">
        <v>2785</v>
      </c>
      <c r="Q549" s="5587" t="s">
        <v>2795</v>
      </c>
      <c r="R549" s="1102"/>
      <c r="S549" s="1103"/>
      <c r="T549" s="1103"/>
      <c r="U549" s="154"/>
      <c r="V549" s="1104"/>
      <c r="W549" s="155"/>
      <c r="X549" s="1105"/>
      <c r="Y549" s="1105"/>
      <c r="Z549" s="1105"/>
      <c r="AA549" s="1106"/>
      <c r="AB549" s="155"/>
      <c r="AC549" s="156"/>
      <c r="AD549" s="402"/>
      <c r="AE549" s="1162"/>
    </row>
    <row r="550" spans="1:31" ht="34.5" customHeight="1">
      <c r="A550" s="5555"/>
      <c r="B550" s="5573"/>
      <c r="C550" s="4629"/>
      <c r="D550" s="4629"/>
      <c r="E550" s="4629"/>
      <c r="F550" s="4629"/>
      <c r="G550" s="4629"/>
      <c r="H550" s="4629"/>
      <c r="I550" s="4629"/>
      <c r="J550" s="4629"/>
      <c r="K550" s="4629"/>
      <c r="L550" s="4629"/>
      <c r="M550" s="4629"/>
      <c r="N550" s="4629"/>
      <c r="O550" s="4629"/>
      <c r="P550" s="4629"/>
      <c r="Q550" s="5500"/>
      <c r="R550" s="982"/>
      <c r="S550" s="2045"/>
      <c r="T550" s="2045"/>
      <c r="U550" s="169"/>
      <c r="V550" s="984"/>
      <c r="W550" s="170"/>
      <c r="X550" s="974"/>
      <c r="Y550" s="974"/>
      <c r="Z550" s="974"/>
      <c r="AA550" s="969"/>
      <c r="AB550" s="170"/>
      <c r="AC550" s="282"/>
      <c r="AD550" s="403"/>
      <c r="AE550" s="1163"/>
    </row>
    <row r="551" spans="1:31" ht="34.5" customHeight="1">
      <c r="A551" s="5555"/>
      <c r="B551" s="5573"/>
      <c r="C551" s="4629"/>
      <c r="D551" s="4629"/>
      <c r="E551" s="4629"/>
      <c r="F551" s="4629"/>
      <c r="G551" s="4629"/>
      <c r="H551" s="4629"/>
      <c r="I551" s="4629"/>
      <c r="J551" s="4629"/>
      <c r="K551" s="4629"/>
      <c r="L551" s="4629"/>
      <c r="M551" s="4629"/>
      <c r="N551" s="4629"/>
      <c r="O551" s="4629"/>
      <c r="P551" s="4629"/>
      <c r="Q551" s="5500"/>
      <c r="R551" s="2042"/>
      <c r="S551" s="2043"/>
      <c r="T551" s="2043"/>
      <c r="U551" s="1217"/>
      <c r="V551" s="968"/>
      <c r="W551" s="414"/>
      <c r="X551" s="973"/>
      <c r="Y551" s="974"/>
      <c r="Z551" s="974"/>
      <c r="AA551" s="969"/>
      <c r="AB551" s="170"/>
      <c r="AC551" s="282"/>
      <c r="AD551" s="403"/>
      <c r="AE551" s="1164"/>
    </row>
    <row r="552" spans="1:31" ht="34.5" customHeight="1">
      <c r="A552" s="5555"/>
      <c r="B552" s="5573"/>
      <c r="C552" s="4629"/>
      <c r="D552" s="4629"/>
      <c r="E552" s="4629"/>
      <c r="F552" s="4629"/>
      <c r="G552" s="4629"/>
      <c r="H552" s="4629"/>
      <c r="I552" s="4629"/>
      <c r="J552" s="4629"/>
      <c r="K552" s="4629"/>
      <c r="L552" s="4629"/>
      <c r="M552" s="4629"/>
      <c r="N552" s="4629"/>
      <c r="O552" s="4629"/>
      <c r="P552" s="4629"/>
      <c r="Q552" s="5500"/>
      <c r="R552" s="2041"/>
      <c r="S552" s="2040"/>
      <c r="T552" s="2040"/>
      <c r="U552" s="1217"/>
      <c r="V552" s="968"/>
      <c r="W552" s="414"/>
      <c r="X552" s="973"/>
      <c r="Y552" s="974"/>
      <c r="Z552" s="974"/>
      <c r="AA552" s="969"/>
      <c r="AB552" s="170"/>
      <c r="AC552" s="282"/>
      <c r="AD552" s="403"/>
      <c r="AE552" s="1165"/>
    </row>
    <row r="553" spans="1:31" ht="34.5" customHeight="1">
      <c r="A553" s="5555"/>
      <c r="B553" s="5574"/>
      <c r="C553" s="4630"/>
      <c r="D553" s="4630"/>
      <c r="E553" s="4630"/>
      <c r="F553" s="4630"/>
      <c r="G553" s="4630"/>
      <c r="H553" s="4630"/>
      <c r="I553" s="4630"/>
      <c r="J553" s="4630"/>
      <c r="K553" s="4630"/>
      <c r="L553" s="4630"/>
      <c r="M553" s="4630"/>
      <c r="N553" s="4630"/>
      <c r="O553" s="4630"/>
      <c r="P553" s="4630"/>
      <c r="Q553" s="5501"/>
      <c r="R553" s="975"/>
      <c r="S553" s="2044"/>
      <c r="T553" s="2044"/>
      <c r="U553" s="411"/>
      <c r="V553" s="977"/>
      <c r="W553" s="165"/>
      <c r="X553" s="978"/>
      <c r="Y553" s="978"/>
      <c r="Z553" s="978"/>
      <c r="AA553" s="979"/>
      <c r="AB553" s="165"/>
      <c r="AC553" s="166"/>
      <c r="AD553" s="404"/>
      <c r="AE553" s="1166"/>
    </row>
    <row r="554" spans="1:31" ht="30" customHeight="1">
      <c r="A554" s="5555"/>
      <c r="B554" s="5572" t="s">
        <v>272</v>
      </c>
      <c r="C554" s="5566" t="s">
        <v>236</v>
      </c>
      <c r="D554" s="5566" t="s">
        <v>237</v>
      </c>
      <c r="E554" s="5566" t="s">
        <v>255</v>
      </c>
      <c r="F554" s="5567" t="s">
        <v>239</v>
      </c>
      <c r="G554" s="5566" t="s">
        <v>293</v>
      </c>
      <c r="H554" s="5566" t="s">
        <v>257</v>
      </c>
      <c r="I554" s="5566" t="s">
        <v>2786</v>
      </c>
      <c r="J554" s="5577" t="s">
        <v>2809</v>
      </c>
      <c r="K554" s="5566" t="s">
        <v>2788</v>
      </c>
      <c r="L554" s="4662">
        <v>1</v>
      </c>
      <c r="M554" s="4628">
        <v>1</v>
      </c>
      <c r="N554" s="4662">
        <v>1</v>
      </c>
      <c r="O554" s="5566" t="s">
        <v>2789</v>
      </c>
      <c r="P554" s="5566" t="s">
        <v>2790</v>
      </c>
      <c r="Q554" s="5587" t="s">
        <v>2795</v>
      </c>
      <c r="R554" s="1102"/>
      <c r="S554" s="1103"/>
      <c r="T554" s="1103"/>
      <c r="U554" s="154"/>
      <c r="V554" s="1104"/>
      <c r="W554" s="155"/>
      <c r="X554" s="1105"/>
      <c r="Y554" s="1105"/>
      <c r="Z554" s="1105"/>
      <c r="AA554" s="1106"/>
      <c r="AB554" s="155"/>
      <c r="AC554" s="156"/>
      <c r="AD554" s="402"/>
      <c r="AE554" s="1162"/>
    </row>
    <row r="555" spans="1:31" ht="30" customHeight="1">
      <c r="A555" s="5555"/>
      <c r="B555" s="5573"/>
      <c r="C555" s="4629"/>
      <c r="D555" s="4629"/>
      <c r="E555" s="4629"/>
      <c r="F555" s="4629"/>
      <c r="G555" s="4629"/>
      <c r="H555" s="4629"/>
      <c r="I555" s="4629"/>
      <c r="J555" s="4629"/>
      <c r="K555" s="4629"/>
      <c r="L555" s="4629"/>
      <c r="M555" s="4629"/>
      <c r="N555" s="4629"/>
      <c r="O555" s="4629"/>
      <c r="P555" s="4629"/>
      <c r="Q555" s="5500"/>
      <c r="R555" s="982"/>
      <c r="S555" s="2045"/>
      <c r="T555" s="2045"/>
      <c r="U555" s="169"/>
      <c r="V555" s="984"/>
      <c r="W555" s="170"/>
      <c r="X555" s="974"/>
      <c r="Y555" s="974"/>
      <c r="Z555" s="974"/>
      <c r="AA555" s="969"/>
      <c r="AB555" s="170"/>
      <c r="AC555" s="282"/>
      <c r="AD555" s="403"/>
      <c r="AE555" s="1163"/>
    </row>
    <row r="556" spans="1:31" ht="30" customHeight="1">
      <c r="A556" s="5555"/>
      <c r="B556" s="5573"/>
      <c r="C556" s="4629"/>
      <c r="D556" s="4629"/>
      <c r="E556" s="4629"/>
      <c r="F556" s="4629"/>
      <c r="G556" s="4629"/>
      <c r="H556" s="4629"/>
      <c r="I556" s="4629"/>
      <c r="J556" s="4629"/>
      <c r="K556" s="4629"/>
      <c r="L556" s="4629"/>
      <c r="M556" s="4629"/>
      <c r="N556" s="4629"/>
      <c r="O556" s="4629"/>
      <c r="P556" s="4629"/>
      <c r="Q556" s="5500"/>
      <c r="R556" s="2042"/>
      <c r="S556" s="2043"/>
      <c r="T556" s="2043"/>
      <c r="U556" s="1217"/>
      <c r="V556" s="968"/>
      <c r="W556" s="414"/>
      <c r="X556" s="973"/>
      <c r="Y556" s="974"/>
      <c r="Z556" s="974"/>
      <c r="AA556" s="969"/>
      <c r="AB556" s="170"/>
      <c r="AC556" s="282"/>
      <c r="AD556" s="403"/>
      <c r="AE556" s="1164"/>
    </row>
    <row r="557" spans="1:31" ht="30" customHeight="1">
      <c r="A557" s="5555"/>
      <c r="B557" s="5573"/>
      <c r="C557" s="4629"/>
      <c r="D557" s="4629"/>
      <c r="E557" s="4629"/>
      <c r="F557" s="4629"/>
      <c r="G557" s="4629"/>
      <c r="H557" s="4629"/>
      <c r="I557" s="4629"/>
      <c r="J557" s="4629"/>
      <c r="K557" s="4629"/>
      <c r="L557" s="4629"/>
      <c r="M557" s="4629"/>
      <c r="N557" s="4629"/>
      <c r="O557" s="4629"/>
      <c r="P557" s="4629"/>
      <c r="Q557" s="5500"/>
      <c r="R557" s="2041"/>
      <c r="S557" s="2040"/>
      <c r="T557" s="2040"/>
      <c r="U557" s="1217"/>
      <c r="V557" s="968"/>
      <c r="W557" s="414"/>
      <c r="X557" s="973"/>
      <c r="Y557" s="974"/>
      <c r="Z557" s="974"/>
      <c r="AA557" s="969"/>
      <c r="AB557" s="170"/>
      <c r="AC557" s="282"/>
      <c r="AD557" s="403"/>
      <c r="AE557" s="1165"/>
    </row>
    <row r="558" spans="1:31" ht="30" customHeight="1">
      <c r="A558" s="5555"/>
      <c r="B558" s="5574"/>
      <c r="C558" s="4630"/>
      <c r="D558" s="4630"/>
      <c r="E558" s="4630"/>
      <c r="F558" s="4630"/>
      <c r="G558" s="4630"/>
      <c r="H558" s="4630"/>
      <c r="I558" s="4630"/>
      <c r="J558" s="4630"/>
      <c r="K558" s="4630"/>
      <c r="L558" s="4630"/>
      <c r="M558" s="4630"/>
      <c r="N558" s="4630"/>
      <c r="O558" s="4630"/>
      <c r="P558" s="4630"/>
      <c r="Q558" s="5501"/>
      <c r="R558" s="975"/>
      <c r="S558" s="2044"/>
      <c r="T558" s="2044"/>
      <c r="U558" s="411"/>
      <c r="V558" s="977"/>
      <c r="W558" s="165"/>
      <c r="X558" s="978"/>
      <c r="Y558" s="978"/>
      <c r="Z558" s="978"/>
      <c r="AA558" s="979"/>
      <c r="AB558" s="165"/>
      <c r="AC558" s="166"/>
      <c r="AD558" s="404"/>
      <c r="AE558" s="1166"/>
    </row>
    <row r="559" spans="1:31" ht="28.5" customHeight="1">
      <c r="A559" s="2158"/>
      <c r="B559" s="2058"/>
      <c r="C559" s="2058"/>
      <c r="D559" s="2058"/>
      <c r="E559" s="2058"/>
      <c r="F559" s="2058"/>
      <c r="G559" s="2058"/>
      <c r="H559" s="2058"/>
      <c r="I559" s="2058"/>
      <c r="J559" s="2058"/>
      <c r="K559" s="2058"/>
      <c r="L559" s="2058"/>
      <c r="M559" s="2058"/>
      <c r="N559" s="2058"/>
      <c r="O559" s="2058"/>
      <c r="P559" s="2058"/>
      <c r="Q559" s="1167"/>
      <c r="R559" s="1167" t="s">
        <v>2810</v>
      </c>
      <c r="S559" s="1167"/>
      <c r="T559" s="1167"/>
      <c r="U559" s="1167"/>
      <c r="V559" s="1167"/>
      <c r="W559" s="1167"/>
      <c r="X559" s="1167"/>
      <c r="Y559" s="1167"/>
      <c r="Z559" s="2060" t="s">
        <v>340</v>
      </c>
      <c r="AA559" s="998">
        <f>SUM(AA484+AA489+AA494+AA499+AA504)</f>
        <v>0</v>
      </c>
      <c r="AB559" s="5599"/>
      <c r="AC559" s="4642"/>
      <c r="AD559" s="4642"/>
      <c r="AE559" s="4797"/>
    </row>
    <row r="560" spans="1:31" ht="134.25" customHeight="1">
      <c r="A560" s="4777" t="s">
        <v>2811</v>
      </c>
      <c r="B560" s="1117" t="s">
        <v>272</v>
      </c>
      <c r="C560" s="608" t="s">
        <v>302</v>
      </c>
      <c r="D560" s="608" t="s">
        <v>303</v>
      </c>
      <c r="E560" s="2103" t="s">
        <v>363</v>
      </c>
      <c r="F560" s="647" t="s">
        <v>305</v>
      </c>
      <c r="G560" s="648" t="s">
        <v>240</v>
      </c>
      <c r="H560" s="648" t="s">
        <v>257</v>
      </c>
      <c r="I560" s="2104" t="s">
        <v>2812</v>
      </c>
      <c r="J560" s="2030" t="s">
        <v>2813</v>
      </c>
      <c r="K560" s="2103" t="s">
        <v>2719</v>
      </c>
      <c r="L560" s="1118">
        <v>2</v>
      </c>
      <c r="M560" s="1119">
        <v>2</v>
      </c>
      <c r="N560" s="1120">
        <v>2</v>
      </c>
      <c r="O560" s="1121" t="s">
        <v>2814</v>
      </c>
      <c r="P560" s="2030" t="s">
        <v>2815</v>
      </c>
      <c r="Q560" s="1125" t="s">
        <v>2816</v>
      </c>
      <c r="R560" s="1170"/>
      <c r="S560" s="2111"/>
      <c r="T560" s="413"/>
      <c r="U560" s="1216"/>
      <c r="V560" s="1217"/>
      <c r="W560" s="1217"/>
      <c r="X560" s="1217"/>
      <c r="Y560" s="1217"/>
      <c r="Z560" s="1105"/>
      <c r="AA560" s="1145"/>
      <c r="AB560" s="155"/>
      <c r="AC560" s="156"/>
      <c r="AD560" s="1168"/>
      <c r="AE560" s="1169"/>
    </row>
    <row r="561" spans="1:31" ht="134.25" customHeight="1">
      <c r="A561" s="4778"/>
      <c r="B561" s="1117" t="s">
        <v>272</v>
      </c>
      <c r="C561" s="608" t="s">
        <v>302</v>
      </c>
      <c r="D561" s="2103" t="s">
        <v>388</v>
      </c>
      <c r="E561" s="2103" t="s">
        <v>944</v>
      </c>
      <c r="F561" s="2105" t="s">
        <v>305</v>
      </c>
      <c r="G561" s="2103" t="s">
        <v>240</v>
      </c>
      <c r="H561" s="2104" t="s">
        <v>257</v>
      </c>
      <c r="I561" s="2030" t="s">
        <v>2723</v>
      </c>
      <c r="J561" s="2030" t="s">
        <v>2724</v>
      </c>
      <c r="K561" s="2030" t="s">
        <v>2725</v>
      </c>
      <c r="L561" s="1122">
        <v>2</v>
      </c>
      <c r="M561" s="1123">
        <v>2</v>
      </c>
      <c r="N561" s="1122">
        <v>2</v>
      </c>
      <c r="O561" s="1125" t="s">
        <v>2817</v>
      </c>
      <c r="P561" s="1125" t="s">
        <v>2818</v>
      </c>
      <c r="Q561" s="1125" t="s">
        <v>2816</v>
      </c>
      <c r="R561" s="1170"/>
      <c r="S561" s="2111"/>
      <c r="T561" s="1188"/>
      <c r="U561" s="1171"/>
      <c r="V561" s="984"/>
      <c r="W561" s="170"/>
      <c r="X561" s="974"/>
      <c r="Y561" s="974"/>
      <c r="Z561" s="974"/>
      <c r="AA561" s="969"/>
      <c r="AB561" s="357"/>
      <c r="AC561" s="358"/>
      <c r="AD561" s="1172"/>
      <c r="AE561" s="2118"/>
    </row>
    <row r="562" spans="1:31" ht="137.25" customHeight="1">
      <c r="A562" s="4778"/>
      <c r="B562" s="1723" t="s">
        <v>272</v>
      </c>
      <c r="C562" s="1724" t="s">
        <v>302</v>
      </c>
      <c r="D562" s="2103" t="s">
        <v>303</v>
      </c>
      <c r="E562" s="1124" t="s">
        <v>363</v>
      </c>
      <c r="F562" s="2105" t="s">
        <v>305</v>
      </c>
      <c r="G562" s="2103" t="s">
        <v>306</v>
      </c>
      <c r="H562" s="2104" t="s">
        <v>241</v>
      </c>
      <c r="I562" s="2030" t="s">
        <v>2728</v>
      </c>
      <c r="J562" s="2030" t="s">
        <v>2729</v>
      </c>
      <c r="K562" s="2030" t="s">
        <v>2730</v>
      </c>
      <c r="L562" s="1126">
        <v>1</v>
      </c>
      <c r="M562" s="1127">
        <v>1</v>
      </c>
      <c r="N562" s="1126">
        <v>1</v>
      </c>
      <c r="O562" s="1125" t="s">
        <v>2819</v>
      </c>
      <c r="P562" s="1125" t="s">
        <v>2820</v>
      </c>
      <c r="Q562" s="1125" t="s">
        <v>2816</v>
      </c>
      <c r="R562" s="1170"/>
      <c r="S562" s="2111"/>
      <c r="T562" s="2119"/>
      <c r="U562" s="412"/>
      <c r="V562" s="968"/>
      <c r="W562" s="414"/>
      <c r="X562" s="973"/>
      <c r="Y562" s="974"/>
      <c r="Z562" s="974"/>
      <c r="AA562" s="969"/>
      <c r="AB562" s="357"/>
      <c r="AC562" s="358"/>
      <c r="AD562" s="1172"/>
      <c r="AE562" s="2118"/>
    </row>
    <row r="563" spans="1:31" ht="141.75" customHeight="1">
      <c r="A563" s="4778"/>
      <c r="B563" s="646" t="s">
        <v>272</v>
      </c>
      <c r="C563" s="1125" t="s">
        <v>236</v>
      </c>
      <c r="D563" s="1125" t="s">
        <v>303</v>
      </c>
      <c r="E563" s="1125" t="s">
        <v>363</v>
      </c>
      <c r="F563" s="646" t="s">
        <v>305</v>
      </c>
      <c r="G563" s="1125" t="s">
        <v>240</v>
      </c>
      <c r="H563" s="2120" t="s">
        <v>278</v>
      </c>
      <c r="I563" s="1125" t="s">
        <v>2733</v>
      </c>
      <c r="J563" s="1125" t="s">
        <v>2821</v>
      </c>
      <c r="K563" s="1125" t="s">
        <v>2735</v>
      </c>
      <c r="L563" s="1173">
        <v>1</v>
      </c>
      <c r="M563" s="1173">
        <v>1</v>
      </c>
      <c r="N563" s="1173">
        <v>1</v>
      </c>
      <c r="O563" s="2121" t="s">
        <v>2822</v>
      </c>
      <c r="P563" s="1125" t="s">
        <v>2737</v>
      </c>
      <c r="Q563" s="1125" t="s">
        <v>2816</v>
      </c>
      <c r="R563" s="1170"/>
      <c r="S563" s="2111"/>
      <c r="T563" s="2119"/>
      <c r="U563" s="169"/>
      <c r="V563" s="968"/>
      <c r="W563" s="414"/>
      <c r="X563" s="973"/>
      <c r="Y563" s="974"/>
      <c r="Z563" s="974"/>
      <c r="AA563" s="969"/>
      <c r="AB563" s="357"/>
      <c r="AC563" s="358"/>
      <c r="AD563" s="1172"/>
      <c r="AE563" s="2118"/>
    </row>
    <row r="564" spans="1:31" ht="131.25" customHeight="1">
      <c r="A564" s="4778"/>
      <c r="B564" s="1722" t="s">
        <v>272</v>
      </c>
      <c r="C564" s="1951" t="s">
        <v>273</v>
      </c>
      <c r="D564" s="1951" t="s">
        <v>274</v>
      </c>
      <c r="E564" s="1951" t="s">
        <v>885</v>
      </c>
      <c r="F564" s="2122" t="s">
        <v>276</v>
      </c>
      <c r="G564" s="2006" t="s">
        <v>314</v>
      </c>
      <c r="H564" s="2056" t="s">
        <v>241</v>
      </c>
      <c r="I564" s="626" t="s">
        <v>2823</v>
      </c>
      <c r="J564" s="626" t="s">
        <v>2824</v>
      </c>
      <c r="K564" s="626" t="s">
        <v>2707</v>
      </c>
      <c r="L564" s="994">
        <v>1</v>
      </c>
      <c r="M564" s="994">
        <v>0</v>
      </c>
      <c r="N564" s="582">
        <v>1</v>
      </c>
      <c r="O564" s="2123" t="s">
        <v>2708</v>
      </c>
      <c r="P564" s="1955" t="s">
        <v>2709</v>
      </c>
      <c r="Q564" s="1125" t="s">
        <v>2825</v>
      </c>
      <c r="R564" s="1174"/>
      <c r="S564" s="2111"/>
      <c r="T564" s="1175"/>
      <c r="U564" s="182"/>
      <c r="V564" s="1176"/>
      <c r="W564" s="183"/>
      <c r="X564" s="1177"/>
      <c r="Y564" s="1177"/>
      <c r="Z564" s="1177"/>
      <c r="AA564" s="1178"/>
      <c r="AB564" s="353"/>
      <c r="AC564" s="1179"/>
      <c r="AD564" s="2124"/>
      <c r="AE564" s="2125"/>
    </row>
    <row r="565" spans="1:31" ht="134.25" customHeight="1">
      <c r="A565" s="4778"/>
      <c r="B565" s="646" t="s">
        <v>272</v>
      </c>
      <c r="C565" s="1125" t="s">
        <v>302</v>
      </c>
      <c r="D565" s="1125" t="s">
        <v>303</v>
      </c>
      <c r="E565" s="1125" t="s">
        <v>363</v>
      </c>
      <c r="F565" s="646" t="s">
        <v>305</v>
      </c>
      <c r="G565" s="1125" t="s">
        <v>240</v>
      </c>
      <c r="H565" s="1125" t="s">
        <v>257</v>
      </c>
      <c r="I565" s="1125" t="s">
        <v>2743</v>
      </c>
      <c r="J565" s="1125" t="s">
        <v>2744</v>
      </c>
      <c r="K565" s="2109" t="s">
        <v>2745</v>
      </c>
      <c r="L565" s="1129">
        <v>1</v>
      </c>
      <c r="M565" s="1129">
        <v>1</v>
      </c>
      <c r="N565" s="1129">
        <v>1</v>
      </c>
      <c r="O565" s="1125" t="s">
        <v>2746</v>
      </c>
      <c r="P565" s="1125" t="s">
        <v>2747</v>
      </c>
      <c r="Q565" s="1125" t="s">
        <v>2816</v>
      </c>
      <c r="R565" s="1170"/>
      <c r="S565" s="1180"/>
      <c r="T565" s="2126"/>
      <c r="U565" s="2127"/>
      <c r="V565" s="2127"/>
      <c r="W565" s="2127"/>
      <c r="X565" s="2127"/>
      <c r="Y565" s="2127"/>
      <c r="Z565" s="2127"/>
      <c r="AA565" s="2128"/>
      <c r="AB565" s="1143"/>
      <c r="AC565" s="492"/>
      <c r="AD565" s="1181"/>
      <c r="AE565" s="2129"/>
    </row>
    <row r="566" spans="1:31" ht="132.75" customHeight="1">
      <c r="A566" s="4778"/>
      <c r="B566" s="646" t="s">
        <v>272</v>
      </c>
      <c r="C566" s="1125" t="s">
        <v>302</v>
      </c>
      <c r="D566" s="1125" t="s">
        <v>303</v>
      </c>
      <c r="E566" s="1125" t="s">
        <v>363</v>
      </c>
      <c r="F566" s="646" t="s">
        <v>305</v>
      </c>
      <c r="G566" s="1125" t="s">
        <v>256</v>
      </c>
      <c r="H566" s="1125" t="s">
        <v>241</v>
      </c>
      <c r="I566" s="1125" t="s">
        <v>2748</v>
      </c>
      <c r="J566" s="1125" t="s">
        <v>2749</v>
      </c>
      <c r="K566" s="1125" t="s">
        <v>2750</v>
      </c>
      <c r="L566" s="994">
        <v>1</v>
      </c>
      <c r="M566" s="1129"/>
      <c r="N566" s="1129">
        <v>1</v>
      </c>
      <c r="O566" s="1125" t="s">
        <v>2826</v>
      </c>
      <c r="P566" s="1125" t="s">
        <v>2752</v>
      </c>
      <c r="Q566" s="1125" t="s">
        <v>2816</v>
      </c>
      <c r="R566" s="1170"/>
      <c r="S566" s="1182"/>
      <c r="T566" s="2126"/>
      <c r="U566" s="413"/>
      <c r="V566" s="1130"/>
      <c r="W566" s="1184"/>
      <c r="X566" s="1185"/>
      <c r="Y566" s="1133"/>
      <c r="Z566" s="1133"/>
      <c r="AA566" s="1132"/>
      <c r="AB566" s="355"/>
      <c r="AC566" s="356"/>
      <c r="AD566" s="1187"/>
      <c r="AE566" s="2118"/>
    </row>
    <row r="567" spans="1:31" ht="135.75" customHeight="1">
      <c r="A567" s="4778"/>
      <c r="B567" s="646" t="s">
        <v>272</v>
      </c>
      <c r="C567" s="1125" t="s">
        <v>302</v>
      </c>
      <c r="D567" s="1125" t="s">
        <v>303</v>
      </c>
      <c r="E567" s="1125" t="s">
        <v>318</v>
      </c>
      <c r="F567" s="646" t="s">
        <v>305</v>
      </c>
      <c r="G567" s="1125" t="s">
        <v>262</v>
      </c>
      <c r="H567" s="1125" t="s">
        <v>241</v>
      </c>
      <c r="I567" s="1125" t="s">
        <v>2753</v>
      </c>
      <c r="J567" s="1125" t="s">
        <v>2827</v>
      </c>
      <c r="K567" s="1125" t="s">
        <v>2755</v>
      </c>
      <c r="L567" s="994">
        <v>1</v>
      </c>
      <c r="M567" s="994">
        <v>0</v>
      </c>
      <c r="N567" s="1129">
        <v>1</v>
      </c>
      <c r="O567" s="1125" t="s">
        <v>2697</v>
      </c>
      <c r="P567" s="1125" t="s">
        <v>2828</v>
      </c>
      <c r="Q567" s="1125" t="s">
        <v>2816</v>
      </c>
      <c r="R567" s="1170"/>
      <c r="S567" s="1188"/>
      <c r="T567" s="2130"/>
      <c r="U567" s="413"/>
      <c r="V567" s="1130"/>
      <c r="W567" s="355"/>
      <c r="X567" s="1131"/>
      <c r="Y567" s="1133"/>
      <c r="Z567" s="1133"/>
      <c r="AA567" s="1134"/>
      <c r="AB567" s="357"/>
      <c r="AC567" s="358"/>
      <c r="AD567" s="1189"/>
      <c r="AE567" s="2118"/>
    </row>
    <row r="568" spans="1:31" ht="132.75" customHeight="1">
      <c r="A568" s="4778"/>
      <c r="B568" s="646" t="s">
        <v>272</v>
      </c>
      <c r="C568" s="1125" t="s">
        <v>302</v>
      </c>
      <c r="D568" s="1125" t="s">
        <v>303</v>
      </c>
      <c r="E568" s="1125" t="s">
        <v>363</v>
      </c>
      <c r="F568" s="646" t="s">
        <v>305</v>
      </c>
      <c r="G568" s="1125" t="s">
        <v>306</v>
      </c>
      <c r="H568" s="1125" t="s">
        <v>278</v>
      </c>
      <c r="I568" s="1125" t="s">
        <v>2756</v>
      </c>
      <c r="J568" s="1125" t="s">
        <v>2757</v>
      </c>
      <c r="K568" s="1125" t="s">
        <v>2758</v>
      </c>
      <c r="L568" s="994">
        <v>2</v>
      </c>
      <c r="M568" s="1129">
        <v>2</v>
      </c>
      <c r="N568" s="1129">
        <v>2</v>
      </c>
      <c r="O568" s="1125" t="s">
        <v>2759</v>
      </c>
      <c r="P568" s="1125" t="s">
        <v>2760</v>
      </c>
      <c r="Q568" s="1125" t="s">
        <v>2816</v>
      </c>
      <c r="R568" s="1170"/>
      <c r="S568" s="1188"/>
      <c r="T568" s="413"/>
      <c r="U568" s="413"/>
      <c r="V568" s="1130"/>
      <c r="W568" s="355"/>
      <c r="X568" s="1131"/>
      <c r="Y568" s="1133"/>
      <c r="Z568" s="1133"/>
      <c r="AA568" s="1134"/>
      <c r="AB568" s="357"/>
      <c r="AC568" s="358"/>
      <c r="AD568" s="1189"/>
      <c r="AE568" s="2125"/>
    </row>
    <row r="569" spans="1:31" ht="129.75" customHeight="1">
      <c r="A569" s="4778"/>
      <c r="B569" s="646" t="s">
        <v>272</v>
      </c>
      <c r="C569" s="1125" t="s">
        <v>302</v>
      </c>
      <c r="D569" s="1125" t="s">
        <v>388</v>
      </c>
      <c r="E569" s="1125" t="s">
        <v>944</v>
      </c>
      <c r="F569" s="646" t="s">
        <v>305</v>
      </c>
      <c r="G569" s="1125" t="s">
        <v>306</v>
      </c>
      <c r="H569" s="1125" t="s">
        <v>241</v>
      </c>
      <c r="I569" s="1125" t="s">
        <v>2761</v>
      </c>
      <c r="J569" s="1125" t="s">
        <v>2762</v>
      </c>
      <c r="K569" s="1125" t="s">
        <v>2763</v>
      </c>
      <c r="L569" s="1129">
        <v>1</v>
      </c>
      <c r="M569" s="1129">
        <v>1</v>
      </c>
      <c r="N569" s="1129">
        <v>1</v>
      </c>
      <c r="O569" s="1125" t="s">
        <v>2764</v>
      </c>
      <c r="P569" s="1125" t="s">
        <v>2765</v>
      </c>
      <c r="Q569" s="1125" t="s">
        <v>2816</v>
      </c>
      <c r="R569" s="1170"/>
      <c r="S569" s="1190"/>
      <c r="T569" s="413"/>
      <c r="U569" s="1191"/>
      <c r="V569" s="1192"/>
      <c r="W569" s="353"/>
      <c r="X569" s="1193"/>
      <c r="Y569" s="1193"/>
      <c r="Z569" s="1193"/>
      <c r="AA569" s="1184"/>
      <c r="AB569" s="353"/>
      <c r="AC569" s="1179"/>
      <c r="AD569" s="1194"/>
      <c r="AE569" s="2129"/>
    </row>
    <row r="570" spans="1:31" ht="135.75" customHeight="1">
      <c r="A570" s="4778"/>
      <c r="B570" s="646" t="s">
        <v>272</v>
      </c>
      <c r="C570" s="1125" t="s">
        <v>236</v>
      </c>
      <c r="D570" s="1125" t="s">
        <v>303</v>
      </c>
      <c r="E570" s="1125" t="s">
        <v>363</v>
      </c>
      <c r="F570" s="646" t="s">
        <v>305</v>
      </c>
      <c r="G570" s="1125" t="s">
        <v>306</v>
      </c>
      <c r="H570" s="1125" t="s">
        <v>241</v>
      </c>
      <c r="I570" s="1125" t="s">
        <v>2766</v>
      </c>
      <c r="J570" s="1125" t="s">
        <v>2767</v>
      </c>
      <c r="K570" s="1125" t="s">
        <v>2768</v>
      </c>
      <c r="L570" s="1129">
        <v>1</v>
      </c>
      <c r="M570" s="1129">
        <v>1</v>
      </c>
      <c r="N570" s="1129">
        <v>1</v>
      </c>
      <c r="O570" s="1125" t="s">
        <v>2769</v>
      </c>
      <c r="P570" s="1125" t="s">
        <v>2770</v>
      </c>
      <c r="Q570" s="1125" t="s">
        <v>2816</v>
      </c>
      <c r="R570" s="1170"/>
      <c r="S570" s="1188"/>
      <c r="T570" s="413"/>
      <c r="U570" s="413"/>
      <c r="V570" s="1130"/>
      <c r="W570" s="413"/>
      <c r="X570" s="1193"/>
      <c r="Y570" s="1193"/>
      <c r="Z570" s="1193"/>
      <c r="AA570" s="413"/>
      <c r="AB570" s="413"/>
      <c r="AC570" s="413"/>
      <c r="AD570" s="413"/>
      <c r="AE570" s="2118"/>
    </row>
    <row r="571" spans="1:31" ht="135.75" customHeight="1">
      <c r="A571" s="4778"/>
      <c r="B571" s="646" t="s">
        <v>272</v>
      </c>
      <c r="C571" s="1125" t="s">
        <v>302</v>
      </c>
      <c r="D571" s="1125" t="s">
        <v>388</v>
      </c>
      <c r="E571" s="1125" t="s">
        <v>944</v>
      </c>
      <c r="F571" s="646" t="s">
        <v>305</v>
      </c>
      <c r="G571" s="1125" t="s">
        <v>306</v>
      </c>
      <c r="H571" s="1125" t="s">
        <v>257</v>
      </c>
      <c r="I571" s="1125" t="s">
        <v>2771</v>
      </c>
      <c r="J571" s="1125" t="s">
        <v>2772</v>
      </c>
      <c r="K571" s="1125" t="s">
        <v>2773</v>
      </c>
      <c r="L571" s="1129">
        <v>1</v>
      </c>
      <c r="M571" s="1129">
        <v>1</v>
      </c>
      <c r="N571" s="1129">
        <v>1</v>
      </c>
      <c r="O571" s="1125" t="s">
        <v>2774</v>
      </c>
      <c r="P571" s="1125" t="s">
        <v>2775</v>
      </c>
      <c r="Q571" s="1125" t="s">
        <v>2816</v>
      </c>
      <c r="R571" s="1174"/>
      <c r="S571" s="1195"/>
      <c r="T571" s="507"/>
      <c r="U571" s="507"/>
      <c r="V571" s="1196"/>
      <c r="W571" s="507"/>
      <c r="X571" s="1197"/>
      <c r="Y571" s="1197"/>
      <c r="Z571" s="1197"/>
      <c r="AA571" s="507"/>
      <c r="AB571" s="507"/>
      <c r="AC571" s="507"/>
      <c r="AD571" s="507"/>
      <c r="AE571" s="2118"/>
    </row>
    <row r="572" spans="1:31" ht="137.25" customHeight="1">
      <c r="A572" s="4778"/>
      <c r="B572" s="646" t="s">
        <v>272</v>
      </c>
      <c r="C572" s="1125" t="s">
        <v>302</v>
      </c>
      <c r="D572" s="1125" t="s">
        <v>303</v>
      </c>
      <c r="E572" s="1125" t="s">
        <v>318</v>
      </c>
      <c r="F572" s="646" t="s">
        <v>305</v>
      </c>
      <c r="G572" s="1125" t="s">
        <v>306</v>
      </c>
      <c r="H572" s="1125" t="s">
        <v>278</v>
      </c>
      <c r="I572" s="1125" t="s">
        <v>2776</v>
      </c>
      <c r="J572" s="1125" t="s">
        <v>2777</v>
      </c>
      <c r="K572" s="1125" t="s">
        <v>2778</v>
      </c>
      <c r="L572" s="1129">
        <v>1</v>
      </c>
      <c r="M572" s="1129">
        <v>0</v>
      </c>
      <c r="N572" s="1129">
        <v>1</v>
      </c>
      <c r="O572" s="1125" t="s">
        <v>2779</v>
      </c>
      <c r="P572" s="1125" t="s">
        <v>2780</v>
      </c>
      <c r="Q572" s="1125" t="s">
        <v>2816</v>
      </c>
      <c r="R572" s="1170"/>
      <c r="S572" s="1202"/>
      <c r="T572" s="1217"/>
      <c r="U572" s="2102"/>
      <c r="V572" s="968"/>
      <c r="W572" s="1217"/>
      <c r="X572" s="1217"/>
      <c r="Y572" s="1217"/>
      <c r="Z572" s="1217"/>
      <c r="AA572" s="1198"/>
      <c r="AB572" s="1217"/>
      <c r="AC572" s="1217"/>
      <c r="AD572" s="1217"/>
      <c r="AE572" s="2118"/>
    </row>
    <row r="573" spans="1:31" ht="134.25" customHeight="1">
      <c r="A573" s="4778"/>
      <c r="B573" s="646" t="s">
        <v>272</v>
      </c>
      <c r="C573" s="1125" t="s">
        <v>302</v>
      </c>
      <c r="D573" s="1125" t="s">
        <v>303</v>
      </c>
      <c r="E573" s="1125" t="s">
        <v>363</v>
      </c>
      <c r="F573" s="646" t="s">
        <v>305</v>
      </c>
      <c r="G573" s="1125" t="s">
        <v>306</v>
      </c>
      <c r="H573" s="1125" t="s">
        <v>241</v>
      </c>
      <c r="I573" s="1125" t="s">
        <v>2781</v>
      </c>
      <c r="J573" s="1125" t="s">
        <v>2782</v>
      </c>
      <c r="K573" s="1125" t="s">
        <v>2783</v>
      </c>
      <c r="L573" s="1129">
        <v>1</v>
      </c>
      <c r="M573" s="1129">
        <v>1</v>
      </c>
      <c r="N573" s="1129">
        <v>1</v>
      </c>
      <c r="O573" s="1125" t="s">
        <v>2829</v>
      </c>
      <c r="P573" s="1125" t="s">
        <v>2785</v>
      </c>
      <c r="Q573" s="1125" t="s">
        <v>2816</v>
      </c>
      <c r="R573" s="1170"/>
      <c r="S573" s="1217"/>
      <c r="T573" s="1217"/>
      <c r="U573" s="1217"/>
      <c r="V573" s="968"/>
      <c r="W573" s="1217"/>
      <c r="X573" s="2131"/>
      <c r="Y573" s="2131"/>
      <c r="Z573" s="2131"/>
      <c r="AA573" s="1217"/>
      <c r="AB573" s="1217"/>
      <c r="AC573" s="1202"/>
      <c r="AD573" s="1217"/>
      <c r="AE573" s="2118"/>
    </row>
    <row r="574" spans="1:31" ht="131.25" customHeight="1">
      <c r="A574" s="4778"/>
      <c r="B574" s="646" t="s">
        <v>272</v>
      </c>
      <c r="C574" s="1125" t="s">
        <v>236</v>
      </c>
      <c r="D574" s="1125" t="s">
        <v>237</v>
      </c>
      <c r="E574" s="1125" t="s">
        <v>255</v>
      </c>
      <c r="F574" s="646" t="s">
        <v>239</v>
      </c>
      <c r="G574" s="1125" t="s">
        <v>293</v>
      </c>
      <c r="H574" s="1125" t="s">
        <v>257</v>
      </c>
      <c r="I574" s="1125" t="s">
        <v>2786</v>
      </c>
      <c r="J574" s="1125" t="s">
        <v>2787</v>
      </c>
      <c r="K574" s="1125" t="s">
        <v>2788</v>
      </c>
      <c r="L574" s="1129">
        <v>1</v>
      </c>
      <c r="M574" s="1129">
        <v>1</v>
      </c>
      <c r="N574" s="1129">
        <v>1</v>
      </c>
      <c r="O574" s="1125" t="s">
        <v>2789</v>
      </c>
      <c r="P574" s="1125" t="s">
        <v>2790</v>
      </c>
      <c r="Q574" s="1125" t="s">
        <v>2816</v>
      </c>
      <c r="R574" s="1170"/>
      <c r="S574" s="1217"/>
      <c r="T574" s="1217"/>
      <c r="U574" s="1217"/>
      <c r="V574" s="968"/>
      <c r="W574" s="1217"/>
      <c r="X574" s="2131"/>
      <c r="Y574" s="2131"/>
      <c r="Z574" s="2131"/>
      <c r="AA574" s="1217"/>
      <c r="AB574" s="1217"/>
      <c r="AC574" s="1202"/>
      <c r="AD574" s="1217"/>
      <c r="AE574" s="2125"/>
    </row>
    <row r="575" spans="1:31" ht="42.75" customHeight="1">
      <c r="A575" s="2166"/>
      <c r="B575" s="2132"/>
      <c r="C575" s="2133"/>
      <c r="D575" s="2133"/>
      <c r="E575" s="2133"/>
      <c r="F575" s="2132"/>
      <c r="G575" s="2133"/>
      <c r="H575" s="2133"/>
      <c r="I575" s="2133"/>
      <c r="J575" s="2133"/>
      <c r="K575" s="2133"/>
      <c r="L575" s="2134"/>
      <c r="M575" s="2134"/>
      <c r="N575" s="2134"/>
      <c r="O575" s="2133"/>
      <c r="P575" s="2133"/>
      <c r="Q575" s="2133"/>
      <c r="R575" s="1170"/>
      <c r="S575" s="1217"/>
      <c r="T575" s="1217"/>
      <c r="U575" s="1217"/>
      <c r="V575" s="968"/>
      <c r="W575" s="1217"/>
      <c r="X575" s="2131"/>
      <c r="Y575" s="2131"/>
      <c r="Z575" s="2131"/>
      <c r="AA575" s="1217"/>
      <c r="AB575" s="1202"/>
      <c r="AC575" s="1217"/>
      <c r="AD575" s="1217"/>
      <c r="AE575" s="2118"/>
    </row>
    <row r="576" spans="1:31" ht="31.5" customHeight="1">
      <c r="A576" s="2166"/>
      <c r="B576" s="2132"/>
      <c r="C576" s="2133"/>
      <c r="D576" s="2133"/>
      <c r="E576" s="2133"/>
      <c r="F576" s="2132"/>
      <c r="G576" s="2133"/>
      <c r="H576" s="2133"/>
      <c r="I576" s="2133"/>
      <c r="J576" s="2133"/>
      <c r="K576" s="2133"/>
      <c r="L576" s="2134"/>
      <c r="M576" s="2134"/>
      <c r="N576" s="2134"/>
      <c r="O576" s="2133"/>
      <c r="P576" s="2133"/>
      <c r="Q576" s="2133"/>
      <c r="R576" s="1170"/>
      <c r="S576" s="1217"/>
      <c r="T576" s="1217"/>
      <c r="U576" s="1217"/>
      <c r="V576" s="968"/>
      <c r="W576" s="1217"/>
      <c r="X576" s="2131"/>
      <c r="Y576" s="2131"/>
      <c r="Z576" s="2131"/>
      <c r="AA576" s="1217"/>
      <c r="AB576" s="1202"/>
      <c r="AC576" s="1217"/>
      <c r="AD576" s="1217"/>
      <c r="AE576" s="2118"/>
    </row>
    <row r="577" spans="1:31" ht="22.5" customHeight="1">
      <c r="A577" s="2158"/>
      <c r="B577" s="2058"/>
      <c r="C577" s="2058"/>
      <c r="D577" s="2058"/>
      <c r="E577" s="2058"/>
      <c r="F577" s="2058"/>
      <c r="G577" s="2058"/>
      <c r="H577" s="2058"/>
      <c r="I577" s="2058"/>
      <c r="J577" s="2058"/>
      <c r="K577" s="2058"/>
      <c r="L577" s="2058"/>
      <c r="M577" s="2058"/>
      <c r="N577" s="2058"/>
      <c r="O577" s="2058"/>
      <c r="P577" s="2058"/>
      <c r="Q577" s="2059"/>
      <c r="R577" s="5520" t="s">
        <v>2830</v>
      </c>
      <c r="S577" s="4443"/>
      <c r="T577" s="4443"/>
      <c r="U577" s="4443"/>
      <c r="V577" s="4443"/>
      <c r="W577" s="4443"/>
      <c r="X577" s="4443"/>
      <c r="Y577" s="4443"/>
      <c r="Z577" s="2060" t="s">
        <v>340</v>
      </c>
      <c r="AA577" s="998">
        <f>SUM(AA560:AA576)</f>
        <v>0</v>
      </c>
      <c r="AB577" s="5521"/>
      <c r="AC577" s="4443"/>
      <c r="AD577" s="4443"/>
      <c r="AE577" s="4816"/>
    </row>
    <row r="578" spans="1:31" ht="34.5" customHeight="1">
      <c r="A578" s="5554" t="s">
        <v>2831</v>
      </c>
      <c r="B578" s="5576" t="s">
        <v>272</v>
      </c>
      <c r="C578" s="5575" t="s">
        <v>302</v>
      </c>
      <c r="D578" s="5575" t="s">
        <v>303</v>
      </c>
      <c r="E578" s="5575" t="s">
        <v>363</v>
      </c>
      <c r="F578" s="5580" t="s">
        <v>305</v>
      </c>
      <c r="G578" s="5581" t="s">
        <v>240</v>
      </c>
      <c r="H578" s="5582" t="s">
        <v>257</v>
      </c>
      <c r="I578" s="5583" t="s">
        <v>2832</v>
      </c>
      <c r="J578" s="5575" t="s">
        <v>2718</v>
      </c>
      <c r="K578" s="5575" t="s">
        <v>2719</v>
      </c>
      <c r="L578" s="5579">
        <v>1</v>
      </c>
      <c r="M578" s="5579">
        <v>1</v>
      </c>
      <c r="N578" s="5579">
        <v>1</v>
      </c>
      <c r="O578" s="5575" t="s">
        <v>2720</v>
      </c>
      <c r="P578" s="5575" t="s">
        <v>2721</v>
      </c>
      <c r="Q578" s="5392" t="s">
        <v>2833</v>
      </c>
      <c r="R578" s="1200"/>
      <c r="S578" s="1103"/>
      <c r="T578" s="1103"/>
      <c r="U578" s="154"/>
      <c r="V578" s="1104"/>
      <c r="W578" s="155"/>
      <c r="X578" s="1105"/>
      <c r="Y578" s="1105"/>
      <c r="Z578" s="1105"/>
      <c r="AA578" s="1106"/>
      <c r="AB578" s="155"/>
      <c r="AC578" s="156"/>
      <c r="AD578" s="156"/>
      <c r="AE578" s="5428"/>
    </row>
    <row r="579" spans="1:31" ht="34.5" customHeight="1">
      <c r="A579" s="5555"/>
      <c r="B579" s="5573"/>
      <c r="C579" s="4629"/>
      <c r="D579" s="4629"/>
      <c r="E579" s="4629"/>
      <c r="F579" s="4629"/>
      <c r="G579" s="5531"/>
      <c r="H579" s="5515"/>
      <c r="I579" s="5584"/>
      <c r="J579" s="4629"/>
      <c r="K579" s="4629"/>
      <c r="L579" s="4629"/>
      <c r="M579" s="4629"/>
      <c r="N579" s="4629"/>
      <c r="O579" s="4629"/>
      <c r="P579" s="4629"/>
      <c r="Q579" s="5500"/>
      <c r="R579" s="982"/>
      <c r="S579" s="2045"/>
      <c r="T579" s="2045"/>
      <c r="U579" s="1171"/>
      <c r="V579" s="1201"/>
      <c r="W579" s="170"/>
      <c r="X579" s="974"/>
      <c r="Y579" s="974"/>
      <c r="Z579" s="974"/>
      <c r="AA579" s="969"/>
      <c r="AB579" s="170"/>
      <c r="AC579" s="282"/>
      <c r="AD579" s="282"/>
      <c r="AE579" s="5416"/>
    </row>
    <row r="580" spans="1:31" ht="34.5" customHeight="1">
      <c r="A580" s="5555"/>
      <c r="B580" s="5573"/>
      <c r="C580" s="4629"/>
      <c r="D580" s="4629"/>
      <c r="E580" s="4629"/>
      <c r="F580" s="4629"/>
      <c r="G580" s="5531"/>
      <c r="H580" s="5515"/>
      <c r="I580" s="5584"/>
      <c r="J580" s="4629"/>
      <c r="K580" s="4629"/>
      <c r="L580" s="4629"/>
      <c r="M580" s="4629"/>
      <c r="N580" s="4629"/>
      <c r="O580" s="4629"/>
      <c r="P580" s="4629"/>
      <c r="Q580" s="5500"/>
      <c r="R580" s="2042"/>
      <c r="S580" s="2043"/>
      <c r="T580" s="2043"/>
      <c r="U580" s="1202"/>
      <c r="V580" s="1203"/>
      <c r="W580" s="414"/>
      <c r="X580" s="973"/>
      <c r="Y580" s="974"/>
      <c r="Z580" s="974"/>
      <c r="AA580" s="969"/>
      <c r="AB580" s="170"/>
      <c r="AC580" s="282"/>
      <c r="AD580" s="282"/>
      <c r="AE580" s="5416"/>
    </row>
    <row r="581" spans="1:31" ht="34.5" customHeight="1">
      <c r="A581" s="5555"/>
      <c r="B581" s="5573"/>
      <c r="C581" s="4629"/>
      <c r="D581" s="4629"/>
      <c r="E581" s="4629"/>
      <c r="F581" s="4629"/>
      <c r="G581" s="5531"/>
      <c r="H581" s="5515"/>
      <c r="I581" s="5584"/>
      <c r="J581" s="4629"/>
      <c r="K581" s="4629"/>
      <c r="L581" s="4629"/>
      <c r="M581" s="4629"/>
      <c r="N581" s="4629"/>
      <c r="O581" s="4629"/>
      <c r="P581" s="4629"/>
      <c r="Q581" s="5500"/>
      <c r="R581" s="2041"/>
      <c r="S581" s="2040"/>
      <c r="T581" s="2040"/>
      <c r="U581" s="1202"/>
      <c r="V581" s="1203"/>
      <c r="W581" s="414"/>
      <c r="X581" s="973"/>
      <c r="Y581" s="974"/>
      <c r="Z581" s="974"/>
      <c r="AA581" s="969"/>
      <c r="AB581" s="170"/>
      <c r="AC581" s="282"/>
      <c r="AD581" s="282"/>
      <c r="AE581" s="5416"/>
    </row>
    <row r="582" spans="1:31" ht="34.5" customHeight="1">
      <c r="A582" s="5555"/>
      <c r="B582" s="5574"/>
      <c r="C582" s="4630"/>
      <c r="D582" s="4630"/>
      <c r="E582" s="4630"/>
      <c r="F582" s="4629"/>
      <c r="G582" s="5531"/>
      <c r="H582" s="5510"/>
      <c r="I582" s="5585"/>
      <c r="J582" s="4630"/>
      <c r="K582" s="4630"/>
      <c r="L582" s="4630"/>
      <c r="M582" s="4630"/>
      <c r="N582" s="4630"/>
      <c r="O582" s="4630"/>
      <c r="P582" s="4630"/>
      <c r="Q582" s="5501"/>
      <c r="R582" s="975"/>
      <c r="S582" s="2044"/>
      <c r="T582" s="2044"/>
      <c r="U582" s="411"/>
      <c r="V582" s="977"/>
      <c r="W582" s="165"/>
      <c r="X582" s="978"/>
      <c r="Y582" s="978"/>
      <c r="Z582" s="978"/>
      <c r="AA582" s="979"/>
      <c r="AB582" s="165"/>
      <c r="AC582" s="166"/>
      <c r="AD582" s="166"/>
      <c r="AE582" s="5417"/>
    </row>
    <row r="583" spans="1:31" ht="34.5" customHeight="1">
      <c r="A583" s="5555"/>
      <c r="B583" s="5576" t="s">
        <v>272</v>
      </c>
      <c r="C583" s="5575" t="s">
        <v>302</v>
      </c>
      <c r="D583" s="5575" t="s">
        <v>388</v>
      </c>
      <c r="E583" s="5581" t="s">
        <v>944</v>
      </c>
      <c r="F583" s="5588" t="s">
        <v>305</v>
      </c>
      <c r="G583" s="5582" t="s">
        <v>240</v>
      </c>
      <c r="H583" s="5582" t="s">
        <v>257</v>
      </c>
      <c r="I583" s="5583" t="s">
        <v>2723</v>
      </c>
      <c r="J583" s="5575" t="s">
        <v>2724</v>
      </c>
      <c r="K583" s="5575" t="s">
        <v>2725</v>
      </c>
      <c r="L583" s="5579">
        <v>1</v>
      </c>
      <c r="M583" s="5579">
        <v>1</v>
      </c>
      <c r="N583" s="5579">
        <v>1</v>
      </c>
      <c r="O583" s="5575" t="s">
        <v>2726</v>
      </c>
      <c r="P583" s="5575" t="s">
        <v>2727</v>
      </c>
      <c r="Q583" s="5392" t="s">
        <v>2833</v>
      </c>
      <c r="R583" s="1200"/>
      <c r="S583" s="1103"/>
      <c r="T583" s="1103"/>
      <c r="U583" s="154"/>
      <c r="V583" s="1104"/>
      <c r="W583" s="155"/>
      <c r="X583" s="1105"/>
      <c r="Y583" s="1105"/>
      <c r="Z583" s="1105"/>
      <c r="AA583" s="1106"/>
      <c r="AB583" s="155"/>
      <c r="AC583" s="156"/>
      <c r="AD583" s="156"/>
      <c r="AE583" s="5428"/>
    </row>
    <row r="584" spans="1:31" ht="34.5" customHeight="1">
      <c r="A584" s="5555"/>
      <c r="B584" s="5573"/>
      <c r="C584" s="4629"/>
      <c r="D584" s="4629"/>
      <c r="E584" s="5531"/>
      <c r="F584" s="5515"/>
      <c r="G584" s="5515"/>
      <c r="H584" s="5515"/>
      <c r="I584" s="5584"/>
      <c r="J584" s="4629"/>
      <c r="K584" s="4629"/>
      <c r="L584" s="4629"/>
      <c r="M584" s="4629"/>
      <c r="N584" s="4629"/>
      <c r="O584" s="4629"/>
      <c r="P584" s="4629"/>
      <c r="Q584" s="5500"/>
      <c r="R584" s="982"/>
      <c r="S584" s="2045"/>
      <c r="T584" s="2045"/>
      <c r="U584" s="1171"/>
      <c r="V584" s="1201"/>
      <c r="W584" s="170"/>
      <c r="X584" s="974"/>
      <c r="Y584" s="974"/>
      <c r="Z584" s="974"/>
      <c r="AA584" s="969"/>
      <c r="AB584" s="170"/>
      <c r="AC584" s="282"/>
      <c r="AD584" s="282"/>
      <c r="AE584" s="5416"/>
    </row>
    <row r="585" spans="1:31" ht="34.5" customHeight="1">
      <c r="A585" s="5555"/>
      <c r="B585" s="5573"/>
      <c r="C585" s="4629"/>
      <c r="D585" s="4629"/>
      <c r="E585" s="5531"/>
      <c r="F585" s="5515"/>
      <c r="G585" s="5515"/>
      <c r="H585" s="5515"/>
      <c r="I585" s="5584"/>
      <c r="J585" s="4629"/>
      <c r="K585" s="4629"/>
      <c r="L585" s="4629"/>
      <c r="M585" s="4629"/>
      <c r="N585" s="4629"/>
      <c r="O585" s="4629"/>
      <c r="P585" s="4629"/>
      <c r="Q585" s="5500"/>
      <c r="R585" s="2042"/>
      <c r="S585" s="2043"/>
      <c r="T585" s="2043"/>
      <c r="U585" s="1202"/>
      <c r="V585" s="1203"/>
      <c r="W585" s="414"/>
      <c r="X585" s="973"/>
      <c r="Y585" s="974"/>
      <c r="Z585" s="974"/>
      <c r="AA585" s="969"/>
      <c r="AB585" s="170"/>
      <c r="AC585" s="282"/>
      <c r="AD585" s="282"/>
      <c r="AE585" s="5416"/>
    </row>
    <row r="586" spans="1:31" ht="34.5" customHeight="1">
      <c r="A586" s="5555"/>
      <c r="B586" s="5573"/>
      <c r="C586" s="4629"/>
      <c r="D586" s="4629"/>
      <c r="E586" s="5531"/>
      <c r="F586" s="5515"/>
      <c r="G586" s="5515"/>
      <c r="H586" s="5515"/>
      <c r="I586" s="5584"/>
      <c r="J586" s="4629"/>
      <c r="K586" s="4629"/>
      <c r="L586" s="4629"/>
      <c r="M586" s="4629"/>
      <c r="N586" s="4629"/>
      <c r="O586" s="4629"/>
      <c r="P586" s="4629"/>
      <c r="Q586" s="5500"/>
      <c r="R586" s="2041"/>
      <c r="S586" s="2040"/>
      <c r="T586" s="2040"/>
      <c r="U586" s="1202"/>
      <c r="V586" s="1203"/>
      <c r="W586" s="414"/>
      <c r="X586" s="973"/>
      <c r="Y586" s="974"/>
      <c r="Z586" s="974"/>
      <c r="AA586" s="969"/>
      <c r="AB586" s="170"/>
      <c r="AC586" s="282"/>
      <c r="AD586" s="282"/>
      <c r="AE586" s="5416"/>
    </row>
    <row r="587" spans="1:31" ht="34.5" customHeight="1">
      <c r="A587" s="5555"/>
      <c r="B587" s="5574"/>
      <c r="C587" s="4630"/>
      <c r="D587" s="4630"/>
      <c r="E587" s="5532"/>
      <c r="F587" s="5510"/>
      <c r="G587" s="5510"/>
      <c r="H587" s="5510"/>
      <c r="I587" s="5585"/>
      <c r="J587" s="4630"/>
      <c r="K587" s="4630"/>
      <c r="L587" s="4630"/>
      <c r="M587" s="4630"/>
      <c r="N587" s="4630"/>
      <c r="O587" s="4630"/>
      <c r="P587" s="4630"/>
      <c r="Q587" s="5501"/>
      <c r="R587" s="975"/>
      <c r="S587" s="2044"/>
      <c r="T587" s="2044"/>
      <c r="U587" s="411"/>
      <c r="V587" s="977"/>
      <c r="W587" s="165"/>
      <c r="X587" s="978"/>
      <c r="Y587" s="978"/>
      <c r="Z587" s="978"/>
      <c r="AA587" s="979"/>
      <c r="AB587" s="165"/>
      <c r="AC587" s="166"/>
      <c r="AD587" s="166"/>
      <c r="AE587" s="5417"/>
    </row>
    <row r="588" spans="1:31" ht="34.5" customHeight="1">
      <c r="A588" s="5555"/>
      <c r="B588" s="5576" t="s">
        <v>272</v>
      </c>
      <c r="C588" s="5575" t="s">
        <v>302</v>
      </c>
      <c r="D588" s="5575" t="s">
        <v>303</v>
      </c>
      <c r="E588" s="5589" t="s">
        <v>363</v>
      </c>
      <c r="F588" s="5567" t="s">
        <v>305</v>
      </c>
      <c r="G588" s="5566" t="s">
        <v>306</v>
      </c>
      <c r="H588" s="5566" t="s">
        <v>241</v>
      </c>
      <c r="I588" s="5575" t="s">
        <v>2728</v>
      </c>
      <c r="J588" s="5575" t="s">
        <v>2729</v>
      </c>
      <c r="K588" s="5575" t="s">
        <v>2730</v>
      </c>
      <c r="L588" s="5579">
        <v>1</v>
      </c>
      <c r="M588" s="5579">
        <v>1</v>
      </c>
      <c r="N588" s="5579">
        <v>1</v>
      </c>
      <c r="O588" s="5575" t="s">
        <v>2731</v>
      </c>
      <c r="P588" s="5575" t="s">
        <v>2732</v>
      </c>
      <c r="Q588" s="5392" t="s">
        <v>2833</v>
      </c>
      <c r="R588" s="1200"/>
      <c r="S588" s="1103"/>
      <c r="T588" s="1103"/>
      <c r="U588" s="154"/>
      <c r="V588" s="1104"/>
      <c r="W588" s="155"/>
      <c r="X588" s="1105"/>
      <c r="Y588" s="1105"/>
      <c r="Z588" s="1105"/>
      <c r="AA588" s="1106"/>
      <c r="AB588" s="155"/>
      <c r="AC588" s="156"/>
      <c r="AD588" s="156"/>
      <c r="AE588" s="5428"/>
    </row>
    <row r="589" spans="1:31" ht="34.5" customHeight="1">
      <c r="A589" s="5555"/>
      <c r="B589" s="5573"/>
      <c r="C589" s="4629"/>
      <c r="D589" s="4629"/>
      <c r="E589" s="5573"/>
      <c r="F589" s="4629"/>
      <c r="G589" s="4629"/>
      <c r="H589" s="4629"/>
      <c r="I589" s="4629"/>
      <c r="J589" s="4629"/>
      <c r="K589" s="4629"/>
      <c r="L589" s="4629"/>
      <c r="M589" s="4629"/>
      <c r="N589" s="4629"/>
      <c r="O589" s="4629"/>
      <c r="P589" s="4629"/>
      <c r="Q589" s="5500"/>
      <c r="R589" s="982"/>
      <c r="S589" s="2045"/>
      <c r="T589" s="2045"/>
      <c r="U589" s="1171"/>
      <c r="V589" s="1201"/>
      <c r="W589" s="170"/>
      <c r="X589" s="974"/>
      <c r="Y589" s="974"/>
      <c r="Z589" s="974"/>
      <c r="AA589" s="969"/>
      <c r="AB589" s="170"/>
      <c r="AC589" s="282"/>
      <c r="AD589" s="282"/>
      <c r="AE589" s="5416"/>
    </row>
    <row r="590" spans="1:31" ht="34.5" customHeight="1">
      <c r="A590" s="5555"/>
      <c r="B590" s="5573"/>
      <c r="C590" s="4629"/>
      <c r="D590" s="4629"/>
      <c r="E590" s="5573"/>
      <c r="F590" s="4629"/>
      <c r="G590" s="4629"/>
      <c r="H590" s="4629"/>
      <c r="I590" s="4629"/>
      <c r="J590" s="4629"/>
      <c r="K590" s="4629"/>
      <c r="L590" s="4629"/>
      <c r="M590" s="4629"/>
      <c r="N590" s="4629"/>
      <c r="O590" s="4629"/>
      <c r="P590" s="4629"/>
      <c r="Q590" s="5500"/>
      <c r="R590" s="2042"/>
      <c r="S590" s="2043"/>
      <c r="T590" s="2043"/>
      <c r="U590" s="1202"/>
      <c r="V590" s="1203"/>
      <c r="W590" s="414"/>
      <c r="X590" s="973"/>
      <c r="Y590" s="974"/>
      <c r="Z590" s="974"/>
      <c r="AA590" s="969"/>
      <c r="AB590" s="170"/>
      <c r="AC590" s="282"/>
      <c r="AD590" s="282"/>
      <c r="AE590" s="5416"/>
    </row>
    <row r="591" spans="1:31" ht="34.5" customHeight="1">
      <c r="A591" s="5555"/>
      <c r="B591" s="5573"/>
      <c r="C591" s="4629"/>
      <c r="D591" s="4629"/>
      <c r="E591" s="5573"/>
      <c r="F591" s="4629"/>
      <c r="G591" s="4629"/>
      <c r="H591" s="4629"/>
      <c r="I591" s="4629"/>
      <c r="J591" s="4629"/>
      <c r="K591" s="4629"/>
      <c r="L591" s="4629"/>
      <c r="M591" s="4629"/>
      <c r="N591" s="4629"/>
      <c r="O591" s="4629"/>
      <c r="P591" s="4629"/>
      <c r="Q591" s="5500"/>
      <c r="R591" s="2041"/>
      <c r="S591" s="2040"/>
      <c r="T591" s="2040"/>
      <c r="U591" s="1202"/>
      <c r="V591" s="1203"/>
      <c r="W591" s="414"/>
      <c r="X591" s="973"/>
      <c r="Y591" s="974"/>
      <c r="Z591" s="974"/>
      <c r="AA591" s="969"/>
      <c r="AB591" s="170"/>
      <c r="AC591" s="282"/>
      <c r="AD591" s="282"/>
      <c r="AE591" s="5416"/>
    </row>
    <row r="592" spans="1:31" ht="34.5" customHeight="1">
      <c r="A592" s="5555"/>
      <c r="B592" s="5574"/>
      <c r="C592" s="4630"/>
      <c r="D592" s="4630"/>
      <c r="E592" s="5574"/>
      <c r="F592" s="4630"/>
      <c r="G592" s="4630"/>
      <c r="H592" s="4630"/>
      <c r="I592" s="4630"/>
      <c r="J592" s="4630"/>
      <c r="K592" s="4630"/>
      <c r="L592" s="4630"/>
      <c r="M592" s="4630"/>
      <c r="N592" s="4630"/>
      <c r="O592" s="4630"/>
      <c r="P592" s="4630"/>
      <c r="Q592" s="5501"/>
      <c r="R592" s="975"/>
      <c r="S592" s="2044"/>
      <c r="T592" s="2044"/>
      <c r="U592" s="411"/>
      <c r="V592" s="977"/>
      <c r="W592" s="165"/>
      <c r="X592" s="978"/>
      <c r="Y592" s="978"/>
      <c r="Z592" s="978"/>
      <c r="AA592" s="979"/>
      <c r="AB592" s="165"/>
      <c r="AC592" s="166"/>
      <c r="AD592" s="166"/>
      <c r="AE592" s="5417"/>
    </row>
    <row r="593" spans="1:31" ht="34.5" customHeight="1">
      <c r="A593" s="5555"/>
      <c r="B593" s="5576" t="s">
        <v>272</v>
      </c>
      <c r="C593" s="5575" t="s">
        <v>236</v>
      </c>
      <c r="D593" s="5575" t="s">
        <v>303</v>
      </c>
      <c r="E593" s="5589" t="s">
        <v>363</v>
      </c>
      <c r="F593" s="5580" t="s">
        <v>305</v>
      </c>
      <c r="G593" s="5575" t="s">
        <v>240</v>
      </c>
      <c r="H593" s="5575" t="s">
        <v>278</v>
      </c>
      <c r="I593" s="5575" t="s">
        <v>2733</v>
      </c>
      <c r="J593" s="5575" t="s">
        <v>2734</v>
      </c>
      <c r="K593" s="5575" t="s">
        <v>2735</v>
      </c>
      <c r="L593" s="5579">
        <v>1</v>
      </c>
      <c r="M593" s="5579">
        <v>1</v>
      </c>
      <c r="N593" s="5579">
        <v>1</v>
      </c>
      <c r="O593" s="5575" t="s">
        <v>2736</v>
      </c>
      <c r="P593" s="5575" t="s">
        <v>2737</v>
      </c>
      <c r="Q593" s="5392" t="s">
        <v>2833</v>
      </c>
      <c r="R593" s="1200"/>
      <c r="S593" s="1103"/>
      <c r="T593" s="1103"/>
      <c r="U593" s="154"/>
      <c r="V593" s="1104"/>
      <c r="W593" s="155"/>
      <c r="X593" s="1105"/>
      <c r="Y593" s="1105"/>
      <c r="Z593" s="1105"/>
      <c r="AA593" s="1106"/>
      <c r="AB593" s="155"/>
      <c r="AC593" s="156"/>
      <c r="AD593" s="156"/>
      <c r="AE593" s="5428"/>
    </row>
    <row r="594" spans="1:31" ht="34.5" customHeight="1">
      <c r="A594" s="5555"/>
      <c r="B594" s="5573"/>
      <c r="C594" s="4629"/>
      <c r="D594" s="4629"/>
      <c r="E594" s="5573"/>
      <c r="F594" s="4629"/>
      <c r="G594" s="4629"/>
      <c r="H594" s="4629"/>
      <c r="I594" s="4629"/>
      <c r="J594" s="4629"/>
      <c r="K594" s="4629"/>
      <c r="L594" s="4629"/>
      <c r="M594" s="4629"/>
      <c r="N594" s="4629"/>
      <c r="O594" s="4629"/>
      <c r="P594" s="4629"/>
      <c r="Q594" s="5500"/>
      <c r="R594" s="982"/>
      <c r="S594" s="2045"/>
      <c r="T594" s="2045"/>
      <c r="U594" s="1171"/>
      <c r="V594" s="1201"/>
      <c r="W594" s="170"/>
      <c r="X594" s="974"/>
      <c r="Y594" s="974"/>
      <c r="Z594" s="974"/>
      <c r="AA594" s="969"/>
      <c r="AB594" s="170"/>
      <c r="AC594" s="282"/>
      <c r="AD594" s="282"/>
      <c r="AE594" s="5416"/>
    </row>
    <row r="595" spans="1:31" ht="34.5" customHeight="1">
      <c r="A595" s="5555"/>
      <c r="B595" s="5573"/>
      <c r="C595" s="4629"/>
      <c r="D595" s="4629"/>
      <c r="E595" s="5573"/>
      <c r="F595" s="4629"/>
      <c r="G595" s="4629"/>
      <c r="H595" s="4629"/>
      <c r="I595" s="4629"/>
      <c r="J595" s="4629"/>
      <c r="K595" s="4629"/>
      <c r="L595" s="4629"/>
      <c r="M595" s="4629"/>
      <c r="N595" s="4629"/>
      <c r="O595" s="4629"/>
      <c r="P595" s="4629"/>
      <c r="Q595" s="5500"/>
      <c r="R595" s="2042"/>
      <c r="S595" s="2043"/>
      <c r="T595" s="2043"/>
      <c r="U595" s="1202"/>
      <c r="V595" s="1203"/>
      <c r="W595" s="414"/>
      <c r="X595" s="973"/>
      <c r="Y595" s="974"/>
      <c r="Z595" s="974"/>
      <c r="AA595" s="969"/>
      <c r="AB595" s="170"/>
      <c r="AC595" s="282"/>
      <c r="AD595" s="282"/>
      <c r="AE595" s="5416"/>
    </row>
    <row r="596" spans="1:31" ht="34.5" customHeight="1">
      <c r="A596" s="5555"/>
      <c r="B596" s="5573"/>
      <c r="C596" s="4629"/>
      <c r="D596" s="4629"/>
      <c r="E596" s="5573"/>
      <c r="F596" s="4629"/>
      <c r="G596" s="4629"/>
      <c r="H596" s="4629"/>
      <c r="I596" s="4629"/>
      <c r="J596" s="4629"/>
      <c r="K596" s="4629"/>
      <c r="L596" s="4629"/>
      <c r="M596" s="4629"/>
      <c r="N596" s="4629"/>
      <c r="O596" s="4629"/>
      <c r="P596" s="4629"/>
      <c r="Q596" s="5500"/>
      <c r="R596" s="2041"/>
      <c r="S596" s="2040"/>
      <c r="T596" s="2040"/>
      <c r="U596" s="1202"/>
      <c r="V596" s="1203"/>
      <c r="W596" s="414"/>
      <c r="X596" s="973"/>
      <c r="Y596" s="974"/>
      <c r="Z596" s="974"/>
      <c r="AA596" s="969"/>
      <c r="AB596" s="170"/>
      <c r="AC596" s="282"/>
      <c r="AD596" s="282"/>
      <c r="AE596" s="5416"/>
    </row>
    <row r="597" spans="1:31" ht="34.5" customHeight="1">
      <c r="A597" s="5555"/>
      <c r="B597" s="5574"/>
      <c r="C597" s="4630"/>
      <c r="D597" s="4630"/>
      <c r="E597" s="5574"/>
      <c r="F597" s="4630"/>
      <c r="G597" s="4630"/>
      <c r="H597" s="4630"/>
      <c r="I597" s="4630"/>
      <c r="J597" s="4630"/>
      <c r="K597" s="4630"/>
      <c r="L597" s="4630"/>
      <c r="M597" s="4630"/>
      <c r="N597" s="4630"/>
      <c r="O597" s="4630"/>
      <c r="P597" s="4630"/>
      <c r="Q597" s="5501"/>
      <c r="R597" s="1204"/>
      <c r="S597" s="2044"/>
      <c r="T597" s="2044"/>
      <c r="U597" s="411"/>
      <c r="V597" s="182"/>
      <c r="W597" s="182"/>
      <c r="X597" s="1177"/>
      <c r="Y597" s="978"/>
      <c r="Z597" s="978"/>
      <c r="AA597" s="979"/>
      <c r="AB597" s="165"/>
      <c r="AC597" s="166"/>
      <c r="AD597" s="166"/>
      <c r="AE597" s="5417"/>
    </row>
    <row r="598" spans="1:31" ht="34.5" customHeight="1">
      <c r="A598" s="5555"/>
      <c r="B598" s="5572" t="s">
        <v>272</v>
      </c>
      <c r="C598" s="5566" t="s">
        <v>679</v>
      </c>
      <c r="D598" s="5575" t="s">
        <v>674</v>
      </c>
      <c r="E598" s="5566" t="s">
        <v>944</v>
      </c>
      <c r="F598" s="5567" t="s">
        <v>276</v>
      </c>
      <c r="G598" s="5566" t="s">
        <v>686</v>
      </c>
      <c r="H598" s="5566" t="s">
        <v>241</v>
      </c>
      <c r="I598" s="5568" t="s">
        <v>2738</v>
      </c>
      <c r="J598" s="5568" t="s">
        <v>2739</v>
      </c>
      <c r="K598" s="5566" t="s">
        <v>2740</v>
      </c>
      <c r="L598" s="4662">
        <v>1</v>
      </c>
      <c r="M598" s="4628">
        <v>1</v>
      </c>
      <c r="N598" s="4662">
        <v>1</v>
      </c>
      <c r="O598" s="5566" t="s">
        <v>2741</v>
      </c>
      <c r="P598" s="5566" t="s">
        <v>2742</v>
      </c>
      <c r="Q598" s="5392" t="s">
        <v>2833</v>
      </c>
      <c r="R598" s="1205"/>
      <c r="S598" s="1103"/>
      <c r="T598" s="1103"/>
      <c r="U598" s="154"/>
      <c r="V598" s="1104"/>
      <c r="W598" s="155"/>
      <c r="X598" s="1105"/>
      <c r="Y598" s="1105"/>
      <c r="Z598" s="1105"/>
      <c r="AA598" s="1106"/>
      <c r="AB598" s="155"/>
      <c r="AC598" s="156"/>
      <c r="AD598" s="156"/>
      <c r="AE598" s="5428"/>
    </row>
    <row r="599" spans="1:31" ht="34.5" customHeight="1">
      <c r="A599" s="5555"/>
      <c r="B599" s="5573"/>
      <c r="C599" s="4629"/>
      <c r="D599" s="4629"/>
      <c r="E599" s="4629"/>
      <c r="F599" s="4629"/>
      <c r="G599" s="4629"/>
      <c r="H599" s="4629"/>
      <c r="I599" s="4629"/>
      <c r="J599" s="4629"/>
      <c r="K599" s="4629"/>
      <c r="L599" s="4629"/>
      <c r="M599" s="4629"/>
      <c r="N599" s="4629"/>
      <c r="O599" s="4629"/>
      <c r="P599" s="4629"/>
      <c r="Q599" s="5500"/>
      <c r="R599" s="982"/>
      <c r="S599" s="2045"/>
      <c r="T599" s="2045"/>
      <c r="U599" s="169"/>
      <c r="V599" s="984"/>
      <c r="W599" s="170"/>
      <c r="X599" s="1160"/>
      <c r="Y599" s="974"/>
      <c r="Z599" s="974"/>
      <c r="AA599" s="969"/>
      <c r="AB599" s="170"/>
      <c r="AC599" s="282"/>
      <c r="AD599" s="282"/>
      <c r="AE599" s="5416"/>
    </row>
    <row r="600" spans="1:31" ht="34.5" customHeight="1">
      <c r="A600" s="5555"/>
      <c r="B600" s="5573"/>
      <c r="C600" s="4629"/>
      <c r="D600" s="4629"/>
      <c r="E600" s="4629"/>
      <c r="F600" s="4629"/>
      <c r="G600" s="4629"/>
      <c r="H600" s="4629"/>
      <c r="I600" s="4629"/>
      <c r="J600" s="4629"/>
      <c r="K600" s="4629"/>
      <c r="L600" s="4629"/>
      <c r="M600" s="4629"/>
      <c r="N600" s="4629"/>
      <c r="O600" s="4629"/>
      <c r="P600" s="4629"/>
      <c r="Q600" s="5500"/>
      <c r="R600" s="2042"/>
      <c r="S600" s="2043"/>
      <c r="T600" s="2043"/>
      <c r="U600" s="1217"/>
      <c r="V600" s="968"/>
      <c r="W600" s="414"/>
      <c r="X600" s="1161"/>
      <c r="Y600" s="974"/>
      <c r="Z600" s="974"/>
      <c r="AA600" s="969"/>
      <c r="AB600" s="170"/>
      <c r="AC600" s="282"/>
      <c r="AD600" s="282"/>
      <c r="AE600" s="5416"/>
    </row>
    <row r="601" spans="1:31" ht="34.5" customHeight="1">
      <c r="A601" s="5555"/>
      <c r="B601" s="5573"/>
      <c r="C601" s="4629"/>
      <c r="D601" s="4629"/>
      <c r="E601" s="4629"/>
      <c r="F601" s="4629"/>
      <c r="G601" s="4629"/>
      <c r="H601" s="4629"/>
      <c r="I601" s="4629"/>
      <c r="J601" s="4629"/>
      <c r="K601" s="4629"/>
      <c r="L601" s="4629"/>
      <c r="M601" s="4629"/>
      <c r="N601" s="4629"/>
      <c r="O601" s="4629"/>
      <c r="P601" s="4629"/>
      <c r="Q601" s="5500"/>
      <c r="R601" s="2041"/>
      <c r="S601" s="2040"/>
      <c r="T601" s="2040"/>
      <c r="U601" s="1217"/>
      <c r="V601" s="968"/>
      <c r="W601" s="414"/>
      <c r="X601" s="1161"/>
      <c r="Y601" s="974"/>
      <c r="Z601" s="974"/>
      <c r="AA601" s="969"/>
      <c r="AB601" s="170"/>
      <c r="AC601" s="282"/>
      <c r="AD601" s="282"/>
      <c r="AE601" s="5416"/>
    </row>
    <row r="602" spans="1:31" ht="34.5" customHeight="1">
      <c r="A602" s="5555"/>
      <c r="B602" s="5574"/>
      <c r="C602" s="4630"/>
      <c r="D602" s="4630"/>
      <c r="E602" s="4630"/>
      <c r="F602" s="4630"/>
      <c r="G602" s="4630"/>
      <c r="H602" s="4630"/>
      <c r="I602" s="4630"/>
      <c r="J602" s="4630"/>
      <c r="K602" s="4630"/>
      <c r="L602" s="4630"/>
      <c r="M602" s="4630"/>
      <c r="N602" s="4630"/>
      <c r="O602" s="4630"/>
      <c r="P602" s="4630"/>
      <c r="Q602" s="5501"/>
      <c r="R602" s="1204"/>
      <c r="S602" s="2135"/>
      <c r="T602" s="2135"/>
      <c r="U602" s="182"/>
      <c r="V602" s="1176"/>
      <c r="W602" s="183"/>
      <c r="X602" s="1177"/>
      <c r="Y602" s="1177"/>
      <c r="Z602" s="1177"/>
      <c r="AA602" s="1178"/>
      <c r="AB602" s="183"/>
      <c r="AC602" s="184"/>
      <c r="AD602" s="184"/>
      <c r="AE602" s="5598"/>
    </row>
    <row r="603" spans="1:31" ht="34.5" customHeight="1">
      <c r="A603" s="5555"/>
      <c r="B603" s="5572" t="s">
        <v>272</v>
      </c>
      <c r="C603" s="5566" t="s">
        <v>302</v>
      </c>
      <c r="D603" s="5566" t="s">
        <v>303</v>
      </c>
      <c r="E603" s="5566" t="s">
        <v>363</v>
      </c>
      <c r="F603" s="5567" t="s">
        <v>305</v>
      </c>
      <c r="G603" s="5566" t="s">
        <v>240</v>
      </c>
      <c r="H603" s="5566" t="s">
        <v>257</v>
      </c>
      <c r="I603" s="5568" t="s">
        <v>2743</v>
      </c>
      <c r="J603" s="5568" t="s">
        <v>2744</v>
      </c>
      <c r="K603" s="5566" t="s">
        <v>2745</v>
      </c>
      <c r="L603" s="4662">
        <v>1</v>
      </c>
      <c r="M603" s="4628">
        <v>2</v>
      </c>
      <c r="N603" s="4662">
        <v>1</v>
      </c>
      <c r="O603" s="5566" t="s">
        <v>2746</v>
      </c>
      <c r="P603" s="5566" t="s">
        <v>2747</v>
      </c>
      <c r="Q603" s="5392" t="s">
        <v>2833</v>
      </c>
      <c r="R603" s="1200"/>
      <c r="S603" s="1103"/>
      <c r="T603" s="1103"/>
      <c r="U603" s="154"/>
      <c r="V603" s="1104"/>
      <c r="W603" s="155"/>
      <c r="X603" s="1105"/>
      <c r="Y603" s="1105"/>
      <c r="Z603" s="1105"/>
      <c r="AA603" s="1106"/>
      <c r="AB603" s="155"/>
      <c r="AC603" s="156"/>
      <c r="AD603" s="156"/>
      <c r="AE603" s="5428"/>
    </row>
    <row r="604" spans="1:31" ht="34.5" customHeight="1">
      <c r="A604" s="5555"/>
      <c r="B604" s="5573"/>
      <c r="C604" s="4629"/>
      <c r="D604" s="4629"/>
      <c r="E604" s="4629"/>
      <c r="F604" s="4629"/>
      <c r="G604" s="4629"/>
      <c r="H604" s="4629"/>
      <c r="I604" s="4629"/>
      <c r="J604" s="4629"/>
      <c r="K604" s="4629"/>
      <c r="L604" s="4629"/>
      <c r="M604" s="4629"/>
      <c r="N604" s="4629"/>
      <c r="O604" s="4629"/>
      <c r="P604" s="4629"/>
      <c r="Q604" s="5500"/>
      <c r="R604" s="982"/>
      <c r="S604" s="2045"/>
      <c r="T604" s="2045"/>
      <c r="U604" s="1171"/>
      <c r="V604" s="984"/>
      <c r="W604" s="170"/>
      <c r="X604" s="974"/>
      <c r="Y604" s="974"/>
      <c r="Z604" s="974"/>
      <c r="AA604" s="969"/>
      <c r="AB604" s="170"/>
      <c r="AC604" s="282"/>
      <c r="AD604" s="282"/>
      <c r="AE604" s="5416"/>
    </row>
    <row r="605" spans="1:31" ht="34.5" customHeight="1">
      <c r="A605" s="5555"/>
      <c r="B605" s="5573"/>
      <c r="C605" s="4629"/>
      <c r="D605" s="4629"/>
      <c r="E605" s="4629"/>
      <c r="F605" s="4629"/>
      <c r="G605" s="4629"/>
      <c r="H605" s="4629"/>
      <c r="I605" s="4629"/>
      <c r="J605" s="4629"/>
      <c r="K605" s="4629"/>
      <c r="L605" s="4629"/>
      <c r="M605" s="4629"/>
      <c r="N605" s="4629"/>
      <c r="O605" s="4629"/>
      <c r="P605" s="4629"/>
      <c r="Q605" s="5500"/>
      <c r="R605" s="2042"/>
      <c r="S605" s="2043"/>
      <c r="T605" s="2043"/>
      <c r="U605" s="1217"/>
      <c r="V605" s="968"/>
      <c r="W605" s="414"/>
      <c r="X605" s="973"/>
      <c r="Y605" s="974"/>
      <c r="Z605" s="974"/>
      <c r="AA605" s="969"/>
      <c r="AB605" s="170"/>
      <c r="AC605" s="282"/>
      <c r="AD605" s="282"/>
      <c r="AE605" s="5416"/>
    </row>
    <row r="606" spans="1:31" ht="34.5" customHeight="1">
      <c r="A606" s="5555"/>
      <c r="B606" s="5573"/>
      <c r="C606" s="4629"/>
      <c r="D606" s="4629"/>
      <c r="E606" s="4629"/>
      <c r="F606" s="4629"/>
      <c r="G606" s="4629"/>
      <c r="H606" s="4629"/>
      <c r="I606" s="4629"/>
      <c r="J606" s="4629"/>
      <c r="K606" s="4629"/>
      <c r="L606" s="4629"/>
      <c r="M606" s="4629"/>
      <c r="N606" s="4629"/>
      <c r="O606" s="4629"/>
      <c r="P606" s="4629"/>
      <c r="Q606" s="5500"/>
      <c r="R606" s="2041"/>
      <c r="S606" s="2040"/>
      <c r="T606" s="2040"/>
      <c r="U606" s="1217"/>
      <c r="V606" s="968"/>
      <c r="W606" s="414"/>
      <c r="X606" s="973"/>
      <c r="Y606" s="974"/>
      <c r="Z606" s="974"/>
      <c r="AA606" s="969"/>
      <c r="AB606" s="170"/>
      <c r="AC606" s="282"/>
      <c r="AD606" s="282"/>
      <c r="AE606" s="5416"/>
    </row>
    <row r="607" spans="1:31" ht="34.5" customHeight="1">
      <c r="A607" s="5555"/>
      <c r="B607" s="5574"/>
      <c r="C607" s="4630"/>
      <c r="D607" s="4630"/>
      <c r="E607" s="4630"/>
      <c r="F607" s="4630"/>
      <c r="G607" s="4630"/>
      <c r="H607" s="4630"/>
      <c r="I607" s="4630"/>
      <c r="J607" s="4630"/>
      <c r="K607" s="4630"/>
      <c r="L607" s="4630"/>
      <c r="M607" s="4630"/>
      <c r="N607" s="4630"/>
      <c r="O607" s="4630"/>
      <c r="P607" s="4630"/>
      <c r="Q607" s="5501"/>
      <c r="R607" s="1204"/>
      <c r="S607" s="2135"/>
      <c r="T607" s="2135"/>
      <c r="U607" s="182"/>
      <c r="V607" s="1176"/>
      <c r="W607" s="183"/>
      <c r="X607" s="1177"/>
      <c r="Y607" s="1177"/>
      <c r="Z607" s="1177"/>
      <c r="AA607" s="1178"/>
      <c r="AB607" s="183"/>
      <c r="AC607" s="184"/>
      <c r="AD607" s="184"/>
      <c r="AE607" s="5598"/>
    </row>
    <row r="608" spans="1:31" ht="34.5" customHeight="1">
      <c r="A608" s="5555"/>
      <c r="B608" s="5572" t="s">
        <v>272</v>
      </c>
      <c r="C608" s="5566" t="s">
        <v>302</v>
      </c>
      <c r="D608" s="5566" t="s">
        <v>303</v>
      </c>
      <c r="E608" s="5566" t="s">
        <v>363</v>
      </c>
      <c r="F608" s="5567" t="s">
        <v>305</v>
      </c>
      <c r="G608" s="5566" t="s">
        <v>256</v>
      </c>
      <c r="H608" s="5566" t="s">
        <v>241</v>
      </c>
      <c r="I608" s="5568" t="s">
        <v>2748</v>
      </c>
      <c r="J608" s="5568" t="s">
        <v>2749</v>
      </c>
      <c r="K608" s="5566" t="s">
        <v>2750</v>
      </c>
      <c r="L608" s="4662">
        <v>1</v>
      </c>
      <c r="M608" s="4662">
        <v>1</v>
      </c>
      <c r="N608" s="4662">
        <v>1</v>
      </c>
      <c r="O608" s="5566" t="s">
        <v>2751</v>
      </c>
      <c r="P608" s="5566" t="s">
        <v>2752</v>
      </c>
      <c r="Q608" s="5392" t="s">
        <v>2833</v>
      </c>
      <c r="R608" s="1200"/>
      <c r="S608" s="1103"/>
      <c r="T608" s="1103"/>
      <c r="U608" s="154"/>
      <c r="V608" s="1104"/>
      <c r="W608" s="155"/>
      <c r="X608" s="1105"/>
      <c r="Y608" s="1105"/>
      <c r="Z608" s="1105"/>
      <c r="AA608" s="1106"/>
      <c r="AB608" s="155"/>
      <c r="AC608" s="156"/>
      <c r="AD608" s="156"/>
      <c r="AE608" s="5428"/>
    </row>
    <row r="609" spans="1:31" ht="34.5" customHeight="1">
      <c r="A609" s="5555"/>
      <c r="B609" s="5573"/>
      <c r="C609" s="4629"/>
      <c r="D609" s="4629"/>
      <c r="E609" s="4629"/>
      <c r="F609" s="4629"/>
      <c r="G609" s="4629"/>
      <c r="H609" s="4629"/>
      <c r="I609" s="4629"/>
      <c r="J609" s="4629"/>
      <c r="K609" s="4629"/>
      <c r="L609" s="4629"/>
      <c r="M609" s="4629"/>
      <c r="N609" s="4629"/>
      <c r="O609" s="4629"/>
      <c r="P609" s="4629"/>
      <c r="Q609" s="5500"/>
      <c r="R609" s="982"/>
      <c r="S609" s="2045"/>
      <c r="T609" s="2045"/>
      <c r="U609" s="169"/>
      <c r="V609" s="984"/>
      <c r="W609" s="170"/>
      <c r="X609" s="1160"/>
      <c r="Y609" s="1160"/>
      <c r="Z609" s="1160"/>
      <c r="AA609" s="969"/>
      <c r="AB609" s="170"/>
      <c r="AC609" s="282"/>
      <c r="AD609" s="282"/>
      <c r="AE609" s="5416"/>
    </row>
    <row r="610" spans="1:31" ht="34.5" customHeight="1">
      <c r="A610" s="5555"/>
      <c r="B610" s="5573"/>
      <c r="C610" s="4629"/>
      <c r="D610" s="4629"/>
      <c r="E610" s="4629"/>
      <c r="F610" s="4629"/>
      <c r="G610" s="4629"/>
      <c r="H610" s="4629"/>
      <c r="I610" s="4629"/>
      <c r="J610" s="4629"/>
      <c r="K610" s="4629"/>
      <c r="L610" s="4629"/>
      <c r="M610" s="4629"/>
      <c r="N610" s="4629"/>
      <c r="O610" s="4629"/>
      <c r="P610" s="4629"/>
      <c r="Q610" s="5500"/>
      <c r="R610" s="2042"/>
      <c r="S610" s="2043"/>
      <c r="T610" s="2043"/>
      <c r="U610" s="1217"/>
      <c r="V610" s="968"/>
      <c r="W610" s="414"/>
      <c r="X610" s="1161"/>
      <c r="Y610" s="1160"/>
      <c r="Z610" s="1160"/>
      <c r="AA610" s="969"/>
      <c r="AB610" s="170"/>
      <c r="AC610" s="282"/>
      <c r="AD610" s="282"/>
      <c r="AE610" s="5416"/>
    </row>
    <row r="611" spans="1:31" ht="34.5" customHeight="1">
      <c r="A611" s="5555"/>
      <c r="B611" s="5573"/>
      <c r="C611" s="4629"/>
      <c r="D611" s="4629"/>
      <c r="E611" s="4629"/>
      <c r="F611" s="4629"/>
      <c r="G611" s="4629"/>
      <c r="H611" s="4629"/>
      <c r="I611" s="4629"/>
      <c r="J611" s="4629"/>
      <c r="K611" s="4629"/>
      <c r="L611" s="4629"/>
      <c r="M611" s="4629"/>
      <c r="N611" s="4629"/>
      <c r="O611" s="4629"/>
      <c r="P611" s="4629"/>
      <c r="Q611" s="5500"/>
      <c r="R611" s="2041"/>
      <c r="S611" s="2040"/>
      <c r="T611" s="2040"/>
      <c r="U611" s="1217"/>
      <c r="V611" s="968"/>
      <c r="W611" s="414"/>
      <c r="X611" s="1161"/>
      <c r="Y611" s="1160"/>
      <c r="Z611" s="1160"/>
      <c r="AA611" s="969"/>
      <c r="AB611" s="170"/>
      <c r="AC611" s="282"/>
      <c r="AD611" s="282"/>
      <c r="AE611" s="5416"/>
    </row>
    <row r="612" spans="1:31" ht="34.5" customHeight="1">
      <c r="A612" s="5555"/>
      <c r="B612" s="5574"/>
      <c r="C612" s="4630"/>
      <c r="D612" s="4630"/>
      <c r="E612" s="4630"/>
      <c r="F612" s="4630"/>
      <c r="G612" s="4630"/>
      <c r="H612" s="4630"/>
      <c r="I612" s="4630"/>
      <c r="J612" s="4630"/>
      <c r="K612" s="4630"/>
      <c r="L612" s="4630"/>
      <c r="M612" s="4630"/>
      <c r="N612" s="4630"/>
      <c r="O612" s="4630"/>
      <c r="P612" s="4630"/>
      <c r="Q612" s="5501"/>
      <c r="R612" s="1204"/>
      <c r="S612" s="2135"/>
      <c r="T612" s="2135"/>
      <c r="U612" s="182"/>
      <c r="V612" s="1176"/>
      <c r="W612" s="183"/>
      <c r="X612" s="1177"/>
      <c r="Y612" s="1177"/>
      <c r="Z612" s="1177"/>
      <c r="AA612" s="1178"/>
      <c r="AB612" s="183"/>
      <c r="AC612" s="184"/>
      <c r="AD612" s="184"/>
      <c r="AE612" s="5598"/>
    </row>
    <row r="613" spans="1:31" ht="34.5" customHeight="1">
      <c r="A613" s="5555"/>
      <c r="B613" s="5572" t="s">
        <v>272</v>
      </c>
      <c r="C613" s="5566" t="s">
        <v>302</v>
      </c>
      <c r="D613" s="5566" t="s">
        <v>388</v>
      </c>
      <c r="E613" s="5566" t="s">
        <v>944</v>
      </c>
      <c r="F613" s="5567" t="s">
        <v>305</v>
      </c>
      <c r="G613" s="5566" t="s">
        <v>306</v>
      </c>
      <c r="H613" s="5566" t="s">
        <v>278</v>
      </c>
      <c r="I613" s="5568" t="s">
        <v>2753</v>
      </c>
      <c r="J613" s="5568" t="s">
        <v>2754</v>
      </c>
      <c r="K613" s="5566" t="s">
        <v>2755</v>
      </c>
      <c r="L613" s="4662">
        <v>1</v>
      </c>
      <c r="M613" s="4662">
        <v>1</v>
      </c>
      <c r="N613" s="4662">
        <v>1</v>
      </c>
      <c r="O613" s="5566" t="s">
        <v>2697</v>
      </c>
      <c r="P613" s="5566" t="s">
        <v>2698</v>
      </c>
      <c r="Q613" s="5392" t="s">
        <v>2833</v>
      </c>
      <c r="R613" s="1200"/>
      <c r="S613" s="1103"/>
      <c r="T613" s="1103"/>
      <c r="U613" s="154"/>
      <c r="V613" s="1104"/>
      <c r="W613" s="155"/>
      <c r="X613" s="1105"/>
      <c r="Y613" s="1105"/>
      <c r="Z613" s="1105"/>
      <c r="AA613" s="1106"/>
      <c r="AB613" s="155"/>
      <c r="AC613" s="156"/>
      <c r="AD613" s="156"/>
      <c r="AE613" s="5428"/>
    </row>
    <row r="614" spans="1:31" ht="34.5" customHeight="1">
      <c r="A614" s="5555"/>
      <c r="B614" s="5573"/>
      <c r="C614" s="4629"/>
      <c r="D614" s="4629"/>
      <c r="E614" s="4629"/>
      <c r="F614" s="4629"/>
      <c r="G614" s="4629"/>
      <c r="H614" s="4629"/>
      <c r="I614" s="4629"/>
      <c r="J614" s="4629"/>
      <c r="K614" s="4629"/>
      <c r="L614" s="4629"/>
      <c r="M614" s="4629"/>
      <c r="N614" s="4629"/>
      <c r="O614" s="4629"/>
      <c r="P614" s="4629"/>
      <c r="Q614" s="5500"/>
      <c r="R614" s="982"/>
      <c r="S614" s="2045"/>
      <c r="T614" s="2045"/>
      <c r="U614" s="169"/>
      <c r="V614" s="984"/>
      <c r="W614" s="170"/>
      <c r="X614" s="1160"/>
      <c r="Y614" s="974"/>
      <c r="Z614" s="974"/>
      <c r="AA614" s="969"/>
      <c r="AB614" s="170"/>
      <c r="AC614" s="282"/>
      <c r="AD614" s="282"/>
      <c r="AE614" s="5416"/>
    </row>
    <row r="615" spans="1:31" ht="34.5" customHeight="1">
      <c r="A615" s="5555"/>
      <c r="B615" s="5573"/>
      <c r="C615" s="4629"/>
      <c r="D615" s="4629"/>
      <c r="E615" s="4629"/>
      <c r="F615" s="4629"/>
      <c r="G615" s="4629"/>
      <c r="H615" s="4629"/>
      <c r="I615" s="4629"/>
      <c r="J615" s="4629"/>
      <c r="K615" s="4629"/>
      <c r="L615" s="4629"/>
      <c r="M615" s="4629"/>
      <c r="N615" s="4629"/>
      <c r="O615" s="4629"/>
      <c r="P615" s="4629"/>
      <c r="Q615" s="5500"/>
      <c r="R615" s="2042"/>
      <c r="S615" s="2043"/>
      <c r="T615" s="2043"/>
      <c r="U615" s="1217"/>
      <c r="V615" s="968"/>
      <c r="W615" s="414"/>
      <c r="X615" s="1161"/>
      <c r="Y615" s="974"/>
      <c r="Z615" s="974"/>
      <c r="AA615" s="969"/>
      <c r="AB615" s="170"/>
      <c r="AC615" s="282"/>
      <c r="AD615" s="282"/>
      <c r="AE615" s="5416"/>
    </row>
    <row r="616" spans="1:31" ht="34.5" customHeight="1">
      <c r="A616" s="5555"/>
      <c r="B616" s="5573"/>
      <c r="C616" s="4629"/>
      <c r="D616" s="4629"/>
      <c r="E616" s="4629"/>
      <c r="F616" s="4629"/>
      <c r="G616" s="4629"/>
      <c r="H616" s="4629"/>
      <c r="I616" s="4629"/>
      <c r="J616" s="4629"/>
      <c r="K616" s="4629"/>
      <c r="L616" s="4629"/>
      <c r="M616" s="4629"/>
      <c r="N616" s="4629"/>
      <c r="O616" s="4629"/>
      <c r="P616" s="4629"/>
      <c r="Q616" s="5500"/>
      <c r="R616" s="2041"/>
      <c r="S616" s="2040"/>
      <c r="T616" s="2040"/>
      <c r="U616" s="1217"/>
      <c r="V616" s="968"/>
      <c r="W616" s="414"/>
      <c r="X616" s="1161"/>
      <c r="Y616" s="974"/>
      <c r="Z616" s="974"/>
      <c r="AA616" s="969"/>
      <c r="AB616" s="170"/>
      <c r="AC616" s="282"/>
      <c r="AD616" s="282"/>
      <c r="AE616" s="5416"/>
    </row>
    <row r="617" spans="1:31" ht="34.5" customHeight="1">
      <c r="A617" s="5555"/>
      <c r="B617" s="5574"/>
      <c r="C617" s="4630"/>
      <c r="D617" s="4630"/>
      <c r="E617" s="4630"/>
      <c r="F617" s="4630"/>
      <c r="G617" s="4630"/>
      <c r="H617" s="4630"/>
      <c r="I617" s="4630"/>
      <c r="J617" s="4630"/>
      <c r="K617" s="4630"/>
      <c r="L617" s="4630"/>
      <c r="M617" s="4630"/>
      <c r="N617" s="4630"/>
      <c r="O617" s="4630"/>
      <c r="P617" s="4630"/>
      <c r="Q617" s="5501"/>
      <c r="R617" s="1204"/>
      <c r="S617" s="2135"/>
      <c r="T617" s="2135"/>
      <c r="U617" s="182"/>
      <c r="V617" s="1176"/>
      <c r="W617" s="183"/>
      <c r="X617" s="1177"/>
      <c r="Y617" s="1177"/>
      <c r="Z617" s="1177"/>
      <c r="AA617" s="1178"/>
      <c r="AB617" s="183"/>
      <c r="AC617" s="184"/>
      <c r="AD617" s="184"/>
      <c r="AE617" s="5598"/>
    </row>
    <row r="618" spans="1:31" ht="34.5" customHeight="1">
      <c r="A618" s="5555"/>
      <c r="B618" s="5572" t="s">
        <v>272</v>
      </c>
      <c r="C618" s="5566" t="s">
        <v>302</v>
      </c>
      <c r="D618" s="5566" t="s">
        <v>303</v>
      </c>
      <c r="E618" s="5566" t="s">
        <v>363</v>
      </c>
      <c r="F618" s="5567" t="s">
        <v>305</v>
      </c>
      <c r="G618" s="5566" t="s">
        <v>306</v>
      </c>
      <c r="H618" s="5566" t="s">
        <v>278</v>
      </c>
      <c r="I618" s="5568" t="s">
        <v>2756</v>
      </c>
      <c r="J618" s="5568" t="s">
        <v>2757</v>
      </c>
      <c r="K618" s="5566" t="s">
        <v>2758</v>
      </c>
      <c r="L618" s="4662">
        <v>1</v>
      </c>
      <c r="M618" s="4662">
        <v>1</v>
      </c>
      <c r="N618" s="4662">
        <v>1</v>
      </c>
      <c r="O618" s="5566" t="s">
        <v>2759</v>
      </c>
      <c r="P618" s="5566" t="s">
        <v>2760</v>
      </c>
      <c r="Q618" s="5392" t="s">
        <v>2833</v>
      </c>
      <c r="R618" s="1200"/>
      <c r="S618" s="1103"/>
      <c r="T618" s="1103"/>
      <c r="U618" s="154"/>
      <c r="V618" s="1104"/>
      <c r="W618" s="155"/>
      <c r="X618" s="1105"/>
      <c r="Y618" s="1105"/>
      <c r="Z618" s="1105"/>
      <c r="AA618" s="1106"/>
      <c r="AB618" s="155"/>
      <c r="AC618" s="156"/>
      <c r="AD618" s="156"/>
      <c r="AE618" s="5428"/>
    </row>
    <row r="619" spans="1:31" ht="34.5" customHeight="1">
      <c r="A619" s="5555"/>
      <c r="B619" s="5573"/>
      <c r="C619" s="4629"/>
      <c r="D619" s="4629"/>
      <c r="E619" s="4629"/>
      <c r="F619" s="4629"/>
      <c r="G619" s="4629"/>
      <c r="H619" s="4629"/>
      <c r="I619" s="4629"/>
      <c r="J619" s="4629"/>
      <c r="K619" s="4629"/>
      <c r="L619" s="4629"/>
      <c r="M619" s="4629"/>
      <c r="N619" s="4629"/>
      <c r="O619" s="4629"/>
      <c r="P619" s="4629"/>
      <c r="Q619" s="5500"/>
      <c r="R619" s="982"/>
      <c r="S619" s="2045"/>
      <c r="T619" s="2045"/>
      <c r="U619" s="169"/>
      <c r="V619" s="984"/>
      <c r="W619" s="170"/>
      <c r="X619" s="1160"/>
      <c r="Y619" s="974"/>
      <c r="Z619" s="974"/>
      <c r="AA619" s="969"/>
      <c r="AB619" s="170"/>
      <c r="AC619" s="282"/>
      <c r="AD619" s="282"/>
      <c r="AE619" s="5416"/>
    </row>
    <row r="620" spans="1:31" ht="34.5" customHeight="1">
      <c r="A620" s="5555"/>
      <c r="B620" s="5573"/>
      <c r="C620" s="4629"/>
      <c r="D620" s="4629"/>
      <c r="E620" s="4629"/>
      <c r="F620" s="4629"/>
      <c r="G620" s="4629"/>
      <c r="H620" s="4629"/>
      <c r="I620" s="4629"/>
      <c r="J620" s="4629"/>
      <c r="K620" s="4629"/>
      <c r="L620" s="4629"/>
      <c r="M620" s="4629"/>
      <c r="N620" s="4629"/>
      <c r="O620" s="4629"/>
      <c r="P620" s="4629"/>
      <c r="Q620" s="5500"/>
      <c r="R620" s="2042"/>
      <c r="S620" s="2043"/>
      <c r="T620" s="2043"/>
      <c r="U620" s="1217"/>
      <c r="V620" s="968"/>
      <c r="W620" s="414"/>
      <c r="X620" s="1161"/>
      <c r="Y620" s="974"/>
      <c r="Z620" s="974"/>
      <c r="AA620" s="969"/>
      <c r="AB620" s="170"/>
      <c r="AC620" s="282"/>
      <c r="AD620" s="282"/>
      <c r="AE620" s="5416"/>
    </row>
    <row r="621" spans="1:31" ht="34.5" customHeight="1">
      <c r="A621" s="5555"/>
      <c r="B621" s="5573"/>
      <c r="C621" s="4629"/>
      <c r="D621" s="4629"/>
      <c r="E621" s="4629"/>
      <c r="F621" s="4629"/>
      <c r="G621" s="4629"/>
      <c r="H621" s="4629"/>
      <c r="I621" s="4629"/>
      <c r="J621" s="4629"/>
      <c r="K621" s="4629"/>
      <c r="L621" s="4629"/>
      <c r="M621" s="4629"/>
      <c r="N621" s="4629"/>
      <c r="O621" s="4629"/>
      <c r="P621" s="4629"/>
      <c r="Q621" s="5500"/>
      <c r="R621" s="2041"/>
      <c r="S621" s="2040"/>
      <c r="T621" s="2040"/>
      <c r="U621" s="1217"/>
      <c r="V621" s="968"/>
      <c r="W621" s="414"/>
      <c r="X621" s="1161"/>
      <c r="Y621" s="974"/>
      <c r="Z621" s="974"/>
      <c r="AA621" s="969"/>
      <c r="AB621" s="170"/>
      <c r="AC621" s="282"/>
      <c r="AD621" s="282"/>
      <c r="AE621" s="5416"/>
    </row>
    <row r="622" spans="1:31" ht="34.5" customHeight="1">
      <c r="A622" s="5555"/>
      <c r="B622" s="5574"/>
      <c r="C622" s="4630"/>
      <c r="D622" s="4630"/>
      <c r="E622" s="4630"/>
      <c r="F622" s="4630"/>
      <c r="G622" s="4630"/>
      <c r="H622" s="4630"/>
      <c r="I622" s="4630"/>
      <c r="J622" s="4630"/>
      <c r="K622" s="4630"/>
      <c r="L622" s="4630"/>
      <c r="M622" s="4630"/>
      <c r="N622" s="4630"/>
      <c r="O622" s="4630"/>
      <c r="P622" s="4630"/>
      <c r="Q622" s="5501"/>
      <c r="R622" s="1204"/>
      <c r="S622" s="2135"/>
      <c r="T622" s="2135"/>
      <c r="U622" s="182"/>
      <c r="V622" s="1176"/>
      <c r="W622" s="183"/>
      <c r="X622" s="1177"/>
      <c r="Y622" s="1177"/>
      <c r="Z622" s="1177"/>
      <c r="AA622" s="1178"/>
      <c r="AB622" s="183"/>
      <c r="AC622" s="184"/>
      <c r="AD622" s="184"/>
      <c r="AE622" s="5598"/>
    </row>
    <row r="623" spans="1:31" ht="34.5" customHeight="1">
      <c r="A623" s="5555"/>
      <c r="B623" s="5572" t="s">
        <v>272</v>
      </c>
      <c r="C623" s="5566" t="s">
        <v>302</v>
      </c>
      <c r="D623" s="5566" t="s">
        <v>388</v>
      </c>
      <c r="E623" s="5566" t="s">
        <v>944</v>
      </c>
      <c r="F623" s="5567" t="s">
        <v>305</v>
      </c>
      <c r="G623" s="5566" t="s">
        <v>306</v>
      </c>
      <c r="H623" s="5566" t="s">
        <v>241</v>
      </c>
      <c r="I623" s="5568" t="s">
        <v>2761</v>
      </c>
      <c r="J623" s="5568" t="s">
        <v>2762</v>
      </c>
      <c r="K623" s="5566" t="s">
        <v>2763</v>
      </c>
      <c r="L623" s="4662">
        <v>1</v>
      </c>
      <c r="M623" s="4662">
        <v>1</v>
      </c>
      <c r="N623" s="4662">
        <v>1</v>
      </c>
      <c r="O623" s="5566" t="s">
        <v>2764</v>
      </c>
      <c r="P623" s="5566" t="s">
        <v>2765</v>
      </c>
      <c r="Q623" s="5392" t="s">
        <v>2833</v>
      </c>
      <c r="R623" s="1200"/>
      <c r="S623" s="1103"/>
      <c r="T623" s="1103"/>
      <c r="U623" s="154"/>
      <c r="V623" s="1104"/>
      <c r="W623" s="155"/>
      <c r="X623" s="1105"/>
      <c r="Y623" s="1105"/>
      <c r="Z623" s="1105"/>
      <c r="AA623" s="1106"/>
      <c r="AB623" s="155"/>
      <c r="AC623" s="156"/>
      <c r="AD623" s="156"/>
      <c r="AE623" s="5428"/>
    </row>
    <row r="624" spans="1:31" ht="34.5" customHeight="1">
      <c r="A624" s="5555"/>
      <c r="B624" s="5573"/>
      <c r="C624" s="4629"/>
      <c r="D624" s="4629"/>
      <c r="E624" s="4629"/>
      <c r="F624" s="4629"/>
      <c r="G624" s="4629"/>
      <c r="H624" s="4629"/>
      <c r="I624" s="4629"/>
      <c r="J624" s="4629"/>
      <c r="K624" s="4629"/>
      <c r="L624" s="4629"/>
      <c r="M624" s="4629"/>
      <c r="N624" s="4629"/>
      <c r="O624" s="4629"/>
      <c r="P624" s="4629"/>
      <c r="Q624" s="5500"/>
      <c r="R624" s="982"/>
      <c r="S624" s="2045"/>
      <c r="T624" s="2045"/>
      <c r="U624" s="169"/>
      <c r="V624" s="984"/>
      <c r="W624" s="170"/>
      <c r="X624" s="1160"/>
      <c r="Y624" s="974"/>
      <c r="Z624" s="974"/>
      <c r="AA624" s="969"/>
      <c r="AB624" s="170"/>
      <c r="AC624" s="282"/>
      <c r="AD624" s="282"/>
      <c r="AE624" s="5416"/>
    </row>
    <row r="625" spans="1:31" ht="34.5" customHeight="1">
      <c r="A625" s="5555"/>
      <c r="B625" s="5573"/>
      <c r="C625" s="4629"/>
      <c r="D625" s="4629"/>
      <c r="E625" s="4629"/>
      <c r="F625" s="4629"/>
      <c r="G625" s="4629"/>
      <c r="H625" s="4629"/>
      <c r="I625" s="4629"/>
      <c r="J625" s="4629"/>
      <c r="K625" s="4629"/>
      <c r="L625" s="4629"/>
      <c r="M625" s="4629"/>
      <c r="N625" s="4629"/>
      <c r="O625" s="4629"/>
      <c r="P625" s="4629"/>
      <c r="Q625" s="5500"/>
      <c r="R625" s="2042"/>
      <c r="S625" s="2043"/>
      <c r="T625" s="2043"/>
      <c r="U625" s="1217"/>
      <c r="V625" s="968"/>
      <c r="W625" s="414"/>
      <c r="X625" s="1161"/>
      <c r="Y625" s="974"/>
      <c r="Z625" s="974"/>
      <c r="AA625" s="969"/>
      <c r="AB625" s="170"/>
      <c r="AC625" s="282"/>
      <c r="AD625" s="282"/>
      <c r="AE625" s="5416"/>
    </row>
    <row r="626" spans="1:31" ht="34.5" customHeight="1">
      <c r="A626" s="5555"/>
      <c r="B626" s="5573"/>
      <c r="C626" s="4629"/>
      <c r="D626" s="4629"/>
      <c r="E626" s="4629"/>
      <c r="F626" s="4629"/>
      <c r="G626" s="4629"/>
      <c r="H626" s="4629"/>
      <c r="I626" s="4629"/>
      <c r="J626" s="4629"/>
      <c r="K626" s="4629"/>
      <c r="L626" s="4629"/>
      <c r="M626" s="4629"/>
      <c r="N626" s="4629"/>
      <c r="O626" s="4629"/>
      <c r="P626" s="4629"/>
      <c r="Q626" s="5500"/>
      <c r="R626" s="2041"/>
      <c r="S626" s="2040"/>
      <c r="T626" s="2040"/>
      <c r="U626" s="1217"/>
      <c r="V626" s="968"/>
      <c r="W626" s="414"/>
      <c r="X626" s="1161"/>
      <c r="Y626" s="974"/>
      <c r="Z626" s="974"/>
      <c r="AA626" s="969"/>
      <c r="AB626" s="170"/>
      <c r="AC626" s="282"/>
      <c r="AD626" s="282"/>
      <c r="AE626" s="5416"/>
    </row>
    <row r="627" spans="1:31" ht="34.5" customHeight="1">
      <c r="A627" s="5555"/>
      <c r="B627" s="5574"/>
      <c r="C627" s="4630"/>
      <c r="D627" s="4630"/>
      <c r="E627" s="4630"/>
      <c r="F627" s="4630"/>
      <c r="G627" s="4630"/>
      <c r="H627" s="4630"/>
      <c r="I627" s="4630"/>
      <c r="J627" s="4630"/>
      <c r="K627" s="4630"/>
      <c r="L627" s="4630"/>
      <c r="M627" s="4630"/>
      <c r="N627" s="4630"/>
      <c r="O627" s="4630"/>
      <c r="P627" s="4630"/>
      <c r="Q627" s="5501"/>
      <c r="R627" s="1204"/>
      <c r="S627" s="2135"/>
      <c r="T627" s="2135"/>
      <c r="U627" s="182"/>
      <c r="V627" s="1176"/>
      <c r="W627" s="183"/>
      <c r="X627" s="1177"/>
      <c r="Y627" s="1177"/>
      <c r="Z627" s="1177"/>
      <c r="AA627" s="1178"/>
      <c r="AB627" s="183"/>
      <c r="AC627" s="184"/>
      <c r="AD627" s="184"/>
      <c r="AE627" s="5598"/>
    </row>
    <row r="628" spans="1:31" ht="34.5" customHeight="1">
      <c r="A628" s="5555"/>
      <c r="B628" s="5572" t="s">
        <v>272</v>
      </c>
      <c r="C628" s="5566" t="s">
        <v>236</v>
      </c>
      <c r="D628" s="5566" t="s">
        <v>303</v>
      </c>
      <c r="E628" s="5566" t="s">
        <v>363</v>
      </c>
      <c r="F628" s="5567" t="s">
        <v>305</v>
      </c>
      <c r="G628" s="5569" t="s">
        <v>262</v>
      </c>
      <c r="H628" s="5566" t="s">
        <v>241</v>
      </c>
      <c r="I628" s="5568" t="s">
        <v>2766</v>
      </c>
      <c r="J628" s="5568" t="s">
        <v>2767</v>
      </c>
      <c r="K628" s="5566" t="s">
        <v>2768</v>
      </c>
      <c r="L628" s="4662">
        <v>1</v>
      </c>
      <c r="M628" s="4662">
        <v>1</v>
      </c>
      <c r="N628" s="4662">
        <v>1</v>
      </c>
      <c r="O628" s="5566" t="s">
        <v>2769</v>
      </c>
      <c r="P628" s="5566" t="s">
        <v>2770</v>
      </c>
      <c r="Q628" s="5392" t="s">
        <v>2833</v>
      </c>
      <c r="R628" s="1200"/>
      <c r="S628" s="1103"/>
      <c r="T628" s="1103"/>
      <c r="U628" s="154"/>
      <c r="V628" s="1104"/>
      <c r="W628" s="155"/>
      <c r="X628" s="1105"/>
      <c r="Y628" s="1105"/>
      <c r="Z628" s="1105"/>
      <c r="AA628" s="1106"/>
      <c r="AB628" s="155"/>
      <c r="AC628" s="156"/>
      <c r="AD628" s="156"/>
      <c r="AE628" s="5428"/>
    </row>
    <row r="629" spans="1:31" ht="34.5" customHeight="1">
      <c r="A629" s="5555"/>
      <c r="B629" s="5573"/>
      <c r="C629" s="4629"/>
      <c r="D629" s="4629"/>
      <c r="E629" s="4629"/>
      <c r="F629" s="4629"/>
      <c r="G629" s="4629"/>
      <c r="H629" s="4629"/>
      <c r="I629" s="4629"/>
      <c r="J629" s="4629"/>
      <c r="K629" s="4629"/>
      <c r="L629" s="4629"/>
      <c r="M629" s="4629"/>
      <c r="N629" s="4629"/>
      <c r="O629" s="4629"/>
      <c r="P629" s="4629"/>
      <c r="Q629" s="5500"/>
      <c r="R629" s="982"/>
      <c r="S629" s="2045"/>
      <c r="T629" s="2045"/>
      <c r="U629" s="169"/>
      <c r="V629" s="984"/>
      <c r="W629" s="170"/>
      <c r="X629" s="1160"/>
      <c r="Y629" s="974"/>
      <c r="Z629" s="974"/>
      <c r="AA629" s="969"/>
      <c r="AB629" s="170"/>
      <c r="AC629" s="282"/>
      <c r="AD629" s="282"/>
      <c r="AE629" s="5416"/>
    </row>
    <row r="630" spans="1:31" ht="34.5" customHeight="1">
      <c r="A630" s="5555"/>
      <c r="B630" s="5573"/>
      <c r="C630" s="4629"/>
      <c r="D630" s="4629"/>
      <c r="E630" s="4629"/>
      <c r="F630" s="4629"/>
      <c r="G630" s="4629"/>
      <c r="H630" s="4629"/>
      <c r="I630" s="4629"/>
      <c r="J630" s="4629"/>
      <c r="K630" s="4629"/>
      <c r="L630" s="4629"/>
      <c r="M630" s="4629"/>
      <c r="N630" s="4629"/>
      <c r="O630" s="4629"/>
      <c r="P630" s="4629"/>
      <c r="Q630" s="5500"/>
      <c r="R630" s="2042"/>
      <c r="S630" s="2043"/>
      <c r="T630" s="2043"/>
      <c r="U630" s="1217"/>
      <c r="V630" s="968"/>
      <c r="W630" s="414"/>
      <c r="X630" s="1161"/>
      <c r="Y630" s="974"/>
      <c r="Z630" s="974"/>
      <c r="AA630" s="969"/>
      <c r="AB630" s="170"/>
      <c r="AC630" s="282"/>
      <c r="AD630" s="282"/>
      <c r="AE630" s="5416"/>
    </row>
    <row r="631" spans="1:31" ht="34.5" customHeight="1">
      <c r="A631" s="5555"/>
      <c r="B631" s="5573"/>
      <c r="C631" s="4629"/>
      <c r="D631" s="4629"/>
      <c r="E631" s="4629"/>
      <c r="F631" s="4629"/>
      <c r="G631" s="4629"/>
      <c r="H631" s="4629"/>
      <c r="I631" s="4629"/>
      <c r="J631" s="4629"/>
      <c r="K631" s="4629"/>
      <c r="L631" s="4629"/>
      <c r="M631" s="4629"/>
      <c r="N631" s="4629"/>
      <c r="O631" s="4629"/>
      <c r="P631" s="4629"/>
      <c r="Q631" s="5500"/>
      <c r="R631" s="2041"/>
      <c r="S631" s="2040"/>
      <c r="T631" s="2040"/>
      <c r="U631" s="1217"/>
      <c r="V631" s="968"/>
      <c r="W631" s="414"/>
      <c r="X631" s="1161"/>
      <c r="Y631" s="974"/>
      <c r="Z631" s="974"/>
      <c r="AA631" s="969"/>
      <c r="AB631" s="170"/>
      <c r="AC631" s="282"/>
      <c r="AD631" s="282"/>
      <c r="AE631" s="5416"/>
    </row>
    <row r="632" spans="1:31" ht="34.5" customHeight="1">
      <c r="A632" s="5555"/>
      <c r="B632" s="5574"/>
      <c r="C632" s="4630"/>
      <c r="D632" s="4630"/>
      <c r="E632" s="4630"/>
      <c r="F632" s="4630"/>
      <c r="G632" s="4630"/>
      <c r="H632" s="4630"/>
      <c r="I632" s="4630"/>
      <c r="J632" s="4630"/>
      <c r="K632" s="4630"/>
      <c r="L632" s="4630"/>
      <c r="M632" s="4630"/>
      <c r="N632" s="4630"/>
      <c r="O632" s="4630"/>
      <c r="P632" s="4630"/>
      <c r="Q632" s="5501"/>
      <c r="R632" s="1204"/>
      <c r="S632" s="2135"/>
      <c r="T632" s="2135"/>
      <c r="U632" s="182"/>
      <c r="V632" s="1176"/>
      <c r="W632" s="183"/>
      <c r="X632" s="1177"/>
      <c r="Y632" s="1177"/>
      <c r="Z632" s="1177"/>
      <c r="AA632" s="1178"/>
      <c r="AB632" s="183"/>
      <c r="AC632" s="184"/>
      <c r="AD632" s="184"/>
      <c r="AE632" s="5598"/>
    </row>
    <row r="633" spans="1:31" ht="34.5" customHeight="1">
      <c r="A633" s="5555"/>
      <c r="B633" s="5572" t="s">
        <v>272</v>
      </c>
      <c r="C633" s="5566" t="s">
        <v>302</v>
      </c>
      <c r="D633" s="5566" t="s">
        <v>388</v>
      </c>
      <c r="E633" s="5566" t="s">
        <v>944</v>
      </c>
      <c r="F633" s="5567" t="s">
        <v>305</v>
      </c>
      <c r="G633" s="5569" t="s">
        <v>306</v>
      </c>
      <c r="H633" s="5566" t="s">
        <v>257</v>
      </c>
      <c r="I633" s="5568" t="s">
        <v>2771</v>
      </c>
      <c r="J633" s="5568" t="s">
        <v>2772</v>
      </c>
      <c r="K633" s="5566" t="s">
        <v>2773</v>
      </c>
      <c r="L633" s="4662">
        <v>1</v>
      </c>
      <c r="M633" s="4662">
        <v>1</v>
      </c>
      <c r="N633" s="4662">
        <v>1</v>
      </c>
      <c r="O633" s="5566" t="s">
        <v>2774</v>
      </c>
      <c r="P633" s="5566" t="s">
        <v>2775</v>
      </c>
      <c r="Q633" s="5392" t="s">
        <v>2833</v>
      </c>
      <c r="R633" s="1200"/>
      <c r="S633" s="1103"/>
      <c r="T633" s="1103"/>
      <c r="U633" s="154"/>
      <c r="V633" s="1104"/>
      <c r="W633" s="155"/>
      <c r="X633" s="1105"/>
      <c r="Y633" s="1105"/>
      <c r="Z633" s="1105"/>
      <c r="AA633" s="1106"/>
      <c r="AB633" s="155"/>
      <c r="AC633" s="156"/>
      <c r="AD633" s="156"/>
      <c r="AE633" s="5428"/>
    </row>
    <row r="634" spans="1:31" ht="34.5" customHeight="1">
      <c r="A634" s="5555"/>
      <c r="B634" s="5573"/>
      <c r="C634" s="4629"/>
      <c r="D634" s="4629"/>
      <c r="E634" s="4629"/>
      <c r="F634" s="4629"/>
      <c r="G634" s="4629"/>
      <c r="H634" s="4629"/>
      <c r="I634" s="4629"/>
      <c r="J634" s="4629"/>
      <c r="K634" s="4629"/>
      <c r="L634" s="4629"/>
      <c r="M634" s="4629"/>
      <c r="N634" s="4629"/>
      <c r="O634" s="4629"/>
      <c r="P634" s="4629"/>
      <c r="Q634" s="5500"/>
      <c r="R634" s="982"/>
      <c r="S634" s="2045"/>
      <c r="T634" s="2045"/>
      <c r="U634" s="169"/>
      <c r="V634" s="984"/>
      <c r="W634" s="170"/>
      <c r="X634" s="1160"/>
      <c r="Y634" s="974"/>
      <c r="Z634" s="974"/>
      <c r="AA634" s="969"/>
      <c r="AB634" s="170"/>
      <c r="AC634" s="282"/>
      <c r="AD634" s="282"/>
      <c r="AE634" s="5416"/>
    </row>
    <row r="635" spans="1:31" ht="34.5" customHeight="1">
      <c r="A635" s="5555"/>
      <c r="B635" s="5573"/>
      <c r="C635" s="4629"/>
      <c r="D635" s="4629"/>
      <c r="E635" s="4629"/>
      <c r="F635" s="4629"/>
      <c r="G635" s="4629"/>
      <c r="H635" s="4629"/>
      <c r="I635" s="4629"/>
      <c r="J635" s="4629"/>
      <c r="K635" s="4629"/>
      <c r="L635" s="4629"/>
      <c r="M635" s="4629"/>
      <c r="N635" s="4629"/>
      <c r="O635" s="4629"/>
      <c r="P635" s="4629"/>
      <c r="Q635" s="5500"/>
      <c r="R635" s="2042"/>
      <c r="S635" s="2043"/>
      <c r="T635" s="2043"/>
      <c r="U635" s="1217"/>
      <c r="V635" s="968"/>
      <c r="W635" s="414"/>
      <c r="X635" s="1161"/>
      <c r="Y635" s="974"/>
      <c r="Z635" s="974"/>
      <c r="AA635" s="969"/>
      <c r="AB635" s="170"/>
      <c r="AC635" s="282"/>
      <c r="AD635" s="282"/>
      <c r="AE635" s="5416"/>
    </row>
    <row r="636" spans="1:31" ht="34.5" customHeight="1">
      <c r="A636" s="5555"/>
      <c r="B636" s="5573"/>
      <c r="C636" s="4629"/>
      <c r="D636" s="4629"/>
      <c r="E636" s="4629"/>
      <c r="F636" s="4629"/>
      <c r="G636" s="4629"/>
      <c r="H636" s="4629"/>
      <c r="I636" s="4629"/>
      <c r="J636" s="4629"/>
      <c r="K636" s="4629"/>
      <c r="L636" s="4629"/>
      <c r="M636" s="4629"/>
      <c r="N636" s="4629"/>
      <c r="O636" s="4629"/>
      <c r="P636" s="4629"/>
      <c r="Q636" s="5500"/>
      <c r="R636" s="2041"/>
      <c r="S636" s="2040"/>
      <c r="T636" s="2040"/>
      <c r="U636" s="1217"/>
      <c r="V636" s="968"/>
      <c r="W636" s="414"/>
      <c r="X636" s="1161"/>
      <c r="Y636" s="974"/>
      <c r="Z636" s="974"/>
      <c r="AA636" s="969"/>
      <c r="AB636" s="170"/>
      <c r="AC636" s="282"/>
      <c r="AD636" s="282"/>
      <c r="AE636" s="5416"/>
    </row>
    <row r="637" spans="1:31" ht="34.5" customHeight="1">
      <c r="A637" s="5555"/>
      <c r="B637" s="5574"/>
      <c r="C637" s="4630"/>
      <c r="D637" s="4630"/>
      <c r="E637" s="4630"/>
      <c r="F637" s="4630"/>
      <c r="G637" s="4630"/>
      <c r="H637" s="4630"/>
      <c r="I637" s="4630"/>
      <c r="J637" s="4630"/>
      <c r="K637" s="4630"/>
      <c r="L637" s="4630"/>
      <c r="M637" s="4630"/>
      <c r="N637" s="4630"/>
      <c r="O637" s="4630"/>
      <c r="P637" s="4630"/>
      <c r="Q637" s="5501"/>
      <c r="R637" s="1204"/>
      <c r="S637" s="2135"/>
      <c r="T637" s="2135"/>
      <c r="U637" s="182"/>
      <c r="V637" s="1176"/>
      <c r="W637" s="183"/>
      <c r="X637" s="1177"/>
      <c r="Y637" s="1177"/>
      <c r="Z637" s="1177"/>
      <c r="AA637" s="1178"/>
      <c r="AB637" s="183"/>
      <c r="AC637" s="184"/>
      <c r="AD637" s="184"/>
      <c r="AE637" s="5598"/>
    </row>
    <row r="638" spans="1:31" ht="34.5" customHeight="1">
      <c r="A638" s="5555"/>
      <c r="B638" s="5572" t="s">
        <v>272</v>
      </c>
      <c r="C638" s="5566" t="s">
        <v>302</v>
      </c>
      <c r="D638" s="5566" t="s">
        <v>303</v>
      </c>
      <c r="E638" s="5566" t="s">
        <v>318</v>
      </c>
      <c r="F638" s="5567" t="s">
        <v>305</v>
      </c>
      <c r="G638" s="5569" t="s">
        <v>306</v>
      </c>
      <c r="H638" s="5566" t="s">
        <v>278</v>
      </c>
      <c r="I638" s="5568" t="s">
        <v>2776</v>
      </c>
      <c r="J638" s="5568" t="s">
        <v>2777</v>
      </c>
      <c r="K638" s="5566" t="s">
        <v>2778</v>
      </c>
      <c r="L638" s="4662">
        <v>1</v>
      </c>
      <c r="M638" s="4662">
        <v>1</v>
      </c>
      <c r="N638" s="4662">
        <v>1</v>
      </c>
      <c r="O638" s="5566" t="s">
        <v>2779</v>
      </c>
      <c r="P638" s="5566" t="s">
        <v>2780</v>
      </c>
      <c r="Q638" s="5392" t="s">
        <v>2833</v>
      </c>
      <c r="R638" s="1200"/>
      <c r="S638" s="1103"/>
      <c r="T638" s="1103"/>
      <c r="U638" s="154"/>
      <c r="V638" s="1104"/>
      <c r="W638" s="155"/>
      <c r="X638" s="1105"/>
      <c r="Y638" s="1105"/>
      <c r="Z638" s="1105"/>
      <c r="AA638" s="1106"/>
      <c r="AB638" s="155"/>
      <c r="AC638" s="156"/>
      <c r="AD638" s="156"/>
      <c r="AE638" s="5428"/>
    </row>
    <row r="639" spans="1:31" ht="34.5" customHeight="1">
      <c r="A639" s="5555"/>
      <c r="B639" s="5573"/>
      <c r="C639" s="4629"/>
      <c r="D639" s="4629"/>
      <c r="E639" s="4629"/>
      <c r="F639" s="4629"/>
      <c r="G639" s="4629"/>
      <c r="H639" s="4629"/>
      <c r="I639" s="4629"/>
      <c r="J639" s="4629"/>
      <c r="K639" s="4629"/>
      <c r="L639" s="4629"/>
      <c r="M639" s="4629"/>
      <c r="N639" s="4629"/>
      <c r="O639" s="4629"/>
      <c r="P639" s="4629"/>
      <c r="Q639" s="5500"/>
      <c r="R639" s="982"/>
      <c r="S639" s="2045"/>
      <c r="T639" s="2045"/>
      <c r="U639" s="169"/>
      <c r="V639" s="984"/>
      <c r="W639" s="170"/>
      <c r="X639" s="1160"/>
      <c r="Y639" s="974"/>
      <c r="Z639" s="974"/>
      <c r="AA639" s="969"/>
      <c r="AB639" s="170"/>
      <c r="AC639" s="282"/>
      <c r="AD639" s="282"/>
      <c r="AE639" s="5416"/>
    </row>
    <row r="640" spans="1:31" ht="34.5" customHeight="1">
      <c r="A640" s="5555"/>
      <c r="B640" s="5573"/>
      <c r="C640" s="4629"/>
      <c r="D640" s="4629"/>
      <c r="E640" s="4629"/>
      <c r="F640" s="4629"/>
      <c r="G640" s="4629"/>
      <c r="H640" s="4629"/>
      <c r="I640" s="4629"/>
      <c r="J640" s="4629"/>
      <c r="K640" s="4629"/>
      <c r="L640" s="4629"/>
      <c r="M640" s="4629"/>
      <c r="N640" s="4629"/>
      <c r="O640" s="4629"/>
      <c r="P640" s="4629"/>
      <c r="Q640" s="5500"/>
      <c r="R640" s="2042"/>
      <c r="S640" s="2043"/>
      <c r="T640" s="2043"/>
      <c r="U640" s="1217"/>
      <c r="V640" s="968"/>
      <c r="W640" s="414"/>
      <c r="X640" s="1161"/>
      <c r="Y640" s="974"/>
      <c r="Z640" s="974"/>
      <c r="AA640" s="969"/>
      <c r="AB640" s="170"/>
      <c r="AC640" s="282"/>
      <c r="AD640" s="282"/>
      <c r="AE640" s="5416"/>
    </row>
    <row r="641" spans="1:31" ht="34.5" customHeight="1">
      <c r="A641" s="5555"/>
      <c r="B641" s="5573"/>
      <c r="C641" s="4629"/>
      <c r="D641" s="4629"/>
      <c r="E641" s="4629"/>
      <c r="F641" s="4629"/>
      <c r="G641" s="4629"/>
      <c r="H641" s="4629"/>
      <c r="I641" s="4629"/>
      <c r="J641" s="4629"/>
      <c r="K641" s="4629"/>
      <c r="L641" s="4629"/>
      <c r="M641" s="4629"/>
      <c r="N641" s="4629"/>
      <c r="O641" s="4629"/>
      <c r="P641" s="4629"/>
      <c r="Q641" s="5500"/>
      <c r="R641" s="2041"/>
      <c r="S641" s="2040"/>
      <c r="T641" s="2040"/>
      <c r="U641" s="1217"/>
      <c r="V641" s="968"/>
      <c r="W641" s="414"/>
      <c r="X641" s="1161"/>
      <c r="Y641" s="974"/>
      <c r="Z641" s="974"/>
      <c r="AA641" s="969"/>
      <c r="AB641" s="170"/>
      <c r="AC641" s="282"/>
      <c r="AD641" s="282"/>
      <c r="AE641" s="5416"/>
    </row>
    <row r="642" spans="1:31" ht="34.5" customHeight="1">
      <c r="A642" s="5555"/>
      <c r="B642" s="5574"/>
      <c r="C642" s="4630"/>
      <c r="D642" s="4630"/>
      <c r="E642" s="4630"/>
      <c r="F642" s="4630"/>
      <c r="G642" s="4630"/>
      <c r="H642" s="4630"/>
      <c r="I642" s="4630"/>
      <c r="J642" s="4630"/>
      <c r="K642" s="4630"/>
      <c r="L642" s="4630"/>
      <c r="M642" s="4630"/>
      <c r="N642" s="4630"/>
      <c r="O642" s="4630"/>
      <c r="P642" s="4630"/>
      <c r="Q642" s="5501"/>
      <c r="R642" s="1204"/>
      <c r="S642" s="2135"/>
      <c r="T642" s="2135"/>
      <c r="U642" s="182"/>
      <c r="V642" s="1176"/>
      <c r="W642" s="183"/>
      <c r="X642" s="1177"/>
      <c r="Y642" s="1177"/>
      <c r="Z642" s="1177"/>
      <c r="AA642" s="1178"/>
      <c r="AB642" s="183"/>
      <c r="AC642" s="184"/>
      <c r="AD642" s="184"/>
      <c r="AE642" s="5598"/>
    </row>
    <row r="643" spans="1:31" ht="34.5" customHeight="1">
      <c r="A643" s="5555"/>
      <c r="B643" s="5572" t="s">
        <v>272</v>
      </c>
      <c r="C643" s="5566" t="s">
        <v>302</v>
      </c>
      <c r="D643" s="5566" t="s">
        <v>303</v>
      </c>
      <c r="E643" s="5566" t="s">
        <v>363</v>
      </c>
      <c r="F643" s="5567" t="s">
        <v>305</v>
      </c>
      <c r="G643" s="5569" t="s">
        <v>306</v>
      </c>
      <c r="H643" s="5566" t="s">
        <v>241</v>
      </c>
      <c r="I643" s="5568" t="s">
        <v>2781</v>
      </c>
      <c r="J643" s="5568" t="s">
        <v>2782</v>
      </c>
      <c r="K643" s="5566" t="s">
        <v>2783</v>
      </c>
      <c r="L643" s="4662">
        <v>1</v>
      </c>
      <c r="M643" s="4662">
        <v>1</v>
      </c>
      <c r="N643" s="4662">
        <v>1</v>
      </c>
      <c r="O643" s="5566" t="s">
        <v>2784</v>
      </c>
      <c r="P643" s="5566" t="s">
        <v>2785</v>
      </c>
      <c r="Q643" s="5392" t="s">
        <v>2833</v>
      </c>
      <c r="R643" s="1200"/>
      <c r="S643" s="1103"/>
      <c r="T643" s="1103"/>
      <c r="U643" s="154"/>
      <c r="V643" s="1104"/>
      <c r="W643" s="155"/>
      <c r="X643" s="1105"/>
      <c r="Y643" s="1105"/>
      <c r="Z643" s="1105"/>
      <c r="AA643" s="1106"/>
      <c r="AB643" s="155"/>
      <c r="AC643" s="156"/>
      <c r="AD643" s="156"/>
      <c r="AE643" s="5428"/>
    </row>
    <row r="644" spans="1:31" ht="34.5" customHeight="1">
      <c r="A644" s="5555"/>
      <c r="B644" s="5573"/>
      <c r="C644" s="4629"/>
      <c r="D644" s="4629"/>
      <c r="E644" s="4629"/>
      <c r="F644" s="4629"/>
      <c r="G644" s="4629"/>
      <c r="H644" s="4629"/>
      <c r="I644" s="4629"/>
      <c r="J644" s="4629"/>
      <c r="K644" s="4629"/>
      <c r="L644" s="4629"/>
      <c r="M644" s="4629"/>
      <c r="N644" s="4629"/>
      <c r="O644" s="4629"/>
      <c r="P644" s="4629"/>
      <c r="Q644" s="5500"/>
      <c r="R644" s="982"/>
      <c r="S644" s="2045"/>
      <c r="T644" s="2045"/>
      <c r="U644" s="169"/>
      <c r="V644" s="984"/>
      <c r="W644" s="170"/>
      <c r="X644" s="1160"/>
      <c r="Y644" s="974"/>
      <c r="Z644" s="974"/>
      <c r="AA644" s="969"/>
      <c r="AB644" s="170"/>
      <c r="AC644" s="282"/>
      <c r="AD644" s="282"/>
      <c r="AE644" s="5416"/>
    </row>
    <row r="645" spans="1:31" ht="34.5" customHeight="1">
      <c r="A645" s="5555"/>
      <c r="B645" s="5573"/>
      <c r="C645" s="4629"/>
      <c r="D645" s="4629"/>
      <c r="E645" s="4629"/>
      <c r="F645" s="4629"/>
      <c r="G645" s="4629"/>
      <c r="H645" s="4629"/>
      <c r="I645" s="4629"/>
      <c r="J645" s="4629"/>
      <c r="K645" s="4629"/>
      <c r="L645" s="4629"/>
      <c r="M645" s="4629"/>
      <c r="N645" s="4629"/>
      <c r="O645" s="4629"/>
      <c r="P645" s="4629"/>
      <c r="Q645" s="5500"/>
      <c r="R645" s="2042"/>
      <c r="S645" s="2043"/>
      <c r="T645" s="2043"/>
      <c r="U645" s="1217"/>
      <c r="V645" s="968"/>
      <c r="W645" s="414"/>
      <c r="X645" s="1161"/>
      <c r="Y645" s="974"/>
      <c r="Z645" s="974"/>
      <c r="AA645" s="969"/>
      <c r="AB645" s="170"/>
      <c r="AC645" s="282"/>
      <c r="AD645" s="282"/>
      <c r="AE645" s="5416"/>
    </row>
    <row r="646" spans="1:31" ht="34.5" customHeight="1">
      <c r="A646" s="5555"/>
      <c r="B646" s="5573"/>
      <c r="C646" s="4629"/>
      <c r="D646" s="4629"/>
      <c r="E646" s="4629"/>
      <c r="F646" s="4629"/>
      <c r="G646" s="4629"/>
      <c r="H646" s="4629"/>
      <c r="I646" s="4629"/>
      <c r="J646" s="4629"/>
      <c r="K646" s="4629"/>
      <c r="L646" s="4629"/>
      <c r="M646" s="4629"/>
      <c r="N646" s="4629"/>
      <c r="O646" s="4629"/>
      <c r="P646" s="4629"/>
      <c r="Q646" s="5500"/>
      <c r="R646" s="2041"/>
      <c r="S646" s="2040"/>
      <c r="T646" s="2040"/>
      <c r="U646" s="1217"/>
      <c r="V646" s="968"/>
      <c r="W646" s="414"/>
      <c r="X646" s="1161"/>
      <c r="Y646" s="974"/>
      <c r="Z646" s="974"/>
      <c r="AA646" s="969"/>
      <c r="AB646" s="170"/>
      <c r="AC646" s="282"/>
      <c r="AD646" s="282"/>
      <c r="AE646" s="5416"/>
    </row>
    <row r="647" spans="1:31" ht="34.5" customHeight="1">
      <c r="A647" s="5555"/>
      <c r="B647" s="5574"/>
      <c r="C647" s="4630"/>
      <c r="D647" s="4630"/>
      <c r="E647" s="4630"/>
      <c r="F647" s="4630"/>
      <c r="G647" s="4630"/>
      <c r="H647" s="4630"/>
      <c r="I647" s="4630"/>
      <c r="J647" s="4630"/>
      <c r="K647" s="4630"/>
      <c r="L647" s="4630"/>
      <c r="M647" s="4630"/>
      <c r="N647" s="4630"/>
      <c r="O647" s="4630"/>
      <c r="P647" s="4630"/>
      <c r="Q647" s="5501"/>
      <c r="R647" s="1204"/>
      <c r="S647" s="2135"/>
      <c r="T647" s="2135"/>
      <c r="U647" s="182"/>
      <c r="V647" s="1176"/>
      <c r="W647" s="183"/>
      <c r="X647" s="1177"/>
      <c r="Y647" s="1177"/>
      <c r="Z647" s="1177"/>
      <c r="AA647" s="1178"/>
      <c r="AB647" s="183"/>
      <c r="AC647" s="184"/>
      <c r="AD647" s="184"/>
      <c r="AE647" s="5598"/>
    </row>
    <row r="648" spans="1:31" ht="34.5" customHeight="1">
      <c r="A648" s="5555"/>
      <c r="B648" s="5572" t="s">
        <v>272</v>
      </c>
      <c r="C648" s="5566" t="s">
        <v>236</v>
      </c>
      <c r="D648" s="5566" t="s">
        <v>237</v>
      </c>
      <c r="E648" s="5566" t="s">
        <v>255</v>
      </c>
      <c r="F648" s="5567" t="s">
        <v>239</v>
      </c>
      <c r="G648" s="5566" t="s">
        <v>293</v>
      </c>
      <c r="H648" s="5566" t="s">
        <v>257</v>
      </c>
      <c r="I648" s="5566" t="s">
        <v>2786</v>
      </c>
      <c r="J648" s="5568" t="s">
        <v>2787</v>
      </c>
      <c r="K648" s="5566" t="s">
        <v>2788</v>
      </c>
      <c r="L648" s="4662">
        <v>1</v>
      </c>
      <c r="M648" s="4628">
        <v>1</v>
      </c>
      <c r="N648" s="4662">
        <v>1</v>
      </c>
      <c r="O648" s="5566" t="s">
        <v>2789</v>
      </c>
      <c r="P648" s="5566" t="s">
        <v>2790</v>
      </c>
      <c r="Q648" s="5392" t="s">
        <v>2833</v>
      </c>
      <c r="R648" s="2117"/>
      <c r="S648" s="2040"/>
      <c r="T648" s="2040"/>
      <c r="U648" s="176"/>
      <c r="V648" s="968"/>
      <c r="W648" s="414"/>
      <c r="X648" s="973"/>
      <c r="Y648" s="973"/>
      <c r="Z648" s="973"/>
      <c r="AA648" s="1106"/>
      <c r="AB648" s="414"/>
      <c r="AC648" s="174"/>
      <c r="AD648" s="174"/>
      <c r="AE648" s="5415"/>
    </row>
    <row r="649" spans="1:31" ht="34.5" customHeight="1">
      <c r="A649" s="5555"/>
      <c r="B649" s="5573"/>
      <c r="C649" s="4629"/>
      <c r="D649" s="4629"/>
      <c r="E649" s="4629"/>
      <c r="F649" s="4629"/>
      <c r="G649" s="4629"/>
      <c r="H649" s="4629"/>
      <c r="I649" s="4629"/>
      <c r="J649" s="4629"/>
      <c r="K649" s="4629"/>
      <c r="L649" s="4629"/>
      <c r="M649" s="4629"/>
      <c r="N649" s="4629"/>
      <c r="O649" s="4629"/>
      <c r="P649" s="4629"/>
      <c r="Q649" s="5500"/>
      <c r="R649" s="982"/>
      <c r="S649" s="2045"/>
      <c r="T649" s="2045"/>
      <c r="U649" s="1171"/>
      <c r="V649" s="984"/>
      <c r="W649" s="170"/>
      <c r="X649" s="974"/>
      <c r="Y649" s="974"/>
      <c r="Z649" s="974"/>
      <c r="AA649" s="969"/>
      <c r="AB649" s="170"/>
      <c r="AC649" s="282"/>
      <c r="AD649" s="282"/>
      <c r="AE649" s="5416"/>
    </row>
    <row r="650" spans="1:31" ht="34.5" customHeight="1">
      <c r="A650" s="5555"/>
      <c r="B650" s="5573"/>
      <c r="C650" s="4629"/>
      <c r="D650" s="4629"/>
      <c r="E650" s="4629"/>
      <c r="F650" s="4629"/>
      <c r="G650" s="4629"/>
      <c r="H650" s="4629"/>
      <c r="I650" s="4629"/>
      <c r="J650" s="4629"/>
      <c r="K650" s="4629"/>
      <c r="L650" s="4629"/>
      <c r="M650" s="4629"/>
      <c r="N650" s="4629"/>
      <c r="O650" s="4629"/>
      <c r="P650" s="4629"/>
      <c r="Q650" s="5500"/>
      <c r="R650" s="2042"/>
      <c r="S650" s="2043"/>
      <c r="T650" s="2043"/>
      <c r="U650" s="1217"/>
      <c r="V650" s="968"/>
      <c r="W650" s="414"/>
      <c r="X650" s="973"/>
      <c r="Y650" s="974"/>
      <c r="Z650" s="974"/>
      <c r="AA650" s="969"/>
      <c r="AB650" s="170"/>
      <c r="AC650" s="282"/>
      <c r="AD650" s="282"/>
      <c r="AE650" s="5416"/>
    </row>
    <row r="651" spans="1:31" ht="34.5" customHeight="1">
      <c r="A651" s="5555"/>
      <c r="B651" s="5573"/>
      <c r="C651" s="4629"/>
      <c r="D651" s="4629"/>
      <c r="E651" s="4629"/>
      <c r="F651" s="4629"/>
      <c r="G651" s="4629"/>
      <c r="H651" s="4629"/>
      <c r="I651" s="4629"/>
      <c r="J651" s="4629"/>
      <c r="K651" s="4629"/>
      <c r="L651" s="4629"/>
      <c r="M651" s="4629"/>
      <c r="N651" s="4629"/>
      <c r="O651" s="4629"/>
      <c r="P651" s="4629"/>
      <c r="Q651" s="5500"/>
      <c r="R651" s="2041"/>
      <c r="S651" s="2040"/>
      <c r="T651" s="2040"/>
      <c r="U651" s="1217"/>
      <c r="V651" s="968"/>
      <c r="W651" s="414"/>
      <c r="X651" s="973"/>
      <c r="Y651" s="974"/>
      <c r="Z651" s="974"/>
      <c r="AA651" s="969"/>
      <c r="AB651" s="170"/>
      <c r="AC651" s="282"/>
      <c r="AD651" s="282"/>
      <c r="AE651" s="5416"/>
    </row>
    <row r="652" spans="1:31" ht="34.5" customHeight="1">
      <c r="A652" s="5555"/>
      <c r="B652" s="5574"/>
      <c r="C652" s="4630"/>
      <c r="D652" s="4630"/>
      <c r="E652" s="4630"/>
      <c r="F652" s="4630"/>
      <c r="G652" s="4630"/>
      <c r="H652" s="4630"/>
      <c r="I652" s="4630"/>
      <c r="J652" s="4630"/>
      <c r="K652" s="4630"/>
      <c r="L652" s="4630"/>
      <c r="M652" s="4630"/>
      <c r="N652" s="4630"/>
      <c r="O652" s="4630"/>
      <c r="P652" s="4630"/>
      <c r="Q652" s="5501"/>
      <c r="R652" s="975"/>
      <c r="S652" s="2044"/>
      <c r="T652" s="2044"/>
      <c r="U652" s="411"/>
      <c r="V652" s="977"/>
      <c r="W652" s="165"/>
      <c r="X652" s="978"/>
      <c r="Y652" s="978"/>
      <c r="Z652" s="978"/>
      <c r="AA652" s="979"/>
      <c r="AB652" s="165"/>
      <c r="AC652" s="166"/>
      <c r="AD652" s="166"/>
      <c r="AE652" s="5417"/>
    </row>
    <row r="653" spans="1:31" ht="22.5" customHeight="1">
      <c r="A653" s="784"/>
      <c r="B653" s="2058"/>
      <c r="C653" s="2058"/>
      <c r="D653" s="2058"/>
      <c r="E653" s="2058"/>
      <c r="F653" s="2058"/>
      <c r="G653" s="2058"/>
      <c r="H653" s="2058"/>
      <c r="I653" s="2058"/>
      <c r="J653" s="2058"/>
      <c r="K653" s="2058"/>
      <c r="L653" s="2058"/>
      <c r="M653" s="2058"/>
      <c r="N653" s="2058"/>
      <c r="O653" s="2058"/>
      <c r="P653" s="2058"/>
      <c r="Q653" s="2059"/>
      <c r="R653" s="5602" t="s">
        <v>2834</v>
      </c>
      <c r="S653" s="5603"/>
      <c r="T653" s="5603"/>
      <c r="U653" s="5603"/>
      <c r="V653" s="5603"/>
      <c r="W653" s="5603"/>
      <c r="X653" s="5603"/>
      <c r="Y653" s="5603"/>
      <c r="Z653" s="2395" t="s">
        <v>340</v>
      </c>
      <c r="AA653" s="2392">
        <f>SUM(AA578+AA583+AA598+AA648)</f>
        <v>0</v>
      </c>
      <c r="AB653" s="5599"/>
      <c r="AC653" s="4642"/>
      <c r="AD653" s="4642"/>
      <c r="AE653" s="4797"/>
    </row>
    <row r="654" spans="1:31" ht="22.5" customHeight="1">
      <c r="A654" s="953"/>
      <c r="B654" s="1840"/>
      <c r="C654" s="1840"/>
      <c r="D654" s="1840"/>
      <c r="E654" s="1840"/>
      <c r="F654" s="1840"/>
      <c r="G654" s="1840"/>
      <c r="H654" s="1840"/>
      <c r="I654" s="1840"/>
      <c r="J654" s="1840"/>
      <c r="K654" s="1840"/>
      <c r="L654" s="1840"/>
      <c r="M654" s="1840"/>
      <c r="N654" s="1840"/>
      <c r="O654" s="1840"/>
      <c r="P654" s="1840"/>
      <c r="Q654" s="2136"/>
      <c r="R654" s="5445" t="s">
        <v>2835</v>
      </c>
      <c r="S654" s="5600"/>
      <c r="T654" s="5600"/>
      <c r="U654" s="5600"/>
      <c r="V654" s="5600"/>
      <c r="W654" s="5600"/>
      <c r="X654" s="5600"/>
      <c r="Y654" s="5600"/>
      <c r="Z654" s="2396" t="s">
        <v>340</v>
      </c>
      <c r="AA654" s="2397">
        <f>SUM(AA83)</f>
        <v>204421.28089600001</v>
      </c>
      <c r="AB654" s="5601"/>
      <c r="AC654" s="4788"/>
      <c r="AD654" s="4788"/>
      <c r="AE654" s="4789"/>
    </row>
    <row r="655" spans="1:31" ht="15" customHeight="1">
      <c r="A655" s="1"/>
      <c r="B655" s="1206" t="s">
        <v>442</v>
      </c>
      <c r="C655" s="1207"/>
      <c r="D655" s="1207"/>
      <c r="E655" s="221"/>
      <c r="F655" s="221"/>
      <c r="G655" s="221"/>
      <c r="H655" s="221"/>
      <c r="I655" s="221"/>
      <c r="J655" s="221"/>
      <c r="K655" s="221"/>
      <c r="L655" s="221"/>
      <c r="M655" s="221"/>
      <c r="N655" s="221"/>
      <c r="O655" s="221"/>
      <c r="P655" s="221"/>
      <c r="Q655" s="221"/>
      <c r="R655" s="4388" t="s">
        <v>2836</v>
      </c>
      <c r="S655" s="4150"/>
      <c r="T655" s="4150"/>
      <c r="U655" s="4150"/>
      <c r="V655" s="4150"/>
      <c r="W655" s="4150"/>
      <c r="X655" s="4150"/>
      <c r="Y655" s="4150"/>
      <c r="Z655" s="4150"/>
      <c r="AA655" s="4150"/>
      <c r="AB655" s="4150"/>
      <c r="AC655" s="4150"/>
      <c r="AD655" s="4150"/>
      <c r="AE655" s="4150"/>
    </row>
    <row r="656" spans="1:31" ht="15" customHeight="1">
      <c r="A656" s="1"/>
      <c r="B656" s="1208" t="s">
        <v>444</v>
      </c>
      <c r="C656" s="1209"/>
      <c r="D656" s="1209"/>
      <c r="E656" s="221"/>
      <c r="F656" s="221"/>
      <c r="G656" s="221"/>
      <c r="H656" s="221"/>
      <c r="I656" s="221"/>
      <c r="J656" s="221"/>
      <c r="K656" s="221"/>
      <c r="L656" s="221"/>
      <c r="M656" s="221"/>
      <c r="N656" s="221"/>
      <c r="O656" s="221"/>
      <c r="P656" s="221"/>
      <c r="Q656" s="221"/>
      <c r="R656" s="3"/>
      <c r="S656" s="3"/>
      <c r="T656" s="1884"/>
      <c r="U656" s="1884"/>
      <c r="V656" s="1884"/>
      <c r="W656" s="1884"/>
      <c r="X656" s="1884"/>
      <c r="Y656" s="1884"/>
      <c r="Z656" s="2194"/>
      <c r="AA656" s="5310"/>
      <c r="AB656" s="5311"/>
      <c r="AC656" s="1"/>
      <c r="AD656" s="1"/>
    </row>
    <row r="657" spans="1:30" ht="15" customHeight="1">
      <c r="A657" s="1"/>
      <c r="B657" s="221"/>
      <c r="C657" s="221"/>
      <c r="D657" s="221"/>
      <c r="E657" s="221"/>
      <c r="F657" s="221"/>
      <c r="G657" s="221"/>
      <c r="H657" s="221"/>
      <c r="I657" s="221"/>
      <c r="J657" s="221"/>
      <c r="K657" s="221"/>
      <c r="L657" s="221"/>
      <c r="M657" s="221"/>
      <c r="N657" s="221"/>
      <c r="O657" s="221"/>
      <c r="P657" s="221"/>
      <c r="Q657" s="225"/>
      <c r="R657" s="1210"/>
      <c r="S657" s="470"/>
      <c r="T657" s="5308" t="s">
        <v>1242</v>
      </c>
      <c r="U657" s="5309"/>
      <c r="V657" s="5309"/>
      <c r="W657" s="5309"/>
      <c r="X657" s="5309"/>
      <c r="Y657" s="5309"/>
      <c r="Z657" s="2194"/>
      <c r="AA657" s="2199"/>
      <c r="AB657" s="2199"/>
      <c r="AC657" s="8"/>
      <c r="AD657" s="8"/>
    </row>
    <row r="658" spans="1:30" ht="15" customHeight="1" thickBot="1">
      <c r="A658" s="1"/>
      <c r="B658" s="221"/>
      <c r="C658" s="221"/>
      <c r="D658" s="221"/>
      <c r="E658" s="221"/>
      <c r="F658" s="221"/>
      <c r="G658" s="221"/>
      <c r="H658" s="221"/>
      <c r="I658" s="221"/>
      <c r="J658" s="221"/>
      <c r="K658" s="221"/>
      <c r="L658" s="221"/>
      <c r="M658" s="221"/>
      <c r="N658" s="221"/>
      <c r="O658" s="221"/>
      <c r="P658" s="221"/>
      <c r="Q658" s="225"/>
      <c r="R658" s="1211"/>
      <c r="S658" s="1211"/>
      <c r="T658" s="2196"/>
      <c r="U658" s="2196"/>
      <c r="V658" s="2197"/>
      <c r="W658" s="2198"/>
      <c r="X658" s="2196"/>
      <c r="Y658" s="2196"/>
      <c r="Z658" s="2194"/>
      <c r="AA658" s="2201"/>
      <c r="AB658" s="2201"/>
      <c r="AC658" s="8"/>
      <c r="AD658" s="8"/>
    </row>
    <row r="659" spans="1:30" ht="15" customHeight="1" thickTop="1" thickBot="1">
      <c r="A659" s="1"/>
      <c r="B659" s="221"/>
      <c r="C659" s="221"/>
      <c r="D659" s="221"/>
      <c r="E659" s="221"/>
      <c r="F659" s="221"/>
      <c r="G659" s="221"/>
      <c r="H659" s="221"/>
      <c r="I659" s="221"/>
      <c r="J659" s="221"/>
      <c r="K659" s="221"/>
      <c r="L659" s="221"/>
      <c r="M659" s="221"/>
      <c r="N659" s="221"/>
      <c r="O659" s="221"/>
      <c r="P659" s="225"/>
      <c r="Q659" s="225"/>
      <c r="R659" s="1211"/>
      <c r="S659" s="1211"/>
      <c r="T659" s="2330" t="s">
        <v>4</v>
      </c>
      <c r="U659" s="2331" t="s">
        <v>344</v>
      </c>
      <c r="V659" s="2332" t="s">
        <v>6</v>
      </c>
      <c r="W659" s="2333" t="s">
        <v>345</v>
      </c>
      <c r="X659" s="2333" t="s">
        <v>8</v>
      </c>
      <c r="Y659" s="2334" t="s">
        <v>346</v>
      </c>
      <c r="Z659" s="2194"/>
      <c r="AA659" s="2203"/>
      <c r="AB659" s="2204"/>
      <c r="AC659" s="1212"/>
      <c r="AD659" s="1212"/>
    </row>
    <row r="660" spans="1:30" ht="82.5">
      <c r="A660" s="1"/>
      <c r="B660" s="221"/>
      <c r="C660" s="221"/>
      <c r="D660" s="221"/>
      <c r="E660" s="221"/>
      <c r="F660" s="221"/>
      <c r="G660" s="221"/>
      <c r="H660" s="221"/>
      <c r="I660" s="221"/>
      <c r="J660" s="221"/>
      <c r="K660" s="221"/>
      <c r="L660" s="221"/>
      <c r="M660" s="221"/>
      <c r="N660" s="221"/>
      <c r="O660" s="135"/>
      <c r="P660" s="135"/>
      <c r="Q660" s="135"/>
      <c r="R660" s="135"/>
      <c r="S660" s="1211"/>
      <c r="T660" s="2355" t="s">
        <v>17</v>
      </c>
      <c r="U660" s="2336" t="s">
        <v>26</v>
      </c>
      <c r="V660" s="2320">
        <v>530204</v>
      </c>
      <c r="W660" s="2321" t="s">
        <v>13</v>
      </c>
      <c r="X660" s="2321" t="s">
        <v>18</v>
      </c>
      <c r="Y660" s="2324">
        <f>SUM($Z$39)</f>
        <v>33600</v>
      </c>
      <c r="Z660" s="2194"/>
      <c r="AA660" s="2203"/>
      <c r="AB660" s="2204"/>
      <c r="AC660" s="1212"/>
      <c r="AD660" s="1212"/>
    </row>
    <row r="661" spans="1:30" ht="30" customHeight="1">
      <c r="A661" s="1"/>
      <c r="B661" s="221"/>
      <c r="C661" s="221"/>
      <c r="D661" s="221"/>
      <c r="E661" s="221"/>
      <c r="F661" s="221"/>
      <c r="G661" s="221"/>
      <c r="H661" s="221"/>
      <c r="I661" s="221"/>
      <c r="J661" s="221"/>
      <c r="K661" s="221"/>
      <c r="L661" s="221"/>
      <c r="M661" s="221"/>
      <c r="N661" s="221"/>
      <c r="O661" s="135"/>
      <c r="P661" s="135"/>
      <c r="Q661" s="135"/>
      <c r="R661" s="135"/>
      <c r="S661" s="1211"/>
      <c r="T661" s="2356" t="s">
        <v>39</v>
      </c>
      <c r="U661" s="2338" t="s">
        <v>16</v>
      </c>
      <c r="V661" s="2315">
        <v>530402</v>
      </c>
      <c r="W661" s="2316" t="s">
        <v>13</v>
      </c>
      <c r="X661" s="2316" t="s">
        <v>18</v>
      </c>
      <c r="Y661" s="2325">
        <f>SUM($Z$30)</f>
        <v>8085.2808960000002</v>
      </c>
      <c r="Z661" s="2194"/>
      <c r="AA661" s="2203"/>
      <c r="AB661" s="2204"/>
      <c r="AC661" s="1212"/>
      <c r="AD661" s="1212"/>
    </row>
    <row r="662" spans="1:30" ht="49.5">
      <c r="A662" s="1"/>
      <c r="B662" s="221"/>
      <c r="C662" s="221"/>
      <c r="D662" s="221"/>
      <c r="E662" s="221"/>
      <c r="F662" s="221"/>
      <c r="G662" s="221"/>
      <c r="H662" s="221"/>
      <c r="I662" s="221"/>
      <c r="J662" s="221"/>
      <c r="K662" s="221"/>
      <c r="L662" s="221"/>
      <c r="M662" s="221"/>
      <c r="N662" s="221"/>
      <c r="O662" s="135"/>
      <c r="P662" s="135"/>
      <c r="Q662" s="135"/>
      <c r="R662" s="135"/>
      <c r="S662" s="1211"/>
      <c r="T662" s="2356" t="s">
        <v>17</v>
      </c>
      <c r="U662" s="2338" t="s">
        <v>16</v>
      </c>
      <c r="V662" s="2315">
        <v>530402</v>
      </c>
      <c r="W662" s="2316" t="s">
        <v>13</v>
      </c>
      <c r="X662" s="2316" t="s">
        <v>18</v>
      </c>
      <c r="Y662" s="2325">
        <f>SUM($Z$36)</f>
        <v>13440.000000000002</v>
      </c>
      <c r="Z662" s="2194"/>
      <c r="AA662" s="2203"/>
      <c r="AB662" s="2204"/>
      <c r="AC662" s="1212"/>
      <c r="AD662" s="1212"/>
    </row>
    <row r="663" spans="1:30" ht="33">
      <c r="A663" s="1"/>
      <c r="B663" s="221"/>
      <c r="C663" s="221"/>
      <c r="D663" s="221"/>
      <c r="E663" s="221"/>
      <c r="F663" s="221"/>
      <c r="G663" s="221"/>
      <c r="H663" s="221"/>
      <c r="I663" s="221"/>
      <c r="J663" s="221"/>
      <c r="K663" s="221"/>
      <c r="L663" s="221"/>
      <c r="M663" s="221"/>
      <c r="N663" s="221"/>
      <c r="O663" s="135"/>
      <c r="P663" s="135"/>
      <c r="Q663" s="135"/>
      <c r="R663" s="135"/>
      <c r="S663" s="1211"/>
      <c r="T663" s="2356" t="s">
        <v>17</v>
      </c>
      <c r="U663" s="2338" t="s">
        <v>32</v>
      </c>
      <c r="V663" s="2315">
        <v>530404</v>
      </c>
      <c r="W663" s="2316" t="s">
        <v>13</v>
      </c>
      <c r="X663" s="2316" t="s">
        <v>14</v>
      </c>
      <c r="Y663" s="2325">
        <f>SUM($Z$33)</f>
        <v>22400.000000000004</v>
      </c>
      <c r="Z663" s="2194"/>
      <c r="AA663" s="2203"/>
      <c r="AB663" s="2204"/>
      <c r="AC663" s="1212"/>
      <c r="AD663" s="1212"/>
    </row>
    <row r="664" spans="1:30" ht="33">
      <c r="A664" s="1"/>
      <c r="B664" s="221"/>
      <c r="C664" s="221"/>
      <c r="D664" s="221"/>
      <c r="E664" s="221"/>
      <c r="F664" s="221"/>
      <c r="G664" s="221"/>
      <c r="H664" s="221"/>
      <c r="I664" s="221"/>
      <c r="J664" s="221"/>
      <c r="K664" s="221"/>
      <c r="L664" s="221"/>
      <c r="M664" s="221"/>
      <c r="N664" s="221"/>
      <c r="O664" s="135"/>
      <c r="P664" s="135"/>
      <c r="Q664" s="135"/>
      <c r="R664" s="135"/>
      <c r="S664" s="1211"/>
      <c r="T664" s="2356" t="s">
        <v>29</v>
      </c>
      <c r="U664" s="2338" t="s">
        <v>72</v>
      </c>
      <c r="V664" s="2315">
        <v>530810</v>
      </c>
      <c r="W664" s="2316" t="s">
        <v>13</v>
      </c>
      <c r="X664" s="2316" t="s">
        <v>30</v>
      </c>
      <c r="Y664" s="2325">
        <f>SUM($Z$49)</f>
        <v>26096.000000000004</v>
      </c>
      <c r="Z664" s="2194"/>
      <c r="AA664" s="2203"/>
      <c r="AB664" s="2204"/>
      <c r="AC664" s="1212"/>
      <c r="AD664" s="1212"/>
    </row>
    <row r="665" spans="1:30" ht="33">
      <c r="A665" s="1"/>
      <c r="B665" s="221"/>
      <c r="C665" s="221"/>
      <c r="D665" s="221"/>
      <c r="E665" s="221"/>
      <c r="F665" s="221"/>
      <c r="G665" s="221"/>
      <c r="H665" s="221"/>
      <c r="I665" s="221"/>
      <c r="J665" s="221"/>
      <c r="K665" s="221"/>
      <c r="L665" s="221"/>
      <c r="M665" s="221"/>
      <c r="N665" s="221"/>
      <c r="O665" s="135"/>
      <c r="P665" s="135"/>
      <c r="Q665" s="135"/>
      <c r="R665" s="135"/>
      <c r="S665" s="1211"/>
      <c r="T665" s="2356" t="s">
        <v>17</v>
      </c>
      <c r="U665" s="2338" t="s">
        <v>73</v>
      </c>
      <c r="V665" s="2315">
        <v>530829</v>
      </c>
      <c r="W665" s="2316" t="s">
        <v>13</v>
      </c>
      <c r="X665" s="2316" t="s">
        <v>30</v>
      </c>
      <c r="Y665" s="2325">
        <f>SUM($Z$43)</f>
        <v>67200</v>
      </c>
      <c r="Z665" s="2194"/>
      <c r="AA665" s="2203"/>
      <c r="AB665" s="2204"/>
      <c r="AC665" s="1212"/>
      <c r="AD665" s="1212"/>
    </row>
    <row r="666" spans="1:30" ht="33.75" thickBot="1">
      <c r="A666" s="1"/>
      <c r="B666" s="221"/>
      <c r="C666" s="221"/>
      <c r="D666" s="221"/>
      <c r="E666" s="221"/>
      <c r="F666" s="221"/>
      <c r="G666" s="221"/>
      <c r="H666" s="221"/>
      <c r="I666" s="221"/>
      <c r="J666" s="221"/>
      <c r="K666" s="221"/>
      <c r="L666" s="221"/>
      <c r="M666" s="221"/>
      <c r="N666" s="221"/>
      <c r="O666" s="135"/>
      <c r="P666" s="135"/>
      <c r="Q666" s="135"/>
      <c r="R666" s="135"/>
      <c r="S666" s="1211"/>
      <c r="T666" s="2357" t="s">
        <v>17</v>
      </c>
      <c r="U666" s="2358" t="s">
        <v>20</v>
      </c>
      <c r="V666" s="2350">
        <v>840107</v>
      </c>
      <c r="W666" s="2351" t="s">
        <v>13</v>
      </c>
      <c r="X666" s="2351" t="s">
        <v>14</v>
      </c>
      <c r="Y666" s="2359">
        <f>SUM($Z$46)</f>
        <v>33600</v>
      </c>
      <c r="Z666" s="2194"/>
      <c r="AA666" s="2199"/>
      <c r="AB666" s="2199"/>
      <c r="AC666" s="1212"/>
      <c r="AD666" s="1212"/>
    </row>
    <row r="667" spans="1:30" ht="15" customHeight="1" thickBot="1">
      <c r="A667" s="1"/>
      <c r="B667" s="221"/>
      <c r="C667" s="221"/>
      <c r="D667" s="221"/>
      <c r="E667" s="221"/>
      <c r="F667" s="221"/>
      <c r="G667" s="221"/>
      <c r="H667" s="221"/>
      <c r="I667" s="221"/>
      <c r="J667" s="221"/>
      <c r="K667" s="221"/>
      <c r="L667" s="221"/>
      <c r="M667" s="221"/>
      <c r="N667" s="221"/>
      <c r="O667" s="221"/>
      <c r="P667" s="225"/>
      <c r="Q667" s="225"/>
      <c r="R667" s="1211"/>
      <c r="S667" s="1211"/>
      <c r="T667" s="2345"/>
      <c r="U667" s="2346" t="s">
        <v>183</v>
      </c>
      <c r="V667" s="2347"/>
      <c r="W667" s="2347"/>
      <c r="X667" s="2246" t="s">
        <v>340</v>
      </c>
      <c r="Y667" s="2329">
        <f>SUM(Y660:Y666)</f>
        <v>204421.28089599998</v>
      </c>
      <c r="Z667" s="2196"/>
      <c r="AA667" s="2199"/>
      <c r="AB667" s="2207"/>
      <c r="AC667" s="1212"/>
      <c r="AD667" s="1212"/>
    </row>
    <row r="668" spans="1:30" ht="15" customHeight="1" thickTop="1">
      <c r="A668" s="1"/>
      <c r="B668" s="221"/>
      <c r="C668" s="221"/>
      <c r="D668" s="221"/>
      <c r="E668" s="221"/>
      <c r="F668" s="221"/>
      <c r="G668" s="221"/>
      <c r="H668" s="221"/>
      <c r="I668" s="221"/>
      <c r="J668" s="221"/>
      <c r="K668" s="221"/>
      <c r="L668" s="221"/>
      <c r="M668" s="221"/>
      <c r="N668" s="221"/>
      <c r="O668" s="221"/>
      <c r="P668" s="225"/>
      <c r="Q668" s="225"/>
      <c r="R668" s="1211"/>
      <c r="S668" s="1211"/>
      <c r="T668" s="2196"/>
      <c r="U668" s="2196"/>
      <c r="V668" s="2206" t="s">
        <v>347</v>
      </c>
      <c r="W668" s="2197"/>
      <c r="X668" s="2198"/>
      <c r="Y668" s="2196"/>
      <c r="Z668" s="2196"/>
      <c r="AA668" s="2199"/>
      <c r="AB668" s="2207"/>
      <c r="AC668" s="1212"/>
      <c r="AD668" s="1212"/>
    </row>
    <row r="669" spans="1:30" ht="15" customHeight="1" thickBot="1">
      <c r="A669" s="1"/>
      <c r="B669" s="221"/>
      <c r="C669" s="221"/>
      <c r="D669" s="221"/>
      <c r="E669" s="221"/>
      <c r="F669" s="221"/>
      <c r="G669" s="221"/>
      <c r="H669" s="221"/>
      <c r="I669" s="221"/>
      <c r="J669" s="221"/>
      <c r="K669" s="221"/>
      <c r="L669" s="221"/>
      <c r="M669" s="221"/>
      <c r="N669" s="221"/>
      <c r="O669" s="221"/>
      <c r="P669" s="225"/>
      <c r="Q669" s="225"/>
      <c r="R669" s="1211"/>
      <c r="S669" s="1211"/>
      <c r="T669" s="2196"/>
      <c r="U669" s="2196"/>
      <c r="V669" s="2196"/>
      <c r="W669" s="2197"/>
      <c r="X669" s="2198"/>
      <c r="Y669" s="2196"/>
      <c r="Z669" s="2196"/>
      <c r="AA669" s="2210"/>
      <c r="AB669" s="2199"/>
      <c r="AC669" s="1212"/>
      <c r="AD669" s="1212"/>
    </row>
    <row r="670" spans="1:30" ht="15" customHeight="1" thickTop="1">
      <c r="A670" s="1"/>
      <c r="B670" s="221"/>
      <c r="C670" s="221"/>
      <c r="D670" s="221"/>
      <c r="E670" s="221"/>
      <c r="F670" s="221"/>
      <c r="G670" s="221"/>
      <c r="H670" s="221"/>
      <c r="I670" s="221"/>
      <c r="J670" s="221"/>
      <c r="K670" s="221"/>
      <c r="L670" s="221"/>
      <c r="M670" s="221"/>
      <c r="N670" s="221"/>
      <c r="O670" s="221"/>
      <c r="P670" s="225"/>
      <c r="Q670" s="225"/>
      <c r="R670" s="1211"/>
      <c r="S670" s="1211"/>
      <c r="T670" s="5312" t="s">
        <v>348</v>
      </c>
      <c r="U670" s="5313"/>
      <c r="V670" s="5314"/>
      <c r="W670" s="2197"/>
      <c r="X670" s="2208" t="s">
        <v>349</v>
      </c>
      <c r="Y670" s="2209" t="str">
        <f>IF(Y667=AA654,"OK","NO")</f>
        <v>OK</v>
      </c>
      <c r="Z670" s="2196"/>
      <c r="AA670" s="2210"/>
      <c r="AB670" s="2199"/>
      <c r="AC670" s="1212"/>
      <c r="AD670" s="1212"/>
    </row>
    <row r="671" spans="1:30" ht="15" customHeight="1">
      <c r="A671" s="1"/>
      <c r="B671" s="221"/>
      <c r="C671" s="221"/>
      <c r="D671" s="221"/>
      <c r="E671" s="221"/>
      <c r="F671" s="221"/>
      <c r="G671" s="221"/>
      <c r="H671" s="221"/>
      <c r="I671" s="221"/>
      <c r="J671" s="221"/>
      <c r="K671" s="221"/>
      <c r="L671" s="221"/>
      <c r="M671" s="221"/>
      <c r="N671" s="221"/>
      <c r="O671" s="221"/>
      <c r="P671" s="225"/>
      <c r="Q671" s="225"/>
      <c r="R671" s="1211"/>
      <c r="S671" s="1211"/>
      <c r="T671" s="5315" t="s">
        <v>3942</v>
      </c>
      <c r="U671" s="4636"/>
      <c r="V671" s="2384">
        <f>+Y660+Y661+Y662</f>
        <v>55125.280895999997</v>
      </c>
      <c r="W671" s="2197"/>
      <c r="X671" s="2198"/>
      <c r="Y671" s="2209" t="str">
        <f>IF(V675=AA654,"OK","NO")</f>
        <v>OK</v>
      </c>
      <c r="Z671" s="2196"/>
      <c r="AA671" s="2210"/>
      <c r="AB671" s="2199"/>
      <c r="AC671" s="1212"/>
      <c r="AD671" s="1212"/>
    </row>
    <row r="672" spans="1:30" ht="15" customHeight="1">
      <c r="A672" s="1"/>
      <c r="B672" s="221"/>
      <c r="C672" s="221"/>
      <c r="D672" s="221"/>
      <c r="E672" s="221"/>
      <c r="F672" s="221"/>
      <c r="G672" s="221"/>
      <c r="H672" s="221"/>
      <c r="I672" s="221"/>
      <c r="J672" s="221"/>
      <c r="K672" s="221"/>
      <c r="L672" s="221"/>
      <c r="M672" s="221"/>
      <c r="N672" s="221"/>
      <c r="O672" s="221"/>
      <c r="P672" s="225"/>
      <c r="Q672" s="225"/>
      <c r="R672" s="1211"/>
      <c r="S672" s="1211"/>
      <c r="T672" s="5316" t="s">
        <v>3943</v>
      </c>
      <c r="U672" s="4638"/>
      <c r="V672" s="2385">
        <f>+Y664+Y665</f>
        <v>93296</v>
      </c>
      <c r="W672" s="2197"/>
      <c r="X672" s="2198"/>
      <c r="Y672" s="2209" t="str">
        <f>IF(V685=AA654,"OK","NO")</f>
        <v>OK</v>
      </c>
      <c r="Z672" s="2196"/>
      <c r="AA672" s="2210"/>
      <c r="AB672" s="2199"/>
      <c r="AC672" s="1212"/>
      <c r="AD672" s="1212"/>
    </row>
    <row r="673" spans="1:30" ht="15" customHeight="1">
      <c r="A673" s="1"/>
      <c r="B673" s="221"/>
      <c r="C673" s="221"/>
      <c r="D673" s="221"/>
      <c r="E673" s="221"/>
      <c r="F673" s="221"/>
      <c r="G673" s="221"/>
      <c r="H673" s="221"/>
      <c r="I673" s="221"/>
      <c r="J673" s="221"/>
      <c r="K673" s="221"/>
      <c r="L673" s="221"/>
      <c r="M673" s="221"/>
      <c r="N673" s="221"/>
      <c r="O673" s="221"/>
      <c r="P673" s="225"/>
      <c r="Q673" s="225"/>
      <c r="R673" s="1210"/>
      <c r="S673" s="1210"/>
      <c r="T673" s="5316" t="s">
        <v>3944</v>
      </c>
      <c r="U673" s="4638"/>
      <c r="V673" s="2385">
        <f>+Y663+Y666</f>
        <v>56000</v>
      </c>
      <c r="W673" s="2197"/>
      <c r="X673" s="2211"/>
      <c r="Y673" s="145" t="str">
        <f>IF(Resumen!C367=AA654,"OK","NO")</f>
        <v>OK</v>
      </c>
      <c r="Z673" s="2196"/>
      <c r="AA673" s="2210"/>
      <c r="AB673" s="2199"/>
      <c r="AC673" s="1212"/>
      <c r="AD673" s="1212"/>
    </row>
    <row r="674" spans="1:30" ht="15" customHeight="1">
      <c r="A674" s="1"/>
      <c r="B674" s="221"/>
      <c r="C674" s="221"/>
      <c r="D674" s="221"/>
      <c r="E674" s="221"/>
      <c r="F674" s="221"/>
      <c r="G674" s="221"/>
      <c r="H674" s="221"/>
      <c r="I674" s="221"/>
      <c r="J674" s="221"/>
      <c r="K674" s="221"/>
      <c r="L674" s="221"/>
      <c r="M674" s="221"/>
      <c r="N674" s="221"/>
      <c r="O674" s="221"/>
      <c r="P674" s="225"/>
      <c r="Q674" s="225"/>
      <c r="R674" s="1210"/>
      <c r="S674" s="1210"/>
      <c r="T674" s="5316" t="s">
        <v>3945</v>
      </c>
      <c r="U674" s="4638"/>
      <c r="V674" s="2386">
        <v>0</v>
      </c>
      <c r="W674" s="2197"/>
      <c r="X674" s="2211"/>
      <c r="Y674" s="2196"/>
      <c r="Z674" s="2196"/>
      <c r="AA674" s="2210"/>
      <c r="AB674" s="2199"/>
      <c r="AC674" s="1212"/>
      <c r="AD674" s="1212"/>
    </row>
    <row r="675" spans="1:30" ht="15" customHeight="1">
      <c r="A675" s="1"/>
      <c r="B675" s="221"/>
      <c r="C675" s="221"/>
      <c r="D675" s="221"/>
      <c r="E675" s="221"/>
      <c r="F675" s="221"/>
      <c r="G675" s="221"/>
      <c r="H675" s="221"/>
      <c r="I675" s="221"/>
      <c r="J675" s="221"/>
      <c r="K675" s="221"/>
      <c r="L675" s="221"/>
      <c r="M675" s="221"/>
      <c r="N675" s="221"/>
      <c r="O675" s="221"/>
      <c r="P675" s="225"/>
      <c r="Q675" s="225"/>
      <c r="R675" s="1210"/>
      <c r="S675" s="1210"/>
      <c r="T675" s="5296" t="s">
        <v>183</v>
      </c>
      <c r="U675" s="5221"/>
      <c r="V675" s="2348">
        <f>SUM(V671:V674)</f>
        <v>204421.28089599998</v>
      </c>
      <c r="W675" s="2197"/>
      <c r="X675" s="2211"/>
      <c r="Y675" s="2196"/>
      <c r="Z675" s="2196"/>
      <c r="AA675" s="2210"/>
      <c r="AB675" s="2199"/>
      <c r="AC675" s="1212"/>
      <c r="AD675" s="1212"/>
    </row>
    <row r="676" spans="1:30" ht="15" customHeight="1">
      <c r="A676" s="1"/>
      <c r="B676" s="221"/>
      <c r="C676" s="221"/>
      <c r="D676" s="221"/>
      <c r="E676" s="221"/>
      <c r="F676" s="221"/>
      <c r="G676" s="221"/>
      <c r="H676" s="221"/>
      <c r="I676" s="221"/>
      <c r="J676" s="221"/>
      <c r="K676" s="221"/>
      <c r="L676" s="221"/>
      <c r="M676" s="221"/>
      <c r="N676" s="221"/>
      <c r="O676" s="221"/>
      <c r="P676" s="225"/>
      <c r="Q676" s="225"/>
      <c r="R676" s="1210"/>
      <c r="S676" s="1210"/>
      <c r="T676" s="5317" t="s">
        <v>350</v>
      </c>
      <c r="U676" s="5318"/>
      <c r="V676" s="5319"/>
      <c r="W676" s="2197"/>
      <c r="X676" s="2212"/>
      <c r="Y676" s="2196"/>
      <c r="Z676" s="2196"/>
      <c r="AA676" s="2210"/>
      <c r="AB676" s="2199"/>
      <c r="AC676" s="1212"/>
      <c r="AD676" s="1212"/>
    </row>
    <row r="677" spans="1:30" ht="15" customHeight="1">
      <c r="A677" s="1"/>
      <c r="B677" s="221"/>
      <c r="C677" s="221"/>
      <c r="D677" s="221"/>
      <c r="E677" s="221"/>
      <c r="F677" s="221"/>
      <c r="G677" s="221"/>
      <c r="H677" s="221"/>
      <c r="I677" s="221"/>
      <c r="J677" s="221"/>
      <c r="K677" s="221"/>
      <c r="L677" s="221"/>
      <c r="M677" s="221"/>
      <c r="N677" s="221"/>
      <c r="O677" s="221"/>
      <c r="P677" s="225"/>
      <c r="Q677" s="225"/>
      <c r="R677" s="1210"/>
      <c r="S677" s="1210"/>
      <c r="T677" s="5297" t="s">
        <v>3946</v>
      </c>
      <c r="U677" s="4636"/>
      <c r="V677" s="2384">
        <v>0</v>
      </c>
      <c r="W677" s="2197"/>
      <c r="X677" s="2212"/>
      <c r="Y677" s="2196"/>
      <c r="Z677" s="2196"/>
      <c r="AA677" s="2210"/>
      <c r="AB677" s="2199"/>
      <c r="AC677" s="1212"/>
      <c r="AD677" s="1212"/>
    </row>
    <row r="678" spans="1:30" ht="15" customHeight="1">
      <c r="A678" s="1"/>
      <c r="B678" s="221"/>
      <c r="C678" s="221"/>
      <c r="D678" s="221"/>
      <c r="E678" s="221"/>
      <c r="F678" s="221"/>
      <c r="G678" s="221"/>
      <c r="H678" s="221"/>
      <c r="I678" s="221"/>
      <c r="J678" s="221"/>
      <c r="K678" s="221"/>
      <c r="L678" s="221"/>
      <c r="M678" s="221"/>
      <c r="N678" s="221"/>
      <c r="O678" s="221"/>
      <c r="P678" s="225"/>
      <c r="Q678" s="225"/>
      <c r="R678" s="1210"/>
      <c r="S678" s="1210"/>
      <c r="T678" s="5298" t="s">
        <v>3947</v>
      </c>
      <c r="U678" s="4638"/>
      <c r="V678" s="2385">
        <f>+SUM(Y660:Y665)</f>
        <v>170821.28089599998</v>
      </c>
      <c r="W678" s="2197"/>
      <c r="X678" s="2212"/>
      <c r="Y678" s="2196"/>
      <c r="Z678" s="2196"/>
      <c r="AA678" s="2210"/>
      <c r="AB678" s="2199"/>
      <c r="AC678" s="1212"/>
      <c r="AD678" s="1212"/>
    </row>
    <row r="679" spans="1:30" ht="15" customHeight="1">
      <c r="A679" s="1"/>
      <c r="B679" s="221"/>
      <c r="C679" s="221"/>
      <c r="D679" s="221"/>
      <c r="E679" s="221"/>
      <c r="F679" s="221"/>
      <c r="G679" s="221"/>
      <c r="H679" s="221"/>
      <c r="I679" s="221"/>
      <c r="J679" s="221"/>
      <c r="K679" s="221"/>
      <c r="L679" s="221"/>
      <c r="M679" s="221"/>
      <c r="N679" s="221"/>
      <c r="O679" s="221"/>
      <c r="P679" s="225"/>
      <c r="Q679" s="225"/>
      <c r="R679" s="1210"/>
      <c r="S679" s="1210"/>
      <c r="T679" s="5298" t="s">
        <v>3948</v>
      </c>
      <c r="U679" s="4638"/>
      <c r="V679" s="2385">
        <v>0</v>
      </c>
      <c r="W679" s="2197"/>
      <c r="X679" s="2213"/>
      <c r="Y679" s="2196"/>
      <c r="Z679" s="2196"/>
      <c r="AA679" s="2210"/>
      <c r="AB679" s="2199"/>
      <c r="AC679" s="1212"/>
      <c r="AD679" s="1212"/>
    </row>
    <row r="680" spans="1:30" ht="15" customHeight="1">
      <c r="A680" s="1"/>
      <c r="B680" s="221"/>
      <c r="C680" s="221"/>
      <c r="D680" s="221"/>
      <c r="E680" s="221"/>
      <c r="F680" s="221"/>
      <c r="G680" s="221"/>
      <c r="H680" s="221"/>
      <c r="I680" s="221"/>
      <c r="J680" s="221"/>
      <c r="K680" s="221"/>
      <c r="L680" s="221"/>
      <c r="M680" s="221"/>
      <c r="N680" s="221"/>
      <c r="O680" s="221"/>
      <c r="P680" s="225"/>
      <c r="Q680" s="225"/>
      <c r="R680" s="1210"/>
      <c r="S680" s="1210"/>
      <c r="T680" s="5298" t="s">
        <v>3949</v>
      </c>
      <c r="U680" s="4638"/>
      <c r="V680" s="2385">
        <v>0</v>
      </c>
      <c r="W680" s="2197"/>
      <c r="X680" s="2211"/>
      <c r="Y680" s="2196"/>
      <c r="Z680" s="2195"/>
      <c r="AA680" s="2195"/>
      <c r="AB680" s="2199"/>
      <c r="AC680" s="1212"/>
      <c r="AD680" s="1212"/>
    </row>
    <row r="681" spans="1:30" ht="15" customHeight="1">
      <c r="A681" s="1"/>
      <c r="B681" s="221"/>
      <c r="C681" s="221"/>
      <c r="D681" s="221"/>
      <c r="E681" s="221"/>
      <c r="F681" s="221"/>
      <c r="G681" s="221"/>
      <c r="H681" s="221"/>
      <c r="I681" s="221"/>
      <c r="J681" s="221"/>
      <c r="K681" s="221"/>
      <c r="L681" s="221"/>
      <c r="M681" s="221"/>
      <c r="N681" s="221"/>
      <c r="O681" s="221"/>
      <c r="P681" s="225"/>
      <c r="Q681" s="225"/>
      <c r="R681" s="1210"/>
      <c r="S681" s="1210"/>
      <c r="T681" s="5298" t="s">
        <v>3954</v>
      </c>
      <c r="U681" s="4638"/>
      <c r="V681" s="2385">
        <v>0</v>
      </c>
      <c r="W681" s="2197"/>
      <c r="X681" s="2214"/>
      <c r="Y681" s="2215"/>
      <c r="Z681" s="2215"/>
      <c r="AA681" s="2215"/>
      <c r="AB681" s="2199"/>
      <c r="AC681" s="1212"/>
      <c r="AD681" s="1212"/>
    </row>
    <row r="682" spans="1:30" ht="15" customHeight="1">
      <c r="A682" s="1"/>
      <c r="B682" s="221"/>
      <c r="C682" s="221"/>
      <c r="D682" s="221"/>
      <c r="E682" s="221"/>
      <c r="F682" s="221"/>
      <c r="G682" s="221"/>
      <c r="H682" s="221"/>
      <c r="I682" s="221"/>
      <c r="J682" s="221"/>
      <c r="K682" s="221"/>
      <c r="L682" s="221"/>
      <c r="M682" s="221"/>
      <c r="N682" s="221"/>
      <c r="O682" s="221"/>
      <c r="P682" s="225"/>
      <c r="Q682" s="225"/>
      <c r="R682" s="1210"/>
      <c r="S682" s="1210"/>
      <c r="T682" s="5298" t="s">
        <v>3951</v>
      </c>
      <c r="U682" s="4638"/>
      <c r="V682" s="2385">
        <v>0</v>
      </c>
      <c r="W682" s="2197"/>
      <c r="X682" s="2214"/>
      <c r="Y682" s="2215"/>
      <c r="Z682" s="2198"/>
      <c r="AA682" s="2217"/>
      <c r="AB682" s="2199"/>
      <c r="AC682" s="1212"/>
      <c r="AD682" s="1212"/>
    </row>
    <row r="683" spans="1:30" ht="15" customHeight="1">
      <c r="A683" s="1"/>
      <c r="B683" s="221"/>
      <c r="C683" s="221"/>
      <c r="D683" s="221"/>
      <c r="E683" s="221"/>
      <c r="F683" s="221"/>
      <c r="G683" s="221"/>
      <c r="H683" s="221"/>
      <c r="I683" s="221"/>
      <c r="J683" s="221"/>
      <c r="K683" s="221"/>
      <c r="L683" s="221"/>
      <c r="M683" s="221"/>
      <c r="N683" s="221"/>
      <c r="O683" s="221"/>
      <c r="P683" s="225"/>
      <c r="Q683" s="225"/>
      <c r="R683" s="1210"/>
      <c r="S683" s="1210"/>
      <c r="T683" s="5298" t="s">
        <v>3952</v>
      </c>
      <c r="U683" s="4638"/>
      <c r="V683" s="2385">
        <f>+Y666</f>
        <v>33600</v>
      </c>
      <c r="W683" s="2197"/>
      <c r="X683" s="2214"/>
      <c r="Y683" s="2216"/>
      <c r="Z683" s="2194"/>
      <c r="AA683" s="2210"/>
      <c r="AB683" s="2199"/>
      <c r="AC683" s="1212"/>
      <c r="AD683" s="1212"/>
    </row>
    <row r="684" spans="1:30" ht="15" customHeight="1">
      <c r="A684" s="1"/>
      <c r="B684" s="221"/>
      <c r="C684" s="221"/>
      <c r="D684" s="221"/>
      <c r="E684" s="221"/>
      <c r="F684" s="221"/>
      <c r="G684" s="221"/>
      <c r="H684" s="221"/>
      <c r="I684" s="221"/>
      <c r="J684" s="221"/>
      <c r="K684" s="221"/>
      <c r="L684" s="221"/>
      <c r="M684" s="221"/>
      <c r="N684" s="221"/>
      <c r="O684" s="221"/>
      <c r="P684" s="225"/>
      <c r="Q684" s="225"/>
      <c r="R684" s="1210"/>
      <c r="S684" s="1210"/>
      <c r="T684" s="5298" t="s">
        <v>3953</v>
      </c>
      <c r="U684" s="4638"/>
      <c r="V684" s="2386">
        <v>0</v>
      </c>
      <c r="W684" s="2197"/>
      <c r="X684" s="2218"/>
      <c r="Y684" s="2194"/>
      <c r="Z684" s="2196"/>
      <c r="AA684" s="2210"/>
      <c r="AB684" s="2199"/>
      <c r="AC684" s="1212"/>
      <c r="AD684" s="1212"/>
    </row>
    <row r="685" spans="1:30" ht="15" customHeight="1" thickBot="1">
      <c r="A685" s="1"/>
      <c r="B685" s="221"/>
      <c r="C685" s="221"/>
      <c r="D685" s="221"/>
      <c r="E685" s="221"/>
      <c r="F685" s="221"/>
      <c r="G685" s="221"/>
      <c r="H685" s="221"/>
      <c r="I685" s="221"/>
      <c r="J685" s="221"/>
      <c r="K685" s="221"/>
      <c r="L685" s="221"/>
      <c r="M685" s="221"/>
      <c r="N685" s="221"/>
      <c r="O685" s="221"/>
      <c r="P685" s="225"/>
      <c r="Q685" s="225"/>
      <c r="R685" s="1210"/>
      <c r="S685" s="1210"/>
      <c r="T685" s="5299" t="s">
        <v>183</v>
      </c>
      <c r="U685" s="5300"/>
      <c r="V685" s="2349">
        <f>SUM(V677:V684)</f>
        <v>204421.28089599998</v>
      </c>
      <c r="W685" s="2197"/>
      <c r="X685" s="2213"/>
      <c r="Y685" s="2196"/>
      <c r="Z685" s="2196"/>
      <c r="AA685" s="2210"/>
      <c r="AB685" s="2199"/>
      <c r="AC685" s="1212"/>
      <c r="AD685" s="1212"/>
    </row>
    <row r="686" spans="1:30" ht="15" customHeight="1" thickTop="1">
      <c r="A686" s="1"/>
      <c r="B686" s="221"/>
      <c r="C686" s="221"/>
      <c r="D686" s="221"/>
      <c r="E686" s="221"/>
      <c r="F686" s="221"/>
      <c r="G686" s="221"/>
      <c r="H686" s="221"/>
      <c r="I686" s="221"/>
      <c r="J686" s="221"/>
      <c r="K686" s="221"/>
      <c r="L686" s="221"/>
      <c r="M686" s="221"/>
      <c r="N686" s="221"/>
      <c r="O686" s="221"/>
      <c r="P686" s="225"/>
      <c r="Q686" s="225"/>
      <c r="R686" s="1210"/>
      <c r="S686" s="1210"/>
      <c r="T686" s="2196"/>
      <c r="U686" s="2196"/>
      <c r="V686" s="2219"/>
      <c r="W686" s="2197"/>
      <c r="X686" s="2198"/>
      <c r="Y686" s="2196"/>
      <c r="Z686" s="2196"/>
      <c r="AA686" s="2210"/>
      <c r="AB686" s="2199"/>
      <c r="AC686" s="1212"/>
      <c r="AD686" s="1212"/>
    </row>
    <row r="687" spans="1:30" ht="15" customHeight="1">
      <c r="A687" s="1"/>
      <c r="B687" s="221"/>
      <c r="C687" s="221"/>
      <c r="D687" s="221"/>
      <c r="E687" s="221"/>
      <c r="F687" s="221"/>
      <c r="G687" s="221"/>
      <c r="H687" s="221"/>
      <c r="I687" s="221"/>
      <c r="J687" s="221"/>
      <c r="K687" s="221"/>
      <c r="L687" s="221"/>
      <c r="M687" s="221"/>
      <c r="N687" s="221"/>
      <c r="O687" s="221"/>
      <c r="P687" s="225"/>
      <c r="Q687" s="225"/>
      <c r="R687" s="1210"/>
      <c r="S687" s="1210"/>
      <c r="T687" s="2196"/>
      <c r="U687" s="2196"/>
      <c r="V687" s="2219"/>
      <c r="W687" s="2197"/>
      <c r="X687" s="2198"/>
      <c r="Y687" s="2196"/>
      <c r="Z687" s="2223"/>
      <c r="AA687" s="2223"/>
      <c r="AB687" s="2224"/>
      <c r="AC687" s="1212"/>
      <c r="AD687" s="1212"/>
    </row>
    <row r="688" spans="1:30" ht="15" customHeight="1">
      <c r="A688" s="1"/>
      <c r="B688" s="221"/>
      <c r="C688" s="221"/>
      <c r="D688" s="221"/>
      <c r="E688" s="221"/>
      <c r="F688" s="221"/>
      <c r="G688" s="221"/>
      <c r="H688" s="221"/>
      <c r="I688" s="221"/>
      <c r="J688" s="221"/>
      <c r="K688" s="221"/>
      <c r="L688" s="221"/>
      <c r="M688" s="221"/>
      <c r="N688" s="221"/>
      <c r="O688" s="221"/>
      <c r="P688" s="225"/>
      <c r="Q688" s="225"/>
      <c r="R688" s="1210"/>
      <c r="S688" s="1210"/>
      <c r="T688" s="2223"/>
      <c r="U688" s="2223"/>
      <c r="V688" s="2223"/>
      <c r="W688" s="2223"/>
      <c r="X688" s="2223"/>
      <c r="Y688" s="2223"/>
      <c r="Z688" s="1213"/>
      <c r="AA688" s="1213"/>
      <c r="AB688" s="1214"/>
      <c r="AC688" s="1212"/>
      <c r="AD688" s="1212"/>
    </row>
    <row r="689" spans="21:26" ht="15.75" customHeight="1">
      <c r="U689" s="1213"/>
      <c r="V689" s="1213"/>
      <c r="W689" s="1213"/>
      <c r="X689" s="1213"/>
      <c r="Y689" s="1213"/>
      <c r="Z689" s="1213"/>
    </row>
  </sheetData>
  <mergeCells count="1522">
    <mergeCell ref="B370:B374"/>
    <mergeCell ref="C370:C374"/>
    <mergeCell ref="D370:D374"/>
    <mergeCell ref="E370:E374"/>
    <mergeCell ref="F370:F374"/>
    <mergeCell ref="G370:G374"/>
    <mergeCell ref="H370:H374"/>
    <mergeCell ref="P360:P364"/>
    <mergeCell ref="Q360:Q364"/>
    <mergeCell ref="I360:I364"/>
    <mergeCell ref="J360:J364"/>
    <mergeCell ref="K360:K364"/>
    <mergeCell ref="L360:L364"/>
    <mergeCell ref="M360:M364"/>
    <mergeCell ref="N360:N364"/>
    <mergeCell ref="O360:O364"/>
    <mergeCell ref="B360:B364"/>
    <mergeCell ref="C360:C364"/>
    <mergeCell ref="D360:D364"/>
    <mergeCell ref="E360:E364"/>
    <mergeCell ref="F360:F364"/>
    <mergeCell ref="G360:G364"/>
    <mergeCell ref="H360:H364"/>
    <mergeCell ref="I365:I369"/>
    <mergeCell ref="J365:J369"/>
    <mergeCell ref="H365:H369"/>
    <mergeCell ref="P370:P374"/>
    <mergeCell ref="Q370:Q374"/>
    <mergeCell ref="F365:F369"/>
    <mergeCell ref="G365:G369"/>
    <mergeCell ref="D375:D379"/>
    <mergeCell ref="E375:E379"/>
    <mergeCell ref="F375:F379"/>
    <mergeCell ref="G375:G379"/>
    <mergeCell ref="H375:H379"/>
    <mergeCell ref="P375:P379"/>
    <mergeCell ref="Q375:Q379"/>
    <mergeCell ref="I375:I379"/>
    <mergeCell ref="J375:J379"/>
    <mergeCell ref="K375:K379"/>
    <mergeCell ref="L375:L379"/>
    <mergeCell ref="M375:M379"/>
    <mergeCell ref="N375:N379"/>
    <mergeCell ref="O375:O379"/>
    <mergeCell ref="I370:I374"/>
    <mergeCell ref="J370:J374"/>
    <mergeCell ref="K370:K374"/>
    <mergeCell ref="L370:L374"/>
    <mergeCell ref="M370:M374"/>
    <mergeCell ref="N370:N374"/>
    <mergeCell ref="O370:O374"/>
    <mergeCell ref="R400:Y400"/>
    <mergeCell ref="AB400:AE400"/>
    <mergeCell ref="I390:I394"/>
    <mergeCell ref="J390:J394"/>
    <mergeCell ref="K390:K394"/>
    <mergeCell ref="L390:L394"/>
    <mergeCell ref="M390:M394"/>
    <mergeCell ref="N390:N394"/>
    <mergeCell ref="O390:O394"/>
    <mergeCell ref="P380:P384"/>
    <mergeCell ref="Q380:Q384"/>
    <mergeCell ref="I380:I384"/>
    <mergeCell ref="J380:J384"/>
    <mergeCell ref="K380:K384"/>
    <mergeCell ref="L380:L384"/>
    <mergeCell ref="M380:M384"/>
    <mergeCell ref="N380:N384"/>
    <mergeCell ref="O380:O384"/>
    <mergeCell ref="P355:P359"/>
    <mergeCell ref="B355:B359"/>
    <mergeCell ref="C355:C359"/>
    <mergeCell ref="D355:D359"/>
    <mergeCell ref="E355:E359"/>
    <mergeCell ref="F355:F359"/>
    <mergeCell ref="G355:G359"/>
    <mergeCell ref="H355:H359"/>
    <mergeCell ref="B380:B384"/>
    <mergeCell ref="C380:C384"/>
    <mergeCell ref="D380:D384"/>
    <mergeCell ref="E380:E384"/>
    <mergeCell ref="F380:F384"/>
    <mergeCell ref="G380:G384"/>
    <mergeCell ref="H380:H384"/>
    <mergeCell ref="P385:P389"/>
    <mergeCell ref="I385:I389"/>
    <mergeCell ref="J385:J389"/>
    <mergeCell ref="K385:K389"/>
    <mergeCell ref="L385:L389"/>
    <mergeCell ref="M385:M389"/>
    <mergeCell ref="N385:N389"/>
    <mergeCell ref="O385:O389"/>
    <mergeCell ref="B385:B389"/>
    <mergeCell ref="C385:C389"/>
    <mergeCell ref="D385:D389"/>
    <mergeCell ref="E385:E389"/>
    <mergeCell ref="F385:F389"/>
    <mergeCell ref="G385:G389"/>
    <mergeCell ref="H385:H389"/>
    <mergeCell ref="K365:K369"/>
    <mergeCell ref="B375:B379"/>
    <mergeCell ref="B314:B318"/>
    <mergeCell ref="C314:C318"/>
    <mergeCell ref="F314:F318"/>
    <mergeCell ref="G314:G318"/>
    <mergeCell ref="B390:B394"/>
    <mergeCell ref="C390:C394"/>
    <mergeCell ref="D390:D394"/>
    <mergeCell ref="E390:E394"/>
    <mergeCell ref="F390:F394"/>
    <mergeCell ref="G390:G394"/>
    <mergeCell ref="H390:H394"/>
    <mergeCell ref="K329:K333"/>
    <mergeCell ref="L329:L333"/>
    <mergeCell ref="M329:M333"/>
    <mergeCell ref="N329:N333"/>
    <mergeCell ref="O329:O333"/>
    <mergeCell ref="B329:B333"/>
    <mergeCell ref="C329:C333"/>
    <mergeCell ref="F329:F333"/>
    <mergeCell ref="G329:G333"/>
    <mergeCell ref="H329:H333"/>
    <mergeCell ref="I329:I333"/>
    <mergeCell ref="J329:J333"/>
    <mergeCell ref="N340:N344"/>
    <mergeCell ref="O340:O344"/>
    <mergeCell ref="L365:L369"/>
    <mergeCell ref="M365:M369"/>
    <mergeCell ref="N365:N369"/>
    <mergeCell ref="O365:O369"/>
    <mergeCell ref="B365:B369"/>
    <mergeCell ref="C365:C369"/>
    <mergeCell ref="C375:C379"/>
    <mergeCell ref="B319:B323"/>
    <mergeCell ref="C319:C323"/>
    <mergeCell ref="K324:K328"/>
    <mergeCell ref="L324:L328"/>
    <mergeCell ref="M324:M328"/>
    <mergeCell ref="D324:D328"/>
    <mergeCell ref="E324:E328"/>
    <mergeCell ref="F324:F328"/>
    <mergeCell ref="G324:G328"/>
    <mergeCell ref="H324:H328"/>
    <mergeCell ref="I324:I328"/>
    <mergeCell ref="J324:J328"/>
    <mergeCell ref="M334:M338"/>
    <mergeCell ref="N334:N338"/>
    <mergeCell ref="O334:O338"/>
    <mergeCell ref="F334:F338"/>
    <mergeCell ref="G334:G338"/>
    <mergeCell ref="H334:H338"/>
    <mergeCell ref="I334:I338"/>
    <mergeCell ref="J334:J338"/>
    <mergeCell ref="K334:K338"/>
    <mergeCell ref="L334:L338"/>
    <mergeCell ref="B324:B328"/>
    <mergeCell ref="C324:C328"/>
    <mergeCell ref="G319:G323"/>
    <mergeCell ref="H319:H323"/>
    <mergeCell ref="I319:I323"/>
    <mergeCell ref="J319:J323"/>
    <mergeCell ref="K319:K323"/>
    <mergeCell ref="L319:L323"/>
    <mergeCell ref="I350:I354"/>
    <mergeCell ref="J350:J354"/>
    <mergeCell ref="K350:K354"/>
    <mergeCell ref="L350:L354"/>
    <mergeCell ref="M350:M354"/>
    <mergeCell ref="N350:N354"/>
    <mergeCell ref="O350:O354"/>
    <mergeCell ref="B350:B354"/>
    <mergeCell ref="C350:C354"/>
    <mergeCell ref="D350:D354"/>
    <mergeCell ref="E350:E354"/>
    <mergeCell ref="F350:F354"/>
    <mergeCell ref="G350:G354"/>
    <mergeCell ref="H350:H354"/>
    <mergeCell ref="H345:H349"/>
    <mergeCell ref="P350:P354"/>
    <mergeCell ref="Q350:Q354"/>
    <mergeCell ref="B340:B344"/>
    <mergeCell ref="C340:C344"/>
    <mergeCell ref="D340:D344"/>
    <mergeCell ref="E340:E344"/>
    <mergeCell ref="F340:F344"/>
    <mergeCell ref="P345:P349"/>
    <mergeCell ref="Q345:Q349"/>
    <mergeCell ref="I345:I349"/>
    <mergeCell ref="J345:J349"/>
    <mergeCell ref="K345:K349"/>
    <mergeCell ref="L345:L349"/>
    <mergeCell ref="M345:M349"/>
    <mergeCell ref="N345:N349"/>
    <mergeCell ref="O345:O349"/>
    <mergeCell ref="B345:B349"/>
    <mergeCell ref="C345:C349"/>
    <mergeCell ref="D345:D349"/>
    <mergeCell ref="E345:E349"/>
    <mergeCell ref="F345:F349"/>
    <mergeCell ref="G345:G349"/>
    <mergeCell ref="Q340:Q344"/>
    <mergeCell ref="G340:G344"/>
    <mergeCell ref="H340:H344"/>
    <mergeCell ref="I340:I344"/>
    <mergeCell ref="J340:J344"/>
    <mergeCell ref="K340:K344"/>
    <mergeCell ref="L340:L344"/>
    <mergeCell ref="M340:M344"/>
    <mergeCell ref="P340:P344"/>
    <mergeCell ref="P329:P333"/>
    <mergeCell ref="P334:P338"/>
    <mergeCell ref="D395:D399"/>
    <mergeCell ref="E395:E399"/>
    <mergeCell ref="F395:F399"/>
    <mergeCell ref="G395:G399"/>
    <mergeCell ref="H395:H399"/>
    <mergeCell ref="H406:H410"/>
    <mergeCell ref="H411:H415"/>
    <mergeCell ref="P395:P399"/>
    <mergeCell ref="Q395:Q399"/>
    <mergeCell ref="I395:I399"/>
    <mergeCell ref="J395:J399"/>
    <mergeCell ref="K395:K399"/>
    <mergeCell ref="L395:L399"/>
    <mergeCell ref="M395:M399"/>
    <mergeCell ref="N395:N399"/>
    <mergeCell ref="O395:O399"/>
    <mergeCell ref="Q355:Q359"/>
    <mergeCell ref="I355:I359"/>
    <mergeCell ref="J355:J359"/>
    <mergeCell ref="K355:K359"/>
    <mergeCell ref="L355:L359"/>
    <mergeCell ref="M355:M359"/>
    <mergeCell ref="N355:N359"/>
    <mergeCell ref="O355:O359"/>
    <mergeCell ref="Q385:Q389"/>
    <mergeCell ref="P390:P394"/>
    <mergeCell ref="Q390:Q394"/>
    <mergeCell ref="P365:P369"/>
    <mergeCell ref="D365:D369"/>
    <mergeCell ref="E365:E369"/>
    <mergeCell ref="D406:D410"/>
    <mergeCell ref="D416:D420"/>
    <mergeCell ref="O411:O415"/>
    <mergeCell ref="P411:P415"/>
    <mergeCell ref="Q411:Q415"/>
    <mergeCell ref="M421:M425"/>
    <mergeCell ref="N421:N425"/>
    <mergeCell ref="C401:C405"/>
    <mergeCell ref="D401:D405"/>
    <mergeCell ref="E401:E405"/>
    <mergeCell ref="F401:F405"/>
    <mergeCell ref="N401:N405"/>
    <mergeCell ref="O401:O405"/>
    <mergeCell ref="P401:P405"/>
    <mergeCell ref="Q401:Q405"/>
    <mergeCell ref="G401:G405"/>
    <mergeCell ref="H401:H405"/>
    <mergeCell ref="I401:I405"/>
    <mergeCell ref="J401:J405"/>
    <mergeCell ref="K401:K405"/>
    <mergeCell ref="L401:L405"/>
    <mergeCell ref="M401:M405"/>
    <mergeCell ref="N406:N410"/>
    <mergeCell ref="O406:O410"/>
    <mergeCell ref="P406:P410"/>
    <mergeCell ref="Q406:Q410"/>
    <mergeCell ref="D411:D415"/>
    <mergeCell ref="E411:E415"/>
    <mergeCell ref="L411:L415"/>
    <mergeCell ref="M411:M415"/>
    <mergeCell ref="E406:E410"/>
    <mergeCell ref="E416:E420"/>
    <mergeCell ref="F416:F420"/>
    <mergeCell ref="G416:G420"/>
    <mergeCell ref="H416:H420"/>
    <mergeCell ref="P421:P425"/>
    <mergeCell ref="Q421:Q425"/>
    <mergeCell ref="N411:N415"/>
    <mergeCell ref="B406:B410"/>
    <mergeCell ref="C406:C410"/>
    <mergeCell ref="I406:I410"/>
    <mergeCell ref="J406:J410"/>
    <mergeCell ref="K406:K410"/>
    <mergeCell ref="L406:L410"/>
    <mergeCell ref="M406:M410"/>
    <mergeCell ref="P416:P420"/>
    <mergeCell ref="Q416:Q420"/>
    <mergeCell ref="I416:I420"/>
    <mergeCell ref="J416:J420"/>
    <mergeCell ref="K416:K420"/>
    <mergeCell ref="L416:L420"/>
    <mergeCell ref="M416:M420"/>
    <mergeCell ref="N416:N420"/>
    <mergeCell ref="O416:O420"/>
    <mergeCell ref="K421:K425"/>
    <mergeCell ref="L421:L425"/>
    <mergeCell ref="D421:D425"/>
    <mergeCell ref="E421:E425"/>
    <mergeCell ref="F421:F425"/>
    <mergeCell ref="G421:G425"/>
    <mergeCell ref="G406:G410"/>
    <mergeCell ref="F411:F415"/>
    <mergeCell ref="G411:G415"/>
    <mergeCell ref="I411:I415"/>
    <mergeCell ref="Q452:Q456"/>
    <mergeCell ref="J442:J446"/>
    <mergeCell ref="K442:K446"/>
    <mergeCell ref="L442:L446"/>
    <mergeCell ref="M442:M446"/>
    <mergeCell ref="N442:N446"/>
    <mergeCell ref="O442:O446"/>
    <mergeCell ref="P442:P446"/>
    <mergeCell ref="Q442:Q446"/>
    <mergeCell ref="L426:L430"/>
    <mergeCell ref="M426:M430"/>
    <mergeCell ref="N426:N430"/>
    <mergeCell ref="O426:O430"/>
    <mergeCell ref="P426:P430"/>
    <mergeCell ref="Q426:Q430"/>
    <mergeCell ref="R441:Y441"/>
    <mergeCell ref="AB441:AE441"/>
    <mergeCell ref="J426:J430"/>
    <mergeCell ref="K426:K430"/>
    <mergeCell ref="L436:L440"/>
    <mergeCell ref="M436:M440"/>
    <mergeCell ref="N436:N440"/>
    <mergeCell ref="O436:O440"/>
    <mergeCell ref="P436:P440"/>
    <mergeCell ref="Q436:Q440"/>
    <mergeCell ref="P504:P508"/>
    <mergeCell ref="P524:P528"/>
    <mergeCell ref="Q457:Q461"/>
    <mergeCell ref="R467:Y467"/>
    <mergeCell ref="AB467:AE467"/>
    <mergeCell ref="Q462:Q466"/>
    <mergeCell ref="C462:C466"/>
    <mergeCell ref="D462:D466"/>
    <mergeCell ref="E462:E466"/>
    <mergeCell ref="F462:F466"/>
    <mergeCell ref="G462:G466"/>
    <mergeCell ref="H462:H466"/>
    <mergeCell ref="I462:I466"/>
    <mergeCell ref="O421:O425"/>
    <mergeCell ref="L431:L435"/>
    <mergeCell ref="M431:M435"/>
    <mergeCell ref="N431:N435"/>
    <mergeCell ref="O431:O435"/>
    <mergeCell ref="P431:P435"/>
    <mergeCell ref="Q431:Q435"/>
    <mergeCell ref="E431:E435"/>
    <mergeCell ref="F431:F435"/>
    <mergeCell ref="G431:G435"/>
    <mergeCell ref="H431:H435"/>
    <mergeCell ref="I431:I435"/>
    <mergeCell ref="J431:J435"/>
    <mergeCell ref="K431:K435"/>
    <mergeCell ref="J452:J456"/>
    <mergeCell ref="K452:K456"/>
    <mergeCell ref="L452:L456"/>
    <mergeCell ref="M452:M456"/>
    <mergeCell ref="N452:N456"/>
    <mergeCell ref="L462:L466"/>
    <mergeCell ref="M462:M466"/>
    <mergeCell ref="N462:N466"/>
    <mergeCell ref="O462:O466"/>
    <mergeCell ref="P462:P466"/>
    <mergeCell ref="C452:C456"/>
    <mergeCell ref="D452:D456"/>
    <mergeCell ref="E452:E456"/>
    <mergeCell ref="F452:F456"/>
    <mergeCell ref="G452:G456"/>
    <mergeCell ref="H452:H456"/>
    <mergeCell ref="I452:I456"/>
    <mergeCell ref="C457:C461"/>
    <mergeCell ref="D457:D461"/>
    <mergeCell ref="E457:E461"/>
    <mergeCell ref="F457:F461"/>
    <mergeCell ref="G457:G461"/>
    <mergeCell ref="H457:H461"/>
    <mergeCell ref="I457:I461"/>
    <mergeCell ref="O452:O456"/>
    <mergeCell ref="P452:P456"/>
    <mergeCell ref="P539:P543"/>
    <mergeCell ref="Q539:Q543"/>
    <mergeCell ref="B539:B543"/>
    <mergeCell ref="C539:C543"/>
    <mergeCell ref="D539:D543"/>
    <mergeCell ref="E539:E543"/>
    <mergeCell ref="F539:F543"/>
    <mergeCell ref="G539:G543"/>
    <mergeCell ref="H539:H543"/>
    <mergeCell ref="I539:I543"/>
    <mergeCell ref="J539:J543"/>
    <mergeCell ref="K539:K543"/>
    <mergeCell ref="L539:L543"/>
    <mergeCell ref="R483:Y483"/>
    <mergeCell ref="AB483:AE483"/>
    <mergeCell ref="J457:J461"/>
    <mergeCell ref="K457:K461"/>
    <mergeCell ref="L457:L461"/>
    <mergeCell ref="M457:M461"/>
    <mergeCell ref="N457:N461"/>
    <mergeCell ref="O457:O461"/>
    <mergeCell ref="P457:P461"/>
    <mergeCell ref="B529:B533"/>
    <mergeCell ref="C529:C533"/>
    <mergeCell ref="D529:D533"/>
    <mergeCell ref="E529:E533"/>
    <mergeCell ref="M529:M533"/>
    <mergeCell ref="N529:N533"/>
    <mergeCell ref="O529:O533"/>
    <mergeCell ref="P529:P533"/>
    <mergeCell ref="Q529:Q533"/>
    <mergeCell ref="F529:F533"/>
    <mergeCell ref="AE608:AE612"/>
    <mergeCell ref="AE613:AE617"/>
    <mergeCell ref="AE618:AE622"/>
    <mergeCell ref="AE623:AE627"/>
    <mergeCell ref="AE628:AE632"/>
    <mergeCell ref="AE633:AE637"/>
    <mergeCell ref="AE638:AE642"/>
    <mergeCell ref="AE643:AE647"/>
    <mergeCell ref="AE648:AE652"/>
    <mergeCell ref="R653:Y653"/>
    <mergeCell ref="AB653:AE653"/>
    <mergeCell ref="AE603:AE607"/>
    <mergeCell ref="O608:O612"/>
    <mergeCell ref="P608:P612"/>
    <mergeCell ref="Q608:Q612"/>
    <mergeCell ref="Q643:Q647"/>
    <mergeCell ref="B534:B538"/>
    <mergeCell ref="C534:C538"/>
    <mergeCell ref="D534:D538"/>
    <mergeCell ref="E534:E538"/>
    <mergeCell ref="M534:M538"/>
    <mergeCell ref="N534:N538"/>
    <mergeCell ref="O534:O538"/>
    <mergeCell ref="P534:P538"/>
    <mergeCell ref="Q534:Q538"/>
    <mergeCell ref="F534:F538"/>
    <mergeCell ref="G534:G538"/>
    <mergeCell ref="H534:H538"/>
    <mergeCell ref="I534:I538"/>
    <mergeCell ref="J534:J538"/>
    <mergeCell ref="K534:K538"/>
    <mergeCell ref="L534:L538"/>
    <mergeCell ref="R654:Y654"/>
    <mergeCell ref="AB654:AE654"/>
    <mergeCell ref="R655:AE655"/>
    <mergeCell ref="T657:Y657"/>
    <mergeCell ref="AA656:AB656"/>
    <mergeCell ref="T670:V670"/>
    <mergeCell ref="T671:U671"/>
    <mergeCell ref="T672:U672"/>
    <mergeCell ref="T673:U673"/>
    <mergeCell ref="T681:U681"/>
    <mergeCell ref="T682:U682"/>
    <mergeCell ref="T683:U683"/>
    <mergeCell ref="T684:U684"/>
    <mergeCell ref="T685:U685"/>
    <mergeCell ref="T674:U674"/>
    <mergeCell ref="T675:U675"/>
    <mergeCell ref="T676:V676"/>
    <mergeCell ref="T677:U677"/>
    <mergeCell ref="T678:U678"/>
    <mergeCell ref="T679:U679"/>
    <mergeCell ref="T680:U680"/>
    <mergeCell ref="AB577:AE577"/>
    <mergeCell ref="AE578:AE582"/>
    <mergeCell ref="AE583:AE587"/>
    <mergeCell ref="AE588:AE592"/>
    <mergeCell ref="AE593:AE597"/>
    <mergeCell ref="AE598:AE602"/>
    <mergeCell ref="B554:B558"/>
    <mergeCell ref="C554:C558"/>
    <mergeCell ref="D554:D558"/>
    <mergeCell ref="E554:E558"/>
    <mergeCell ref="M554:M558"/>
    <mergeCell ref="N554:N558"/>
    <mergeCell ref="O554:O558"/>
    <mergeCell ref="P554:P558"/>
    <mergeCell ref="Q554:Q558"/>
    <mergeCell ref="F554:F558"/>
    <mergeCell ref="G554:G558"/>
    <mergeCell ref="H554:H558"/>
    <mergeCell ref="I554:I558"/>
    <mergeCell ref="J554:J558"/>
    <mergeCell ref="K554:K558"/>
    <mergeCell ref="AB559:AE559"/>
    <mergeCell ref="R577:Y577"/>
    <mergeCell ref="L554:L558"/>
    <mergeCell ref="P588:P592"/>
    <mergeCell ref="Q588:Q592"/>
    <mergeCell ref="I588:I592"/>
    <mergeCell ref="J588:J592"/>
    <mergeCell ref="K588:K592"/>
    <mergeCell ref="L588:L592"/>
    <mergeCell ref="M588:M592"/>
    <mergeCell ref="N588:N592"/>
    <mergeCell ref="B544:B548"/>
    <mergeCell ref="C544:C548"/>
    <mergeCell ref="D544:D548"/>
    <mergeCell ref="E544:E548"/>
    <mergeCell ref="F544:F548"/>
    <mergeCell ref="G544:G548"/>
    <mergeCell ref="H544:H548"/>
    <mergeCell ref="I544:I548"/>
    <mergeCell ref="J544:J548"/>
    <mergeCell ref="K544:K548"/>
    <mergeCell ref="E442:E446"/>
    <mergeCell ref="F442:F446"/>
    <mergeCell ref="G442:G446"/>
    <mergeCell ref="H442:H446"/>
    <mergeCell ref="I442:I446"/>
    <mergeCell ref="B494:B498"/>
    <mergeCell ref="B499:B503"/>
    <mergeCell ref="C499:C503"/>
    <mergeCell ref="D499:D503"/>
    <mergeCell ref="B504:B508"/>
    <mergeCell ref="B524:B528"/>
    <mergeCell ref="C524:C528"/>
    <mergeCell ref="D524:D528"/>
    <mergeCell ref="E524:E528"/>
    <mergeCell ref="C514:C518"/>
    <mergeCell ref="G529:G533"/>
    <mergeCell ref="H529:H533"/>
    <mergeCell ref="I529:I533"/>
    <mergeCell ref="J529:J533"/>
    <mergeCell ref="K529:K533"/>
    <mergeCell ref="J462:J466"/>
    <mergeCell ref="K462:K466"/>
    <mergeCell ref="O539:O543"/>
    <mergeCell ref="C447:C451"/>
    <mergeCell ref="D447:D451"/>
    <mergeCell ref="E447:E451"/>
    <mergeCell ref="F447:F451"/>
    <mergeCell ref="G447:G451"/>
    <mergeCell ref="H447:H451"/>
    <mergeCell ref="I447:I451"/>
    <mergeCell ref="A401:A441"/>
    <mergeCell ref="B416:B420"/>
    <mergeCell ref="B421:B425"/>
    <mergeCell ref="B426:B430"/>
    <mergeCell ref="B431:B435"/>
    <mergeCell ref="C431:C435"/>
    <mergeCell ref="D431:D435"/>
    <mergeCell ref="D436:D440"/>
    <mergeCell ref="J436:J440"/>
    <mergeCell ref="K436:K440"/>
    <mergeCell ref="E426:E430"/>
    <mergeCell ref="F426:F430"/>
    <mergeCell ref="G426:G430"/>
    <mergeCell ref="H426:H430"/>
    <mergeCell ref="I426:I430"/>
    <mergeCell ref="F406:F410"/>
    <mergeCell ref="B436:B440"/>
    <mergeCell ref="C436:C440"/>
    <mergeCell ref="E436:E440"/>
    <mergeCell ref="F436:F440"/>
    <mergeCell ref="G436:G440"/>
    <mergeCell ref="H436:H440"/>
    <mergeCell ref="I436:I440"/>
    <mergeCell ref="L529:L533"/>
    <mergeCell ref="J411:J415"/>
    <mergeCell ref="K411:K415"/>
    <mergeCell ref="H421:H425"/>
    <mergeCell ref="I421:I425"/>
    <mergeCell ref="J421:J425"/>
    <mergeCell ref="A442:A467"/>
    <mergeCell ref="A468:A482"/>
    <mergeCell ref="C395:C399"/>
    <mergeCell ref="B411:B415"/>
    <mergeCell ref="C411:C415"/>
    <mergeCell ref="C416:C420"/>
    <mergeCell ref="C421:C425"/>
    <mergeCell ref="C426:C430"/>
    <mergeCell ref="D426:D430"/>
    <mergeCell ref="P484:P488"/>
    <mergeCell ref="Q484:Q488"/>
    <mergeCell ref="I484:I488"/>
    <mergeCell ref="J484:J488"/>
    <mergeCell ref="K484:K488"/>
    <mergeCell ref="L484:L488"/>
    <mergeCell ref="M484:M488"/>
    <mergeCell ref="N484:N488"/>
    <mergeCell ref="O484:O488"/>
    <mergeCell ref="B484:B488"/>
    <mergeCell ref="C484:C488"/>
    <mergeCell ref="D484:D488"/>
    <mergeCell ref="E484:E488"/>
    <mergeCell ref="F484:F488"/>
    <mergeCell ref="G484:G488"/>
    <mergeCell ref="H484:H488"/>
    <mergeCell ref="C442:C446"/>
    <mergeCell ref="D442:D446"/>
    <mergeCell ref="B395:B399"/>
    <mergeCell ref="B401:B405"/>
    <mergeCell ref="B442:B446"/>
    <mergeCell ref="B447:B451"/>
    <mergeCell ref="B452:B456"/>
    <mergeCell ref="B457:B461"/>
    <mergeCell ref="B462:B466"/>
    <mergeCell ref="O494:O498"/>
    <mergeCell ref="P494:P498"/>
    <mergeCell ref="Q494:Q498"/>
    <mergeCell ref="H494:H498"/>
    <mergeCell ref="I494:I498"/>
    <mergeCell ref="J494:J498"/>
    <mergeCell ref="K494:K498"/>
    <mergeCell ref="L494:L498"/>
    <mergeCell ref="M494:M498"/>
    <mergeCell ref="N494:N498"/>
    <mergeCell ref="C489:C493"/>
    <mergeCell ref="D489:D493"/>
    <mergeCell ref="E489:E493"/>
    <mergeCell ref="F489:F493"/>
    <mergeCell ref="G489:G493"/>
    <mergeCell ref="H489:H493"/>
    <mergeCell ref="I489:I493"/>
    <mergeCell ref="J447:J451"/>
    <mergeCell ref="K447:K451"/>
    <mergeCell ref="L447:L451"/>
    <mergeCell ref="M447:M451"/>
    <mergeCell ref="N447:N451"/>
    <mergeCell ref="O447:O451"/>
    <mergeCell ref="P447:P451"/>
    <mergeCell ref="Q447:Q451"/>
    <mergeCell ref="Q499:Q503"/>
    <mergeCell ref="E499:E503"/>
    <mergeCell ref="F499:F503"/>
    <mergeCell ref="H499:H503"/>
    <mergeCell ref="I499:I503"/>
    <mergeCell ref="J499:J503"/>
    <mergeCell ref="K499:K503"/>
    <mergeCell ref="L499:L503"/>
    <mergeCell ref="B489:B493"/>
    <mergeCell ref="D494:D498"/>
    <mergeCell ref="E494:E498"/>
    <mergeCell ref="F494:F498"/>
    <mergeCell ref="G494:G498"/>
    <mergeCell ref="J489:J493"/>
    <mergeCell ref="K489:K493"/>
    <mergeCell ref="L489:L493"/>
    <mergeCell ref="M489:M493"/>
    <mergeCell ref="N489:N493"/>
    <mergeCell ref="O489:O493"/>
    <mergeCell ref="P489:P493"/>
    <mergeCell ref="Q489:Q493"/>
    <mergeCell ref="M499:M503"/>
    <mergeCell ref="N499:N503"/>
    <mergeCell ref="O499:O503"/>
    <mergeCell ref="P499:P503"/>
    <mergeCell ref="Q504:Q508"/>
    <mergeCell ref="C504:C508"/>
    <mergeCell ref="D504:D508"/>
    <mergeCell ref="H504:H508"/>
    <mergeCell ref="I504:I508"/>
    <mergeCell ref="J504:J508"/>
    <mergeCell ref="K504:K508"/>
    <mergeCell ref="L504:L508"/>
    <mergeCell ref="B519:B523"/>
    <mergeCell ref="C519:C523"/>
    <mergeCell ref="D519:D523"/>
    <mergeCell ref="E519:E523"/>
    <mergeCell ref="M519:M523"/>
    <mergeCell ref="N519:N523"/>
    <mergeCell ref="O519:O523"/>
    <mergeCell ref="P519:P523"/>
    <mergeCell ref="Q519:Q523"/>
    <mergeCell ref="F519:F523"/>
    <mergeCell ref="G519:G523"/>
    <mergeCell ref="H519:H523"/>
    <mergeCell ref="I519:I523"/>
    <mergeCell ref="J519:J523"/>
    <mergeCell ref="K519:K523"/>
    <mergeCell ref="L519:L523"/>
    <mergeCell ref="N509:N513"/>
    <mergeCell ref="O509:O513"/>
    <mergeCell ref="P509:P513"/>
    <mergeCell ref="L509:L513"/>
    <mergeCell ref="B514:B518"/>
    <mergeCell ref="M504:M508"/>
    <mergeCell ref="N504:N508"/>
    <mergeCell ref="O504:O508"/>
    <mergeCell ref="Q524:Q528"/>
    <mergeCell ref="F524:F528"/>
    <mergeCell ref="G524:G528"/>
    <mergeCell ref="H524:H528"/>
    <mergeCell ref="I524:I528"/>
    <mergeCell ref="J524:J528"/>
    <mergeCell ref="K524:K528"/>
    <mergeCell ref="L524:L528"/>
    <mergeCell ref="B549:B553"/>
    <mergeCell ref="C549:C553"/>
    <mergeCell ref="D549:D553"/>
    <mergeCell ref="E549:E553"/>
    <mergeCell ref="M549:M553"/>
    <mergeCell ref="N549:N553"/>
    <mergeCell ref="O549:O553"/>
    <mergeCell ref="P549:P553"/>
    <mergeCell ref="Q549:Q553"/>
    <mergeCell ref="F549:F553"/>
    <mergeCell ref="G549:G553"/>
    <mergeCell ref="H549:H553"/>
    <mergeCell ref="I549:I553"/>
    <mergeCell ref="J549:J553"/>
    <mergeCell ref="K549:K553"/>
    <mergeCell ref="L549:L553"/>
    <mergeCell ref="L544:L548"/>
    <mergeCell ref="M544:M548"/>
    <mergeCell ref="N544:N548"/>
    <mergeCell ref="O544:O548"/>
    <mergeCell ref="P544:P548"/>
    <mergeCell ref="Q544:Q548"/>
    <mergeCell ref="M539:M543"/>
    <mergeCell ref="N539:N543"/>
    <mergeCell ref="B598:B602"/>
    <mergeCell ref="C598:C602"/>
    <mergeCell ref="O593:O597"/>
    <mergeCell ref="P593:P597"/>
    <mergeCell ref="Q593:Q597"/>
    <mergeCell ref="M593:M597"/>
    <mergeCell ref="N593:N597"/>
    <mergeCell ref="O588:O592"/>
    <mergeCell ref="B583:B587"/>
    <mergeCell ref="B588:B592"/>
    <mergeCell ref="D588:D592"/>
    <mergeCell ref="E588:E592"/>
    <mergeCell ref="F588:F592"/>
    <mergeCell ref="G588:G592"/>
    <mergeCell ref="H588:H592"/>
    <mergeCell ref="C588:C592"/>
    <mergeCell ref="N583:N587"/>
    <mergeCell ref="O583:O587"/>
    <mergeCell ref="P583:P587"/>
    <mergeCell ref="Q583:Q587"/>
    <mergeCell ref="B593:B597"/>
    <mergeCell ref="C593:C597"/>
    <mergeCell ref="D593:D597"/>
    <mergeCell ref="E593:E597"/>
    <mergeCell ref="F593:F597"/>
    <mergeCell ref="G593:G597"/>
    <mergeCell ref="Q628:Q632"/>
    <mergeCell ref="D628:D632"/>
    <mergeCell ref="E628:E632"/>
    <mergeCell ref="F628:F632"/>
    <mergeCell ref="G628:G632"/>
    <mergeCell ref="H628:H632"/>
    <mergeCell ref="I628:I632"/>
    <mergeCell ref="J628:J632"/>
    <mergeCell ref="K608:K612"/>
    <mergeCell ref="L608:L612"/>
    <mergeCell ref="M608:M612"/>
    <mergeCell ref="N608:N612"/>
    <mergeCell ref="K598:K602"/>
    <mergeCell ref="L598:L602"/>
    <mergeCell ref="M598:M602"/>
    <mergeCell ref="N598:N602"/>
    <mergeCell ref="O598:O602"/>
    <mergeCell ref="P598:P602"/>
    <mergeCell ref="Q598:Q602"/>
    <mergeCell ref="D598:D602"/>
    <mergeCell ref="E598:E602"/>
    <mergeCell ref="F598:F602"/>
    <mergeCell ref="G598:G602"/>
    <mergeCell ref="H598:H602"/>
    <mergeCell ref="I598:I602"/>
    <mergeCell ref="J598:J602"/>
    <mergeCell ref="L613:L617"/>
    <mergeCell ref="M613:M617"/>
    <mergeCell ref="N613:N617"/>
    <mergeCell ref="O613:O617"/>
    <mergeCell ref="P613:P617"/>
    <mergeCell ref="Q613:Q617"/>
    <mergeCell ref="C618:C622"/>
    <mergeCell ref="B623:B627"/>
    <mergeCell ref="C623:C627"/>
    <mergeCell ref="B628:B632"/>
    <mergeCell ref="C628:C632"/>
    <mergeCell ref="E504:E508"/>
    <mergeCell ref="F504:F508"/>
    <mergeCell ref="D509:D513"/>
    <mergeCell ref="E509:E513"/>
    <mergeCell ref="M509:M513"/>
    <mergeCell ref="K583:K587"/>
    <mergeCell ref="L583:L587"/>
    <mergeCell ref="M583:M587"/>
    <mergeCell ref="D583:D587"/>
    <mergeCell ref="E583:E587"/>
    <mergeCell ref="F583:F587"/>
    <mergeCell ref="G583:G587"/>
    <mergeCell ref="H583:H587"/>
    <mergeCell ref="I583:I587"/>
    <mergeCell ref="J583:J587"/>
    <mergeCell ref="H593:H597"/>
    <mergeCell ref="I593:I597"/>
    <mergeCell ref="J593:J597"/>
    <mergeCell ref="K593:K597"/>
    <mergeCell ref="L593:L597"/>
    <mergeCell ref="K603:K607"/>
    <mergeCell ref="L603:L607"/>
    <mergeCell ref="M603:M607"/>
    <mergeCell ref="D603:D607"/>
    <mergeCell ref="E603:E607"/>
    <mergeCell ref="F603:F607"/>
    <mergeCell ref="G603:G607"/>
    <mergeCell ref="D613:D617"/>
    <mergeCell ref="E613:E617"/>
    <mergeCell ref="F613:F617"/>
    <mergeCell ref="G613:G617"/>
    <mergeCell ref="H613:H617"/>
    <mergeCell ref="I613:I617"/>
    <mergeCell ref="J613:J617"/>
    <mergeCell ref="B603:B607"/>
    <mergeCell ref="C603:C607"/>
    <mergeCell ref="B608:B612"/>
    <mergeCell ref="C608:C612"/>
    <mergeCell ref="B613:B617"/>
    <mergeCell ref="C613:C617"/>
    <mergeCell ref="N603:N607"/>
    <mergeCell ref="O603:O607"/>
    <mergeCell ref="P603:P607"/>
    <mergeCell ref="Q603:Q607"/>
    <mergeCell ref="H603:H607"/>
    <mergeCell ref="I603:I607"/>
    <mergeCell ref="J603:J607"/>
    <mergeCell ref="K578:K582"/>
    <mergeCell ref="L578:L582"/>
    <mergeCell ref="M578:M582"/>
    <mergeCell ref="N578:N582"/>
    <mergeCell ref="O578:O582"/>
    <mergeCell ref="P578:P582"/>
    <mergeCell ref="Q578:Q582"/>
    <mergeCell ref="A560:A574"/>
    <mergeCell ref="D578:D582"/>
    <mergeCell ref="E578:E582"/>
    <mergeCell ref="F578:F582"/>
    <mergeCell ref="G578:G582"/>
    <mergeCell ref="H578:H582"/>
    <mergeCell ref="I578:I582"/>
    <mergeCell ref="Q509:Q513"/>
    <mergeCell ref="D514:D518"/>
    <mergeCell ref="E514:E518"/>
    <mergeCell ref="M514:M518"/>
    <mergeCell ref="N514:N518"/>
    <mergeCell ref="O514:O518"/>
    <mergeCell ref="P514:P518"/>
    <mergeCell ref="Q514:Q518"/>
    <mergeCell ref="F514:F518"/>
    <mergeCell ref="G514:G518"/>
    <mergeCell ref="H514:H518"/>
    <mergeCell ref="I514:I518"/>
    <mergeCell ref="J514:J518"/>
    <mergeCell ref="K514:K518"/>
    <mergeCell ref="L514:L518"/>
    <mergeCell ref="M524:M528"/>
    <mergeCell ref="N524:N528"/>
    <mergeCell ref="O524:O528"/>
    <mergeCell ref="L618:L622"/>
    <mergeCell ref="M618:M622"/>
    <mergeCell ref="N618:N622"/>
    <mergeCell ref="O618:O622"/>
    <mergeCell ref="P618:P622"/>
    <mergeCell ref="Q618:Q622"/>
    <mergeCell ref="D618:D622"/>
    <mergeCell ref="E618:E622"/>
    <mergeCell ref="F618:F622"/>
    <mergeCell ref="G618:G622"/>
    <mergeCell ref="H618:H622"/>
    <mergeCell ref="I618:I622"/>
    <mergeCell ref="J618:J622"/>
    <mergeCell ref="B633:B637"/>
    <mergeCell ref="C633:C637"/>
    <mergeCell ref="B638:B642"/>
    <mergeCell ref="C638:C642"/>
    <mergeCell ref="Q623:Q627"/>
    <mergeCell ref="F623:F627"/>
    <mergeCell ref="G623:G627"/>
    <mergeCell ref="H623:H627"/>
    <mergeCell ref="I623:I627"/>
    <mergeCell ref="J623:J627"/>
    <mergeCell ref="K633:K637"/>
    <mergeCell ref="L633:L637"/>
    <mergeCell ref="M633:M637"/>
    <mergeCell ref="N633:N637"/>
    <mergeCell ref="O633:O637"/>
    <mergeCell ref="P633:P637"/>
    <mergeCell ref="Q633:Q637"/>
    <mergeCell ref="D633:D637"/>
    <mergeCell ref="B618:B622"/>
    <mergeCell ref="L643:L647"/>
    <mergeCell ref="M643:M647"/>
    <mergeCell ref="N643:N647"/>
    <mergeCell ref="O643:O647"/>
    <mergeCell ref="P643:P647"/>
    <mergeCell ref="D643:D647"/>
    <mergeCell ref="E643:E647"/>
    <mergeCell ref="F643:F647"/>
    <mergeCell ref="G643:G647"/>
    <mergeCell ref="H643:H647"/>
    <mergeCell ref="I643:I647"/>
    <mergeCell ref="J643:J647"/>
    <mergeCell ref="K623:K627"/>
    <mergeCell ref="L623:L627"/>
    <mergeCell ref="M623:M627"/>
    <mergeCell ref="N623:N627"/>
    <mergeCell ref="O623:O627"/>
    <mergeCell ref="P623:P627"/>
    <mergeCell ref="D623:D627"/>
    <mergeCell ref="E623:E627"/>
    <mergeCell ref="F638:F642"/>
    <mergeCell ref="G638:G642"/>
    <mergeCell ref="H638:H642"/>
    <mergeCell ref="I638:I642"/>
    <mergeCell ref="J638:J642"/>
    <mergeCell ref="K628:K632"/>
    <mergeCell ref="L628:L632"/>
    <mergeCell ref="M628:M632"/>
    <mergeCell ref="N628:N632"/>
    <mergeCell ref="O628:O632"/>
    <mergeCell ref="P628:P632"/>
    <mergeCell ref="B643:B647"/>
    <mergeCell ref="C643:C647"/>
    <mergeCell ref="B648:B652"/>
    <mergeCell ref="C648:C652"/>
    <mergeCell ref="C494:C498"/>
    <mergeCell ref="B509:B513"/>
    <mergeCell ref="C509:C513"/>
    <mergeCell ref="A578:A652"/>
    <mergeCell ref="B578:B582"/>
    <mergeCell ref="C578:C582"/>
    <mergeCell ref="C583:C587"/>
    <mergeCell ref="K643:K647"/>
    <mergeCell ref="K618:K622"/>
    <mergeCell ref="D608:D612"/>
    <mergeCell ref="E608:E612"/>
    <mergeCell ref="F608:F612"/>
    <mergeCell ref="G608:G612"/>
    <mergeCell ref="H608:H612"/>
    <mergeCell ref="I608:I612"/>
    <mergeCell ref="J608:J612"/>
    <mergeCell ref="K613:K617"/>
    <mergeCell ref="F509:F513"/>
    <mergeCell ref="G509:G513"/>
    <mergeCell ref="H509:H513"/>
    <mergeCell ref="I509:I513"/>
    <mergeCell ref="J509:J513"/>
    <mergeCell ref="K509:K513"/>
    <mergeCell ref="K648:K652"/>
    <mergeCell ref="A496:A558"/>
    <mergeCell ref="G499:G503"/>
    <mergeCell ref="G504:G508"/>
    <mergeCell ref="J578:J582"/>
    <mergeCell ref="R6:AE6"/>
    <mergeCell ref="R7:X7"/>
    <mergeCell ref="Y7:AA7"/>
    <mergeCell ref="AB7:AD7"/>
    <mergeCell ref="AE7:AE8"/>
    <mergeCell ref="I19:I23"/>
    <mergeCell ref="J19:J23"/>
    <mergeCell ref="Q19:Q23"/>
    <mergeCell ref="O19:O23"/>
    <mergeCell ref="K71:K75"/>
    <mergeCell ref="L71:L75"/>
    <mergeCell ref="D71:D75"/>
    <mergeCell ref="E71:E75"/>
    <mergeCell ref="F71:F75"/>
    <mergeCell ref="G71:G75"/>
    <mergeCell ref="H71:H75"/>
    <mergeCell ref="I71:I75"/>
    <mergeCell ref="Q14:Q18"/>
    <mergeCell ref="Q7:Q8"/>
    <mergeCell ref="E7:E8"/>
    <mergeCell ref="D9:D13"/>
    <mergeCell ref="E9:E13"/>
    <mergeCell ref="F9:F13"/>
    <mergeCell ref="G9:G13"/>
    <mergeCell ref="H9:H13"/>
    <mergeCell ref="P19:P23"/>
    <mergeCell ref="J7:J8"/>
    <mergeCell ref="K7:K8"/>
    <mergeCell ref="K19:K23"/>
    <mergeCell ref="L19:L23"/>
    <mergeCell ref="M19:M23"/>
    <mergeCell ref="N19:N23"/>
    <mergeCell ref="L648:L652"/>
    <mergeCell ref="M648:M652"/>
    <mergeCell ref="N648:N652"/>
    <mergeCell ref="O648:O652"/>
    <mergeCell ref="P648:P652"/>
    <mergeCell ref="Q648:Q652"/>
    <mergeCell ref="D648:D652"/>
    <mergeCell ref="E648:E652"/>
    <mergeCell ref="F648:F652"/>
    <mergeCell ref="G648:G652"/>
    <mergeCell ref="H648:H652"/>
    <mergeCell ref="I648:I652"/>
    <mergeCell ref="J648:J652"/>
    <mergeCell ref="I6:Q6"/>
    <mergeCell ref="E633:E637"/>
    <mergeCell ref="F633:F637"/>
    <mergeCell ref="G633:G637"/>
    <mergeCell ref="H633:H637"/>
    <mergeCell ref="I633:I637"/>
    <mergeCell ref="J633:J637"/>
    <mergeCell ref="K638:K642"/>
    <mergeCell ref="L638:L642"/>
    <mergeCell ref="M638:M642"/>
    <mergeCell ref="N638:N642"/>
    <mergeCell ref="O638:O642"/>
    <mergeCell ref="P638:P642"/>
    <mergeCell ref="Q638:Q642"/>
    <mergeCell ref="D638:D642"/>
    <mergeCell ref="E638:E642"/>
    <mergeCell ref="P14:P18"/>
    <mergeCell ref="P7:P8"/>
    <mergeCell ref="D7:D8"/>
    <mergeCell ref="A1:AE1"/>
    <mergeCell ref="A2:AE2"/>
    <mergeCell ref="A3:AE3"/>
    <mergeCell ref="A4:AE4"/>
    <mergeCell ref="A6:A8"/>
    <mergeCell ref="B6:C6"/>
    <mergeCell ref="D6:H6"/>
    <mergeCell ref="P9:P13"/>
    <mergeCell ref="Q9:Q13"/>
    <mergeCell ref="I9:I13"/>
    <mergeCell ref="J9:J13"/>
    <mergeCell ref="K9:K13"/>
    <mergeCell ref="L9:L13"/>
    <mergeCell ref="M9:M13"/>
    <mergeCell ref="N9:N13"/>
    <mergeCell ref="O9:O13"/>
    <mergeCell ref="E61:E65"/>
    <mergeCell ref="B19:B23"/>
    <mergeCell ref="C19:C23"/>
    <mergeCell ref="D19:D23"/>
    <mergeCell ref="E19:E23"/>
    <mergeCell ref="F19:F23"/>
    <mergeCell ref="G19:G23"/>
    <mergeCell ref="H19:H23"/>
    <mergeCell ref="F7:F8"/>
    <mergeCell ref="G7:G8"/>
    <mergeCell ref="H7:H8"/>
    <mergeCell ref="I7:I8"/>
    <mergeCell ref="L7:N7"/>
    <mergeCell ref="O7:O8"/>
    <mergeCell ref="M14:M18"/>
    <mergeCell ref="N14:N18"/>
    <mergeCell ref="C51:C55"/>
    <mergeCell ref="C56:C60"/>
    <mergeCell ref="N29:N50"/>
    <mergeCell ref="O29:O50"/>
    <mergeCell ref="J71:J75"/>
    <mergeCell ref="M76:M80"/>
    <mergeCell ref="N76:N80"/>
    <mergeCell ref="O76:O80"/>
    <mergeCell ref="M56:M60"/>
    <mergeCell ref="N56:N60"/>
    <mergeCell ref="O56:O60"/>
    <mergeCell ref="F61:F65"/>
    <mergeCell ref="G61:G65"/>
    <mergeCell ref="H61:H65"/>
    <mergeCell ref="I61:I65"/>
    <mergeCell ref="J61:J65"/>
    <mergeCell ref="F66:F70"/>
    <mergeCell ref="O14:O18"/>
    <mergeCell ref="K14:K18"/>
    <mergeCell ref="L14:L18"/>
    <mergeCell ref="D14:D18"/>
    <mergeCell ref="E14:E18"/>
    <mergeCell ref="F14:F18"/>
    <mergeCell ref="G14:G18"/>
    <mergeCell ref="H14:H18"/>
    <mergeCell ref="I14:I18"/>
    <mergeCell ref="J14:J18"/>
    <mergeCell ref="F76:F80"/>
    <mergeCell ref="G76:G80"/>
    <mergeCell ref="H76:H80"/>
    <mergeCell ref="I76:I80"/>
    <mergeCell ref="J76:J80"/>
    <mergeCell ref="G66:G70"/>
    <mergeCell ref="H66:H70"/>
    <mergeCell ref="I66:I70"/>
    <mergeCell ref="J66:J70"/>
    <mergeCell ref="O66:O70"/>
    <mergeCell ref="O71:O75"/>
    <mergeCell ref="K76:K80"/>
    <mergeCell ref="L76:L80"/>
    <mergeCell ref="M51:M55"/>
    <mergeCell ref="N51:N55"/>
    <mergeCell ref="O51:O55"/>
    <mergeCell ref="B7:B8"/>
    <mergeCell ref="C7:C8"/>
    <mergeCell ref="A9:A50"/>
    <mergeCell ref="B9:B13"/>
    <mergeCell ref="C9:C13"/>
    <mergeCell ref="B14:B18"/>
    <mergeCell ref="C14:C18"/>
    <mergeCell ref="K56:K60"/>
    <mergeCell ref="L56:L60"/>
    <mergeCell ref="D56:D60"/>
    <mergeCell ref="E56:E60"/>
    <mergeCell ref="F56:F60"/>
    <mergeCell ref="G56:G60"/>
    <mergeCell ref="H56:H60"/>
    <mergeCell ref="I56:I60"/>
    <mergeCell ref="J56:J60"/>
    <mergeCell ref="I29:I50"/>
    <mergeCell ref="J29:J50"/>
    <mergeCell ref="K29:K50"/>
    <mergeCell ref="L29:L50"/>
    <mergeCell ref="A51:A81"/>
    <mergeCell ref="B51:B55"/>
    <mergeCell ref="B56:B60"/>
    <mergeCell ref="C61:C65"/>
    <mergeCell ref="D61:D65"/>
    <mergeCell ref="B24:B28"/>
    <mergeCell ref="C24:C28"/>
    <mergeCell ref="D24:D28"/>
    <mergeCell ref="E24:E28"/>
    <mergeCell ref="F24:F28"/>
    <mergeCell ref="G24:G28"/>
    <mergeCell ref="H24:H28"/>
    <mergeCell ref="B61:B65"/>
    <mergeCell ref="B84:B88"/>
    <mergeCell ref="C84:C88"/>
    <mergeCell ref="D84:D88"/>
    <mergeCell ref="B93:B97"/>
    <mergeCell ref="C93:C97"/>
    <mergeCell ref="D93:D97"/>
    <mergeCell ref="E93:E97"/>
    <mergeCell ref="E84:E88"/>
    <mergeCell ref="B89:B92"/>
    <mergeCell ref="C89:C92"/>
    <mergeCell ref="D89:D92"/>
    <mergeCell ref="E89:E92"/>
    <mergeCell ref="B66:B70"/>
    <mergeCell ref="C66:C70"/>
    <mergeCell ref="D66:D70"/>
    <mergeCell ref="E66:E70"/>
    <mergeCell ref="B71:B75"/>
    <mergeCell ref="C71:C75"/>
    <mergeCell ref="B76:B80"/>
    <mergeCell ref="C76:C80"/>
    <mergeCell ref="P135:P138"/>
    <mergeCell ref="Q135:Q138"/>
    <mergeCell ref="L135:L138"/>
    <mergeCell ref="L139:L145"/>
    <mergeCell ref="M139:M145"/>
    <mergeCell ref="N139:N145"/>
    <mergeCell ref="O139:O145"/>
    <mergeCell ref="M93:M97"/>
    <mergeCell ref="N93:N97"/>
    <mergeCell ref="F93:F97"/>
    <mergeCell ref="G93:G97"/>
    <mergeCell ref="H93:H97"/>
    <mergeCell ref="I93:I97"/>
    <mergeCell ref="J93:J97"/>
    <mergeCell ref="K93:K97"/>
    <mergeCell ref="L93:L97"/>
    <mergeCell ref="D76:D80"/>
    <mergeCell ref="E76:E80"/>
    <mergeCell ref="F84:F88"/>
    <mergeCell ref="G84:G88"/>
    <mergeCell ref="H84:H88"/>
    <mergeCell ref="I84:I88"/>
    <mergeCell ref="J84:J88"/>
    <mergeCell ref="K84:K88"/>
    <mergeCell ref="L84:L88"/>
    <mergeCell ref="M89:M92"/>
    <mergeCell ref="N89:N92"/>
    <mergeCell ref="O89:O92"/>
    <mergeCell ref="P89:P92"/>
    <mergeCell ref="Q89:Q92"/>
    <mergeCell ref="F89:F92"/>
    <mergeCell ref="G89:G92"/>
    <mergeCell ref="N152:N154"/>
    <mergeCell ref="O152:O154"/>
    <mergeCell ref="P152:P154"/>
    <mergeCell ref="Q152:Q154"/>
    <mergeCell ref="L155:L164"/>
    <mergeCell ref="Q155:Q164"/>
    <mergeCell ref="M155:M164"/>
    <mergeCell ref="B98:B102"/>
    <mergeCell ref="C98:C102"/>
    <mergeCell ref="L108:L112"/>
    <mergeCell ref="M108:M112"/>
    <mergeCell ref="N108:N112"/>
    <mergeCell ref="O108:O112"/>
    <mergeCell ref="P108:P112"/>
    <mergeCell ref="Q108:Q112"/>
    <mergeCell ref="M210:M228"/>
    <mergeCell ref="N210:N228"/>
    <mergeCell ref="O210:O228"/>
    <mergeCell ref="P210:P228"/>
    <mergeCell ref="L189:L209"/>
    <mergeCell ref="M189:M209"/>
    <mergeCell ref="N189:N209"/>
    <mergeCell ref="O189:O209"/>
    <mergeCell ref="P189:P209"/>
    <mergeCell ref="Q189:Q209"/>
    <mergeCell ref="L210:L228"/>
    <mergeCell ref="Q210:Q228"/>
    <mergeCell ref="M133:M134"/>
    <mergeCell ref="N133:N134"/>
    <mergeCell ref="M135:M138"/>
    <mergeCell ref="N135:N138"/>
    <mergeCell ref="O135:O138"/>
    <mergeCell ref="O120:O121"/>
    <mergeCell ref="P120:P121"/>
    <mergeCell ref="Q120:Q121"/>
    <mergeCell ref="P123:P124"/>
    <mergeCell ref="Q123:Q124"/>
    <mergeCell ref="O133:O134"/>
    <mergeCell ref="P133:P134"/>
    <mergeCell ref="O123:O124"/>
    <mergeCell ref="O125:O130"/>
    <mergeCell ref="M165:M181"/>
    <mergeCell ref="N165:N181"/>
    <mergeCell ref="O165:O181"/>
    <mergeCell ref="P165:P181"/>
    <mergeCell ref="Q165:Q181"/>
    <mergeCell ref="L165:L181"/>
    <mergeCell ref="N155:N164"/>
    <mergeCell ref="N182:N188"/>
    <mergeCell ref="O182:O188"/>
    <mergeCell ref="P182:P188"/>
    <mergeCell ref="Q182:Q188"/>
    <mergeCell ref="P139:P145"/>
    <mergeCell ref="Q146:Q147"/>
    <mergeCell ref="L146:L147"/>
    <mergeCell ref="L148:L151"/>
    <mergeCell ref="M148:M151"/>
    <mergeCell ref="N148:N151"/>
    <mergeCell ref="O148:O151"/>
    <mergeCell ref="P148:P151"/>
    <mergeCell ref="Q148:Q151"/>
    <mergeCell ref="O155:O164"/>
    <mergeCell ref="P155:P164"/>
    <mergeCell ref="L152:L154"/>
    <mergeCell ref="N229:N236"/>
    <mergeCell ref="O229:O236"/>
    <mergeCell ref="P229:P236"/>
    <mergeCell ref="Q229:Q236"/>
    <mergeCell ref="O279:O285"/>
    <mergeCell ref="P279:P285"/>
    <mergeCell ref="O286:O290"/>
    <mergeCell ref="P286:P290"/>
    <mergeCell ref="Q286:Q290"/>
    <mergeCell ref="N279:N285"/>
    <mergeCell ref="N286:N290"/>
    <mergeCell ref="N247:N255"/>
    <mergeCell ref="O247:O255"/>
    <mergeCell ref="N256:N278"/>
    <mergeCell ref="O256:O278"/>
    <mergeCell ref="P256:P278"/>
    <mergeCell ref="Q256:Q278"/>
    <mergeCell ref="Q279:Q285"/>
    <mergeCell ref="N237:N246"/>
    <mergeCell ref="O237:O246"/>
    <mergeCell ref="P237:P246"/>
    <mergeCell ref="Q237:Q246"/>
    <mergeCell ref="P247:P255"/>
    <mergeCell ref="Q247:Q255"/>
    <mergeCell ref="B103:B107"/>
    <mergeCell ref="C103:C107"/>
    <mergeCell ref="D103:D107"/>
    <mergeCell ref="E103:E107"/>
    <mergeCell ref="D108:D285"/>
    <mergeCell ref="E108:E285"/>
    <mergeCell ref="F108:F285"/>
    <mergeCell ref="G108:G285"/>
    <mergeCell ref="H108:H285"/>
    <mergeCell ref="I108:I285"/>
    <mergeCell ref="J108:J285"/>
    <mergeCell ref="L237:L246"/>
    <mergeCell ref="M237:M246"/>
    <mergeCell ref="K256:K278"/>
    <mergeCell ref="L256:L278"/>
    <mergeCell ref="M256:M278"/>
    <mergeCell ref="K279:K285"/>
    <mergeCell ref="L279:L285"/>
    <mergeCell ref="M279:M285"/>
    <mergeCell ref="K108:K255"/>
    <mergeCell ref="L229:L236"/>
    <mergeCell ref="M229:M236"/>
    <mergeCell ref="L182:L188"/>
    <mergeCell ref="M182:M188"/>
    <mergeCell ref="L247:L255"/>
    <mergeCell ref="M247:M255"/>
    <mergeCell ref="M152:M154"/>
    <mergeCell ref="E286:E290"/>
    <mergeCell ref="F286:F290"/>
    <mergeCell ref="G286:G290"/>
    <mergeCell ref="H286:H290"/>
    <mergeCell ref="I286:I290"/>
    <mergeCell ref="J286:J290"/>
    <mergeCell ref="K301:K303"/>
    <mergeCell ref="L301:L303"/>
    <mergeCell ref="M301:M303"/>
    <mergeCell ref="N301:N303"/>
    <mergeCell ref="O301:O303"/>
    <mergeCell ref="B301:B303"/>
    <mergeCell ref="C301:C303"/>
    <mergeCell ref="F301:F303"/>
    <mergeCell ref="G301:G303"/>
    <mergeCell ref="H301:H303"/>
    <mergeCell ref="I301:I303"/>
    <mergeCell ref="J301:J303"/>
    <mergeCell ref="B291:B295"/>
    <mergeCell ref="C291:C295"/>
    <mergeCell ref="K291:K295"/>
    <mergeCell ref="L291:L295"/>
    <mergeCell ref="M291:M295"/>
    <mergeCell ref="N291:N295"/>
    <mergeCell ref="O291:O295"/>
    <mergeCell ref="D301:D303"/>
    <mergeCell ref="H314:H318"/>
    <mergeCell ref="I314:I318"/>
    <mergeCell ref="J314:J318"/>
    <mergeCell ref="Q309:Q313"/>
    <mergeCell ref="N314:N318"/>
    <mergeCell ref="P291:P295"/>
    <mergeCell ref="Q291:Q295"/>
    <mergeCell ref="D291:D295"/>
    <mergeCell ref="E291:E295"/>
    <mergeCell ref="F291:F295"/>
    <mergeCell ref="G291:G295"/>
    <mergeCell ref="H291:H295"/>
    <mergeCell ref="I291:I295"/>
    <mergeCell ref="J291:J295"/>
    <mergeCell ref="K296:K300"/>
    <mergeCell ref="L296:L300"/>
    <mergeCell ref="M296:M300"/>
    <mergeCell ref="N296:N300"/>
    <mergeCell ref="O296:O300"/>
    <mergeCell ref="H296:H300"/>
    <mergeCell ref="I296:I300"/>
    <mergeCell ref="J296:J300"/>
    <mergeCell ref="B29:B50"/>
    <mergeCell ref="C29:C50"/>
    <mergeCell ref="D29:D50"/>
    <mergeCell ref="E29:E50"/>
    <mergeCell ref="F29:F50"/>
    <mergeCell ref="G29:G50"/>
    <mergeCell ref="H29:H50"/>
    <mergeCell ref="D309:D313"/>
    <mergeCell ref="E309:E313"/>
    <mergeCell ref="F309:F313"/>
    <mergeCell ref="G309:G313"/>
    <mergeCell ref="H309:H313"/>
    <mergeCell ref="I309:I313"/>
    <mergeCell ref="J309:J313"/>
    <mergeCell ref="B304:B308"/>
    <mergeCell ref="C304:C308"/>
    <mergeCell ref="M304:M308"/>
    <mergeCell ref="F304:F308"/>
    <mergeCell ref="G304:G308"/>
    <mergeCell ref="H304:H308"/>
    <mergeCell ref="I304:I308"/>
    <mergeCell ref="J304:J308"/>
    <mergeCell ref="K304:K308"/>
    <mergeCell ref="L304:L308"/>
    <mergeCell ref="B296:B300"/>
    <mergeCell ref="C296:C300"/>
    <mergeCell ref="B286:B290"/>
    <mergeCell ref="C286:C290"/>
    <mergeCell ref="K286:K290"/>
    <mergeCell ref="L286:L290"/>
    <mergeCell ref="M286:M290"/>
    <mergeCell ref="D286:D290"/>
    <mergeCell ref="P56:P60"/>
    <mergeCell ref="Q56:Q60"/>
    <mergeCell ref="K51:K55"/>
    <mergeCell ref="L51:L55"/>
    <mergeCell ref="E301:E303"/>
    <mergeCell ref="D304:D308"/>
    <mergeCell ref="E304:E308"/>
    <mergeCell ref="K309:K313"/>
    <mergeCell ref="L309:L313"/>
    <mergeCell ref="M309:M313"/>
    <mergeCell ref="N309:N313"/>
    <mergeCell ref="O309:O313"/>
    <mergeCell ref="P309:P313"/>
    <mergeCell ref="D319:D323"/>
    <mergeCell ref="E319:E323"/>
    <mergeCell ref="D314:D318"/>
    <mergeCell ref="E314:E318"/>
    <mergeCell ref="K314:K318"/>
    <mergeCell ref="L314:L318"/>
    <mergeCell ref="M314:M318"/>
    <mergeCell ref="N304:N308"/>
    <mergeCell ref="O304:O308"/>
    <mergeCell ref="P304:P308"/>
    <mergeCell ref="Q304:Q308"/>
    <mergeCell ref="P301:P303"/>
    <mergeCell ref="Q301:Q303"/>
    <mergeCell ref="M319:M323"/>
    <mergeCell ref="N319:N323"/>
    <mergeCell ref="O319:O323"/>
    <mergeCell ref="P319:P323"/>
    <mergeCell ref="Q319:Q323"/>
    <mergeCell ref="F319:F323"/>
    <mergeCell ref="P24:P28"/>
    <mergeCell ref="Q24:Q28"/>
    <mergeCell ref="I24:I28"/>
    <mergeCell ref="J24:J28"/>
    <mergeCell ref="K24:K28"/>
    <mergeCell ref="L24:L28"/>
    <mergeCell ref="M24:M28"/>
    <mergeCell ref="N24:N28"/>
    <mergeCell ref="O24:O28"/>
    <mergeCell ref="P29:P50"/>
    <mergeCell ref="Q29:Q50"/>
    <mergeCell ref="D51:D55"/>
    <mergeCell ref="E51:E55"/>
    <mergeCell ref="F51:F55"/>
    <mergeCell ref="G51:G55"/>
    <mergeCell ref="H51:H55"/>
    <mergeCell ref="I51:I55"/>
    <mergeCell ref="J51:J55"/>
    <mergeCell ref="M29:M50"/>
    <mergeCell ref="P51:P55"/>
    <mergeCell ref="Q51:Q55"/>
    <mergeCell ref="P71:P75"/>
    <mergeCell ref="Q71:Q75"/>
    <mergeCell ref="L113:L119"/>
    <mergeCell ref="M113:M119"/>
    <mergeCell ref="P113:P119"/>
    <mergeCell ref="AE93:AE97"/>
    <mergeCell ref="K66:K70"/>
    <mergeCell ref="L66:L70"/>
    <mergeCell ref="M66:M70"/>
    <mergeCell ref="N66:N70"/>
    <mergeCell ref="P66:P70"/>
    <mergeCell ref="Q66:Q70"/>
    <mergeCell ref="M71:M75"/>
    <mergeCell ref="M61:M65"/>
    <mergeCell ref="N61:N65"/>
    <mergeCell ref="O61:O65"/>
    <mergeCell ref="P61:P65"/>
    <mergeCell ref="Q61:Q65"/>
    <mergeCell ref="K61:K65"/>
    <mergeCell ref="L61:L65"/>
    <mergeCell ref="N113:N119"/>
    <mergeCell ref="O113:O119"/>
    <mergeCell ref="K89:K92"/>
    <mergeCell ref="R83:Y83"/>
    <mergeCell ref="AB83:AE83"/>
    <mergeCell ref="AE84:AE88"/>
    <mergeCell ref="P76:P80"/>
    <mergeCell ref="Q76:Q80"/>
    <mergeCell ref="N84:N88"/>
    <mergeCell ref="O84:O88"/>
    <mergeCell ref="P84:P88"/>
    <mergeCell ref="Q84:Q88"/>
    <mergeCell ref="H89:H92"/>
    <mergeCell ref="I89:I92"/>
    <mergeCell ref="J89:J92"/>
    <mergeCell ref="L89:L92"/>
    <mergeCell ref="M84:M88"/>
    <mergeCell ref="A84:A339"/>
    <mergeCell ref="P125:P130"/>
    <mergeCell ref="O131:O132"/>
    <mergeCell ref="P131:P132"/>
    <mergeCell ref="Q131:Q132"/>
    <mergeCell ref="L133:L134"/>
    <mergeCell ref="Q133:Q134"/>
    <mergeCell ref="M146:M147"/>
    <mergeCell ref="N146:N147"/>
    <mergeCell ref="O146:O147"/>
    <mergeCell ref="P146:P147"/>
    <mergeCell ref="Q334:Q338"/>
    <mergeCell ref="Q339:W339"/>
    <mergeCell ref="K98:K102"/>
    <mergeCell ref="L98:L102"/>
    <mergeCell ref="M98:M102"/>
    <mergeCell ref="N98:N102"/>
    <mergeCell ref="O98:O102"/>
    <mergeCell ref="P98:P102"/>
    <mergeCell ref="Q98:Q102"/>
    <mergeCell ref="F103:F107"/>
    <mergeCell ref="G103:G107"/>
    <mergeCell ref="H103:H107"/>
    <mergeCell ref="I103:I107"/>
    <mergeCell ref="J103:J107"/>
    <mergeCell ref="K103:K107"/>
    <mergeCell ref="L103:L107"/>
    <mergeCell ref="AB339:AE339"/>
    <mergeCell ref="B108:B285"/>
    <mergeCell ref="C108:C285"/>
    <mergeCell ref="D329:D333"/>
    <mergeCell ref="E329:E333"/>
    <mergeCell ref="B334:B338"/>
    <mergeCell ref="C334:C338"/>
    <mergeCell ref="D334:D338"/>
    <mergeCell ref="E334:E338"/>
    <mergeCell ref="D98:D102"/>
    <mergeCell ref="E98:E102"/>
    <mergeCell ref="F98:F102"/>
    <mergeCell ref="G98:G102"/>
    <mergeCell ref="H98:H102"/>
    <mergeCell ref="I98:I102"/>
    <mergeCell ref="J98:J102"/>
    <mergeCell ref="AE103:AE107"/>
    <mergeCell ref="AE108:AE112"/>
    <mergeCell ref="AE113:AE119"/>
    <mergeCell ref="M103:M107"/>
    <mergeCell ref="N103:N107"/>
    <mergeCell ref="O103:O107"/>
    <mergeCell ref="P103:P107"/>
    <mergeCell ref="Q103:Q107"/>
    <mergeCell ref="B309:B313"/>
    <mergeCell ref="C309:C313"/>
    <mergeCell ref="P296:P300"/>
    <mergeCell ref="Q296:Q300"/>
    <mergeCell ref="D296:D300"/>
    <mergeCell ref="E296:E300"/>
    <mergeCell ref="F296:F300"/>
    <mergeCell ref="G296:G300"/>
  </mergeCells>
  <dataValidations count="5">
    <dataValidation type="list" allowBlank="1" showErrorMessage="1" sqref="D14 D19 D24 D29 D51 D56 D61 D66 D71 D76 D81:D82 D89 D93 D98 D103 D108 D286 D291 D296 D301 D304 D309 D314 D319 D324 D329 D334 D345 D350 D355 D360 D365 D370 D375 D380 D385 D390 D395 D406 D411 D416 D421 D426 D431 D436 D447 D452 D457 D462 D468 D560 D564">
      <formula1>INDIRECT($F14)</formula1>
    </dataValidation>
    <dataValidation type="list" allowBlank="1" showErrorMessage="1" sqref="E14 E19 E24 E29 E51 E56 E61 E66 E71 E76 E81:E82 E89 E93 E98 E103 E108 E286 E291 E296 E301 E304 E309 E314 E319 E324 E329 E334 E345 E350 E355 E360 E365 E370 E375 E380 E385 E390 E395 E406 E411 E416 E421 E426 E431 E436 E447 E452 E457 E462 E564">
      <formula1>INDIRECT($D14)</formula1>
    </dataValidation>
    <dataValidation type="list" allowBlank="1" showInputMessage="1" showErrorMessage="1" prompt="Orientación: - Escoja un Lineamiento Estratégico de la lista despegable." sqref="E9 E84 E340 E401 E442 E468:E482 E484 E489 E494 E499 E504 E509 E514 E519 E524 E529 E534 E539 E544 E549 E554 E560:E563 E565:E576 E578 E583 E588 E593 E598 E603 E608 E613 E618 E623 E628 E633 E638 E643 E648">
      <formula1>INDIRECT($D9)</formula1>
    </dataValidation>
    <dataValidation type="list" allowBlank="1" showInputMessage="1" showErrorMessage="1" prompt="Orientación: - Escoja un Eje Estratégico de la lista despegable." sqref="D9 D84 D340 D401 D442 D469:D482 D484 D489 D494 D499 D504 D509 D514 D519 D524 D529 D534 D539 D544 D549 D554 D561:D563 D565:D576 D578 D583 D588 D593 D598 D603 D608 D613 D618 D623 D628 D633 D638 D643 D648">
      <formula1>INDIRECT($F9)</formula1>
    </dataValidation>
    <dataValidation type="decimal" allowBlank="1" showInputMessage="1" showErrorMessage="1" prompt="DPLAN - Sólo debe ingresar valores, NO porcentajes." sqref="L9:N9 L29:N29 L51:N51 L61:N61 L66:N66 N71 L76:M76 L81:N82 L84:N84 L103:N103 L108:N108 L113:N113 L120:N120 L122:N123 L125:N125 L131:N131 L133:N133 L135:N135 L139:N139 L146:N146 L148:N148 L152:N152 L155:N155 L165:N165 L182:N182 L189:N189 L210:N210 L229:N229 L279:N279 L286:N286 L296:N296 L301:N301 L309:N309 L314:N314 L319:N319 L324:N324 L329:N329 L334:N334 L340:N340 L360:N360 L365:N365 L375:N375 L380:N380 L390:N390 L395:N395 L401:M401 L421:M421 L426:M426 L431:M431 L442:M442 L468:N482 L484:N484 L489:N489 L494:N494 L499:N499 L504:N504 L509:N509 L514:N514 L519:N519 L524:N524 L529:N529 L534:N534 L539:N539 L544:N544 L549:N549 L554:N554 L560:N563 L565:N576 L578:N578 L583:N583 L588:N588 L593:N593 L598:N598 L603:N603 L608:N608 L613:N613 L618:N618 L623:N623 L628:N628 L633:N633 L638:N638 L643:N643 L648:N648">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&amp;"Cambria,Cursiva"&amp;12&amp;K0070C0Facultad de Ciencias Químicas y de la Salud&amp;C&amp;"Century Schoolbook,Normal"&amp;12&amp;K002060&amp;P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AE1346"/>
  <sheetViews>
    <sheetView showGridLines="0" topLeftCell="S1301" workbookViewId="0">
      <selection activeCell="Y1317" sqref="Y1317"/>
    </sheetView>
  </sheetViews>
  <sheetFormatPr baseColWidth="10" defaultColWidth="12.5703125" defaultRowHeight="15.75" customHeight="1"/>
  <cols>
    <col min="1" max="1" width="7.5703125" customWidth="1"/>
    <col min="2" max="11" width="22.42578125" customWidth="1"/>
    <col min="12" max="14" width="8.7109375" customWidth="1"/>
    <col min="15" max="17" width="22.42578125" customWidth="1"/>
    <col min="18" max="18" width="45" customWidth="1"/>
    <col min="19" max="19" width="16.42578125" customWidth="1"/>
    <col min="20" max="20" width="35.140625" customWidth="1"/>
    <col min="21" max="21" width="54.42578125" customWidth="1"/>
    <col min="22" max="22" width="29.140625" customWidth="1"/>
    <col min="23" max="24" width="12" customWidth="1"/>
    <col min="25" max="25" width="14.42578125" customWidth="1"/>
    <col min="26" max="26" width="12" customWidth="1"/>
    <col min="27" max="27" width="16.7109375" customWidth="1"/>
    <col min="28" max="30" width="7.7109375" customWidth="1"/>
    <col min="31" max="31" width="19.7109375" customWidth="1"/>
  </cols>
  <sheetData>
    <row r="1" spans="1:31" ht="39.75"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row>
    <row r="2" spans="1:31" ht="30">
      <c r="A2" s="4252" t="s">
        <v>1</v>
      </c>
      <c r="B2" s="4253"/>
      <c r="C2" s="4253"/>
      <c r="D2" s="4253"/>
      <c r="E2" s="4253"/>
      <c r="F2" s="4253"/>
      <c r="G2" s="4253"/>
      <c r="H2" s="4253"/>
      <c r="I2" s="4253"/>
      <c r="J2" s="4253"/>
      <c r="K2" s="4253"/>
      <c r="L2" s="4253"/>
      <c r="M2" s="4253"/>
      <c r="N2" s="4253"/>
      <c r="O2" s="4253"/>
      <c r="P2" s="4253"/>
      <c r="Q2" s="4253"/>
      <c r="R2" s="4253"/>
      <c r="S2" s="4253"/>
      <c r="T2" s="4150"/>
      <c r="U2" s="4253"/>
      <c r="V2" s="4253"/>
      <c r="W2" s="4253"/>
      <c r="X2" s="4253"/>
      <c r="Y2" s="4253"/>
      <c r="Z2" s="4253"/>
      <c r="AA2" s="4253"/>
      <c r="AB2" s="4253"/>
      <c r="AC2" s="4253"/>
      <c r="AD2" s="4253"/>
      <c r="AE2" s="4253"/>
    </row>
    <row r="3" spans="1:31" ht="30.75">
      <c r="A3" s="4254" t="s">
        <v>2837</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row>
    <row r="4" spans="1:31"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row>
    <row r="5" spans="1:31" ht="16.5" customHeigh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row>
    <row r="6" spans="1:31" ht="24.75" customHeight="1">
      <c r="A6" s="5419" t="s">
        <v>200</v>
      </c>
      <c r="B6" s="5422" t="s">
        <v>201</v>
      </c>
      <c r="C6" s="5423"/>
      <c r="D6" s="5424" t="s">
        <v>202</v>
      </c>
      <c r="E6" s="5425"/>
      <c r="F6" s="5425"/>
      <c r="G6" s="5425"/>
      <c r="H6" s="5426"/>
      <c r="I6" s="5453" t="s">
        <v>203</v>
      </c>
      <c r="J6" s="5454"/>
      <c r="K6" s="5454"/>
      <c r="L6" s="5454"/>
      <c r="M6" s="5454"/>
      <c r="N6" s="5454"/>
      <c r="O6" s="5454"/>
      <c r="P6" s="5454"/>
      <c r="Q6" s="5455"/>
      <c r="R6" s="5456" t="s">
        <v>204</v>
      </c>
      <c r="S6" s="5457"/>
      <c r="T6" s="5457"/>
      <c r="U6" s="5457"/>
      <c r="V6" s="5457"/>
      <c r="W6" s="5457"/>
      <c r="X6" s="5457"/>
      <c r="Y6" s="5457"/>
      <c r="Z6" s="5457"/>
      <c r="AA6" s="5457"/>
      <c r="AB6" s="5457"/>
      <c r="AC6" s="5457"/>
      <c r="AD6" s="5457"/>
      <c r="AE6" s="5458"/>
    </row>
    <row r="7" spans="1:31" ht="39.75" customHeight="1">
      <c r="A7" s="5420"/>
      <c r="B7" s="5411" t="s">
        <v>205</v>
      </c>
      <c r="C7" s="5437" t="s">
        <v>206</v>
      </c>
      <c r="D7" s="5408" t="s">
        <v>207</v>
      </c>
      <c r="E7" s="5408" t="s">
        <v>208</v>
      </c>
      <c r="F7" s="5408" t="s">
        <v>209</v>
      </c>
      <c r="G7" s="5408" t="s">
        <v>210</v>
      </c>
      <c r="H7" s="5408" t="s">
        <v>211</v>
      </c>
      <c r="I7" s="5430" t="s">
        <v>212</v>
      </c>
      <c r="J7" s="5413" t="s">
        <v>213</v>
      </c>
      <c r="K7" s="5413" t="s">
        <v>214</v>
      </c>
      <c r="L7" s="5432" t="s">
        <v>215</v>
      </c>
      <c r="M7" s="5433"/>
      <c r="N7" s="5434"/>
      <c r="O7" s="5413" t="s">
        <v>216</v>
      </c>
      <c r="P7" s="5413" t="s">
        <v>217</v>
      </c>
      <c r="Q7" s="5435" t="s">
        <v>218</v>
      </c>
      <c r="R7" s="5459" t="s">
        <v>219</v>
      </c>
      <c r="S7" s="5460"/>
      <c r="T7" s="5460"/>
      <c r="U7" s="5460"/>
      <c r="V7" s="5460"/>
      <c r="W7" s="5460"/>
      <c r="X7" s="5461"/>
      <c r="Y7" s="5462" t="s">
        <v>220</v>
      </c>
      <c r="Z7" s="5460"/>
      <c r="AA7" s="5461"/>
      <c r="AB7" s="5462" t="s">
        <v>221</v>
      </c>
      <c r="AC7" s="5460"/>
      <c r="AD7" s="5461"/>
      <c r="AE7" s="5650" t="s">
        <v>222</v>
      </c>
    </row>
    <row r="8" spans="1:31" ht="51.75" customHeight="1">
      <c r="A8" s="5421"/>
      <c r="B8" s="5412"/>
      <c r="C8" s="5438"/>
      <c r="D8" s="5409"/>
      <c r="E8" s="5409"/>
      <c r="F8" s="5409"/>
      <c r="G8" s="5409"/>
      <c r="H8" s="5409"/>
      <c r="I8" s="5431"/>
      <c r="J8" s="5414"/>
      <c r="K8" s="5414"/>
      <c r="L8" s="713" t="s">
        <v>223</v>
      </c>
      <c r="M8" s="713" t="s">
        <v>224</v>
      </c>
      <c r="N8" s="713" t="s">
        <v>225</v>
      </c>
      <c r="O8" s="5414"/>
      <c r="P8" s="5414"/>
      <c r="Q8" s="5436"/>
      <c r="R8" s="714" t="s">
        <v>226</v>
      </c>
      <c r="S8" s="965" t="s">
        <v>227</v>
      </c>
      <c r="T8" s="965" t="s">
        <v>228</v>
      </c>
      <c r="U8" s="965" t="s">
        <v>229</v>
      </c>
      <c r="V8" s="965" t="s">
        <v>230</v>
      </c>
      <c r="W8" s="965" t="s">
        <v>2838</v>
      </c>
      <c r="X8" s="716" t="s">
        <v>231</v>
      </c>
      <c r="Y8" s="965" t="s">
        <v>232</v>
      </c>
      <c r="Z8" s="965" t="s">
        <v>233</v>
      </c>
      <c r="AA8" s="965" t="s">
        <v>234</v>
      </c>
      <c r="AB8" s="966" t="s">
        <v>223</v>
      </c>
      <c r="AC8" s="966" t="s">
        <v>224</v>
      </c>
      <c r="AD8" s="966" t="s">
        <v>225</v>
      </c>
      <c r="AE8" s="5464"/>
    </row>
    <row r="9" spans="1:31" ht="23.25" customHeight="1">
      <c r="A9" s="5628" t="s">
        <v>1476</v>
      </c>
      <c r="B9" s="5576" t="s">
        <v>235</v>
      </c>
      <c r="C9" s="5355" t="s">
        <v>236</v>
      </c>
      <c r="D9" s="5355" t="s">
        <v>237</v>
      </c>
      <c r="E9" s="5355" t="s">
        <v>326</v>
      </c>
      <c r="F9" s="5364" t="s">
        <v>239</v>
      </c>
      <c r="G9" s="5355" t="s">
        <v>256</v>
      </c>
      <c r="H9" s="5355" t="s">
        <v>257</v>
      </c>
      <c r="I9" s="5360" t="s">
        <v>2839</v>
      </c>
      <c r="J9" s="5358" t="s">
        <v>2840</v>
      </c>
      <c r="K9" s="5355" t="s">
        <v>2841</v>
      </c>
      <c r="L9" s="5363">
        <v>1</v>
      </c>
      <c r="M9" s="1727"/>
      <c r="N9" s="5363">
        <v>1</v>
      </c>
      <c r="O9" s="5355" t="s">
        <v>2842</v>
      </c>
      <c r="P9" s="5355" t="s">
        <v>2843</v>
      </c>
      <c r="Q9" s="5392" t="s">
        <v>2844</v>
      </c>
      <c r="R9" s="1102"/>
      <c r="S9" s="1103"/>
      <c r="T9" s="1103"/>
      <c r="U9" s="154"/>
      <c r="V9" s="1104"/>
      <c r="W9" s="155"/>
      <c r="X9" s="1105"/>
      <c r="Y9" s="1105"/>
      <c r="Z9" s="1105"/>
      <c r="AA9" s="1106"/>
      <c r="AB9" s="155"/>
      <c r="AC9" s="156"/>
      <c r="AD9" s="156"/>
      <c r="AE9" s="5428"/>
    </row>
    <row r="10" spans="1:31" ht="27.75" customHeight="1">
      <c r="A10" s="5629"/>
      <c r="B10" s="5573"/>
      <c r="C10" s="5337"/>
      <c r="D10" s="5337"/>
      <c r="E10" s="5337"/>
      <c r="F10" s="5337"/>
      <c r="G10" s="5337"/>
      <c r="H10" s="5337"/>
      <c r="I10" s="5361"/>
      <c r="J10" s="5337"/>
      <c r="K10" s="5337"/>
      <c r="L10" s="5337"/>
      <c r="M10" s="1718"/>
      <c r="N10" s="5337"/>
      <c r="O10" s="5337"/>
      <c r="P10" s="5337"/>
      <c r="Q10" s="5345"/>
      <c r="R10" s="982"/>
      <c r="S10" s="983"/>
      <c r="T10" s="983"/>
      <c r="U10" s="169"/>
      <c r="V10" s="984"/>
      <c r="W10" s="170"/>
      <c r="X10" s="974"/>
      <c r="Y10" s="974">
        <f t="shared" ref="Y10:Y13" si="0">+V10*X10</f>
        <v>0</v>
      </c>
      <c r="Z10" s="974">
        <f t="shared" ref="Z10:Z13" si="1">+Y10*1.12</f>
        <v>0</v>
      </c>
      <c r="AA10" s="969"/>
      <c r="AB10" s="170"/>
      <c r="AC10" s="282"/>
      <c r="AD10" s="282"/>
      <c r="AE10" s="5416"/>
    </row>
    <row r="11" spans="1:31" ht="28.5" customHeight="1">
      <c r="A11" s="5629"/>
      <c r="B11" s="5573"/>
      <c r="C11" s="5337"/>
      <c r="D11" s="5337"/>
      <c r="E11" s="5337"/>
      <c r="F11" s="5337"/>
      <c r="G11" s="5337"/>
      <c r="H11" s="5337"/>
      <c r="I11" s="5361"/>
      <c r="J11" s="5337"/>
      <c r="K11" s="5337"/>
      <c r="L11" s="5337"/>
      <c r="M11" s="1718">
        <v>1</v>
      </c>
      <c r="N11" s="5337"/>
      <c r="O11" s="5337"/>
      <c r="P11" s="5337"/>
      <c r="Q11" s="5345"/>
      <c r="R11" s="971"/>
      <c r="S11" s="972"/>
      <c r="T11" s="972"/>
      <c r="U11" s="1217"/>
      <c r="V11" s="968"/>
      <c r="W11" s="414"/>
      <c r="X11" s="973"/>
      <c r="Y11" s="974">
        <f t="shared" si="0"/>
        <v>0</v>
      </c>
      <c r="Z11" s="974">
        <f t="shared" si="1"/>
        <v>0</v>
      </c>
      <c r="AA11" s="969"/>
      <c r="AB11" s="170"/>
      <c r="AC11" s="282"/>
      <c r="AD11" s="282"/>
      <c r="AE11" s="5416"/>
    </row>
    <row r="12" spans="1:31" ht="25.5" customHeight="1">
      <c r="A12" s="5629"/>
      <c r="B12" s="5573"/>
      <c r="C12" s="5337"/>
      <c r="D12" s="5337"/>
      <c r="E12" s="5337"/>
      <c r="F12" s="5337"/>
      <c r="G12" s="5337"/>
      <c r="H12" s="5337"/>
      <c r="I12" s="5361"/>
      <c r="J12" s="5337"/>
      <c r="K12" s="5337"/>
      <c r="L12" s="5337"/>
      <c r="M12" s="1718"/>
      <c r="N12" s="5337"/>
      <c r="O12" s="5337"/>
      <c r="P12" s="5337"/>
      <c r="Q12" s="5345"/>
      <c r="R12" s="970"/>
      <c r="S12" s="967"/>
      <c r="T12" s="967"/>
      <c r="U12" s="1217"/>
      <c r="V12" s="968"/>
      <c r="W12" s="414"/>
      <c r="X12" s="973"/>
      <c r="Y12" s="974">
        <f t="shared" si="0"/>
        <v>0</v>
      </c>
      <c r="Z12" s="974">
        <f t="shared" si="1"/>
        <v>0</v>
      </c>
      <c r="AA12" s="969"/>
      <c r="AB12" s="170"/>
      <c r="AC12" s="282"/>
      <c r="AD12" s="282"/>
      <c r="AE12" s="5416"/>
    </row>
    <row r="13" spans="1:31" ht="25.5" customHeight="1">
      <c r="A13" s="5629"/>
      <c r="B13" s="5574"/>
      <c r="C13" s="5338"/>
      <c r="D13" s="5338"/>
      <c r="E13" s="5338"/>
      <c r="F13" s="5338"/>
      <c r="G13" s="5338"/>
      <c r="H13" s="5338"/>
      <c r="I13" s="5362"/>
      <c r="J13" s="5338"/>
      <c r="K13" s="5338"/>
      <c r="L13" s="5338"/>
      <c r="M13" s="359"/>
      <c r="N13" s="5338"/>
      <c r="O13" s="5338"/>
      <c r="P13" s="5338"/>
      <c r="Q13" s="5346"/>
      <c r="R13" s="975"/>
      <c r="S13" s="976"/>
      <c r="T13" s="976"/>
      <c r="U13" s="411"/>
      <c r="V13" s="977"/>
      <c r="W13" s="165"/>
      <c r="X13" s="978"/>
      <c r="Y13" s="978">
        <f t="shared" si="0"/>
        <v>0</v>
      </c>
      <c r="Z13" s="978">
        <f t="shared" si="1"/>
        <v>0</v>
      </c>
      <c r="AA13" s="979"/>
      <c r="AB13" s="165"/>
      <c r="AC13" s="166"/>
      <c r="AD13" s="166"/>
      <c r="AE13" s="5417"/>
    </row>
    <row r="14" spans="1:31" ht="46.5" customHeight="1">
      <c r="A14" s="5629"/>
      <c r="B14" s="5572" t="s">
        <v>235</v>
      </c>
      <c r="C14" s="5336" t="s">
        <v>236</v>
      </c>
      <c r="D14" s="5336" t="s">
        <v>237</v>
      </c>
      <c r="E14" s="5336" t="s">
        <v>326</v>
      </c>
      <c r="F14" s="5341" t="s">
        <v>239</v>
      </c>
      <c r="G14" s="5336" t="s">
        <v>314</v>
      </c>
      <c r="H14" s="5336" t="s">
        <v>257</v>
      </c>
      <c r="I14" s="5347" t="s">
        <v>2845</v>
      </c>
      <c r="J14" s="5336" t="s">
        <v>1482</v>
      </c>
      <c r="K14" s="5336" t="s">
        <v>2846</v>
      </c>
      <c r="L14" s="5343">
        <v>1</v>
      </c>
      <c r="M14" s="5399">
        <v>1</v>
      </c>
      <c r="N14" s="5343">
        <v>1</v>
      </c>
      <c r="O14" s="5336" t="s">
        <v>2847</v>
      </c>
      <c r="P14" s="5336" t="s">
        <v>2848</v>
      </c>
      <c r="Q14" s="5370" t="s">
        <v>2849</v>
      </c>
      <c r="R14" s="1215" t="s">
        <v>39</v>
      </c>
      <c r="S14" s="967">
        <v>530811</v>
      </c>
      <c r="T14" s="967"/>
      <c r="U14" s="1216" t="s">
        <v>83</v>
      </c>
      <c r="V14" s="968"/>
      <c r="W14" s="414"/>
      <c r="X14" s="973"/>
      <c r="Y14" s="973"/>
      <c r="Z14" s="973"/>
      <c r="AA14" s="981">
        <f>+SUM($Z$15:$Z$26)</f>
        <v>7260.9600000000009</v>
      </c>
      <c r="AB14" s="414"/>
      <c r="AC14" s="174"/>
      <c r="AD14" s="174"/>
      <c r="AE14" s="5415"/>
    </row>
    <row r="15" spans="1:31" ht="21.75" customHeight="1">
      <c r="A15" s="5629"/>
      <c r="B15" s="5573"/>
      <c r="C15" s="5337"/>
      <c r="D15" s="5337"/>
      <c r="E15" s="5337"/>
      <c r="F15" s="5337"/>
      <c r="G15" s="5337"/>
      <c r="H15" s="5337"/>
      <c r="I15" s="5337"/>
      <c r="J15" s="5337"/>
      <c r="K15" s="5337"/>
      <c r="L15" s="5337"/>
      <c r="M15" s="5337"/>
      <c r="N15" s="5337"/>
      <c r="O15" s="5337"/>
      <c r="P15" s="5337"/>
      <c r="Q15" s="5345"/>
      <c r="R15" s="982"/>
      <c r="S15" s="983"/>
      <c r="T15" s="983">
        <v>465410011</v>
      </c>
      <c r="U15" s="169" t="s">
        <v>2850</v>
      </c>
      <c r="V15" s="968">
        <v>300</v>
      </c>
      <c r="W15" s="170"/>
      <c r="X15" s="974">
        <v>5</v>
      </c>
      <c r="Y15" s="974">
        <f t="shared" ref="Y15:Y26" si="2">+V15*X15</f>
        <v>1500</v>
      </c>
      <c r="Z15" s="974">
        <f t="shared" ref="Z15:Z26" si="3">+Y15*1.12</f>
        <v>1680.0000000000002</v>
      </c>
      <c r="AA15" s="969"/>
      <c r="AB15" s="170"/>
      <c r="AC15" s="282" t="s">
        <v>251</v>
      </c>
      <c r="AD15" s="282"/>
      <c r="AE15" s="5416"/>
    </row>
    <row r="16" spans="1:31" ht="21.75" customHeight="1">
      <c r="A16" s="5629"/>
      <c r="B16" s="5573"/>
      <c r="C16" s="5337"/>
      <c r="D16" s="5337"/>
      <c r="E16" s="5337"/>
      <c r="F16" s="5337"/>
      <c r="G16" s="5337"/>
      <c r="H16" s="5337"/>
      <c r="I16" s="5337"/>
      <c r="J16" s="5337"/>
      <c r="K16" s="5337"/>
      <c r="L16" s="5337"/>
      <c r="M16" s="5337"/>
      <c r="N16" s="5337"/>
      <c r="O16" s="5337"/>
      <c r="P16" s="5337"/>
      <c r="Q16" s="5345"/>
      <c r="R16" s="971"/>
      <c r="S16" s="972"/>
      <c r="T16" s="972">
        <v>429992219</v>
      </c>
      <c r="U16" s="1217" t="s">
        <v>2851</v>
      </c>
      <c r="V16" s="984">
        <v>50</v>
      </c>
      <c r="W16" s="414"/>
      <c r="X16" s="973">
        <v>11</v>
      </c>
      <c r="Y16" s="974">
        <f t="shared" si="2"/>
        <v>550</v>
      </c>
      <c r="Z16" s="974">
        <f t="shared" si="3"/>
        <v>616.00000000000011</v>
      </c>
      <c r="AA16" s="969"/>
      <c r="AB16" s="170"/>
      <c r="AC16" s="282" t="s">
        <v>251</v>
      </c>
      <c r="AD16" s="282"/>
      <c r="AE16" s="5416"/>
    </row>
    <row r="17" spans="1:31" ht="21.75" customHeight="1">
      <c r="A17" s="5629"/>
      <c r="B17" s="5573"/>
      <c r="C17" s="5337"/>
      <c r="D17" s="5337"/>
      <c r="E17" s="5337"/>
      <c r="F17" s="5337"/>
      <c r="G17" s="5337"/>
      <c r="H17" s="5337"/>
      <c r="I17" s="5337"/>
      <c r="J17" s="5337"/>
      <c r="K17" s="5337"/>
      <c r="L17" s="5337"/>
      <c r="M17" s="5337"/>
      <c r="N17" s="5337"/>
      <c r="O17" s="5337"/>
      <c r="P17" s="5337"/>
      <c r="Q17" s="5345"/>
      <c r="R17" s="971"/>
      <c r="S17" s="972"/>
      <c r="T17" s="972">
        <v>369300017</v>
      </c>
      <c r="U17" s="1217" t="s">
        <v>2852</v>
      </c>
      <c r="V17" s="968">
        <v>100</v>
      </c>
      <c r="W17" s="414"/>
      <c r="X17" s="973">
        <v>2</v>
      </c>
      <c r="Y17" s="974">
        <f t="shared" si="2"/>
        <v>200</v>
      </c>
      <c r="Z17" s="974">
        <f t="shared" si="3"/>
        <v>224.00000000000003</v>
      </c>
      <c r="AA17" s="969"/>
      <c r="AB17" s="170"/>
      <c r="AC17" s="282" t="s">
        <v>251</v>
      </c>
      <c r="AD17" s="282"/>
      <c r="AE17" s="5416"/>
    </row>
    <row r="18" spans="1:31" ht="21.75" customHeight="1">
      <c r="A18" s="5629"/>
      <c r="B18" s="5573"/>
      <c r="C18" s="5337"/>
      <c r="D18" s="5337"/>
      <c r="E18" s="5337"/>
      <c r="F18" s="5337"/>
      <c r="G18" s="5337"/>
      <c r="H18" s="5337"/>
      <c r="I18" s="5337"/>
      <c r="J18" s="5337"/>
      <c r="K18" s="5337"/>
      <c r="L18" s="5337"/>
      <c r="M18" s="5337"/>
      <c r="N18" s="5337"/>
      <c r="O18" s="5337"/>
      <c r="P18" s="5337"/>
      <c r="Q18" s="5345"/>
      <c r="R18" s="971"/>
      <c r="S18" s="972"/>
      <c r="T18" s="972">
        <v>4291100155</v>
      </c>
      <c r="U18" s="1217" t="s">
        <v>2853</v>
      </c>
      <c r="V18" s="968">
        <v>100</v>
      </c>
      <c r="W18" s="414"/>
      <c r="X18" s="973">
        <v>4</v>
      </c>
      <c r="Y18" s="974">
        <f t="shared" si="2"/>
        <v>400</v>
      </c>
      <c r="Z18" s="974">
        <f t="shared" si="3"/>
        <v>448.00000000000006</v>
      </c>
      <c r="AA18" s="969"/>
      <c r="AB18" s="170"/>
      <c r="AC18" s="282" t="s">
        <v>251</v>
      </c>
      <c r="AD18" s="282"/>
      <c r="AE18" s="5416"/>
    </row>
    <row r="19" spans="1:31" ht="21.75" customHeight="1">
      <c r="A19" s="5629"/>
      <c r="B19" s="5573"/>
      <c r="C19" s="5337"/>
      <c r="D19" s="5337"/>
      <c r="E19" s="5337"/>
      <c r="F19" s="5337"/>
      <c r="G19" s="5337"/>
      <c r="H19" s="5337"/>
      <c r="I19" s="5337"/>
      <c r="J19" s="5337"/>
      <c r="K19" s="5337"/>
      <c r="L19" s="5337"/>
      <c r="M19" s="5337"/>
      <c r="N19" s="5337"/>
      <c r="O19" s="5337"/>
      <c r="P19" s="5337"/>
      <c r="Q19" s="5345"/>
      <c r="R19" s="971"/>
      <c r="S19" s="972"/>
      <c r="T19" s="972">
        <v>415430114</v>
      </c>
      <c r="U19" s="1217" t="s">
        <v>2854</v>
      </c>
      <c r="V19" s="968">
        <v>100</v>
      </c>
      <c r="W19" s="414"/>
      <c r="X19" s="973">
        <v>3</v>
      </c>
      <c r="Y19" s="974">
        <f t="shared" si="2"/>
        <v>300</v>
      </c>
      <c r="Z19" s="974">
        <f t="shared" si="3"/>
        <v>336.00000000000006</v>
      </c>
      <c r="AA19" s="969"/>
      <c r="AB19" s="170"/>
      <c r="AC19" s="282" t="s">
        <v>251</v>
      </c>
      <c r="AD19" s="282"/>
      <c r="AE19" s="5416"/>
    </row>
    <row r="20" spans="1:31" ht="21.75" customHeight="1">
      <c r="A20" s="5629"/>
      <c r="B20" s="5573"/>
      <c r="C20" s="5337"/>
      <c r="D20" s="5337"/>
      <c r="E20" s="5337"/>
      <c r="F20" s="5337"/>
      <c r="G20" s="5337"/>
      <c r="H20" s="5337"/>
      <c r="I20" s="5337"/>
      <c r="J20" s="5337"/>
      <c r="K20" s="5337"/>
      <c r="L20" s="5337"/>
      <c r="M20" s="5337"/>
      <c r="N20" s="5337"/>
      <c r="O20" s="5337"/>
      <c r="P20" s="5337"/>
      <c r="Q20" s="5345"/>
      <c r="R20" s="971"/>
      <c r="S20" s="972"/>
      <c r="T20" s="972">
        <v>432540011</v>
      </c>
      <c r="U20" s="1217" t="s">
        <v>2855</v>
      </c>
      <c r="V20" s="968">
        <v>50</v>
      </c>
      <c r="W20" s="414"/>
      <c r="X20" s="973">
        <v>17</v>
      </c>
      <c r="Y20" s="974">
        <f t="shared" si="2"/>
        <v>850</v>
      </c>
      <c r="Z20" s="974">
        <f t="shared" si="3"/>
        <v>952.00000000000011</v>
      </c>
      <c r="AA20" s="969"/>
      <c r="AB20" s="170"/>
      <c r="AC20" s="282" t="s">
        <v>251</v>
      </c>
      <c r="AD20" s="282"/>
      <c r="AE20" s="5416"/>
    </row>
    <row r="21" spans="1:31" ht="21.75" customHeight="1">
      <c r="A21" s="5629"/>
      <c r="B21" s="5573"/>
      <c r="C21" s="5337"/>
      <c r="D21" s="5337"/>
      <c r="E21" s="5337"/>
      <c r="F21" s="5337"/>
      <c r="G21" s="5337"/>
      <c r="H21" s="5337"/>
      <c r="I21" s="5337"/>
      <c r="J21" s="5337"/>
      <c r="K21" s="5337"/>
      <c r="L21" s="5337"/>
      <c r="M21" s="5337"/>
      <c r="N21" s="5337"/>
      <c r="O21" s="5337"/>
      <c r="P21" s="5337"/>
      <c r="Q21" s="5345"/>
      <c r="R21" s="971"/>
      <c r="S21" s="972"/>
      <c r="T21" s="972">
        <v>3511000127</v>
      </c>
      <c r="U21" s="1217" t="s">
        <v>2856</v>
      </c>
      <c r="V21" s="968">
        <v>4</v>
      </c>
      <c r="W21" s="414"/>
      <c r="X21" s="973">
        <v>128</v>
      </c>
      <c r="Y21" s="974">
        <f t="shared" si="2"/>
        <v>512</v>
      </c>
      <c r="Z21" s="974">
        <f t="shared" si="3"/>
        <v>573.44000000000005</v>
      </c>
      <c r="AA21" s="969"/>
      <c r="AB21" s="170"/>
      <c r="AC21" s="282" t="s">
        <v>251</v>
      </c>
      <c r="AD21" s="282"/>
      <c r="AE21" s="5416"/>
    </row>
    <row r="22" spans="1:31" ht="21.75" customHeight="1">
      <c r="A22" s="5629"/>
      <c r="B22" s="5573"/>
      <c r="C22" s="5337"/>
      <c r="D22" s="5337"/>
      <c r="E22" s="5337"/>
      <c r="F22" s="5337"/>
      <c r="G22" s="5337"/>
      <c r="H22" s="5337"/>
      <c r="I22" s="5337"/>
      <c r="J22" s="5337"/>
      <c r="K22" s="5337"/>
      <c r="L22" s="5337"/>
      <c r="M22" s="5337"/>
      <c r="N22" s="5337"/>
      <c r="O22" s="5337"/>
      <c r="P22" s="5337"/>
      <c r="Q22" s="5345"/>
      <c r="R22" s="971"/>
      <c r="S22" s="972"/>
      <c r="T22" s="972">
        <v>491290953</v>
      </c>
      <c r="U22" s="1217" t="s">
        <v>2857</v>
      </c>
      <c r="V22" s="1183">
        <v>1</v>
      </c>
      <c r="W22" s="1186"/>
      <c r="X22" s="973">
        <v>75</v>
      </c>
      <c r="Y22" s="974">
        <f t="shared" si="2"/>
        <v>75</v>
      </c>
      <c r="Z22" s="974">
        <f t="shared" si="3"/>
        <v>84.000000000000014</v>
      </c>
      <c r="AA22" s="969"/>
      <c r="AB22" s="170"/>
      <c r="AC22" s="282" t="s">
        <v>251</v>
      </c>
      <c r="AD22" s="282"/>
      <c r="AE22" s="5416"/>
    </row>
    <row r="23" spans="1:31" ht="23.25" customHeight="1">
      <c r="A23" s="5629"/>
      <c r="B23" s="5573"/>
      <c r="C23" s="5337"/>
      <c r="D23" s="5337"/>
      <c r="E23" s="5337"/>
      <c r="F23" s="5337"/>
      <c r="G23" s="5337"/>
      <c r="H23" s="5337"/>
      <c r="I23" s="5337"/>
      <c r="J23" s="5337"/>
      <c r="K23" s="5337"/>
      <c r="L23" s="5337"/>
      <c r="M23" s="5337"/>
      <c r="N23" s="5337"/>
      <c r="O23" s="5337"/>
      <c r="P23" s="5337"/>
      <c r="Q23" s="5345"/>
      <c r="R23" s="971"/>
      <c r="S23" s="972"/>
      <c r="T23" s="972">
        <v>35110001114</v>
      </c>
      <c r="U23" s="1217" t="s">
        <v>2858</v>
      </c>
      <c r="V23" s="968">
        <v>6</v>
      </c>
      <c r="W23" s="414"/>
      <c r="X23" s="973">
        <v>66</v>
      </c>
      <c r="Y23" s="974">
        <f t="shared" si="2"/>
        <v>396</v>
      </c>
      <c r="Z23" s="974">
        <f t="shared" si="3"/>
        <v>443.52000000000004</v>
      </c>
      <c r="AA23" s="969"/>
      <c r="AB23" s="170"/>
      <c r="AC23" s="282" t="s">
        <v>251</v>
      </c>
      <c r="AD23" s="282"/>
      <c r="AE23" s="5416"/>
    </row>
    <row r="24" spans="1:31" ht="20.25" customHeight="1">
      <c r="A24" s="5629"/>
      <c r="B24" s="5573"/>
      <c r="C24" s="5337"/>
      <c r="D24" s="5337"/>
      <c r="E24" s="5337"/>
      <c r="F24" s="5337"/>
      <c r="G24" s="5337"/>
      <c r="H24" s="5337"/>
      <c r="I24" s="5337"/>
      <c r="J24" s="5337"/>
      <c r="K24" s="5337"/>
      <c r="L24" s="5337"/>
      <c r="M24" s="5337"/>
      <c r="N24" s="5337"/>
      <c r="O24" s="5337"/>
      <c r="P24" s="5337"/>
      <c r="Q24" s="5345"/>
      <c r="R24" s="970"/>
      <c r="S24" s="967"/>
      <c r="T24" s="967">
        <v>362300111</v>
      </c>
      <c r="U24" s="1217" t="s">
        <v>2859</v>
      </c>
      <c r="V24" s="968">
        <v>50</v>
      </c>
      <c r="W24" s="414"/>
      <c r="X24" s="973">
        <v>3</v>
      </c>
      <c r="Y24" s="974">
        <f t="shared" si="2"/>
        <v>150</v>
      </c>
      <c r="Z24" s="974">
        <f t="shared" si="3"/>
        <v>168.00000000000003</v>
      </c>
      <c r="AA24" s="969"/>
      <c r="AB24" s="170"/>
      <c r="AC24" s="282" t="s">
        <v>251</v>
      </c>
      <c r="AD24" s="282"/>
      <c r="AE24" s="5416"/>
    </row>
    <row r="25" spans="1:31" ht="20.25" customHeight="1">
      <c r="A25" s="5629"/>
      <c r="B25" s="5573"/>
      <c r="C25" s="5337"/>
      <c r="D25" s="5337"/>
      <c r="E25" s="5337"/>
      <c r="F25" s="5337"/>
      <c r="G25" s="5337"/>
      <c r="H25" s="5337"/>
      <c r="I25" s="5337"/>
      <c r="J25" s="5337"/>
      <c r="K25" s="5337"/>
      <c r="L25" s="5337"/>
      <c r="M25" s="5337"/>
      <c r="N25" s="5337"/>
      <c r="O25" s="5337"/>
      <c r="P25" s="5337"/>
      <c r="Q25" s="5345"/>
      <c r="R25" s="972"/>
      <c r="S25" s="972"/>
      <c r="T25" s="972"/>
      <c r="U25" s="1218" t="s">
        <v>2860</v>
      </c>
      <c r="V25" s="972">
        <v>2</v>
      </c>
      <c r="W25" s="972"/>
      <c r="X25" s="1219">
        <v>700</v>
      </c>
      <c r="Y25" s="1199">
        <f t="shared" si="2"/>
        <v>1400</v>
      </c>
      <c r="Z25" s="1199">
        <f t="shared" si="3"/>
        <v>1568.0000000000002</v>
      </c>
      <c r="AA25" s="1220"/>
      <c r="AB25" s="160"/>
      <c r="AC25" s="161" t="s">
        <v>251</v>
      </c>
      <c r="AD25" s="161"/>
      <c r="AE25" s="5416"/>
    </row>
    <row r="26" spans="1:31" ht="20.25" customHeight="1">
      <c r="A26" s="5629"/>
      <c r="B26" s="5573"/>
      <c r="C26" s="5337"/>
      <c r="D26" s="5337"/>
      <c r="E26" s="5337"/>
      <c r="F26" s="5337"/>
      <c r="G26" s="5337"/>
      <c r="H26" s="5337"/>
      <c r="I26" s="5337"/>
      <c r="J26" s="5337"/>
      <c r="K26" s="5337"/>
      <c r="L26" s="5337"/>
      <c r="M26" s="5337"/>
      <c r="N26" s="5337"/>
      <c r="O26" s="5337"/>
      <c r="P26" s="5337"/>
      <c r="Q26" s="5345"/>
      <c r="R26" s="972"/>
      <c r="S26" s="972"/>
      <c r="T26" s="972">
        <v>362300111</v>
      </c>
      <c r="U26" s="1218" t="s">
        <v>2861</v>
      </c>
      <c r="V26" s="972">
        <v>50</v>
      </c>
      <c r="W26" s="972"/>
      <c r="X26" s="1219">
        <v>3</v>
      </c>
      <c r="Y26" s="969">
        <f t="shared" si="2"/>
        <v>150</v>
      </c>
      <c r="Z26" s="1199">
        <f t="shared" si="3"/>
        <v>168.00000000000003</v>
      </c>
      <c r="AA26" s="1220"/>
      <c r="AB26" s="160"/>
      <c r="AC26" s="161" t="s">
        <v>251</v>
      </c>
      <c r="AD26" s="161"/>
      <c r="AE26" s="5416"/>
    </row>
    <row r="27" spans="1:31" ht="20.25" customHeight="1">
      <c r="A27" s="5629"/>
      <c r="B27" s="5573"/>
      <c r="C27" s="5337"/>
      <c r="D27" s="5337"/>
      <c r="E27" s="5337"/>
      <c r="F27" s="5337"/>
      <c r="G27" s="5337"/>
      <c r="H27" s="5337"/>
      <c r="I27" s="5337"/>
      <c r="J27" s="5337"/>
      <c r="K27" s="5337"/>
      <c r="L27" s="5337"/>
      <c r="M27" s="5337"/>
      <c r="N27" s="5337"/>
      <c r="O27" s="5337"/>
      <c r="P27" s="5337"/>
      <c r="Q27" s="5345"/>
      <c r="R27" s="1215" t="s">
        <v>39</v>
      </c>
      <c r="S27" s="967">
        <v>840104</v>
      </c>
      <c r="T27" s="972"/>
      <c r="U27" s="1221" t="s">
        <v>24</v>
      </c>
      <c r="V27" s="972"/>
      <c r="W27" s="972"/>
      <c r="X27" s="972"/>
      <c r="Y27" s="968"/>
      <c r="Z27" s="1199"/>
      <c r="AA27" s="1220">
        <f>$Z$28</f>
        <v>4009.6000000000004</v>
      </c>
      <c r="AB27" s="160"/>
      <c r="AC27" s="161"/>
      <c r="AD27" s="161"/>
      <c r="AE27" s="5416"/>
    </row>
    <row r="28" spans="1:31" ht="29.25" customHeight="1">
      <c r="A28" s="5629"/>
      <c r="B28" s="5573"/>
      <c r="C28" s="5337"/>
      <c r="D28" s="5337"/>
      <c r="E28" s="5337"/>
      <c r="F28" s="5337"/>
      <c r="G28" s="5337"/>
      <c r="H28" s="5337"/>
      <c r="I28" s="5337"/>
      <c r="J28" s="5337"/>
      <c r="K28" s="5337"/>
      <c r="L28" s="5337"/>
      <c r="M28" s="5337"/>
      <c r="N28" s="5337"/>
      <c r="O28" s="5337"/>
      <c r="P28" s="5337"/>
      <c r="Q28" s="5345"/>
      <c r="R28" s="972"/>
      <c r="S28" s="972"/>
      <c r="T28" s="972">
        <v>4391301112</v>
      </c>
      <c r="U28" s="1222" t="s">
        <v>2862</v>
      </c>
      <c r="V28" s="1223">
        <v>2</v>
      </c>
      <c r="W28" s="972" t="s">
        <v>322</v>
      </c>
      <c r="X28" s="972">
        <v>1790</v>
      </c>
      <c r="Y28" s="1224">
        <f t="shared" ref="Y28:Y29" si="4">+V28*X28</f>
        <v>3580</v>
      </c>
      <c r="Z28" s="1199">
        <f t="shared" ref="Z28:Z29" si="5">+Y28*1.12</f>
        <v>4009.6000000000004</v>
      </c>
      <c r="AA28" s="1220"/>
      <c r="AB28" s="160" t="s">
        <v>251</v>
      </c>
      <c r="AC28" s="161"/>
      <c r="AD28" s="161"/>
      <c r="AE28" s="5416"/>
    </row>
    <row r="29" spans="1:31" ht="21" customHeight="1">
      <c r="A29" s="5629"/>
      <c r="B29" s="5574"/>
      <c r="C29" s="5338"/>
      <c r="D29" s="5338"/>
      <c r="E29" s="5338"/>
      <c r="F29" s="5338"/>
      <c r="G29" s="5338"/>
      <c r="H29" s="5338"/>
      <c r="I29" s="5338"/>
      <c r="J29" s="5337"/>
      <c r="K29" s="5338"/>
      <c r="L29" s="5338"/>
      <c r="M29" s="5338"/>
      <c r="N29" s="5338"/>
      <c r="O29" s="5338"/>
      <c r="P29" s="5338"/>
      <c r="Q29" s="5346"/>
      <c r="R29" s="1111"/>
      <c r="S29" s="1111"/>
      <c r="T29" s="1111"/>
      <c r="U29" s="1111"/>
      <c r="V29" s="1111"/>
      <c r="W29" s="1111"/>
      <c r="X29" s="1111"/>
      <c r="Y29" s="978">
        <f t="shared" si="4"/>
        <v>0</v>
      </c>
      <c r="Z29" s="978">
        <f t="shared" si="5"/>
        <v>0</v>
      </c>
      <c r="AA29" s="979"/>
      <c r="AB29" s="165"/>
      <c r="AC29" s="166"/>
      <c r="AD29" s="166"/>
      <c r="AE29" s="5417"/>
    </row>
    <row r="30" spans="1:31" ht="27" customHeight="1">
      <c r="A30" s="5629"/>
      <c r="B30" s="5572" t="s">
        <v>272</v>
      </c>
      <c r="C30" s="5336" t="s">
        <v>302</v>
      </c>
      <c r="D30" s="5336" t="s">
        <v>237</v>
      </c>
      <c r="E30" s="5336" t="s">
        <v>370</v>
      </c>
      <c r="F30" s="5341" t="s">
        <v>239</v>
      </c>
      <c r="G30" s="5336" t="s">
        <v>240</v>
      </c>
      <c r="H30" s="5336" t="s">
        <v>294</v>
      </c>
      <c r="I30" s="5336" t="s">
        <v>2863</v>
      </c>
      <c r="J30" s="5357" t="s">
        <v>2864</v>
      </c>
      <c r="K30" s="5336" t="s">
        <v>2865</v>
      </c>
      <c r="L30" s="5343">
        <v>1</v>
      </c>
      <c r="M30" s="1718"/>
      <c r="N30" s="5343">
        <v>0</v>
      </c>
      <c r="O30" s="5336" t="s">
        <v>2866</v>
      </c>
      <c r="P30" s="5336" t="s">
        <v>2867</v>
      </c>
      <c r="Q30" s="5392" t="s">
        <v>2868</v>
      </c>
      <c r="R30" s="995"/>
      <c r="S30" s="996"/>
      <c r="T30" s="996"/>
      <c r="U30" s="283"/>
      <c r="V30" s="988"/>
      <c r="W30" s="178"/>
      <c r="X30" s="989"/>
      <c r="Y30" s="973"/>
      <c r="Z30" s="973"/>
      <c r="AA30" s="981"/>
      <c r="AB30" s="414"/>
      <c r="AC30" s="174"/>
      <c r="AD30" s="174"/>
      <c r="AE30" s="5415"/>
    </row>
    <row r="31" spans="1:31" ht="28.5" customHeight="1">
      <c r="A31" s="5629"/>
      <c r="B31" s="5573"/>
      <c r="C31" s="5337"/>
      <c r="D31" s="5337"/>
      <c r="E31" s="5337"/>
      <c r="F31" s="5337"/>
      <c r="G31" s="5337"/>
      <c r="H31" s="5337"/>
      <c r="I31" s="5337"/>
      <c r="J31" s="5337"/>
      <c r="K31" s="5337"/>
      <c r="L31" s="5337"/>
      <c r="M31" s="1718"/>
      <c r="N31" s="5337"/>
      <c r="O31" s="5337"/>
      <c r="P31" s="5337"/>
      <c r="Q31" s="5345"/>
      <c r="R31" s="982"/>
      <c r="S31" s="983"/>
      <c r="T31" s="983"/>
      <c r="U31" s="169"/>
      <c r="V31" s="984"/>
      <c r="W31" s="170"/>
      <c r="X31" s="974"/>
      <c r="Y31" s="974">
        <f t="shared" ref="Y31:Y34" si="6">+V31*X31</f>
        <v>0</v>
      </c>
      <c r="Z31" s="974">
        <f t="shared" ref="Z31:Z34" si="7">+Y31*1.12</f>
        <v>0</v>
      </c>
      <c r="AA31" s="969"/>
      <c r="AB31" s="170"/>
      <c r="AC31" s="282"/>
      <c r="AD31" s="282"/>
      <c r="AE31" s="5416"/>
    </row>
    <row r="32" spans="1:31" ht="27" customHeight="1">
      <c r="A32" s="5629"/>
      <c r="B32" s="5573"/>
      <c r="C32" s="5337"/>
      <c r="D32" s="5337"/>
      <c r="E32" s="5337"/>
      <c r="F32" s="5337"/>
      <c r="G32" s="5337"/>
      <c r="H32" s="5337"/>
      <c r="I32" s="5337"/>
      <c r="J32" s="5337"/>
      <c r="K32" s="5337"/>
      <c r="L32" s="5337"/>
      <c r="M32" s="1718">
        <v>1</v>
      </c>
      <c r="N32" s="5337"/>
      <c r="O32" s="5337"/>
      <c r="P32" s="5337"/>
      <c r="Q32" s="5345"/>
      <c r="R32" s="971"/>
      <c r="S32" s="972"/>
      <c r="T32" s="972"/>
      <c r="U32" s="1217"/>
      <c r="V32" s="968"/>
      <c r="W32" s="414"/>
      <c r="X32" s="973"/>
      <c r="Y32" s="974">
        <f t="shared" si="6"/>
        <v>0</v>
      </c>
      <c r="Z32" s="974">
        <f t="shared" si="7"/>
        <v>0</v>
      </c>
      <c r="AA32" s="969"/>
      <c r="AB32" s="170"/>
      <c r="AC32" s="282"/>
      <c r="AD32" s="282"/>
      <c r="AE32" s="5416"/>
    </row>
    <row r="33" spans="1:31" ht="27" customHeight="1">
      <c r="A33" s="5629"/>
      <c r="B33" s="5573"/>
      <c r="C33" s="5337"/>
      <c r="D33" s="5337"/>
      <c r="E33" s="5337"/>
      <c r="F33" s="5337"/>
      <c r="G33" s="5337"/>
      <c r="H33" s="5337"/>
      <c r="I33" s="5337"/>
      <c r="J33" s="5337"/>
      <c r="K33" s="5337"/>
      <c r="L33" s="5337"/>
      <c r="M33" s="1718"/>
      <c r="N33" s="5337"/>
      <c r="O33" s="5337"/>
      <c r="P33" s="5337"/>
      <c r="Q33" s="5345"/>
      <c r="R33" s="970"/>
      <c r="S33" s="967"/>
      <c r="T33" s="967"/>
      <c r="U33" s="1217"/>
      <c r="V33" s="968"/>
      <c r="W33" s="414"/>
      <c r="X33" s="973"/>
      <c r="Y33" s="974">
        <f t="shared" si="6"/>
        <v>0</v>
      </c>
      <c r="Z33" s="974">
        <f t="shared" si="7"/>
        <v>0</v>
      </c>
      <c r="AA33" s="969"/>
      <c r="AB33" s="170"/>
      <c r="AC33" s="282"/>
      <c r="AD33" s="282"/>
      <c r="AE33" s="5416"/>
    </row>
    <row r="34" spans="1:31" ht="25.5" customHeight="1">
      <c r="A34" s="5629"/>
      <c r="B34" s="5574"/>
      <c r="C34" s="5338"/>
      <c r="D34" s="5338"/>
      <c r="E34" s="5338"/>
      <c r="F34" s="5338"/>
      <c r="G34" s="5338"/>
      <c r="H34" s="5338"/>
      <c r="I34" s="5338"/>
      <c r="J34" s="5338"/>
      <c r="K34" s="5338"/>
      <c r="L34" s="5338"/>
      <c r="M34" s="359"/>
      <c r="N34" s="5338"/>
      <c r="O34" s="5338"/>
      <c r="P34" s="5338"/>
      <c r="Q34" s="5346"/>
      <c r="R34" s="975"/>
      <c r="S34" s="976"/>
      <c r="T34" s="976"/>
      <c r="U34" s="411"/>
      <c r="V34" s="977"/>
      <c r="W34" s="165"/>
      <c r="X34" s="978"/>
      <c r="Y34" s="978">
        <f t="shared" si="6"/>
        <v>0</v>
      </c>
      <c r="Z34" s="978">
        <f t="shared" si="7"/>
        <v>0</v>
      </c>
      <c r="AA34" s="979"/>
      <c r="AB34" s="165"/>
      <c r="AC34" s="166"/>
      <c r="AD34" s="166"/>
      <c r="AE34" s="5417"/>
    </row>
    <row r="35" spans="1:31" ht="34.5" customHeight="1">
      <c r="A35" s="5629"/>
      <c r="B35" s="5572" t="s">
        <v>235</v>
      </c>
      <c r="C35" s="5336" t="s">
        <v>236</v>
      </c>
      <c r="D35" s="5336" t="s">
        <v>244</v>
      </c>
      <c r="E35" s="5336" t="s">
        <v>309</v>
      </c>
      <c r="F35" s="5341" t="s">
        <v>239</v>
      </c>
      <c r="G35" s="5336" t="s">
        <v>240</v>
      </c>
      <c r="H35" s="5336" t="s">
        <v>257</v>
      </c>
      <c r="I35" s="5336" t="s">
        <v>2869</v>
      </c>
      <c r="J35" s="5336" t="s">
        <v>1507</v>
      </c>
      <c r="K35" s="5336" t="s">
        <v>2870</v>
      </c>
      <c r="L35" s="5343">
        <v>1</v>
      </c>
      <c r="M35" s="1718"/>
      <c r="N35" s="5343">
        <v>1</v>
      </c>
      <c r="O35" s="5336" t="s">
        <v>2871</v>
      </c>
      <c r="P35" s="5336" t="s">
        <v>2872</v>
      </c>
      <c r="Q35" s="5370" t="s">
        <v>2873</v>
      </c>
      <c r="R35" s="970"/>
      <c r="S35" s="967"/>
      <c r="T35" s="1136"/>
      <c r="U35" s="476"/>
      <c r="V35" s="1130"/>
      <c r="W35" s="355"/>
      <c r="X35" s="1131"/>
      <c r="Y35" s="1131"/>
      <c r="Z35" s="1131"/>
      <c r="AA35" s="1132"/>
      <c r="AB35" s="355"/>
      <c r="AC35" s="356"/>
      <c r="AD35" s="356"/>
      <c r="AE35" s="5415"/>
    </row>
    <row r="36" spans="1:31" ht="34.5" customHeight="1">
      <c r="A36" s="5629"/>
      <c r="B36" s="5573"/>
      <c r="C36" s="5337"/>
      <c r="D36" s="5337"/>
      <c r="E36" s="5337"/>
      <c r="F36" s="5337"/>
      <c r="G36" s="5337"/>
      <c r="H36" s="5337"/>
      <c r="I36" s="5337"/>
      <c r="J36" s="5337"/>
      <c r="K36" s="5337"/>
      <c r="L36" s="5337"/>
      <c r="M36" s="1718"/>
      <c r="N36" s="5337"/>
      <c r="O36" s="5337"/>
      <c r="P36" s="5337"/>
      <c r="Q36" s="5345"/>
      <c r="R36" s="982"/>
      <c r="S36" s="983"/>
      <c r="T36" s="1147"/>
      <c r="U36" s="412"/>
      <c r="V36" s="1275"/>
      <c r="W36" s="357"/>
      <c r="X36" s="1133"/>
      <c r="Y36" s="1133">
        <f t="shared" ref="Y36:Y39" si="8">+V36*X36</f>
        <v>0</v>
      </c>
      <c r="Z36" s="1133">
        <f t="shared" ref="Z36:Z39" si="9">+Y36*1.12</f>
        <v>0</v>
      </c>
      <c r="AA36" s="1134"/>
      <c r="AB36" s="357"/>
      <c r="AC36" s="358"/>
      <c r="AD36" s="358"/>
      <c r="AE36" s="5416"/>
    </row>
    <row r="37" spans="1:31" ht="34.5" customHeight="1">
      <c r="A37" s="5629"/>
      <c r="B37" s="5573"/>
      <c r="C37" s="5337"/>
      <c r="D37" s="5337"/>
      <c r="E37" s="5337"/>
      <c r="F37" s="5337"/>
      <c r="G37" s="5337"/>
      <c r="H37" s="5337"/>
      <c r="I37" s="5337"/>
      <c r="J37" s="5337"/>
      <c r="K37" s="5337"/>
      <c r="L37" s="5337"/>
      <c r="M37" s="1718">
        <v>1</v>
      </c>
      <c r="N37" s="5337"/>
      <c r="O37" s="5337"/>
      <c r="P37" s="5337"/>
      <c r="Q37" s="5345"/>
      <c r="R37" s="971"/>
      <c r="S37" s="972"/>
      <c r="T37" s="1135"/>
      <c r="U37" s="413"/>
      <c r="V37" s="1130"/>
      <c r="W37" s="355"/>
      <c r="X37" s="1131"/>
      <c r="Y37" s="1133">
        <f t="shared" si="8"/>
        <v>0</v>
      </c>
      <c r="Z37" s="1133">
        <f t="shared" si="9"/>
        <v>0</v>
      </c>
      <c r="AA37" s="1134"/>
      <c r="AB37" s="357"/>
      <c r="AC37" s="358"/>
      <c r="AD37" s="358"/>
      <c r="AE37" s="5416"/>
    </row>
    <row r="38" spans="1:31" ht="34.5" customHeight="1">
      <c r="A38" s="5629"/>
      <c r="B38" s="5573"/>
      <c r="C38" s="5337"/>
      <c r="D38" s="5337"/>
      <c r="E38" s="5337"/>
      <c r="F38" s="5337"/>
      <c r="G38" s="5337"/>
      <c r="H38" s="5337"/>
      <c r="I38" s="5337"/>
      <c r="J38" s="5337"/>
      <c r="K38" s="5337"/>
      <c r="L38" s="5337"/>
      <c r="M38" s="1718"/>
      <c r="N38" s="5337"/>
      <c r="O38" s="5337"/>
      <c r="P38" s="5337"/>
      <c r="Q38" s="5345"/>
      <c r="R38" s="970"/>
      <c r="S38" s="967"/>
      <c r="T38" s="1136"/>
      <c r="U38" s="413"/>
      <c r="V38" s="1130"/>
      <c r="W38" s="355"/>
      <c r="X38" s="1131"/>
      <c r="Y38" s="1133">
        <f t="shared" si="8"/>
        <v>0</v>
      </c>
      <c r="Z38" s="1133">
        <f t="shared" si="9"/>
        <v>0</v>
      </c>
      <c r="AA38" s="1134"/>
      <c r="AB38" s="357"/>
      <c r="AC38" s="358"/>
      <c r="AD38" s="358"/>
      <c r="AE38" s="5416"/>
    </row>
    <row r="39" spans="1:31" ht="34.5" customHeight="1">
      <c r="A39" s="5629"/>
      <c r="B39" s="5574"/>
      <c r="C39" s="5338"/>
      <c r="D39" s="5338"/>
      <c r="E39" s="5338"/>
      <c r="F39" s="5338"/>
      <c r="G39" s="5338"/>
      <c r="H39" s="5338"/>
      <c r="I39" s="5338"/>
      <c r="J39" s="5337"/>
      <c r="K39" s="5338"/>
      <c r="L39" s="5338"/>
      <c r="M39" s="359"/>
      <c r="N39" s="5338"/>
      <c r="O39" s="5338"/>
      <c r="P39" s="5338"/>
      <c r="Q39" s="5346"/>
      <c r="R39" s="975"/>
      <c r="S39" s="976"/>
      <c r="T39" s="1153"/>
      <c r="U39" s="360"/>
      <c r="V39" s="1154"/>
      <c r="W39" s="361"/>
      <c r="X39" s="1304"/>
      <c r="Y39" s="1304">
        <f t="shared" si="8"/>
        <v>0</v>
      </c>
      <c r="Z39" s="1304">
        <f t="shared" si="9"/>
        <v>0</v>
      </c>
      <c r="AA39" s="1155"/>
      <c r="AB39" s="361"/>
      <c r="AC39" s="354"/>
      <c r="AD39" s="354"/>
      <c r="AE39" s="5417"/>
    </row>
    <row r="40" spans="1:31" ht="18" customHeight="1">
      <c r="A40" s="5629"/>
      <c r="B40" s="5627" t="s">
        <v>272</v>
      </c>
      <c r="C40" s="5347" t="s">
        <v>302</v>
      </c>
      <c r="D40" s="5347" t="s">
        <v>303</v>
      </c>
      <c r="E40" s="5347" t="s">
        <v>318</v>
      </c>
      <c r="F40" s="5353" t="s">
        <v>305</v>
      </c>
      <c r="G40" s="5347" t="s">
        <v>262</v>
      </c>
      <c r="H40" s="5347" t="s">
        <v>257</v>
      </c>
      <c r="I40" s="5347" t="s">
        <v>2874</v>
      </c>
      <c r="J40" s="5347" t="s">
        <v>1512</v>
      </c>
      <c r="K40" s="5347" t="s">
        <v>2875</v>
      </c>
      <c r="L40" s="5399">
        <v>1</v>
      </c>
      <c r="M40" s="5399">
        <v>1</v>
      </c>
      <c r="N40" s="5399">
        <v>1</v>
      </c>
      <c r="O40" s="5347" t="s">
        <v>2876</v>
      </c>
      <c r="P40" s="5347" t="s">
        <v>2877</v>
      </c>
      <c r="Q40" s="5394" t="s">
        <v>2878</v>
      </c>
      <c r="R40" s="1225" t="s">
        <v>29</v>
      </c>
      <c r="S40" s="1226">
        <v>530804</v>
      </c>
      <c r="T40" s="1227"/>
      <c r="U40" s="1228" t="s">
        <v>152</v>
      </c>
      <c r="V40" s="1229"/>
      <c r="W40" s="1229"/>
      <c r="X40" s="1229"/>
      <c r="Y40" s="1230"/>
      <c r="Z40" s="1230"/>
      <c r="AA40" s="1231">
        <f>SUM($Z$41:$Z$54)</f>
        <v>287.20159999999998</v>
      </c>
      <c r="AB40" s="353"/>
      <c r="AC40" s="1179"/>
      <c r="AD40" s="1232"/>
      <c r="AE40" s="5638" t="s">
        <v>2879</v>
      </c>
    </row>
    <row r="41" spans="1:31" ht="18" customHeight="1">
      <c r="A41" s="5629"/>
      <c r="B41" s="5573"/>
      <c r="C41" s="5337"/>
      <c r="D41" s="5337"/>
      <c r="E41" s="5337"/>
      <c r="F41" s="5337"/>
      <c r="G41" s="5337"/>
      <c r="H41" s="5337"/>
      <c r="I41" s="5337"/>
      <c r="J41" s="5337"/>
      <c r="K41" s="5337"/>
      <c r="L41" s="5337"/>
      <c r="M41" s="5337"/>
      <c r="N41" s="5337"/>
      <c r="O41" s="5337"/>
      <c r="P41" s="5337"/>
      <c r="Q41" s="5345"/>
      <c r="R41" s="1233"/>
      <c r="S41" s="1233"/>
      <c r="T41" s="1190">
        <v>3212904110</v>
      </c>
      <c r="U41" s="1235" t="s">
        <v>2880</v>
      </c>
      <c r="V41" s="1149">
        <v>30</v>
      </c>
      <c r="W41" s="1149" t="s">
        <v>2881</v>
      </c>
      <c r="X41" s="1234">
        <v>3.25</v>
      </c>
      <c r="Y41" s="1230">
        <f t="shared" ref="Y41:Y54" si="10">+V41*X41</f>
        <v>97.5</v>
      </c>
      <c r="Z41" s="1133">
        <f t="shared" ref="Z41:Z54" si="11">+Y41*1.12</f>
        <v>109.20000000000002</v>
      </c>
      <c r="AA41" s="1230"/>
      <c r="AB41" s="353" t="s">
        <v>251</v>
      </c>
      <c r="AC41" s="1179"/>
      <c r="AD41" s="1179"/>
      <c r="AE41" s="5416"/>
    </row>
    <row r="42" spans="1:31" ht="18" customHeight="1">
      <c r="A42" s="5629"/>
      <c r="B42" s="5573"/>
      <c r="C42" s="5337"/>
      <c r="D42" s="5337"/>
      <c r="E42" s="5337"/>
      <c r="F42" s="5337"/>
      <c r="G42" s="5337"/>
      <c r="H42" s="5337"/>
      <c r="I42" s="5337"/>
      <c r="J42" s="5337"/>
      <c r="K42" s="5337"/>
      <c r="L42" s="5337"/>
      <c r="M42" s="5337"/>
      <c r="N42" s="5337"/>
      <c r="O42" s="5337"/>
      <c r="P42" s="5337"/>
      <c r="Q42" s="5345"/>
      <c r="R42" s="1233"/>
      <c r="S42" s="1233"/>
      <c r="T42" s="1190">
        <v>3212920129</v>
      </c>
      <c r="U42" s="1235" t="s">
        <v>2882</v>
      </c>
      <c r="V42" s="1149">
        <v>18</v>
      </c>
      <c r="W42" s="1149" t="s">
        <v>269</v>
      </c>
      <c r="X42" s="1234">
        <v>1.65</v>
      </c>
      <c r="Y42" s="1230">
        <f t="shared" si="10"/>
        <v>29.7</v>
      </c>
      <c r="Z42" s="1133">
        <f t="shared" si="11"/>
        <v>33.264000000000003</v>
      </c>
      <c r="AA42" s="1230"/>
      <c r="AB42" s="353" t="s">
        <v>251</v>
      </c>
      <c r="AC42" s="1179"/>
      <c r="AD42" s="1179"/>
      <c r="AE42" s="5416"/>
    </row>
    <row r="43" spans="1:31" ht="18" customHeight="1">
      <c r="A43" s="5629"/>
      <c r="B43" s="5573"/>
      <c r="C43" s="5337"/>
      <c r="D43" s="5337"/>
      <c r="E43" s="5337"/>
      <c r="F43" s="5337"/>
      <c r="G43" s="5337"/>
      <c r="H43" s="5337"/>
      <c r="I43" s="5337"/>
      <c r="J43" s="5337"/>
      <c r="K43" s="5337"/>
      <c r="L43" s="5337"/>
      <c r="M43" s="5337"/>
      <c r="N43" s="5337"/>
      <c r="O43" s="5337"/>
      <c r="P43" s="5337"/>
      <c r="Q43" s="5345"/>
      <c r="R43" s="1233"/>
      <c r="S43" s="1233"/>
      <c r="T43" s="1190">
        <v>389110736</v>
      </c>
      <c r="U43" s="1235" t="s">
        <v>2883</v>
      </c>
      <c r="V43" s="1149">
        <v>4</v>
      </c>
      <c r="W43" s="1149" t="s">
        <v>522</v>
      </c>
      <c r="X43" s="1234">
        <v>1.8</v>
      </c>
      <c r="Y43" s="1230">
        <f t="shared" si="10"/>
        <v>7.2</v>
      </c>
      <c r="Z43" s="1133">
        <f t="shared" si="11"/>
        <v>8.0640000000000018</v>
      </c>
      <c r="AA43" s="1230"/>
      <c r="AB43" s="353" t="s">
        <v>251</v>
      </c>
      <c r="AC43" s="1179"/>
      <c r="AD43" s="1179"/>
      <c r="AE43" s="5416"/>
    </row>
    <row r="44" spans="1:31" ht="18" customHeight="1">
      <c r="A44" s="5629"/>
      <c r="B44" s="5573"/>
      <c r="C44" s="5337"/>
      <c r="D44" s="5337"/>
      <c r="E44" s="5337"/>
      <c r="F44" s="5337"/>
      <c r="G44" s="5337"/>
      <c r="H44" s="5337"/>
      <c r="I44" s="5337"/>
      <c r="J44" s="5337"/>
      <c r="K44" s="5337"/>
      <c r="L44" s="5337"/>
      <c r="M44" s="5337"/>
      <c r="N44" s="5337"/>
      <c r="O44" s="5337"/>
      <c r="P44" s="5337"/>
      <c r="Q44" s="5345"/>
      <c r="R44" s="1233"/>
      <c r="S44" s="1233"/>
      <c r="T44" s="1190">
        <v>326000911</v>
      </c>
      <c r="U44" s="1235" t="s">
        <v>2884</v>
      </c>
      <c r="V44" s="1149">
        <v>5</v>
      </c>
      <c r="W44" s="1149" t="s">
        <v>2885</v>
      </c>
      <c r="X44" s="1234">
        <v>0.28999999999999998</v>
      </c>
      <c r="Y44" s="1230">
        <f t="shared" si="10"/>
        <v>1.45</v>
      </c>
      <c r="Z44" s="1133">
        <f t="shared" si="11"/>
        <v>1.6240000000000001</v>
      </c>
      <c r="AA44" s="1230"/>
      <c r="AB44" s="353" t="s">
        <v>251</v>
      </c>
      <c r="AC44" s="1179"/>
      <c r="AD44" s="1179"/>
      <c r="AE44" s="5416"/>
    </row>
    <row r="45" spans="1:31" ht="18" customHeight="1">
      <c r="A45" s="5629"/>
      <c r="B45" s="5573"/>
      <c r="C45" s="5337"/>
      <c r="D45" s="5337"/>
      <c r="E45" s="5337"/>
      <c r="F45" s="5337"/>
      <c r="G45" s="5337"/>
      <c r="H45" s="5337"/>
      <c r="I45" s="5337"/>
      <c r="J45" s="5337"/>
      <c r="K45" s="5337"/>
      <c r="L45" s="5337"/>
      <c r="M45" s="5337"/>
      <c r="N45" s="5337"/>
      <c r="O45" s="5337"/>
      <c r="P45" s="5337"/>
      <c r="Q45" s="5345"/>
      <c r="R45" s="1233"/>
      <c r="S45" s="1233"/>
      <c r="T45" s="1190">
        <v>3891100173</v>
      </c>
      <c r="U45" s="1235" t="s">
        <v>2886</v>
      </c>
      <c r="V45" s="1149">
        <v>20</v>
      </c>
      <c r="W45" s="1149" t="s">
        <v>269</v>
      </c>
      <c r="X45" s="1234">
        <v>0.24</v>
      </c>
      <c r="Y45" s="1230">
        <f t="shared" si="10"/>
        <v>4.8</v>
      </c>
      <c r="Z45" s="1133">
        <f t="shared" si="11"/>
        <v>5.3760000000000003</v>
      </c>
      <c r="AA45" s="1230"/>
      <c r="AB45" s="353" t="s">
        <v>251</v>
      </c>
      <c r="AC45" s="1179"/>
      <c r="AD45" s="1179"/>
      <c r="AE45" s="5416"/>
    </row>
    <row r="46" spans="1:31" ht="18" customHeight="1">
      <c r="A46" s="5629"/>
      <c r="B46" s="5573"/>
      <c r="C46" s="5337"/>
      <c r="D46" s="5337"/>
      <c r="E46" s="5337"/>
      <c r="F46" s="5337"/>
      <c r="G46" s="5337"/>
      <c r="H46" s="5337"/>
      <c r="I46" s="5337"/>
      <c r="J46" s="5337"/>
      <c r="K46" s="5337"/>
      <c r="L46" s="5337"/>
      <c r="M46" s="5337"/>
      <c r="N46" s="5337"/>
      <c r="O46" s="5337"/>
      <c r="P46" s="5337"/>
      <c r="Q46" s="5345"/>
      <c r="R46" s="1233"/>
      <c r="S46" s="1233"/>
      <c r="T46" s="1190">
        <v>429950017</v>
      </c>
      <c r="U46" s="1235" t="s">
        <v>2887</v>
      </c>
      <c r="V46" s="1149">
        <v>1</v>
      </c>
      <c r="W46" s="1149" t="s">
        <v>269</v>
      </c>
      <c r="X46" s="1234">
        <v>34</v>
      </c>
      <c r="Y46" s="1230">
        <f t="shared" si="10"/>
        <v>34</v>
      </c>
      <c r="Z46" s="1133">
        <f t="shared" si="11"/>
        <v>38.080000000000005</v>
      </c>
      <c r="AA46" s="1230"/>
      <c r="AB46" s="353" t="s">
        <v>251</v>
      </c>
      <c r="AC46" s="1179"/>
      <c r="AD46" s="1179"/>
      <c r="AE46" s="5416"/>
    </row>
    <row r="47" spans="1:31" ht="18" customHeight="1">
      <c r="A47" s="5629"/>
      <c r="B47" s="5573"/>
      <c r="C47" s="5337"/>
      <c r="D47" s="5337"/>
      <c r="E47" s="5337"/>
      <c r="F47" s="5337"/>
      <c r="G47" s="5337"/>
      <c r="H47" s="5337"/>
      <c r="I47" s="5337"/>
      <c r="J47" s="5337"/>
      <c r="K47" s="5337"/>
      <c r="L47" s="5337"/>
      <c r="M47" s="5337"/>
      <c r="N47" s="5337"/>
      <c r="O47" s="5337"/>
      <c r="P47" s="5337"/>
      <c r="Q47" s="5345"/>
      <c r="R47" s="1233"/>
      <c r="S47" s="1233"/>
      <c r="T47" s="1190">
        <v>389930411</v>
      </c>
      <c r="U47" s="1235" t="s">
        <v>2888</v>
      </c>
      <c r="V47" s="1149">
        <v>10</v>
      </c>
      <c r="W47" s="1149" t="s">
        <v>269</v>
      </c>
      <c r="X47" s="1234">
        <v>0.8</v>
      </c>
      <c r="Y47" s="1230">
        <f t="shared" si="10"/>
        <v>8</v>
      </c>
      <c r="Z47" s="1133">
        <f t="shared" si="11"/>
        <v>8.9600000000000009</v>
      </c>
      <c r="AA47" s="1230"/>
      <c r="AB47" s="353" t="s">
        <v>251</v>
      </c>
      <c r="AC47" s="1179"/>
      <c r="AD47" s="1179"/>
      <c r="AE47" s="5416"/>
    </row>
    <row r="48" spans="1:31" ht="18" customHeight="1">
      <c r="A48" s="5629"/>
      <c r="B48" s="5573"/>
      <c r="C48" s="5337"/>
      <c r="D48" s="5337"/>
      <c r="E48" s="5337"/>
      <c r="F48" s="5337"/>
      <c r="G48" s="5337"/>
      <c r="H48" s="5337"/>
      <c r="I48" s="5337"/>
      <c r="J48" s="5337"/>
      <c r="K48" s="5337"/>
      <c r="L48" s="5337"/>
      <c r="M48" s="5337"/>
      <c r="N48" s="5337"/>
      <c r="O48" s="5337"/>
      <c r="P48" s="5337"/>
      <c r="Q48" s="5345"/>
      <c r="R48" s="1233"/>
      <c r="S48" s="1233"/>
      <c r="T48" s="1190">
        <v>4299500127</v>
      </c>
      <c r="U48" s="1235" t="s">
        <v>2889</v>
      </c>
      <c r="V48" s="1149">
        <v>4</v>
      </c>
      <c r="W48" s="1149" t="s">
        <v>522</v>
      </c>
      <c r="X48" s="1236">
        <v>0.69</v>
      </c>
      <c r="Y48" s="1230">
        <f t="shared" si="10"/>
        <v>2.76</v>
      </c>
      <c r="Z48" s="1133">
        <f t="shared" si="11"/>
        <v>3.0912000000000002</v>
      </c>
      <c r="AA48" s="1230"/>
      <c r="AB48" s="353" t="s">
        <v>251</v>
      </c>
      <c r="AC48" s="1179"/>
      <c r="AD48" s="1179"/>
      <c r="AE48" s="5416"/>
    </row>
    <row r="49" spans="1:31" ht="18" customHeight="1">
      <c r="A49" s="5629"/>
      <c r="B49" s="5573"/>
      <c r="C49" s="5337"/>
      <c r="D49" s="5337"/>
      <c r="E49" s="5337"/>
      <c r="F49" s="5337"/>
      <c r="G49" s="5337"/>
      <c r="H49" s="5337"/>
      <c r="I49" s="5337"/>
      <c r="J49" s="5337"/>
      <c r="K49" s="5337"/>
      <c r="L49" s="5337"/>
      <c r="M49" s="5337"/>
      <c r="N49" s="5337"/>
      <c r="O49" s="5337"/>
      <c r="P49" s="5337"/>
      <c r="Q49" s="5345"/>
      <c r="R49" s="1233"/>
      <c r="S49" s="1233"/>
      <c r="T49" s="1190">
        <v>4516002110</v>
      </c>
      <c r="U49" s="1235" t="s">
        <v>2890</v>
      </c>
      <c r="V49" s="1149">
        <v>1</v>
      </c>
      <c r="W49" s="1149" t="s">
        <v>269</v>
      </c>
      <c r="X49" s="1236">
        <v>4.46</v>
      </c>
      <c r="Y49" s="1230">
        <f t="shared" si="10"/>
        <v>4.46</v>
      </c>
      <c r="Z49" s="1133">
        <f t="shared" si="11"/>
        <v>4.9952000000000005</v>
      </c>
      <c r="AA49" s="1230"/>
      <c r="AB49" s="353" t="s">
        <v>251</v>
      </c>
      <c r="AC49" s="1179"/>
      <c r="AD49" s="1179"/>
      <c r="AE49" s="5416"/>
    </row>
    <row r="50" spans="1:31" ht="18" customHeight="1">
      <c r="A50" s="5629"/>
      <c r="B50" s="5573"/>
      <c r="C50" s="5337"/>
      <c r="D50" s="5337"/>
      <c r="E50" s="5337"/>
      <c r="F50" s="5337"/>
      <c r="G50" s="5337"/>
      <c r="H50" s="5337"/>
      <c r="I50" s="5337"/>
      <c r="J50" s="5337"/>
      <c r="K50" s="5337"/>
      <c r="L50" s="5337"/>
      <c r="M50" s="5337"/>
      <c r="N50" s="5337"/>
      <c r="O50" s="5337"/>
      <c r="P50" s="5337"/>
      <c r="Q50" s="5345"/>
      <c r="R50" s="1233"/>
      <c r="S50" s="1233"/>
      <c r="T50" s="1190">
        <v>3699000112</v>
      </c>
      <c r="U50" s="1246" t="s">
        <v>2891</v>
      </c>
      <c r="V50" s="1149">
        <v>1</v>
      </c>
      <c r="W50" s="1149" t="s">
        <v>269</v>
      </c>
      <c r="X50" s="1236">
        <v>17.86</v>
      </c>
      <c r="Y50" s="1230">
        <f t="shared" si="10"/>
        <v>17.86</v>
      </c>
      <c r="Z50" s="1133">
        <f t="shared" si="11"/>
        <v>20.0032</v>
      </c>
      <c r="AA50" s="1230"/>
      <c r="AB50" s="353" t="s">
        <v>251</v>
      </c>
      <c r="AC50" s="1179"/>
      <c r="AD50" s="1179"/>
      <c r="AE50" s="5416"/>
    </row>
    <row r="51" spans="1:31" ht="18" customHeight="1">
      <c r="A51" s="5629"/>
      <c r="B51" s="5573"/>
      <c r="C51" s="5337"/>
      <c r="D51" s="5337"/>
      <c r="E51" s="5337"/>
      <c r="F51" s="5337"/>
      <c r="G51" s="5337"/>
      <c r="H51" s="5337"/>
      <c r="I51" s="5337"/>
      <c r="J51" s="5337"/>
      <c r="K51" s="5337"/>
      <c r="L51" s="5337"/>
      <c r="M51" s="5337"/>
      <c r="N51" s="5337"/>
      <c r="O51" s="5337"/>
      <c r="P51" s="5337"/>
      <c r="Q51" s="5345"/>
      <c r="R51" s="1233"/>
      <c r="S51" s="1233"/>
      <c r="T51" s="1190">
        <v>38122006111</v>
      </c>
      <c r="U51" s="1246" t="s">
        <v>2892</v>
      </c>
      <c r="V51" s="1149">
        <v>40</v>
      </c>
      <c r="W51" s="1149" t="s">
        <v>269</v>
      </c>
      <c r="X51" s="1236">
        <v>0.54</v>
      </c>
      <c r="Y51" s="1230">
        <f t="shared" si="10"/>
        <v>21.6</v>
      </c>
      <c r="Z51" s="1133">
        <f t="shared" si="11"/>
        <v>24.192000000000004</v>
      </c>
      <c r="AA51" s="1230"/>
      <c r="AB51" s="353" t="s">
        <v>251</v>
      </c>
      <c r="AC51" s="1179"/>
      <c r="AD51" s="1179"/>
      <c r="AE51" s="5416"/>
    </row>
    <row r="52" spans="1:31" ht="18" customHeight="1">
      <c r="A52" s="5629"/>
      <c r="B52" s="5573"/>
      <c r="C52" s="5337"/>
      <c r="D52" s="5337"/>
      <c r="E52" s="5337"/>
      <c r="F52" s="5337"/>
      <c r="G52" s="5337"/>
      <c r="H52" s="5337"/>
      <c r="I52" s="5337"/>
      <c r="J52" s="5337"/>
      <c r="K52" s="5337"/>
      <c r="L52" s="5337"/>
      <c r="M52" s="5337"/>
      <c r="N52" s="5337"/>
      <c r="O52" s="5337"/>
      <c r="P52" s="5337"/>
      <c r="Q52" s="5345"/>
      <c r="R52" s="1233"/>
      <c r="S52" s="1233"/>
      <c r="T52" s="1190">
        <v>3212920150</v>
      </c>
      <c r="U52" s="1246" t="s">
        <v>2893</v>
      </c>
      <c r="V52" s="1149">
        <v>20</v>
      </c>
      <c r="W52" s="1149" t="s">
        <v>269</v>
      </c>
      <c r="X52" s="1236">
        <v>7.0000000000000007E-2</v>
      </c>
      <c r="Y52" s="1230">
        <f t="shared" si="10"/>
        <v>1.4000000000000001</v>
      </c>
      <c r="Z52" s="1133">
        <f t="shared" si="11"/>
        <v>1.5680000000000003</v>
      </c>
      <c r="AA52" s="1230"/>
      <c r="AB52" s="353" t="s">
        <v>251</v>
      </c>
      <c r="AC52" s="1179"/>
      <c r="AD52" s="1179"/>
      <c r="AE52" s="5416"/>
    </row>
    <row r="53" spans="1:31" ht="18" customHeight="1">
      <c r="A53" s="5629"/>
      <c r="B53" s="5573"/>
      <c r="C53" s="5337"/>
      <c r="D53" s="5337"/>
      <c r="E53" s="5337"/>
      <c r="F53" s="5337"/>
      <c r="G53" s="5337"/>
      <c r="H53" s="5337"/>
      <c r="I53" s="5337"/>
      <c r="J53" s="5337"/>
      <c r="K53" s="5337"/>
      <c r="L53" s="5337"/>
      <c r="M53" s="5337"/>
      <c r="N53" s="5337"/>
      <c r="O53" s="5337"/>
      <c r="P53" s="5337"/>
      <c r="Q53" s="5345"/>
      <c r="R53" s="1233"/>
      <c r="S53" s="1233"/>
      <c r="T53" s="1190">
        <v>354402011</v>
      </c>
      <c r="U53" s="1246" t="s">
        <v>2894</v>
      </c>
      <c r="V53" s="1149">
        <v>10</v>
      </c>
      <c r="W53" s="1149" t="s">
        <v>522</v>
      </c>
      <c r="X53" s="1236">
        <v>0.89</v>
      </c>
      <c r="Y53" s="1230">
        <f t="shared" si="10"/>
        <v>8.9</v>
      </c>
      <c r="Z53" s="1133">
        <f t="shared" si="11"/>
        <v>9.9680000000000017</v>
      </c>
      <c r="AA53" s="1230"/>
      <c r="AB53" s="353" t="s">
        <v>251</v>
      </c>
      <c r="AC53" s="1179"/>
      <c r="AD53" s="1179"/>
      <c r="AE53" s="5416"/>
    </row>
    <row r="54" spans="1:31" ht="18" customHeight="1">
      <c r="A54" s="5629"/>
      <c r="B54" s="5573"/>
      <c r="C54" s="5337"/>
      <c r="D54" s="5337"/>
      <c r="E54" s="5337"/>
      <c r="F54" s="5337"/>
      <c r="G54" s="5337"/>
      <c r="H54" s="5337"/>
      <c r="I54" s="5337"/>
      <c r="J54" s="5337"/>
      <c r="K54" s="5337"/>
      <c r="L54" s="5337"/>
      <c r="M54" s="5337"/>
      <c r="N54" s="5337"/>
      <c r="O54" s="5337"/>
      <c r="P54" s="5337"/>
      <c r="Q54" s="5345"/>
      <c r="R54" s="1233"/>
      <c r="S54" s="1233"/>
      <c r="T54" s="1190"/>
      <c r="U54" s="1246" t="s">
        <v>2895</v>
      </c>
      <c r="V54" s="1149">
        <v>15</v>
      </c>
      <c r="W54" s="1149" t="s">
        <v>522</v>
      </c>
      <c r="X54" s="1236">
        <v>1.1200000000000001</v>
      </c>
      <c r="Y54" s="1133">
        <f t="shared" si="10"/>
        <v>16.8</v>
      </c>
      <c r="Z54" s="1133">
        <f t="shared" si="11"/>
        <v>18.816000000000003</v>
      </c>
      <c r="AA54" s="1230"/>
      <c r="AB54" s="353" t="s">
        <v>251</v>
      </c>
      <c r="AC54" s="1179"/>
      <c r="AD54" s="1179"/>
      <c r="AE54" s="5416"/>
    </row>
    <row r="55" spans="1:31" ht="18" customHeight="1">
      <c r="A55" s="5629"/>
      <c r="B55" s="5573"/>
      <c r="C55" s="5337"/>
      <c r="D55" s="5337"/>
      <c r="E55" s="5337"/>
      <c r="F55" s="5337"/>
      <c r="G55" s="5337"/>
      <c r="H55" s="5337"/>
      <c r="I55" s="5337"/>
      <c r="J55" s="5337"/>
      <c r="K55" s="5337"/>
      <c r="L55" s="5337"/>
      <c r="M55" s="5337"/>
      <c r="N55" s="5337"/>
      <c r="O55" s="5337"/>
      <c r="P55" s="5337"/>
      <c r="Q55" s="5345"/>
      <c r="R55" s="1233"/>
      <c r="S55" s="1233"/>
      <c r="T55" s="1227"/>
      <c r="U55" s="1227"/>
      <c r="V55" s="1227"/>
      <c r="W55" s="1227"/>
      <c r="X55" s="1230"/>
      <c r="Y55" s="1230"/>
      <c r="Z55" s="1230"/>
      <c r="AA55" s="1230"/>
      <c r="AB55" s="365"/>
      <c r="AC55" s="366"/>
      <c r="AD55" s="366"/>
      <c r="AE55" s="5416"/>
    </row>
    <row r="56" spans="1:31" ht="18" customHeight="1">
      <c r="A56" s="5629"/>
      <c r="B56" s="5573"/>
      <c r="C56" s="5337"/>
      <c r="D56" s="5337"/>
      <c r="E56" s="5337"/>
      <c r="F56" s="5337"/>
      <c r="G56" s="5337"/>
      <c r="H56" s="5337"/>
      <c r="I56" s="5337"/>
      <c r="J56" s="5337"/>
      <c r="K56" s="5337"/>
      <c r="L56" s="5337"/>
      <c r="M56" s="5337"/>
      <c r="N56" s="5337"/>
      <c r="O56" s="5337"/>
      <c r="P56" s="5337"/>
      <c r="Q56" s="5345"/>
      <c r="R56" s="1237" t="s">
        <v>17</v>
      </c>
      <c r="S56" s="1238">
        <v>530812</v>
      </c>
      <c r="T56" s="1239"/>
      <c r="U56" s="1240" t="s">
        <v>45</v>
      </c>
      <c r="V56" s="1241"/>
      <c r="W56" s="1241"/>
      <c r="X56" s="1242"/>
      <c r="Y56" s="1243"/>
      <c r="Z56" s="1243"/>
      <c r="AA56" s="1244">
        <f>SUM($Z$57:$Z$79)</f>
        <v>2779.4591999999998</v>
      </c>
      <c r="AB56" s="363"/>
      <c r="AC56" s="367"/>
      <c r="AD56" s="367"/>
      <c r="AE56" s="5416"/>
    </row>
    <row r="57" spans="1:31" ht="18" customHeight="1">
      <c r="A57" s="5629"/>
      <c r="B57" s="5573"/>
      <c r="C57" s="5337"/>
      <c r="D57" s="5337"/>
      <c r="E57" s="5337"/>
      <c r="F57" s="5337"/>
      <c r="G57" s="5337"/>
      <c r="H57" s="5337"/>
      <c r="I57" s="5337"/>
      <c r="J57" s="5337"/>
      <c r="K57" s="5337"/>
      <c r="L57" s="5337"/>
      <c r="M57" s="5337"/>
      <c r="N57" s="5337"/>
      <c r="O57" s="5337"/>
      <c r="P57" s="5337"/>
      <c r="Q57" s="5345"/>
      <c r="R57" s="967"/>
      <c r="S57" s="967"/>
      <c r="T57" s="1245">
        <v>369900021</v>
      </c>
      <c r="U57" s="1246" t="s">
        <v>2896</v>
      </c>
      <c r="V57" s="1149">
        <v>4</v>
      </c>
      <c r="W57" s="1149" t="s">
        <v>269</v>
      </c>
      <c r="X57" s="1236">
        <v>27</v>
      </c>
      <c r="Y57" s="1230">
        <f t="shared" ref="Y57:Y79" si="12">+V57*X57</f>
        <v>108</v>
      </c>
      <c r="Z57" s="1133">
        <f t="shared" ref="Z57:Z79" si="13">+Y57*1.12</f>
        <v>120.96000000000001</v>
      </c>
      <c r="AA57" s="1230"/>
      <c r="AB57" s="353" t="s">
        <v>251</v>
      </c>
      <c r="AC57" s="1179"/>
      <c r="AD57" s="1179"/>
      <c r="AE57" s="5416"/>
    </row>
    <row r="58" spans="1:31" ht="18" customHeight="1">
      <c r="A58" s="5629"/>
      <c r="B58" s="5573"/>
      <c r="C58" s="5337"/>
      <c r="D58" s="5337"/>
      <c r="E58" s="5337"/>
      <c r="F58" s="5337"/>
      <c r="G58" s="5337"/>
      <c r="H58" s="5337"/>
      <c r="I58" s="5337"/>
      <c r="J58" s="5337"/>
      <c r="K58" s="5337"/>
      <c r="L58" s="5337"/>
      <c r="M58" s="5337"/>
      <c r="N58" s="5337"/>
      <c r="O58" s="5337"/>
      <c r="P58" s="5337"/>
      <c r="Q58" s="5345"/>
      <c r="R58" s="967"/>
      <c r="S58" s="967"/>
      <c r="T58" s="1247"/>
      <c r="U58" s="1246" t="s">
        <v>2897</v>
      </c>
      <c r="V58" s="1149">
        <v>10</v>
      </c>
      <c r="W58" s="1149" t="s">
        <v>269</v>
      </c>
      <c r="X58" s="1236">
        <v>2.7</v>
      </c>
      <c r="Y58" s="1230">
        <f t="shared" si="12"/>
        <v>27</v>
      </c>
      <c r="Z58" s="1133">
        <f t="shared" si="13"/>
        <v>30.240000000000002</v>
      </c>
      <c r="AA58" s="1230"/>
      <c r="AB58" s="353" t="s">
        <v>251</v>
      </c>
      <c r="AC58" s="1179"/>
      <c r="AD58" s="1179"/>
      <c r="AE58" s="5416"/>
    </row>
    <row r="59" spans="1:31" ht="18" customHeight="1">
      <c r="A59" s="5629"/>
      <c r="B59" s="5573"/>
      <c r="C59" s="5337"/>
      <c r="D59" s="5337"/>
      <c r="E59" s="5337"/>
      <c r="F59" s="5337"/>
      <c r="G59" s="5337"/>
      <c r="H59" s="5337"/>
      <c r="I59" s="5337"/>
      <c r="J59" s="5337"/>
      <c r="K59" s="5337"/>
      <c r="L59" s="5337"/>
      <c r="M59" s="5337"/>
      <c r="N59" s="5337"/>
      <c r="O59" s="5337"/>
      <c r="P59" s="5337"/>
      <c r="Q59" s="5345"/>
      <c r="R59" s="967"/>
      <c r="S59" s="967"/>
      <c r="T59" s="1247">
        <v>385200111</v>
      </c>
      <c r="U59" s="1246" t="s">
        <v>2898</v>
      </c>
      <c r="V59" s="1149">
        <v>15</v>
      </c>
      <c r="W59" s="1149" t="s">
        <v>269</v>
      </c>
      <c r="X59" s="1236">
        <v>5.37</v>
      </c>
      <c r="Y59" s="1230">
        <f t="shared" si="12"/>
        <v>80.55</v>
      </c>
      <c r="Z59" s="1133">
        <f t="shared" si="13"/>
        <v>90.216000000000008</v>
      </c>
      <c r="AA59" s="1230"/>
      <c r="AB59" s="353" t="s">
        <v>251</v>
      </c>
      <c r="AC59" s="1179"/>
      <c r="AD59" s="1179"/>
      <c r="AE59" s="5416"/>
    </row>
    <row r="60" spans="1:31" ht="18" customHeight="1">
      <c r="A60" s="5629"/>
      <c r="B60" s="5573"/>
      <c r="C60" s="5337"/>
      <c r="D60" s="5337"/>
      <c r="E60" s="5337"/>
      <c r="F60" s="5337"/>
      <c r="G60" s="5337"/>
      <c r="H60" s="5337"/>
      <c r="I60" s="5337"/>
      <c r="J60" s="5337"/>
      <c r="K60" s="5337"/>
      <c r="L60" s="5337"/>
      <c r="M60" s="5337"/>
      <c r="N60" s="5337"/>
      <c r="O60" s="5337"/>
      <c r="P60" s="5337"/>
      <c r="Q60" s="5345"/>
      <c r="R60" s="967"/>
      <c r="S60" s="967"/>
      <c r="T60" s="1247"/>
      <c r="U60" s="1246" t="s">
        <v>2899</v>
      </c>
      <c r="V60" s="1149">
        <v>15</v>
      </c>
      <c r="W60" s="1149" t="s">
        <v>269</v>
      </c>
      <c r="X60" s="1236">
        <v>5.5</v>
      </c>
      <c r="Y60" s="1230">
        <f t="shared" si="12"/>
        <v>82.5</v>
      </c>
      <c r="Z60" s="1133">
        <f t="shared" si="13"/>
        <v>92.4</v>
      </c>
      <c r="AA60" s="1230"/>
      <c r="AB60" s="353" t="s">
        <v>251</v>
      </c>
      <c r="AC60" s="1179"/>
      <c r="AD60" s="1179"/>
      <c r="AE60" s="5416"/>
    </row>
    <row r="61" spans="1:31" ht="18" customHeight="1">
      <c r="A61" s="5629"/>
      <c r="B61" s="5573"/>
      <c r="C61" s="5337"/>
      <c r="D61" s="5337"/>
      <c r="E61" s="5337"/>
      <c r="F61" s="5337"/>
      <c r="G61" s="5337"/>
      <c r="H61" s="5337"/>
      <c r="I61" s="5337"/>
      <c r="J61" s="5337"/>
      <c r="K61" s="5337"/>
      <c r="L61" s="5337"/>
      <c r="M61" s="5337"/>
      <c r="N61" s="5337"/>
      <c r="O61" s="5337"/>
      <c r="P61" s="5337"/>
      <c r="Q61" s="5345"/>
      <c r="R61" s="967"/>
      <c r="S61" s="967"/>
      <c r="T61" s="1247" t="s">
        <v>2900</v>
      </c>
      <c r="U61" s="1246" t="s">
        <v>2901</v>
      </c>
      <c r="V61" s="1149">
        <v>2</v>
      </c>
      <c r="W61" s="1149" t="s">
        <v>269</v>
      </c>
      <c r="X61" s="1236">
        <v>17.5</v>
      </c>
      <c r="Y61" s="1230">
        <f t="shared" si="12"/>
        <v>35</v>
      </c>
      <c r="Z61" s="1133">
        <f t="shared" si="13"/>
        <v>39.200000000000003</v>
      </c>
      <c r="AA61" s="1230"/>
      <c r="AB61" s="353" t="s">
        <v>251</v>
      </c>
      <c r="AC61" s="1179"/>
      <c r="AD61" s="1179"/>
      <c r="AE61" s="5416"/>
    </row>
    <row r="62" spans="1:31" ht="18" customHeight="1">
      <c r="A62" s="5629"/>
      <c r="B62" s="5573"/>
      <c r="C62" s="5337"/>
      <c r="D62" s="5337"/>
      <c r="E62" s="5337"/>
      <c r="F62" s="5337"/>
      <c r="G62" s="5337"/>
      <c r="H62" s="5337"/>
      <c r="I62" s="5337"/>
      <c r="J62" s="5337"/>
      <c r="K62" s="5337"/>
      <c r="L62" s="5337"/>
      <c r="M62" s="5337"/>
      <c r="N62" s="5337"/>
      <c r="O62" s="5337"/>
      <c r="P62" s="5337"/>
      <c r="Q62" s="5345"/>
      <c r="R62" s="967"/>
      <c r="S62" s="967"/>
      <c r="T62" s="1247">
        <v>385500011</v>
      </c>
      <c r="U62" s="1246" t="s">
        <v>2902</v>
      </c>
      <c r="V62" s="1149">
        <v>2</v>
      </c>
      <c r="W62" s="1149" t="s">
        <v>269</v>
      </c>
      <c r="X62" s="1236">
        <v>8.5</v>
      </c>
      <c r="Y62" s="1230">
        <f t="shared" si="12"/>
        <v>17</v>
      </c>
      <c r="Z62" s="1133">
        <f t="shared" si="13"/>
        <v>19.040000000000003</v>
      </c>
      <c r="AA62" s="1230"/>
      <c r="AB62" s="353" t="s">
        <v>251</v>
      </c>
      <c r="AC62" s="1179"/>
      <c r="AD62" s="1179"/>
      <c r="AE62" s="5416"/>
    </row>
    <row r="63" spans="1:31" ht="18" customHeight="1">
      <c r="A63" s="5629"/>
      <c r="B63" s="5573"/>
      <c r="C63" s="5337"/>
      <c r="D63" s="5337"/>
      <c r="E63" s="5337"/>
      <c r="F63" s="5337"/>
      <c r="G63" s="5337"/>
      <c r="H63" s="5337"/>
      <c r="I63" s="5337"/>
      <c r="J63" s="5337"/>
      <c r="K63" s="5337"/>
      <c r="L63" s="5337"/>
      <c r="M63" s="5337"/>
      <c r="N63" s="5337"/>
      <c r="O63" s="5337"/>
      <c r="P63" s="5337"/>
      <c r="Q63" s="5345"/>
      <c r="R63" s="967"/>
      <c r="S63" s="967"/>
      <c r="T63" s="1247">
        <v>385500011</v>
      </c>
      <c r="U63" s="1246" t="s">
        <v>2903</v>
      </c>
      <c r="V63" s="1149">
        <v>2</v>
      </c>
      <c r="W63" s="1149" t="s">
        <v>269</v>
      </c>
      <c r="X63" s="1236">
        <v>25</v>
      </c>
      <c r="Y63" s="1230">
        <f t="shared" si="12"/>
        <v>50</v>
      </c>
      <c r="Z63" s="1133">
        <f t="shared" si="13"/>
        <v>56.000000000000007</v>
      </c>
      <c r="AA63" s="1230"/>
      <c r="AB63" s="353" t="s">
        <v>251</v>
      </c>
      <c r="AC63" s="1179"/>
      <c r="AD63" s="1179"/>
      <c r="AE63" s="5416"/>
    </row>
    <row r="64" spans="1:31" ht="18" customHeight="1">
      <c r="A64" s="5629"/>
      <c r="B64" s="5573"/>
      <c r="C64" s="5337"/>
      <c r="D64" s="5337"/>
      <c r="E64" s="5337"/>
      <c r="F64" s="5337"/>
      <c r="G64" s="5337"/>
      <c r="H64" s="5337"/>
      <c r="I64" s="5337"/>
      <c r="J64" s="5337"/>
      <c r="K64" s="5337"/>
      <c r="L64" s="5337"/>
      <c r="M64" s="5337"/>
      <c r="N64" s="5337"/>
      <c r="O64" s="5337"/>
      <c r="P64" s="5337"/>
      <c r="Q64" s="5345"/>
      <c r="R64" s="967"/>
      <c r="S64" s="967"/>
      <c r="T64" s="1247">
        <v>369900032</v>
      </c>
      <c r="U64" s="1246" t="s">
        <v>2904</v>
      </c>
      <c r="V64" s="1149">
        <v>2</v>
      </c>
      <c r="W64" s="1149" t="s">
        <v>269</v>
      </c>
      <c r="X64" s="1236">
        <v>22.32</v>
      </c>
      <c r="Y64" s="1230">
        <f t="shared" si="12"/>
        <v>44.64</v>
      </c>
      <c r="Z64" s="1133">
        <f t="shared" si="13"/>
        <v>49.996800000000007</v>
      </c>
      <c r="AA64" s="1230"/>
      <c r="AB64" s="353" t="s">
        <v>251</v>
      </c>
      <c r="AC64" s="1179"/>
      <c r="AD64" s="1179"/>
      <c r="AE64" s="5416"/>
    </row>
    <row r="65" spans="1:31" ht="18" customHeight="1">
      <c r="A65" s="5629"/>
      <c r="B65" s="5573"/>
      <c r="C65" s="5337"/>
      <c r="D65" s="5337"/>
      <c r="E65" s="5337"/>
      <c r="F65" s="5337"/>
      <c r="G65" s="5337"/>
      <c r="H65" s="5337"/>
      <c r="I65" s="5337"/>
      <c r="J65" s="5337"/>
      <c r="K65" s="5337"/>
      <c r="L65" s="5337"/>
      <c r="M65" s="5337"/>
      <c r="N65" s="5337"/>
      <c r="O65" s="5337"/>
      <c r="P65" s="5337"/>
      <c r="Q65" s="5345"/>
      <c r="R65" s="967"/>
      <c r="S65" s="967"/>
      <c r="T65" s="1247"/>
      <c r="U65" s="1246" t="s">
        <v>2905</v>
      </c>
      <c r="V65" s="1149">
        <v>5</v>
      </c>
      <c r="W65" s="1149" t="s">
        <v>269</v>
      </c>
      <c r="X65" s="1236">
        <v>12.5</v>
      </c>
      <c r="Y65" s="1230">
        <f t="shared" si="12"/>
        <v>62.5</v>
      </c>
      <c r="Z65" s="1133">
        <f t="shared" si="13"/>
        <v>70</v>
      </c>
      <c r="AA65" s="1230"/>
      <c r="AB65" s="353" t="s">
        <v>251</v>
      </c>
      <c r="AC65" s="1179"/>
      <c r="AD65" s="1179"/>
      <c r="AE65" s="5416"/>
    </row>
    <row r="66" spans="1:31" ht="18" customHeight="1">
      <c r="A66" s="5629"/>
      <c r="B66" s="5573"/>
      <c r="C66" s="5337"/>
      <c r="D66" s="5337"/>
      <c r="E66" s="5337"/>
      <c r="F66" s="5337"/>
      <c r="G66" s="5337"/>
      <c r="H66" s="5337"/>
      <c r="I66" s="5337"/>
      <c r="J66" s="5337"/>
      <c r="K66" s="5337"/>
      <c r="L66" s="5337"/>
      <c r="M66" s="5337"/>
      <c r="N66" s="5337"/>
      <c r="O66" s="5337"/>
      <c r="P66" s="5337"/>
      <c r="Q66" s="5345"/>
      <c r="R66" s="967"/>
      <c r="S66" s="967"/>
      <c r="T66" s="1247">
        <v>369400022</v>
      </c>
      <c r="U66" s="1246" t="s">
        <v>2906</v>
      </c>
      <c r="V66" s="1149">
        <v>45</v>
      </c>
      <c r="W66" s="1149" t="s">
        <v>269</v>
      </c>
      <c r="X66" s="1236">
        <v>0.98</v>
      </c>
      <c r="Y66" s="1230">
        <f t="shared" si="12"/>
        <v>44.1</v>
      </c>
      <c r="Z66" s="1133">
        <f t="shared" si="13"/>
        <v>49.392000000000003</v>
      </c>
      <c r="AA66" s="1230"/>
      <c r="AB66" s="353" t="s">
        <v>251</v>
      </c>
      <c r="AC66" s="1179"/>
      <c r="AD66" s="1179"/>
      <c r="AE66" s="5416"/>
    </row>
    <row r="67" spans="1:31" ht="18" customHeight="1">
      <c r="A67" s="5629"/>
      <c r="B67" s="5573"/>
      <c r="C67" s="5337"/>
      <c r="D67" s="5337"/>
      <c r="E67" s="5337"/>
      <c r="F67" s="5337"/>
      <c r="G67" s="5337"/>
      <c r="H67" s="5337"/>
      <c r="I67" s="5337"/>
      <c r="J67" s="5337"/>
      <c r="K67" s="5337"/>
      <c r="L67" s="5337"/>
      <c r="M67" s="5337"/>
      <c r="N67" s="5337"/>
      <c r="O67" s="5337"/>
      <c r="P67" s="5337"/>
      <c r="Q67" s="5345"/>
      <c r="R67" s="967"/>
      <c r="S67" s="967"/>
      <c r="T67" s="1247">
        <v>369900022</v>
      </c>
      <c r="U67" s="1246" t="s">
        <v>2907</v>
      </c>
      <c r="V67" s="1149">
        <v>2</v>
      </c>
      <c r="W67" s="1149" t="s">
        <v>269</v>
      </c>
      <c r="X67" s="1236">
        <v>32.14</v>
      </c>
      <c r="Y67" s="1230">
        <f t="shared" si="12"/>
        <v>64.28</v>
      </c>
      <c r="Z67" s="1133">
        <f t="shared" si="13"/>
        <v>71.993600000000015</v>
      </c>
      <c r="AA67" s="1230"/>
      <c r="AB67" s="353" t="s">
        <v>251</v>
      </c>
      <c r="AC67" s="1179"/>
      <c r="AD67" s="1179"/>
      <c r="AE67" s="5416"/>
    </row>
    <row r="68" spans="1:31" ht="18" customHeight="1">
      <c r="A68" s="5629"/>
      <c r="B68" s="5573"/>
      <c r="C68" s="5337"/>
      <c r="D68" s="5337"/>
      <c r="E68" s="5337"/>
      <c r="F68" s="5337"/>
      <c r="G68" s="5337"/>
      <c r="H68" s="5337"/>
      <c r="I68" s="5337"/>
      <c r="J68" s="5337"/>
      <c r="K68" s="5337"/>
      <c r="L68" s="5337"/>
      <c r="M68" s="5337"/>
      <c r="N68" s="5337"/>
      <c r="O68" s="5337"/>
      <c r="P68" s="5337"/>
      <c r="Q68" s="5345"/>
      <c r="R68" s="967"/>
      <c r="S68" s="967"/>
      <c r="T68" s="1247"/>
      <c r="U68" s="1246" t="s">
        <v>2908</v>
      </c>
      <c r="V68" s="1149">
        <v>3</v>
      </c>
      <c r="W68" s="1149" t="s">
        <v>269</v>
      </c>
      <c r="X68" s="1236">
        <v>16.07</v>
      </c>
      <c r="Y68" s="1230">
        <f t="shared" si="12"/>
        <v>48.21</v>
      </c>
      <c r="Z68" s="1133">
        <f t="shared" si="13"/>
        <v>53.995200000000004</v>
      </c>
      <c r="AA68" s="1230"/>
      <c r="AB68" s="353" t="s">
        <v>251</v>
      </c>
      <c r="AC68" s="1179"/>
      <c r="AD68" s="1179"/>
      <c r="AE68" s="5416"/>
    </row>
    <row r="69" spans="1:31" ht="18" customHeight="1">
      <c r="A69" s="5629"/>
      <c r="B69" s="5573"/>
      <c r="C69" s="5337"/>
      <c r="D69" s="5337"/>
      <c r="E69" s="5337"/>
      <c r="F69" s="5337"/>
      <c r="G69" s="5337"/>
      <c r="H69" s="5337"/>
      <c r="I69" s="5337"/>
      <c r="J69" s="5337"/>
      <c r="K69" s="5337"/>
      <c r="L69" s="5337"/>
      <c r="M69" s="5337"/>
      <c r="N69" s="5337"/>
      <c r="O69" s="5337"/>
      <c r="P69" s="5337"/>
      <c r="Q69" s="5345"/>
      <c r="R69" s="967"/>
      <c r="S69" s="967"/>
      <c r="T69" s="1247"/>
      <c r="U69" s="1246" t="s">
        <v>2909</v>
      </c>
      <c r="V69" s="1149">
        <v>7</v>
      </c>
      <c r="W69" s="1149" t="s">
        <v>269</v>
      </c>
      <c r="X69" s="1236">
        <v>25</v>
      </c>
      <c r="Y69" s="1230">
        <f t="shared" si="12"/>
        <v>175</v>
      </c>
      <c r="Z69" s="1133">
        <f t="shared" si="13"/>
        <v>196.00000000000003</v>
      </c>
      <c r="AA69" s="1230"/>
      <c r="AB69" s="353" t="s">
        <v>251</v>
      </c>
      <c r="AC69" s="1179"/>
      <c r="AD69" s="1179"/>
      <c r="AE69" s="5416"/>
    </row>
    <row r="70" spans="1:31" ht="18" customHeight="1">
      <c r="A70" s="5629"/>
      <c r="B70" s="5573"/>
      <c r="C70" s="5337"/>
      <c r="D70" s="5337"/>
      <c r="E70" s="5337"/>
      <c r="F70" s="5337"/>
      <c r="G70" s="5337"/>
      <c r="H70" s="5337"/>
      <c r="I70" s="5337"/>
      <c r="J70" s="5337"/>
      <c r="K70" s="5337"/>
      <c r="L70" s="5337"/>
      <c r="M70" s="5337"/>
      <c r="N70" s="5337"/>
      <c r="O70" s="5337"/>
      <c r="P70" s="5337"/>
      <c r="Q70" s="5345"/>
      <c r="R70" s="967"/>
      <c r="S70" s="967"/>
      <c r="T70" s="1247"/>
      <c r="U70" s="1246" t="s">
        <v>2910</v>
      </c>
      <c r="V70" s="1149">
        <v>4</v>
      </c>
      <c r="W70" s="1149" t="s">
        <v>269</v>
      </c>
      <c r="X70" s="1236">
        <v>8.93</v>
      </c>
      <c r="Y70" s="1230">
        <f t="shared" si="12"/>
        <v>35.72</v>
      </c>
      <c r="Z70" s="1133">
        <f t="shared" si="13"/>
        <v>40.006399999999999</v>
      </c>
      <c r="AA70" s="1230"/>
      <c r="AB70" s="353" t="s">
        <v>251</v>
      </c>
      <c r="AC70" s="1179"/>
      <c r="AD70" s="1179"/>
      <c r="AE70" s="5416"/>
    </row>
    <row r="71" spans="1:31" ht="18" customHeight="1">
      <c r="A71" s="5629"/>
      <c r="B71" s="5573"/>
      <c r="C71" s="5337"/>
      <c r="D71" s="5337"/>
      <c r="E71" s="5337"/>
      <c r="F71" s="5337"/>
      <c r="G71" s="5337"/>
      <c r="H71" s="5337"/>
      <c r="I71" s="5337"/>
      <c r="J71" s="5337"/>
      <c r="K71" s="5337"/>
      <c r="L71" s="5337"/>
      <c r="M71" s="5337"/>
      <c r="N71" s="5337"/>
      <c r="O71" s="5337"/>
      <c r="P71" s="5337"/>
      <c r="Q71" s="5345"/>
      <c r="R71" s="967"/>
      <c r="S71" s="967"/>
      <c r="T71" s="1247"/>
      <c r="U71" s="1246" t="s">
        <v>2911</v>
      </c>
      <c r="V71" s="1149">
        <v>1</v>
      </c>
      <c r="W71" s="1149" t="s">
        <v>269</v>
      </c>
      <c r="X71" s="1236">
        <v>13.4</v>
      </c>
      <c r="Y71" s="1230">
        <f t="shared" si="12"/>
        <v>13.4</v>
      </c>
      <c r="Z71" s="1133">
        <f t="shared" si="13"/>
        <v>15.008000000000003</v>
      </c>
      <c r="AA71" s="1230"/>
      <c r="AB71" s="353" t="s">
        <v>251</v>
      </c>
      <c r="AC71" s="1179"/>
      <c r="AD71" s="1179"/>
      <c r="AE71" s="5416"/>
    </row>
    <row r="72" spans="1:31" ht="18" customHeight="1">
      <c r="A72" s="5629"/>
      <c r="B72" s="5573"/>
      <c r="C72" s="5337"/>
      <c r="D72" s="5337"/>
      <c r="E72" s="5337"/>
      <c r="F72" s="5337"/>
      <c r="G72" s="5337"/>
      <c r="H72" s="5337"/>
      <c r="I72" s="5337"/>
      <c r="J72" s="5337"/>
      <c r="K72" s="5337"/>
      <c r="L72" s="5337"/>
      <c r="M72" s="5337"/>
      <c r="N72" s="5337"/>
      <c r="O72" s="5337"/>
      <c r="P72" s="5337"/>
      <c r="Q72" s="5345"/>
      <c r="R72" s="967"/>
      <c r="S72" s="967"/>
      <c r="T72" s="1247">
        <v>812100021</v>
      </c>
      <c r="U72" s="1246" t="s">
        <v>2912</v>
      </c>
      <c r="V72" s="1149">
        <v>1</v>
      </c>
      <c r="W72" s="1149" t="s">
        <v>269</v>
      </c>
      <c r="X72" s="1236">
        <v>178.57</v>
      </c>
      <c r="Y72" s="1230">
        <f t="shared" si="12"/>
        <v>178.57</v>
      </c>
      <c r="Z72" s="1133">
        <f t="shared" si="13"/>
        <v>199.9984</v>
      </c>
      <c r="AA72" s="1230"/>
      <c r="AB72" s="353" t="s">
        <v>251</v>
      </c>
      <c r="AC72" s="1179"/>
      <c r="AD72" s="1179"/>
      <c r="AE72" s="5416"/>
    </row>
    <row r="73" spans="1:31" ht="18" customHeight="1">
      <c r="A73" s="5629"/>
      <c r="B73" s="5573"/>
      <c r="C73" s="5337"/>
      <c r="D73" s="5337"/>
      <c r="E73" s="5337"/>
      <c r="F73" s="5337"/>
      <c r="G73" s="5337"/>
      <c r="H73" s="5337"/>
      <c r="I73" s="5337"/>
      <c r="J73" s="5337"/>
      <c r="K73" s="5337"/>
      <c r="L73" s="5337"/>
      <c r="M73" s="5337"/>
      <c r="N73" s="5337"/>
      <c r="O73" s="5337"/>
      <c r="P73" s="5337"/>
      <c r="Q73" s="5345"/>
      <c r="R73" s="967"/>
      <c r="S73" s="967"/>
      <c r="T73" s="1247">
        <v>812100021</v>
      </c>
      <c r="U73" s="1246" t="s">
        <v>2913</v>
      </c>
      <c r="V73" s="1149">
        <v>1</v>
      </c>
      <c r="W73" s="1149" t="s">
        <v>269</v>
      </c>
      <c r="X73" s="1236">
        <v>178.57</v>
      </c>
      <c r="Y73" s="1230">
        <f t="shared" si="12"/>
        <v>178.57</v>
      </c>
      <c r="Z73" s="1133">
        <f t="shared" si="13"/>
        <v>199.9984</v>
      </c>
      <c r="AA73" s="1230"/>
      <c r="AB73" s="353" t="s">
        <v>251</v>
      </c>
      <c r="AC73" s="1179"/>
      <c r="AD73" s="1179"/>
      <c r="AE73" s="5416"/>
    </row>
    <row r="74" spans="1:31" ht="18" customHeight="1">
      <c r="A74" s="5629"/>
      <c r="B74" s="5573"/>
      <c r="C74" s="5337"/>
      <c r="D74" s="5337"/>
      <c r="E74" s="5337"/>
      <c r="F74" s="5337"/>
      <c r="G74" s="5337"/>
      <c r="H74" s="5337"/>
      <c r="I74" s="5337"/>
      <c r="J74" s="5337"/>
      <c r="K74" s="5337"/>
      <c r="L74" s="5337"/>
      <c r="M74" s="5337"/>
      <c r="N74" s="5337"/>
      <c r="O74" s="5337"/>
      <c r="P74" s="5337"/>
      <c r="Q74" s="5345"/>
      <c r="R74" s="967"/>
      <c r="S74" s="967"/>
      <c r="T74" s="1247">
        <v>812100021</v>
      </c>
      <c r="U74" s="1246" t="s">
        <v>2914</v>
      </c>
      <c r="V74" s="1149">
        <v>1</v>
      </c>
      <c r="W74" s="1149" t="s">
        <v>269</v>
      </c>
      <c r="X74" s="1236">
        <v>267.86</v>
      </c>
      <c r="Y74" s="1230">
        <f t="shared" si="12"/>
        <v>267.86</v>
      </c>
      <c r="Z74" s="1133">
        <f t="shared" si="13"/>
        <v>300.00320000000005</v>
      </c>
      <c r="AA74" s="1230"/>
      <c r="AB74" s="353" t="s">
        <v>251</v>
      </c>
      <c r="AC74" s="1179"/>
      <c r="AD74" s="1179"/>
      <c r="AE74" s="5416"/>
    </row>
    <row r="75" spans="1:31" ht="18" customHeight="1">
      <c r="A75" s="5629"/>
      <c r="B75" s="5573"/>
      <c r="C75" s="5337"/>
      <c r="D75" s="5337"/>
      <c r="E75" s="5337"/>
      <c r="F75" s="5337"/>
      <c r="G75" s="5337"/>
      <c r="H75" s="5337"/>
      <c r="I75" s="5337"/>
      <c r="J75" s="5337"/>
      <c r="K75" s="5337"/>
      <c r="L75" s="5337"/>
      <c r="M75" s="5337"/>
      <c r="N75" s="5337"/>
      <c r="O75" s="5337"/>
      <c r="P75" s="5337"/>
      <c r="Q75" s="5345"/>
      <c r="R75" s="967"/>
      <c r="S75" s="967"/>
      <c r="T75" s="1247">
        <v>812100021</v>
      </c>
      <c r="U75" s="1246" t="s">
        <v>2915</v>
      </c>
      <c r="V75" s="1149">
        <v>1</v>
      </c>
      <c r="W75" s="1149" t="s">
        <v>269</v>
      </c>
      <c r="X75" s="1236">
        <v>151.79</v>
      </c>
      <c r="Y75" s="1230">
        <f t="shared" si="12"/>
        <v>151.79</v>
      </c>
      <c r="Z75" s="1133">
        <f t="shared" si="13"/>
        <v>170.00480000000002</v>
      </c>
      <c r="AA75" s="1230"/>
      <c r="AB75" s="353" t="s">
        <v>251</v>
      </c>
      <c r="AC75" s="1179"/>
      <c r="AD75" s="1179"/>
      <c r="AE75" s="5416"/>
    </row>
    <row r="76" spans="1:31" ht="18" customHeight="1">
      <c r="A76" s="5629"/>
      <c r="B76" s="5573"/>
      <c r="C76" s="5337"/>
      <c r="D76" s="5337"/>
      <c r="E76" s="5337"/>
      <c r="F76" s="5337"/>
      <c r="G76" s="5337"/>
      <c r="H76" s="5337"/>
      <c r="I76" s="5337"/>
      <c r="J76" s="5337"/>
      <c r="K76" s="5337"/>
      <c r="L76" s="5337"/>
      <c r="M76" s="5337"/>
      <c r="N76" s="5337"/>
      <c r="O76" s="5337"/>
      <c r="P76" s="5337"/>
      <c r="Q76" s="5345"/>
      <c r="R76" s="967"/>
      <c r="S76" s="967"/>
      <c r="T76" s="1247">
        <v>812100021</v>
      </c>
      <c r="U76" s="1246" t="s">
        <v>2916</v>
      </c>
      <c r="V76" s="1149">
        <v>1</v>
      </c>
      <c r="W76" s="1149" t="s">
        <v>269</v>
      </c>
      <c r="X76" s="1236">
        <v>446.43</v>
      </c>
      <c r="Y76" s="1230">
        <f t="shared" si="12"/>
        <v>446.43</v>
      </c>
      <c r="Z76" s="1133">
        <f t="shared" si="13"/>
        <v>500.00160000000005</v>
      </c>
      <c r="AA76" s="1230"/>
      <c r="AB76" s="353" t="s">
        <v>251</v>
      </c>
      <c r="AC76" s="1179"/>
      <c r="AD76" s="1179"/>
      <c r="AE76" s="5416"/>
    </row>
    <row r="77" spans="1:31" ht="18" customHeight="1">
      <c r="A77" s="5629"/>
      <c r="B77" s="5573"/>
      <c r="C77" s="5337"/>
      <c r="D77" s="5337"/>
      <c r="E77" s="5337"/>
      <c r="F77" s="5337"/>
      <c r="G77" s="5337"/>
      <c r="H77" s="5337"/>
      <c r="I77" s="5337"/>
      <c r="J77" s="5337"/>
      <c r="K77" s="5337"/>
      <c r="L77" s="5337"/>
      <c r="M77" s="5337"/>
      <c r="N77" s="5337"/>
      <c r="O77" s="5337"/>
      <c r="P77" s="5337"/>
      <c r="Q77" s="5345"/>
      <c r="R77" s="967"/>
      <c r="S77" s="967"/>
      <c r="T77" s="1247">
        <v>812100021</v>
      </c>
      <c r="U77" s="1246" t="s">
        <v>2917</v>
      </c>
      <c r="V77" s="1149">
        <v>1</v>
      </c>
      <c r="W77" s="1149" t="s">
        <v>269</v>
      </c>
      <c r="X77" s="1236">
        <v>178.57</v>
      </c>
      <c r="Y77" s="1230">
        <f t="shared" si="12"/>
        <v>178.57</v>
      </c>
      <c r="Z77" s="1133">
        <f t="shared" si="13"/>
        <v>199.9984</v>
      </c>
      <c r="AA77" s="1230"/>
      <c r="AB77" s="353" t="s">
        <v>251</v>
      </c>
      <c r="AC77" s="1179"/>
      <c r="AD77" s="1179"/>
      <c r="AE77" s="5416"/>
    </row>
    <row r="78" spans="1:31" ht="18" customHeight="1">
      <c r="A78" s="5629"/>
      <c r="B78" s="5573"/>
      <c r="C78" s="5337"/>
      <c r="D78" s="5337"/>
      <c r="E78" s="5337"/>
      <c r="F78" s="5337"/>
      <c r="G78" s="5337"/>
      <c r="H78" s="5337"/>
      <c r="I78" s="5337"/>
      <c r="J78" s="5337"/>
      <c r="K78" s="5337"/>
      <c r="L78" s="5337"/>
      <c r="M78" s="5337"/>
      <c r="N78" s="5337"/>
      <c r="O78" s="5337"/>
      <c r="P78" s="5337"/>
      <c r="Q78" s="5345"/>
      <c r="R78" s="967"/>
      <c r="S78" s="967"/>
      <c r="T78" s="1247">
        <v>812100021</v>
      </c>
      <c r="U78" s="1246" t="s">
        <v>2918</v>
      </c>
      <c r="V78" s="1149">
        <v>1</v>
      </c>
      <c r="W78" s="1149" t="s">
        <v>269</v>
      </c>
      <c r="X78" s="1236">
        <v>178.57</v>
      </c>
      <c r="Y78" s="1230">
        <f t="shared" si="12"/>
        <v>178.57</v>
      </c>
      <c r="Z78" s="1133">
        <f t="shared" si="13"/>
        <v>199.9984</v>
      </c>
      <c r="AA78" s="1230"/>
      <c r="AB78" s="353" t="s">
        <v>251</v>
      </c>
      <c r="AC78" s="1179"/>
      <c r="AD78" s="1179"/>
      <c r="AE78" s="5416"/>
    </row>
    <row r="79" spans="1:31" ht="18" customHeight="1">
      <c r="A79" s="5629"/>
      <c r="B79" s="5573"/>
      <c r="C79" s="5337"/>
      <c r="D79" s="5337"/>
      <c r="E79" s="5337"/>
      <c r="F79" s="5337"/>
      <c r="G79" s="5337"/>
      <c r="H79" s="5337"/>
      <c r="I79" s="5337"/>
      <c r="J79" s="5337"/>
      <c r="K79" s="5337"/>
      <c r="L79" s="5337"/>
      <c r="M79" s="5337"/>
      <c r="N79" s="5337"/>
      <c r="O79" s="5337"/>
      <c r="P79" s="5337"/>
      <c r="Q79" s="5345"/>
      <c r="R79" s="967"/>
      <c r="S79" s="967"/>
      <c r="T79" s="1247">
        <v>812100021</v>
      </c>
      <c r="U79" s="1246" t="s">
        <v>2916</v>
      </c>
      <c r="V79" s="1149">
        <v>1</v>
      </c>
      <c r="W79" s="1149" t="s">
        <v>269</v>
      </c>
      <c r="X79" s="1236">
        <v>13.4</v>
      </c>
      <c r="Y79" s="1230">
        <f t="shared" si="12"/>
        <v>13.4</v>
      </c>
      <c r="Z79" s="1133">
        <f t="shared" si="13"/>
        <v>15.008000000000003</v>
      </c>
      <c r="AA79" s="1230"/>
      <c r="AB79" s="353" t="s">
        <v>251</v>
      </c>
      <c r="AC79" s="1179"/>
      <c r="AD79" s="1179"/>
      <c r="AE79" s="5416"/>
    </row>
    <row r="80" spans="1:31" ht="18" customHeight="1">
      <c r="A80" s="5629"/>
      <c r="B80" s="5573"/>
      <c r="C80" s="5337"/>
      <c r="D80" s="5337"/>
      <c r="E80" s="5337"/>
      <c r="F80" s="5337"/>
      <c r="G80" s="5337"/>
      <c r="H80" s="5337"/>
      <c r="I80" s="5337"/>
      <c r="J80" s="5337"/>
      <c r="K80" s="5337"/>
      <c r="L80" s="5337"/>
      <c r="M80" s="5337"/>
      <c r="N80" s="5337"/>
      <c r="O80" s="5337"/>
      <c r="P80" s="5337"/>
      <c r="Q80" s="5345"/>
      <c r="R80" s="1248"/>
      <c r="S80" s="1248"/>
      <c r="T80" s="1249"/>
      <c r="U80" s="1249"/>
      <c r="V80" s="1250"/>
      <c r="W80" s="1250"/>
      <c r="X80" s="1251"/>
      <c r="Y80" s="1230"/>
      <c r="Z80" s="1230"/>
      <c r="AA80" s="1230"/>
      <c r="AB80" s="353" t="s">
        <v>251</v>
      </c>
      <c r="AC80" s="1179"/>
      <c r="AD80" s="1179"/>
      <c r="AE80" s="5416"/>
    </row>
    <row r="81" spans="1:31" ht="18" customHeight="1">
      <c r="A81" s="5629"/>
      <c r="B81" s="5573"/>
      <c r="C81" s="5337"/>
      <c r="D81" s="5337"/>
      <c r="E81" s="5337"/>
      <c r="F81" s="5337"/>
      <c r="G81" s="5337"/>
      <c r="H81" s="5337"/>
      <c r="I81" s="5337"/>
      <c r="J81" s="5337"/>
      <c r="K81" s="5337"/>
      <c r="L81" s="5337"/>
      <c r="M81" s="5337"/>
      <c r="N81" s="5337"/>
      <c r="O81" s="5337"/>
      <c r="P81" s="5337"/>
      <c r="Q81" s="5345"/>
      <c r="R81" s="1225" t="s">
        <v>29</v>
      </c>
      <c r="S81" s="1238">
        <v>840103</v>
      </c>
      <c r="T81" s="1252"/>
      <c r="U81" s="1253" t="s">
        <v>22</v>
      </c>
      <c r="V81" s="1254"/>
      <c r="W81" s="1254"/>
      <c r="X81" s="1242"/>
      <c r="Y81" s="1243"/>
      <c r="Z81" s="1243"/>
      <c r="AA81" s="1244">
        <f>SUM($Z$82:$Z$85)</f>
        <v>1436.5567999999998</v>
      </c>
      <c r="AB81" s="363"/>
      <c r="AC81" s="367"/>
      <c r="AD81" s="367"/>
      <c r="AE81" s="5416"/>
    </row>
    <row r="82" spans="1:31" ht="18" customHeight="1">
      <c r="A82" s="5629"/>
      <c r="B82" s="5573"/>
      <c r="C82" s="5337"/>
      <c r="D82" s="5337"/>
      <c r="E82" s="5337"/>
      <c r="F82" s="5337"/>
      <c r="G82" s="5337"/>
      <c r="H82" s="5337"/>
      <c r="I82" s="5337"/>
      <c r="J82" s="5337"/>
      <c r="K82" s="5337"/>
      <c r="L82" s="5337"/>
      <c r="M82" s="5337"/>
      <c r="N82" s="5337"/>
      <c r="O82" s="5337"/>
      <c r="P82" s="5337"/>
      <c r="Q82" s="5345"/>
      <c r="R82" s="970"/>
      <c r="S82" s="967"/>
      <c r="T82" s="1247">
        <v>3811201111</v>
      </c>
      <c r="U82" s="1246" t="s">
        <v>2919</v>
      </c>
      <c r="V82" s="1255">
        <v>2</v>
      </c>
      <c r="W82" s="1149" t="s">
        <v>269</v>
      </c>
      <c r="X82" s="1236">
        <v>357.14</v>
      </c>
      <c r="Y82" s="1230">
        <f t="shared" ref="Y82:Y85" si="14">+V82*X82</f>
        <v>714.28</v>
      </c>
      <c r="Z82" s="1133">
        <f t="shared" ref="Z82:Z85" si="15">+Y82*1.12</f>
        <v>799.99360000000001</v>
      </c>
      <c r="AA82" s="1230"/>
      <c r="AB82" s="353" t="s">
        <v>251</v>
      </c>
      <c r="AC82" s="1179"/>
      <c r="AD82" s="1179"/>
      <c r="AE82" s="5416"/>
    </row>
    <row r="83" spans="1:31" ht="18" customHeight="1">
      <c r="A83" s="5629"/>
      <c r="B83" s="5573"/>
      <c r="C83" s="5337"/>
      <c r="D83" s="5337"/>
      <c r="E83" s="5337"/>
      <c r="F83" s="5337"/>
      <c r="G83" s="5337"/>
      <c r="H83" s="5337"/>
      <c r="I83" s="5337"/>
      <c r="J83" s="5337"/>
      <c r="K83" s="5337"/>
      <c r="L83" s="5337"/>
      <c r="M83" s="5337"/>
      <c r="N83" s="5337"/>
      <c r="O83" s="5337"/>
      <c r="P83" s="5337"/>
      <c r="Q83" s="5345"/>
      <c r="R83" s="970"/>
      <c r="S83" s="967"/>
      <c r="T83" s="1247">
        <v>3481210017</v>
      </c>
      <c r="U83" s="1246" t="s">
        <v>947</v>
      </c>
      <c r="V83" s="1149">
        <v>1</v>
      </c>
      <c r="W83" s="1149" t="s">
        <v>269</v>
      </c>
      <c r="X83" s="1236">
        <v>178.57</v>
      </c>
      <c r="Y83" s="1230">
        <f t="shared" si="14"/>
        <v>178.57</v>
      </c>
      <c r="Z83" s="1133">
        <f t="shared" si="15"/>
        <v>199.9984</v>
      </c>
      <c r="AA83" s="1230"/>
      <c r="AB83" s="353" t="s">
        <v>251</v>
      </c>
      <c r="AC83" s="1179"/>
      <c r="AD83" s="1179"/>
      <c r="AE83" s="5416"/>
    </row>
    <row r="84" spans="1:31" ht="18" customHeight="1">
      <c r="A84" s="5629"/>
      <c r="B84" s="5573"/>
      <c r="C84" s="5337"/>
      <c r="D84" s="5337"/>
      <c r="E84" s="5337"/>
      <c r="F84" s="5337"/>
      <c r="G84" s="5337"/>
      <c r="H84" s="5337"/>
      <c r="I84" s="5337"/>
      <c r="J84" s="5337"/>
      <c r="K84" s="5337"/>
      <c r="L84" s="5337"/>
      <c r="M84" s="5337"/>
      <c r="N84" s="5337"/>
      <c r="O84" s="5337"/>
      <c r="P84" s="5337"/>
      <c r="Q84" s="5345"/>
      <c r="R84" s="970"/>
      <c r="S84" s="967"/>
      <c r="T84" s="1247">
        <v>381210011</v>
      </c>
      <c r="U84" s="1246" t="s">
        <v>2920</v>
      </c>
      <c r="V84" s="1149">
        <v>1</v>
      </c>
      <c r="W84" s="1149" t="s">
        <v>269</v>
      </c>
      <c r="X84" s="1236">
        <v>151.79</v>
      </c>
      <c r="Y84" s="1230">
        <f t="shared" si="14"/>
        <v>151.79</v>
      </c>
      <c r="Z84" s="1133">
        <f t="shared" si="15"/>
        <v>170.00480000000002</v>
      </c>
      <c r="AA84" s="1230"/>
      <c r="AB84" s="353" t="s">
        <v>251</v>
      </c>
      <c r="AC84" s="1179"/>
      <c r="AD84" s="1179"/>
      <c r="AE84" s="5416"/>
    </row>
    <row r="85" spans="1:31" ht="18" customHeight="1">
      <c r="A85" s="5629"/>
      <c r="B85" s="5573"/>
      <c r="C85" s="5337"/>
      <c r="D85" s="5337"/>
      <c r="E85" s="5337"/>
      <c r="F85" s="5337"/>
      <c r="G85" s="5337"/>
      <c r="H85" s="5337"/>
      <c r="I85" s="5337"/>
      <c r="J85" s="5337"/>
      <c r="K85" s="5337"/>
      <c r="L85" s="5337"/>
      <c r="M85" s="5337"/>
      <c r="N85" s="5337"/>
      <c r="O85" s="5337"/>
      <c r="P85" s="5337"/>
      <c r="Q85" s="5345"/>
      <c r="R85" s="970"/>
      <c r="S85" s="967"/>
      <c r="T85" s="1256" t="s">
        <v>2921</v>
      </c>
      <c r="U85" s="1246" t="s">
        <v>2922</v>
      </c>
      <c r="V85" s="1255">
        <v>2</v>
      </c>
      <c r="W85" s="1149" t="s">
        <v>269</v>
      </c>
      <c r="X85" s="1236">
        <v>119</v>
      </c>
      <c r="Y85" s="1230">
        <f t="shared" si="14"/>
        <v>238</v>
      </c>
      <c r="Z85" s="1133">
        <f t="shared" si="15"/>
        <v>266.56</v>
      </c>
      <c r="AA85" s="1230"/>
      <c r="AB85" s="353" t="s">
        <v>251</v>
      </c>
      <c r="AC85" s="1179"/>
      <c r="AD85" s="1179"/>
      <c r="AE85" s="5416"/>
    </row>
    <row r="86" spans="1:31" ht="18" customHeight="1">
      <c r="A86" s="5629"/>
      <c r="B86" s="5573"/>
      <c r="C86" s="5337"/>
      <c r="D86" s="5337"/>
      <c r="E86" s="5337"/>
      <c r="F86" s="5337"/>
      <c r="G86" s="5337"/>
      <c r="H86" s="5337"/>
      <c r="I86" s="5337"/>
      <c r="J86" s="5337"/>
      <c r="K86" s="5337"/>
      <c r="L86" s="5337"/>
      <c r="M86" s="5337"/>
      <c r="N86" s="5337"/>
      <c r="O86" s="5337"/>
      <c r="P86" s="5337"/>
      <c r="Q86" s="5345"/>
      <c r="R86" s="1257"/>
      <c r="S86" s="1248"/>
      <c r="T86" s="1258"/>
      <c r="U86" s="1259"/>
      <c r="V86" s="1250"/>
      <c r="W86" s="1250"/>
      <c r="X86" s="1251"/>
      <c r="Y86" s="1230"/>
      <c r="Z86" s="1230"/>
      <c r="AA86" s="1230"/>
      <c r="AB86" s="365"/>
      <c r="AC86" s="366"/>
      <c r="AD86" s="366"/>
      <c r="AE86" s="5416"/>
    </row>
    <row r="87" spans="1:31" ht="18" customHeight="1">
      <c r="A87" s="5629"/>
      <c r="B87" s="5573"/>
      <c r="C87" s="5337"/>
      <c r="D87" s="5337"/>
      <c r="E87" s="5337"/>
      <c r="F87" s="5337"/>
      <c r="G87" s="5337"/>
      <c r="H87" s="5337"/>
      <c r="I87" s="5337"/>
      <c r="J87" s="5337"/>
      <c r="K87" s="5337"/>
      <c r="L87" s="5337"/>
      <c r="M87" s="5337"/>
      <c r="N87" s="5337"/>
      <c r="O87" s="5337"/>
      <c r="P87" s="5337"/>
      <c r="Q87" s="5345"/>
      <c r="R87" s="1225" t="s">
        <v>29</v>
      </c>
      <c r="S87" s="1238">
        <v>531403</v>
      </c>
      <c r="T87" s="1260"/>
      <c r="U87" s="1253" t="s">
        <v>171</v>
      </c>
      <c r="V87" s="1254"/>
      <c r="W87" s="1254"/>
      <c r="X87" s="1242"/>
      <c r="Y87" s="1243"/>
      <c r="Z87" s="1243"/>
      <c r="AA87" s="1244">
        <f>SUM($Z$88:$Z$94)</f>
        <v>993.18240000000014</v>
      </c>
      <c r="AB87" s="363"/>
      <c r="AC87" s="367"/>
      <c r="AD87" s="367"/>
      <c r="AE87" s="5416"/>
    </row>
    <row r="88" spans="1:31" ht="18" customHeight="1">
      <c r="A88" s="5629"/>
      <c r="B88" s="5573"/>
      <c r="C88" s="5337"/>
      <c r="D88" s="5337"/>
      <c r="E88" s="5337"/>
      <c r="F88" s="5337"/>
      <c r="G88" s="5337"/>
      <c r="H88" s="5337"/>
      <c r="I88" s="5337"/>
      <c r="J88" s="5337"/>
      <c r="K88" s="5337"/>
      <c r="L88" s="5337"/>
      <c r="M88" s="5337"/>
      <c r="N88" s="5337"/>
      <c r="O88" s="5337"/>
      <c r="P88" s="5337"/>
      <c r="Q88" s="5345"/>
      <c r="R88" s="970"/>
      <c r="S88" s="967"/>
      <c r="T88" s="1256">
        <v>38111023100</v>
      </c>
      <c r="U88" s="1246" t="s">
        <v>2923</v>
      </c>
      <c r="V88" s="1255">
        <v>8</v>
      </c>
      <c r="W88" s="1149" t="s">
        <v>269</v>
      </c>
      <c r="X88" s="1236">
        <v>22.32</v>
      </c>
      <c r="Y88" s="1230">
        <f t="shared" ref="Y88:Y94" si="16">+V88*X88</f>
        <v>178.56</v>
      </c>
      <c r="Z88" s="1133">
        <f t="shared" ref="Z88:Z94" si="17">+Y88*1.12</f>
        <v>199.98720000000003</v>
      </c>
      <c r="AA88" s="1230"/>
      <c r="AB88" s="365" t="s">
        <v>251</v>
      </c>
      <c r="AC88" s="366"/>
      <c r="AD88" s="366"/>
      <c r="AE88" s="5416"/>
    </row>
    <row r="89" spans="1:31" ht="18" customHeight="1">
      <c r="A89" s="5629"/>
      <c r="B89" s="5573"/>
      <c r="C89" s="5337"/>
      <c r="D89" s="5337"/>
      <c r="E89" s="5337"/>
      <c r="F89" s="5337"/>
      <c r="G89" s="5337"/>
      <c r="H89" s="5337"/>
      <c r="I89" s="5337"/>
      <c r="J89" s="5337"/>
      <c r="K89" s="5337"/>
      <c r="L89" s="5337"/>
      <c r="M89" s="5337"/>
      <c r="N89" s="5337"/>
      <c r="O89" s="5337"/>
      <c r="P89" s="5337"/>
      <c r="Q89" s="5345"/>
      <c r="R89" s="970"/>
      <c r="S89" s="967"/>
      <c r="T89" s="1256">
        <v>3812200124</v>
      </c>
      <c r="U89" s="1246" t="s">
        <v>2924</v>
      </c>
      <c r="V89" s="1149">
        <v>1</v>
      </c>
      <c r="W89" s="1149" t="s">
        <v>269</v>
      </c>
      <c r="X89" s="1236">
        <v>62.5</v>
      </c>
      <c r="Y89" s="1230">
        <f t="shared" si="16"/>
        <v>62.5</v>
      </c>
      <c r="Z89" s="1133">
        <f t="shared" si="17"/>
        <v>70</v>
      </c>
      <c r="AA89" s="1230"/>
      <c r="AB89" s="365" t="s">
        <v>251</v>
      </c>
      <c r="AC89" s="366"/>
      <c r="AD89" s="366"/>
      <c r="AE89" s="5416"/>
    </row>
    <row r="90" spans="1:31" ht="18" customHeight="1">
      <c r="A90" s="5629"/>
      <c r="B90" s="5573"/>
      <c r="C90" s="5337"/>
      <c r="D90" s="5337"/>
      <c r="E90" s="5337"/>
      <c r="F90" s="5337"/>
      <c r="G90" s="5337"/>
      <c r="H90" s="5337"/>
      <c r="I90" s="5337"/>
      <c r="J90" s="5337"/>
      <c r="K90" s="5337"/>
      <c r="L90" s="5337"/>
      <c r="M90" s="5337"/>
      <c r="N90" s="5337"/>
      <c r="O90" s="5337"/>
      <c r="P90" s="5337"/>
      <c r="Q90" s="5345"/>
      <c r="R90" s="970"/>
      <c r="S90" s="967"/>
      <c r="T90" s="1256">
        <v>3812200631</v>
      </c>
      <c r="U90" s="1246" t="s">
        <v>2925</v>
      </c>
      <c r="V90" s="1149">
        <v>2</v>
      </c>
      <c r="W90" s="1149" t="s">
        <v>269</v>
      </c>
      <c r="X90" s="1236">
        <v>62.5</v>
      </c>
      <c r="Y90" s="1230">
        <f t="shared" si="16"/>
        <v>125</v>
      </c>
      <c r="Z90" s="1133">
        <f t="shared" si="17"/>
        <v>140</v>
      </c>
      <c r="AA90" s="1230"/>
      <c r="AB90" s="365" t="s">
        <v>251</v>
      </c>
      <c r="AC90" s="366"/>
      <c r="AD90" s="366"/>
      <c r="AE90" s="5416"/>
    </row>
    <row r="91" spans="1:31" ht="18" customHeight="1">
      <c r="A91" s="5629"/>
      <c r="B91" s="5573"/>
      <c r="C91" s="5337"/>
      <c r="D91" s="5337"/>
      <c r="E91" s="5337"/>
      <c r="F91" s="5337"/>
      <c r="G91" s="5337"/>
      <c r="H91" s="5337"/>
      <c r="I91" s="5337"/>
      <c r="J91" s="5337"/>
      <c r="K91" s="5337"/>
      <c r="L91" s="5337"/>
      <c r="M91" s="5337"/>
      <c r="N91" s="5337"/>
      <c r="O91" s="5337"/>
      <c r="P91" s="5337"/>
      <c r="Q91" s="5345"/>
      <c r="R91" s="970"/>
      <c r="S91" s="967"/>
      <c r="T91" s="1256">
        <v>381220025</v>
      </c>
      <c r="U91" s="1246" t="s">
        <v>2926</v>
      </c>
      <c r="V91" s="1149">
        <v>2</v>
      </c>
      <c r="W91" s="1149" t="s">
        <v>269</v>
      </c>
      <c r="X91" s="1236">
        <v>35.71</v>
      </c>
      <c r="Y91" s="1230">
        <f t="shared" si="16"/>
        <v>71.42</v>
      </c>
      <c r="Z91" s="1133">
        <f t="shared" si="17"/>
        <v>79.990400000000008</v>
      </c>
      <c r="AA91" s="1230"/>
      <c r="AB91" s="365" t="s">
        <v>251</v>
      </c>
      <c r="AC91" s="366"/>
      <c r="AD91" s="366"/>
      <c r="AE91" s="5416"/>
    </row>
    <row r="92" spans="1:31" ht="18" customHeight="1">
      <c r="A92" s="5629"/>
      <c r="B92" s="5573"/>
      <c r="C92" s="5337"/>
      <c r="D92" s="5337"/>
      <c r="E92" s="5337"/>
      <c r="F92" s="5337"/>
      <c r="G92" s="5337"/>
      <c r="H92" s="5337"/>
      <c r="I92" s="5337"/>
      <c r="J92" s="5337"/>
      <c r="K92" s="5337"/>
      <c r="L92" s="5337"/>
      <c r="M92" s="5337"/>
      <c r="N92" s="5337"/>
      <c r="O92" s="5337"/>
      <c r="P92" s="5337"/>
      <c r="Q92" s="5345"/>
      <c r="R92" s="967"/>
      <c r="S92" s="967"/>
      <c r="T92" s="1245">
        <v>421900021</v>
      </c>
      <c r="U92" s="1246" t="s">
        <v>2927</v>
      </c>
      <c r="V92" s="1149">
        <v>2</v>
      </c>
      <c r="W92" s="1149" t="s">
        <v>269</v>
      </c>
      <c r="X92" s="1236">
        <v>90</v>
      </c>
      <c r="Y92" s="1230">
        <f t="shared" si="16"/>
        <v>180</v>
      </c>
      <c r="Z92" s="1133">
        <f t="shared" si="17"/>
        <v>201.60000000000002</v>
      </c>
      <c r="AA92" s="1230"/>
      <c r="AB92" s="365" t="s">
        <v>251</v>
      </c>
      <c r="AC92" s="366"/>
      <c r="AD92" s="366"/>
      <c r="AE92" s="5416"/>
    </row>
    <row r="93" spans="1:31" ht="18" customHeight="1">
      <c r="A93" s="5629"/>
      <c r="B93" s="5573"/>
      <c r="C93" s="5337"/>
      <c r="D93" s="5337"/>
      <c r="E93" s="5337"/>
      <c r="F93" s="5337"/>
      <c r="G93" s="5337"/>
      <c r="H93" s="5337"/>
      <c r="I93" s="5337"/>
      <c r="J93" s="5337"/>
      <c r="K93" s="5337"/>
      <c r="L93" s="5337"/>
      <c r="M93" s="5337"/>
      <c r="N93" s="5337"/>
      <c r="O93" s="5337"/>
      <c r="P93" s="5337"/>
      <c r="Q93" s="5345"/>
      <c r="R93" s="967"/>
      <c r="S93" s="967"/>
      <c r="T93" s="1245">
        <v>3812200621</v>
      </c>
      <c r="U93" s="1246" t="s">
        <v>2928</v>
      </c>
      <c r="V93" s="1149">
        <v>2</v>
      </c>
      <c r="W93" s="1149" t="s">
        <v>269</v>
      </c>
      <c r="X93" s="1236">
        <v>90</v>
      </c>
      <c r="Y93" s="1230">
        <f t="shared" si="16"/>
        <v>180</v>
      </c>
      <c r="Z93" s="1133">
        <f t="shared" si="17"/>
        <v>201.60000000000002</v>
      </c>
      <c r="AA93" s="1230"/>
      <c r="AB93" s="365" t="s">
        <v>251</v>
      </c>
      <c r="AC93" s="366"/>
      <c r="AD93" s="366"/>
      <c r="AE93" s="5416"/>
    </row>
    <row r="94" spans="1:31" ht="18" customHeight="1">
      <c r="A94" s="5629"/>
      <c r="B94" s="5573"/>
      <c r="C94" s="5337"/>
      <c r="D94" s="5337"/>
      <c r="E94" s="5337"/>
      <c r="F94" s="5337"/>
      <c r="G94" s="5337"/>
      <c r="H94" s="5337"/>
      <c r="I94" s="5337"/>
      <c r="J94" s="5337"/>
      <c r="K94" s="5337"/>
      <c r="L94" s="5337"/>
      <c r="M94" s="5337"/>
      <c r="N94" s="5337"/>
      <c r="O94" s="5337"/>
      <c r="P94" s="5337"/>
      <c r="Q94" s="5345"/>
      <c r="R94" s="967"/>
      <c r="S94" s="967"/>
      <c r="T94" s="1245">
        <v>381220043</v>
      </c>
      <c r="U94" s="1246" t="s">
        <v>2929</v>
      </c>
      <c r="V94" s="1149">
        <v>1</v>
      </c>
      <c r="W94" s="1149" t="s">
        <v>269</v>
      </c>
      <c r="X94" s="1236">
        <v>89.29</v>
      </c>
      <c r="Y94" s="1230">
        <f t="shared" si="16"/>
        <v>89.29</v>
      </c>
      <c r="Z94" s="1133">
        <f t="shared" si="17"/>
        <v>100.00480000000002</v>
      </c>
      <c r="AA94" s="1230"/>
      <c r="AB94" s="365" t="s">
        <v>251</v>
      </c>
      <c r="AC94" s="366"/>
      <c r="AD94" s="366"/>
      <c r="AE94" s="5416"/>
    </row>
    <row r="95" spans="1:31" ht="18" customHeight="1">
      <c r="A95" s="5629"/>
      <c r="B95" s="5573"/>
      <c r="C95" s="5337"/>
      <c r="D95" s="5337"/>
      <c r="E95" s="5337"/>
      <c r="F95" s="5337"/>
      <c r="G95" s="5337"/>
      <c r="H95" s="5337"/>
      <c r="I95" s="5337"/>
      <c r="J95" s="5337"/>
      <c r="K95" s="5337"/>
      <c r="L95" s="5337"/>
      <c r="M95" s="5337"/>
      <c r="N95" s="5337"/>
      <c r="O95" s="5337"/>
      <c r="P95" s="5337"/>
      <c r="Q95" s="5345"/>
      <c r="R95" s="1248"/>
      <c r="S95" s="1248"/>
      <c r="T95" s="1249"/>
      <c r="U95" s="1261"/>
      <c r="V95" s="1250"/>
      <c r="W95" s="1250"/>
      <c r="X95" s="1251"/>
      <c r="Y95" s="1230"/>
      <c r="Z95" s="1230"/>
      <c r="AA95" s="1230"/>
      <c r="AB95" s="365"/>
      <c r="AC95" s="366"/>
      <c r="AD95" s="366"/>
      <c r="AE95" s="5416"/>
    </row>
    <row r="96" spans="1:31" ht="18" customHeight="1">
      <c r="A96" s="5629"/>
      <c r="B96" s="5573"/>
      <c r="C96" s="5337"/>
      <c r="D96" s="5337"/>
      <c r="E96" s="5337"/>
      <c r="F96" s="5337"/>
      <c r="G96" s="5337"/>
      <c r="H96" s="5337"/>
      <c r="I96" s="5337"/>
      <c r="J96" s="5337"/>
      <c r="K96" s="5337"/>
      <c r="L96" s="5337"/>
      <c r="M96" s="5337"/>
      <c r="N96" s="5337"/>
      <c r="O96" s="5337"/>
      <c r="P96" s="5337"/>
      <c r="Q96" s="5345"/>
      <c r="R96" s="1248"/>
      <c r="S96" s="1262"/>
      <c r="T96" s="1284"/>
      <c r="U96" s="1284"/>
      <c r="V96" s="1250"/>
      <c r="W96" s="1250"/>
      <c r="X96" s="1250"/>
      <c r="Y96" s="1230"/>
      <c r="Z96" s="1230"/>
      <c r="AA96" s="1230"/>
      <c r="AB96" s="365"/>
      <c r="AC96" s="366"/>
      <c r="AD96" s="366"/>
      <c r="AE96" s="5416"/>
    </row>
    <row r="97" spans="1:31" ht="36" customHeight="1">
      <c r="A97" s="5629"/>
      <c r="B97" s="5573"/>
      <c r="C97" s="5337"/>
      <c r="D97" s="5337"/>
      <c r="E97" s="5337"/>
      <c r="F97" s="5337"/>
      <c r="G97" s="5337"/>
      <c r="H97" s="5337"/>
      <c r="I97" s="5337"/>
      <c r="J97" s="5337"/>
      <c r="K97" s="5337"/>
      <c r="L97" s="5337"/>
      <c r="M97" s="5337"/>
      <c r="N97" s="5337"/>
      <c r="O97" s="5337"/>
      <c r="P97" s="5337"/>
      <c r="Q97" s="5345"/>
      <c r="R97" s="1225" t="s">
        <v>29</v>
      </c>
      <c r="S97" s="1263">
        <v>530402</v>
      </c>
      <c r="T97" s="1260"/>
      <c r="U97" s="1264" t="s">
        <v>16</v>
      </c>
      <c r="V97" s="1265"/>
      <c r="W97" s="1265"/>
      <c r="X97" s="1265"/>
      <c r="Y97" s="1266"/>
      <c r="Z97" s="1266"/>
      <c r="AA97" s="1267">
        <f>$Z$98</f>
        <v>5756.8</v>
      </c>
      <c r="AB97" s="1730"/>
      <c r="AC97" s="1268"/>
      <c r="AD97" s="1268"/>
      <c r="AE97" s="5416"/>
    </row>
    <row r="98" spans="1:31" ht="18" customHeight="1">
      <c r="A98" s="5629"/>
      <c r="B98" s="5573"/>
      <c r="C98" s="5337"/>
      <c r="D98" s="5337"/>
      <c r="E98" s="5337"/>
      <c r="F98" s="5337"/>
      <c r="G98" s="5337"/>
      <c r="H98" s="5337"/>
      <c r="I98" s="5337"/>
      <c r="J98" s="5337"/>
      <c r="K98" s="5337"/>
      <c r="L98" s="5337"/>
      <c r="M98" s="5337"/>
      <c r="N98" s="5337"/>
      <c r="O98" s="5337"/>
      <c r="P98" s="5337"/>
      <c r="Q98" s="5345"/>
      <c r="R98" s="967"/>
      <c r="S98" s="405"/>
      <c r="T98" s="1256">
        <v>873900011</v>
      </c>
      <c r="U98" s="1246" t="s">
        <v>2930</v>
      </c>
      <c r="V98" s="1250">
        <v>1</v>
      </c>
      <c r="W98" s="1250" t="s">
        <v>269</v>
      </c>
      <c r="X98" s="1269">
        <v>5140</v>
      </c>
      <c r="Y98" s="1230">
        <f>+V98*X98</f>
        <v>5140</v>
      </c>
      <c r="Z98" s="1133">
        <f>+Y98*1.12</f>
        <v>5756.8</v>
      </c>
      <c r="AA98" s="1230"/>
      <c r="AB98" s="353" t="s">
        <v>251</v>
      </c>
      <c r="AC98" s="1179"/>
      <c r="AD98" s="1179"/>
      <c r="AE98" s="5416"/>
    </row>
    <row r="99" spans="1:31" ht="18" customHeight="1">
      <c r="A99" s="5629"/>
      <c r="B99" s="5573"/>
      <c r="C99" s="5337"/>
      <c r="D99" s="5337"/>
      <c r="E99" s="5337"/>
      <c r="F99" s="5337"/>
      <c r="G99" s="5337"/>
      <c r="H99" s="5337"/>
      <c r="I99" s="5337"/>
      <c r="J99" s="5337"/>
      <c r="K99" s="5337"/>
      <c r="L99" s="5337"/>
      <c r="M99" s="5337"/>
      <c r="N99" s="5337"/>
      <c r="O99" s="5337"/>
      <c r="P99" s="5337"/>
      <c r="Q99" s="5345"/>
      <c r="R99" s="1233"/>
      <c r="S99" s="1233"/>
      <c r="T99" s="1258"/>
      <c r="U99" s="1259"/>
      <c r="V99" s="1279"/>
      <c r="W99" s="365"/>
      <c r="X99" s="1230"/>
      <c r="Y99" s="1230"/>
      <c r="Z99" s="1230"/>
      <c r="AA99" s="1230"/>
      <c r="AB99" s="365"/>
      <c r="AC99" s="366"/>
      <c r="AD99" s="366"/>
      <c r="AE99" s="5416"/>
    </row>
    <row r="100" spans="1:31" ht="28.5" customHeight="1">
      <c r="A100" s="5629"/>
      <c r="B100" s="5573"/>
      <c r="C100" s="5337"/>
      <c r="D100" s="5337"/>
      <c r="E100" s="5337"/>
      <c r="F100" s="5337"/>
      <c r="G100" s="5337"/>
      <c r="H100" s="5337"/>
      <c r="I100" s="5337"/>
      <c r="J100" s="5337"/>
      <c r="K100" s="5337"/>
      <c r="L100" s="5337"/>
      <c r="M100" s="5337"/>
      <c r="N100" s="5337"/>
      <c r="O100" s="5337"/>
      <c r="P100" s="5337"/>
      <c r="Q100" s="5345"/>
      <c r="R100" s="1237" t="s">
        <v>17</v>
      </c>
      <c r="S100" s="1270">
        <v>530829</v>
      </c>
      <c r="T100" s="1241"/>
      <c r="U100" s="1271" t="s">
        <v>73</v>
      </c>
      <c r="V100" s="1272"/>
      <c r="W100" s="1272"/>
      <c r="X100" s="1272"/>
      <c r="Y100" s="1272"/>
      <c r="Z100" s="1272"/>
      <c r="AA100" s="1244">
        <f>$Z$101</f>
        <v>16800</v>
      </c>
      <c r="AB100" s="367"/>
      <c r="AC100" s="367"/>
      <c r="AD100" s="367"/>
      <c r="AE100" s="5416"/>
    </row>
    <row r="101" spans="1:31" ht="18" customHeight="1">
      <c r="A101" s="5629"/>
      <c r="B101" s="5573"/>
      <c r="C101" s="5337"/>
      <c r="D101" s="5337"/>
      <c r="E101" s="5337"/>
      <c r="F101" s="5337"/>
      <c r="G101" s="5337"/>
      <c r="H101" s="5337"/>
      <c r="I101" s="5337"/>
      <c r="J101" s="5337"/>
      <c r="K101" s="5337"/>
      <c r="L101" s="5337"/>
      <c r="M101" s="5337"/>
      <c r="N101" s="5337"/>
      <c r="O101" s="5337"/>
      <c r="P101" s="5337"/>
      <c r="Q101" s="5345"/>
      <c r="R101" s="1273"/>
      <c r="S101" s="1273"/>
      <c r="T101" s="1190"/>
      <c r="U101" s="1274" t="s">
        <v>2931</v>
      </c>
      <c r="V101" s="1279">
        <v>1</v>
      </c>
      <c r="W101" s="1275" t="s">
        <v>269</v>
      </c>
      <c r="X101" s="1275">
        <v>15000</v>
      </c>
      <c r="Y101" s="1275">
        <f>+V101*X101</f>
        <v>15000</v>
      </c>
      <c r="Z101" s="1275">
        <f>+Y101*1.12</f>
        <v>16800</v>
      </c>
      <c r="AA101" s="1275"/>
      <c r="AB101" s="358" t="s">
        <v>251</v>
      </c>
      <c r="AC101" s="358"/>
      <c r="AD101" s="358"/>
      <c r="AE101" s="5416"/>
    </row>
    <row r="102" spans="1:31" ht="18" customHeight="1">
      <c r="A102" s="5629"/>
      <c r="B102" s="5573"/>
      <c r="C102" s="5337"/>
      <c r="D102" s="5337"/>
      <c r="E102" s="5337"/>
      <c r="F102" s="5337"/>
      <c r="G102" s="5337"/>
      <c r="H102" s="5337"/>
      <c r="I102" s="5337"/>
      <c r="J102" s="5337"/>
      <c r="K102" s="5337"/>
      <c r="L102" s="5337"/>
      <c r="M102" s="5337"/>
      <c r="N102" s="5337"/>
      <c r="O102" s="5337"/>
      <c r="P102" s="5337"/>
      <c r="Q102" s="5345"/>
      <c r="R102" s="1237" t="s">
        <v>17</v>
      </c>
      <c r="S102" s="1270">
        <v>840104</v>
      </c>
      <c r="T102" s="362"/>
      <c r="U102" s="1276" t="s">
        <v>24</v>
      </c>
      <c r="V102" s="1272"/>
      <c r="W102" s="1272"/>
      <c r="X102" s="1272"/>
      <c r="Y102" s="1272"/>
      <c r="Z102" s="1272"/>
      <c r="AA102" s="1244">
        <f>$Z$103</f>
        <v>4009.6000000000004</v>
      </c>
      <c r="AB102" s="113"/>
      <c r="AC102" s="113"/>
      <c r="AD102" s="113"/>
      <c r="AE102" s="5416"/>
    </row>
    <row r="103" spans="1:31" ht="28.5" customHeight="1">
      <c r="A103" s="5629"/>
      <c r="B103" s="5573"/>
      <c r="C103" s="5337"/>
      <c r="D103" s="5337"/>
      <c r="E103" s="5337"/>
      <c r="F103" s="5337"/>
      <c r="G103" s="5337"/>
      <c r="H103" s="5337"/>
      <c r="I103" s="5337"/>
      <c r="J103" s="5337"/>
      <c r="K103" s="5337"/>
      <c r="L103" s="5337"/>
      <c r="M103" s="5337"/>
      <c r="N103" s="5337"/>
      <c r="O103" s="5337"/>
      <c r="P103" s="5337"/>
      <c r="Q103" s="5345"/>
      <c r="R103" s="1277"/>
      <c r="S103" s="1278"/>
      <c r="T103" s="1190">
        <v>4391301112</v>
      </c>
      <c r="U103" s="1297" t="s">
        <v>2862</v>
      </c>
      <c r="V103" s="1279">
        <v>2</v>
      </c>
      <c r="W103" s="1279" t="s">
        <v>322</v>
      </c>
      <c r="X103" s="1279">
        <v>1790</v>
      </c>
      <c r="Y103" s="1279">
        <f>+V103*X103</f>
        <v>3580</v>
      </c>
      <c r="Z103" s="1279">
        <f>+Y103*1.12</f>
        <v>4009.6000000000004</v>
      </c>
      <c r="AA103" s="1279"/>
      <c r="AB103" s="119" t="s">
        <v>251</v>
      </c>
      <c r="AC103" s="119"/>
      <c r="AD103" s="119"/>
      <c r="AE103" s="5416"/>
    </row>
    <row r="104" spans="1:31" ht="25.5" customHeight="1">
      <c r="A104" s="5629"/>
      <c r="B104" s="5573"/>
      <c r="C104" s="5337"/>
      <c r="D104" s="5337"/>
      <c r="E104" s="5337"/>
      <c r="F104" s="5337"/>
      <c r="G104" s="5337"/>
      <c r="H104" s="5337"/>
      <c r="I104" s="5337"/>
      <c r="J104" s="5337"/>
      <c r="K104" s="5337"/>
      <c r="L104" s="5337"/>
      <c r="M104" s="5337"/>
      <c r="N104" s="5337"/>
      <c r="O104" s="5337"/>
      <c r="P104" s="5337"/>
      <c r="Q104" s="5345"/>
      <c r="R104" s="1225" t="s">
        <v>29</v>
      </c>
      <c r="S104" s="1280">
        <v>530702</v>
      </c>
      <c r="T104" s="1284"/>
      <c r="U104" s="1281" t="s">
        <v>67</v>
      </c>
      <c r="V104" s="1282"/>
      <c r="W104" s="1282"/>
      <c r="X104" s="1282"/>
      <c r="Y104" s="1282"/>
      <c r="Z104" s="1282"/>
      <c r="AA104" s="1244">
        <f>$Z$105</f>
        <v>249.98400000000001</v>
      </c>
      <c r="AB104" s="1282"/>
      <c r="AC104" s="1282"/>
      <c r="AD104" s="1282"/>
      <c r="AE104" s="5416"/>
    </row>
    <row r="105" spans="1:31" ht="25.5" customHeight="1">
      <c r="A105" s="5629"/>
      <c r="B105" s="5573"/>
      <c r="C105" s="5337"/>
      <c r="D105" s="5337"/>
      <c r="E105" s="5337"/>
      <c r="F105" s="5337"/>
      <c r="G105" s="5337"/>
      <c r="H105" s="5337"/>
      <c r="I105" s="5337"/>
      <c r="J105" s="5337"/>
      <c r="K105" s="5337"/>
      <c r="L105" s="5337"/>
      <c r="M105" s="5337"/>
      <c r="N105" s="5337"/>
      <c r="O105" s="5337"/>
      <c r="P105" s="5337"/>
      <c r="Q105" s="5345"/>
      <c r="R105" s="1283"/>
      <c r="S105" s="1277"/>
      <c r="T105" s="1284"/>
      <c r="U105" s="1284" t="s">
        <v>2932</v>
      </c>
      <c r="V105" s="1250">
        <v>5</v>
      </c>
      <c r="W105" s="1250" t="s">
        <v>269</v>
      </c>
      <c r="X105" s="1250">
        <v>44.64</v>
      </c>
      <c r="Y105" s="1285">
        <f>+V105*X105</f>
        <v>223.2</v>
      </c>
      <c r="Z105" s="1286">
        <f>+Y105*1.12</f>
        <v>249.98400000000001</v>
      </c>
      <c r="AA105" s="1287"/>
      <c r="AB105" s="1288" t="s">
        <v>251</v>
      </c>
      <c r="AC105" s="1289"/>
      <c r="AD105" s="1289"/>
      <c r="AE105" s="5416"/>
    </row>
    <row r="106" spans="1:31" ht="25.5" customHeight="1">
      <c r="A106" s="5629"/>
      <c r="B106" s="5573"/>
      <c r="C106" s="5337"/>
      <c r="D106" s="5337"/>
      <c r="E106" s="5337"/>
      <c r="F106" s="5337"/>
      <c r="G106" s="5337"/>
      <c r="H106" s="5337"/>
      <c r="I106" s="5337"/>
      <c r="J106" s="5337"/>
      <c r="K106" s="5337"/>
      <c r="L106" s="5337"/>
      <c r="M106" s="5337"/>
      <c r="N106" s="5337"/>
      <c r="O106" s="5337"/>
      <c r="P106" s="5337"/>
      <c r="Q106" s="5345"/>
      <c r="R106" s="1237" t="s">
        <v>17</v>
      </c>
      <c r="S106" s="1280">
        <v>530702</v>
      </c>
      <c r="T106" s="1284"/>
      <c r="U106" s="1281" t="s">
        <v>67</v>
      </c>
      <c r="V106" s="1250"/>
      <c r="W106" s="1250"/>
      <c r="X106" s="1250"/>
      <c r="Y106" s="1285"/>
      <c r="Z106" s="1285"/>
      <c r="AA106" s="1244">
        <f>$Z$107</f>
        <v>11200.000000000002</v>
      </c>
      <c r="AB106" s="1288"/>
      <c r="AC106" s="1289"/>
      <c r="AD106" s="1289"/>
      <c r="AE106" s="5416"/>
    </row>
    <row r="107" spans="1:31" ht="28.5" customHeight="1">
      <c r="A107" s="5629"/>
      <c r="B107" s="5573"/>
      <c r="C107" s="5337"/>
      <c r="D107" s="5337"/>
      <c r="E107" s="5337"/>
      <c r="F107" s="5337"/>
      <c r="G107" s="5337"/>
      <c r="H107" s="5337"/>
      <c r="I107" s="5337"/>
      <c r="J107" s="5337"/>
      <c r="K107" s="5337"/>
      <c r="L107" s="5337"/>
      <c r="M107" s="5337"/>
      <c r="N107" s="5337"/>
      <c r="O107" s="5337"/>
      <c r="P107" s="5337"/>
      <c r="Q107" s="5345"/>
      <c r="R107" s="1290"/>
      <c r="S107" s="1284"/>
      <c r="T107" s="1284"/>
      <c r="U107" s="1291" t="s">
        <v>2933</v>
      </c>
      <c r="V107" s="1279">
        <v>1</v>
      </c>
      <c r="W107" s="1279" t="s">
        <v>269</v>
      </c>
      <c r="X107" s="1279">
        <v>10000</v>
      </c>
      <c r="Y107" s="1279">
        <f>+V107*X107</f>
        <v>10000</v>
      </c>
      <c r="Z107" s="1279">
        <f>+Y107*1.12</f>
        <v>11200.000000000002</v>
      </c>
      <c r="AA107" s="1155"/>
      <c r="AB107" s="361" t="s">
        <v>251</v>
      </c>
      <c r="AC107" s="361"/>
      <c r="AD107" s="111"/>
      <c r="AE107" s="5416"/>
    </row>
    <row r="108" spans="1:31" ht="24" customHeight="1">
      <c r="A108" s="5629"/>
      <c r="B108" s="5573"/>
      <c r="C108" s="5337"/>
      <c r="D108" s="5337"/>
      <c r="E108" s="5337"/>
      <c r="F108" s="5337"/>
      <c r="G108" s="5337"/>
      <c r="H108" s="5337"/>
      <c r="I108" s="5337"/>
      <c r="J108" s="5337"/>
      <c r="K108" s="5337"/>
      <c r="L108" s="5337"/>
      <c r="M108" s="5337"/>
      <c r="N108" s="5337"/>
      <c r="O108" s="5337"/>
      <c r="P108" s="5337"/>
      <c r="Q108" s="5345"/>
      <c r="R108" s="1225" t="s">
        <v>29</v>
      </c>
      <c r="S108" s="1292" t="s">
        <v>63</v>
      </c>
      <c r="T108" s="1260"/>
      <c r="U108" s="1281" t="s">
        <v>20</v>
      </c>
      <c r="V108" s="1272"/>
      <c r="W108" s="363"/>
      <c r="X108" s="1243"/>
      <c r="Y108" s="1243"/>
      <c r="Z108" s="1243"/>
      <c r="AA108" s="1244">
        <f>SUM($Z$109:$Z$112)</f>
        <v>5328.0192000000006</v>
      </c>
      <c r="AB108" s="355"/>
      <c r="AC108" s="355"/>
      <c r="AD108" s="356"/>
      <c r="AE108" s="5416"/>
    </row>
    <row r="109" spans="1:31" ht="24" customHeight="1">
      <c r="A109" s="5629"/>
      <c r="B109" s="5573"/>
      <c r="C109" s="5337"/>
      <c r="D109" s="5337"/>
      <c r="E109" s="5337"/>
      <c r="F109" s="5337"/>
      <c r="G109" s="5337"/>
      <c r="H109" s="5337"/>
      <c r="I109" s="5337"/>
      <c r="J109" s="5337"/>
      <c r="K109" s="5337"/>
      <c r="L109" s="5337"/>
      <c r="M109" s="5337"/>
      <c r="N109" s="5337"/>
      <c r="O109" s="5337"/>
      <c r="P109" s="5337"/>
      <c r="Q109" s="5345"/>
      <c r="R109" s="970"/>
      <c r="S109" s="169"/>
      <c r="T109" s="357">
        <v>452200061</v>
      </c>
      <c r="U109" s="1246" t="s">
        <v>2934</v>
      </c>
      <c r="V109" s="1149">
        <v>2</v>
      </c>
      <c r="W109" s="1149" t="s">
        <v>269</v>
      </c>
      <c r="X109" s="1230">
        <v>1200</v>
      </c>
      <c r="Y109" s="1230">
        <f t="shared" ref="Y109:Y112" si="18">+V109*X109</f>
        <v>2400</v>
      </c>
      <c r="Z109" s="1230">
        <f t="shared" ref="Z109:Z112" si="19">+Y109*1.12</f>
        <v>2688.0000000000005</v>
      </c>
      <c r="AA109" s="412"/>
      <c r="AB109" s="353" t="s">
        <v>251</v>
      </c>
      <c r="AC109" s="353"/>
      <c r="AD109" s="1179"/>
      <c r="AE109" s="5416"/>
    </row>
    <row r="110" spans="1:31" ht="24" customHeight="1">
      <c r="A110" s="5629"/>
      <c r="B110" s="5573"/>
      <c r="C110" s="5337"/>
      <c r="D110" s="5337"/>
      <c r="E110" s="5337"/>
      <c r="F110" s="5337"/>
      <c r="G110" s="5337"/>
      <c r="H110" s="5337"/>
      <c r="I110" s="5337"/>
      <c r="J110" s="5337"/>
      <c r="K110" s="5337"/>
      <c r="L110" s="5337"/>
      <c r="M110" s="5337"/>
      <c r="N110" s="5337"/>
      <c r="O110" s="5337"/>
      <c r="P110" s="5337"/>
      <c r="Q110" s="5345"/>
      <c r="R110" s="970"/>
      <c r="S110" s="169"/>
      <c r="T110" s="412"/>
      <c r="U110" s="1246" t="s">
        <v>2935</v>
      </c>
      <c r="V110" s="1149">
        <v>1</v>
      </c>
      <c r="W110" s="1149" t="s">
        <v>269</v>
      </c>
      <c r="X110" s="1149">
        <v>267.86</v>
      </c>
      <c r="Y110" s="1230">
        <f t="shared" si="18"/>
        <v>267.86</v>
      </c>
      <c r="Z110" s="1230">
        <f t="shared" si="19"/>
        <v>300.00320000000005</v>
      </c>
      <c r="AA110" s="412"/>
      <c r="AB110" s="353" t="s">
        <v>251</v>
      </c>
      <c r="AC110" s="353"/>
      <c r="AD110" s="1179"/>
      <c r="AE110" s="5416"/>
    </row>
    <row r="111" spans="1:31" ht="24" customHeight="1">
      <c r="A111" s="5629"/>
      <c r="B111" s="5573"/>
      <c r="C111" s="5337"/>
      <c r="D111" s="5337"/>
      <c r="E111" s="5337"/>
      <c r="F111" s="5337"/>
      <c r="G111" s="5337"/>
      <c r="H111" s="5337"/>
      <c r="I111" s="5337"/>
      <c r="J111" s="5337"/>
      <c r="K111" s="5337"/>
      <c r="L111" s="5337"/>
      <c r="M111" s="5337"/>
      <c r="N111" s="5337"/>
      <c r="O111" s="5337"/>
      <c r="P111" s="5337"/>
      <c r="Q111" s="5345"/>
      <c r="R111" s="970"/>
      <c r="S111" s="169"/>
      <c r="T111" s="412"/>
      <c r="U111" s="1246" t="s">
        <v>2936</v>
      </c>
      <c r="V111" s="1149">
        <v>5</v>
      </c>
      <c r="W111" s="1149" t="s">
        <v>269</v>
      </c>
      <c r="X111" s="1149">
        <v>150</v>
      </c>
      <c r="Y111" s="1230">
        <f t="shared" si="18"/>
        <v>750</v>
      </c>
      <c r="Z111" s="1230">
        <f t="shared" si="19"/>
        <v>840.00000000000011</v>
      </c>
      <c r="AA111" s="412"/>
      <c r="AB111" s="353" t="s">
        <v>251</v>
      </c>
      <c r="AC111" s="353"/>
      <c r="AD111" s="1179"/>
      <c r="AE111" s="5416"/>
    </row>
    <row r="112" spans="1:31" ht="24" customHeight="1">
      <c r="A112" s="5629"/>
      <c r="B112" s="5573"/>
      <c r="C112" s="5337"/>
      <c r="D112" s="5337"/>
      <c r="E112" s="5337"/>
      <c r="F112" s="5337"/>
      <c r="G112" s="5337"/>
      <c r="H112" s="5337"/>
      <c r="I112" s="5337"/>
      <c r="J112" s="5337"/>
      <c r="K112" s="5337"/>
      <c r="L112" s="5337"/>
      <c r="M112" s="5337"/>
      <c r="N112" s="5337"/>
      <c r="O112" s="5337"/>
      <c r="P112" s="5337"/>
      <c r="Q112" s="5345"/>
      <c r="R112" s="970"/>
      <c r="S112" s="169"/>
      <c r="T112" s="412"/>
      <c r="U112" s="1246" t="s">
        <v>2937</v>
      </c>
      <c r="V112" s="1149">
        <v>5</v>
      </c>
      <c r="W112" s="1149" t="s">
        <v>269</v>
      </c>
      <c r="X112" s="1230">
        <v>267.86</v>
      </c>
      <c r="Y112" s="1230">
        <f t="shared" si="18"/>
        <v>1339.3000000000002</v>
      </c>
      <c r="Z112" s="1230">
        <f t="shared" si="19"/>
        <v>1500.0160000000003</v>
      </c>
      <c r="AA112" s="412"/>
      <c r="AB112" s="353" t="s">
        <v>251</v>
      </c>
      <c r="AC112" s="353"/>
      <c r="AD112" s="1179"/>
      <c r="AE112" s="5416"/>
    </row>
    <row r="113" spans="1:31" ht="24" customHeight="1">
      <c r="A113" s="5629"/>
      <c r="B113" s="5573"/>
      <c r="C113" s="5337"/>
      <c r="D113" s="5337"/>
      <c r="E113" s="5337"/>
      <c r="F113" s="5337"/>
      <c r="G113" s="5337"/>
      <c r="H113" s="5337"/>
      <c r="I113" s="5337"/>
      <c r="J113" s="5337"/>
      <c r="K113" s="5337"/>
      <c r="L113" s="5337"/>
      <c r="M113" s="5337"/>
      <c r="N113" s="5337"/>
      <c r="O113" s="5337"/>
      <c r="P113" s="5337"/>
      <c r="Q113" s="5345"/>
      <c r="R113" s="1237" t="s">
        <v>17</v>
      </c>
      <c r="S113" s="1292" t="s">
        <v>63</v>
      </c>
      <c r="T113" s="1260"/>
      <c r="U113" s="1281" t="s">
        <v>20</v>
      </c>
      <c r="V113" s="1149"/>
      <c r="W113" s="1149"/>
      <c r="X113" s="1230"/>
      <c r="Y113" s="1230"/>
      <c r="Z113" s="1230"/>
      <c r="AA113" s="1244">
        <f>$Z$114</f>
        <v>7781.7600000000011</v>
      </c>
      <c r="AB113" s="353"/>
      <c r="AC113" s="353"/>
      <c r="AD113" s="1179"/>
      <c r="AE113" s="5416"/>
    </row>
    <row r="114" spans="1:31" ht="30" customHeight="1">
      <c r="A114" s="5629"/>
      <c r="B114" s="5573"/>
      <c r="C114" s="5337"/>
      <c r="D114" s="5337"/>
      <c r="E114" s="5337"/>
      <c r="F114" s="5337"/>
      <c r="G114" s="5337"/>
      <c r="H114" s="5337"/>
      <c r="I114" s="5337"/>
      <c r="J114" s="5337"/>
      <c r="K114" s="5337"/>
      <c r="L114" s="5337"/>
      <c r="M114" s="5337"/>
      <c r="N114" s="5337"/>
      <c r="O114" s="5337"/>
      <c r="P114" s="5337"/>
      <c r="Q114" s="5345"/>
      <c r="R114" s="971"/>
      <c r="S114" s="1111"/>
      <c r="T114" s="1293" t="s">
        <v>2938</v>
      </c>
      <c r="U114" s="1294" t="s">
        <v>2939</v>
      </c>
      <c r="V114" s="1255">
        <v>6</v>
      </c>
      <c r="W114" s="1149" t="s">
        <v>322</v>
      </c>
      <c r="X114" s="1230">
        <v>1158</v>
      </c>
      <c r="Y114" s="1230">
        <f>+V114*X114</f>
        <v>6948</v>
      </c>
      <c r="Z114" s="1230">
        <f>+Y114*1.12</f>
        <v>7781.7600000000011</v>
      </c>
      <c r="AA114" s="1295"/>
      <c r="AB114" s="353" t="s">
        <v>251</v>
      </c>
      <c r="AC114" s="353"/>
      <c r="AD114" s="1179"/>
      <c r="AE114" s="5416"/>
    </row>
    <row r="115" spans="1:31" ht="30" customHeight="1">
      <c r="A115" s="5629"/>
      <c r="B115" s="5573"/>
      <c r="C115" s="5337"/>
      <c r="D115" s="5337"/>
      <c r="E115" s="5337"/>
      <c r="F115" s="5337"/>
      <c r="G115" s="5337"/>
      <c r="H115" s="5337"/>
      <c r="I115" s="5337"/>
      <c r="J115" s="5337"/>
      <c r="K115" s="5337"/>
      <c r="L115" s="5337"/>
      <c r="M115" s="5337"/>
      <c r="N115" s="5337"/>
      <c r="O115" s="5337"/>
      <c r="P115" s="5337"/>
      <c r="Q115" s="5345"/>
      <c r="R115" s="1237" t="s">
        <v>17</v>
      </c>
      <c r="S115" s="1263">
        <v>840104</v>
      </c>
      <c r="T115" s="362"/>
      <c r="U115" s="1276" t="s">
        <v>24</v>
      </c>
      <c r="V115" s="1272"/>
      <c r="W115" s="363"/>
      <c r="X115" s="1243"/>
      <c r="Y115" s="1243"/>
      <c r="Z115" s="1243"/>
      <c r="AA115" s="1244">
        <f>$Z$116</f>
        <v>11200.000000000002</v>
      </c>
      <c r="AB115" s="363"/>
      <c r="AC115" s="363"/>
      <c r="AD115" s="367"/>
      <c r="AE115" s="5416"/>
    </row>
    <row r="116" spans="1:31" ht="30" customHeight="1">
      <c r="A116" s="5629"/>
      <c r="B116" s="5573"/>
      <c r="C116" s="5337"/>
      <c r="D116" s="5337"/>
      <c r="E116" s="5337"/>
      <c r="F116" s="5337"/>
      <c r="G116" s="5337"/>
      <c r="H116" s="5337"/>
      <c r="I116" s="5337"/>
      <c r="J116" s="5337"/>
      <c r="K116" s="5337"/>
      <c r="L116" s="5337"/>
      <c r="M116" s="5337"/>
      <c r="N116" s="5337"/>
      <c r="O116" s="5337"/>
      <c r="P116" s="5337"/>
      <c r="Q116" s="5345"/>
      <c r="R116" s="1296"/>
      <c r="S116" s="1296"/>
      <c r="T116" s="1297"/>
      <c r="U116" s="1297" t="s">
        <v>2940</v>
      </c>
      <c r="V116" s="1279">
        <v>1</v>
      </c>
      <c r="W116" s="1250" t="s">
        <v>269</v>
      </c>
      <c r="X116" s="1230">
        <v>10000</v>
      </c>
      <c r="Y116" s="1230">
        <f>+V116*X116</f>
        <v>10000</v>
      </c>
      <c r="Z116" s="1230">
        <f>+Y116*1.12</f>
        <v>11200.000000000002</v>
      </c>
      <c r="AA116" s="1295"/>
      <c r="AB116" s="353" t="s">
        <v>251</v>
      </c>
      <c r="AC116" s="353"/>
      <c r="AD116" s="1179"/>
      <c r="AE116" s="5416"/>
    </row>
    <row r="117" spans="1:31" ht="30" customHeight="1">
      <c r="A117" s="5629"/>
      <c r="B117" s="5573"/>
      <c r="C117" s="5337"/>
      <c r="D117" s="5337"/>
      <c r="E117" s="5337"/>
      <c r="F117" s="5337"/>
      <c r="G117" s="5337"/>
      <c r="H117" s="5337"/>
      <c r="I117" s="5337"/>
      <c r="J117" s="5337"/>
      <c r="K117" s="5337"/>
      <c r="L117" s="5337"/>
      <c r="M117" s="5337"/>
      <c r="N117" s="5337"/>
      <c r="O117" s="5337"/>
      <c r="P117" s="5337"/>
      <c r="Q117" s="5345"/>
      <c r="R117" s="1225" t="s">
        <v>29</v>
      </c>
      <c r="S117" s="1263">
        <v>840104</v>
      </c>
      <c r="T117" s="362"/>
      <c r="U117" s="1276" t="s">
        <v>24</v>
      </c>
      <c r="V117" s="1272"/>
      <c r="W117" s="1254"/>
      <c r="X117" s="1243"/>
      <c r="Y117" s="1243"/>
      <c r="Z117" s="1243"/>
      <c r="AA117" s="1244">
        <f>SUM($Z$118:$Z$121)</f>
        <v>5292.0000000000009</v>
      </c>
      <c r="AB117" s="363" t="s">
        <v>251</v>
      </c>
      <c r="AC117" s="363"/>
      <c r="AD117" s="1179"/>
      <c r="AE117" s="5416"/>
    </row>
    <row r="118" spans="1:31" ht="30" customHeight="1">
      <c r="A118" s="5629"/>
      <c r="B118" s="5573"/>
      <c r="C118" s="5337"/>
      <c r="D118" s="5337"/>
      <c r="E118" s="5337"/>
      <c r="F118" s="5337"/>
      <c r="G118" s="5337"/>
      <c r="H118" s="5337"/>
      <c r="I118" s="5337"/>
      <c r="J118" s="5337"/>
      <c r="K118" s="5337"/>
      <c r="L118" s="5337"/>
      <c r="M118" s="5337"/>
      <c r="N118" s="5337"/>
      <c r="O118" s="5337"/>
      <c r="P118" s="5337"/>
      <c r="Q118" s="5345"/>
      <c r="R118" s="1296"/>
      <c r="S118" s="1296"/>
      <c r="T118" s="353">
        <v>43934002</v>
      </c>
      <c r="U118" s="1246" t="s">
        <v>2941</v>
      </c>
      <c r="V118" s="1149">
        <v>1</v>
      </c>
      <c r="W118" s="1149" t="s">
        <v>269</v>
      </c>
      <c r="X118" s="1230">
        <v>125</v>
      </c>
      <c r="Y118" s="1133">
        <f t="shared" ref="Y118:Y121" si="20">+V118*X118</f>
        <v>125</v>
      </c>
      <c r="Z118" s="1133">
        <f t="shared" ref="Z118:Z121" si="21">+Y118*1.12</f>
        <v>140</v>
      </c>
      <c r="AA118" s="1295"/>
      <c r="AB118" s="353" t="s">
        <v>251</v>
      </c>
      <c r="AC118" s="353"/>
      <c r="AD118" s="1179"/>
      <c r="AE118" s="5416"/>
    </row>
    <row r="119" spans="1:31" ht="30" customHeight="1">
      <c r="A119" s="5629"/>
      <c r="B119" s="5573"/>
      <c r="C119" s="5337"/>
      <c r="D119" s="5337"/>
      <c r="E119" s="5337"/>
      <c r="F119" s="5337"/>
      <c r="G119" s="5337"/>
      <c r="H119" s="5337"/>
      <c r="I119" s="5337"/>
      <c r="J119" s="5337"/>
      <c r="K119" s="5337"/>
      <c r="L119" s="5337"/>
      <c r="M119" s="5337"/>
      <c r="N119" s="5337"/>
      <c r="O119" s="5337"/>
      <c r="P119" s="5337"/>
      <c r="Q119" s="5345"/>
      <c r="R119" s="1296"/>
      <c r="S119" s="1296"/>
      <c r="T119" s="353" t="s">
        <v>2942</v>
      </c>
      <c r="U119" s="1297" t="s">
        <v>2943</v>
      </c>
      <c r="V119" s="1250">
        <v>1</v>
      </c>
      <c r="W119" s="1149" t="s">
        <v>269</v>
      </c>
      <c r="X119" s="1230">
        <v>1400</v>
      </c>
      <c r="Y119" s="1133">
        <f t="shared" si="20"/>
        <v>1400</v>
      </c>
      <c r="Z119" s="1133">
        <f t="shared" si="21"/>
        <v>1568.0000000000002</v>
      </c>
      <c r="AA119" s="1295"/>
      <c r="AB119" s="353" t="s">
        <v>251</v>
      </c>
      <c r="AC119" s="353"/>
      <c r="AD119" s="1179"/>
      <c r="AE119" s="5416"/>
    </row>
    <row r="120" spans="1:31" ht="30" customHeight="1">
      <c r="A120" s="5629"/>
      <c r="B120" s="5573"/>
      <c r="C120" s="5337"/>
      <c r="D120" s="5337"/>
      <c r="E120" s="5337"/>
      <c r="F120" s="5337"/>
      <c r="G120" s="5337"/>
      <c r="H120" s="5337"/>
      <c r="I120" s="5337"/>
      <c r="J120" s="5337"/>
      <c r="K120" s="5337"/>
      <c r="L120" s="5337"/>
      <c r="M120" s="5337"/>
      <c r="N120" s="5337"/>
      <c r="O120" s="5337"/>
      <c r="P120" s="5337"/>
      <c r="Q120" s="5345"/>
      <c r="R120" s="1296"/>
      <c r="S120" s="1296"/>
      <c r="T120" s="353" t="s">
        <v>2944</v>
      </c>
      <c r="U120" s="1274" t="s">
        <v>2945</v>
      </c>
      <c r="V120" s="1250">
        <v>4</v>
      </c>
      <c r="W120" s="1149" t="s">
        <v>269</v>
      </c>
      <c r="X120" s="1230">
        <v>800</v>
      </c>
      <c r="Y120" s="1133">
        <f t="shared" si="20"/>
        <v>3200</v>
      </c>
      <c r="Z120" s="1133">
        <f t="shared" si="21"/>
        <v>3584.0000000000005</v>
      </c>
      <c r="AA120" s="1295"/>
      <c r="AB120" s="353" t="s">
        <v>251</v>
      </c>
      <c r="AC120" s="353"/>
      <c r="AD120" s="1179"/>
      <c r="AE120" s="5416"/>
    </row>
    <row r="121" spans="1:31" ht="30" customHeight="1">
      <c r="A121" s="5629"/>
      <c r="B121" s="5573"/>
      <c r="C121" s="5337"/>
      <c r="D121" s="5337"/>
      <c r="E121" s="5337"/>
      <c r="F121" s="5337"/>
      <c r="G121" s="5337"/>
      <c r="H121" s="5337"/>
      <c r="I121" s="5337"/>
      <c r="J121" s="5337"/>
      <c r="K121" s="5337"/>
      <c r="L121" s="5337"/>
      <c r="M121" s="5337"/>
      <c r="N121" s="5337"/>
      <c r="O121" s="5337"/>
      <c r="P121" s="5337"/>
      <c r="Q121" s="5345"/>
      <c r="R121" s="1296"/>
      <c r="S121" s="1296"/>
      <c r="T121" s="353" t="s">
        <v>2942</v>
      </c>
      <c r="U121" s="1298" t="s">
        <v>2946</v>
      </c>
      <c r="V121" s="1299">
        <v>0</v>
      </c>
      <c r="W121" s="1250" t="s">
        <v>269</v>
      </c>
      <c r="X121" s="1230">
        <v>1790</v>
      </c>
      <c r="Y121" s="1133">
        <f t="shared" si="20"/>
        <v>0</v>
      </c>
      <c r="Z121" s="1133">
        <f t="shared" si="21"/>
        <v>0</v>
      </c>
      <c r="AA121" s="1295"/>
      <c r="AB121" s="353" t="s">
        <v>251</v>
      </c>
      <c r="AC121" s="353"/>
      <c r="AD121" s="1179"/>
      <c r="AE121" s="5416"/>
    </row>
    <row r="122" spans="1:31" ht="30" customHeight="1">
      <c r="A122" s="5629"/>
      <c r="B122" s="5573"/>
      <c r="C122" s="5337"/>
      <c r="D122" s="5337"/>
      <c r="E122" s="5337"/>
      <c r="F122" s="5337"/>
      <c r="G122" s="5337"/>
      <c r="H122" s="5337"/>
      <c r="I122" s="5337"/>
      <c r="J122" s="5337"/>
      <c r="K122" s="5337"/>
      <c r="L122" s="5337"/>
      <c r="M122" s="5337"/>
      <c r="N122" s="5337"/>
      <c r="O122" s="5337"/>
      <c r="P122" s="5337"/>
      <c r="Q122" s="5345"/>
      <c r="R122" s="1237" t="s">
        <v>17</v>
      </c>
      <c r="S122" s="1263">
        <v>840104</v>
      </c>
      <c r="T122" s="362"/>
      <c r="U122" s="1276" t="s">
        <v>24</v>
      </c>
      <c r="V122" s="1250"/>
      <c r="W122" s="1250"/>
      <c r="X122" s="1230"/>
      <c r="Y122" s="1230"/>
      <c r="Z122" s="1230"/>
      <c r="AA122" s="1295">
        <f>$Z$123</f>
        <v>12028.800000000001</v>
      </c>
      <c r="AB122" s="353" t="s">
        <v>251</v>
      </c>
      <c r="AC122" s="353"/>
      <c r="AD122" s="1179"/>
      <c r="AE122" s="5416"/>
    </row>
    <row r="123" spans="1:31" ht="30" customHeight="1">
      <c r="A123" s="5629"/>
      <c r="B123" s="5573"/>
      <c r="C123" s="5337"/>
      <c r="D123" s="5337"/>
      <c r="E123" s="5337"/>
      <c r="F123" s="5337"/>
      <c r="G123" s="5337"/>
      <c r="H123" s="5337"/>
      <c r="I123" s="5337"/>
      <c r="J123" s="5337"/>
      <c r="K123" s="5337"/>
      <c r="L123" s="5337"/>
      <c r="M123" s="5337"/>
      <c r="N123" s="5337"/>
      <c r="O123" s="5337"/>
      <c r="P123" s="5337"/>
      <c r="Q123" s="5345"/>
      <c r="R123" s="1290"/>
      <c r="S123" s="1233"/>
      <c r="T123" s="1190" t="s">
        <v>2942</v>
      </c>
      <c r="U123" s="1297" t="s">
        <v>2862</v>
      </c>
      <c r="V123" s="1279">
        <v>6</v>
      </c>
      <c r="W123" s="1279" t="s">
        <v>322</v>
      </c>
      <c r="X123" s="1230">
        <v>1790</v>
      </c>
      <c r="Y123" s="1230">
        <f>+V123*X123</f>
        <v>10740</v>
      </c>
      <c r="Z123" s="1230">
        <f>+Y123*1.12</f>
        <v>12028.800000000001</v>
      </c>
      <c r="AA123" s="1295"/>
      <c r="AB123" s="353" t="s">
        <v>251</v>
      </c>
      <c r="AC123" s="353"/>
      <c r="AD123" s="1179"/>
      <c r="AE123" s="5417"/>
    </row>
    <row r="124" spans="1:31" ht="30" customHeight="1">
      <c r="A124" s="5629"/>
      <c r="B124" s="5573"/>
      <c r="C124" s="5337"/>
      <c r="D124" s="5337"/>
      <c r="E124" s="5337"/>
      <c r="F124" s="5337"/>
      <c r="G124" s="5337"/>
      <c r="H124" s="5337"/>
      <c r="I124" s="5337"/>
      <c r="J124" s="5337"/>
      <c r="K124" s="5337"/>
      <c r="L124" s="5337"/>
      <c r="M124" s="5337"/>
      <c r="N124" s="5337"/>
      <c r="O124" s="5337"/>
      <c r="P124" s="5337"/>
      <c r="Q124" s="5345"/>
      <c r="R124" s="1237" t="s">
        <v>17</v>
      </c>
      <c r="S124" s="1270">
        <v>530402</v>
      </c>
      <c r="T124" s="1300"/>
      <c r="U124" s="1301" t="s">
        <v>16</v>
      </c>
      <c r="V124" s="1302"/>
      <c r="W124" s="1302"/>
      <c r="X124" s="1266"/>
      <c r="Y124" s="1266"/>
      <c r="Z124" s="1266"/>
      <c r="AA124" s="1244">
        <f>$Z$125</f>
        <v>64512.000000000007</v>
      </c>
      <c r="AB124" s="363"/>
      <c r="AC124" s="363"/>
      <c r="AD124" s="367"/>
      <c r="AE124" s="5639" t="s">
        <v>2947</v>
      </c>
    </row>
    <row r="125" spans="1:31" ht="29.25" customHeight="1">
      <c r="A125" s="5648"/>
      <c r="B125" s="5574"/>
      <c r="C125" s="5338"/>
      <c r="D125" s="5338"/>
      <c r="E125" s="5338"/>
      <c r="F125" s="5338"/>
      <c r="G125" s="5338"/>
      <c r="H125" s="5338"/>
      <c r="I125" s="5338"/>
      <c r="J125" s="5338"/>
      <c r="K125" s="5338"/>
      <c r="L125" s="5338"/>
      <c r="M125" s="5338"/>
      <c r="N125" s="5338"/>
      <c r="O125" s="5338"/>
      <c r="P125" s="5338"/>
      <c r="Q125" s="5345"/>
      <c r="R125" s="1303"/>
      <c r="S125" s="1303"/>
      <c r="T125" s="1262">
        <v>873900011</v>
      </c>
      <c r="U125" s="1284" t="s">
        <v>2930</v>
      </c>
      <c r="V125" s="1154">
        <v>1</v>
      </c>
      <c r="W125" s="1154" t="s">
        <v>269</v>
      </c>
      <c r="X125" s="1304">
        <v>57600</v>
      </c>
      <c r="Y125" s="1304">
        <f>+V125*X125</f>
        <v>57600</v>
      </c>
      <c r="Z125" s="1304">
        <f>+Y125*1.12</f>
        <v>64512.000000000007</v>
      </c>
      <c r="AA125" s="1155"/>
      <c r="AB125" s="361" t="s">
        <v>251</v>
      </c>
      <c r="AC125" s="361"/>
      <c r="AD125" s="354"/>
      <c r="AE125" s="5417"/>
    </row>
    <row r="126" spans="1:31" ht="26.25" customHeight="1">
      <c r="A126" s="5578" t="s">
        <v>1476</v>
      </c>
      <c r="B126" s="5627" t="s">
        <v>235</v>
      </c>
      <c r="C126" s="5347" t="s">
        <v>236</v>
      </c>
      <c r="D126" s="5347" t="s">
        <v>244</v>
      </c>
      <c r="E126" s="5347" t="s">
        <v>245</v>
      </c>
      <c r="F126" s="5353" t="s">
        <v>239</v>
      </c>
      <c r="G126" s="5347" t="s">
        <v>240</v>
      </c>
      <c r="H126" s="5347" t="s">
        <v>278</v>
      </c>
      <c r="I126" s="5360" t="s">
        <v>2948</v>
      </c>
      <c r="J126" s="5347" t="s">
        <v>1524</v>
      </c>
      <c r="K126" s="5347" t="s">
        <v>2949</v>
      </c>
      <c r="L126" s="5399">
        <v>1</v>
      </c>
      <c r="M126" s="1717"/>
      <c r="N126" s="5399">
        <v>0</v>
      </c>
      <c r="O126" s="5347" t="s">
        <v>2950</v>
      </c>
      <c r="P126" s="5347" t="s">
        <v>2951</v>
      </c>
      <c r="Q126" s="5394" t="s">
        <v>2878</v>
      </c>
      <c r="R126" s="995"/>
      <c r="S126" s="996"/>
      <c r="T126" s="1239"/>
      <c r="U126" s="362"/>
      <c r="V126" s="1130"/>
      <c r="W126" s="355"/>
      <c r="X126" s="1131"/>
      <c r="Y126" s="1131"/>
      <c r="Z126" s="1131"/>
      <c r="AA126" s="1244"/>
      <c r="AB126" s="363"/>
      <c r="AC126" s="367"/>
      <c r="AD126" s="367"/>
      <c r="AE126" s="5418"/>
    </row>
    <row r="127" spans="1:31" ht="26.25" customHeight="1">
      <c r="A127" s="5629"/>
      <c r="B127" s="5573"/>
      <c r="C127" s="5337"/>
      <c r="D127" s="5337"/>
      <c r="E127" s="5337"/>
      <c r="F127" s="5337"/>
      <c r="G127" s="5337"/>
      <c r="H127" s="5337"/>
      <c r="I127" s="5361"/>
      <c r="J127" s="5337"/>
      <c r="K127" s="5337"/>
      <c r="L127" s="5337"/>
      <c r="M127" s="1718"/>
      <c r="N127" s="5337"/>
      <c r="O127" s="5337"/>
      <c r="P127" s="5337"/>
      <c r="Q127" s="5345"/>
      <c r="R127" s="982"/>
      <c r="S127" s="983"/>
      <c r="T127" s="1147"/>
      <c r="U127" s="412"/>
      <c r="V127" s="1275"/>
      <c r="W127" s="357"/>
      <c r="X127" s="1133"/>
      <c r="Y127" s="1133">
        <f t="shared" ref="Y127:Y130" si="22">+V127*X127</f>
        <v>0</v>
      </c>
      <c r="Z127" s="1133">
        <f t="shared" ref="Z127:Z130" si="23">+Y127*1.12</f>
        <v>0</v>
      </c>
      <c r="AA127" s="1134"/>
      <c r="AB127" s="357"/>
      <c r="AC127" s="358"/>
      <c r="AD127" s="358"/>
      <c r="AE127" s="5416"/>
    </row>
    <row r="128" spans="1:31" ht="26.25" customHeight="1">
      <c r="A128" s="5629"/>
      <c r="B128" s="5573"/>
      <c r="C128" s="5337"/>
      <c r="D128" s="5337"/>
      <c r="E128" s="5337"/>
      <c r="F128" s="5337"/>
      <c r="G128" s="5337"/>
      <c r="H128" s="5337"/>
      <c r="I128" s="5361"/>
      <c r="J128" s="5337"/>
      <c r="K128" s="5337"/>
      <c r="L128" s="5337"/>
      <c r="M128" s="1718">
        <v>0</v>
      </c>
      <c r="N128" s="5337"/>
      <c r="O128" s="5337"/>
      <c r="P128" s="5337"/>
      <c r="Q128" s="5345"/>
      <c r="R128" s="982"/>
      <c r="S128" s="983"/>
      <c r="T128" s="1147"/>
      <c r="U128" s="412"/>
      <c r="V128" s="1275"/>
      <c r="W128" s="357"/>
      <c r="X128" s="1133"/>
      <c r="Y128" s="1133">
        <f t="shared" si="22"/>
        <v>0</v>
      </c>
      <c r="Z128" s="1133">
        <f t="shared" si="23"/>
        <v>0</v>
      </c>
      <c r="AA128" s="1134"/>
      <c r="AB128" s="357"/>
      <c r="AC128" s="358"/>
      <c r="AD128" s="358"/>
      <c r="AE128" s="5416"/>
    </row>
    <row r="129" spans="1:31" ht="26.25" customHeight="1">
      <c r="A129" s="5629"/>
      <c r="B129" s="5573"/>
      <c r="C129" s="5337"/>
      <c r="D129" s="5337"/>
      <c r="E129" s="5337"/>
      <c r="F129" s="5337"/>
      <c r="G129" s="5337"/>
      <c r="H129" s="5337"/>
      <c r="I129" s="5361"/>
      <c r="J129" s="5337"/>
      <c r="K129" s="5337"/>
      <c r="L129" s="5337"/>
      <c r="M129" s="1718"/>
      <c r="N129" s="5337"/>
      <c r="O129" s="5337"/>
      <c r="P129" s="5337"/>
      <c r="Q129" s="5345"/>
      <c r="R129" s="982"/>
      <c r="S129" s="983"/>
      <c r="T129" s="1147"/>
      <c r="U129" s="412"/>
      <c r="V129" s="1275"/>
      <c r="W129" s="357"/>
      <c r="X129" s="1133"/>
      <c r="Y129" s="1133">
        <f t="shared" si="22"/>
        <v>0</v>
      </c>
      <c r="Z129" s="1133">
        <f t="shared" si="23"/>
        <v>0</v>
      </c>
      <c r="AA129" s="1134"/>
      <c r="AB129" s="357"/>
      <c r="AC129" s="358"/>
      <c r="AD129" s="358"/>
      <c r="AE129" s="5416"/>
    </row>
    <row r="130" spans="1:31" ht="26.25" customHeight="1">
      <c r="A130" s="5629"/>
      <c r="B130" s="5574"/>
      <c r="C130" s="5338"/>
      <c r="D130" s="5338"/>
      <c r="E130" s="5338"/>
      <c r="F130" s="5338"/>
      <c r="G130" s="5338"/>
      <c r="H130" s="5338"/>
      <c r="I130" s="5362"/>
      <c r="J130" s="5338"/>
      <c r="K130" s="5338"/>
      <c r="L130" s="5338"/>
      <c r="M130" s="359"/>
      <c r="N130" s="5338"/>
      <c r="O130" s="5338"/>
      <c r="P130" s="5338"/>
      <c r="Q130" s="5345"/>
      <c r="R130" s="975"/>
      <c r="S130" s="976"/>
      <c r="T130" s="1153"/>
      <c r="U130" s="360"/>
      <c r="V130" s="1154"/>
      <c r="W130" s="361"/>
      <c r="X130" s="1304"/>
      <c r="Y130" s="1304">
        <f t="shared" si="22"/>
        <v>0</v>
      </c>
      <c r="Z130" s="1304">
        <f t="shared" si="23"/>
        <v>0</v>
      </c>
      <c r="AA130" s="1155"/>
      <c r="AB130" s="361"/>
      <c r="AC130" s="354"/>
      <c r="AD130" s="354"/>
      <c r="AE130" s="5417"/>
    </row>
    <row r="131" spans="1:31" ht="26.25" customHeight="1">
      <c r="A131" s="5629"/>
      <c r="B131" s="5572" t="s">
        <v>235</v>
      </c>
      <c r="C131" s="5336" t="s">
        <v>236</v>
      </c>
      <c r="D131" s="5336" t="s">
        <v>237</v>
      </c>
      <c r="E131" s="5336" t="s">
        <v>326</v>
      </c>
      <c r="F131" s="5341" t="s">
        <v>239</v>
      </c>
      <c r="G131" s="5336" t="s">
        <v>240</v>
      </c>
      <c r="H131" s="5336" t="s">
        <v>257</v>
      </c>
      <c r="I131" s="5336" t="s">
        <v>2952</v>
      </c>
      <c r="J131" s="5649" t="s">
        <v>2953</v>
      </c>
      <c r="K131" s="5336" t="s">
        <v>2954</v>
      </c>
      <c r="L131" s="5343">
        <v>1</v>
      </c>
      <c r="M131" s="1718"/>
      <c r="N131" s="5343">
        <v>1</v>
      </c>
      <c r="O131" s="5336" t="s">
        <v>2955</v>
      </c>
      <c r="P131" s="5336" t="s">
        <v>2956</v>
      </c>
      <c r="Q131" s="5637" t="s">
        <v>2957</v>
      </c>
      <c r="R131" s="970"/>
      <c r="S131" s="967"/>
      <c r="T131" s="967"/>
      <c r="U131" s="176"/>
      <c r="V131" s="968"/>
      <c r="W131" s="414"/>
      <c r="X131" s="973"/>
      <c r="Y131" s="973"/>
      <c r="Z131" s="973"/>
      <c r="AA131" s="981"/>
      <c r="AB131" s="414"/>
      <c r="AC131" s="174"/>
      <c r="AD131" s="174"/>
      <c r="AE131" s="5415"/>
    </row>
    <row r="132" spans="1:31" ht="26.25" customHeight="1">
      <c r="A132" s="5629"/>
      <c r="B132" s="5573"/>
      <c r="C132" s="5337"/>
      <c r="D132" s="5337"/>
      <c r="E132" s="5337"/>
      <c r="F132" s="5337"/>
      <c r="G132" s="5337"/>
      <c r="H132" s="5337"/>
      <c r="I132" s="5337"/>
      <c r="J132" s="5337"/>
      <c r="K132" s="5337"/>
      <c r="L132" s="5337"/>
      <c r="M132" s="1718"/>
      <c r="N132" s="5337"/>
      <c r="O132" s="5337"/>
      <c r="P132" s="5337"/>
      <c r="Q132" s="5345"/>
      <c r="R132" s="982"/>
      <c r="S132" s="983"/>
      <c r="T132" s="983"/>
      <c r="U132" s="169"/>
      <c r="V132" s="984"/>
      <c r="W132" s="170"/>
      <c r="X132" s="974"/>
      <c r="Y132" s="974">
        <f t="shared" ref="Y132:Y135" si="24">+V132*X132</f>
        <v>0</v>
      </c>
      <c r="Z132" s="974">
        <f t="shared" ref="Z132:Z135" si="25">+Y132*1.12</f>
        <v>0</v>
      </c>
      <c r="AA132" s="969"/>
      <c r="AB132" s="170"/>
      <c r="AC132" s="282"/>
      <c r="AD132" s="282"/>
      <c r="AE132" s="5416"/>
    </row>
    <row r="133" spans="1:31" ht="26.25" customHeight="1">
      <c r="A133" s="5629"/>
      <c r="B133" s="5573"/>
      <c r="C133" s="5337"/>
      <c r="D133" s="5337"/>
      <c r="E133" s="5337"/>
      <c r="F133" s="5337"/>
      <c r="G133" s="5337"/>
      <c r="H133" s="5337"/>
      <c r="I133" s="5337"/>
      <c r="J133" s="5337"/>
      <c r="K133" s="5337"/>
      <c r="L133" s="5337"/>
      <c r="M133" s="1718">
        <v>1</v>
      </c>
      <c r="N133" s="5337"/>
      <c r="O133" s="5337"/>
      <c r="P133" s="5337"/>
      <c r="Q133" s="5345"/>
      <c r="R133" s="971"/>
      <c r="S133" s="972"/>
      <c r="T133" s="972"/>
      <c r="U133" s="1217"/>
      <c r="V133" s="968"/>
      <c r="W133" s="414"/>
      <c r="X133" s="973"/>
      <c r="Y133" s="974">
        <f t="shared" si="24"/>
        <v>0</v>
      </c>
      <c r="Z133" s="974">
        <f t="shared" si="25"/>
        <v>0</v>
      </c>
      <c r="AA133" s="969"/>
      <c r="AB133" s="170"/>
      <c r="AC133" s="282"/>
      <c r="AD133" s="282"/>
      <c r="AE133" s="5416"/>
    </row>
    <row r="134" spans="1:31" ht="26.25" customHeight="1">
      <c r="A134" s="5629"/>
      <c r="B134" s="5573"/>
      <c r="C134" s="5337"/>
      <c r="D134" s="5337"/>
      <c r="E134" s="5337"/>
      <c r="F134" s="5337"/>
      <c r="G134" s="5337"/>
      <c r="H134" s="5337"/>
      <c r="I134" s="5337"/>
      <c r="J134" s="5337"/>
      <c r="K134" s="5337"/>
      <c r="L134" s="5337"/>
      <c r="M134" s="1718"/>
      <c r="N134" s="5337"/>
      <c r="O134" s="5337"/>
      <c r="P134" s="5337"/>
      <c r="Q134" s="5345"/>
      <c r="R134" s="970"/>
      <c r="S134" s="967"/>
      <c r="T134" s="967"/>
      <c r="U134" s="1217"/>
      <c r="V134" s="968"/>
      <c r="W134" s="414"/>
      <c r="X134" s="973"/>
      <c r="Y134" s="974">
        <f t="shared" si="24"/>
        <v>0</v>
      </c>
      <c r="Z134" s="974">
        <f t="shared" si="25"/>
        <v>0</v>
      </c>
      <c r="AA134" s="969"/>
      <c r="AB134" s="170"/>
      <c r="AC134" s="282"/>
      <c r="AD134" s="282"/>
      <c r="AE134" s="5416"/>
    </row>
    <row r="135" spans="1:31" ht="26.25" customHeight="1">
      <c r="A135" s="5629"/>
      <c r="B135" s="5574"/>
      <c r="C135" s="5338"/>
      <c r="D135" s="5338"/>
      <c r="E135" s="5338"/>
      <c r="F135" s="5338"/>
      <c r="G135" s="5338"/>
      <c r="H135" s="5338"/>
      <c r="I135" s="5338"/>
      <c r="J135" s="4629"/>
      <c r="K135" s="5338"/>
      <c r="L135" s="5338"/>
      <c r="M135" s="359"/>
      <c r="N135" s="5338"/>
      <c r="O135" s="5338"/>
      <c r="P135" s="5338"/>
      <c r="Q135" s="5346"/>
      <c r="R135" s="975"/>
      <c r="S135" s="976"/>
      <c r="T135" s="976"/>
      <c r="U135" s="411"/>
      <c r="V135" s="977"/>
      <c r="W135" s="165"/>
      <c r="X135" s="978"/>
      <c r="Y135" s="978">
        <f t="shared" si="24"/>
        <v>0</v>
      </c>
      <c r="Z135" s="978">
        <f t="shared" si="25"/>
        <v>0</v>
      </c>
      <c r="AA135" s="979"/>
      <c r="AB135" s="165"/>
      <c r="AC135" s="166"/>
      <c r="AD135" s="166"/>
      <c r="AE135" s="5417"/>
    </row>
    <row r="136" spans="1:31" ht="26.25" customHeight="1">
      <c r="A136" s="5629"/>
      <c r="B136" s="5572" t="s">
        <v>272</v>
      </c>
      <c r="C136" s="5336" t="s">
        <v>302</v>
      </c>
      <c r="D136" s="5336" t="s">
        <v>303</v>
      </c>
      <c r="E136" s="5336" t="s">
        <v>955</v>
      </c>
      <c r="F136" s="5341" t="s">
        <v>305</v>
      </c>
      <c r="G136" s="5336" t="s">
        <v>306</v>
      </c>
      <c r="H136" s="5336" t="s">
        <v>278</v>
      </c>
      <c r="I136" s="5360" t="s">
        <v>2958</v>
      </c>
      <c r="J136" s="5623" t="s">
        <v>2959</v>
      </c>
      <c r="K136" s="5336" t="s">
        <v>1540</v>
      </c>
      <c r="L136" s="5343">
        <v>1</v>
      </c>
      <c r="M136" s="1718"/>
      <c r="N136" s="5343">
        <v>1</v>
      </c>
      <c r="O136" s="5336" t="s">
        <v>2866</v>
      </c>
      <c r="P136" s="5336" t="s">
        <v>2867</v>
      </c>
      <c r="Q136" s="5392" t="s">
        <v>2960</v>
      </c>
      <c r="R136" s="970"/>
      <c r="S136" s="967"/>
      <c r="T136" s="967"/>
      <c r="U136" s="176"/>
      <c r="V136" s="968"/>
      <c r="W136" s="414"/>
      <c r="X136" s="973"/>
      <c r="Y136" s="973"/>
      <c r="Z136" s="973"/>
      <c r="AA136" s="981"/>
      <c r="AB136" s="414"/>
      <c r="AC136" s="168"/>
      <c r="AD136" s="168"/>
      <c r="AE136" s="5415"/>
    </row>
    <row r="137" spans="1:31" ht="26.25" customHeight="1">
      <c r="A137" s="5629"/>
      <c r="B137" s="5573"/>
      <c r="C137" s="5337"/>
      <c r="D137" s="5337"/>
      <c r="E137" s="5337"/>
      <c r="F137" s="5337"/>
      <c r="G137" s="5337"/>
      <c r="H137" s="5337"/>
      <c r="I137" s="5361"/>
      <c r="J137" s="5337"/>
      <c r="K137" s="5337"/>
      <c r="L137" s="5337"/>
      <c r="M137" s="1718"/>
      <c r="N137" s="5337"/>
      <c r="O137" s="5337"/>
      <c r="P137" s="5337"/>
      <c r="Q137" s="5345"/>
      <c r="R137" s="982"/>
      <c r="S137" s="983"/>
      <c r="T137" s="983"/>
      <c r="U137" s="169"/>
      <c r="V137" s="984"/>
      <c r="W137" s="170"/>
      <c r="X137" s="974"/>
      <c r="Y137" s="974">
        <f t="shared" ref="Y137:Y140" si="26">+V137*X137</f>
        <v>0</v>
      </c>
      <c r="Z137" s="974">
        <f t="shared" ref="Z137:Z140" si="27">+Y137*1.12</f>
        <v>0</v>
      </c>
      <c r="AA137" s="969"/>
      <c r="AB137" s="170"/>
      <c r="AC137" s="170"/>
      <c r="AD137" s="171"/>
      <c r="AE137" s="5416"/>
    </row>
    <row r="138" spans="1:31" ht="26.25" customHeight="1">
      <c r="A138" s="5629"/>
      <c r="B138" s="5573"/>
      <c r="C138" s="5337"/>
      <c r="D138" s="5337"/>
      <c r="E138" s="5337"/>
      <c r="F138" s="5337"/>
      <c r="G138" s="5337"/>
      <c r="H138" s="5337"/>
      <c r="I138" s="5361"/>
      <c r="J138" s="5337"/>
      <c r="K138" s="5337"/>
      <c r="L138" s="5337"/>
      <c r="M138" s="1718">
        <v>1</v>
      </c>
      <c r="N138" s="5337"/>
      <c r="O138" s="5337"/>
      <c r="P138" s="5337"/>
      <c r="Q138" s="5345"/>
      <c r="R138" s="982"/>
      <c r="S138" s="983"/>
      <c r="T138" s="983"/>
      <c r="U138" s="169"/>
      <c r="V138" s="984"/>
      <c r="W138" s="170"/>
      <c r="X138" s="974"/>
      <c r="Y138" s="974">
        <f t="shared" si="26"/>
        <v>0</v>
      </c>
      <c r="Z138" s="974">
        <f t="shared" si="27"/>
        <v>0</v>
      </c>
      <c r="AA138" s="969"/>
      <c r="AB138" s="170"/>
      <c r="AC138" s="170"/>
      <c r="AD138" s="282"/>
      <c r="AE138" s="5416"/>
    </row>
    <row r="139" spans="1:31" ht="26.25" customHeight="1">
      <c r="A139" s="5629"/>
      <c r="B139" s="5573"/>
      <c r="C139" s="5337"/>
      <c r="D139" s="5337"/>
      <c r="E139" s="5337"/>
      <c r="F139" s="5337"/>
      <c r="G139" s="5337"/>
      <c r="H139" s="5337"/>
      <c r="I139" s="5361"/>
      <c r="J139" s="5337"/>
      <c r="K139" s="5337"/>
      <c r="L139" s="5337"/>
      <c r="M139" s="1718"/>
      <c r="N139" s="5337"/>
      <c r="O139" s="5337"/>
      <c r="P139" s="5337"/>
      <c r="Q139" s="5345"/>
      <c r="R139" s="982"/>
      <c r="S139" s="983"/>
      <c r="T139" s="983"/>
      <c r="U139" s="169"/>
      <c r="V139" s="984"/>
      <c r="W139" s="170"/>
      <c r="X139" s="974"/>
      <c r="Y139" s="974">
        <f t="shared" si="26"/>
        <v>0</v>
      </c>
      <c r="Z139" s="974">
        <f t="shared" si="27"/>
        <v>0</v>
      </c>
      <c r="AA139" s="969"/>
      <c r="AB139" s="170"/>
      <c r="AC139" s="170"/>
      <c r="AD139" s="282"/>
      <c r="AE139" s="5416"/>
    </row>
    <row r="140" spans="1:31" ht="26.25" customHeight="1">
      <c r="A140" s="5629"/>
      <c r="B140" s="5574"/>
      <c r="C140" s="5338"/>
      <c r="D140" s="5338"/>
      <c r="E140" s="5338"/>
      <c r="F140" s="5338"/>
      <c r="G140" s="5338"/>
      <c r="H140" s="5338"/>
      <c r="I140" s="5362"/>
      <c r="J140" s="5338"/>
      <c r="K140" s="5338"/>
      <c r="L140" s="5338"/>
      <c r="M140" s="359"/>
      <c r="N140" s="5338"/>
      <c r="O140" s="5338"/>
      <c r="P140" s="5338"/>
      <c r="Q140" s="5346"/>
      <c r="R140" s="975"/>
      <c r="S140" s="976"/>
      <c r="T140" s="976"/>
      <c r="U140" s="411"/>
      <c r="V140" s="977"/>
      <c r="W140" s="165"/>
      <c r="X140" s="978"/>
      <c r="Y140" s="978">
        <f t="shared" si="26"/>
        <v>0</v>
      </c>
      <c r="Z140" s="978">
        <f t="shared" si="27"/>
        <v>0</v>
      </c>
      <c r="AA140" s="979"/>
      <c r="AB140" s="165"/>
      <c r="AC140" s="165"/>
      <c r="AD140" s="166"/>
      <c r="AE140" s="5417"/>
    </row>
    <row r="141" spans="1:31" ht="26.25" customHeight="1">
      <c r="A141" s="5629"/>
      <c r="B141" s="5627" t="s">
        <v>235</v>
      </c>
      <c r="C141" s="5347" t="s">
        <v>236</v>
      </c>
      <c r="D141" s="5347" t="s">
        <v>237</v>
      </c>
      <c r="E141" s="5347" t="s">
        <v>326</v>
      </c>
      <c r="F141" s="5353" t="s">
        <v>239</v>
      </c>
      <c r="G141" s="5347" t="s">
        <v>240</v>
      </c>
      <c r="H141" s="5347" t="s">
        <v>278</v>
      </c>
      <c r="I141" s="5360" t="s">
        <v>2961</v>
      </c>
      <c r="J141" s="5623" t="s">
        <v>2962</v>
      </c>
      <c r="K141" s="5347" t="s">
        <v>2963</v>
      </c>
      <c r="L141" s="5399">
        <v>1</v>
      </c>
      <c r="M141" s="1717"/>
      <c r="N141" s="5399">
        <v>1</v>
      </c>
      <c r="O141" s="5347" t="s">
        <v>2964</v>
      </c>
      <c r="P141" s="5347" t="s">
        <v>2965</v>
      </c>
      <c r="Q141" s="5392" t="s">
        <v>2960</v>
      </c>
      <c r="R141" s="970"/>
      <c r="S141" s="967"/>
      <c r="T141" s="967"/>
      <c r="U141" s="283"/>
      <c r="V141" s="988"/>
      <c r="W141" s="178"/>
      <c r="X141" s="989"/>
      <c r="Y141" s="973"/>
      <c r="Z141" s="973"/>
      <c r="AA141" s="990"/>
      <c r="AB141" s="178"/>
      <c r="AC141" s="181"/>
      <c r="AD141" s="181"/>
      <c r="AE141" s="5418"/>
    </row>
    <row r="142" spans="1:31" ht="26.25" customHeight="1">
      <c r="A142" s="5629"/>
      <c r="B142" s="5573"/>
      <c r="C142" s="5337"/>
      <c r="D142" s="5337"/>
      <c r="E142" s="5337"/>
      <c r="F142" s="5337"/>
      <c r="G142" s="5337"/>
      <c r="H142" s="5337"/>
      <c r="I142" s="5361"/>
      <c r="J142" s="5337"/>
      <c r="K142" s="5337"/>
      <c r="L142" s="5337"/>
      <c r="M142" s="1718"/>
      <c r="N142" s="5337"/>
      <c r="O142" s="5337"/>
      <c r="P142" s="5337"/>
      <c r="Q142" s="5345"/>
      <c r="R142" s="982"/>
      <c r="S142" s="983"/>
      <c r="T142" s="983"/>
      <c r="U142" s="169"/>
      <c r="V142" s="984"/>
      <c r="W142" s="170"/>
      <c r="X142" s="974"/>
      <c r="Y142" s="974">
        <f t="shared" ref="Y142:Y145" si="28">+V142*X142</f>
        <v>0</v>
      </c>
      <c r="Z142" s="974">
        <f t="shared" ref="Z142:Z145" si="29">+Y142*1.12</f>
        <v>0</v>
      </c>
      <c r="AA142" s="969"/>
      <c r="AB142" s="170"/>
      <c r="AC142" s="282"/>
      <c r="AD142" s="282"/>
      <c r="AE142" s="5416"/>
    </row>
    <row r="143" spans="1:31" ht="26.25" customHeight="1">
      <c r="A143" s="5629"/>
      <c r="B143" s="5573"/>
      <c r="C143" s="5337"/>
      <c r="D143" s="5337"/>
      <c r="E143" s="5337"/>
      <c r="F143" s="5337"/>
      <c r="G143" s="5337"/>
      <c r="H143" s="5337"/>
      <c r="I143" s="5361"/>
      <c r="J143" s="5337"/>
      <c r="K143" s="5337"/>
      <c r="L143" s="5337"/>
      <c r="M143" s="1718">
        <v>1</v>
      </c>
      <c r="N143" s="5337"/>
      <c r="O143" s="5337"/>
      <c r="P143" s="5337"/>
      <c r="Q143" s="5345"/>
      <c r="R143" s="982"/>
      <c r="S143" s="983"/>
      <c r="T143" s="983"/>
      <c r="U143" s="169"/>
      <c r="V143" s="984"/>
      <c r="W143" s="170"/>
      <c r="X143" s="974"/>
      <c r="Y143" s="974">
        <f t="shared" si="28"/>
        <v>0</v>
      </c>
      <c r="Z143" s="974">
        <f t="shared" si="29"/>
        <v>0</v>
      </c>
      <c r="AA143" s="969"/>
      <c r="AB143" s="170"/>
      <c r="AC143" s="282"/>
      <c r="AD143" s="282"/>
      <c r="AE143" s="5416"/>
    </row>
    <row r="144" spans="1:31" ht="26.25" customHeight="1">
      <c r="A144" s="5629"/>
      <c r="B144" s="5573"/>
      <c r="C144" s="5337"/>
      <c r="D144" s="5337"/>
      <c r="E144" s="5337"/>
      <c r="F144" s="5337"/>
      <c r="G144" s="5337"/>
      <c r="H144" s="5337"/>
      <c r="I144" s="5361"/>
      <c r="J144" s="5337"/>
      <c r="K144" s="5337"/>
      <c r="L144" s="5337"/>
      <c r="M144" s="1718"/>
      <c r="N144" s="5337"/>
      <c r="O144" s="5337"/>
      <c r="P144" s="5337"/>
      <c r="Q144" s="5345"/>
      <c r="R144" s="982"/>
      <c r="S144" s="983"/>
      <c r="T144" s="983"/>
      <c r="U144" s="169"/>
      <c r="V144" s="984"/>
      <c r="W144" s="170"/>
      <c r="X144" s="974"/>
      <c r="Y144" s="974">
        <f t="shared" si="28"/>
        <v>0</v>
      </c>
      <c r="Z144" s="974">
        <f t="shared" si="29"/>
        <v>0</v>
      </c>
      <c r="AA144" s="969"/>
      <c r="AB144" s="170"/>
      <c r="AC144" s="282"/>
      <c r="AD144" s="282"/>
      <c r="AE144" s="5416"/>
    </row>
    <row r="145" spans="1:31" ht="26.25" customHeight="1">
      <c r="A145" s="5629"/>
      <c r="B145" s="5574"/>
      <c r="C145" s="5338"/>
      <c r="D145" s="5338"/>
      <c r="E145" s="5338"/>
      <c r="F145" s="5338"/>
      <c r="G145" s="5338"/>
      <c r="H145" s="5338"/>
      <c r="I145" s="5362"/>
      <c r="J145" s="5338"/>
      <c r="K145" s="5338"/>
      <c r="L145" s="5338"/>
      <c r="M145" s="359"/>
      <c r="N145" s="5338"/>
      <c r="O145" s="5338"/>
      <c r="P145" s="5338"/>
      <c r="Q145" s="5346"/>
      <c r="R145" s="975"/>
      <c r="S145" s="976"/>
      <c r="T145" s="976"/>
      <c r="U145" s="411"/>
      <c r="V145" s="977"/>
      <c r="W145" s="165"/>
      <c r="X145" s="978"/>
      <c r="Y145" s="978">
        <f t="shared" si="28"/>
        <v>0</v>
      </c>
      <c r="Z145" s="978">
        <f t="shared" si="29"/>
        <v>0</v>
      </c>
      <c r="AA145" s="979"/>
      <c r="AB145" s="165"/>
      <c r="AC145" s="166"/>
      <c r="AD145" s="166"/>
      <c r="AE145" s="5417"/>
    </row>
    <row r="146" spans="1:31" ht="26.25" customHeight="1">
      <c r="A146" s="5629"/>
      <c r="B146" s="5572" t="s">
        <v>272</v>
      </c>
      <c r="C146" s="5336" t="s">
        <v>302</v>
      </c>
      <c r="D146" s="5336" t="s">
        <v>303</v>
      </c>
      <c r="E146" s="5336" t="s">
        <v>318</v>
      </c>
      <c r="F146" s="5341" t="s">
        <v>305</v>
      </c>
      <c r="G146" s="5336" t="s">
        <v>240</v>
      </c>
      <c r="H146" s="5336" t="s">
        <v>294</v>
      </c>
      <c r="I146" s="5336" t="s">
        <v>2966</v>
      </c>
      <c r="J146" s="5649" t="s">
        <v>1550</v>
      </c>
      <c r="K146" s="5336" t="s">
        <v>2967</v>
      </c>
      <c r="L146" s="5343">
        <v>1</v>
      </c>
      <c r="M146" s="1718"/>
      <c r="N146" s="5343">
        <v>1</v>
      </c>
      <c r="O146" s="5336" t="s">
        <v>2968</v>
      </c>
      <c r="P146" s="5336" t="s">
        <v>2965</v>
      </c>
      <c r="Q146" s="5392" t="s">
        <v>2969</v>
      </c>
      <c r="R146" s="970"/>
      <c r="S146" s="967"/>
      <c r="T146" s="967"/>
      <c r="U146" s="176"/>
      <c r="V146" s="968"/>
      <c r="W146" s="414"/>
      <c r="X146" s="973"/>
      <c r="Y146" s="973"/>
      <c r="Z146" s="973"/>
      <c r="AA146" s="981"/>
      <c r="AB146" s="414"/>
      <c r="AC146" s="174"/>
      <c r="AD146" s="174"/>
      <c r="AE146" s="5415"/>
    </row>
    <row r="147" spans="1:31" ht="26.25" customHeight="1">
      <c r="A147" s="5629"/>
      <c r="B147" s="5573"/>
      <c r="C147" s="5337"/>
      <c r="D147" s="5337"/>
      <c r="E147" s="5337"/>
      <c r="F147" s="5337"/>
      <c r="G147" s="5337"/>
      <c r="H147" s="5337"/>
      <c r="I147" s="5337"/>
      <c r="J147" s="5337"/>
      <c r="K147" s="5337"/>
      <c r="L147" s="5337"/>
      <c r="M147" s="1718"/>
      <c r="N147" s="5337"/>
      <c r="O147" s="5337"/>
      <c r="P147" s="5337"/>
      <c r="Q147" s="5345"/>
      <c r="R147" s="982"/>
      <c r="S147" s="983"/>
      <c r="T147" s="983"/>
      <c r="U147" s="169"/>
      <c r="V147" s="984"/>
      <c r="W147" s="170"/>
      <c r="X147" s="974"/>
      <c r="Y147" s="974">
        <f t="shared" ref="Y147:Y150" si="30">+V147*X147</f>
        <v>0</v>
      </c>
      <c r="Z147" s="974">
        <f t="shared" ref="Z147:Z150" si="31">+Y147*1.12</f>
        <v>0</v>
      </c>
      <c r="AA147" s="969"/>
      <c r="AB147" s="170"/>
      <c r="AC147" s="282"/>
      <c r="AD147" s="282"/>
      <c r="AE147" s="5416"/>
    </row>
    <row r="148" spans="1:31" ht="26.25" customHeight="1">
      <c r="A148" s="5629"/>
      <c r="B148" s="5573"/>
      <c r="C148" s="5337"/>
      <c r="D148" s="5337"/>
      <c r="E148" s="5337"/>
      <c r="F148" s="5337"/>
      <c r="G148" s="5337"/>
      <c r="H148" s="5337"/>
      <c r="I148" s="5337"/>
      <c r="J148" s="5337"/>
      <c r="K148" s="5337"/>
      <c r="L148" s="5337"/>
      <c r="M148" s="1718">
        <v>1</v>
      </c>
      <c r="N148" s="5337"/>
      <c r="O148" s="5337"/>
      <c r="P148" s="5337"/>
      <c r="Q148" s="5345"/>
      <c r="R148" s="971"/>
      <c r="S148" s="972"/>
      <c r="T148" s="972"/>
      <c r="U148" s="1217"/>
      <c r="V148" s="968"/>
      <c r="W148" s="414"/>
      <c r="X148" s="973"/>
      <c r="Y148" s="974">
        <f t="shared" si="30"/>
        <v>0</v>
      </c>
      <c r="Z148" s="974">
        <f t="shared" si="31"/>
        <v>0</v>
      </c>
      <c r="AA148" s="969"/>
      <c r="AB148" s="170"/>
      <c r="AC148" s="282"/>
      <c r="AD148" s="282"/>
      <c r="AE148" s="5416"/>
    </row>
    <row r="149" spans="1:31" ht="26.25" customHeight="1">
      <c r="A149" s="5629"/>
      <c r="B149" s="5573"/>
      <c r="C149" s="5337"/>
      <c r="D149" s="5337"/>
      <c r="E149" s="5337"/>
      <c r="F149" s="5337"/>
      <c r="G149" s="5337"/>
      <c r="H149" s="5337"/>
      <c r="I149" s="5337"/>
      <c r="J149" s="5337"/>
      <c r="K149" s="5337"/>
      <c r="L149" s="5337"/>
      <c r="M149" s="1718"/>
      <c r="N149" s="5337"/>
      <c r="O149" s="5337"/>
      <c r="P149" s="5337"/>
      <c r="Q149" s="5345"/>
      <c r="R149" s="970"/>
      <c r="S149" s="967"/>
      <c r="T149" s="967"/>
      <c r="U149" s="1217"/>
      <c r="V149" s="968"/>
      <c r="W149" s="414"/>
      <c r="X149" s="973"/>
      <c r="Y149" s="974">
        <f t="shared" si="30"/>
        <v>0</v>
      </c>
      <c r="Z149" s="974">
        <f t="shared" si="31"/>
        <v>0</v>
      </c>
      <c r="AA149" s="969"/>
      <c r="AB149" s="170"/>
      <c r="AC149" s="282"/>
      <c r="AD149" s="282"/>
      <c r="AE149" s="5416"/>
    </row>
    <row r="150" spans="1:31" ht="26.25" customHeight="1">
      <c r="A150" s="5629"/>
      <c r="B150" s="5574"/>
      <c r="C150" s="5338"/>
      <c r="D150" s="5338"/>
      <c r="E150" s="5338"/>
      <c r="F150" s="5338"/>
      <c r="G150" s="5338"/>
      <c r="H150" s="5338"/>
      <c r="I150" s="5338"/>
      <c r="J150" s="4629"/>
      <c r="K150" s="5338"/>
      <c r="L150" s="5338"/>
      <c r="M150" s="359"/>
      <c r="N150" s="5338"/>
      <c r="O150" s="5338"/>
      <c r="P150" s="5338"/>
      <c r="Q150" s="5346"/>
      <c r="R150" s="975"/>
      <c r="S150" s="976"/>
      <c r="T150" s="976"/>
      <c r="U150" s="411"/>
      <c r="V150" s="977"/>
      <c r="W150" s="165"/>
      <c r="X150" s="978"/>
      <c r="Y150" s="978">
        <f t="shared" si="30"/>
        <v>0</v>
      </c>
      <c r="Z150" s="978">
        <f t="shared" si="31"/>
        <v>0</v>
      </c>
      <c r="AA150" s="979"/>
      <c r="AB150" s="165"/>
      <c r="AC150" s="166"/>
      <c r="AD150" s="166"/>
      <c r="AE150" s="5417"/>
    </row>
    <row r="151" spans="1:31" ht="26.25" customHeight="1">
      <c r="A151" s="5629"/>
      <c r="B151" s="5572" t="s">
        <v>235</v>
      </c>
      <c r="C151" s="5336" t="s">
        <v>236</v>
      </c>
      <c r="D151" s="5336" t="s">
        <v>237</v>
      </c>
      <c r="E151" s="5336" t="s">
        <v>326</v>
      </c>
      <c r="F151" s="5341" t="s">
        <v>239</v>
      </c>
      <c r="G151" s="5336" t="s">
        <v>240</v>
      </c>
      <c r="H151" s="5336" t="s">
        <v>257</v>
      </c>
      <c r="I151" s="5634" t="s">
        <v>2970</v>
      </c>
      <c r="J151" s="5623" t="s">
        <v>2971</v>
      </c>
      <c r="K151" s="5336" t="s">
        <v>2972</v>
      </c>
      <c r="L151" s="5343">
        <v>1</v>
      </c>
      <c r="M151" s="1718"/>
      <c r="N151" s="5343">
        <v>1</v>
      </c>
      <c r="O151" s="5336" t="s">
        <v>2973</v>
      </c>
      <c r="P151" s="5336" t="s">
        <v>2974</v>
      </c>
      <c r="Q151" s="5370" t="s">
        <v>2957</v>
      </c>
      <c r="R151" s="970"/>
      <c r="S151" s="967"/>
      <c r="T151" s="967"/>
      <c r="U151" s="176"/>
      <c r="V151" s="968"/>
      <c r="W151" s="414"/>
      <c r="X151" s="973"/>
      <c r="Y151" s="973"/>
      <c r="Z151" s="973"/>
      <c r="AA151" s="981"/>
      <c r="AB151" s="414"/>
      <c r="AC151" s="168"/>
      <c r="AD151" s="168"/>
      <c r="AE151" s="5415"/>
    </row>
    <row r="152" spans="1:31" ht="26.25" customHeight="1">
      <c r="A152" s="5629"/>
      <c r="B152" s="5573"/>
      <c r="C152" s="5337"/>
      <c r="D152" s="5337"/>
      <c r="E152" s="5337"/>
      <c r="F152" s="5337"/>
      <c r="G152" s="5337"/>
      <c r="H152" s="5337"/>
      <c r="I152" s="5635"/>
      <c r="J152" s="5337"/>
      <c r="K152" s="5337"/>
      <c r="L152" s="5337"/>
      <c r="M152" s="1718"/>
      <c r="N152" s="5337"/>
      <c r="O152" s="5337"/>
      <c r="P152" s="5337"/>
      <c r="Q152" s="5345"/>
      <c r="R152" s="982"/>
      <c r="S152" s="983"/>
      <c r="T152" s="983"/>
      <c r="U152" s="169"/>
      <c r="V152" s="984"/>
      <c r="W152" s="170"/>
      <c r="X152" s="974"/>
      <c r="Y152" s="974">
        <f t="shared" ref="Y152:Y155" si="32">+V152*X152</f>
        <v>0</v>
      </c>
      <c r="Z152" s="974">
        <f t="shared" ref="Z152:Z155" si="33">+Y152*1.12</f>
        <v>0</v>
      </c>
      <c r="AA152" s="969"/>
      <c r="AB152" s="170"/>
      <c r="AC152" s="170"/>
      <c r="AD152" s="171"/>
      <c r="AE152" s="5416"/>
    </row>
    <row r="153" spans="1:31" ht="26.25" customHeight="1">
      <c r="A153" s="5629"/>
      <c r="B153" s="5573"/>
      <c r="C153" s="5337"/>
      <c r="D153" s="5337"/>
      <c r="E153" s="5337"/>
      <c r="F153" s="5337"/>
      <c r="G153" s="5337"/>
      <c r="H153" s="5337"/>
      <c r="I153" s="5635"/>
      <c r="J153" s="5337"/>
      <c r="K153" s="5337"/>
      <c r="L153" s="5337"/>
      <c r="M153" s="1718">
        <v>1</v>
      </c>
      <c r="N153" s="5337"/>
      <c r="O153" s="5337"/>
      <c r="P153" s="5337"/>
      <c r="Q153" s="5345"/>
      <c r="R153" s="982"/>
      <c r="S153" s="983"/>
      <c r="T153" s="983"/>
      <c r="U153" s="169"/>
      <c r="V153" s="984"/>
      <c r="W153" s="170"/>
      <c r="X153" s="974"/>
      <c r="Y153" s="974">
        <f t="shared" si="32"/>
        <v>0</v>
      </c>
      <c r="Z153" s="974">
        <f t="shared" si="33"/>
        <v>0</v>
      </c>
      <c r="AA153" s="969"/>
      <c r="AB153" s="170"/>
      <c r="AC153" s="170"/>
      <c r="AD153" s="282"/>
      <c r="AE153" s="5416"/>
    </row>
    <row r="154" spans="1:31" ht="26.25" customHeight="1">
      <c r="A154" s="5629"/>
      <c r="B154" s="5573"/>
      <c r="C154" s="5337"/>
      <c r="D154" s="5337"/>
      <c r="E154" s="5337"/>
      <c r="F154" s="5337"/>
      <c r="G154" s="5337"/>
      <c r="H154" s="5337"/>
      <c r="I154" s="5635"/>
      <c r="J154" s="5337"/>
      <c r="K154" s="5337"/>
      <c r="L154" s="5337"/>
      <c r="M154" s="1718"/>
      <c r="N154" s="5337"/>
      <c r="O154" s="5337"/>
      <c r="P154" s="5337"/>
      <c r="Q154" s="5345"/>
      <c r="R154" s="982"/>
      <c r="S154" s="983"/>
      <c r="T154" s="983"/>
      <c r="U154" s="169"/>
      <c r="V154" s="984"/>
      <c r="W154" s="170"/>
      <c r="X154" s="974"/>
      <c r="Y154" s="974">
        <f t="shared" si="32"/>
        <v>0</v>
      </c>
      <c r="Z154" s="974">
        <f t="shared" si="33"/>
        <v>0</v>
      </c>
      <c r="AA154" s="969"/>
      <c r="AB154" s="170"/>
      <c r="AC154" s="170"/>
      <c r="AD154" s="282"/>
      <c r="AE154" s="5416"/>
    </row>
    <row r="155" spans="1:31" ht="26.25" customHeight="1">
      <c r="A155" s="5629"/>
      <c r="B155" s="5574"/>
      <c r="C155" s="5338"/>
      <c r="D155" s="5338"/>
      <c r="E155" s="5338"/>
      <c r="F155" s="5338"/>
      <c r="G155" s="5338"/>
      <c r="H155" s="5338"/>
      <c r="I155" s="5532"/>
      <c r="J155" s="5338"/>
      <c r="K155" s="5338"/>
      <c r="L155" s="5338"/>
      <c r="M155" s="359"/>
      <c r="N155" s="5338"/>
      <c r="O155" s="5338"/>
      <c r="P155" s="5338"/>
      <c r="Q155" s="5346"/>
      <c r="R155" s="975"/>
      <c r="S155" s="976"/>
      <c r="T155" s="976"/>
      <c r="U155" s="411"/>
      <c r="V155" s="977"/>
      <c r="W155" s="165"/>
      <c r="X155" s="978"/>
      <c r="Y155" s="978">
        <f t="shared" si="32"/>
        <v>0</v>
      </c>
      <c r="Z155" s="978">
        <f t="shared" si="33"/>
        <v>0</v>
      </c>
      <c r="AA155" s="979"/>
      <c r="AB155" s="165"/>
      <c r="AC155" s="165"/>
      <c r="AD155" s="166"/>
      <c r="AE155" s="5417"/>
    </row>
    <row r="156" spans="1:31" ht="26.25" customHeight="1">
      <c r="A156" s="5629"/>
      <c r="B156" s="5627" t="s">
        <v>235</v>
      </c>
      <c r="C156" s="5347" t="s">
        <v>236</v>
      </c>
      <c r="D156" s="5347" t="s">
        <v>237</v>
      </c>
      <c r="E156" s="5347" t="s">
        <v>326</v>
      </c>
      <c r="F156" s="5353" t="s">
        <v>239</v>
      </c>
      <c r="G156" s="5347" t="s">
        <v>240</v>
      </c>
      <c r="H156" s="5347" t="s">
        <v>257</v>
      </c>
      <c r="I156" s="5360" t="s">
        <v>2975</v>
      </c>
      <c r="J156" s="5623" t="s">
        <v>741</v>
      </c>
      <c r="K156" s="5347" t="s">
        <v>2976</v>
      </c>
      <c r="L156" s="5631">
        <v>1</v>
      </c>
      <c r="M156" s="1305"/>
      <c r="N156" s="5631">
        <v>0</v>
      </c>
      <c r="O156" s="5347" t="s">
        <v>2977</v>
      </c>
      <c r="P156" s="5347" t="s">
        <v>2978</v>
      </c>
      <c r="Q156" s="5394" t="s">
        <v>2979</v>
      </c>
      <c r="R156" s="970"/>
      <c r="S156" s="967"/>
      <c r="T156" s="967"/>
      <c r="U156" s="283"/>
      <c r="V156" s="988"/>
      <c r="W156" s="178"/>
      <c r="X156" s="989"/>
      <c r="Y156" s="973"/>
      <c r="Z156" s="973"/>
      <c r="AA156" s="990"/>
      <c r="AB156" s="178"/>
      <c r="AC156" s="181"/>
      <c r="AD156" s="181"/>
      <c r="AE156" s="5418"/>
    </row>
    <row r="157" spans="1:31" ht="26.25" customHeight="1">
      <c r="A157" s="5629"/>
      <c r="B157" s="5573"/>
      <c r="C157" s="5337"/>
      <c r="D157" s="5337"/>
      <c r="E157" s="5337"/>
      <c r="F157" s="5337"/>
      <c r="G157" s="5337"/>
      <c r="H157" s="5337"/>
      <c r="I157" s="5361"/>
      <c r="J157" s="5337"/>
      <c r="K157" s="5337"/>
      <c r="L157" s="5337"/>
      <c r="M157" s="1306"/>
      <c r="N157" s="5337"/>
      <c r="O157" s="5337"/>
      <c r="P157" s="5337"/>
      <c r="Q157" s="5345"/>
      <c r="R157" s="982"/>
      <c r="S157" s="983"/>
      <c r="T157" s="983"/>
      <c r="U157" s="169"/>
      <c r="V157" s="984"/>
      <c r="W157" s="170"/>
      <c r="X157" s="974"/>
      <c r="Y157" s="974">
        <f t="shared" ref="Y157:Y160" si="34">+V157*X157</f>
        <v>0</v>
      </c>
      <c r="Z157" s="974">
        <f t="shared" ref="Z157:Z160" si="35">+Y157*1.12</f>
        <v>0</v>
      </c>
      <c r="AA157" s="969"/>
      <c r="AB157" s="170"/>
      <c r="AC157" s="282"/>
      <c r="AD157" s="282"/>
      <c r="AE157" s="5416"/>
    </row>
    <row r="158" spans="1:31" ht="26.25" customHeight="1">
      <c r="A158" s="5629"/>
      <c r="B158" s="5573"/>
      <c r="C158" s="5337"/>
      <c r="D158" s="5337"/>
      <c r="E158" s="5337"/>
      <c r="F158" s="5337"/>
      <c r="G158" s="5337"/>
      <c r="H158" s="5337"/>
      <c r="I158" s="5361"/>
      <c r="J158" s="5337"/>
      <c r="K158" s="5337"/>
      <c r="L158" s="5337"/>
      <c r="M158" s="1306">
        <v>3</v>
      </c>
      <c r="N158" s="5337"/>
      <c r="O158" s="5337"/>
      <c r="P158" s="5337"/>
      <c r="Q158" s="5345"/>
      <c r="R158" s="982"/>
      <c r="S158" s="983"/>
      <c r="T158" s="983"/>
      <c r="U158" s="169"/>
      <c r="V158" s="984"/>
      <c r="W158" s="170"/>
      <c r="X158" s="974"/>
      <c r="Y158" s="974">
        <f t="shared" si="34"/>
        <v>0</v>
      </c>
      <c r="Z158" s="974">
        <f t="shared" si="35"/>
        <v>0</v>
      </c>
      <c r="AA158" s="969"/>
      <c r="AB158" s="170"/>
      <c r="AC158" s="282"/>
      <c r="AD158" s="282"/>
      <c r="AE158" s="5416"/>
    </row>
    <row r="159" spans="1:31" ht="26.25" customHeight="1">
      <c r="A159" s="5629"/>
      <c r="B159" s="5573"/>
      <c r="C159" s="5337"/>
      <c r="D159" s="5337"/>
      <c r="E159" s="5337"/>
      <c r="F159" s="5337"/>
      <c r="G159" s="5337"/>
      <c r="H159" s="5337"/>
      <c r="I159" s="5361"/>
      <c r="J159" s="5337"/>
      <c r="K159" s="5337"/>
      <c r="L159" s="5337"/>
      <c r="M159" s="1306"/>
      <c r="N159" s="5337"/>
      <c r="O159" s="5337"/>
      <c r="P159" s="5337"/>
      <c r="Q159" s="5345"/>
      <c r="R159" s="982"/>
      <c r="S159" s="983"/>
      <c r="T159" s="983"/>
      <c r="U159" s="169"/>
      <c r="V159" s="984"/>
      <c r="W159" s="170"/>
      <c r="X159" s="974"/>
      <c r="Y159" s="974">
        <f t="shared" si="34"/>
        <v>0</v>
      </c>
      <c r="Z159" s="974">
        <f t="shared" si="35"/>
        <v>0</v>
      </c>
      <c r="AA159" s="969"/>
      <c r="AB159" s="170"/>
      <c r="AC159" s="282"/>
      <c r="AD159" s="282"/>
      <c r="AE159" s="5416"/>
    </row>
    <row r="160" spans="1:31" ht="26.25" customHeight="1">
      <c r="A160" s="5648"/>
      <c r="B160" s="5574"/>
      <c r="C160" s="5338"/>
      <c r="D160" s="5338"/>
      <c r="E160" s="5338"/>
      <c r="F160" s="5338"/>
      <c r="G160" s="5338"/>
      <c r="H160" s="5338"/>
      <c r="I160" s="5362"/>
      <c r="J160" s="5338"/>
      <c r="K160" s="5338"/>
      <c r="L160" s="5338"/>
      <c r="M160" s="1307"/>
      <c r="N160" s="5338"/>
      <c r="O160" s="5338"/>
      <c r="P160" s="5338"/>
      <c r="Q160" s="5346"/>
      <c r="R160" s="975"/>
      <c r="S160" s="976"/>
      <c r="T160" s="976"/>
      <c r="U160" s="411"/>
      <c r="V160" s="977"/>
      <c r="W160" s="165"/>
      <c r="X160" s="978"/>
      <c r="Y160" s="978">
        <f t="shared" si="34"/>
        <v>0</v>
      </c>
      <c r="Z160" s="978">
        <f t="shared" si="35"/>
        <v>0</v>
      </c>
      <c r="AA160" s="979"/>
      <c r="AB160" s="165"/>
      <c r="AC160" s="166"/>
      <c r="AD160" s="166"/>
      <c r="AE160" s="5417"/>
    </row>
    <row r="161" spans="1:31" ht="26.25" customHeight="1">
      <c r="A161" s="5578" t="s">
        <v>1476</v>
      </c>
      <c r="B161" s="5627" t="s">
        <v>235</v>
      </c>
      <c r="C161" s="5347" t="s">
        <v>236</v>
      </c>
      <c r="D161" s="5347" t="s">
        <v>237</v>
      </c>
      <c r="E161" s="5347" t="s">
        <v>326</v>
      </c>
      <c r="F161" s="5353" t="s">
        <v>239</v>
      </c>
      <c r="G161" s="5347" t="s">
        <v>240</v>
      </c>
      <c r="H161" s="5347" t="s">
        <v>257</v>
      </c>
      <c r="I161" s="5360" t="s">
        <v>2980</v>
      </c>
      <c r="J161" s="5347" t="s">
        <v>707</v>
      </c>
      <c r="K161" s="5347" t="s">
        <v>2981</v>
      </c>
      <c r="L161" s="5399">
        <v>1</v>
      </c>
      <c r="M161" s="1717"/>
      <c r="N161" s="5399"/>
      <c r="O161" s="5347" t="s">
        <v>2982</v>
      </c>
      <c r="P161" s="5347" t="s">
        <v>2983</v>
      </c>
      <c r="Q161" s="5394" t="s">
        <v>2984</v>
      </c>
      <c r="R161" s="995"/>
      <c r="S161" s="996"/>
      <c r="T161" s="996"/>
      <c r="U161" s="177"/>
      <c r="V161" s="988"/>
      <c r="W161" s="178"/>
      <c r="X161" s="989"/>
      <c r="Y161" s="989"/>
      <c r="Z161" s="989"/>
      <c r="AA161" s="990"/>
      <c r="AB161" s="178"/>
      <c r="AC161" s="181"/>
      <c r="AD161" s="181"/>
      <c r="AE161" s="5418"/>
    </row>
    <row r="162" spans="1:31" ht="26.25" customHeight="1">
      <c r="A162" s="5629"/>
      <c r="B162" s="5573"/>
      <c r="C162" s="5337"/>
      <c r="D162" s="5337"/>
      <c r="E162" s="5337"/>
      <c r="F162" s="5337"/>
      <c r="G162" s="5337"/>
      <c r="H162" s="5337"/>
      <c r="I162" s="5361"/>
      <c r="J162" s="5337"/>
      <c r="K162" s="5337"/>
      <c r="L162" s="5337"/>
      <c r="M162" s="1718"/>
      <c r="N162" s="5337"/>
      <c r="O162" s="5337"/>
      <c r="P162" s="5337"/>
      <c r="Q162" s="5345"/>
      <c r="R162" s="971"/>
      <c r="S162" s="972"/>
      <c r="T162" s="972"/>
      <c r="U162" s="169"/>
      <c r="V162" s="984"/>
      <c r="W162" s="170"/>
      <c r="X162" s="974"/>
      <c r="Y162" s="974">
        <f t="shared" ref="Y162:Y165" si="36">+V162*X162</f>
        <v>0</v>
      </c>
      <c r="Z162" s="974">
        <f t="shared" ref="Z162:Z165" si="37">+Y162*1.12</f>
        <v>0</v>
      </c>
      <c r="AA162" s="969"/>
      <c r="AB162" s="170"/>
      <c r="AC162" s="282"/>
      <c r="AD162" s="282"/>
      <c r="AE162" s="5416"/>
    </row>
    <row r="163" spans="1:31" ht="26.25" customHeight="1">
      <c r="A163" s="5629"/>
      <c r="B163" s="5573"/>
      <c r="C163" s="5337"/>
      <c r="D163" s="5337"/>
      <c r="E163" s="5337"/>
      <c r="F163" s="5337"/>
      <c r="G163" s="5337"/>
      <c r="H163" s="5337"/>
      <c r="I163" s="5361"/>
      <c r="J163" s="5337"/>
      <c r="K163" s="5337"/>
      <c r="L163" s="5337"/>
      <c r="M163" s="1718">
        <v>1</v>
      </c>
      <c r="N163" s="5337"/>
      <c r="O163" s="5337"/>
      <c r="P163" s="5337"/>
      <c r="Q163" s="5345"/>
      <c r="R163" s="982"/>
      <c r="S163" s="983"/>
      <c r="T163" s="983"/>
      <c r="U163" s="169"/>
      <c r="V163" s="984"/>
      <c r="W163" s="170"/>
      <c r="X163" s="974"/>
      <c r="Y163" s="974">
        <f t="shared" si="36"/>
        <v>0</v>
      </c>
      <c r="Z163" s="974">
        <f t="shared" si="37"/>
        <v>0</v>
      </c>
      <c r="AA163" s="969"/>
      <c r="AB163" s="170"/>
      <c r="AC163" s="282"/>
      <c r="AD163" s="282"/>
      <c r="AE163" s="5416"/>
    </row>
    <row r="164" spans="1:31" ht="26.25" customHeight="1">
      <c r="A164" s="5629"/>
      <c r="B164" s="5573"/>
      <c r="C164" s="5337"/>
      <c r="D164" s="5337"/>
      <c r="E164" s="5337"/>
      <c r="F164" s="5337"/>
      <c r="G164" s="5337"/>
      <c r="H164" s="5337"/>
      <c r="I164" s="5361"/>
      <c r="J164" s="5337"/>
      <c r="K164" s="5337"/>
      <c r="L164" s="5337"/>
      <c r="M164" s="1718"/>
      <c r="N164" s="5337"/>
      <c r="O164" s="5337"/>
      <c r="P164" s="5337"/>
      <c r="Q164" s="5345"/>
      <c r="R164" s="982"/>
      <c r="S164" s="983"/>
      <c r="T164" s="983"/>
      <c r="U164" s="169"/>
      <c r="V164" s="984"/>
      <c r="W164" s="170"/>
      <c r="X164" s="974"/>
      <c r="Y164" s="974">
        <f t="shared" si="36"/>
        <v>0</v>
      </c>
      <c r="Z164" s="974">
        <f t="shared" si="37"/>
        <v>0</v>
      </c>
      <c r="AA164" s="969"/>
      <c r="AB164" s="170"/>
      <c r="AC164" s="282"/>
      <c r="AD164" s="282"/>
      <c r="AE164" s="5416"/>
    </row>
    <row r="165" spans="1:31" ht="26.25" customHeight="1">
      <c r="A165" s="5555"/>
      <c r="B165" s="5574"/>
      <c r="C165" s="5338"/>
      <c r="D165" s="5338"/>
      <c r="E165" s="5338"/>
      <c r="F165" s="5338"/>
      <c r="G165" s="5338"/>
      <c r="H165" s="5338"/>
      <c r="I165" s="5362"/>
      <c r="J165" s="5338"/>
      <c r="K165" s="5338"/>
      <c r="L165" s="5338"/>
      <c r="M165" s="359"/>
      <c r="N165" s="5338"/>
      <c r="O165" s="5338"/>
      <c r="P165" s="5338"/>
      <c r="Q165" s="5346"/>
      <c r="R165" s="975"/>
      <c r="S165" s="976"/>
      <c r="T165" s="976"/>
      <c r="U165" s="411"/>
      <c r="V165" s="977"/>
      <c r="W165" s="165"/>
      <c r="X165" s="978"/>
      <c r="Y165" s="978">
        <f t="shared" si="36"/>
        <v>0</v>
      </c>
      <c r="Z165" s="978">
        <f t="shared" si="37"/>
        <v>0</v>
      </c>
      <c r="AA165" s="979"/>
      <c r="AB165" s="165"/>
      <c r="AC165" s="166"/>
      <c r="AD165" s="166"/>
      <c r="AE165" s="5417"/>
    </row>
    <row r="166" spans="1:31" ht="22.5" customHeight="1">
      <c r="A166" s="2158"/>
      <c r="B166" s="785"/>
      <c r="C166" s="785"/>
      <c r="D166" s="785"/>
      <c r="E166" s="785"/>
      <c r="F166" s="785"/>
      <c r="G166" s="785"/>
      <c r="H166" s="785"/>
      <c r="I166" s="785"/>
      <c r="J166" s="785"/>
      <c r="K166" s="785"/>
      <c r="L166" s="785"/>
      <c r="M166" s="785"/>
      <c r="N166" s="785"/>
      <c r="O166" s="785"/>
      <c r="P166" s="785"/>
      <c r="Q166" s="786"/>
      <c r="R166" s="5636" t="s">
        <v>1561</v>
      </c>
      <c r="S166" s="5474"/>
      <c r="T166" s="5474"/>
      <c r="U166" s="5474"/>
      <c r="V166" s="5474"/>
      <c r="W166" s="5474"/>
      <c r="X166" s="5474"/>
      <c r="Y166" s="5475"/>
      <c r="Z166" s="997" t="s">
        <v>340</v>
      </c>
      <c r="AA166" s="998">
        <f>SUM(AA9:AA165)</f>
        <v>160925.92320000002</v>
      </c>
      <c r="AB166" s="5521"/>
      <c r="AC166" s="5474"/>
      <c r="AD166" s="5474"/>
      <c r="AE166" s="5477"/>
    </row>
    <row r="167" spans="1:31" ht="26.25" customHeight="1">
      <c r="A167" s="5628" t="s">
        <v>1562</v>
      </c>
      <c r="B167" s="5576" t="s">
        <v>272</v>
      </c>
      <c r="C167" s="5355" t="s">
        <v>302</v>
      </c>
      <c r="D167" s="5355" t="s">
        <v>303</v>
      </c>
      <c r="E167" s="5355" t="s">
        <v>304</v>
      </c>
      <c r="F167" s="5364" t="s">
        <v>305</v>
      </c>
      <c r="G167" s="5355" t="s">
        <v>240</v>
      </c>
      <c r="H167" s="5355" t="s">
        <v>241</v>
      </c>
      <c r="I167" s="5360" t="s">
        <v>2985</v>
      </c>
      <c r="J167" s="5355" t="s">
        <v>1563</v>
      </c>
      <c r="K167" s="5355" t="s">
        <v>1564</v>
      </c>
      <c r="L167" s="5363">
        <v>2</v>
      </c>
      <c r="M167" s="5363">
        <v>1</v>
      </c>
      <c r="N167" s="5363">
        <v>3</v>
      </c>
      <c r="O167" s="5355" t="s">
        <v>2986</v>
      </c>
      <c r="P167" s="5355" t="s">
        <v>2987</v>
      </c>
      <c r="Q167" s="5392" t="s">
        <v>2988</v>
      </c>
      <c r="R167" s="1102"/>
      <c r="S167" s="1103"/>
      <c r="T167" s="1103"/>
      <c r="U167" s="154"/>
      <c r="V167" s="1104"/>
      <c r="W167" s="155"/>
      <c r="X167" s="1105"/>
      <c r="Y167" s="1105"/>
      <c r="Z167" s="1105"/>
      <c r="AA167" s="1106"/>
      <c r="AB167" s="155"/>
      <c r="AC167" s="156"/>
      <c r="AD167" s="156"/>
      <c r="AE167" s="5428" t="s">
        <v>2989</v>
      </c>
    </row>
    <row r="168" spans="1:31" ht="26.25" customHeight="1">
      <c r="A168" s="5629"/>
      <c r="B168" s="5573"/>
      <c r="C168" s="5337"/>
      <c r="D168" s="5337"/>
      <c r="E168" s="5337"/>
      <c r="F168" s="5337"/>
      <c r="G168" s="5337"/>
      <c r="H168" s="5337"/>
      <c r="I168" s="5361"/>
      <c r="J168" s="5337"/>
      <c r="K168" s="5337"/>
      <c r="L168" s="5337"/>
      <c r="M168" s="5337"/>
      <c r="N168" s="5337"/>
      <c r="O168" s="5337"/>
      <c r="P168" s="5337"/>
      <c r="Q168" s="5345"/>
      <c r="R168" s="982"/>
      <c r="S168" s="983"/>
      <c r="T168" s="983"/>
      <c r="U168" s="169"/>
      <c r="V168" s="984"/>
      <c r="W168" s="170"/>
      <c r="X168" s="974"/>
      <c r="Y168" s="974">
        <f t="shared" ref="Y168:Y171" si="38">+V168*X168</f>
        <v>0</v>
      </c>
      <c r="Z168" s="974">
        <f t="shared" ref="Z168:Z171" si="39">+Y168*1.12</f>
        <v>0</v>
      </c>
      <c r="AA168" s="969"/>
      <c r="AB168" s="170"/>
      <c r="AC168" s="282"/>
      <c r="AD168" s="282"/>
      <c r="AE168" s="5416"/>
    </row>
    <row r="169" spans="1:31" ht="26.25" customHeight="1">
      <c r="A169" s="5629"/>
      <c r="B169" s="5573"/>
      <c r="C169" s="5337"/>
      <c r="D169" s="5337"/>
      <c r="E169" s="5337"/>
      <c r="F169" s="5337"/>
      <c r="G169" s="5337"/>
      <c r="H169" s="5337"/>
      <c r="I169" s="5361"/>
      <c r="J169" s="5337"/>
      <c r="K169" s="5337"/>
      <c r="L169" s="5337"/>
      <c r="M169" s="5337"/>
      <c r="N169" s="5337"/>
      <c r="O169" s="5337"/>
      <c r="P169" s="5337"/>
      <c r="Q169" s="5345"/>
      <c r="R169" s="971"/>
      <c r="S169" s="972"/>
      <c r="T169" s="972"/>
      <c r="U169" s="1217"/>
      <c r="V169" s="968"/>
      <c r="W169" s="414"/>
      <c r="X169" s="973"/>
      <c r="Y169" s="974">
        <f t="shared" si="38"/>
        <v>0</v>
      </c>
      <c r="Z169" s="974">
        <f t="shared" si="39"/>
        <v>0</v>
      </c>
      <c r="AA169" s="969"/>
      <c r="AB169" s="170"/>
      <c r="AC169" s="282"/>
      <c r="AD169" s="282"/>
      <c r="AE169" s="5416"/>
    </row>
    <row r="170" spans="1:31" ht="26.25" customHeight="1">
      <c r="A170" s="5629"/>
      <c r="B170" s="5573"/>
      <c r="C170" s="5337"/>
      <c r="D170" s="5337"/>
      <c r="E170" s="5337"/>
      <c r="F170" s="5337"/>
      <c r="G170" s="5337"/>
      <c r="H170" s="5337"/>
      <c r="I170" s="5361"/>
      <c r="J170" s="5337"/>
      <c r="K170" s="5337"/>
      <c r="L170" s="5337"/>
      <c r="M170" s="5337"/>
      <c r="N170" s="5337"/>
      <c r="O170" s="5337"/>
      <c r="P170" s="5337"/>
      <c r="Q170" s="5345"/>
      <c r="R170" s="970"/>
      <c r="S170" s="967"/>
      <c r="T170" s="967"/>
      <c r="U170" s="1217"/>
      <c r="V170" s="968"/>
      <c r="W170" s="414"/>
      <c r="X170" s="973"/>
      <c r="Y170" s="974">
        <f t="shared" si="38"/>
        <v>0</v>
      </c>
      <c r="Z170" s="974">
        <f t="shared" si="39"/>
        <v>0</v>
      </c>
      <c r="AA170" s="969"/>
      <c r="AB170" s="170"/>
      <c r="AC170" s="282"/>
      <c r="AD170" s="282"/>
      <c r="AE170" s="5416"/>
    </row>
    <row r="171" spans="1:31" ht="26.25" customHeight="1">
      <c r="A171" s="5629"/>
      <c r="B171" s="5574"/>
      <c r="C171" s="5338"/>
      <c r="D171" s="5338"/>
      <c r="E171" s="5338"/>
      <c r="F171" s="5338"/>
      <c r="G171" s="5338"/>
      <c r="H171" s="5338"/>
      <c r="I171" s="5362"/>
      <c r="J171" s="5338"/>
      <c r="K171" s="5338"/>
      <c r="L171" s="5338"/>
      <c r="M171" s="5338"/>
      <c r="N171" s="5338"/>
      <c r="O171" s="5338"/>
      <c r="P171" s="5338"/>
      <c r="Q171" s="5346"/>
      <c r="R171" s="975"/>
      <c r="S171" s="976"/>
      <c r="T171" s="976"/>
      <c r="U171" s="411"/>
      <c r="V171" s="977"/>
      <c r="W171" s="165"/>
      <c r="X171" s="978"/>
      <c r="Y171" s="978">
        <f t="shared" si="38"/>
        <v>0</v>
      </c>
      <c r="Z171" s="978">
        <f t="shared" si="39"/>
        <v>0</v>
      </c>
      <c r="AA171" s="979"/>
      <c r="AB171" s="165"/>
      <c r="AC171" s="166"/>
      <c r="AD171" s="166"/>
      <c r="AE171" s="5417"/>
    </row>
    <row r="172" spans="1:31" ht="26.25" customHeight="1">
      <c r="A172" s="5629"/>
      <c r="B172" s="5572" t="s">
        <v>272</v>
      </c>
      <c r="C172" s="5336" t="s">
        <v>302</v>
      </c>
      <c r="D172" s="5336" t="s">
        <v>303</v>
      </c>
      <c r="E172" s="5336" t="s">
        <v>304</v>
      </c>
      <c r="F172" s="5341" t="s">
        <v>305</v>
      </c>
      <c r="G172" s="5336" t="s">
        <v>240</v>
      </c>
      <c r="H172" s="5336" t="s">
        <v>241</v>
      </c>
      <c r="I172" s="5336" t="s">
        <v>2990</v>
      </c>
      <c r="J172" s="5336" t="s">
        <v>1568</v>
      </c>
      <c r="K172" s="5336" t="s">
        <v>1569</v>
      </c>
      <c r="L172" s="5343">
        <v>70</v>
      </c>
      <c r="M172" s="5399">
        <v>85</v>
      </c>
      <c r="N172" s="5343">
        <v>80</v>
      </c>
      <c r="O172" s="5336" t="s">
        <v>2991</v>
      </c>
      <c r="P172" s="5336" t="s">
        <v>2992</v>
      </c>
      <c r="Q172" s="5370" t="s">
        <v>2988</v>
      </c>
      <c r="R172" s="970"/>
      <c r="S172" s="967"/>
      <c r="T172" s="967"/>
      <c r="U172" s="176"/>
      <c r="V172" s="968"/>
      <c r="W172" s="414"/>
      <c r="X172" s="973"/>
      <c r="Y172" s="973"/>
      <c r="Z172" s="973"/>
      <c r="AA172" s="981"/>
      <c r="AB172" s="414"/>
      <c r="AC172" s="174"/>
      <c r="AD172" s="174"/>
      <c r="AE172" s="5415" t="s">
        <v>2993</v>
      </c>
    </row>
    <row r="173" spans="1:31" ht="26.25" customHeight="1">
      <c r="A173" s="5629"/>
      <c r="B173" s="5573"/>
      <c r="C173" s="5337"/>
      <c r="D173" s="5337"/>
      <c r="E173" s="5337"/>
      <c r="F173" s="5337"/>
      <c r="G173" s="5337"/>
      <c r="H173" s="5337"/>
      <c r="I173" s="5337"/>
      <c r="J173" s="5337"/>
      <c r="K173" s="5337"/>
      <c r="L173" s="5337"/>
      <c r="M173" s="5337"/>
      <c r="N173" s="5337"/>
      <c r="O173" s="5337"/>
      <c r="P173" s="5337"/>
      <c r="Q173" s="5345"/>
      <c r="R173" s="982"/>
      <c r="S173" s="983"/>
      <c r="T173" s="983"/>
      <c r="U173" s="169"/>
      <c r="V173" s="984"/>
      <c r="W173" s="170"/>
      <c r="X173" s="974"/>
      <c r="Y173" s="974">
        <f t="shared" ref="Y173:Y176" si="40">+V173*X173</f>
        <v>0</v>
      </c>
      <c r="Z173" s="974">
        <f t="shared" ref="Z173:Z176" si="41">+Y173*1.12</f>
        <v>0</v>
      </c>
      <c r="AA173" s="969"/>
      <c r="AB173" s="170"/>
      <c r="AC173" s="282"/>
      <c r="AD173" s="282"/>
      <c r="AE173" s="5416"/>
    </row>
    <row r="174" spans="1:31" ht="26.25" customHeight="1">
      <c r="A174" s="5629"/>
      <c r="B174" s="5573"/>
      <c r="C174" s="5337"/>
      <c r="D174" s="5337"/>
      <c r="E174" s="5337"/>
      <c r="F174" s="5337"/>
      <c r="G174" s="5337"/>
      <c r="H174" s="5337"/>
      <c r="I174" s="5337"/>
      <c r="J174" s="5337"/>
      <c r="K174" s="5337"/>
      <c r="L174" s="5337"/>
      <c r="M174" s="5337"/>
      <c r="N174" s="5337"/>
      <c r="O174" s="5337"/>
      <c r="P174" s="5337"/>
      <c r="Q174" s="5345"/>
      <c r="R174" s="971"/>
      <c r="S174" s="972"/>
      <c r="T174" s="972"/>
      <c r="U174" s="1217"/>
      <c r="V174" s="968"/>
      <c r="W174" s="414"/>
      <c r="X174" s="973"/>
      <c r="Y174" s="974">
        <f t="shared" si="40"/>
        <v>0</v>
      </c>
      <c r="Z174" s="974">
        <f t="shared" si="41"/>
        <v>0</v>
      </c>
      <c r="AA174" s="969"/>
      <c r="AB174" s="170"/>
      <c r="AC174" s="282"/>
      <c r="AD174" s="282"/>
      <c r="AE174" s="5416"/>
    </row>
    <row r="175" spans="1:31" ht="26.25" customHeight="1">
      <c r="A175" s="5629"/>
      <c r="B175" s="5573"/>
      <c r="C175" s="5337"/>
      <c r="D175" s="5337"/>
      <c r="E175" s="5337"/>
      <c r="F175" s="5337"/>
      <c r="G175" s="5337"/>
      <c r="H175" s="5337"/>
      <c r="I175" s="5337"/>
      <c r="J175" s="5337"/>
      <c r="K175" s="5337"/>
      <c r="L175" s="5337"/>
      <c r="M175" s="5337"/>
      <c r="N175" s="5337"/>
      <c r="O175" s="5337"/>
      <c r="P175" s="5337"/>
      <c r="Q175" s="5345"/>
      <c r="R175" s="970"/>
      <c r="S175" s="967"/>
      <c r="T175" s="967"/>
      <c r="U175" s="1217"/>
      <c r="V175" s="968"/>
      <c r="W175" s="414"/>
      <c r="X175" s="973"/>
      <c r="Y175" s="974">
        <f t="shared" si="40"/>
        <v>0</v>
      </c>
      <c r="Z175" s="974">
        <f t="shared" si="41"/>
        <v>0</v>
      </c>
      <c r="AA175" s="969"/>
      <c r="AB175" s="170"/>
      <c r="AC175" s="282"/>
      <c r="AD175" s="282"/>
      <c r="AE175" s="5416"/>
    </row>
    <row r="176" spans="1:31" ht="26.25" customHeight="1">
      <c r="A176" s="5629"/>
      <c r="B176" s="5574"/>
      <c r="C176" s="5338"/>
      <c r="D176" s="5338"/>
      <c r="E176" s="5338"/>
      <c r="F176" s="5338"/>
      <c r="G176" s="5338"/>
      <c r="H176" s="5338"/>
      <c r="I176" s="5338"/>
      <c r="J176" s="5337"/>
      <c r="K176" s="5338"/>
      <c r="L176" s="5338"/>
      <c r="M176" s="5338"/>
      <c r="N176" s="5338"/>
      <c r="O176" s="5338"/>
      <c r="P176" s="5338"/>
      <c r="Q176" s="5346"/>
      <c r="R176" s="975"/>
      <c r="S176" s="976"/>
      <c r="T176" s="976"/>
      <c r="U176" s="411"/>
      <c r="V176" s="977"/>
      <c r="W176" s="165"/>
      <c r="X176" s="978"/>
      <c r="Y176" s="978">
        <f t="shared" si="40"/>
        <v>0</v>
      </c>
      <c r="Z176" s="978">
        <f t="shared" si="41"/>
        <v>0</v>
      </c>
      <c r="AA176" s="979"/>
      <c r="AB176" s="165"/>
      <c r="AC176" s="166"/>
      <c r="AD176" s="166"/>
      <c r="AE176" s="5417"/>
    </row>
    <row r="177" spans="1:31" ht="26.25" customHeight="1">
      <c r="A177" s="5629"/>
      <c r="B177" s="5572" t="s">
        <v>272</v>
      </c>
      <c r="C177" s="5336" t="s">
        <v>302</v>
      </c>
      <c r="D177" s="5336" t="s">
        <v>388</v>
      </c>
      <c r="E177" s="5336" t="s">
        <v>847</v>
      </c>
      <c r="F177" s="5341" t="s">
        <v>305</v>
      </c>
      <c r="G177" s="5336" t="s">
        <v>306</v>
      </c>
      <c r="H177" s="5336" t="s">
        <v>257</v>
      </c>
      <c r="I177" s="5336" t="s">
        <v>2994</v>
      </c>
      <c r="J177" s="5347" t="s">
        <v>1573</v>
      </c>
      <c r="K177" s="5336" t="s">
        <v>2995</v>
      </c>
      <c r="L177" s="5343">
        <v>0</v>
      </c>
      <c r="M177" s="5399">
        <v>0</v>
      </c>
      <c r="N177" s="5343">
        <v>1</v>
      </c>
      <c r="O177" s="5336" t="s">
        <v>2996</v>
      </c>
      <c r="P177" s="5336" t="s">
        <v>2997</v>
      </c>
      <c r="Q177" s="5370" t="s">
        <v>2998</v>
      </c>
      <c r="R177" s="970"/>
      <c r="S177" s="967"/>
      <c r="T177" s="967"/>
      <c r="U177" s="176"/>
      <c r="V177" s="968"/>
      <c r="W177" s="414"/>
      <c r="X177" s="973"/>
      <c r="Y177" s="973"/>
      <c r="Z177" s="973"/>
      <c r="AA177" s="981"/>
      <c r="AB177" s="414"/>
      <c r="AC177" s="174"/>
      <c r="AD177" s="174"/>
      <c r="AE177" s="5415" t="s">
        <v>2999</v>
      </c>
    </row>
    <row r="178" spans="1:31" ht="26.25" customHeight="1">
      <c r="A178" s="5629"/>
      <c r="B178" s="5573"/>
      <c r="C178" s="5337"/>
      <c r="D178" s="5337"/>
      <c r="E178" s="5337"/>
      <c r="F178" s="5337"/>
      <c r="G178" s="5337"/>
      <c r="H178" s="5337"/>
      <c r="I178" s="5337"/>
      <c r="J178" s="5337"/>
      <c r="K178" s="5337"/>
      <c r="L178" s="5337"/>
      <c r="M178" s="5337"/>
      <c r="N178" s="5337"/>
      <c r="O178" s="5337"/>
      <c r="P178" s="5337"/>
      <c r="Q178" s="5345"/>
      <c r="R178" s="982"/>
      <c r="S178" s="983"/>
      <c r="T178" s="983"/>
      <c r="U178" s="169"/>
      <c r="V178" s="984"/>
      <c r="W178" s="170"/>
      <c r="X178" s="974"/>
      <c r="Y178" s="974">
        <f t="shared" ref="Y178:Y181" si="42">+V178*X178</f>
        <v>0</v>
      </c>
      <c r="Z178" s="974">
        <f t="shared" ref="Z178:Z181" si="43">+Y178*1.12</f>
        <v>0</v>
      </c>
      <c r="AA178" s="969"/>
      <c r="AB178" s="170"/>
      <c r="AC178" s="282"/>
      <c r="AD178" s="282"/>
      <c r="AE178" s="5416"/>
    </row>
    <row r="179" spans="1:31" ht="26.25" customHeight="1">
      <c r="A179" s="5629"/>
      <c r="B179" s="5573"/>
      <c r="C179" s="5337"/>
      <c r="D179" s="5337"/>
      <c r="E179" s="5337"/>
      <c r="F179" s="5337"/>
      <c r="G179" s="5337"/>
      <c r="H179" s="5337"/>
      <c r="I179" s="5337"/>
      <c r="J179" s="5337"/>
      <c r="K179" s="5337"/>
      <c r="L179" s="5337"/>
      <c r="M179" s="5337"/>
      <c r="N179" s="5337"/>
      <c r="O179" s="5337"/>
      <c r="P179" s="5337"/>
      <c r="Q179" s="5345"/>
      <c r="R179" s="971"/>
      <c r="S179" s="972"/>
      <c r="T179" s="972"/>
      <c r="U179" s="1217"/>
      <c r="V179" s="968"/>
      <c r="W179" s="414"/>
      <c r="X179" s="973"/>
      <c r="Y179" s="974">
        <f t="shared" si="42"/>
        <v>0</v>
      </c>
      <c r="Z179" s="974">
        <f t="shared" si="43"/>
        <v>0</v>
      </c>
      <c r="AA179" s="969"/>
      <c r="AB179" s="170"/>
      <c r="AC179" s="282"/>
      <c r="AD179" s="282"/>
      <c r="AE179" s="5416"/>
    </row>
    <row r="180" spans="1:31" ht="26.25" customHeight="1">
      <c r="A180" s="5629"/>
      <c r="B180" s="5573"/>
      <c r="C180" s="5337"/>
      <c r="D180" s="5337"/>
      <c r="E180" s="5337"/>
      <c r="F180" s="5337"/>
      <c r="G180" s="5337"/>
      <c r="H180" s="5337"/>
      <c r="I180" s="5337"/>
      <c r="J180" s="5337"/>
      <c r="K180" s="5337"/>
      <c r="L180" s="5337"/>
      <c r="M180" s="5337"/>
      <c r="N180" s="5337"/>
      <c r="O180" s="5337"/>
      <c r="P180" s="5337"/>
      <c r="Q180" s="5345"/>
      <c r="R180" s="970"/>
      <c r="S180" s="967"/>
      <c r="T180" s="967"/>
      <c r="U180" s="1217"/>
      <c r="V180" s="968"/>
      <c r="W180" s="414"/>
      <c r="X180" s="973"/>
      <c r="Y180" s="974">
        <f t="shared" si="42"/>
        <v>0</v>
      </c>
      <c r="Z180" s="974">
        <f t="shared" si="43"/>
        <v>0</v>
      </c>
      <c r="AA180" s="969"/>
      <c r="AB180" s="170"/>
      <c r="AC180" s="282"/>
      <c r="AD180" s="282"/>
      <c r="AE180" s="5416"/>
    </row>
    <row r="181" spans="1:31" ht="26.25" customHeight="1">
      <c r="A181" s="5629"/>
      <c r="B181" s="5574"/>
      <c r="C181" s="5338"/>
      <c r="D181" s="5338"/>
      <c r="E181" s="5338"/>
      <c r="F181" s="5338"/>
      <c r="G181" s="5338"/>
      <c r="H181" s="5338"/>
      <c r="I181" s="5338"/>
      <c r="J181" s="5338"/>
      <c r="K181" s="5338"/>
      <c r="L181" s="5338"/>
      <c r="M181" s="5338"/>
      <c r="N181" s="5338"/>
      <c r="O181" s="5338"/>
      <c r="P181" s="5338"/>
      <c r="Q181" s="5346"/>
      <c r="R181" s="975"/>
      <c r="S181" s="976"/>
      <c r="T181" s="976"/>
      <c r="U181" s="411"/>
      <c r="V181" s="977"/>
      <c r="W181" s="165"/>
      <c r="X181" s="978"/>
      <c r="Y181" s="978">
        <f t="shared" si="42"/>
        <v>0</v>
      </c>
      <c r="Z181" s="978">
        <f t="shared" si="43"/>
        <v>0</v>
      </c>
      <c r="AA181" s="979"/>
      <c r="AB181" s="165"/>
      <c r="AC181" s="166"/>
      <c r="AD181" s="166"/>
      <c r="AE181" s="5417"/>
    </row>
    <row r="182" spans="1:31" ht="24" customHeight="1">
      <c r="A182" s="5629"/>
      <c r="B182" s="5572" t="s">
        <v>272</v>
      </c>
      <c r="C182" s="5336" t="s">
        <v>302</v>
      </c>
      <c r="D182" s="5336" t="s">
        <v>303</v>
      </c>
      <c r="E182" s="5336" t="s">
        <v>304</v>
      </c>
      <c r="F182" s="5341" t="s">
        <v>305</v>
      </c>
      <c r="G182" s="5336" t="s">
        <v>240</v>
      </c>
      <c r="H182" s="5336" t="s">
        <v>257</v>
      </c>
      <c r="I182" s="5336" t="s">
        <v>3000</v>
      </c>
      <c r="J182" s="5336" t="s">
        <v>1578</v>
      </c>
      <c r="K182" s="5336" t="s">
        <v>1579</v>
      </c>
      <c r="L182" s="5343">
        <v>1</v>
      </c>
      <c r="M182" s="5399">
        <v>0</v>
      </c>
      <c r="N182" s="5343">
        <v>1</v>
      </c>
      <c r="O182" s="5336" t="s">
        <v>3001</v>
      </c>
      <c r="P182" s="5336" t="s">
        <v>3002</v>
      </c>
      <c r="Q182" s="5370" t="s">
        <v>3003</v>
      </c>
      <c r="R182" s="970"/>
      <c r="S182" s="967"/>
      <c r="T182" s="967"/>
      <c r="U182" s="176"/>
      <c r="V182" s="968"/>
      <c r="W182" s="414"/>
      <c r="X182" s="973"/>
      <c r="Y182" s="973"/>
      <c r="Z182" s="973"/>
      <c r="AA182" s="981"/>
      <c r="AB182" s="414"/>
      <c r="AC182" s="174"/>
      <c r="AD182" s="174"/>
      <c r="AE182" s="5415" t="s">
        <v>3004</v>
      </c>
    </row>
    <row r="183" spans="1:31" ht="23.25" customHeight="1">
      <c r="A183" s="5629"/>
      <c r="B183" s="5573"/>
      <c r="C183" s="5337"/>
      <c r="D183" s="5337"/>
      <c r="E183" s="5337"/>
      <c r="F183" s="5337"/>
      <c r="G183" s="5337"/>
      <c r="H183" s="5337"/>
      <c r="I183" s="5337"/>
      <c r="J183" s="5337"/>
      <c r="K183" s="5337"/>
      <c r="L183" s="5337"/>
      <c r="M183" s="5337"/>
      <c r="N183" s="5337"/>
      <c r="O183" s="5337"/>
      <c r="P183" s="5337"/>
      <c r="Q183" s="5345"/>
      <c r="R183" s="982"/>
      <c r="S183" s="983"/>
      <c r="T183" s="983"/>
      <c r="U183" s="169"/>
      <c r="V183" s="984"/>
      <c r="W183" s="170"/>
      <c r="X183" s="974"/>
      <c r="Y183" s="974">
        <f t="shared" ref="Y183:Y186" si="44">+V183*X183</f>
        <v>0</v>
      </c>
      <c r="Z183" s="974">
        <f t="shared" ref="Z183:Z186" si="45">+Y183*1.12</f>
        <v>0</v>
      </c>
      <c r="AA183" s="969"/>
      <c r="AB183" s="170"/>
      <c r="AC183" s="282"/>
      <c r="AD183" s="282"/>
      <c r="AE183" s="5416"/>
    </row>
    <row r="184" spans="1:31" ht="25.5" customHeight="1">
      <c r="A184" s="5629"/>
      <c r="B184" s="5573"/>
      <c r="C184" s="5337"/>
      <c r="D184" s="5337"/>
      <c r="E184" s="5337"/>
      <c r="F184" s="5337"/>
      <c r="G184" s="5337"/>
      <c r="H184" s="5337"/>
      <c r="I184" s="5337"/>
      <c r="J184" s="5337"/>
      <c r="K184" s="5337"/>
      <c r="L184" s="5337"/>
      <c r="M184" s="5337"/>
      <c r="N184" s="5337"/>
      <c r="O184" s="5337"/>
      <c r="P184" s="5337"/>
      <c r="Q184" s="5345"/>
      <c r="R184" s="971"/>
      <c r="S184" s="972"/>
      <c r="T184" s="972"/>
      <c r="U184" s="1217"/>
      <c r="V184" s="968"/>
      <c r="W184" s="414"/>
      <c r="X184" s="973"/>
      <c r="Y184" s="974">
        <f t="shared" si="44"/>
        <v>0</v>
      </c>
      <c r="Z184" s="974">
        <f t="shared" si="45"/>
        <v>0</v>
      </c>
      <c r="AA184" s="969"/>
      <c r="AB184" s="170"/>
      <c r="AC184" s="282"/>
      <c r="AD184" s="282"/>
      <c r="AE184" s="5416"/>
    </row>
    <row r="185" spans="1:31" ht="27.75" customHeight="1">
      <c r="A185" s="5629"/>
      <c r="B185" s="5573"/>
      <c r="C185" s="5337"/>
      <c r="D185" s="5337"/>
      <c r="E185" s="5337"/>
      <c r="F185" s="5337"/>
      <c r="G185" s="5337"/>
      <c r="H185" s="5337"/>
      <c r="I185" s="5337"/>
      <c r="J185" s="5337"/>
      <c r="K185" s="5337"/>
      <c r="L185" s="5337"/>
      <c r="M185" s="5337"/>
      <c r="N185" s="5337"/>
      <c r="O185" s="5337"/>
      <c r="P185" s="5337"/>
      <c r="Q185" s="5345"/>
      <c r="R185" s="970"/>
      <c r="S185" s="967"/>
      <c r="T185" s="967"/>
      <c r="U185" s="1217"/>
      <c r="V185" s="968"/>
      <c r="W185" s="414"/>
      <c r="X185" s="973"/>
      <c r="Y185" s="974">
        <f t="shared" si="44"/>
        <v>0</v>
      </c>
      <c r="Z185" s="974">
        <f t="shared" si="45"/>
        <v>0</v>
      </c>
      <c r="AA185" s="969"/>
      <c r="AB185" s="170"/>
      <c r="AC185" s="282"/>
      <c r="AD185" s="282"/>
      <c r="AE185" s="5416"/>
    </row>
    <row r="186" spans="1:31" ht="28.5" customHeight="1">
      <c r="A186" s="5629"/>
      <c r="B186" s="5574"/>
      <c r="C186" s="5338"/>
      <c r="D186" s="5338"/>
      <c r="E186" s="5338"/>
      <c r="F186" s="5338"/>
      <c r="G186" s="5338"/>
      <c r="H186" s="5338"/>
      <c r="I186" s="5338"/>
      <c r="J186" s="5337"/>
      <c r="K186" s="5338"/>
      <c r="L186" s="5338"/>
      <c r="M186" s="5338"/>
      <c r="N186" s="5338"/>
      <c r="O186" s="5338"/>
      <c r="P186" s="5338"/>
      <c r="Q186" s="5346"/>
      <c r="R186" s="975"/>
      <c r="S186" s="976"/>
      <c r="T186" s="976"/>
      <c r="U186" s="411"/>
      <c r="V186" s="977"/>
      <c r="W186" s="165"/>
      <c r="X186" s="978"/>
      <c r="Y186" s="978">
        <f t="shared" si="44"/>
        <v>0</v>
      </c>
      <c r="Z186" s="978">
        <f t="shared" si="45"/>
        <v>0</v>
      </c>
      <c r="AA186" s="979"/>
      <c r="AB186" s="165"/>
      <c r="AC186" s="166"/>
      <c r="AD186" s="166"/>
      <c r="AE186" s="5417"/>
    </row>
    <row r="187" spans="1:31" ht="26.25" customHeight="1">
      <c r="A187" s="5629"/>
      <c r="B187" s="5572" t="s">
        <v>272</v>
      </c>
      <c r="C187" s="5336" t="s">
        <v>302</v>
      </c>
      <c r="D187" s="5336" t="s">
        <v>303</v>
      </c>
      <c r="E187" s="5336" t="s">
        <v>318</v>
      </c>
      <c r="F187" s="5341" t="s">
        <v>305</v>
      </c>
      <c r="G187" s="5336" t="s">
        <v>240</v>
      </c>
      <c r="H187" s="5336" t="s">
        <v>241</v>
      </c>
      <c r="I187" s="5360" t="s">
        <v>3005</v>
      </c>
      <c r="J187" s="5347" t="s">
        <v>1591</v>
      </c>
      <c r="K187" s="5336" t="s">
        <v>3006</v>
      </c>
      <c r="L187" s="5343">
        <v>2</v>
      </c>
      <c r="M187" s="5399">
        <v>0</v>
      </c>
      <c r="N187" s="5343">
        <v>2</v>
      </c>
      <c r="O187" s="5336" t="s">
        <v>3007</v>
      </c>
      <c r="P187" s="5336" t="s">
        <v>3008</v>
      </c>
      <c r="Q187" s="5370" t="s">
        <v>3009</v>
      </c>
      <c r="R187" s="970"/>
      <c r="S187" s="967"/>
      <c r="T187" s="967"/>
      <c r="U187" s="176"/>
      <c r="V187" s="968"/>
      <c r="W187" s="414"/>
      <c r="X187" s="973"/>
      <c r="Y187" s="973"/>
      <c r="Z187" s="973"/>
      <c r="AA187" s="981"/>
      <c r="AB187" s="414"/>
      <c r="AC187" s="168"/>
      <c r="AD187" s="168"/>
      <c r="AE187" s="5415" t="s">
        <v>3010</v>
      </c>
    </row>
    <row r="188" spans="1:31" ht="26.25" customHeight="1">
      <c r="A188" s="5629"/>
      <c r="B188" s="5573"/>
      <c r="C188" s="5337"/>
      <c r="D188" s="5337"/>
      <c r="E188" s="5337"/>
      <c r="F188" s="5337"/>
      <c r="G188" s="5337"/>
      <c r="H188" s="5337"/>
      <c r="I188" s="5361"/>
      <c r="J188" s="5337"/>
      <c r="K188" s="5337"/>
      <c r="L188" s="5337"/>
      <c r="M188" s="5337"/>
      <c r="N188" s="5337"/>
      <c r="O188" s="5337"/>
      <c r="P188" s="5337"/>
      <c r="Q188" s="5345"/>
      <c r="R188" s="982"/>
      <c r="S188" s="983"/>
      <c r="T188" s="983"/>
      <c r="U188" s="169"/>
      <c r="V188" s="984"/>
      <c r="W188" s="170"/>
      <c r="X188" s="974"/>
      <c r="Y188" s="974">
        <f t="shared" ref="Y188:Y191" si="46">+V188*X188</f>
        <v>0</v>
      </c>
      <c r="Z188" s="974">
        <f t="shared" ref="Z188:Z191" si="47">+Y188*1.12</f>
        <v>0</v>
      </c>
      <c r="AA188" s="969"/>
      <c r="AB188" s="170"/>
      <c r="AC188" s="170"/>
      <c r="AD188" s="171"/>
      <c r="AE188" s="5416"/>
    </row>
    <row r="189" spans="1:31" ht="26.25" customHeight="1">
      <c r="A189" s="5629"/>
      <c r="B189" s="5573"/>
      <c r="C189" s="5337"/>
      <c r="D189" s="5337"/>
      <c r="E189" s="5337"/>
      <c r="F189" s="5337"/>
      <c r="G189" s="5337"/>
      <c r="H189" s="5337"/>
      <c r="I189" s="5361"/>
      <c r="J189" s="5337"/>
      <c r="K189" s="5337"/>
      <c r="L189" s="5337"/>
      <c r="M189" s="5337"/>
      <c r="N189" s="5337"/>
      <c r="O189" s="5337"/>
      <c r="P189" s="5337"/>
      <c r="Q189" s="5345"/>
      <c r="R189" s="982"/>
      <c r="S189" s="983"/>
      <c r="T189" s="983"/>
      <c r="U189" s="169"/>
      <c r="V189" s="984"/>
      <c r="W189" s="170"/>
      <c r="X189" s="974"/>
      <c r="Y189" s="974">
        <f t="shared" si="46"/>
        <v>0</v>
      </c>
      <c r="Z189" s="974">
        <f t="shared" si="47"/>
        <v>0</v>
      </c>
      <c r="AA189" s="969"/>
      <c r="AB189" s="170"/>
      <c r="AC189" s="170"/>
      <c r="AD189" s="282"/>
      <c r="AE189" s="5416"/>
    </row>
    <row r="190" spans="1:31" ht="26.25" customHeight="1">
      <c r="A190" s="5629"/>
      <c r="B190" s="5573"/>
      <c r="C190" s="5337"/>
      <c r="D190" s="5337"/>
      <c r="E190" s="5337"/>
      <c r="F190" s="5337"/>
      <c r="G190" s="5337"/>
      <c r="H190" s="5337"/>
      <c r="I190" s="5361"/>
      <c r="J190" s="5337"/>
      <c r="K190" s="5337"/>
      <c r="L190" s="5337"/>
      <c r="M190" s="5337"/>
      <c r="N190" s="5337"/>
      <c r="O190" s="5337"/>
      <c r="P190" s="5337"/>
      <c r="Q190" s="5345"/>
      <c r="R190" s="982"/>
      <c r="S190" s="983"/>
      <c r="T190" s="983"/>
      <c r="U190" s="169"/>
      <c r="V190" s="984"/>
      <c r="W190" s="170"/>
      <c r="X190" s="974"/>
      <c r="Y190" s="974">
        <f t="shared" si="46"/>
        <v>0</v>
      </c>
      <c r="Z190" s="974">
        <f t="shared" si="47"/>
        <v>0</v>
      </c>
      <c r="AA190" s="969"/>
      <c r="AB190" s="170"/>
      <c r="AC190" s="170"/>
      <c r="AD190" s="282"/>
      <c r="AE190" s="5416"/>
    </row>
    <row r="191" spans="1:31" ht="26.25" customHeight="1">
      <c r="A191" s="5629"/>
      <c r="B191" s="5574"/>
      <c r="C191" s="5338"/>
      <c r="D191" s="5338"/>
      <c r="E191" s="5338"/>
      <c r="F191" s="5338"/>
      <c r="G191" s="5338"/>
      <c r="H191" s="5338"/>
      <c r="I191" s="5362"/>
      <c r="J191" s="5338"/>
      <c r="K191" s="5338"/>
      <c r="L191" s="5338"/>
      <c r="M191" s="5338"/>
      <c r="N191" s="5338"/>
      <c r="O191" s="5338"/>
      <c r="P191" s="5338"/>
      <c r="Q191" s="5346"/>
      <c r="R191" s="975"/>
      <c r="S191" s="976"/>
      <c r="T191" s="976"/>
      <c r="U191" s="411"/>
      <c r="V191" s="977"/>
      <c r="W191" s="165"/>
      <c r="X191" s="978"/>
      <c r="Y191" s="978">
        <f t="shared" si="46"/>
        <v>0</v>
      </c>
      <c r="Z191" s="978">
        <f t="shared" si="47"/>
        <v>0</v>
      </c>
      <c r="AA191" s="979"/>
      <c r="AB191" s="165"/>
      <c r="AC191" s="165"/>
      <c r="AD191" s="166"/>
      <c r="AE191" s="5417"/>
    </row>
    <row r="192" spans="1:31" ht="37.5" customHeight="1">
      <c r="A192" s="5629"/>
      <c r="B192" s="5627" t="s">
        <v>272</v>
      </c>
      <c r="C192" s="5347" t="s">
        <v>302</v>
      </c>
      <c r="D192" s="5347" t="s">
        <v>303</v>
      </c>
      <c r="E192" s="5347" t="s">
        <v>304</v>
      </c>
      <c r="F192" s="5353" t="s">
        <v>305</v>
      </c>
      <c r="G192" s="5347" t="s">
        <v>240</v>
      </c>
      <c r="H192" s="5347" t="s">
        <v>257</v>
      </c>
      <c r="I192" s="5360" t="s">
        <v>3011</v>
      </c>
      <c r="J192" s="5347" t="s">
        <v>2506</v>
      </c>
      <c r="K192" s="5347" t="s">
        <v>3012</v>
      </c>
      <c r="L192" s="5399">
        <v>4</v>
      </c>
      <c r="M192" s="5399">
        <v>4</v>
      </c>
      <c r="N192" s="5399">
        <v>4</v>
      </c>
      <c r="O192" s="5347" t="s">
        <v>3013</v>
      </c>
      <c r="P192" s="5347" t="s">
        <v>3014</v>
      </c>
      <c r="Q192" s="5394" t="s">
        <v>3015</v>
      </c>
      <c r="R192" s="970"/>
      <c r="S192" s="967"/>
      <c r="T192" s="967"/>
      <c r="U192" s="283"/>
      <c r="V192" s="988"/>
      <c r="W192" s="178"/>
      <c r="X192" s="989"/>
      <c r="Y192" s="973"/>
      <c r="Z192" s="973"/>
      <c r="AA192" s="990"/>
      <c r="AB192" s="178"/>
      <c r="AC192" s="181"/>
      <c r="AD192" s="181"/>
      <c r="AE192" s="5418" t="s">
        <v>3016</v>
      </c>
    </row>
    <row r="193" spans="1:31" ht="37.5" customHeight="1">
      <c r="A193" s="5629"/>
      <c r="B193" s="5573"/>
      <c r="C193" s="5337"/>
      <c r="D193" s="5337"/>
      <c r="E193" s="5337"/>
      <c r="F193" s="5337"/>
      <c r="G193" s="5337"/>
      <c r="H193" s="5337"/>
      <c r="I193" s="5361"/>
      <c r="J193" s="5337"/>
      <c r="K193" s="5337"/>
      <c r="L193" s="5337"/>
      <c r="M193" s="5337"/>
      <c r="N193" s="5337"/>
      <c r="O193" s="5337"/>
      <c r="P193" s="5337"/>
      <c r="Q193" s="5345"/>
      <c r="R193" s="982"/>
      <c r="S193" s="983"/>
      <c r="T193" s="983"/>
      <c r="U193" s="169"/>
      <c r="V193" s="984"/>
      <c r="W193" s="170"/>
      <c r="X193" s="974"/>
      <c r="Y193" s="974">
        <f t="shared" ref="Y193:Y196" si="48">+V193*X193</f>
        <v>0</v>
      </c>
      <c r="Z193" s="974">
        <f t="shared" ref="Z193:Z196" si="49">+Y193*1.12</f>
        <v>0</v>
      </c>
      <c r="AA193" s="969"/>
      <c r="AB193" s="170"/>
      <c r="AC193" s="282"/>
      <c r="AD193" s="282"/>
      <c r="AE193" s="5416"/>
    </row>
    <row r="194" spans="1:31" ht="37.5" customHeight="1">
      <c r="A194" s="5629"/>
      <c r="B194" s="5573"/>
      <c r="C194" s="5337"/>
      <c r="D194" s="5337"/>
      <c r="E194" s="5337"/>
      <c r="F194" s="5337"/>
      <c r="G194" s="5337"/>
      <c r="H194" s="5337"/>
      <c r="I194" s="5361"/>
      <c r="J194" s="5337"/>
      <c r="K194" s="5337"/>
      <c r="L194" s="5337"/>
      <c r="M194" s="5337"/>
      <c r="N194" s="5337"/>
      <c r="O194" s="5337"/>
      <c r="P194" s="5337"/>
      <c r="Q194" s="5345"/>
      <c r="R194" s="982"/>
      <c r="S194" s="983"/>
      <c r="T194" s="983"/>
      <c r="U194" s="169"/>
      <c r="V194" s="984"/>
      <c r="W194" s="170"/>
      <c r="X194" s="974"/>
      <c r="Y194" s="974">
        <f t="shared" si="48"/>
        <v>0</v>
      </c>
      <c r="Z194" s="974">
        <f t="shared" si="49"/>
        <v>0</v>
      </c>
      <c r="AA194" s="969"/>
      <c r="AB194" s="170"/>
      <c r="AC194" s="282"/>
      <c r="AD194" s="282"/>
      <c r="AE194" s="5416"/>
    </row>
    <row r="195" spans="1:31" ht="37.5" customHeight="1">
      <c r="A195" s="5648"/>
      <c r="B195" s="5573"/>
      <c r="C195" s="5337"/>
      <c r="D195" s="5337"/>
      <c r="E195" s="5337"/>
      <c r="F195" s="5337"/>
      <c r="G195" s="5337"/>
      <c r="H195" s="5337"/>
      <c r="I195" s="5361"/>
      <c r="J195" s="5337"/>
      <c r="K195" s="5337"/>
      <c r="L195" s="5337"/>
      <c r="M195" s="5337"/>
      <c r="N195" s="5337"/>
      <c r="O195" s="5337"/>
      <c r="P195" s="5337"/>
      <c r="Q195" s="5345"/>
      <c r="R195" s="982"/>
      <c r="S195" s="983"/>
      <c r="T195" s="983"/>
      <c r="U195" s="169"/>
      <c r="V195" s="984"/>
      <c r="W195" s="170"/>
      <c r="X195" s="974"/>
      <c r="Y195" s="974">
        <f t="shared" si="48"/>
        <v>0</v>
      </c>
      <c r="Z195" s="974">
        <f t="shared" si="49"/>
        <v>0</v>
      </c>
      <c r="AA195" s="969"/>
      <c r="AB195" s="170"/>
      <c r="AC195" s="282"/>
      <c r="AD195" s="282"/>
      <c r="AE195" s="5416"/>
    </row>
    <row r="196" spans="1:31" ht="37.5" customHeight="1">
      <c r="A196" s="5578" t="s">
        <v>1562</v>
      </c>
      <c r="B196" s="5574"/>
      <c r="C196" s="5338"/>
      <c r="D196" s="5338"/>
      <c r="E196" s="5338"/>
      <c r="F196" s="5338"/>
      <c r="G196" s="5338"/>
      <c r="H196" s="5338"/>
      <c r="I196" s="5362"/>
      <c r="J196" s="5338"/>
      <c r="K196" s="5338"/>
      <c r="L196" s="5338"/>
      <c r="M196" s="5338"/>
      <c r="N196" s="5338"/>
      <c r="O196" s="5338"/>
      <c r="P196" s="5338"/>
      <c r="Q196" s="5346"/>
      <c r="R196" s="975"/>
      <c r="S196" s="976"/>
      <c r="T196" s="976"/>
      <c r="U196" s="411"/>
      <c r="V196" s="977"/>
      <c r="W196" s="165"/>
      <c r="X196" s="978"/>
      <c r="Y196" s="978">
        <f t="shared" si="48"/>
        <v>0</v>
      </c>
      <c r="Z196" s="978">
        <f t="shared" si="49"/>
        <v>0</v>
      </c>
      <c r="AA196" s="979"/>
      <c r="AB196" s="165"/>
      <c r="AC196" s="166"/>
      <c r="AD196" s="166"/>
      <c r="AE196" s="5417"/>
    </row>
    <row r="197" spans="1:31" ht="30" customHeight="1">
      <c r="A197" s="5629"/>
      <c r="B197" s="5627" t="s">
        <v>235</v>
      </c>
      <c r="C197" s="5347" t="s">
        <v>236</v>
      </c>
      <c r="D197" s="5347" t="s">
        <v>244</v>
      </c>
      <c r="E197" s="5347" t="s">
        <v>292</v>
      </c>
      <c r="F197" s="5353" t="s">
        <v>239</v>
      </c>
      <c r="G197" s="5347" t="s">
        <v>293</v>
      </c>
      <c r="H197" s="5347" t="s">
        <v>278</v>
      </c>
      <c r="I197" s="5360" t="s">
        <v>3017</v>
      </c>
      <c r="J197" s="5347" t="s">
        <v>1596</v>
      </c>
      <c r="K197" s="5347" t="s">
        <v>3018</v>
      </c>
      <c r="L197" s="5399">
        <v>1</v>
      </c>
      <c r="M197" s="5399">
        <v>0</v>
      </c>
      <c r="N197" s="5399">
        <v>0</v>
      </c>
      <c r="O197" s="5347" t="s">
        <v>3019</v>
      </c>
      <c r="P197" s="5347" t="s">
        <v>3020</v>
      </c>
      <c r="Q197" s="5394" t="s">
        <v>3021</v>
      </c>
      <c r="R197" s="970"/>
      <c r="S197" s="967"/>
      <c r="T197" s="967"/>
      <c r="U197" s="283"/>
      <c r="V197" s="988"/>
      <c r="W197" s="178"/>
      <c r="X197" s="989"/>
      <c r="Y197" s="973"/>
      <c r="Z197" s="973"/>
      <c r="AA197" s="990"/>
      <c r="AB197" s="178"/>
      <c r="AC197" s="181"/>
      <c r="AD197" s="181"/>
      <c r="AE197" s="5418" t="s">
        <v>3022</v>
      </c>
    </row>
    <row r="198" spans="1:31" ht="30" customHeight="1">
      <c r="A198" s="5629"/>
      <c r="B198" s="5573"/>
      <c r="C198" s="5337"/>
      <c r="D198" s="5337"/>
      <c r="E198" s="5337"/>
      <c r="F198" s="5337"/>
      <c r="G198" s="5337"/>
      <c r="H198" s="5337"/>
      <c r="I198" s="5361"/>
      <c r="J198" s="5337"/>
      <c r="K198" s="5337"/>
      <c r="L198" s="5337"/>
      <c r="M198" s="5337"/>
      <c r="N198" s="5337"/>
      <c r="O198" s="5337"/>
      <c r="P198" s="5337"/>
      <c r="Q198" s="5345"/>
      <c r="R198" s="982"/>
      <c r="S198" s="983"/>
      <c r="T198" s="983"/>
      <c r="U198" s="169"/>
      <c r="V198" s="984"/>
      <c r="W198" s="170"/>
      <c r="X198" s="974"/>
      <c r="Y198" s="974">
        <f t="shared" ref="Y198:Y201" si="50">+V198*X198</f>
        <v>0</v>
      </c>
      <c r="Z198" s="974">
        <f t="shared" ref="Z198:Z201" si="51">+Y198*1.12</f>
        <v>0</v>
      </c>
      <c r="AA198" s="969"/>
      <c r="AB198" s="170"/>
      <c r="AC198" s="282"/>
      <c r="AD198" s="282"/>
      <c r="AE198" s="5416"/>
    </row>
    <row r="199" spans="1:31" ht="30" customHeight="1">
      <c r="A199" s="5629"/>
      <c r="B199" s="5573"/>
      <c r="C199" s="5337"/>
      <c r="D199" s="5337"/>
      <c r="E199" s="5337"/>
      <c r="F199" s="5337"/>
      <c r="G199" s="5337"/>
      <c r="H199" s="5337"/>
      <c r="I199" s="5361"/>
      <c r="J199" s="5337"/>
      <c r="K199" s="5337"/>
      <c r="L199" s="5337"/>
      <c r="M199" s="5337"/>
      <c r="N199" s="5337"/>
      <c r="O199" s="5337"/>
      <c r="P199" s="5337"/>
      <c r="Q199" s="5345"/>
      <c r="R199" s="982"/>
      <c r="S199" s="983"/>
      <c r="T199" s="983"/>
      <c r="U199" s="169"/>
      <c r="V199" s="984"/>
      <c r="W199" s="170"/>
      <c r="X199" s="974"/>
      <c r="Y199" s="974">
        <f t="shared" si="50"/>
        <v>0</v>
      </c>
      <c r="Z199" s="974">
        <f t="shared" si="51"/>
        <v>0</v>
      </c>
      <c r="AA199" s="969"/>
      <c r="AB199" s="170"/>
      <c r="AC199" s="282"/>
      <c r="AD199" s="282"/>
      <c r="AE199" s="5416"/>
    </row>
    <row r="200" spans="1:31" ht="30" customHeight="1">
      <c r="A200" s="5629"/>
      <c r="B200" s="5573"/>
      <c r="C200" s="5337"/>
      <c r="D200" s="5337"/>
      <c r="E200" s="5337"/>
      <c r="F200" s="5337"/>
      <c r="G200" s="5337"/>
      <c r="H200" s="5337"/>
      <c r="I200" s="5361"/>
      <c r="J200" s="5337"/>
      <c r="K200" s="5337"/>
      <c r="L200" s="5337"/>
      <c r="M200" s="5337"/>
      <c r="N200" s="5337"/>
      <c r="O200" s="5337"/>
      <c r="P200" s="5337"/>
      <c r="Q200" s="5345"/>
      <c r="R200" s="982"/>
      <c r="S200" s="983"/>
      <c r="T200" s="983"/>
      <c r="U200" s="169"/>
      <c r="V200" s="984"/>
      <c r="W200" s="170"/>
      <c r="X200" s="974"/>
      <c r="Y200" s="974">
        <f t="shared" si="50"/>
        <v>0</v>
      </c>
      <c r="Z200" s="974">
        <f t="shared" si="51"/>
        <v>0</v>
      </c>
      <c r="AA200" s="969"/>
      <c r="AB200" s="170"/>
      <c r="AC200" s="282"/>
      <c r="AD200" s="282"/>
      <c r="AE200" s="5416"/>
    </row>
    <row r="201" spans="1:31" ht="30" customHeight="1">
      <c r="A201" s="5629"/>
      <c r="B201" s="5574"/>
      <c r="C201" s="5338"/>
      <c r="D201" s="5338"/>
      <c r="E201" s="5338"/>
      <c r="F201" s="5338"/>
      <c r="G201" s="5338"/>
      <c r="H201" s="5338"/>
      <c r="I201" s="5362"/>
      <c r="J201" s="5338"/>
      <c r="K201" s="5338"/>
      <c r="L201" s="5338"/>
      <c r="M201" s="5338"/>
      <c r="N201" s="5338"/>
      <c r="O201" s="5338"/>
      <c r="P201" s="5338"/>
      <c r="Q201" s="5346"/>
      <c r="R201" s="975"/>
      <c r="S201" s="976"/>
      <c r="T201" s="976"/>
      <c r="U201" s="411"/>
      <c r="V201" s="977"/>
      <c r="W201" s="165"/>
      <c r="X201" s="978"/>
      <c r="Y201" s="978">
        <f t="shared" si="50"/>
        <v>0</v>
      </c>
      <c r="Z201" s="978">
        <f t="shared" si="51"/>
        <v>0</v>
      </c>
      <c r="AA201" s="979"/>
      <c r="AB201" s="165"/>
      <c r="AC201" s="166"/>
      <c r="AD201" s="166"/>
      <c r="AE201" s="5417"/>
    </row>
    <row r="202" spans="1:31" ht="26.25" customHeight="1">
      <c r="A202" s="5629"/>
      <c r="B202" s="5572" t="s">
        <v>272</v>
      </c>
      <c r="C202" s="5336" t="s">
        <v>302</v>
      </c>
      <c r="D202" s="5336" t="s">
        <v>274</v>
      </c>
      <c r="E202" s="5336" t="s">
        <v>885</v>
      </c>
      <c r="F202" s="5341" t="s">
        <v>305</v>
      </c>
      <c r="G202" s="5336" t="s">
        <v>262</v>
      </c>
      <c r="H202" s="5336" t="s">
        <v>241</v>
      </c>
      <c r="I202" s="5336" t="s">
        <v>3023</v>
      </c>
      <c r="J202" s="5336" t="s">
        <v>1601</v>
      </c>
      <c r="K202" s="5336" t="s">
        <v>3024</v>
      </c>
      <c r="L202" s="5343">
        <v>1</v>
      </c>
      <c r="M202" s="5399">
        <v>0</v>
      </c>
      <c r="N202" s="5343">
        <v>1</v>
      </c>
      <c r="O202" s="5336" t="s">
        <v>3025</v>
      </c>
      <c r="P202" s="5336" t="s">
        <v>3026</v>
      </c>
      <c r="Q202" s="5370" t="s">
        <v>3027</v>
      </c>
      <c r="R202" s="970"/>
      <c r="S202" s="967"/>
      <c r="T202" s="967"/>
      <c r="U202" s="176"/>
      <c r="V202" s="968"/>
      <c r="W202" s="414"/>
      <c r="X202" s="973"/>
      <c r="Y202" s="973"/>
      <c r="Z202" s="973"/>
      <c r="AA202" s="981"/>
      <c r="AB202" s="414"/>
      <c r="AC202" s="174"/>
      <c r="AD202" s="174"/>
      <c r="AE202" s="5415" t="s">
        <v>3028</v>
      </c>
    </row>
    <row r="203" spans="1:31" ht="26.25" customHeight="1">
      <c r="A203" s="5629"/>
      <c r="B203" s="5573"/>
      <c r="C203" s="5337"/>
      <c r="D203" s="5337"/>
      <c r="E203" s="5337"/>
      <c r="F203" s="5337"/>
      <c r="G203" s="5337"/>
      <c r="H203" s="5337"/>
      <c r="I203" s="5337"/>
      <c r="J203" s="5337"/>
      <c r="K203" s="5337"/>
      <c r="L203" s="5337"/>
      <c r="M203" s="5337"/>
      <c r="N203" s="5337"/>
      <c r="O203" s="5337"/>
      <c r="P203" s="5337"/>
      <c r="Q203" s="5345"/>
      <c r="R203" s="982"/>
      <c r="S203" s="983"/>
      <c r="T203" s="983"/>
      <c r="U203" s="169"/>
      <c r="V203" s="984"/>
      <c r="W203" s="170"/>
      <c r="X203" s="974"/>
      <c r="Y203" s="974">
        <f t="shared" ref="Y203:Y206" si="52">+V203*X203</f>
        <v>0</v>
      </c>
      <c r="Z203" s="974">
        <f t="shared" ref="Z203:Z206" si="53">+Y203*1.12</f>
        <v>0</v>
      </c>
      <c r="AA203" s="969"/>
      <c r="AB203" s="170"/>
      <c r="AC203" s="282"/>
      <c r="AD203" s="282"/>
      <c r="AE203" s="5416"/>
    </row>
    <row r="204" spans="1:31" ht="26.25" customHeight="1">
      <c r="A204" s="5629"/>
      <c r="B204" s="5573"/>
      <c r="C204" s="5337"/>
      <c r="D204" s="5337"/>
      <c r="E204" s="5337"/>
      <c r="F204" s="5337"/>
      <c r="G204" s="5337"/>
      <c r="H204" s="5337"/>
      <c r="I204" s="5337"/>
      <c r="J204" s="5337"/>
      <c r="K204" s="5337"/>
      <c r="L204" s="5337"/>
      <c r="M204" s="5337"/>
      <c r="N204" s="5337"/>
      <c r="O204" s="5337"/>
      <c r="P204" s="5337"/>
      <c r="Q204" s="5345"/>
      <c r="R204" s="971"/>
      <c r="S204" s="972"/>
      <c r="T204" s="972"/>
      <c r="U204" s="1217"/>
      <c r="V204" s="968"/>
      <c r="W204" s="414"/>
      <c r="X204" s="973"/>
      <c r="Y204" s="974">
        <f t="shared" si="52"/>
        <v>0</v>
      </c>
      <c r="Z204" s="974">
        <f t="shared" si="53"/>
        <v>0</v>
      </c>
      <c r="AA204" s="969"/>
      <c r="AB204" s="170"/>
      <c r="AC204" s="282"/>
      <c r="AD204" s="282"/>
      <c r="AE204" s="5416"/>
    </row>
    <row r="205" spans="1:31" ht="26.25" customHeight="1">
      <c r="A205" s="5629"/>
      <c r="B205" s="5573"/>
      <c r="C205" s="5337"/>
      <c r="D205" s="5337"/>
      <c r="E205" s="5337"/>
      <c r="F205" s="5337"/>
      <c r="G205" s="5337"/>
      <c r="H205" s="5337"/>
      <c r="I205" s="5337"/>
      <c r="J205" s="5337"/>
      <c r="K205" s="5337"/>
      <c r="L205" s="5337"/>
      <c r="M205" s="5337"/>
      <c r="N205" s="5337"/>
      <c r="O205" s="5337"/>
      <c r="P205" s="5337"/>
      <c r="Q205" s="5345"/>
      <c r="R205" s="970"/>
      <c r="S205" s="967"/>
      <c r="T205" s="967"/>
      <c r="U205" s="1217"/>
      <c r="V205" s="968"/>
      <c r="W205" s="414"/>
      <c r="X205" s="973"/>
      <c r="Y205" s="974">
        <f t="shared" si="52"/>
        <v>0</v>
      </c>
      <c r="Z205" s="974">
        <f t="shared" si="53"/>
        <v>0</v>
      </c>
      <c r="AA205" s="969"/>
      <c r="AB205" s="170"/>
      <c r="AC205" s="282"/>
      <c r="AD205" s="282"/>
      <c r="AE205" s="5416"/>
    </row>
    <row r="206" spans="1:31" ht="26.25" customHeight="1">
      <c r="A206" s="5629"/>
      <c r="B206" s="5574"/>
      <c r="C206" s="5338"/>
      <c r="D206" s="5338"/>
      <c r="E206" s="5338"/>
      <c r="F206" s="5338"/>
      <c r="G206" s="5338"/>
      <c r="H206" s="5338"/>
      <c r="I206" s="5338"/>
      <c r="J206" s="5337"/>
      <c r="K206" s="5338"/>
      <c r="L206" s="5338"/>
      <c r="M206" s="5338"/>
      <c r="N206" s="5338"/>
      <c r="O206" s="5338"/>
      <c r="P206" s="5338"/>
      <c r="Q206" s="5346"/>
      <c r="R206" s="975"/>
      <c r="S206" s="976"/>
      <c r="T206" s="976"/>
      <c r="U206" s="411"/>
      <c r="V206" s="977"/>
      <c r="W206" s="165"/>
      <c r="X206" s="978"/>
      <c r="Y206" s="978">
        <f t="shared" si="52"/>
        <v>0</v>
      </c>
      <c r="Z206" s="978">
        <f t="shared" si="53"/>
        <v>0</v>
      </c>
      <c r="AA206" s="979"/>
      <c r="AB206" s="165"/>
      <c r="AC206" s="166"/>
      <c r="AD206" s="166"/>
      <c r="AE206" s="5417"/>
    </row>
    <row r="207" spans="1:31" ht="26.25" customHeight="1">
      <c r="A207" s="5629"/>
      <c r="B207" s="5572" t="s">
        <v>235</v>
      </c>
      <c r="C207" s="5336" t="s">
        <v>236</v>
      </c>
      <c r="D207" s="5336" t="s">
        <v>237</v>
      </c>
      <c r="E207" s="5336" t="s">
        <v>255</v>
      </c>
      <c r="F207" s="5341" t="s">
        <v>239</v>
      </c>
      <c r="G207" s="5336" t="s">
        <v>256</v>
      </c>
      <c r="H207" s="5336" t="s">
        <v>241</v>
      </c>
      <c r="I207" s="5360" t="s">
        <v>3029</v>
      </c>
      <c r="J207" s="5347" t="s">
        <v>1610</v>
      </c>
      <c r="K207" s="5336" t="s">
        <v>1611</v>
      </c>
      <c r="L207" s="5343">
        <v>0</v>
      </c>
      <c r="M207" s="5399">
        <v>0</v>
      </c>
      <c r="N207" s="5343">
        <v>3</v>
      </c>
      <c r="O207" s="5336" t="s">
        <v>2019</v>
      </c>
      <c r="P207" s="5336" t="s">
        <v>3030</v>
      </c>
      <c r="Q207" s="5370" t="s">
        <v>3031</v>
      </c>
      <c r="R207" s="970"/>
      <c r="S207" s="967"/>
      <c r="T207" s="967"/>
      <c r="U207" s="176"/>
      <c r="V207" s="968"/>
      <c r="W207" s="414"/>
      <c r="X207" s="973"/>
      <c r="Y207" s="973"/>
      <c r="Z207" s="973"/>
      <c r="AA207" s="981"/>
      <c r="AB207" s="414"/>
      <c r="AC207" s="168"/>
      <c r="AD207" s="168"/>
      <c r="AE207" s="5415" t="s">
        <v>3032</v>
      </c>
    </row>
    <row r="208" spans="1:31" ht="26.25" customHeight="1">
      <c r="A208" s="5629"/>
      <c r="B208" s="5573"/>
      <c r="C208" s="5337"/>
      <c r="D208" s="5337"/>
      <c r="E208" s="5337"/>
      <c r="F208" s="5337"/>
      <c r="G208" s="5337"/>
      <c r="H208" s="5337"/>
      <c r="I208" s="5361"/>
      <c r="J208" s="5337"/>
      <c r="K208" s="5337"/>
      <c r="L208" s="5337"/>
      <c r="M208" s="5337"/>
      <c r="N208" s="5337"/>
      <c r="O208" s="5337"/>
      <c r="P208" s="5337"/>
      <c r="Q208" s="5345"/>
      <c r="R208" s="982"/>
      <c r="S208" s="983"/>
      <c r="T208" s="983"/>
      <c r="U208" s="169"/>
      <c r="V208" s="984"/>
      <c r="W208" s="170"/>
      <c r="X208" s="974"/>
      <c r="Y208" s="974">
        <f t="shared" ref="Y208:Y211" si="54">+V208*X208</f>
        <v>0</v>
      </c>
      <c r="Z208" s="974">
        <f t="shared" ref="Z208:Z211" si="55">+Y208*1.12</f>
        <v>0</v>
      </c>
      <c r="AA208" s="969"/>
      <c r="AB208" s="170"/>
      <c r="AC208" s="170"/>
      <c r="AD208" s="171"/>
      <c r="AE208" s="5416"/>
    </row>
    <row r="209" spans="1:31" ht="26.25" customHeight="1">
      <c r="A209" s="5629"/>
      <c r="B209" s="5573"/>
      <c r="C209" s="5337"/>
      <c r="D209" s="5337"/>
      <c r="E209" s="5337"/>
      <c r="F209" s="5337"/>
      <c r="G209" s="5337"/>
      <c r="H209" s="5337"/>
      <c r="I209" s="5361"/>
      <c r="J209" s="5337"/>
      <c r="K209" s="5337"/>
      <c r="L209" s="5337"/>
      <c r="M209" s="5337"/>
      <c r="N209" s="5337"/>
      <c r="O209" s="5337"/>
      <c r="P209" s="5337"/>
      <c r="Q209" s="5345"/>
      <c r="R209" s="982"/>
      <c r="S209" s="983"/>
      <c r="T209" s="983"/>
      <c r="U209" s="169"/>
      <c r="V209" s="984"/>
      <c r="W209" s="170"/>
      <c r="X209" s="974"/>
      <c r="Y209" s="974">
        <f t="shared" si="54"/>
        <v>0</v>
      </c>
      <c r="Z209" s="974">
        <f t="shared" si="55"/>
        <v>0</v>
      </c>
      <c r="AA209" s="969"/>
      <c r="AB209" s="170"/>
      <c r="AC209" s="170"/>
      <c r="AD209" s="282"/>
      <c r="AE209" s="5416"/>
    </row>
    <row r="210" spans="1:31" ht="26.25" customHeight="1">
      <c r="A210" s="5629"/>
      <c r="B210" s="5573"/>
      <c r="C210" s="5337"/>
      <c r="D210" s="5337"/>
      <c r="E210" s="5337"/>
      <c r="F210" s="5337"/>
      <c r="G210" s="5337"/>
      <c r="H210" s="5337"/>
      <c r="I210" s="5361"/>
      <c r="J210" s="5337"/>
      <c r="K210" s="5337"/>
      <c r="L210" s="5337"/>
      <c r="M210" s="5337"/>
      <c r="N210" s="5337"/>
      <c r="O210" s="5337"/>
      <c r="P210" s="5337"/>
      <c r="Q210" s="5345"/>
      <c r="R210" s="982"/>
      <c r="S210" s="983"/>
      <c r="T210" s="983"/>
      <c r="U210" s="169"/>
      <c r="V210" s="984"/>
      <c r="W210" s="170"/>
      <c r="X210" s="974"/>
      <c r="Y210" s="974">
        <f t="shared" si="54"/>
        <v>0</v>
      </c>
      <c r="Z210" s="974">
        <f t="shared" si="55"/>
        <v>0</v>
      </c>
      <c r="AA210" s="969"/>
      <c r="AB210" s="170"/>
      <c r="AC210" s="170"/>
      <c r="AD210" s="282"/>
      <c r="AE210" s="5416"/>
    </row>
    <row r="211" spans="1:31" ht="26.25" customHeight="1">
      <c r="A211" s="5629"/>
      <c r="B211" s="5574"/>
      <c r="C211" s="5338"/>
      <c r="D211" s="5338"/>
      <c r="E211" s="5338"/>
      <c r="F211" s="5338"/>
      <c r="G211" s="5338"/>
      <c r="H211" s="5338"/>
      <c r="I211" s="5362"/>
      <c r="J211" s="5338"/>
      <c r="K211" s="5338"/>
      <c r="L211" s="5338"/>
      <c r="M211" s="5338"/>
      <c r="N211" s="5338"/>
      <c r="O211" s="5338"/>
      <c r="P211" s="5338"/>
      <c r="Q211" s="5346"/>
      <c r="R211" s="975"/>
      <c r="S211" s="976"/>
      <c r="T211" s="976"/>
      <c r="U211" s="411"/>
      <c r="V211" s="977"/>
      <c r="W211" s="165"/>
      <c r="X211" s="978"/>
      <c r="Y211" s="978">
        <f t="shared" si="54"/>
        <v>0</v>
      </c>
      <c r="Z211" s="978">
        <f t="shared" si="55"/>
        <v>0</v>
      </c>
      <c r="AA211" s="979"/>
      <c r="AB211" s="165"/>
      <c r="AC211" s="165"/>
      <c r="AD211" s="166"/>
      <c r="AE211" s="5417"/>
    </row>
    <row r="212" spans="1:31" ht="26.25" customHeight="1">
      <c r="A212" s="5629"/>
      <c r="B212" s="5627" t="s">
        <v>272</v>
      </c>
      <c r="C212" s="5347" t="s">
        <v>302</v>
      </c>
      <c r="D212" s="5347" t="s">
        <v>303</v>
      </c>
      <c r="E212" s="5347" t="s">
        <v>304</v>
      </c>
      <c r="F212" s="5353" t="s">
        <v>305</v>
      </c>
      <c r="G212" s="5347" t="s">
        <v>262</v>
      </c>
      <c r="H212" s="5347" t="s">
        <v>257</v>
      </c>
      <c r="I212" s="5360" t="s">
        <v>3033</v>
      </c>
      <c r="J212" s="5347" t="s">
        <v>1616</v>
      </c>
      <c r="K212" s="5347" t="s">
        <v>3034</v>
      </c>
      <c r="L212" s="5399">
        <v>0</v>
      </c>
      <c r="M212" s="5399">
        <v>8</v>
      </c>
      <c r="N212" s="5399">
        <v>6</v>
      </c>
      <c r="O212" s="5347" t="s">
        <v>3035</v>
      </c>
      <c r="P212" s="5347" t="s">
        <v>3036</v>
      </c>
      <c r="Q212" s="5394" t="s">
        <v>3037</v>
      </c>
      <c r="R212" s="970"/>
      <c r="S212" s="967"/>
      <c r="T212" s="967"/>
      <c r="U212" s="283"/>
      <c r="V212" s="988"/>
      <c r="W212" s="178"/>
      <c r="X212" s="989"/>
      <c r="Y212" s="973"/>
      <c r="Z212" s="973"/>
      <c r="AA212" s="990"/>
      <c r="AB212" s="178"/>
      <c r="AC212" s="181"/>
      <c r="AD212" s="181"/>
      <c r="AE212" s="5418" t="s">
        <v>3038</v>
      </c>
    </row>
    <row r="213" spans="1:31" ht="26.25" customHeight="1">
      <c r="A213" s="5629"/>
      <c r="B213" s="5573"/>
      <c r="C213" s="5337"/>
      <c r="D213" s="5337"/>
      <c r="E213" s="5337"/>
      <c r="F213" s="5337"/>
      <c r="G213" s="5337"/>
      <c r="H213" s="5337"/>
      <c r="I213" s="5361"/>
      <c r="J213" s="5337"/>
      <c r="K213" s="5337"/>
      <c r="L213" s="5337"/>
      <c r="M213" s="5337"/>
      <c r="N213" s="5337"/>
      <c r="O213" s="5337"/>
      <c r="P213" s="5337"/>
      <c r="Q213" s="5345"/>
      <c r="R213" s="982"/>
      <c r="S213" s="983"/>
      <c r="T213" s="983"/>
      <c r="U213" s="169"/>
      <c r="V213" s="984"/>
      <c r="W213" s="170"/>
      <c r="X213" s="974"/>
      <c r="Y213" s="974">
        <f t="shared" ref="Y213:Y216" si="56">+V213*X213</f>
        <v>0</v>
      </c>
      <c r="Z213" s="974">
        <f t="shared" ref="Z213:Z216" si="57">+Y213*1.12</f>
        <v>0</v>
      </c>
      <c r="AA213" s="969"/>
      <c r="AB213" s="170"/>
      <c r="AC213" s="282"/>
      <c r="AD213" s="282"/>
      <c r="AE213" s="5416"/>
    </row>
    <row r="214" spans="1:31" ht="26.25" customHeight="1">
      <c r="A214" s="5629"/>
      <c r="B214" s="5573"/>
      <c r="C214" s="5337"/>
      <c r="D214" s="5337"/>
      <c r="E214" s="5337"/>
      <c r="F214" s="5337"/>
      <c r="G214" s="5337"/>
      <c r="H214" s="5337"/>
      <c r="I214" s="5361"/>
      <c r="J214" s="5337"/>
      <c r="K214" s="5337"/>
      <c r="L214" s="5337"/>
      <c r="M214" s="5337"/>
      <c r="N214" s="5337"/>
      <c r="O214" s="5337"/>
      <c r="P214" s="5337"/>
      <c r="Q214" s="5345"/>
      <c r="R214" s="982"/>
      <c r="S214" s="983"/>
      <c r="T214" s="983"/>
      <c r="U214" s="169"/>
      <c r="V214" s="984"/>
      <c r="W214" s="170"/>
      <c r="X214" s="974"/>
      <c r="Y214" s="974">
        <f t="shared" si="56"/>
        <v>0</v>
      </c>
      <c r="Z214" s="974">
        <f t="shared" si="57"/>
        <v>0</v>
      </c>
      <c r="AA214" s="969"/>
      <c r="AB214" s="170"/>
      <c r="AC214" s="282"/>
      <c r="AD214" s="282"/>
      <c r="AE214" s="5416"/>
    </row>
    <row r="215" spans="1:31" ht="26.25" customHeight="1">
      <c r="A215" s="5629"/>
      <c r="B215" s="5573"/>
      <c r="C215" s="5337"/>
      <c r="D215" s="5337"/>
      <c r="E215" s="5337"/>
      <c r="F215" s="5337"/>
      <c r="G215" s="5337"/>
      <c r="H215" s="5337"/>
      <c r="I215" s="5361"/>
      <c r="J215" s="5337"/>
      <c r="K215" s="5337"/>
      <c r="L215" s="5337"/>
      <c r="M215" s="5337"/>
      <c r="N215" s="5337"/>
      <c r="O215" s="5337"/>
      <c r="P215" s="5337"/>
      <c r="Q215" s="5345"/>
      <c r="R215" s="982"/>
      <c r="S215" s="983"/>
      <c r="T215" s="983"/>
      <c r="U215" s="169"/>
      <c r="V215" s="984"/>
      <c r="W215" s="170"/>
      <c r="X215" s="974"/>
      <c r="Y215" s="974">
        <f t="shared" si="56"/>
        <v>0</v>
      </c>
      <c r="Z215" s="974">
        <f t="shared" si="57"/>
        <v>0</v>
      </c>
      <c r="AA215" s="969"/>
      <c r="AB215" s="170"/>
      <c r="AC215" s="282"/>
      <c r="AD215" s="282"/>
      <c r="AE215" s="5416"/>
    </row>
    <row r="216" spans="1:31" ht="26.25" customHeight="1">
      <c r="A216" s="5629"/>
      <c r="B216" s="5574"/>
      <c r="C216" s="5338"/>
      <c r="D216" s="5338"/>
      <c r="E216" s="5338"/>
      <c r="F216" s="5338"/>
      <c r="G216" s="5338"/>
      <c r="H216" s="5338"/>
      <c r="I216" s="5362"/>
      <c r="J216" s="5338"/>
      <c r="K216" s="5338"/>
      <c r="L216" s="5338"/>
      <c r="M216" s="5338"/>
      <c r="N216" s="5338"/>
      <c r="O216" s="5338"/>
      <c r="P216" s="5338"/>
      <c r="Q216" s="5346"/>
      <c r="R216" s="975"/>
      <c r="S216" s="976"/>
      <c r="T216" s="976"/>
      <c r="U216" s="411"/>
      <c r="V216" s="977"/>
      <c r="W216" s="165"/>
      <c r="X216" s="978"/>
      <c r="Y216" s="978">
        <f t="shared" si="56"/>
        <v>0</v>
      </c>
      <c r="Z216" s="978">
        <f t="shared" si="57"/>
        <v>0</v>
      </c>
      <c r="AA216" s="979"/>
      <c r="AB216" s="165"/>
      <c r="AC216" s="166"/>
      <c r="AD216" s="166"/>
      <c r="AE216" s="5417"/>
    </row>
    <row r="217" spans="1:31" ht="22.5" customHeight="1">
      <c r="A217" s="5629"/>
      <c r="B217" s="5572" t="s">
        <v>272</v>
      </c>
      <c r="C217" s="5336" t="s">
        <v>679</v>
      </c>
      <c r="D217" s="5336" t="s">
        <v>303</v>
      </c>
      <c r="E217" s="5336" t="s">
        <v>304</v>
      </c>
      <c r="F217" s="5341" t="s">
        <v>305</v>
      </c>
      <c r="G217" s="5336" t="s">
        <v>240</v>
      </c>
      <c r="H217" s="5336" t="s">
        <v>257</v>
      </c>
      <c r="I217" s="5336" t="s">
        <v>3039</v>
      </c>
      <c r="J217" s="5336" t="s">
        <v>1622</v>
      </c>
      <c r="K217" s="5336" t="s">
        <v>3040</v>
      </c>
      <c r="L217" s="5343">
        <v>1</v>
      </c>
      <c r="M217" s="5399">
        <v>0</v>
      </c>
      <c r="N217" s="5343">
        <v>1</v>
      </c>
      <c r="O217" s="5336" t="s">
        <v>3041</v>
      </c>
      <c r="P217" s="5336" t="s">
        <v>3042</v>
      </c>
      <c r="Q217" s="5370" t="s">
        <v>3043</v>
      </c>
      <c r="R217" s="970"/>
      <c r="S217" s="967"/>
      <c r="T217" s="967"/>
      <c r="U217" s="176"/>
      <c r="V217" s="968"/>
      <c r="W217" s="414"/>
      <c r="X217" s="973"/>
      <c r="Y217" s="973"/>
      <c r="Z217" s="973"/>
      <c r="AA217" s="981"/>
      <c r="AB217" s="414"/>
      <c r="AC217" s="174"/>
      <c r="AD217" s="174"/>
      <c r="AE217" s="5415" t="s">
        <v>3044</v>
      </c>
    </row>
    <row r="218" spans="1:31" ht="22.5" customHeight="1">
      <c r="A218" s="5629"/>
      <c r="B218" s="5573"/>
      <c r="C218" s="5337"/>
      <c r="D218" s="5337"/>
      <c r="E218" s="5337"/>
      <c r="F218" s="5337"/>
      <c r="G218" s="5337"/>
      <c r="H218" s="5337"/>
      <c r="I218" s="5337"/>
      <c r="J218" s="5337"/>
      <c r="K218" s="5337"/>
      <c r="L218" s="5337"/>
      <c r="M218" s="5337"/>
      <c r="N218" s="5337"/>
      <c r="O218" s="5337"/>
      <c r="P218" s="5337"/>
      <c r="Q218" s="5345"/>
      <c r="R218" s="982"/>
      <c r="S218" s="983"/>
      <c r="T218" s="983"/>
      <c r="U218" s="169"/>
      <c r="V218" s="984"/>
      <c r="W218" s="170"/>
      <c r="X218" s="974"/>
      <c r="Y218" s="974">
        <f t="shared" ref="Y218:Y221" si="58">+V218*X218</f>
        <v>0</v>
      </c>
      <c r="Z218" s="974">
        <f t="shared" ref="Z218:Z221" si="59">+Y218*1.12</f>
        <v>0</v>
      </c>
      <c r="AA218" s="969"/>
      <c r="AB218" s="170"/>
      <c r="AC218" s="282"/>
      <c r="AD218" s="282"/>
      <c r="AE218" s="5416"/>
    </row>
    <row r="219" spans="1:31" ht="22.5" customHeight="1">
      <c r="A219" s="5629"/>
      <c r="B219" s="5573"/>
      <c r="C219" s="5337"/>
      <c r="D219" s="5337"/>
      <c r="E219" s="5337"/>
      <c r="F219" s="5337"/>
      <c r="G219" s="5337"/>
      <c r="H219" s="5337"/>
      <c r="I219" s="5337"/>
      <c r="J219" s="5337"/>
      <c r="K219" s="5337"/>
      <c r="L219" s="5337"/>
      <c r="M219" s="5337"/>
      <c r="N219" s="5337"/>
      <c r="O219" s="5337"/>
      <c r="P219" s="5337"/>
      <c r="Q219" s="5345"/>
      <c r="R219" s="971"/>
      <c r="S219" s="972"/>
      <c r="T219" s="972"/>
      <c r="U219" s="1217"/>
      <c r="V219" s="968"/>
      <c r="W219" s="414"/>
      <c r="X219" s="973"/>
      <c r="Y219" s="974">
        <f t="shared" si="58"/>
        <v>0</v>
      </c>
      <c r="Z219" s="974">
        <f t="shared" si="59"/>
        <v>0</v>
      </c>
      <c r="AA219" s="969"/>
      <c r="AB219" s="170"/>
      <c r="AC219" s="282"/>
      <c r="AD219" s="282"/>
      <c r="AE219" s="5416"/>
    </row>
    <row r="220" spans="1:31" ht="22.5" customHeight="1">
      <c r="A220" s="5629"/>
      <c r="B220" s="5573"/>
      <c r="C220" s="5337"/>
      <c r="D220" s="5337"/>
      <c r="E220" s="5337"/>
      <c r="F220" s="5337"/>
      <c r="G220" s="5337"/>
      <c r="H220" s="5337"/>
      <c r="I220" s="5337"/>
      <c r="J220" s="5337"/>
      <c r="K220" s="5337"/>
      <c r="L220" s="5337"/>
      <c r="M220" s="5337"/>
      <c r="N220" s="5337"/>
      <c r="O220" s="5337"/>
      <c r="P220" s="5337"/>
      <c r="Q220" s="5345"/>
      <c r="R220" s="970"/>
      <c r="S220" s="967"/>
      <c r="T220" s="967"/>
      <c r="U220" s="1217"/>
      <c r="V220" s="968"/>
      <c r="W220" s="414"/>
      <c r="X220" s="973"/>
      <c r="Y220" s="974">
        <f t="shared" si="58"/>
        <v>0</v>
      </c>
      <c r="Z220" s="974">
        <f t="shared" si="59"/>
        <v>0</v>
      </c>
      <c r="AA220" s="969"/>
      <c r="AB220" s="170"/>
      <c r="AC220" s="282"/>
      <c r="AD220" s="282"/>
      <c r="AE220" s="5416"/>
    </row>
    <row r="221" spans="1:31" ht="22.5" customHeight="1">
      <c r="A221" s="5629"/>
      <c r="B221" s="5574"/>
      <c r="C221" s="5338"/>
      <c r="D221" s="5338"/>
      <c r="E221" s="5338"/>
      <c r="F221" s="5338"/>
      <c r="G221" s="5338"/>
      <c r="H221" s="5338"/>
      <c r="I221" s="5338"/>
      <c r="J221" s="5337"/>
      <c r="K221" s="5338"/>
      <c r="L221" s="5338"/>
      <c r="M221" s="5338"/>
      <c r="N221" s="5338"/>
      <c r="O221" s="5338"/>
      <c r="P221" s="5338"/>
      <c r="Q221" s="5346"/>
      <c r="R221" s="975"/>
      <c r="S221" s="976"/>
      <c r="T221" s="976"/>
      <c r="U221" s="411"/>
      <c r="V221" s="977"/>
      <c r="W221" s="165"/>
      <c r="X221" s="978"/>
      <c r="Y221" s="978">
        <f t="shared" si="58"/>
        <v>0</v>
      </c>
      <c r="Z221" s="978">
        <f t="shared" si="59"/>
        <v>0</v>
      </c>
      <c r="AA221" s="979"/>
      <c r="AB221" s="165"/>
      <c r="AC221" s="166"/>
      <c r="AD221" s="166"/>
      <c r="AE221" s="5417"/>
    </row>
    <row r="222" spans="1:31" ht="33.75" customHeight="1">
      <c r="A222" s="5629"/>
      <c r="B222" s="5572" t="s">
        <v>272</v>
      </c>
      <c r="C222" s="5336" t="s">
        <v>302</v>
      </c>
      <c r="D222" s="5336" t="s">
        <v>303</v>
      </c>
      <c r="E222" s="5336" t="s">
        <v>955</v>
      </c>
      <c r="F222" s="5341" t="s">
        <v>305</v>
      </c>
      <c r="G222" s="5336" t="s">
        <v>256</v>
      </c>
      <c r="H222" s="5336" t="s">
        <v>241</v>
      </c>
      <c r="I222" s="5360" t="s">
        <v>3045</v>
      </c>
      <c r="J222" s="5347" t="s">
        <v>1627</v>
      </c>
      <c r="K222" s="5336" t="s">
        <v>3046</v>
      </c>
      <c r="L222" s="5343">
        <v>0</v>
      </c>
      <c r="M222" s="5399">
        <v>1</v>
      </c>
      <c r="N222" s="5343">
        <v>1</v>
      </c>
      <c r="O222" s="5336" t="s">
        <v>3047</v>
      </c>
      <c r="P222" s="5336" t="s">
        <v>3048</v>
      </c>
      <c r="Q222" s="5370" t="s">
        <v>3049</v>
      </c>
      <c r="R222" s="970"/>
      <c r="S222" s="967"/>
      <c r="T222" s="967"/>
      <c r="U222" s="176"/>
      <c r="V222" s="968"/>
      <c r="W222" s="414"/>
      <c r="X222" s="973"/>
      <c r="Y222" s="973"/>
      <c r="Z222" s="973"/>
      <c r="AA222" s="981"/>
      <c r="AB222" s="414"/>
      <c r="AC222" s="168"/>
      <c r="AD222" s="168"/>
      <c r="AE222" s="5415"/>
    </row>
    <row r="223" spans="1:31" ht="33.75" customHeight="1">
      <c r="A223" s="5629"/>
      <c r="B223" s="5573"/>
      <c r="C223" s="5337"/>
      <c r="D223" s="5337"/>
      <c r="E223" s="5337"/>
      <c r="F223" s="5337"/>
      <c r="G223" s="5337"/>
      <c r="H223" s="5337"/>
      <c r="I223" s="5361"/>
      <c r="J223" s="5337"/>
      <c r="K223" s="5337"/>
      <c r="L223" s="5337"/>
      <c r="M223" s="5337"/>
      <c r="N223" s="5337"/>
      <c r="O223" s="5337"/>
      <c r="P223" s="5337"/>
      <c r="Q223" s="5345"/>
      <c r="R223" s="982"/>
      <c r="S223" s="983"/>
      <c r="T223" s="983"/>
      <c r="U223" s="169"/>
      <c r="V223" s="984"/>
      <c r="W223" s="170"/>
      <c r="X223" s="974"/>
      <c r="Y223" s="974">
        <f t="shared" ref="Y223:Y226" si="60">+V223*X223</f>
        <v>0</v>
      </c>
      <c r="Z223" s="974">
        <f t="shared" ref="Z223:Z226" si="61">+Y223*1.12</f>
        <v>0</v>
      </c>
      <c r="AA223" s="969"/>
      <c r="AB223" s="170"/>
      <c r="AC223" s="170"/>
      <c r="AD223" s="171"/>
      <c r="AE223" s="5416"/>
    </row>
    <row r="224" spans="1:31" ht="33.75" customHeight="1">
      <c r="A224" s="5629"/>
      <c r="B224" s="5573"/>
      <c r="C224" s="5337"/>
      <c r="D224" s="5337"/>
      <c r="E224" s="5337"/>
      <c r="F224" s="5337"/>
      <c r="G224" s="5337"/>
      <c r="H224" s="5337"/>
      <c r="I224" s="5361"/>
      <c r="J224" s="5337"/>
      <c r="K224" s="5337"/>
      <c r="L224" s="5337"/>
      <c r="M224" s="5337"/>
      <c r="N224" s="5337"/>
      <c r="O224" s="5337"/>
      <c r="P224" s="5337"/>
      <c r="Q224" s="5345"/>
      <c r="R224" s="982"/>
      <c r="S224" s="983"/>
      <c r="T224" s="983"/>
      <c r="U224" s="169"/>
      <c r="V224" s="984"/>
      <c r="W224" s="170"/>
      <c r="X224" s="974"/>
      <c r="Y224" s="974">
        <f t="shared" si="60"/>
        <v>0</v>
      </c>
      <c r="Z224" s="974">
        <f t="shared" si="61"/>
        <v>0</v>
      </c>
      <c r="AA224" s="969"/>
      <c r="AB224" s="170"/>
      <c r="AC224" s="170"/>
      <c r="AD224" s="282"/>
      <c r="AE224" s="5416"/>
    </row>
    <row r="225" spans="1:31" ht="33.75" customHeight="1">
      <c r="A225" s="5629"/>
      <c r="B225" s="5573"/>
      <c r="C225" s="5337"/>
      <c r="D225" s="5337"/>
      <c r="E225" s="5337"/>
      <c r="F225" s="5337"/>
      <c r="G225" s="5337"/>
      <c r="H225" s="5337"/>
      <c r="I225" s="5361"/>
      <c r="J225" s="5337"/>
      <c r="K225" s="5337"/>
      <c r="L225" s="5337"/>
      <c r="M225" s="5337"/>
      <c r="N225" s="5337"/>
      <c r="O225" s="5337"/>
      <c r="P225" s="5337"/>
      <c r="Q225" s="5345"/>
      <c r="R225" s="982"/>
      <c r="S225" s="983"/>
      <c r="T225" s="983"/>
      <c r="U225" s="169"/>
      <c r="V225" s="984"/>
      <c r="W225" s="170"/>
      <c r="X225" s="974"/>
      <c r="Y225" s="974">
        <f t="shared" si="60"/>
        <v>0</v>
      </c>
      <c r="Z225" s="974">
        <f t="shared" si="61"/>
        <v>0</v>
      </c>
      <c r="AA225" s="969"/>
      <c r="AB225" s="170"/>
      <c r="AC225" s="170"/>
      <c r="AD225" s="282"/>
      <c r="AE225" s="5416"/>
    </row>
    <row r="226" spans="1:31" ht="33.75" customHeight="1">
      <c r="A226" s="5629"/>
      <c r="B226" s="5574"/>
      <c r="C226" s="5338"/>
      <c r="D226" s="5338"/>
      <c r="E226" s="5338"/>
      <c r="F226" s="5338"/>
      <c r="G226" s="5338"/>
      <c r="H226" s="5338"/>
      <c r="I226" s="5362"/>
      <c r="J226" s="5338"/>
      <c r="K226" s="5338"/>
      <c r="L226" s="5338"/>
      <c r="M226" s="5338"/>
      <c r="N226" s="5338"/>
      <c r="O226" s="5338"/>
      <c r="P226" s="5338"/>
      <c r="Q226" s="5346"/>
      <c r="R226" s="975"/>
      <c r="S226" s="976"/>
      <c r="T226" s="976"/>
      <c r="U226" s="411"/>
      <c r="V226" s="977"/>
      <c r="W226" s="165"/>
      <c r="X226" s="978"/>
      <c r="Y226" s="978">
        <f t="shared" si="60"/>
        <v>0</v>
      </c>
      <c r="Z226" s="978">
        <f t="shared" si="61"/>
        <v>0</v>
      </c>
      <c r="AA226" s="979"/>
      <c r="AB226" s="165"/>
      <c r="AC226" s="165"/>
      <c r="AD226" s="166"/>
      <c r="AE226" s="5417"/>
    </row>
    <row r="227" spans="1:31" ht="34.5" customHeight="1">
      <c r="A227" s="5629"/>
      <c r="B227" s="5627" t="s">
        <v>235</v>
      </c>
      <c r="C227" s="5347" t="s">
        <v>236</v>
      </c>
      <c r="D227" s="5347" t="s">
        <v>244</v>
      </c>
      <c r="E227" s="5347" t="s">
        <v>292</v>
      </c>
      <c r="F227" s="5353" t="s">
        <v>239</v>
      </c>
      <c r="G227" s="5347" t="s">
        <v>240</v>
      </c>
      <c r="H227" s="5347" t="s">
        <v>257</v>
      </c>
      <c r="I227" s="5360" t="s">
        <v>3050</v>
      </c>
      <c r="J227" s="5357" t="s">
        <v>3051</v>
      </c>
      <c r="K227" s="5357" t="s">
        <v>3052</v>
      </c>
      <c r="L227" s="5647">
        <v>1</v>
      </c>
      <c r="M227" s="5647">
        <v>0</v>
      </c>
      <c r="N227" s="5647">
        <v>1</v>
      </c>
      <c r="O227" s="5357" t="s">
        <v>3053</v>
      </c>
      <c r="P227" s="5357" t="s">
        <v>3054</v>
      </c>
      <c r="Q227" s="5394" t="s">
        <v>3055</v>
      </c>
      <c r="R227" s="995"/>
      <c r="S227" s="996"/>
      <c r="T227" s="996"/>
      <c r="U227" s="177"/>
      <c r="V227" s="988"/>
      <c r="W227" s="178"/>
      <c r="X227" s="989"/>
      <c r="Y227" s="989"/>
      <c r="Z227" s="989"/>
      <c r="AA227" s="990"/>
      <c r="AB227" s="178"/>
      <c r="AC227" s="181"/>
      <c r="AD227" s="181"/>
      <c r="AE227" s="5418" t="s">
        <v>3056</v>
      </c>
    </row>
    <row r="228" spans="1:31" ht="34.5" customHeight="1">
      <c r="A228" s="5629"/>
      <c r="B228" s="5573"/>
      <c r="C228" s="5337"/>
      <c r="D228" s="5337"/>
      <c r="E228" s="5337"/>
      <c r="F228" s="5337"/>
      <c r="G228" s="5337"/>
      <c r="H228" s="5337"/>
      <c r="I228" s="5361"/>
      <c r="J228" s="5337"/>
      <c r="K228" s="5337"/>
      <c r="L228" s="5337"/>
      <c r="M228" s="5337"/>
      <c r="N228" s="5337"/>
      <c r="O228" s="5337"/>
      <c r="P228" s="5337"/>
      <c r="Q228" s="5345"/>
      <c r="R228" s="971"/>
      <c r="S228" s="972"/>
      <c r="T228" s="972"/>
      <c r="U228" s="169"/>
      <c r="V228" s="984"/>
      <c r="W228" s="170"/>
      <c r="X228" s="974"/>
      <c r="Y228" s="974">
        <f t="shared" ref="Y228:Y231" si="62">+V228*X228</f>
        <v>0</v>
      </c>
      <c r="Z228" s="974">
        <f t="shared" ref="Z228:Z231" si="63">+Y228*1.12</f>
        <v>0</v>
      </c>
      <c r="AA228" s="969"/>
      <c r="AB228" s="170"/>
      <c r="AC228" s="282"/>
      <c r="AD228" s="282"/>
      <c r="AE228" s="5416"/>
    </row>
    <row r="229" spans="1:31" ht="34.5" customHeight="1">
      <c r="A229" s="5629"/>
      <c r="B229" s="5573"/>
      <c r="C229" s="5337"/>
      <c r="D229" s="5337"/>
      <c r="E229" s="5337"/>
      <c r="F229" s="5337"/>
      <c r="G229" s="5337"/>
      <c r="H229" s="5337"/>
      <c r="I229" s="5361"/>
      <c r="J229" s="5337"/>
      <c r="K229" s="5337"/>
      <c r="L229" s="5337"/>
      <c r="M229" s="5337"/>
      <c r="N229" s="5337"/>
      <c r="O229" s="5337"/>
      <c r="P229" s="5337"/>
      <c r="Q229" s="5345"/>
      <c r="R229" s="982"/>
      <c r="S229" s="983"/>
      <c r="T229" s="983"/>
      <c r="U229" s="169"/>
      <c r="V229" s="984"/>
      <c r="W229" s="170"/>
      <c r="X229" s="974"/>
      <c r="Y229" s="974">
        <f t="shared" si="62"/>
        <v>0</v>
      </c>
      <c r="Z229" s="974">
        <f t="shared" si="63"/>
        <v>0</v>
      </c>
      <c r="AA229" s="969"/>
      <c r="AB229" s="170"/>
      <c r="AC229" s="282"/>
      <c r="AD229" s="282"/>
      <c r="AE229" s="5416"/>
    </row>
    <row r="230" spans="1:31" ht="34.5" customHeight="1">
      <c r="A230" s="5629"/>
      <c r="B230" s="5573"/>
      <c r="C230" s="5337"/>
      <c r="D230" s="5337"/>
      <c r="E230" s="5337"/>
      <c r="F230" s="5337"/>
      <c r="G230" s="5337"/>
      <c r="H230" s="5337"/>
      <c r="I230" s="5361"/>
      <c r="J230" s="5337"/>
      <c r="K230" s="5337"/>
      <c r="L230" s="5337"/>
      <c r="M230" s="5337"/>
      <c r="N230" s="5337"/>
      <c r="O230" s="5337"/>
      <c r="P230" s="5337"/>
      <c r="Q230" s="5345"/>
      <c r="R230" s="982"/>
      <c r="S230" s="983"/>
      <c r="T230" s="983"/>
      <c r="U230" s="169"/>
      <c r="V230" s="984"/>
      <c r="W230" s="170"/>
      <c r="X230" s="974"/>
      <c r="Y230" s="974">
        <f t="shared" si="62"/>
        <v>0</v>
      </c>
      <c r="Z230" s="974">
        <f t="shared" si="63"/>
        <v>0</v>
      </c>
      <c r="AA230" s="969"/>
      <c r="AB230" s="170"/>
      <c r="AC230" s="282"/>
      <c r="AD230" s="282"/>
      <c r="AE230" s="5416"/>
    </row>
    <row r="231" spans="1:31" ht="34.5" customHeight="1">
      <c r="A231" s="5629"/>
      <c r="B231" s="5574"/>
      <c r="C231" s="5338"/>
      <c r="D231" s="5338"/>
      <c r="E231" s="5338"/>
      <c r="F231" s="5338"/>
      <c r="G231" s="5338"/>
      <c r="H231" s="5338"/>
      <c r="I231" s="5362"/>
      <c r="J231" s="5338"/>
      <c r="K231" s="5338"/>
      <c r="L231" s="5338"/>
      <c r="M231" s="5338"/>
      <c r="N231" s="5338"/>
      <c r="O231" s="5338"/>
      <c r="P231" s="5338"/>
      <c r="Q231" s="5346"/>
      <c r="R231" s="975"/>
      <c r="S231" s="976"/>
      <c r="T231" s="976"/>
      <c r="U231" s="411"/>
      <c r="V231" s="977"/>
      <c r="W231" s="165"/>
      <c r="X231" s="978"/>
      <c r="Y231" s="978">
        <f t="shared" si="62"/>
        <v>0</v>
      </c>
      <c r="Z231" s="978">
        <f t="shared" si="63"/>
        <v>0</v>
      </c>
      <c r="AA231" s="979"/>
      <c r="AB231" s="165"/>
      <c r="AC231" s="166"/>
      <c r="AD231" s="166"/>
      <c r="AE231" s="5417"/>
    </row>
    <row r="232" spans="1:31" ht="34.5" customHeight="1">
      <c r="A232" s="5629"/>
      <c r="B232" s="5591" t="s">
        <v>235</v>
      </c>
      <c r="C232" s="5632" t="s">
        <v>236</v>
      </c>
      <c r="D232" s="5632" t="s">
        <v>244</v>
      </c>
      <c r="E232" s="5632" t="s">
        <v>808</v>
      </c>
      <c r="F232" s="5640" t="s">
        <v>239</v>
      </c>
      <c r="G232" s="5347" t="s">
        <v>240</v>
      </c>
      <c r="H232" s="5632" t="s">
        <v>241</v>
      </c>
      <c r="I232" s="5347" t="s">
        <v>3057</v>
      </c>
      <c r="J232" s="5357" t="s">
        <v>1709</v>
      </c>
      <c r="K232" s="5357" t="s">
        <v>2043</v>
      </c>
      <c r="L232" s="5647">
        <v>8</v>
      </c>
      <c r="M232" s="5647">
        <v>6</v>
      </c>
      <c r="N232" s="5647">
        <v>10</v>
      </c>
      <c r="O232" s="5357" t="s">
        <v>2044</v>
      </c>
      <c r="P232" s="5357" t="s">
        <v>2045</v>
      </c>
      <c r="Q232" s="5394" t="s">
        <v>3058</v>
      </c>
      <c r="R232" s="1110"/>
      <c r="S232" s="1111"/>
      <c r="T232" s="1111"/>
      <c r="U232" s="1711"/>
      <c r="V232" s="1112"/>
      <c r="W232" s="1719"/>
      <c r="X232" s="1113"/>
      <c r="Y232" s="974"/>
      <c r="Z232" s="1113"/>
      <c r="AA232" s="1114"/>
      <c r="AB232" s="1719"/>
      <c r="AC232" s="410"/>
      <c r="AD232" s="410"/>
      <c r="AE232" s="5418" t="s">
        <v>3059</v>
      </c>
    </row>
    <row r="233" spans="1:31" ht="34.5" customHeight="1">
      <c r="A233" s="5629"/>
      <c r="B233" s="5573"/>
      <c r="C233" s="5337"/>
      <c r="D233" s="5337"/>
      <c r="E233" s="5337"/>
      <c r="F233" s="5337"/>
      <c r="G233" s="5337"/>
      <c r="H233" s="5337"/>
      <c r="I233" s="5337"/>
      <c r="J233" s="5337"/>
      <c r="K233" s="5337"/>
      <c r="L233" s="5337"/>
      <c r="M233" s="5337"/>
      <c r="N233" s="5337"/>
      <c r="O233" s="5337"/>
      <c r="P233" s="5337"/>
      <c r="Q233" s="5345"/>
      <c r="R233" s="169"/>
      <c r="S233" s="169"/>
      <c r="T233" s="169"/>
      <c r="U233" s="169"/>
      <c r="V233" s="169"/>
      <c r="W233" s="169"/>
      <c r="X233" s="169"/>
      <c r="Y233" s="974">
        <f t="shared" ref="Y233:Y241" si="64">+V233*X233</f>
        <v>0</v>
      </c>
      <c r="Z233" s="974">
        <f t="shared" ref="Z233:Z241" si="65">+Y233*1.12</f>
        <v>0</v>
      </c>
      <c r="AA233" s="169"/>
      <c r="AB233" s="169"/>
      <c r="AC233" s="169"/>
      <c r="AD233" s="169"/>
      <c r="AE233" s="5416"/>
    </row>
    <row r="234" spans="1:31" ht="34.5" customHeight="1">
      <c r="A234" s="5629"/>
      <c r="B234" s="5573"/>
      <c r="C234" s="5337"/>
      <c r="D234" s="5337"/>
      <c r="E234" s="5337"/>
      <c r="F234" s="5337"/>
      <c r="G234" s="5337"/>
      <c r="H234" s="5337"/>
      <c r="I234" s="5337"/>
      <c r="J234" s="5337"/>
      <c r="K234" s="5337"/>
      <c r="L234" s="5337"/>
      <c r="M234" s="5337"/>
      <c r="N234" s="5337"/>
      <c r="O234" s="5337"/>
      <c r="P234" s="5337"/>
      <c r="Q234" s="5345"/>
      <c r="R234" s="169"/>
      <c r="S234" s="169"/>
      <c r="T234" s="169"/>
      <c r="U234" s="169"/>
      <c r="V234" s="169"/>
      <c r="W234" s="169"/>
      <c r="X234" s="169"/>
      <c r="Y234" s="974">
        <f t="shared" si="64"/>
        <v>0</v>
      </c>
      <c r="Z234" s="974">
        <f t="shared" si="65"/>
        <v>0</v>
      </c>
      <c r="AA234" s="169"/>
      <c r="AB234" s="169"/>
      <c r="AC234" s="169"/>
      <c r="AD234" s="169"/>
      <c r="AE234" s="5416"/>
    </row>
    <row r="235" spans="1:31" ht="34.5" customHeight="1">
      <c r="A235" s="5629"/>
      <c r="B235" s="5573"/>
      <c r="C235" s="5337"/>
      <c r="D235" s="5337"/>
      <c r="E235" s="5337"/>
      <c r="F235" s="5337"/>
      <c r="G235" s="5337"/>
      <c r="H235" s="5337"/>
      <c r="I235" s="5337"/>
      <c r="J235" s="5337"/>
      <c r="K235" s="5337"/>
      <c r="L235" s="5337"/>
      <c r="M235" s="5337"/>
      <c r="N235" s="5337"/>
      <c r="O235" s="5337"/>
      <c r="P235" s="5337"/>
      <c r="Q235" s="5345"/>
      <c r="R235" s="169"/>
      <c r="S235" s="169"/>
      <c r="T235" s="169"/>
      <c r="U235" s="169"/>
      <c r="V235" s="169"/>
      <c r="W235" s="169"/>
      <c r="X235" s="169"/>
      <c r="Y235" s="974">
        <f t="shared" si="64"/>
        <v>0</v>
      </c>
      <c r="Z235" s="974">
        <f t="shared" si="65"/>
        <v>0</v>
      </c>
      <c r="AA235" s="169"/>
      <c r="AB235" s="169"/>
      <c r="AC235" s="169"/>
      <c r="AD235" s="169"/>
      <c r="AE235" s="5416"/>
    </row>
    <row r="236" spans="1:31" ht="34.5" customHeight="1">
      <c r="A236" s="5629"/>
      <c r="B236" s="5574"/>
      <c r="C236" s="5338"/>
      <c r="D236" s="5338"/>
      <c r="E236" s="5338"/>
      <c r="F236" s="5338"/>
      <c r="G236" s="5338"/>
      <c r="H236" s="5338"/>
      <c r="I236" s="5338"/>
      <c r="J236" s="5338"/>
      <c r="K236" s="5338"/>
      <c r="L236" s="5338"/>
      <c r="M236" s="5338"/>
      <c r="N236" s="5338"/>
      <c r="O236" s="5338"/>
      <c r="P236" s="5338"/>
      <c r="Q236" s="5346"/>
      <c r="R236" s="169"/>
      <c r="S236" s="169"/>
      <c r="T236" s="169"/>
      <c r="U236" s="169"/>
      <c r="V236" s="169"/>
      <c r="W236" s="169"/>
      <c r="X236" s="169"/>
      <c r="Y236" s="974">
        <f t="shared" si="64"/>
        <v>0</v>
      </c>
      <c r="Z236" s="974">
        <f t="shared" si="65"/>
        <v>0</v>
      </c>
      <c r="AA236" s="169"/>
      <c r="AB236" s="169"/>
      <c r="AC236" s="169"/>
      <c r="AD236" s="169"/>
      <c r="AE236" s="5416"/>
    </row>
    <row r="237" spans="1:31" ht="34.5" customHeight="1">
      <c r="A237" s="5629"/>
      <c r="B237" s="5627" t="s">
        <v>235</v>
      </c>
      <c r="C237" s="5347" t="s">
        <v>236</v>
      </c>
      <c r="D237" s="5347" t="s">
        <v>237</v>
      </c>
      <c r="E237" s="5347" t="s">
        <v>255</v>
      </c>
      <c r="F237" s="5353" t="s">
        <v>239</v>
      </c>
      <c r="G237" s="5347" t="s">
        <v>240</v>
      </c>
      <c r="H237" s="5347" t="s">
        <v>257</v>
      </c>
      <c r="I237" s="5360" t="s">
        <v>3060</v>
      </c>
      <c r="J237" s="5357" t="s">
        <v>338</v>
      </c>
      <c r="K237" s="5357" t="s">
        <v>2976</v>
      </c>
      <c r="L237" s="5647">
        <v>0</v>
      </c>
      <c r="M237" s="5647">
        <v>1</v>
      </c>
      <c r="N237" s="5647">
        <v>1</v>
      </c>
      <c r="O237" s="5357" t="s">
        <v>3061</v>
      </c>
      <c r="P237" s="5357" t="s">
        <v>3062</v>
      </c>
      <c r="Q237" s="5394" t="s">
        <v>3063</v>
      </c>
      <c r="R237" s="169"/>
      <c r="S237" s="169"/>
      <c r="T237" s="169"/>
      <c r="U237" s="169"/>
      <c r="V237" s="169"/>
      <c r="W237" s="169"/>
      <c r="X237" s="169"/>
      <c r="Y237" s="974">
        <f t="shared" si="64"/>
        <v>0</v>
      </c>
      <c r="Z237" s="974">
        <f t="shared" si="65"/>
        <v>0</v>
      </c>
      <c r="AA237" s="169"/>
      <c r="AB237" s="169"/>
      <c r="AC237" s="169"/>
      <c r="AD237" s="169"/>
      <c r="AE237" s="5638"/>
    </row>
    <row r="238" spans="1:31" ht="34.5" customHeight="1">
      <c r="A238" s="5629"/>
      <c r="B238" s="5573"/>
      <c r="C238" s="5337"/>
      <c r="D238" s="5337"/>
      <c r="E238" s="5337"/>
      <c r="F238" s="5337"/>
      <c r="G238" s="5337"/>
      <c r="H238" s="5337"/>
      <c r="I238" s="5361"/>
      <c r="J238" s="5337"/>
      <c r="K238" s="5337"/>
      <c r="L238" s="5337"/>
      <c r="M238" s="5337"/>
      <c r="N238" s="5337"/>
      <c r="O238" s="5337"/>
      <c r="P238" s="5337"/>
      <c r="Q238" s="5345"/>
      <c r="R238" s="169"/>
      <c r="S238" s="169"/>
      <c r="T238" s="169"/>
      <c r="U238" s="169"/>
      <c r="V238" s="169"/>
      <c r="W238" s="169"/>
      <c r="X238" s="169"/>
      <c r="Y238" s="974">
        <f t="shared" si="64"/>
        <v>0</v>
      </c>
      <c r="Z238" s="974">
        <f t="shared" si="65"/>
        <v>0</v>
      </c>
      <c r="AA238" s="169"/>
      <c r="AB238" s="169"/>
      <c r="AC238" s="169"/>
      <c r="AD238" s="169"/>
      <c r="AE238" s="5416"/>
    </row>
    <row r="239" spans="1:31" ht="34.5" customHeight="1">
      <c r="A239" s="5629"/>
      <c r="B239" s="5573"/>
      <c r="C239" s="5337"/>
      <c r="D239" s="5337"/>
      <c r="E239" s="5337"/>
      <c r="F239" s="5337"/>
      <c r="G239" s="5337"/>
      <c r="H239" s="5337"/>
      <c r="I239" s="5361"/>
      <c r="J239" s="5337"/>
      <c r="K239" s="5337"/>
      <c r="L239" s="5337"/>
      <c r="M239" s="5337"/>
      <c r="N239" s="5337"/>
      <c r="O239" s="5337"/>
      <c r="P239" s="5337"/>
      <c r="Q239" s="5345"/>
      <c r="R239" s="169"/>
      <c r="S239" s="169"/>
      <c r="T239" s="169"/>
      <c r="U239" s="169"/>
      <c r="V239" s="169"/>
      <c r="W239" s="169"/>
      <c r="X239" s="169"/>
      <c r="Y239" s="974">
        <f t="shared" si="64"/>
        <v>0</v>
      </c>
      <c r="Z239" s="974">
        <f t="shared" si="65"/>
        <v>0</v>
      </c>
      <c r="AA239" s="169"/>
      <c r="AB239" s="169"/>
      <c r="AC239" s="169"/>
      <c r="AD239" s="169"/>
      <c r="AE239" s="5416"/>
    </row>
    <row r="240" spans="1:31" ht="34.5" customHeight="1">
      <c r="A240" s="5629"/>
      <c r="B240" s="5573"/>
      <c r="C240" s="5337"/>
      <c r="D240" s="5337"/>
      <c r="E240" s="5337"/>
      <c r="F240" s="5337"/>
      <c r="G240" s="5337"/>
      <c r="H240" s="5337"/>
      <c r="I240" s="5361"/>
      <c r="J240" s="5337"/>
      <c r="K240" s="5337"/>
      <c r="L240" s="5337"/>
      <c r="M240" s="5337"/>
      <c r="N240" s="5337"/>
      <c r="O240" s="5337"/>
      <c r="P240" s="5337"/>
      <c r="Q240" s="5345"/>
      <c r="R240" s="169"/>
      <c r="S240" s="169"/>
      <c r="T240" s="169"/>
      <c r="U240" s="169"/>
      <c r="V240" s="169"/>
      <c r="W240" s="169"/>
      <c r="X240" s="169"/>
      <c r="Y240" s="974">
        <f t="shared" si="64"/>
        <v>0</v>
      </c>
      <c r="Z240" s="974">
        <f t="shared" si="65"/>
        <v>0</v>
      </c>
      <c r="AA240" s="169"/>
      <c r="AB240" s="169"/>
      <c r="AC240" s="169"/>
      <c r="AD240" s="169"/>
      <c r="AE240" s="5416"/>
    </row>
    <row r="241" spans="1:31" ht="34.5" customHeight="1">
      <c r="A241" s="5629"/>
      <c r="B241" s="5574"/>
      <c r="C241" s="5338"/>
      <c r="D241" s="5338"/>
      <c r="E241" s="5338"/>
      <c r="F241" s="5338"/>
      <c r="G241" s="5338"/>
      <c r="H241" s="5338"/>
      <c r="I241" s="5362"/>
      <c r="J241" s="5338"/>
      <c r="K241" s="5338"/>
      <c r="L241" s="5338"/>
      <c r="M241" s="5338"/>
      <c r="N241" s="5338"/>
      <c r="O241" s="5338"/>
      <c r="P241" s="5338"/>
      <c r="Q241" s="5346"/>
      <c r="R241" s="169"/>
      <c r="S241" s="169"/>
      <c r="T241" s="169"/>
      <c r="U241" s="169"/>
      <c r="V241" s="169"/>
      <c r="W241" s="169"/>
      <c r="X241" s="169"/>
      <c r="Y241" s="974">
        <f t="shared" si="64"/>
        <v>0</v>
      </c>
      <c r="Z241" s="974">
        <f t="shared" si="65"/>
        <v>0</v>
      </c>
      <c r="AA241" s="169"/>
      <c r="AB241" s="169"/>
      <c r="AC241" s="169"/>
      <c r="AD241" s="169"/>
      <c r="AE241" s="5417"/>
    </row>
    <row r="242" spans="1:31" ht="18" customHeight="1">
      <c r="A242" s="5629"/>
      <c r="B242" s="5627" t="s">
        <v>235</v>
      </c>
      <c r="C242" s="5347" t="s">
        <v>236</v>
      </c>
      <c r="D242" s="5347" t="s">
        <v>237</v>
      </c>
      <c r="E242" s="5347" t="s">
        <v>255</v>
      </c>
      <c r="F242" s="5353" t="s">
        <v>239</v>
      </c>
      <c r="G242" s="5347" t="s">
        <v>240</v>
      </c>
      <c r="H242" s="5347" t="s">
        <v>257</v>
      </c>
      <c r="I242" s="5360" t="s">
        <v>3064</v>
      </c>
      <c r="J242" s="5357" t="s">
        <v>707</v>
      </c>
      <c r="K242" s="5347" t="s">
        <v>1183</v>
      </c>
      <c r="L242" s="5399">
        <v>1</v>
      </c>
      <c r="M242" s="5399">
        <v>1</v>
      </c>
      <c r="N242" s="5399">
        <v>2</v>
      </c>
      <c r="O242" s="5347" t="s">
        <v>1720</v>
      </c>
      <c r="P242" s="5347" t="s">
        <v>3065</v>
      </c>
      <c r="Q242" s="5394" t="s">
        <v>3066</v>
      </c>
      <c r="R242" s="995"/>
      <c r="S242" s="996"/>
      <c r="T242" s="996"/>
      <c r="U242" s="177"/>
      <c r="V242" s="988"/>
      <c r="W242" s="178"/>
      <c r="X242" s="989"/>
      <c r="Y242" s="989"/>
      <c r="Z242" s="989"/>
      <c r="AA242" s="990"/>
      <c r="AB242" s="178"/>
      <c r="AC242" s="181"/>
      <c r="AD242" s="181"/>
      <c r="AE242" s="5418" t="s">
        <v>3067</v>
      </c>
    </row>
    <row r="243" spans="1:31" ht="18" customHeight="1">
      <c r="A243" s="5629"/>
      <c r="B243" s="5573"/>
      <c r="C243" s="5337"/>
      <c r="D243" s="5337"/>
      <c r="E243" s="5337"/>
      <c r="F243" s="5337"/>
      <c r="G243" s="5337"/>
      <c r="H243" s="5337"/>
      <c r="I243" s="5361"/>
      <c r="J243" s="5337"/>
      <c r="K243" s="5337"/>
      <c r="L243" s="5337"/>
      <c r="M243" s="5337"/>
      <c r="N243" s="5337"/>
      <c r="O243" s="5337"/>
      <c r="P243" s="5337"/>
      <c r="Q243" s="5345"/>
      <c r="R243" s="971"/>
      <c r="S243" s="972"/>
      <c r="T243" s="972"/>
      <c r="U243" s="169"/>
      <c r="V243" s="984"/>
      <c r="W243" s="170"/>
      <c r="X243" s="974"/>
      <c r="Y243" s="974">
        <f t="shared" ref="Y243:Y246" si="66">+V243*X243</f>
        <v>0</v>
      </c>
      <c r="Z243" s="974">
        <f t="shared" ref="Z243:Z246" si="67">+Y243*1.12</f>
        <v>0</v>
      </c>
      <c r="AA243" s="969"/>
      <c r="AB243" s="170"/>
      <c r="AC243" s="282"/>
      <c r="AD243" s="282"/>
      <c r="AE243" s="5416"/>
    </row>
    <row r="244" spans="1:31" ht="18" customHeight="1">
      <c r="A244" s="5629"/>
      <c r="B244" s="5573"/>
      <c r="C244" s="5337"/>
      <c r="D244" s="5337"/>
      <c r="E244" s="5337"/>
      <c r="F244" s="5337"/>
      <c r="G244" s="5337"/>
      <c r="H244" s="5337"/>
      <c r="I244" s="5361"/>
      <c r="J244" s="5337"/>
      <c r="K244" s="5337"/>
      <c r="L244" s="5337"/>
      <c r="M244" s="5337"/>
      <c r="N244" s="5337"/>
      <c r="O244" s="5337"/>
      <c r="P244" s="5337"/>
      <c r="Q244" s="5345"/>
      <c r="R244" s="982"/>
      <c r="S244" s="983"/>
      <c r="T244" s="983"/>
      <c r="U244" s="169"/>
      <c r="V244" s="984"/>
      <c r="W244" s="170"/>
      <c r="X244" s="974"/>
      <c r="Y244" s="974">
        <f t="shared" si="66"/>
        <v>0</v>
      </c>
      <c r="Z244" s="974">
        <f t="shared" si="67"/>
        <v>0</v>
      </c>
      <c r="AA244" s="969"/>
      <c r="AB244" s="170"/>
      <c r="AC244" s="282"/>
      <c r="AD244" s="282"/>
      <c r="AE244" s="5416"/>
    </row>
    <row r="245" spans="1:31" ht="18" customHeight="1">
      <c r="A245" s="5629"/>
      <c r="B245" s="5573"/>
      <c r="C245" s="5337"/>
      <c r="D245" s="5337"/>
      <c r="E245" s="5337"/>
      <c r="F245" s="5337"/>
      <c r="G245" s="5337"/>
      <c r="H245" s="5337"/>
      <c r="I245" s="5361"/>
      <c r="J245" s="5337"/>
      <c r="K245" s="5337"/>
      <c r="L245" s="5337"/>
      <c r="M245" s="5337"/>
      <c r="N245" s="5337"/>
      <c r="O245" s="5337"/>
      <c r="P245" s="5337"/>
      <c r="Q245" s="5345"/>
      <c r="R245" s="982"/>
      <c r="S245" s="983"/>
      <c r="T245" s="983"/>
      <c r="U245" s="169"/>
      <c r="V245" s="984"/>
      <c r="W245" s="170"/>
      <c r="X245" s="974"/>
      <c r="Y245" s="974">
        <f t="shared" si="66"/>
        <v>0</v>
      </c>
      <c r="Z245" s="974">
        <f t="shared" si="67"/>
        <v>0</v>
      </c>
      <c r="AA245" s="969"/>
      <c r="AB245" s="170"/>
      <c r="AC245" s="282"/>
      <c r="AD245" s="282"/>
      <c r="AE245" s="5416"/>
    </row>
    <row r="246" spans="1:31" ht="18" customHeight="1">
      <c r="A246" s="5555"/>
      <c r="B246" s="5574"/>
      <c r="C246" s="5338"/>
      <c r="D246" s="5338"/>
      <c r="E246" s="5338"/>
      <c r="F246" s="5338"/>
      <c r="G246" s="5338"/>
      <c r="H246" s="5338"/>
      <c r="I246" s="5362"/>
      <c r="J246" s="5338"/>
      <c r="K246" s="5338"/>
      <c r="L246" s="5338"/>
      <c r="M246" s="5338"/>
      <c r="N246" s="5338"/>
      <c r="O246" s="5338"/>
      <c r="P246" s="5338"/>
      <c r="Q246" s="5346"/>
      <c r="R246" s="975"/>
      <c r="S246" s="976"/>
      <c r="T246" s="976"/>
      <c r="U246" s="411"/>
      <c r="V246" s="977"/>
      <c r="W246" s="165"/>
      <c r="X246" s="978"/>
      <c r="Y246" s="978">
        <f t="shared" si="66"/>
        <v>0</v>
      </c>
      <c r="Z246" s="978">
        <f t="shared" si="67"/>
        <v>0</v>
      </c>
      <c r="AA246" s="979"/>
      <c r="AB246" s="165"/>
      <c r="AC246" s="166"/>
      <c r="AD246" s="166"/>
      <c r="AE246" s="5417"/>
    </row>
    <row r="247" spans="1:31" ht="22.5" customHeight="1">
      <c r="A247" s="2159"/>
      <c r="B247" s="785"/>
      <c r="C247" s="785"/>
      <c r="D247" s="785"/>
      <c r="E247" s="785"/>
      <c r="F247" s="785"/>
      <c r="G247" s="785"/>
      <c r="H247" s="785"/>
      <c r="I247" s="785"/>
      <c r="J247" s="785"/>
      <c r="K247" s="785"/>
      <c r="L247" s="785"/>
      <c r="M247" s="785"/>
      <c r="N247" s="785"/>
      <c r="O247" s="785"/>
      <c r="P247" s="785"/>
      <c r="Q247" s="786"/>
      <c r="R247" s="5636" t="s">
        <v>1721</v>
      </c>
      <c r="S247" s="5474"/>
      <c r="T247" s="5474"/>
      <c r="U247" s="5474"/>
      <c r="V247" s="5474"/>
      <c r="W247" s="5474"/>
      <c r="X247" s="5474"/>
      <c r="Y247" s="5475"/>
      <c r="Z247" s="997" t="s">
        <v>340</v>
      </c>
      <c r="AA247" s="998">
        <f>SUM(AA167:AA246)</f>
        <v>0</v>
      </c>
      <c r="AB247" s="5521"/>
      <c r="AC247" s="5474"/>
      <c r="AD247" s="5474"/>
      <c r="AE247" s="5477"/>
    </row>
    <row r="248" spans="1:31" ht="60" customHeight="1">
      <c r="A248" s="5628" t="s">
        <v>1722</v>
      </c>
      <c r="B248" s="5576" t="s">
        <v>235</v>
      </c>
      <c r="C248" s="5355" t="s">
        <v>236</v>
      </c>
      <c r="D248" s="5355" t="s">
        <v>237</v>
      </c>
      <c r="E248" s="5355" t="s">
        <v>326</v>
      </c>
      <c r="F248" s="5364" t="s">
        <v>239</v>
      </c>
      <c r="G248" s="5355" t="s">
        <v>293</v>
      </c>
      <c r="H248" s="5355" t="s">
        <v>257</v>
      </c>
      <c r="I248" s="5360" t="s">
        <v>3068</v>
      </c>
      <c r="J248" s="5355" t="s">
        <v>1723</v>
      </c>
      <c r="K248" s="5355" t="s">
        <v>2601</v>
      </c>
      <c r="L248" s="5363">
        <v>1</v>
      </c>
      <c r="M248" s="5363">
        <v>1</v>
      </c>
      <c r="N248" s="5363">
        <v>1</v>
      </c>
      <c r="O248" s="5355" t="s">
        <v>3069</v>
      </c>
      <c r="P248" s="5355" t="s">
        <v>2603</v>
      </c>
      <c r="Q248" s="5392" t="s">
        <v>3070</v>
      </c>
      <c r="R248" s="1102"/>
      <c r="S248" s="1103"/>
      <c r="T248" s="1103"/>
      <c r="U248" s="154"/>
      <c r="V248" s="1104"/>
      <c r="W248" s="155"/>
      <c r="X248" s="1105"/>
      <c r="Y248" s="1105"/>
      <c r="Z248" s="1105"/>
      <c r="AA248" s="1106"/>
      <c r="AB248" s="155"/>
      <c r="AC248" s="156"/>
      <c r="AD248" s="156"/>
      <c r="AE248" s="5428"/>
    </row>
    <row r="249" spans="1:31" ht="60" customHeight="1">
      <c r="A249" s="5629"/>
      <c r="B249" s="5573"/>
      <c r="C249" s="5337"/>
      <c r="D249" s="5337"/>
      <c r="E249" s="5337"/>
      <c r="F249" s="5337"/>
      <c r="G249" s="5337"/>
      <c r="H249" s="5337"/>
      <c r="I249" s="5361"/>
      <c r="J249" s="5337"/>
      <c r="K249" s="5337"/>
      <c r="L249" s="5337"/>
      <c r="M249" s="5337"/>
      <c r="N249" s="5337"/>
      <c r="O249" s="5337"/>
      <c r="P249" s="5337"/>
      <c r="Q249" s="5345"/>
      <c r="R249" s="982"/>
      <c r="S249" s="983"/>
      <c r="T249" s="983"/>
      <c r="U249" s="169"/>
      <c r="V249" s="984"/>
      <c r="W249" s="170"/>
      <c r="X249" s="974"/>
      <c r="Y249" s="974">
        <f t="shared" ref="Y249:Y252" si="68">+V249*X249</f>
        <v>0</v>
      </c>
      <c r="Z249" s="974">
        <f t="shared" ref="Z249:Z252" si="69">+Y249*1.12</f>
        <v>0</v>
      </c>
      <c r="AA249" s="969"/>
      <c r="AB249" s="170"/>
      <c r="AC249" s="282"/>
      <c r="AD249" s="282"/>
      <c r="AE249" s="5416"/>
    </row>
    <row r="250" spans="1:31" ht="60" customHeight="1">
      <c r="A250" s="5629"/>
      <c r="B250" s="5573"/>
      <c r="C250" s="5337"/>
      <c r="D250" s="5337"/>
      <c r="E250" s="5337"/>
      <c r="F250" s="5337"/>
      <c r="G250" s="5337"/>
      <c r="H250" s="5337"/>
      <c r="I250" s="5361"/>
      <c r="J250" s="5337"/>
      <c r="K250" s="5337"/>
      <c r="L250" s="5337"/>
      <c r="M250" s="5337"/>
      <c r="N250" s="5337"/>
      <c r="O250" s="5337"/>
      <c r="P250" s="5337"/>
      <c r="Q250" s="5345"/>
      <c r="R250" s="971"/>
      <c r="S250" s="972"/>
      <c r="T250" s="972"/>
      <c r="U250" s="1217"/>
      <c r="V250" s="968"/>
      <c r="W250" s="414"/>
      <c r="X250" s="973"/>
      <c r="Y250" s="974">
        <f t="shared" si="68"/>
        <v>0</v>
      </c>
      <c r="Z250" s="974">
        <f t="shared" si="69"/>
        <v>0</v>
      </c>
      <c r="AA250" s="969"/>
      <c r="AB250" s="170"/>
      <c r="AC250" s="282"/>
      <c r="AD250" s="282"/>
      <c r="AE250" s="5416"/>
    </row>
    <row r="251" spans="1:31" ht="60" customHeight="1">
      <c r="A251" s="5629"/>
      <c r="B251" s="5573"/>
      <c r="C251" s="5337"/>
      <c r="D251" s="5337"/>
      <c r="E251" s="5337"/>
      <c r="F251" s="5337"/>
      <c r="G251" s="5337"/>
      <c r="H251" s="5337"/>
      <c r="I251" s="5361"/>
      <c r="J251" s="5337"/>
      <c r="K251" s="5337"/>
      <c r="L251" s="5337"/>
      <c r="M251" s="5337"/>
      <c r="N251" s="5337"/>
      <c r="O251" s="5337"/>
      <c r="P251" s="5337"/>
      <c r="Q251" s="5345"/>
      <c r="R251" s="970"/>
      <c r="S251" s="967"/>
      <c r="T251" s="967"/>
      <c r="U251" s="1217"/>
      <c r="V251" s="968"/>
      <c r="W251" s="414"/>
      <c r="X251" s="973"/>
      <c r="Y251" s="974">
        <f t="shared" si="68"/>
        <v>0</v>
      </c>
      <c r="Z251" s="974">
        <f t="shared" si="69"/>
        <v>0</v>
      </c>
      <c r="AA251" s="969"/>
      <c r="AB251" s="170"/>
      <c r="AC251" s="282"/>
      <c r="AD251" s="282"/>
      <c r="AE251" s="5416"/>
    </row>
    <row r="252" spans="1:31" ht="60" customHeight="1">
      <c r="A252" s="5629"/>
      <c r="B252" s="5574"/>
      <c r="C252" s="5338"/>
      <c r="D252" s="5338"/>
      <c r="E252" s="5338"/>
      <c r="F252" s="5338"/>
      <c r="G252" s="5338"/>
      <c r="H252" s="5338"/>
      <c r="I252" s="5362"/>
      <c r="J252" s="5338"/>
      <c r="K252" s="5338"/>
      <c r="L252" s="5338"/>
      <c r="M252" s="5338"/>
      <c r="N252" s="5338"/>
      <c r="O252" s="5338"/>
      <c r="P252" s="5338"/>
      <c r="Q252" s="5346"/>
      <c r="R252" s="975"/>
      <c r="S252" s="976"/>
      <c r="T252" s="976"/>
      <c r="U252" s="411"/>
      <c r="V252" s="977"/>
      <c r="W252" s="165"/>
      <c r="X252" s="978"/>
      <c r="Y252" s="978">
        <f t="shared" si="68"/>
        <v>0</v>
      </c>
      <c r="Z252" s="978">
        <f t="shared" si="69"/>
        <v>0</v>
      </c>
      <c r="AA252" s="979"/>
      <c r="AB252" s="165"/>
      <c r="AC252" s="166"/>
      <c r="AD252" s="166"/>
      <c r="AE252" s="5417"/>
    </row>
    <row r="253" spans="1:31" ht="34.5" customHeight="1">
      <c r="A253" s="5629"/>
      <c r="B253" s="5572" t="s">
        <v>235</v>
      </c>
      <c r="C253" s="5336" t="s">
        <v>236</v>
      </c>
      <c r="D253" s="5336" t="s">
        <v>237</v>
      </c>
      <c r="E253" s="5336" t="s">
        <v>326</v>
      </c>
      <c r="F253" s="5341" t="s">
        <v>239</v>
      </c>
      <c r="G253" s="5336" t="s">
        <v>240</v>
      </c>
      <c r="H253" s="5336" t="s">
        <v>257</v>
      </c>
      <c r="I253" s="5336" t="s">
        <v>3071</v>
      </c>
      <c r="J253" s="5336" t="s">
        <v>1728</v>
      </c>
      <c r="K253" s="5336" t="s">
        <v>2059</v>
      </c>
      <c r="L253" s="5343">
        <v>0</v>
      </c>
      <c r="M253" s="5399">
        <v>5</v>
      </c>
      <c r="N253" s="5343">
        <v>5</v>
      </c>
      <c r="O253" s="5336" t="s">
        <v>3072</v>
      </c>
      <c r="P253" s="5336" t="s">
        <v>3073</v>
      </c>
      <c r="Q253" s="5370" t="s">
        <v>3074</v>
      </c>
      <c r="R253" s="970"/>
      <c r="S253" s="967"/>
      <c r="T253" s="967"/>
      <c r="U253" s="176"/>
      <c r="V253" s="968"/>
      <c r="W253" s="414"/>
      <c r="X253" s="973"/>
      <c r="Y253" s="973"/>
      <c r="Z253" s="973"/>
      <c r="AA253" s="981"/>
      <c r="AB253" s="414"/>
      <c r="AC253" s="174"/>
      <c r="AD253" s="174"/>
      <c r="AE253" s="5415"/>
    </row>
    <row r="254" spans="1:31" ht="34.5" customHeight="1">
      <c r="A254" s="5629"/>
      <c r="B254" s="5573"/>
      <c r="C254" s="5337"/>
      <c r="D254" s="5337"/>
      <c r="E254" s="5337"/>
      <c r="F254" s="5337"/>
      <c r="G254" s="5337"/>
      <c r="H254" s="5337"/>
      <c r="I254" s="5337"/>
      <c r="J254" s="5337"/>
      <c r="K254" s="5337"/>
      <c r="L254" s="5337"/>
      <c r="M254" s="5337"/>
      <c r="N254" s="5337"/>
      <c r="O254" s="5337"/>
      <c r="P254" s="5337"/>
      <c r="Q254" s="5345"/>
      <c r="R254" s="982"/>
      <c r="S254" s="983"/>
      <c r="T254" s="983"/>
      <c r="U254" s="169"/>
      <c r="V254" s="984"/>
      <c r="W254" s="170"/>
      <c r="X254" s="974"/>
      <c r="Y254" s="974">
        <f t="shared" ref="Y254:Y257" si="70">+V254*X254</f>
        <v>0</v>
      </c>
      <c r="Z254" s="974">
        <f t="shared" ref="Z254:Z257" si="71">+Y254*1.12</f>
        <v>0</v>
      </c>
      <c r="AA254" s="969"/>
      <c r="AB254" s="170"/>
      <c r="AC254" s="282"/>
      <c r="AD254" s="282"/>
      <c r="AE254" s="5416"/>
    </row>
    <row r="255" spans="1:31" ht="34.5" customHeight="1">
      <c r="A255" s="5629"/>
      <c r="B255" s="5573"/>
      <c r="C255" s="5337"/>
      <c r="D255" s="5337"/>
      <c r="E255" s="5337"/>
      <c r="F255" s="5337"/>
      <c r="G255" s="5337"/>
      <c r="H255" s="5337"/>
      <c r="I255" s="5337"/>
      <c r="J255" s="5337"/>
      <c r="K255" s="5337"/>
      <c r="L255" s="5337"/>
      <c r="M255" s="5337"/>
      <c r="N255" s="5337"/>
      <c r="O255" s="5337"/>
      <c r="P255" s="5337"/>
      <c r="Q255" s="5345"/>
      <c r="R255" s="971"/>
      <c r="S255" s="972"/>
      <c r="T255" s="972"/>
      <c r="U255" s="1217"/>
      <c r="V255" s="968"/>
      <c r="W255" s="414"/>
      <c r="X255" s="973"/>
      <c r="Y255" s="974">
        <f t="shared" si="70"/>
        <v>0</v>
      </c>
      <c r="Z255" s="974">
        <f t="shared" si="71"/>
        <v>0</v>
      </c>
      <c r="AA255" s="969"/>
      <c r="AB255" s="170"/>
      <c r="AC255" s="282"/>
      <c r="AD255" s="282"/>
      <c r="AE255" s="5416"/>
    </row>
    <row r="256" spans="1:31" ht="34.5" customHeight="1">
      <c r="A256" s="5629"/>
      <c r="B256" s="5573"/>
      <c r="C256" s="5337"/>
      <c r="D256" s="5337"/>
      <c r="E256" s="5337"/>
      <c r="F256" s="5337"/>
      <c r="G256" s="5337"/>
      <c r="H256" s="5337"/>
      <c r="I256" s="5337"/>
      <c r="J256" s="5337"/>
      <c r="K256" s="5337"/>
      <c r="L256" s="5337"/>
      <c r="M256" s="5337"/>
      <c r="N256" s="5337"/>
      <c r="O256" s="5337"/>
      <c r="P256" s="5337"/>
      <c r="Q256" s="5345"/>
      <c r="R256" s="970"/>
      <c r="S256" s="967"/>
      <c r="T256" s="967"/>
      <c r="U256" s="1217"/>
      <c r="V256" s="968"/>
      <c r="W256" s="414"/>
      <c r="X256" s="973"/>
      <c r="Y256" s="974">
        <f t="shared" si="70"/>
        <v>0</v>
      </c>
      <c r="Z256" s="974">
        <f t="shared" si="71"/>
        <v>0</v>
      </c>
      <c r="AA256" s="969"/>
      <c r="AB256" s="170"/>
      <c r="AC256" s="282"/>
      <c r="AD256" s="282"/>
      <c r="AE256" s="5416"/>
    </row>
    <row r="257" spans="1:31" ht="34.5" customHeight="1">
      <c r="A257" s="5629"/>
      <c r="B257" s="5574"/>
      <c r="C257" s="5338"/>
      <c r="D257" s="5338"/>
      <c r="E257" s="5338"/>
      <c r="F257" s="5338"/>
      <c r="G257" s="5338"/>
      <c r="H257" s="5338"/>
      <c r="I257" s="5338"/>
      <c r="J257" s="5337"/>
      <c r="K257" s="5338"/>
      <c r="L257" s="5338"/>
      <c r="M257" s="5338"/>
      <c r="N257" s="5338"/>
      <c r="O257" s="5338"/>
      <c r="P257" s="5338"/>
      <c r="Q257" s="5346"/>
      <c r="R257" s="975"/>
      <c r="S257" s="976"/>
      <c r="T257" s="976"/>
      <c r="U257" s="411"/>
      <c r="V257" s="977"/>
      <c r="W257" s="165"/>
      <c r="X257" s="978"/>
      <c r="Y257" s="978">
        <f t="shared" si="70"/>
        <v>0</v>
      </c>
      <c r="Z257" s="978">
        <f t="shared" si="71"/>
        <v>0</v>
      </c>
      <c r="AA257" s="979"/>
      <c r="AB257" s="165"/>
      <c r="AC257" s="166"/>
      <c r="AD257" s="166"/>
      <c r="AE257" s="5417"/>
    </row>
    <row r="258" spans="1:31" ht="60" customHeight="1">
      <c r="A258" s="5629"/>
      <c r="B258" s="5572" t="s">
        <v>235</v>
      </c>
      <c r="C258" s="5336" t="s">
        <v>236</v>
      </c>
      <c r="D258" s="5336" t="s">
        <v>237</v>
      </c>
      <c r="E258" s="5336" t="s">
        <v>326</v>
      </c>
      <c r="F258" s="5341" t="s">
        <v>239</v>
      </c>
      <c r="G258" s="5336" t="s">
        <v>240</v>
      </c>
      <c r="H258" s="5336" t="s">
        <v>257</v>
      </c>
      <c r="I258" s="5336" t="s">
        <v>3075</v>
      </c>
      <c r="J258" s="5347" t="s">
        <v>1733</v>
      </c>
      <c r="K258" s="5336" t="s">
        <v>2609</v>
      </c>
      <c r="L258" s="5343">
        <v>0</v>
      </c>
      <c r="M258" s="5399">
        <v>5</v>
      </c>
      <c r="N258" s="5343">
        <v>5</v>
      </c>
      <c r="O258" s="5336" t="s">
        <v>3076</v>
      </c>
      <c r="P258" s="5336" t="s">
        <v>3077</v>
      </c>
      <c r="Q258" s="5370" t="s">
        <v>3078</v>
      </c>
      <c r="R258" s="970"/>
      <c r="S258" s="967"/>
      <c r="T258" s="967"/>
      <c r="U258" s="176"/>
      <c r="V258" s="968"/>
      <c r="W258" s="414"/>
      <c r="X258" s="973"/>
      <c r="Y258" s="973"/>
      <c r="Z258" s="973"/>
      <c r="AA258" s="981"/>
      <c r="AB258" s="414"/>
      <c r="AC258" s="174"/>
      <c r="AD258" s="174"/>
      <c r="AE258" s="5415"/>
    </row>
    <row r="259" spans="1:31" ht="60" customHeight="1">
      <c r="A259" s="5629"/>
      <c r="B259" s="5573"/>
      <c r="C259" s="5337"/>
      <c r="D259" s="5337"/>
      <c r="E259" s="5337"/>
      <c r="F259" s="5337"/>
      <c r="G259" s="5337"/>
      <c r="H259" s="5337"/>
      <c r="I259" s="5337"/>
      <c r="J259" s="5337"/>
      <c r="K259" s="5337"/>
      <c r="L259" s="5337"/>
      <c r="M259" s="5337"/>
      <c r="N259" s="5337"/>
      <c r="O259" s="5337"/>
      <c r="P259" s="5337"/>
      <c r="Q259" s="5345"/>
      <c r="R259" s="982"/>
      <c r="S259" s="983"/>
      <c r="T259" s="983"/>
      <c r="U259" s="169"/>
      <c r="V259" s="984"/>
      <c r="W259" s="170"/>
      <c r="X259" s="974"/>
      <c r="Y259" s="974">
        <f t="shared" ref="Y259:Y262" si="72">+V259*X259</f>
        <v>0</v>
      </c>
      <c r="Z259" s="974">
        <f t="shared" ref="Z259:Z262" si="73">+Y259*1.12</f>
        <v>0</v>
      </c>
      <c r="AA259" s="969"/>
      <c r="AB259" s="170"/>
      <c r="AC259" s="282"/>
      <c r="AD259" s="282"/>
      <c r="AE259" s="5416"/>
    </row>
    <row r="260" spans="1:31" ht="60" customHeight="1">
      <c r="A260" s="5629"/>
      <c r="B260" s="5573"/>
      <c r="C260" s="5337"/>
      <c r="D260" s="5337"/>
      <c r="E260" s="5337"/>
      <c r="F260" s="5337"/>
      <c r="G260" s="5337"/>
      <c r="H260" s="5337"/>
      <c r="I260" s="5337"/>
      <c r="J260" s="5337"/>
      <c r="K260" s="5337"/>
      <c r="L260" s="5337"/>
      <c r="M260" s="5337"/>
      <c r="N260" s="5337"/>
      <c r="O260" s="5337"/>
      <c r="P260" s="5337"/>
      <c r="Q260" s="5345"/>
      <c r="R260" s="971"/>
      <c r="S260" s="972"/>
      <c r="T260" s="972"/>
      <c r="U260" s="1217"/>
      <c r="V260" s="968"/>
      <c r="W260" s="414"/>
      <c r="X260" s="973"/>
      <c r="Y260" s="974">
        <f t="shared" si="72"/>
        <v>0</v>
      </c>
      <c r="Z260" s="974">
        <f t="shared" si="73"/>
        <v>0</v>
      </c>
      <c r="AA260" s="969"/>
      <c r="AB260" s="170"/>
      <c r="AC260" s="282"/>
      <c r="AD260" s="282"/>
      <c r="AE260" s="5416"/>
    </row>
    <row r="261" spans="1:31" ht="60" customHeight="1">
      <c r="A261" s="5629"/>
      <c r="B261" s="5573"/>
      <c r="C261" s="5337"/>
      <c r="D261" s="5337"/>
      <c r="E261" s="5337"/>
      <c r="F261" s="5337"/>
      <c r="G261" s="5337"/>
      <c r="H261" s="5337"/>
      <c r="I261" s="5337"/>
      <c r="J261" s="5337"/>
      <c r="K261" s="5337"/>
      <c r="L261" s="5337"/>
      <c r="M261" s="5337"/>
      <c r="N261" s="5337"/>
      <c r="O261" s="5337"/>
      <c r="P261" s="5337"/>
      <c r="Q261" s="5345"/>
      <c r="R261" s="970"/>
      <c r="S261" s="967"/>
      <c r="T261" s="967"/>
      <c r="U261" s="1217"/>
      <c r="V261" s="968"/>
      <c r="W261" s="414"/>
      <c r="X261" s="973"/>
      <c r="Y261" s="974">
        <f t="shared" si="72"/>
        <v>0</v>
      </c>
      <c r="Z261" s="974">
        <f t="shared" si="73"/>
        <v>0</v>
      </c>
      <c r="AA261" s="969"/>
      <c r="AB261" s="170"/>
      <c r="AC261" s="282"/>
      <c r="AD261" s="282"/>
      <c r="AE261" s="5416"/>
    </row>
    <row r="262" spans="1:31" ht="60" customHeight="1">
      <c r="A262" s="5629"/>
      <c r="B262" s="5574"/>
      <c r="C262" s="5338"/>
      <c r="D262" s="5338"/>
      <c r="E262" s="5338"/>
      <c r="F262" s="5338"/>
      <c r="G262" s="5338"/>
      <c r="H262" s="5338"/>
      <c r="I262" s="5338"/>
      <c r="J262" s="5338"/>
      <c r="K262" s="5338"/>
      <c r="L262" s="5338"/>
      <c r="M262" s="5338"/>
      <c r="N262" s="5338"/>
      <c r="O262" s="5338"/>
      <c r="P262" s="5338"/>
      <c r="Q262" s="5346"/>
      <c r="R262" s="975"/>
      <c r="S262" s="976"/>
      <c r="T262" s="976"/>
      <c r="U262" s="411"/>
      <c r="V262" s="977"/>
      <c r="W262" s="165"/>
      <c r="X262" s="978"/>
      <c r="Y262" s="978">
        <f t="shared" si="72"/>
        <v>0</v>
      </c>
      <c r="Z262" s="978">
        <f t="shared" si="73"/>
        <v>0</v>
      </c>
      <c r="AA262" s="979"/>
      <c r="AB262" s="165"/>
      <c r="AC262" s="166"/>
      <c r="AD262" s="166"/>
      <c r="AE262" s="5417"/>
    </row>
    <row r="263" spans="1:31" ht="26.25" customHeight="1">
      <c r="A263" s="5629"/>
      <c r="B263" s="5572" t="s">
        <v>235</v>
      </c>
      <c r="C263" s="5336" t="s">
        <v>236</v>
      </c>
      <c r="D263" s="5336" t="s">
        <v>237</v>
      </c>
      <c r="E263" s="5336" t="s">
        <v>326</v>
      </c>
      <c r="F263" s="5341" t="s">
        <v>239</v>
      </c>
      <c r="G263" s="5336" t="s">
        <v>240</v>
      </c>
      <c r="H263" s="5336" t="s">
        <v>257</v>
      </c>
      <c r="I263" s="5336" t="s">
        <v>3079</v>
      </c>
      <c r="J263" s="5336" t="s">
        <v>1738</v>
      </c>
      <c r="K263" s="5336"/>
      <c r="L263" s="5343"/>
      <c r="M263" s="5399"/>
      <c r="N263" s="5343"/>
      <c r="O263" s="5336"/>
      <c r="P263" s="5336"/>
      <c r="Q263" s="5370" t="s">
        <v>2069</v>
      </c>
      <c r="R263" s="970"/>
      <c r="S263" s="967"/>
      <c r="T263" s="967"/>
      <c r="U263" s="176"/>
      <c r="V263" s="968"/>
      <c r="W263" s="414"/>
      <c r="X263" s="973"/>
      <c r="Y263" s="973"/>
      <c r="Z263" s="973"/>
      <c r="AA263" s="981"/>
      <c r="AB263" s="414"/>
      <c r="AC263" s="174"/>
      <c r="AD263" s="174"/>
      <c r="AE263" s="5415"/>
    </row>
    <row r="264" spans="1:31" ht="26.25" customHeight="1">
      <c r="A264" s="5629"/>
      <c r="B264" s="5573"/>
      <c r="C264" s="5337"/>
      <c r="D264" s="5337"/>
      <c r="E264" s="5337"/>
      <c r="F264" s="5337"/>
      <c r="G264" s="5337"/>
      <c r="H264" s="5337"/>
      <c r="I264" s="5337"/>
      <c r="J264" s="5337"/>
      <c r="K264" s="5337"/>
      <c r="L264" s="5337"/>
      <c r="M264" s="5337"/>
      <c r="N264" s="5337"/>
      <c r="O264" s="5337"/>
      <c r="P264" s="5337"/>
      <c r="Q264" s="5345"/>
      <c r="R264" s="982"/>
      <c r="S264" s="983"/>
      <c r="T264" s="983"/>
      <c r="U264" s="169"/>
      <c r="V264" s="984"/>
      <c r="W264" s="170"/>
      <c r="X264" s="974"/>
      <c r="Y264" s="974">
        <f t="shared" ref="Y264:Y267" si="74">+V264*X264</f>
        <v>0</v>
      </c>
      <c r="Z264" s="974">
        <f t="shared" ref="Z264:Z267" si="75">+Y264*1.12</f>
        <v>0</v>
      </c>
      <c r="AA264" s="969"/>
      <c r="AB264" s="170"/>
      <c r="AC264" s="282"/>
      <c r="AD264" s="282"/>
      <c r="AE264" s="5416"/>
    </row>
    <row r="265" spans="1:31" ht="26.25" customHeight="1">
      <c r="A265" s="5629"/>
      <c r="B265" s="5573"/>
      <c r="C265" s="5337"/>
      <c r="D265" s="5337"/>
      <c r="E265" s="5337"/>
      <c r="F265" s="5337"/>
      <c r="G265" s="5337"/>
      <c r="H265" s="5337"/>
      <c r="I265" s="5337"/>
      <c r="J265" s="5337"/>
      <c r="K265" s="5337"/>
      <c r="L265" s="5337"/>
      <c r="M265" s="5337"/>
      <c r="N265" s="5337"/>
      <c r="O265" s="5337"/>
      <c r="P265" s="5337"/>
      <c r="Q265" s="5345"/>
      <c r="R265" s="971"/>
      <c r="S265" s="972"/>
      <c r="T265" s="972"/>
      <c r="U265" s="1217"/>
      <c r="V265" s="968"/>
      <c r="W265" s="414"/>
      <c r="X265" s="973"/>
      <c r="Y265" s="974">
        <f t="shared" si="74"/>
        <v>0</v>
      </c>
      <c r="Z265" s="974">
        <f t="shared" si="75"/>
        <v>0</v>
      </c>
      <c r="AA265" s="969"/>
      <c r="AB265" s="170"/>
      <c r="AC265" s="282"/>
      <c r="AD265" s="282"/>
      <c r="AE265" s="5416"/>
    </row>
    <row r="266" spans="1:31" ht="26.25" customHeight="1">
      <c r="A266" s="5629"/>
      <c r="B266" s="5573"/>
      <c r="C266" s="5337"/>
      <c r="D266" s="5337"/>
      <c r="E266" s="5337"/>
      <c r="F266" s="5337"/>
      <c r="G266" s="5337"/>
      <c r="H266" s="5337"/>
      <c r="I266" s="5337"/>
      <c r="J266" s="5337"/>
      <c r="K266" s="5337"/>
      <c r="L266" s="5337"/>
      <c r="M266" s="5337"/>
      <c r="N266" s="5337"/>
      <c r="O266" s="5337"/>
      <c r="P266" s="5337"/>
      <c r="Q266" s="5345"/>
      <c r="R266" s="970"/>
      <c r="S266" s="967"/>
      <c r="T266" s="967"/>
      <c r="U266" s="1217"/>
      <c r="V266" s="968"/>
      <c r="W266" s="414"/>
      <c r="X266" s="973"/>
      <c r="Y266" s="974">
        <f t="shared" si="74"/>
        <v>0</v>
      </c>
      <c r="Z266" s="974">
        <f t="shared" si="75"/>
        <v>0</v>
      </c>
      <c r="AA266" s="969"/>
      <c r="AB266" s="170"/>
      <c r="AC266" s="282"/>
      <c r="AD266" s="282"/>
      <c r="AE266" s="5416"/>
    </row>
    <row r="267" spans="1:31" ht="26.25" customHeight="1">
      <c r="A267" s="5629"/>
      <c r="B267" s="5574"/>
      <c r="C267" s="5338"/>
      <c r="D267" s="5338"/>
      <c r="E267" s="5338"/>
      <c r="F267" s="5338"/>
      <c r="G267" s="5338"/>
      <c r="H267" s="5338"/>
      <c r="I267" s="5338"/>
      <c r="J267" s="5337"/>
      <c r="K267" s="5338"/>
      <c r="L267" s="5338"/>
      <c r="M267" s="5338"/>
      <c r="N267" s="5338"/>
      <c r="O267" s="5338"/>
      <c r="P267" s="5338"/>
      <c r="Q267" s="5346"/>
      <c r="R267" s="975"/>
      <c r="S267" s="976"/>
      <c r="T267" s="976"/>
      <c r="U267" s="411"/>
      <c r="V267" s="977"/>
      <c r="W267" s="165"/>
      <c r="X267" s="978"/>
      <c r="Y267" s="978">
        <f t="shared" si="74"/>
        <v>0</v>
      </c>
      <c r="Z267" s="978">
        <f t="shared" si="75"/>
        <v>0</v>
      </c>
      <c r="AA267" s="979"/>
      <c r="AB267" s="165"/>
      <c r="AC267" s="166"/>
      <c r="AD267" s="166"/>
      <c r="AE267" s="5417"/>
    </row>
    <row r="268" spans="1:31" ht="64.5" customHeight="1">
      <c r="A268" s="5629"/>
      <c r="B268" s="5572" t="s">
        <v>235</v>
      </c>
      <c r="C268" s="5336" t="s">
        <v>236</v>
      </c>
      <c r="D268" s="5336" t="s">
        <v>237</v>
      </c>
      <c r="E268" s="5336" t="s">
        <v>326</v>
      </c>
      <c r="F268" s="5341" t="s">
        <v>239</v>
      </c>
      <c r="G268" s="5336" t="s">
        <v>240</v>
      </c>
      <c r="H268" s="5336" t="s">
        <v>257</v>
      </c>
      <c r="I268" s="5360" t="s">
        <v>3080</v>
      </c>
      <c r="J268" s="5347" t="s">
        <v>1743</v>
      </c>
      <c r="K268" s="5336" t="s">
        <v>2615</v>
      </c>
      <c r="L268" s="5343">
        <v>20</v>
      </c>
      <c r="M268" s="5399">
        <v>20</v>
      </c>
      <c r="N268" s="5343">
        <v>20</v>
      </c>
      <c r="O268" s="5336" t="s">
        <v>3081</v>
      </c>
      <c r="P268" s="5336" t="s">
        <v>3082</v>
      </c>
      <c r="Q268" s="5370" t="s">
        <v>3083</v>
      </c>
      <c r="R268" s="970"/>
      <c r="S268" s="967"/>
      <c r="T268" s="967"/>
      <c r="U268" s="176"/>
      <c r="V268" s="968"/>
      <c r="W268" s="414"/>
      <c r="X268" s="973"/>
      <c r="Y268" s="973"/>
      <c r="Z268" s="973"/>
      <c r="AA268" s="981"/>
      <c r="AB268" s="414"/>
      <c r="AC268" s="168"/>
      <c r="AD268" s="168"/>
      <c r="AE268" s="5415"/>
    </row>
    <row r="269" spans="1:31" ht="64.5" customHeight="1">
      <c r="A269" s="5629"/>
      <c r="B269" s="5573"/>
      <c r="C269" s="5337"/>
      <c r="D269" s="5337"/>
      <c r="E269" s="5337"/>
      <c r="F269" s="5337"/>
      <c r="G269" s="5337"/>
      <c r="H269" s="5337"/>
      <c r="I269" s="5361"/>
      <c r="J269" s="5337"/>
      <c r="K269" s="5337"/>
      <c r="L269" s="5337"/>
      <c r="M269" s="5337"/>
      <c r="N269" s="5337"/>
      <c r="O269" s="5337"/>
      <c r="P269" s="5337"/>
      <c r="Q269" s="5345"/>
      <c r="R269" s="982"/>
      <c r="S269" s="983"/>
      <c r="T269" s="983"/>
      <c r="U269" s="169"/>
      <c r="V269" s="984"/>
      <c r="W269" s="170"/>
      <c r="X269" s="974"/>
      <c r="Y269" s="974">
        <f t="shared" ref="Y269:Y272" si="76">+V269*X269</f>
        <v>0</v>
      </c>
      <c r="Z269" s="974">
        <f t="shared" ref="Z269:Z272" si="77">+Y269*1.12</f>
        <v>0</v>
      </c>
      <c r="AA269" s="969"/>
      <c r="AB269" s="170"/>
      <c r="AC269" s="170"/>
      <c r="AD269" s="171"/>
      <c r="AE269" s="5416"/>
    </row>
    <row r="270" spans="1:31" ht="64.5" customHeight="1">
      <c r="A270" s="5648"/>
      <c r="B270" s="5573"/>
      <c r="C270" s="5337"/>
      <c r="D270" s="5337"/>
      <c r="E270" s="5337"/>
      <c r="F270" s="5337"/>
      <c r="G270" s="5337"/>
      <c r="H270" s="5337"/>
      <c r="I270" s="5361"/>
      <c r="J270" s="5337"/>
      <c r="K270" s="5337"/>
      <c r="L270" s="5337"/>
      <c r="M270" s="5337"/>
      <c r="N270" s="5337"/>
      <c r="O270" s="5337"/>
      <c r="P270" s="5337"/>
      <c r="Q270" s="5345"/>
      <c r="R270" s="982"/>
      <c r="S270" s="983"/>
      <c r="T270" s="983"/>
      <c r="U270" s="169"/>
      <c r="V270" s="984"/>
      <c r="W270" s="170"/>
      <c r="X270" s="974"/>
      <c r="Y270" s="974">
        <f t="shared" si="76"/>
        <v>0</v>
      </c>
      <c r="Z270" s="974">
        <f t="shared" si="77"/>
        <v>0</v>
      </c>
      <c r="AA270" s="969"/>
      <c r="AB270" s="170"/>
      <c r="AC270" s="170"/>
      <c r="AD270" s="282"/>
      <c r="AE270" s="5416"/>
    </row>
    <row r="271" spans="1:31" ht="64.5" customHeight="1">
      <c r="A271" s="5578" t="s">
        <v>1722</v>
      </c>
      <c r="B271" s="5573"/>
      <c r="C271" s="5337"/>
      <c r="D271" s="5337"/>
      <c r="E271" s="5337"/>
      <c r="F271" s="5337"/>
      <c r="G271" s="5337"/>
      <c r="H271" s="5337"/>
      <c r="I271" s="5361"/>
      <c r="J271" s="5337"/>
      <c r="K271" s="5337"/>
      <c r="L271" s="5337"/>
      <c r="M271" s="5337"/>
      <c r="N271" s="5337"/>
      <c r="O271" s="5337"/>
      <c r="P271" s="5337"/>
      <c r="Q271" s="5345"/>
      <c r="R271" s="982"/>
      <c r="S271" s="983"/>
      <c r="T271" s="983"/>
      <c r="U271" s="169"/>
      <c r="V271" s="984"/>
      <c r="W271" s="170"/>
      <c r="X271" s="974"/>
      <c r="Y271" s="974">
        <f t="shared" si="76"/>
        <v>0</v>
      </c>
      <c r="Z271" s="974">
        <f t="shared" si="77"/>
        <v>0</v>
      </c>
      <c r="AA271" s="969"/>
      <c r="AB271" s="170"/>
      <c r="AC271" s="170"/>
      <c r="AD271" s="282"/>
      <c r="AE271" s="5416"/>
    </row>
    <row r="272" spans="1:31" ht="64.5" customHeight="1">
      <c r="A272" s="5629"/>
      <c r="B272" s="5574"/>
      <c r="C272" s="5338"/>
      <c r="D272" s="5338"/>
      <c r="E272" s="5338"/>
      <c r="F272" s="5338"/>
      <c r="G272" s="5338"/>
      <c r="H272" s="5338"/>
      <c r="I272" s="5362"/>
      <c r="J272" s="5338"/>
      <c r="K272" s="5338"/>
      <c r="L272" s="5338"/>
      <c r="M272" s="5338"/>
      <c r="N272" s="5338"/>
      <c r="O272" s="5338"/>
      <c r="P272" s="5338"/>
      <c r="Q272" s="5346"/>
      <c r="R272" s="975"/>
      <c r="S272" s="976"/>
      <c r="T272" s="976"/>
      <c r="U272" s="411"/>
      <c r="V272" s="977"/>
      <c r="W272" s="165"/>
      <c r="X272" s="978"/>
      <c r="Y272" s="978">
        <f t="shared" si="76"/>
        <v>0</v>
      </c>
      <c r="Z272" s="978">
        <f t="shared" si="77"/>
        <v>0</v>
      </c>
      <c r="AA272" s="979"/>
      <c r="AB272" s="165"/>
      <c r="AC272" s="165"/>
      <c r="AD272" s="166"/>
      <c r="AE272" s="5417"/>
    </row>
    <row r="273" spans="1:31" ht="124.5" customHeight="1">
      <c r="A273" s="5629"/>
      <c r="B273" s="5627" t="s">
        <v>235</v>
      </c>
      <c r="C273" s="5347" t="s">
        <v>236</v>
      </c>
      <c r="D273" s="5347" t="s">
        <v>237</v>
      </c>
      <c r="E273" s="5347" t="s">
        <v>326</v>
      </c>
      <c r="F273" s="5353" t="s">
        <v>239</v>
      </c>
      <c r="G273" s="5347" t="s">
        <v>240</v>
      </c>
      <c r="H273" s="5347" t="s">
        <v>257</v>
      </c>
      <c r="I273" s="5360" t="s">
        <v>3084</v>
      </c>
      <c r="J273" s="5347" t="s">
        <v>1748</v>
      </c>
      <c r="K273" s="5347" t="s">
        <v>2620</v>
      </c>
      <c r="L273" s="5399">
        <v>1</v>
      </c>
      <c r="M273" s="5399">
        <v>1</v>
      </c>
      <c r="N273" s="5399">
        <v>2</v>
      </c>
      <c r="O273" s="5347" t="s">
        <v>3085</v>
      </c>
      <c r="P273" s="5347" t="s">
        <v>2079</v>
      </c>
      <c r="Q273" s="5394" t="s">
        <v>3086</v>
      </c>
      <c r="R273" s="970"/>
      <c r="S273" s="967"/>
      <c r="T273" s="967"/>
      <c r="U273" s="283"/>
      <c r="V273" s="988"/>
      <c r="W273" s="178"/>
      <c r="X273" s="989"/>
      <c r="Y273" s="973"/>
      <c r="Z273" s="973"/>
      <c r="AA273" s="990"/>
      <c r="AB273" s="178"/>
      <c r="AC273" s="181"/>
      <c r="AD273" s="181"/>
      <c r="AE273" s="5418"/>
    </row>
    <row r="274" spans="1:31" ht="124.5" customHeight="1">
      <c r="A274" s="5629"/>
      <c r="B274" s="5573"/>
      <c r="C274" s="5337"/>
      <c r="D274" s="5337"/>
      <c r="E274" s="5337"/>
      <c r="F274" s="5337"/>
      <c r="G274" s="5337"/>
      <c r="H274" s="5337"/>
      <c r="I274" s="5361"/>
      <c r="J274" s="5337"/>
      <c r="K274" s="5337"/>
      <c r="L274" s="5337"/>
      <c r="M274" s="5337"/>
      <c r="N274" s="5337"/>
      <c r="O274" s="5337"/>
      <c r="P274" s="5337"/>
      <c r="Q274" s="5345"/>
      <c r="R274" s="982"/>
      <c r="S274" s="983"/>
      <c r="T274" s="983"/>
      <c r="U274" s="169"/>
      <c r="V274" s="984"/>
      <c r="W274" s="170"/>
      <c r="X274" s="974"/>
      <c r="Y274" s="974">
        <f t="shared" ref="Y274:Y277" si="78">+V274*X274</f>
        <v>0</v>
      </c>
      <c r="Z274" s="974">
        <f t="shared" ref="Z274:Z277" si="79">+Y274*1.12</f>
        <v>0</v>
      </c>
      <c r="AA274" s="969"/>
      <c r="AB274" s="170"/>
      <c r="AC274" s="282"/>
      <c r="AD274" s="282"/>
      <c r="AE274" s="5416"/>
    </row>
    <row r="275" spans="1:31" ht="124.5" customHeight="1">
      <c r="A275" s="5629"/>
      <c r="B275" s="5573"/>
      <c r="C275" s="5337"/>
      <c r="D275" s="5337"/>
      <c r="E275" s="5337"/>
      <c r="F275" s="5337"/>
      <c r="G275" s="5337"/>
      <c r="H275" s="5337"/>
      <c r="I275" s="5361"/>
      <c r="J275" s="5337"/>
      <c r="K275" s="5337"/>
      <c r="L275" s="5337"/>
      <c r="M275" s="5337"/>
      <c r="N275" s="5337"/>
      <c r="O275" s="5337"/>
      <c r="P275" s="5337"/>
      <c r="Q275" s="5345"/>
      <c r="R275" s="982"/>
      <c r="S275" s="983"/>
      <c r="T275" s="983"/>
      <c r="U275" s="169"/>
      <c r="V275" s="984"/>
      <c r="W275" s="170"/>
      <c r="X275" s="974"/>
      <c r="Y275" s="974">
        <f t="shared" si="78"/>
        <v>0</v>
      </c>
      <c r="Z275" s="974">
        <f t="shared" si="79"/>
        <v>0</v>
      </c>
      <c r="AA275" s="969"/>
      <c r="AB275" s="170"/>
      <c r="AC275" s="282"/>
      <c r="AD275" s="282"/>
      <c r="AE275" s="5416"/>
    </row>
    <row r="276" spans="1:31" ht="124.5" customHeight="1">
      <c r="A276" s="5629"/>
      <c r="B276" s="5573"/>
      <c r="C276" s="5337"/>
      <c r="D276" s="5337"/>
      <c r="E276" s="5337"/>
      <c r="F276" s="5337"/>
      <c r="G276" s="5337"/>
      <c r="H276" s="5337"/>
      <c r="I276" s="5361"/>
      <c r="J276" s="5337"/>
      <c r="K276" s="5337"/>
      <c r="L276" s="5337"/>
      <c r="M276" s="5337"/>
      <c r="N276" s="5337"/>
      <c r="O276" s="5337"/>
      <c r="P276" s="5337"/>
      <c r="Q276" s="5345"/>
      <c r="R276" s="982"/>
      <c r="S276" s="983"/>
      <c r="T276" s="983"/>
      <c r="U276" s="169"/>
      <c r="V276" s="984"/>
      <c r="W276" s="170"/>
      <c r="X276" s="974"/>
      <c r="Y276" s="974">
        <f t="shared" si="78"/>
        <v>0</v>
      </c>
      <c r="Z276" s="974">
        <f t="shared" si="79"/>
        <v>0</v>
      </c>
      <c r="AA276" s="969"/>
      <c r="AB276" s="170"/>
      <c r="AC276" s="282"/>
      <c r="AD276" s="282"/>
      <c r="AE276" s="5416"/>
    </row>
    <row r="277" spans="1:31" ht="124.5" customHeight="1">
      <c r="A277" s="5629"/>
      <c r="B277" s="5574"/>
      <c r="C277" s="5338"/>
      <c r="D277" s="5338"/>
      <c r="E277" s="5338"/>
      <c r="F277" s="5338"/>
      <c r="G277" s="5338"/>
      <c r="H277" s="5338"/>
      <c r="I277" s="5362"/>
      <c r="J277" s="5338"/>
      <c r="K277" s="5338"/>
      <c r="L277" s="5338"/>
      <c r="M277" s="5338"/>
      <c r="N277" s="5338"/>
      <c r="O277" s="5338"/>
      <c r="P277" s="5338"/>
      <c r="Q277" s="5346"/>
      <c r="R277" s="975"/>
      <c r="S277" s="976"/>
      <c r="T277" s="976"/>
      <c r="U277" s="411"/>
      <c r="V277" s="977"/>
      <c r="W277" s="165"/>
      <c r="X277" s="978"/>
      <c r="Y277" s="978">
        <f t="shared" si="78"/>
        <v>0</v>
      </c>
      <c r="Z277" s="978">
        <f t="shared" si="79"/>
        <v>0</v>
      </c>
      <c r="AA277" s="979"/>
      <c r="AB277" s="165"/>
      <c r="AC277" s="166"/>
      <c r="AD277" s="166"/>
      <c r="AE277" s="5417"/>
    </row>
    <row r="278" spans="1:31" ht="45" customHeight="1">
      <c r="A278" s="5629"/>
      <c r="B278" s="5572" t="s">
        <v>235</v>
      </c>
      <c r="C278" s="5336" t="s">
        <v>236</v>
      </c>
      <c r="D278" s="5336" t="s">
        <v>237</v>
      </c>
      <c r="E278" s="5336" t="s">
        <v>326</v>
      </c>
      <c r="F278" s="5341" t="s">
        <v>239</v>
      </c>
      <c r="G278" s="5336" t="s">
        <v>240</v>
      </c>
      <c r="H278" s="5336" t="s">
        <v>257</v>
      </c>
      <c r="I278" s="5336" t="s">
        <v>3087</v>
      </c>
      <c r="J278" s="5336" t="s">
        <v>1753</v>
      </c>
      <c r="K278" s="5336" t="s">
        <v>2624</v>
      </c>
      <c r="L278" s="5343">
        <v>1</v>
      </c>
      <c r="M278" s="5399">
        <v>0</v>
      </c>
      <c r="N278" s="5343">
        <v>1</v>
      </c>
      <c r="O278" s="5336" t="s">
        <v>3088</v>
      </c>
      <c r="P278" s="5336" t="s">
        <v>3089</v>
      </c>
      <c r="Q278" s="5370" t="s">
        <v>3078</v>
      </c>
      <c r="R278" s="970"/>
      <c r="S278" s="967"/>
      <c r="T278" s="967"/>
      <c r="U278" s="176"/>
      <c r="V278" s="968"/>
      <c r="W278" s="414"/>
      <c r="X278" s="973"/>
      <c r="Y278" s="973"/>
      <c r="Z278" s="973"/>
      <c r="AA278" s="981"/>
      <c r="AB278" s="414"/>
      <c r="AC278" s="174"/>
      <c r="AD278" s="174"/>
      <c r="AE278" s="5415"/>
    </row>
    <row r="279" spans="1:31" ht="45" customHeight="1">
      <c r="A279" s="5629"/>
      <c r="B279" s="5573"/>
      <c r="C279" s="5337"/>
      <c r="D279" s="5337"/>
      <c r="E279" s="5337"/>
      <c r="F279" s="5337"/>
      <c r="G279" s="5337"/>
      <c r="H279" s="5337"/>
      <c r="I279" s="5337"/>
      <c r="J279" s="5337"/>
      <c r="K279" s="5337"/>
      <c r="L279" s="5337"/>
      <c r="M279" s="5337"/>
      <c r="N279" s="5337"/>
      <c r="O279" s="5337"/>
      <c r="P279" s="5337"/>
      <c r="Q279" s="5345"/>
      <c r="R279" s="982"/>
      <c r="S279" s="983"/>
      <c r="T279" s="983"/>
      <c r="U279" s="169"/>
      <c r="V279" s="984"/>
      <c r="W279" s="170"/>
      <c r="X279" s="974"/>
      <c r="Y279" s="974">
        <f t="shared" ref="Y279:Y282" si="80">+V279*X279</f>
        <v>0</v>
      </c>
      <c r="Z279" s="974">
        <f t="shared" ref="Z279:Z282" si="81">+Y279*1.12</f>
        <v>0</v>
      </c>
      <c r="AA279" s="969"/>
      <c r="AB279" s="170"/>
      <c r="AC279" s="282"/>
      <c r="AD279" s="282"/>
      <c r="AE279" s="5416"/>
    </row>
    <row r="280" spans="1:31" ht="45" customHeight="1">
      <c r="A280" s="5629"/>
      <c r="B280" s="5573"/>
      <c r="C280" s="5337"/>
      <c r="D280" s="5337"/>
      <c r="E280" s="5337"/>
      <c r="F280" s="5337"/>
      <c r="G280" s="5337"/>
      <c r="H280" s="5337"/>
      <c r="I280" s="5337"/>
      <c r="J280" s="5337"/>
      <c r="K280" s="5337"/>
      <c r="L280" s="5337"/>
      <c r="M280" s="5337"/>
      <c r="N280" s="5337"/>
      <c r="O280" s="5337"/>
      <c r="P280" s="5337"/>
      <c r="Q280" s="5345"/>
      <c r="R280" s="971"/>
      <c r="S280" s="972"/>
      <c r="T280" s="972"/>
      <c r="U280" s="1217"/>
      <c r="V280" s="968"/>
      <c r="W280" s="414"/>
      <c r="X280" s="973"/>
      <c r="Y280" s="974">
        <f t="shared" si="80"/>
        <v>0</v>
      </c>
      <c r="Z280" s="974">
        <f t="shared" si="81"/>
        <v>0</v>
      </c>
      <c r="AA280" s="969"/>
      <c r="AB280" s="170"/>
      <c r="AC280" s="282"/>
      <c r="AD280" s="282"/>
      <c r="AE280" s="5416"/>
    </row>
    <row r="281" spans="1:31" ht="45" customHeight="1">
      <c r="A281" s="5629"/>
      <c r="B281" s="5573"/>
      <c r="C281" s="5337"/>
      <c r="D281" s="5337"/>
      <c r="E281" s="5337"/>
      <c r="F281" s="5337"/>
      <c r="G281" s="5337"/>
      <c r="H281" s="5337"/>
      <c r="I281" s="5337"/>
      <c r="J281" s="5337"/>
      <c r="K281" s="5337"/>
      <c r="L281" s="5337"/>
      <c r="M281" s="5337"/>
      <c r="N281" s="5337"/>
      <c r="O281" s="5337"/>
      <c r="P281" s="5337"/>
      <c r="Q281" s="5345"/>
      <c r="R281" s="970"/>
      <c r="S281" s="967"/>
      <c r="T281" s="967"/>
      <c r="U281" s="1217"/>
      <c r="V281" s="968"/>
      <c r="W281" s="414"/>
      <c r="X281" s="973"/>
      <c r="Y281" s="974">
        <f t="shared" si="80"/>
        <v>0</v>
      </c>
      <c r="Z281" s="974">
        <f t="shared" si="81"/>
        <v>0</v>
      </c>
      <c r="AA281" s="969"/>
      <c r="AB281" s="170"/>
      <c r="AC281" s="282"/>
      <c r="AD281" s="282"/>
      <c r="AE281" s="5416"/>
    </row>
    <row r="282" spans="1:31" ht="45" customHeight="1">
      <c r="A282" s="5629"/>
      <c r="B282" s="5574"/>
      <c r="C282" s="5338"/>
      <c r="D282" s="5338"/>
      <c r="E282" s="5338"/>
      <c r="F282" s="5338"/>
      <c r="G282" s="5338"/>
      <c r="H282" s="5338"/>
      <c r="I282" s="5338"/>
      <c r="J282" s="5337"/>
      <c r="K282" s="5338"/>
      <c r="L282" s="5338"/>
      <c r="M282" s="5338"/>
      <c r="N282" s="5338"/>
      <c r="O282" s="5338"/>
      <c r="P282" s="5338"/>
      <c r="Q282" s="5346"/>
      <c r="R282" s="975"/>
      <c r="S282" s="976"/>
      <c r="T282" s="976"/>
      <c r="U282" s="411"/>
      <c r="V282" s="977"/>
      <c r="W282" s="165"/>
      <c r="X282" s="978"/>
      <c r="Y282" s="978">
        <f t="shared" si="80"/>
        <v>0</v>
      </c>
      <c r="Z282" s="978">
        <f t="shared" si="81"/>
        <v>0</v>
      </c>
      <c r="AA282" s="979"/>
      <c r="AB282" s="165"/>
      <c r="AC282" s="166"/>
      <c r="AD282" s="166"/>
      <c r="AE282" s="5417"/>
    </row>
    <row r="283" spans="1:31" ht="180" customHeight="1">
      <c r="A283" s="5629"/>
      <c r="B283" s="5572" t="s">
        <v>235</v>
      </c>
      <c r="C283" s="5336" t="s">
        <v>236</v>
      </c>
      <c r="D283" s="5336" t="s">
        <v>237</v>
      </c>
      <c r="E283" s="5336" t="s">
        <v>326</v>
      </c>
      <c r="F283" s="5341" t="s">
        <v>239</v>
      </c>
      <c r="G283" s="5336" t="s">
        <v>240</v>
      </c>
      <c r="H283" s="5336" t="s">
        <v>257</v>
      </c>
      <c r="I283" s="5360" t="s">
        <v>3090</v>
      </c>
      <c r="J283" s="5347" t="s">
        <v>1758</v>
      </c>
      <c r="K283" s="5336" t="s">
        <v>2629</v>
      </c>
      <c r="L283" s="5343">
        <v>200</v>
      </c>
      <c r="M283" s="5399">
        <v>300</v>
      </c>
      <c r="N283" s="5343">
        <v>50</v>
      </c>
      <c r="O283" s="5336" t="s">
        <v>3091</v>
      </c>
      <c r="P283" s="5336" t="s">
        <v>2631</v>
      </c>
      <c r="Q283" s="5370" t="s">
        <v>3092</v>
      </c>
      <c r="R283" s="970"/>
      <c r="S283" s="967"/>
      <c r="T283" s="967"/>
      <c r="U283" s="176"/>
      <c r="V283" s="968"/>
      <c r="W283" s="414"/>
      <c r="X283" s="973"/>
      <c r="Y283" s="973"/>
      <c r="Z283" s="973"/>
      <c r="AA283" s="981"/>
      <c r="AB283" s="414"/>
      <c r="AC283" s="168"/>
      <c r="AD283" s="168"/>
      <c r="AE283" s="5415"/>
    </row>
    <row r="284" spans="1:31" ht="180" customHeight="1">
      <c r="A284" s="5629"/>
      <c r="B284" s="5573"/>
      <c r="C284" s="5337"/>
      <c r="D284" s="5337"/>
      <c r="E284" s="5337"/>
      <c r="F284" s="5337"/>
      <c r="G284" s="5337"/>
      <c r="H284" s="5337"/>
      <c r="I284" s="5361"/>
      <c r="J284" s="5337"/>
      <c r="K284" s="5337"/>
      <c r="L284" s="5337"/>
      <c r="M284" s="5337"/>
      <c r="N284" s="5337"/>
      <c r="O284" s="5337"/>
      <c r="P284" s="5337"/>
      <c r="Q284" s="5345"/>
      <c r="R284" s="982"/>
      <c r="S284" s="983"/>
      <c r="T284" s="983"/>
      <c r="U284" s="169"/>
      <c r="V284" s="984"/>
      <c r="W284" s="170"/>
      <c r="X284" s="974"/>
      <c r="Y284" s="974">
        <f t="shared" ref="Y284:Y287" si="82">+V284*X284</f>
        <v>0</v>
      </c>
      <c r="Z284" s="974">
        <f t="shared" ref="Z284:Z287" si="83">+Y284*1.12</f>
        <v>0</v>
      </c>
      <c r="AA284" s="969"/>
      <c r="AB284" s="170"/>
      <c r="AC284" s="170"/>
      <c r="AD284" s="171"/>
      <c r="AE284" s="5416"/>
    </row>
    <row r="285" spans="1:31" ht="180" customHeight="1">
      <c r="A285" s="5629"/>
      <c r="B285" s="5573"/>
      <c r="C285" s="5337"/>
      <c r="D285" s="5337"/>
      <c r="E285" s="5337"/>
      <c r="F285" s="5337"/>
      <c r="G285" s="5337"/>
      <c r="H285" s="5337"/>
      <c r="I285" s="5361"/>
      <c r="J285" s="5337"/>
      <c r="K285" s="5337"/>
      <c r="L285" s="5337"/>
      <c r="M285" s="5337"/>
      <c r="N285" s="5337"/>
      <c r="O285" s="5337"/>
      <c r="P285" s="5337"/>
      <c r="Q285" s="5345"/>
      <c r="R285" s="982"/>
      <c r="S285" s="983"/>
      <c r="T285" s="983"/>
      <c r="U285" s="169"/>
      <c r="V285" s="984"/>
      <c r="W285" s="170"/>
      <c r="X285" s="974"/>
      <c r="Y285" s="974">
        <f t="shared" si="82"/>
        <v>0</v>
      </c>
      <c r="Z285" s="974">
        <f t="shared" si="83"/>
        <v>0</v>
      </c>
      <c r="AA285" s="969"/>
      <c r="AB285" s="170"/>
      <c r="AC285" s="170"/>
      <c r="AD285" s="282"/>
      <c r="AE285" s="5416"/>
    </row>
    <row r="286" spans="1:31" ht="180" customHeight="1">
      <c r="A286" s="5629"/>
      <c r="B286" s="5573"/>
      <c r="C286" s="5337"/>
      <c r="D286" s="5337"/>
      <c r="E286" s="5337"/>
      <c r="F286" s="5337"/>
      <c r="G286" s="5337"/>
      <c r="H286" s="5337"/>
      <c r="I286" s="5361"/>
      <c r="J286" s="5337"/>
      <c r="K286" s="5337"/>
      <c r="L286" s="5337"/>
      <c r="M286" s="5337"/>
      <c r="N286" s="5337"/>
      <c r="O286" s="5337"/>
      <c r="P286" s="5337"/>
      <c r="Q286" s="5345"/>
      <c r="R286" s="982"/>
      <c r="S286" s="983"/>
      <c r="T286" s="983"/>
      <c r="U286" s="169"/>
      <c r="V286" s="984"/>
      <c r="W286" s="170"/>
      <c r="X286" s="974"/>
      <c r="Y286" s="974">
        <f t="shared" si="82"/>
        <v>0</v>
      </c>
      <c r="Z286" s="974">
        <f t="shared" si="83"/>
        <v>0</v>
      </c>
      <c r="AA286" s="969"/>
      <c r="AB286" s="170"/>
      <c r="AC286" s="170"/>
      <c r="AD286" s="282"/>
      <c r="AE286" s="5416"/>
    </row>
    <row r="287" spans="1:31" ht="180" customHeight="1">
      <c r="A287" s="5629"/>
      <c r="B287" s="5574"/>
      <c r="C287" s="5338"/>
      <c r="D287" s="5338"/>
      <c r="E287" s="5338"/>
      <c r="F287" s="5338"/>
      <c r="G287" s="5338"/>
      <c r="H287" s="5338"/>
      <c r="I287" s="5362"/>
      <c r="J287" s="5338"/>
      <c r="K287" s="5338"/>
      <c r="L287" s="5338"/>
      <c r="M287" s="5338"/>
      <c r="N287" s="5338"/>
      <c r="O287" s="5338"/>
      <c r="P287" s="5338"/>
      <c r="Q287" s="5346"/>
      <c r="R287" s="975"/>
      <c r="S287" s="976"/>
      <c r="T287" s="976"/>
      <c r="U287" s="411"/>
      <c r="V287" s="977"/>
      <c r="W287" s="165"/>
      <c r="X287" s="978"/>
      <c r="Y287" s="978">
        <f t="shared" si="82"/>
        <v>0</v>
      </c>
      <c r="Z287" s="978">
        <f t="shared" si="83"/>
        <v>0</v>
      </c>
      <c r="AA287" s="979"/>
      <c r="AB287" s="165"/>
      <c r="AC287" s="165"/>
      <c r="AD287" s="166"/>
      <c r="AE287" s="5417"/>
    </row>
    <row r="288" spans="1:31" ht="124.5" customHeight="1">
      <c r="A288" s="5629"/>
      <c r="B288" s="5627" t="s">
        <v>235</v>
      </c>
      <c r="C288" s="5347" t="s">
        <v>236</v>
      </c>
      <c r="D288" s="5347" t="s">
        <v>237</v>
      </c>
      <c r="E288" s="5347" t="s">
        <v>326</v>
      </c>
      <c r="F288" s="5353" t="s">
        <v>239</v>
      </c>
      <c r="G288" s="5347" t="s">
        <v>240</v>
      </c>
      <c r="H288" s="5347" t="s">
        <v>257</v>
      </c>
      <c r="I288" s="5360" t="s">
        <v>3093</v>
      </c>
      <c r="J288" s="5347" t="s">
        <v>1763</v>
      </c>
      <c r="K288" s="5347" t="s">
        <v>2633</v>
      </c>
      <c r="L288" s="5343">
        <v>21</v>
      </c>
      <c r="M288" s="5399">
        <v>43</v>
      </c>
      <c r="N288" s="5343">
        <v>38</v>
      </c>
      <c r="O288" s="5347" t="s">
        <v>3094</v>
      </c>
      <c r="P288" s="5347" t="s">
        <v>3095</v>
      </c>
      <c r="Q288" s="5394" t="s">
        <v>3096</v>
      </c>
      <c r="R288" s="970"/>
      <c r="S288" s="967"/>
      <c r="T288" s="967"/>
      <c r="U288" s="283"/>
      <c r="V288" s="988"/>
      <c r="W288" s="178"/>
      <c r="X288" s="989"/>
      <c r="Y288" s="973"/>
      <c r="Z288" s="973"/>
      <c r="AA288" s="990"/>
      <c r="AB288" s="178"/>
      <c r="AC288" s="181"/>
      <c r="AD288" s="181"/>
      <c r="AE288" s="5418"/>
    </row>
    <row r="289" spans="1:31" ht="124.5" customHeight="1">
      <c r="A289" s="5629"/>
      <c r="B289" s="5573"/>
      <c r="C289" s="5337"/>
      <c r="D289" s="5337"/>
      <c r="E289" s="5337"/>
      <c r="F289" s="5337"/>
      <c r="G289" s="5337"/>
      <c r="H289" s="5337"/>
      <c r="I289" s="5361"/>
      <c r="J289" s="5337"/>
      <c r="K289" s="5337"/>
      <c r="L289" s="5337"/>
      <c r="M289" s="5337"/>
      <c r="N289" s="5337"/>
      <c r="O289" s="5337"/>
      <c r="P289" s="5337"/>
      <c r="Q289" s="5345"/>
      <c r="R289" s="982"/>
      <c r="S289" s="983"/>
      <c r="T289" s="983"/>
      <c r="U289" s="169"/>
      <c r="V289" s="984"/>
      <c r="W289" s="170"/>
      <c r="X289" s="974"/>
      <c r="Y289" s="974">
        <f t="shared" ref="Y289:Y292" si="84">+V289*X289</f>
        <v>0</v>
      </c>
      <c r="Z289" s="974">
        <f t="shared" ref="Z289:Z292" si="85">+Y289*1.12</f>
        <v>0</v>
      </c>
      <c r="AA289" s="969"/>
      <c r="AB289" s="170"/>
      <c r="AC289" s="282"/>
      <c r="AD289" s="282"/>
      <c r="AE289" s="5416"/>
    </row>
    <row r="290" spans="1:31" ht="124.5" customHeight="1">
      <c r="A290" s="5629"/>
      <c r="B290" s="5573"/>
      <c r="C290" s="5337"/>
      <c r="D290" s="5337"/>
      <c r="E290" s="5337"/>
      <c r="F290" s="5337"/>
      <c r="G290" s="5337"/>
      <c r="H290" s="5337"/>
      <c r="I290" s="5361"/>
      <c r="J290" s="5337"/>
      <c r="K290" s="5337"/>
      <c r="L290" s="5337"/>
      <c r="M290" s="5337"/>
      <c r="N290" s="5337"/>
      <c r="O290" s="5337"/>
      <c r="P290" s="5337"/>
      <c r="Q290" s="5345"/>
      <c r="R290" s="982"/>
      <c r="S290" s="983"/>
      <c r="T290" s="983"/>
      <c r="U290" s="169"/>
      <c r="V290" s="984"/>
      <c r="W290" s="170"/>
      <c r="X290" s="974"/>
      <c r="Y290" s="974">
        <f t="shared" si="84"/>
        <v>0</v>
      </c>
      <c r="Z290" s="974">
        <f t="shared" si="85"/>
        <v>0</v>
      </c>
      <c r="AA290" s="969"/>
      <c r="AB290" s="170"/>
      <c r="AC290" s="282"/>
      <c r="AD290" s="282"/>
      <c r="AE290" s="5416"/>
    </row>
    <row r="291" spans="1:31" ht="124.5" customHeight="1">
      <c r="A291" s="5629"/>
      <c r="B291" s="5573"/>
      <c r="C291" s="5337"/>
      <c r="D291" s="5337"/>
      <c r="E291" s="5337"/>
      <c r="F291" s="5337"/>
      <c r="G291" s="5337"/>
      <c r="H291" s="5337"/>
      <c r="I291" s="5361"/>
      <c r="J291" s="5337"/>
      <c r="K291" s="5337"/>
      <c r="L291" s="5337"/>
      <c r="M291" s="5337"/>
      <c r="N291" s="5337"/>
      <c r="O291" s="5337"/>
      <c r="P291" s="5337"/>
      <c r="Q291" s="5345"/>
      <c r="R291" s="982"/>
      <c r="S291" s="983"/>
      <c r="T291" s="983"/>
      <c r="U291" s="169"/>
      <c r="V291" s="984"/>
      <c r="W291" s="170"/>
      <c r="X291" s="974"/>
      <c r="Y291" s="974">
        <f t="shared" si="84"/>
        <v>0</v>
      </c>
      <c r="Z291" s="974">
        <f t="shared" si="85"/>
        <v>0</v>
      </c>
      <c r="AA291" s="969"/>
      <c r="AB291" s="170"/>
      <c r="AC291" s="282"/>
      <c r="AD291" s="282"/>
      <c r="AE291" s="5416"/>
    </row>
    <row r="292" spans="1:31" ht="124.5" customHeight="1">
      <c r="A292" s="5629"/>
      <c r="B292" s="5574"/>
      <c r="C292" s="5338"/>
      <c r="D292" s="5338"/>
      <c r="E292" s="5338"/>
      <c r="F292" s="5338"/>
      <c r="G292" s="5338"/>
      <c r="H292" s="5338"/>
      <c r="I292" s="5362"/>
      <c r="J292" s="5338"/>
      <c r="K292" s="5338"/>
      <c r="L292" s="5338"/>
      <c r="M292" s="5338"/>
      <c r="N292" s="5338"/>
      <c r="O292" s="5338"/>
      <c r="P292" s="5338"/>
      <c r="Q292" s="5346"/>
      <c r="R292" s="975"/>
      <c r="S292" s="976"/>
      <c r="T292" s="976"/>
      <c r="U292" s="411"/>
      <c r="V292" s="977"/>
      <c r="W292" s="165"/>
      <c r="X292" s="978"/>
      <c r="Y292" s="978">
        <f t="shared" si="84"/>
        <v>0</v>
      </c>
      <c r="Z292" s="978">
        <f t="shared" si="85"/>
        <v>0</v>
      </c>
      <c r="AA292" s="979"/>
      <c r="AB292" s="165"/>
      <c r="AC292" s="166"/>
      <c r="AD292" s="166"/>
      <c r="AE292" s="5417"/>
    </row>
    <row r="293" spans="1:31" ht="45" customHeight="1">
      <c r="A293" s="5629"/>
      <c r="B293" s="5572" t="s">
        <v>235</v>
      </c>
      <c r="C293" s="5336" t="s">
        <v>236</v>
      </c>
      <c r="D293" s="5336" t="s">
        <v>244</v>
      </c>
      <c r="E293" s="5336" t="s">
        <v>292</v>
      </c>
      <c r="F293" s="5341" t="s">
        <v>239</v>
      </c>
      <c r="G293" s="5336" t="s">
        <v>240</v>
      </c>
      <c r="H293" s="5336" t="s">
        <v>257</v>
      </c>
      <c r="I293" s="5336" t="s">
        <v>3097</v>
      </c>
      <c r="J293" s="5336" t="s">
        <v>1768</v>
      </c>
      <c r="K293" s="5336" t="s">
        <v>2637</v>
      </c>
      <c r="L293" s="5343">
        <v>1</v>
      </c>
      <c r="M293" s="5399">
        <v>1</v>
      </c>
      <c r="N293" s="5343">
        <v>1</v>
      </c>
      <c r="O293" s="5336" t="s">
        <v>3098</v>
      </c>
      <c r="P293" s="5336" t="s">
        <v>3099</v>
      </c>
      <c r="Q293" s="5370" t="s">
        <v>3100</v>
      </c>
      <c r="R293" s="970"/>
      <c r="S293" s="967"/>
      <c r="T293" s="967"/>
      <c r="U293" s="176"/>
      <c r="V293" s="968"/>
      <c r="W293" s="414"/>
      <c r="X293" s="973"/>
      <c r="Y293" s="973"/>
      <c r="Z293" s="973"/>
      <c r="AA293" s="981"/>
      <c r="AB293" s="414"/>
      <c r="AC293" s="174"/>
      <c r="AD293" s="174"/>
      <c r="AE293" s="5415"/>
    </row>
    <row r="294" spans="1:31" ht="45" customHeight="1">
      <c r="A294" s="5629"/>
      <c r="B294" s="5573"/>
      <c r="C294" s="5337"/>
      <c r="D294" s="5337"/>
      <c r="E294" s="5337"/>
      <c r="F294" s="5337"/>
      <c r="G294" s="5337"/>
      <c r="H294" s="5337"/>
      <c r="I294" s="5337"/>
      <c r="J294" s="5337"/>
      <c r="K294" s="5337"/>
      <c r="L294" s="5337"/>
      <c r="M294" s="5337"/>
      <c r="N294" s="5337"/>
      <c r="O294" s="5337"/>
      <c r="P294" s="5337"/>
      <c r="Q294" s="5345"/>
      <c r="R294" s="982"/>
      <c r="S294" s="983"/>
      <c r="T294" s="983"/>
      <c r="U294" s="169"/>
      <c r="V294" s="984"/>
      <c r="W294" s="170"/>
      <c r="X294" s="974"/>
      <c r="Y294" s="974">
        <f t="shared" ref="Y294:Y297" si="86">+V294*X294</f>
        <v>0</v>
      </c>
      <c r="Z294" s="974">
        <f t="shared" ref="Z294:Z297" si="87">+Y294*1.12</f>
        <v>0</v>
      </c>
      <c r="AA294" s="969"/>
      <c r="AB294" s="170"/>
      <c r="AC294" s="282"/>
      <c r="AD294" s="282"/>
      <c r="AE294" s="5416"/>
    </row>
    <row r="295" spans="1:31" ht="45" customHeight="1">
      <c r="A295" s="5629"/>
      <c r="B295" s="5573"/>
      <c r="C295" s="5337"/>
      <c r="D295" s="5337"/>
      <c r="E295" s="5337"/>
      <c r="F295" s="5337"/>
      <c r="G295" s="5337"/>
      <c r="H295" s="5337"/>
      <c r="I295" s="5337"/>
      <c r="J295" s="5337"/>
      <c r="K295" s="5337"/>
      <c r="L295" s="5337"/>
      <c r="M295" s="5337"/>
      <c r="N295" s="5337"/>
      <c r="O295" s="5337"/>
      <c r="P295" s="5337"/>
      <c r="Q295" s="5345"/>
      <c r="R295" s="971"/>
      <c r="S295" s="972"/>
      <c r="T295" s="972"/>
      <c r="U295" s="1217"/>
      <c r="V295" s="968"/>
      <c r="W295" s="414"/>
      <c r="X295" s="973"/>
      <c r="Y295" s="974">
        <f t="shared" si="86"/>
        <v>0</v>
      </c>
      <c r="Z295" s="974">
        <f t="shared" si="87"/>
        <v>0</v>
      </c>
      <c r="AA295" s="969"/>
      <c r="AB295" s="170"/>
      <c r="AC295" s="282"/>
      <c r="AD295" s="282"/>
      <c r="AE295" s="5416"/>
    </row>
    <row r="296" spans="1:31" ht="45" customHeight="1">
      <c r="A296" s="5629"/>
      <c r="B296" s="5573"/>
      <c r="C296" s="5337"/>
      <c r="D296" s="5337"/>
      <c r="E296" s="5337"/>
      <c r="F296" s="5337"/>
      <c r="G296" s="5337"/>
      <c r="H296" s="5337"/>
      <c r="I296" s="5337"/>
      <c r="J296" s="5337"/>
      <c r="K296" s="5337"/>
      <c r="L296" s="5337"/>
      <c r="M296" s="5337"/>
      <c r="N296" s="5337"/>
      <c r="O296" s="5337"/>
      <c r="P296" s="5337"/>
      <c r="Q296" s="5345"/>
      <c r="R296" s="970"/>
      <c r="S296" s="967"/>
      <c r="T296" s="967"/>
      <c r="U296" s="1217"/>
      <c r="V296" s="968"/>
      <c r="W296" s="414"/>
      <c r="X296" s="973"/>
      <c r="Y296" s="974">
        <f t="shared" si="86"/>
        <v>0</v>
      </c>
      <c r="Z296" s="974">
        <f t="shared" si="87"/>
        <v>0</v>
      </c>
      <c r="AA296" s="969"/>
      <c r="AB296" s="170"/>
      <c r="AC296" s="282"/>
      <c r="AD296" s="282"/>
      <c r="AE296" s="5416"/>
    </row>
    <row r="297" spans="1:31" ht="45" customHeight="1">
      <c r="A297" s="5629"/>
      <c r="B297" s="5574"/>
      <c r="C297" s="5338"/>
      <c r="D297" s="5338"/>
      <c r="E297" s="5338"/>
      <c r="F297" s="5338"/>
      <c r="G297" s="5338"/>
      <c r="H297" s="5338"/>
      <c r="I297" s="5338"/>
      <c r="J297" s="5337"/>
      <c r="K297" s="5338"/>
      <c r="L297" s="5338"/>
      <c r="M297" s="5338"/>
      <c r="N297" s="5338"/>
      <c r="O297" s="5338"/>
      <c r="P297" s="5338"/>
      <c r="Q297" s="5346"/>
      <c r="R297" s="975"/>
      <c r="S297" s="976"/>
      <c r="T297" s="976"/>
      <c r="U297" s="411"/>
      <c r="V297" s="977"/>
      <c r="W297" s="165"/>
      <c r="X297" s="978"/>
      <c r="Y297" s="978">
        <f t="shared" si="86"/>
        <v>0</v>
      </c>
      <c r="Z297" s="978">
        <f t="shared" si="87"/>
        <v>0</v>
      </c>
      <c r="AA297" s="979"/>
      <c r="AB297" s="165"/>
      <c r="AC297" s="166"/>
      <c r="AD297" s="166"/>
      <c r="AE297" s="5417"/>
    </row>
    <row r="298" spans="1:31" ht="34.5" customHeight="1">
      <c r="A298" s="5629"/>
      <c r="B298" s="5572" t="s">
        <v>235</v>
      </c>
      <c r="C298" s="5347" t="s">
        <v>236</v>
      </c>
      <c r="D298" s="5336" t="s">
        <v>244</v>
      </c>
      <c r="E298" s="5336" t="s">
        <v>292</v>
      </c>
      <c r="F298" s="5341" t="s">
        <v>239</v>
      </c>
      <c r="G298" s="5336" t="s">
        <v>240</v>
      </c>
      <c r="H298" s="5336" t="s">
        <v>257</v>
      </c>
      <c r="I298" s="5360" t="s">
        <v>3101</v>
      </c>
      <c r="J298" s="5347" t="s">
        <v>338</v>
      </c>
      <c r="K298" s="5336" t="s">
        <v>3102</v>
      </c>
      <c r="L298" s="5343">
        <v>0</v>
      </c>
      <c r="M298" s="5399">
        <v>1</v>
      </c>
      <c r="N298" s="5343">
        <v>1</v>
      </c>
      <c r="O298" s="5336" t="s">
        <v>3103</v>
      </c>
      <c r="P298" s="5336" t="s">
        <v>3104</v>
      </c>
      <c r="Q298" s="5370" t="s">
        <v>3100</v>
      </c>
      <c r="R298" s="970"/>
      <c r="S298" s="967"/>
      <c r="T298" s="967"/>
      <c r="U298" s="176"/>
      <c r="V298" s="968"/>
      <c r="W298" s="414"/>
      <c r="X298" s="973"/>
      <c r="Y298" s="973"/>
      <c r="Z298" s="973"/>
      <c r="AA298" s="981"/>
      <c r="AB298" s="414"/>
      <c r="AC298" s="168"/>
      <c r="AD298" s="168"/>
      <c r="AE298" s="5415"/>
    </row>
    <row r="299" spans="1:31" ht="34.5" customHeight="1">
      <c r="A299" s="5629"/>
      <c r="B299" s="5573"/>
      <c r="C299" s="5337"/>
      <c r="D299" s="5337"/>
      <c r="E299" s="5337"/>
      <c r="F299" s="5337"/>
      <c r="G299" s="5337"/>
      <c r="H299" s="5337"/>
      <c r="I299" s="5361"/>
      <c r="J299" s="5337"/>
      <c r="K299" s="5337"/>
      <c r="L299" s="5337"/>
      <c r="M299" s="5337"/>
      <c r="N299" s="5337"/>
      <c r="O299" s="5337"/>
      <c r="P299" s="5337"/>
      <c r="Q299" s="5345"/>
      <c r="R299" s="982"/>
      <c r="S299" s="983"/>
      <c r="T299" s="983"/>
      <c r="U299" s="169"/>
      <c r="V299" s="984"/>
      <c r="W299" s="170"/>
      <c r="X299" s="974"/>
      <c r="Y299" s="974">
        <f t="shared" ref="Y299:Y302" si="88">+V299*X299</f>
        <v>0</v>
      </c>
      <c r="Z299" s="974">
        <f t="shared" ref="Z299:Z302" si="89">+Y299*1.12</f>
        <v>0</v>
      </c>
      <c r="AA299" s="969"/>
      <c r="AB299" s="170"/>
      <c r="AC299" s="170"/>
      <c r="AD299" s="171"/>
      <c r="AE299" s="5416"/>
    </row>
    <row r="300" spans="1:31" ht="34.5" customHeight="1">
      <c r="A300" s="5629"/>
      <c r="B300" s="5573"/>
      <c r="C300" s="5337"/>
      <c r="D300" s="5337"/>
      <c r="E300" s="5337"/>
      <c r="F300" s="5337"/>
      <c r="G300" s="5337"/>
      <c r="H300" s="5337"/>
      <c r="I300" s="5361"/>
      <c r="J300" s="5337"/>
      <c r="K300" s="5337"/>
      <c r="L300" s="5337"/>
      <c r="M300" s="5337"/>
      <c r="N300" s="5337"/>
      <c r="O300" s="5337"/>
      <c r="P300" s="5337"/>
      <c r="Q300" s="5345"/>
      <c r="R300" s="982"/>
      <c r="S300" s="983"/>
      <c r="T300" s="983"/>
      <c r="U300" s="169"/>
      <c r="V300" s="984"/>
      <c r="W300" s="170"/>
      <c r="X300" s="974"/>
      <c r="Y300" s="974">
        <f t="shared" si="88"/>
        <v>0</v>
      </c>
      <c r="Z300" s="974">
        <f t="shared" si="89"/>
        <v>0</v>
      </c>
      <c r="AA300" s="969"/>
      <c r="AB300" s="170"/>
      <c r="AC300" s="170"/>
      <c r="AD300" s="282"/>
      <c r="AE300" s="5416"/>
    </row>
    <row r="301" spans="1:31" ht="34.5" customHeight="1">
      <c r="A301" s="5629"/>
      <c r="B301" s="5573"/>
      <c r="C301" s="5337"/>
      <c r="D301" s="5337"/>
      <c r="E301" s="5337"/>
      <c r="F301" s="5337"/>
      <c r="G301" s="5337"/>
      <c r="H301" s="5337"/>
      <c r="I301" s="5361"/>
      <c r="J301" s="5337"/>
      <c r="K301" s="5337"/>
      <c r="L301" s="5337"/>
      <c r="M301" s="5337"/>
      <c r="N301" s="5337"/>
      <c r="O301" s="5337"/>
      <c r="P301" s="5337"/>
      <c r="Q301" s="5345"/>
      <c r="R301" s="982"/>
      <c r="S301" s="983"/>
      <c r="T301" s="983"/>
      <c r="U301" s="169"/>
      <c r="V301" s="984"/>
      <c r="W301" s="170"/>
      <c r="X301" s="974"/>
      <c r="Y301" s="974">
        <f t="shared" si="88"/>
        <v>0</v>
      </c>
      <c r="Z301" s="974">
        <f t="shared" si="89"/>
        <v>0</v>
      </c>
      <c r="AA301" s="969"/>
      <c r="AB301" s="170"/>
      <c r="AC301" s="170"/>
      <c r="AD301" s="282"/>
      <c r="AE301" s="5416"/>
    </row>
    <row r="302" spans="1:31" ht="34.5" customHeight="1">
      <c r="A302" s="5629"/>
      <c r="B302" s="5574"/>
      <c r="C302" s="5338"/>
      <c r="D302" s="5338"/>
      <c r="E302" s="5338"/>
      <c r="F302" s="5338"/>
      <c r="G302" s="5338"/>
      <c r="H302" s="5338"/>
      <c r="I302" s="5362"/>
      <c r="J302" s="5338"/>
      <c r="K302" s="5338"/>
      <c r="L302" s="5338"/>
      <c r="M302" s="5338"/>
      <c r="N302" s="5338"/>
      <c r="O302" s="5338"/>
      <c r="P302" s="5338"/>
      <c r="Q302" s="5346"/>
      <c r="R302" s="975"/>
      <c r="S302" s="976"/>
      <c r="T302" s="976"/>
      <c r="U302" s="411"/>
      <c r="V302" s="977"/>
      <c r="W302" s="165"/>
      <c r="X302" s="978"/>
      <c r="Y302" s="978">
        <f t="shared" si="88"/>
        <v>0</v>
      </c>
      <c r="Z302" s="978">
        <f t="shared" si="89"/>
        <v>0</v>
      </c>
      <c r="AA302" s="979"/>
      <c r="AB302" s="165"/>
      <c r="AC302" s="165"/>
      <c r="AD302" s="166"/>
      <c r="AE302" s="5417"/>
    </row>
    <row r="303" spans="1:31" ht="34.5" customHeight="1">
      <c r="A303" s="5629"/>
      <c r="B303" s="5627" t="s">
        <v>235</v>
      </c>
      <c r="C303" s="5347" t="s">
        <v>236</v>
      </c>
      <c r="D303" s="5347" t="s">
        <v>237</v>
      </c>
      <c r="E303" s="5347" t="s">
        <v>326</v>
      </c>
      <c r="F303" s="5353" t="s">
        <v>239</v>
      </c>
      <c r="G303" s="5347" t="s">
        <v>240</v>
      </c>
      <c r="H303" s="5347" t="s">
        <v>257</v>
      </c>
      <c r="I303" s="5360" t="s">
        <v>3105</v>
      </c>
      <c r="J303" s="5347" t="s">
        <v>707</v>
      </c>
      <c r="K303" s="5347" t="s">
        <v>3106</v>
      </c>
      <c r="L303" s="5399">
        <v>3</v>
      </c>
      <c r="M303" s="5399">
        <v>3</v>
      </c>
      <c r="N303" s="5399">
        <v>6</v>
      </c>
      <c r="O303" s="5347" t="s">
        <v>3107</v>
      </c>
      <c r="P303" s="5347" t="s">
        <v>3108</v>
      </c>
      <c r="Q303" s="5394" t="s">
        <v>3109</v>
      </c>
      <c r="R303" s="995"/>
      <c r="S303" s="996"/>
      <c r="T303" s="996"/>
      <c r="U303" s="177"/>
      <c r="V303" s="988"/>
      <c r="W303" s="178"/>
      <c r="X303" s="989"/>
      <c r="Y303" s="989"/>
      <c r="Z303" s="989"/>
      <c r="AA303" s="990"/>
      <c r="AB303" s="178"/>
      <c r="AC303" s="181"/>
      <c r="AD303" s="181"/>
      <c r="AE303" s="5418"/>
    </row>
    <row r="304" spans="1:31" ht="34.5" customHeight="1">
      <c r="A304" s="5629"/>
      <c r="B304" s="5573"/>
      <c r="C304" s="5337"/>
      <c r="D304" s="5337"/>
      <c r="E304" s="5337"/>
      <c r="F304" s="5337"/>
      <c r="G304" s="5337"/>
      <c r="H304" s="5337"/>
      <c r="I304" s="5361"/>
      <c r="J304" s="5337"/>
      <c r="K304" s="5337"/>
      <c r="L304" s="5337"/>
      <c r="M304" s="5337"/>
      <c r="N304" s="5337"/>
      <c r="O304" s="5337"/>
      <c r="P304" s="5337"/>
      <c r="Q304" s="5345"/>
      <c r="R304" s="971"/>
      <c r="S304" s="972"/>
      <c r="T304" s="972"/>
      <c r="U304" s="169"/>
      <c r="V304" s="984"/>
      <c r="W304" s="170"/>
      <c r="X304" s="974"/>
      <c r="Y304" s="974">
        <f t="shared" ref="Y304:Y307" si="90">+V304*X304</f>
        <v>0</v>
      </c>
      <c r="Z304" s="974">
        <f t="shared" ref="Z304:Z307" si="91">+Y304*1.12</f>
        <v>0</v>
      </c>
      <c r="AA304" s="969"/>
      <c r="AB304" s="170"/>
      <c r="AC304" s="282"/>
      <c r="AD304" s="282"/>
      <c r="AE304" s="5416"/>
    </row>
    <row r="305" spans="1:31" ht="34.5" customHeight="1">
      <c r="A305" s="5629"/>
      <c r="B305" s="5573"/>
      <c r="C305" s="5337"/>
      <c r="D305" s="5337"/>
      <c r="E305" s="5337"/>
      <c r="F305" s="5337"/>
      <c r="G305" s="5337"/>
      <c r="H305" s="5337"/>
      <c r="I305" s="5361"/>
      <c r="J305" s="5337"/>
      <c r="K305" s="5337"/>
      <c r="L305" s="5337"/>
      <c r="M305" s="5337"/>
      <c r="N305" s="5337"/>
      <c r="O305" s="5337"/>
      <c r="P305" s="5337"/>
      <c r="Q305" s="5345"/>
      <c r="R305" s="982"/>
      <c r="S305" s="983"/>
      <c r="T305" s="983"/>
      <c r="U305" s="169"/>
      <c r="V305" s="984"/>
      <c r="W305" s="170"/>
      <c r="X305" s="974"/>
      <c r="Y305" s="974">
        <f t="shared" si="90"/>
        <v>0</v>
      </c>
      <c r="Z305" s="974">
        <f t="shared" si="91"/>
        <v>0</v>
      </c>
      <c r="AA305" s="969"/>
      <c r="AB305" s="170"/>
      <c r="AC305" s="282"/>
      <c r="AD305" s="282"/>
      <c r="AE305" s="5416"/>
    </row>
    <row r="306" spans="1:31" ht="34.5" customHeight="1">
      <c r="A306" s="5629"/>
      <c r="B306" s="5573"/>
      <c r="C306" s="5337"/>
      <c r="D306" s="5337"/>
      <c r="E306" s="5337"/>
      <c r="F306" s="5337"/>
      <c r="G306" s="5337"/>
      <c r="H306" s="5337"/>
      <c r="I306" s="5361"/>
      <c r="J306" s="5337"/>
      <c r="K306" s="5337"/>
      <c r="L306" s="5337"/>
      <c r="M306" s="5337"/>
      <c r="N306" s="5337"/>
      <c r="O306" s="5337"/>
      <c r="P306" s="5337"/>
      <c r="Q306" s="5345"/>
      <c r="R306" s="982"/>
      <c r="S306" s="983"/>
      <c r="T306" s="983"/>
      <c r="U306" s="169"/>
      <c r="V306" s="984"/>
      <c r="W306" s="170"/>
      <c r="X306" s="974"/>
      <c r="Y306" s="974">
        <f t="shared" si="90"/>
        <v>0</v>
      </c>
      <c r="Z306" s="974">
        <f t="shared" si="91"/>
        <v>0</v>
      </c>
      <c r="AA306" s="969"/>
      <c r="AB306" s="170"/>
      <c r="AC306" s="282"/>
      <c r="AD306" s="282"/>
      <c r="AE306" s="5416"/>
    </row>
    <row r="307" spans="1:31" ht="34.5" customHeight="1">
      <c r="A307" s="5555"/>
      <c r="B307" s="5574"/>
      <c r="C307" s="5338"/>
      <c r="D307" s="5338"/>
      <c r="E307" s="5338"/>
      <c r="F307" s="5338"/>
      <c r="G307" s="5338"/>
      <c r="H307" s="5338"/>
      <c r="I307" s="5362"/>
      <c r="J307" s="5338"/>
      <c r="K307" s="5338"/>
      <c r="L307" s="5338"/>
      <c r="M307" s="5338"/>
      <c r="N307" s="5338"/>
      <c r="O307" s="5338"/>
      <c r="P307" s="5338"/>
      <c r="Q307" s="5346"/>
      <c r="R307" s="975"/>
      <c r="S307" s="976"/>
      <c r="T307" s="976"/>
      <c r="U307" s="411"/>
      <c r="V307" s="977"/>
      <c r="W307" s="165"/>
      <c r="X307" s="978"/>
      <c r="Y307" s="978">
        <f t="shared" si="90"/>
        <v>0</v>
      </c>
      <c r="Z307" s="978">
        <f t="shared" si="91"/>
        <v>0</v>
      </c>
      <c r="AA307" s="979"/>
      <c r="AB307" s="165"/>
      <c r="AC307" s="166"/>
      <c r="AD307" s="166"/>
      <c r="AE307" s="5417"/>
    </row>
    <row r="308" spans="1:31" ht="35.25" customHeight="1">
      <c r="A308" s="2159"/>
      <c r="B308" s="785"/>
      <c r="C308" s="785"/>
      <c r="D308" s="785"/>
      <c r="E308" s="785"/>
      <c r="F308" s="785"/>
      <c r="G308" s="785"/>
      <c r="H308" s="785"/>
      <c r="I308" s="785"/>
      <c r="J308" s="785"/>
      <c r="K308" s="785"/>
      <c r="L308" s="785"/>
      <c r="M308" s="785"/>
      <c r="N308" s="785"/>
      <c r="O308" s="785"/>
      <c r="P308" s="785"/>
      <c r="Q308" s="786"/>
      <c r="R308" s="5636" t="s">
        <v>1779</v>
      </c>
      <c r="S308" s="5474"/>
      <c r="T308" s="5474"/>
      <c r="U308" s="5474"/>
      <c r="V308" s="5474"/>
      <c r="W308" s="5474"/>
      <c r="X308" s="5474"/>
      <c r="Y308" s="5475"/>
      <c r="Z308" s="997" t="s">
        <v>340</v>
      </c>
      <c r="AA308" s="998">
        <f>SUM(AA248:AA307)</f>
        <v>0</v>
      </c>
      <c r="AB308" s="5521"/>
      <c r="AC308" s="5474"/>
      <c r="AD308" s="5474"/>
      <c r="AE308" s="5477"/>
    </row>
    <row r="309" spans="1:31" ht="64.5" customHeight="1">
      <c r="A309" s="5628" t="s">
        <v>1780</v>
      </c>
      <c r="B309" s="5576" t="s">
        <v>235</v>
      </c>
      <c r="C309" s="5355" t="s">
        <v>236</v>
      </c>
      <c r="D309" s="5355" t="s">
        <v>237</v>
      </c>
      <c r="E309" s="5355" t="s">
        <v>326</v>
      </c>
      <c r="F309" s="5364" t="s">
        <v>239</v>
      </c>
      <c r="G309" s="5355" t="s">
        <v>240</v>
      </c>
      <c r="H309" s="5355" t="s">
        <v>278</v>
      </c>
      <c r="I309" s="5360" t="s">
        <v>3110</v>
      </c>
      <c r="J309" s="5355" t="s">
        <v>1781</v>
      </c>
      <c r="K309" s="5355" t="s">
        <v>3111</v>
      </c>
      <c r="L309" s="5343">
        <v>249</v>
      </c>
      <c r="M309" s="5399">
        <v>270</v>
      </c>
      <c r="N309" s="5343">
        <v>200</v>
      </c>
      <c r="O309" s="5355" t="s">
        <v>3112</v>
      </c>
      <c r="P309" s="5355" t="s">
        <v>2651</v>
      </c>
      <c r="Q309" s="5392" t="s">
        <v>3113</v>
      </c>
      <c r="R309" s="1102"/>
      <c r="S309" s="1103"/>
      <c r="T309" s="1103"/>
      <c r="U309" s="154"/>
      <c r="V309" s="1104"/>
      <c r="W309" s="155"/>
      <c r="X309" s="1105"/>
      <c r="Y309" s="1105"/>
      <c r="Z309" s="1105"/>
      <c r="AA309" s="1106"/>
      <c r="AB309" s="155"/>
      <c r="AC309" s="156"/>
      <c r="AD309" s="156"/>
      <c r="AE309" s="5428"/>
    </row>
    <row r="310" spans="1:31" ht="64.5" customHeight="1">
      <c r="A310" s="5629"/>
      <c r="B310" s="5573"/>
      <c r="C310" s="5337"/>
      <c r="D310" s="5337"/>
      <c r="E310" s="5337"/>
      <c r="F310" s="5337"/>
      <c r="G310" s="5337"/>
      <c r="H310" s="5337"/>
      <c r="I310" s="5361"/>
      <c r="J310" s="5337"/>
      <c r="K310" s="5337"/>
      <c r="L310" s="5337"/>
      <c r="M310" s="5337"/>
      <c r="N310" s="5337"/>
      <c r="O310" s="5337"/>
      <c r="P310" s="5337"/>
      <c r="Q310" s="5345"/>
      <c r="R310" s="982"/>
      <c r="S310" s="983"/>
      <c r="T310" s="983"/>
      <c r="U310" s="169"/>
      <c r="V310" s="984"/>
      <c r="W310" s="170"/>
      <c r="X310" s="974"/>
      <c r="Y310" s="974">
        <f t="shared" ref="Y310:Y313" si="92">+V310*X310</f>
        <v>0</v>
      </c>
      <c r="Z310" s="974">
        <f t="shared" ref="Z310:Z313" si="93">+Y310*1.12</f>
        <v>0</v>
      </c>
      <c r="AA310" s="969"/>
      <c r="AB310" s="170"/>
      <c r="AC310" s="282"/>
      <c r="AD310" s="282"/>
      <c r="AE310" s="5416"/>
    </row>
    <row r="311" spans="1:31" ht="64.5" customHeight="1">
      <c r="A311" s="5629"/>
      <c r="B311" s="5573"/>
      <c r="C311" s="5337"/>
      <c r="D311" s="5337"/>
      <c r="E311" s="5337"/>
      <c r="F311" s="5337"/>
      <c r="G311" s="5337"/>
      <c r="H311" s="5337"/>
      <c r="I311" s="5361"/>
      <c r="J311" s="5337"/>
      <c r="K311" s="5337"/>
      <c r="L311" s="5337"/>
      <c r="M311" s="5337"/>
      <c r="N311" s="5337"/>
      <c r="O311" s="5337"/>
      <c r="P311" s="5337"/>
      <c r="Q311" s="5345"/>
      <c r="R311" s="971"/>
      <c r="S311" s="972"/>
      <c r="T311" s="972"/>
      <c r="U311" s="1217"/>
      <c r="V311" s="968"/>
      <c r="W311" s="414"/>
      <c r="X311" s="973"/>
      <c r="Y311" s="974">
        <f t="shared" si="92"/>
        <v>0</v>
      </c>
      <c r="Z311" s="974">
        <f t="shared" si="93"/>
        <v>0</v>
      </c>
      <c r="AA311" s="969"/>
      <c r="AB311" s="170"/>
      <c r="AC311" s="282"/>
      <c r="AD311" s="282"/>
      <c r="AE311" s="5416"/>
    </row>
    <row r="312" spans="1:31" ht="64.5" customHeight="1">
      <c r="A312" s="5629"/>
      <c r="B312" s="5573"/>
      <c r="C312" s="5337"/>
      <c r="D312" s="5337"/>
      <c r="E312" s="5337"/>
      <c r="F312" s="5337"/>
      <c r="G312" s="5337"/>
      <c r="H312" s="5337"/>
      <c r="I312" s="5361"/>
      <c r="J312" s="5337"/>
      <c r="K312" s="5337"/>
      <c r="L312" s="5337"/>
      <c r="M312" s="5337"/>
      <c r="N312" s="5337"/>
      <c r="O312" s="5337"/>
      <c r="P312" s="5337"/>
      <c r="Q312" s="5345"/>
      <c r="R312" s="970"/>
      <c r="S312" s="967"/>
      <c r="T312" s="967"/>
      <c r="U312" s="1217"/>
      <c r="V312" s="968"/>
      <c r="W312" s="414"/>
      <c r="X312" s="973"/>
      <c r="Y312" s="974">
        <f t="shared" si="92"/>
        <v>0</v>
      </c>
      <c r="Z312" s="974">
        <f t="shared" si="93"/>
        <v>0</v>
      </c>
      <c r="AA312" s="969"/>
      <c r="AB312" s="170"/>
      <c r="AC312" s="282"/>
      <c r="AD312" s="282"/>
      <c r="AE312" s="5416"/>
    </row>
    <row r="313" spans="1:31" ht="64.5" customHeight="1">
      <c r="A313" s="5629"/>
      <c r="B313" s="5574"/>
      <c r="C313" s="5338"/>
      <c r="D313" s="5338"/>
      <c r="E313" s="5338"/>
      <c r="F313" s="5338"/>
      <c r="G313" s="5338"/>
      <c r="H313" s="5338"/>
      <c r="I313" s="5362"/>
      <c r="J313" s="5338"/>
      <c r="K313" s="5338"/>
      <c r="L313" s="5338"/>
      <c r="M313" s="5338"/>
      <c r="N313" s="5338"/>
      <c r="O313" s="5338"/>
      <c r="P313" s="5338"/>
      <c r="Q313" s="5346"/>
      <c r="R313" s="975"/>
      <c r="S313" s="976"/>
      <c r="T313" s="976"/>
      <c r="U313" s="411"/>
      <c r="V313" s="977"/>
      <c r="W313" s="165"/>
      <c r="X313" s="978"/>
      <c r="Y313" s="978">
        <f t="shared" si="92"/>
        <v>0</v>
      </c>
      <c r="Z313" s="978">
        <f t="shared" si="93"/>
        <v>0</v>
      </c>
      <c r="AA313" s="979"/>
      <c r="AB313" s="165"/>
      <c r="AC313" s="166"/>
      <c r="AD313" s="166"/>
      <c r="AE313" s="5417"/>
    </row>
    <row r="314" spans="1:31" ht="34.5" customHeight="1">
      <c r="A314" s="5629"/>
      <c r="B314" s="5572" t="s">
        <v>235</v>
      </c>
      <c r="C314" s="5336" t="s">
        <v>236</v>
      </c>
      <c r="D314" s="5336" t="s">
        <v>237</v>
      </c>
      <c r="E314" s="5336" t="s">
        <v>326</v>
      </c>
      <c r="F314" s="5341" t="s">
        <v>239</v>
      </c>
      <c r="G314" s="5336" t="s">
        <v>240</v>
      </c>
      <c r="H314" s="5336" t="s">
        <v>278</v>
      </c>
      <c r="I314" s="5336" t="s">
        <v>3114</v>
      </c>
      <c r="J314" s="5336" t="s">
        <v>1786</v>
      </c>
      <c r="K314" s="5336" t="s">
        <v>3115</v>
      </c>
      <c r="L314" s="5343">
        <v>350</v>
      </c>
      <c r="M314" s="5399">
        <v>350</v>
      </c>
      <c r="N314" s="5343">
        <v>200</v>
      </c>
      <c r="O314" s="5336" t="s">
        <v>2655</v>
      </c>
      <c r="P314" s="5336" t="s">
        <v>2656</v>
      </c>
      <c r="Q314" s="5370" t="s">
        <v>3116</v>
      </c>
      <c r="R314" s="970"/>
      <c r="S314" s="967"/>
      <c r="T314" s="967"/>
      <c r="U314" s="176"/>
      <c r="V314" s="968"/>
      <c r="W314" s="414"/>
      <c r="X314" s="973"/>
      <c r="Y314" s="973"/>
      <c r="Z314" s="973"/>
      <c r="AA314" s="981"/>
      <c r="AB314" s="414"/>
      <c r="AC314" s="174"/>
      <c r="AD314" s="174"/>
      <c r="AE314" s="5415"/>
    </row>
    <row r="315" spans="1:31" ht="34.5" customHeight="1">
      <c r="A315" s="5629"/>
      <c r="B315" s="5573"/>
      <c r="C315" s="5337"/>
      <c r="D315" s="5337"/>
      <c r="E315" s="5337"/>
      <c r="F315" s="5337"/>
      <c r="G315" s="5337"/>
      <c r="H315" s="5337"/>
      <c r="I315" s="5337"/>
      <c r="J315" s="5337"/>
      <c r="K315" s="5337"/>
      <c r="L315" s="5337"/>
      <c r="M315" s="5337"/>
      <c r="N315" s="5337"/>
      <c r="O315" s="5337"/>
      <c r="P315" s="5337"/>
      <c r="Q315" s="5345"/>
      <c r="R315" s="982"/>
      <c r="S315" s="983"/>
      <c r="T315" s="983"/>
      <c r="U315" s="169"/>
      <c r="V315" s="984"/>
      <c r="W315" s="170"/>
      <c r="X315" s="974"/>
      <c r="Y315" s="974">
        <f t="shared" ref="Y315:Y318" si="94">+V315*X315</f>
        <v>0</v>
      </c>
      <c r="Z315" s="974">
        <f t="shared" ref="Z315:Z318" si="95">+Y315*1.12</f>
        <v>0</v>
      </c>
      <c r="AA315" s="969"/>
      <c r="AB315" s="170"/>
      <c r="AC315" s="282"/>
      <c r="AD315" s="282"/>
      <c r="AE315" s="5416"/>
    </row>
    <row r="316" spans="1:31" ht="34.5" customHeight="1">
      <c r="A316" s="5629"/>
      <c r="B316" s="5573"/>
      <c r="C316" s="5337"/>
      <c r="D316" s="5337"/>
      <c r="E316" s="5337"/>
      <c r="F316" s="5337"/>
      <c r="G316" s="5337"/>
      <c r="H316" s="5337"/>
      <c r="I316" s="5337"/>
      <c r="J316" s="5337"/>
      <c r="K316" s="5337"/>
      <c r="L316" s="5337"/>
      <c r="M316" s="5337"/>
      <c r="N316" s="5337"/>
      <c r="O316" s="5337"/>
      <c r="P316" s="5337"/>
      <c r="Q316" s="5345"/>
      <c r="R316" s="971"/>
      <c r="S316" s="972"/>
      <c r="T316" s="972"/>
      <c r="U316" s="1217"/>
      <c r="V316" s="968"/>
      <c r="W316" s="414"/>
      <c r="X316" s="973"/>
      <c r="Y316" s="974">
        <f t="shared" si="94"/>
        <v>0</v>
      </c>
      <c r="Z316" s="974">
        <f t="shared" si="95"/>
        <v>0</v>
      </c>
      <c r="AA316" s="969"/>
      <c r="AB316" s="170"/>
      <c r="AC316" s="282"/>
      <c r="AD316" s="282"/>
      <c r="AE316" s="5416"/>
    </row>
    <row r="317" spans="1:31" ht="34.5" customHeight="1">
      <c r="A317" s="5629"/>
      <c r="B317" s="5573"/>
      <c r="C317" s="5337"/>
      <c r="D317" s="5337"/>
      <c r="E317" s="5337"/>
      <c r="F317" s="5337"/>
      <c r="G317" s="5337"/>
      <c r="H317" s="5337"/>
      <c r="I317" s="5337"/>
      <c r="J317" s="5337"/>
      <c r="K317" s="5337"/>
      <c r="L317" s="5337"/>
      <c r="M317" s="5337"/>
      <c r="N317" s="5337"/>
      <c r="O317" s="5337"/>
      <c r="P317" s="5337"/>
      <c r="Q317" s="5345"/>
      <c r="R317" s="970"/>
      <c r="S317" s="967"/>
      <c r="T317" s="967"/>
      <c r="U317" s="1217"/>
      <c r="V317" s="968"/>
      <c r="W317" s="414"/>
      <c r="X317" s="973"/>
      <c r="Y317" s="974">
        <f t="shared" si="94"/>
        <v>0</v>
      </c>
      <c r="Z317" s="974">
        <f t="shared" si="95"/>
        <v>0</v>
      </c>
      <c r="AA317" s="969"/>
      <c r="AB317" s="170"/>
      <c r="AC317" s="282"/>
      <c r="AD317" s="282"/>
      <c r="AE317" s="5416"/>
    </row>
    <row r="318" spans="1:31" ht="34.5" customHeight="1">
      <c r="A318" s="5629"/>
      <c r="B318" s="5574"/>
      <c r="C318" s="5338"/>
      <c r="D318" s="5338"/>
      <c r="E318" s="5338"/>
      <c r="F318" s="5338"/>
      <c r="G318" s="5338"/>
      <c r="H318" s="5338"/>
      <c r="I318" s="5338"/>
      <c r="J318" s="5337"/>
      <c r="K318" s="5338"/>
      <c r="L318" s="5338"/>
      <c r="M318" s="5338"/>
      <c r="N318" s="5338"/>
      <c r="O318" s="5338"/>
      <c r="P318" s="5338"/>
      <c r="Q318" s="5346"/>
      <c r="R318" s="975"/>
      <c r="S318" s="976"/>
      <c r="T318" s="976"/>
      <c r="U318" s="411"/>
      <c r="V318" s="977"/>
      <c r="W318" s="165"/>
      <c r="X318" s="978"/>
      <c r="Y318" s="978">
        <f t="shared" si="94"/>
        <v>0</v>
      </c>
      <c r="Z318" s="978">
        <f t="shared" si="95"/>
        <v>0</v>
      </c>
      <c r="AA318" s="979"/>
      <c r="AB318" s="165"/>
      <c r="AC318" s="166"/>
      <c r="AD318" s="166"/>
      <c r="AE318" s="5417"/>
    </row>
    <row r="319" spans="1:31" ht="34.5" customHeight="1">
      <c r="A319" s="5629"/>
      <c r="B319" s="5572" t="s">
        <v>235</v>
      </c>
      <c r="C319" s="5336" t="s">
        <v>236</v>
      </c>
      <c r="D319" s="5336" t="s">
        <v>237</v>
      </c>
      <c r="E319" s="5336" t="s">
        <v>326</v>
      </c>
      <c r="F319" s="5341" t="s">
        <v>239</v>
      </c>
      <c r="G319" s="5336" t="s">
        <v>240</v>
      </c>
      <c r="H319" s="5336" t="s">
        <v>278</v>
      </c>
      <c r="I319" s="5336" t="s">
        <v>3117</v>
      </c>
      <c r="J319" s="5347" t="s">
        <v>1791</v>
      </c>
      <c r="K319" s="5336" t="s">
        <v>2659</v>
      </c>
      <c r="L319" s="5343">
        <v>249</v>
      </c>
      <c r="M319" s="5399">
        <v>270</v>
      </c>
      <c r="N319" s="5343">
        <v>200</v>
      </c>
      <c r="O319" s="5336" t="s">
        <v>2660</v>
      </c>
      <c r="P319" s="5336" t="s">
        <v>2661</v>
      </c>
      <c r="Q319" s="5370" t="s">
        <v>3116</v>
      </c>
      <c r="R319" s="970"/>
      <c r="S319" s="967"/>
      <c r="T319" s="967"/>
      <c r="U319" s="176"/>
      <c r="V319" s="968"/>
      <c r="W319" s="414"/>
      <c r="X319" s="973"/>
      <c r="Y319" s="973"/>
      <c r="Z319" s="973"/>
      <c r="AA319" s="981"/>
      <c r="AB319" s="414"/>
      <c r="AC319" s="174"/>
      <c r="AD319" s="174"/>
      <c r="AE319" s="5415"/>
    </row>
    <row r="320" spans="1:31" ht="34.5" customHeight="1">
      <c r="A320" s="5629"/>
      <c r="B320" s="5573"/>
      <c r="C320" s="5337"/>
      <c r="D320" s="5337"/>
      <c r="E320" s="5337"/>
      <c r="F320" s="5337"/>
      <c r="G320" s="5337"/>
      <c r="H320" s="5337"/>
      <c r="I320" s="5337"/>
      <c r="J320" s="5337"/>
      <c r="K320" s="5337"/>
      <c r="L320" s="5337"/>
      <c r="M320" s="5337"/>
      <c r="N320" s="5337"/>
      <c r="O320" s="5337"/>
      <c r="P320" s="5337"/>
      <c r="Q320" s="5345"/>
      <c r="R320" s="982"/>
      <c r="S320" s="983"/>
      <c r="T320" s="983"/>
      <c r="U320" s="169"/>
      <c r="V320" s="984"/>
      <c r="W320" s="170"/>
      <c r="X320" s="974"/>
      <c r="Y320" s="974">
        <f t="shared" ref="Y320:Y323" si="96">+V320*X320</f>
        <v>0</v>
      </c>
      <c r="Z320" s="974">
        <f t="shared" ref="Z320:Z323" si="97">+Y320*1.12</f>
        <v>0</v>
      </c>
      <c r="AA320" s="969"/>
      <c r="AB320" s="170"/>
      <c r="AC320" s="282"/>
      <c r="AD320" s="282"/>
      <c r="AE320" s="5416"/>
    </row>
    <row r="321" spans="1:31" ht="34.5" customHeight="1">
      <c r="A321" s="5629"/>
      <c r="B321" s="5573"/>
      <c r="C321" s="5337"/>
      <c r="D321" s="5337"/>
      <c r="E321" s="5337"/>
      <c r="F321" s="5337"/>
      <c r="G321" s="5337"/>
      <c r="H321" s="5337"/>
      <c r="I321" s="5337"/>
      <c r="J321" s="5337"/>
      <c r="K321" s="5337"/>
      <c r="L321" s="5337"/>
      <c r="M321" s="5337"/>
      <c r="N321" s="5337"/>
      <c r="O321" s="5337"/>
      <c r="P321" s="5337"/>
      <c r="Q321" s="5345"/>
      <c r="R321" s="971"/>
      <c r="S321" s="972"/>
      <c r="T321" s="972"/>
      <c r="U321" s="1217"/>
      <c r="V321" s="968"/>
      <c r="W321" s="414"/>
      <c r="X321" s="973"/>
      <c r="Y321" s="974">
        <f t="shared" si="96"/>
        <v>0</v>
      </c>
      <c r="Z321" s="974">
        <f t="shared" si="97"/>
        <v>0</v>
      </c>
      <c r="AA321" s="969"/>
      <c r="AB321" s="170"/>
      <c r="AC321" s="282"/>
      <c r="AD321" s="282"/>
      <c r="AE321" s="5416"/>
    </row>
    <row r="322" spans="1:31" ht="34.5" customHeight="1">
      <c r="A322" s="5629"/>
      <c r="B322" s="5573"/>
      <c r="C322" s="5337"/>
      <c r="D322" s="5337"/>
      <c r="E322" s="5337"/>
      <c r="F322" s="5337"/>
      <c r="G322" s="5337"/>
      <c r="H322" s="5337"/>
      <c r="I322" s="5337"/>
      <c r="J322" s="5337"/>
      <c r="K322" s="5337"/>
      <c r="L322" s="5337"/>
      <c r="M322" s="5337"/>
      <c r="N322" s="5337"/>
      <c r="O322" s="5337"/>
      <c r="P322" s="5337"/>
      <c r="Q322" s="5345"/>
      <c r="R322" s="970"/>
      <c r="S322" s="967"/>
      <c r="T322" s="967"/>
      <c r="U322" s="1217"/>
      <c r="V322" s="968"/>
      <c r="W322" s="414"/>
      <c r="X322" s="973"/>
      <c r="Y322" s="974">
        <f t="shared" si="96"/>
        <v>0</v>
      </c>
      <c r="Z322" s="974">
        <f t="shared" si="97"/>
        <v>0</v>
      </c>
      <c r="AA322" s="969"/>
      <c r="AB322" s="170"/>
      <c r="AC322" s="282"/>
      <c r="AD322" s="282"/>
      <c r="AE322" s="5416"/>
    </row>
    <row r="323" spans="1:31" ht="34.5" customHeight="1">
      <c r="A323" s="5629"/>
      <c r="B323" s="5574"/>
      <c r="C323" s="5338"/>
      <c r="D323" s="5338"/>
      <c r="E323" s="5338"/>
      <c r="F323" s="5338"/>
      <c r="G323" s="5338"/>
      <c r="H323" s="5338"/>
      <c r="I323" s="5338"/>
      <c r="J323" s="5338"/>
      <c r="K323" s="5338"/>
      <c r="L323" s="5338"/>
      <c r="M323" s="5338"/>
      <c r="N323" s="5338"/>
      <c r="O323" s="5338"/>
      <c r="P323" s="5338"/>
      <c r="Q323" s="5346"/>
      <c r="R323" s="975"/>
      <c r="S323" s="976"/>
      <c r="T323" s="976"/>
      <c r="U323" s="411"/>
      <c r="V323" s="977"/>
      <c r="W323" s="165"/>
      <c r="X323" s="978"/>
      <c r="Y323" s="978">
        <f t="shared" si="96"/>
        <v>0</v>
      </c>
      <c r="Z323" s="978">
        <f t="shared" si="97"/>
        <v>0</v>
      </c>
      <c r="AA323" s="979"/>
      <c r="AB323" s="165"/>
      <c r="AC323" s="166"/>
      <c r="AD323" s="166"/>
      <c r="AE323" s="5417"/>
    </row>
    <row r="324" spans="1:31" ht="34.5" customHeight="1">
      <c r="A324" s="5629"/>
      <c r="B324" s="5572" t="s">
        <v>235</v>
      </c>
      <c r="C324" s="5336" t="s">
        <v>236</v>
      </c>
      <c r="D324" s="5336" t="s">
        <v>237</v>
      </c>
      <c r="E324" s="5336" t="s">
        <v>326</v>
      </c>
      <c r="F324" s="5341" t="s">
        <v>239</v>
      </c>
      <c r="G324" s="5336" t="s">
        <v>293</v>
      </c>
      <c r="H324" s="5336" t="s">
        <v>278</v>
      </c>
      <c r="I324" s="5336" t="s">
        <v>3118</v>
      </c>
      <c r="J324" s="5336" t="s">
        <v>1796</v>
      </c>
      <c r="K324" s="5336" t="s">
        <v>2664</v>
      </c>
      <c r="L324" s="5343">
        <v>6</v>
      </c>
      <c r="M324" s="5399">
        <v>6</v>
      </c>
      <c r="N324" s="5343">
        <v>6</v>
      </c>
      <c r="O324" s="5336" t="s">
        <v>3119</v>
      </c>
      <c r="P324" s="5336" t="s">
        <v>3120</v>
      </c>
      <c r="Q324" s="5370" t="s">
        <v>3116</v>
      </c>
      <c r="R324" s="970"/>
      <c r="S324" s="967"/>
      <c r="T324" s="967"/>
      <c r="U324" s="176"/>
      <c r="V324" s="968"/>
      <c r="W324" s="414"/>
      <c r="X324" s="973"/>
      <c r="Y324" s="973"/>
      <c r="Z324" s="973"/>
      <c r="AA324" s="981"/>
      <c r="AB324" s="414"/>
      <c r="AC324" s="174"/>
      <c r="AD324" s="174"/>
      <c r="AE324" s="5415"/>
    </row>
    <row r="325" spans="1:31" ht="34.5" customHeight="1">
      <c r="A325" s="5629"/>
      <c r="B325" s="5573"/>
      <c r="C325" s="5337"/>
      <c r="D325" s="5337"/>
      <c r="E325" s="5337"/>
      <c r="F325" s="5337"/>
      <c r="G325" s="5337"/>
      <c r="H325" s="5337"/>
      <c r="I325" s="5337"/>
      <c r="J325" s="5337"/>
      <c r="K325" s="5337"/>
      <c r="L325" s="5337"/>
      <c r="M325" s="5337"/>
      <c r="N325" s="5337"/>
      <c r="O325" s="5337"/>
      <c r="P325" s="5337"/>
      <c r="Q325" s="5345"/>
      <c r="R325" s="982"/>
      <c r="S325" s="983"/>
      <c r="T325" s="983"/>
      <c r="U325" s="169"/>
      <c r="V325" s="984"/>
      <c r="W325" s="170"/>
      <c r="X325" s="974"/>
      <c r="Y325" s="974">
        <f t="shared" ref="Y325:Y328" si="98">+V325*X325</f>
        <v>0</v>
      </c>
      <c r="Z325" s="974">
        <f t="shared" ref="Z325:Z328" si="99">+Y325*1.12</f>
        <v>0</v>
      </c>
      <c r="AA325" s="969"/>
      <c r="AB325" s="170"/>
      <c r="AC325" s="282"/>
      <c r="AD325" s="282"/>
      <c r="AE325" s="5416"/>
    </row>
    <row r="326" spans="1:31" ht="34.5" customHeight="1">
      <c r="A326" s="5629"/>
      <c r="B326" s="5573"/>
      <c r="C326" s="5337"/>
      <c r="D326" s="5337"/>
      <c r="E326" s="5337"/>
      <c r="F326" s="5337"/>
      <c r="G326" s="5337"/>
      <c r="H326" s="5337"/>
      <c r="I326" s="5337"/>
      <c r="J326" s="5337"/>
      <c r="K326" s="5337"/>
      <c r="L326" s="5337"/>
      <c r="M326" s="5337"/>
      <c r="N326" s="5337"/>
      <c r="O326" s="5337"/>
      <c r="P326" s="5337"/>
      <c r="Q326" s="5345"/>
      <c r="R326" s="971"/>
      <c r="S326" s="972"/>
      <c r="T326" s="972"/>
      <c r="U326" s="1217"/>
      <c r="V326" s="968"/>
      <c r="W326" s="414"/>
      <c r="X326" s="973"/>
      <c r="Y326" s="974">
        <f t="shared" si="98"/>
        <v>0</v>
      </c>
      <c r="Z326" s="974">
        <f t="shared" si="99"/>
        <v>0</v>
      </c>
      <c r="AA326" s="969"/>
      <c r="AB326" s="170"/>
      <c r="AC326" s="282"/>
      <c r="AD326" s="282"/>
      <c r="AE326" s="5416"/>
    </row>
    <row r="327" spans="1:31" ht="34.5" customHeight="1">
      <c r="A327" s="5629"/>
      <c r="B327" s="5573"/>
      <c r="C327" s="5337"/>
      <c r="D327" s="5337"/>
      <c r="E327" s="5337"/>
      <c r="F327" s="5337"/>
      <c r="G327" s="5337"/>
      <c r="H327" s="5337"/>
      <c r="I327" s="5337"/>
      <c r="J327" s="5337"/>
      <c r="K327" s="5337"/>
      <c r="L327" s="5337"/>
      <c r="M327" s="5337"/>
      <c r="N327" s="5337"/>
      <c r="O327" s="5337"/>
      <c r="P327" s="5337"/>
      <c r="Q327" s="5345"/>
      <c r="R327" s="970"/>
      <c r="S327" s="967"/>
      <c r="T327" s="967"/>
      <c r="U327" s="1217"/>
      <c r="V327" s="968"/>
      <c r="W327" s="414"/>
      <c r="X327" s="973"/>
      <c r="Y327" s="974">
        <f t="shared" si="98"/>
        <v>0</v>
      </c>
      <c r="Z327" s="974">
        <f t="shared" si="99"/>
        <v>0</v>
      </c>
      <c r="AA327" s="969"/>
      <c r="AB327" s="170"/>
      <c r="AC327" s="282"/>
      <c r="AD327" s="282"/>
      <c r="AE327" s="5416"/>
    </row>
    <row r="328" spans="1:31" ht="34.5" customHeight="1">
      <c r="A328" s="5629"/>
      <c r="B328" s="5574"/>
      <c r="C328" s="5338"/>
      <c r="D328" s="5338"/>
      <c r="E328" s="5338"/>
      <c r="F328" s="5338"/>
      <c r="G328" s="5338"/>
      <c r="H328" s="5338"/>
      <c r="I328" s="5338"/>
      <c r="J328" s="5337"/>
      <c r="K328" s="5338"/>
      <c r="L328" s="5338"/>
      <c r="M328" s="5338"/>
      <c r="N328" s="5338"/>
      <c r="O328" s="5338"/>
      <c r="P328" s="5338"/>
      <c r="Q328" s="5346"/>
      <c r="R328" s="975"/>
      <c r="S328" s="976"/>
      <c r="T328" s="976"/>
      <c r="U328" s="411"/>
      <c r="V328" s="977"/>
      <c r="W328" s="165"/>
      <c r="X328" s="978"/>
      <c r="Y328" s="978">
        <f t="shared" si="98"/>
        <v>0</v>
      </c>
      <c r="Z328" s="978">
        <f t="shared" si="99"/>
        <v>0</v>
      </c>
      <c r="AA328" s="979"/>
      <c r="AB328" s="165"/>
      <c r="AC328" s="166"/>
      <c r="AD328" s="166"/>
      <c r="AE328" s="5417"/>
    </row>
    <row r="329" spans="1:31" ht="34.5" customHeight="1">
      <c r="A329" s="5629"/>
      <c r="B329" s="5572" t="s">
        <v>235</v>
      </c>
      <c r="C329" s="5641" t="s">
        <v>236</v>
      </c>
      <c r="D329" s="5641" t="s">
        <v>237</v>
      </c>
      <c r="E329" s="5641" t="s">
        <v>326</v>
      </c>
      <c r="F329" s="5341" t="s">
        <v>239</v>
      </c>
      <c r="G329" s="5641" t="s">
        <v>240</v>
      </c>
      <c r="H329" s="5641" t="s">
        <v>257</v>
      </c>
      <c r="I329" s="5360" t="s">
        <v>3121</v>
      </c>
      <c r="J329" s="5347" t="s">
        <v>1801</v>
      </c>
      <c r="K329" s="5336" t="s">
        <v>3122</v>
      </c>
      <c r="L329" s="5343">
        <v>2</v>
      </c>
      <c r="M329" s="5399">
        <v>2</v>
      </c>
      <c r="N329" s="5343">
        <v>1</v>
      </c>
      <c r="O329" s="5336" t="s">
        <v>2670</v>
      </c>
      <c r="P329" s="5336" t="s">
        <v>2671</v>
      </c>
      <c r="Q329" s="5370" t="s">
        <v>3116</v>
      </c>
      <c r="R329" s="970"/>
      <c r="S329" s="967"/>
      <c r="T329" s="967"/>
      <c r="U329" s="176"/>
      <c r="V329" s="968"/>
      <c r="W329" s="414"/>
      <c r="X329" s="973"/>
      <c r="Y329" s="973"/>
      <c r="Z329" s="973"/>
      <c r="AA329" s="981"/>
      <c r="AB329" s="414"/>
      <c r="AC329" s="168"/>
      <c r="AD329" s="168"/>
      <c r="AE329" s="5415"/>
    </row>
    <row r="330" spans="1:31" ht="34.5" customHeight="1">
      <c r="A330" s="5629"/>
      <c r="B330" s="5573"/>
      <c r="C330" s="5337"/>
      <c r="D330" s="5337"/>
      <c r="E330" s="5337"/>
      <c r="F330" s="5337"/>
      <c r="G330" s="5337"/>
      <c r="H330" s="5337"/>
      <c r="I330" s="5361"/>
      <c r="J330" s="5337"/>
      <c r="K330" s="5337"/>
      <c r="L330" s="5337"/>
      <c r="M330" s="5337"/>
      <c r="N330" s="5337"/>
      <c r="O330" s="5337"/>
      <c r="P330" s="5337"/>
      <c r="Q330" s="5345"/>
      <c r="R330" s="982"/>
      <c r="S330" s="983"/>
      <c r="T330" s="983"/>
      <c r="U330" s="169"/>
      <c r="V330" s="984"/>
      <c r="W330" s="170"/>
      <c r="X330" s="974"/>
      <c r="Y330" s="974">
        <f t="shared" ref="Y330:Y333" si="100">+V330*X330</f>
        <v>0</v>
      </c>
      <c r="Z330" s="974">
        <f t="shared" ref="Z330:Z333" si="101">+Y330*1.12</f>
        <v>0</v>
      </c>
      <c r="AA330" s="969"/>
      <c r="AB330" s="170"/>
      <c r="AC330" s="170"/>
      <c r="AD330" s="171"/>
      <c r="AE330" s="5416"/>
    </row>
    <row r="331" spans="1:31" ht="34.5" customHeight="1">
      <c r="A331" s="5629"/>
      <c r="B331" s="5573"/>
      <c r="C331" s="5337"/>
      <c r="D331" s="5337"/>
      <c r="E331" s="5337"/>
      <c r="F331" s="5337"/>
      <c r="G331" s="5337"/>
      <c r="H331" s="5337"/>
      <c r="I331" s="5361"/>
      <c r="J331" s="5337"/>
      <c r="K331" s="5337"/>
      <c r="L331" s="5337"/>
      <c r="M331" s="5337"/>
      <c r="N331" s="5337"/>
      <c r="O331" s="5337"/>
      <c r="P331" s="5337"/>
      <c r="Q331" s="5345"/>
      <c r="R331" s="982"/>
      <c r="S331" s="983"/>
      <c r="T331" s="983"/>
      <c r="U331" s="169"/>
      <c r="V331" s="984"/>
      <c r="W331" s="170"/>
      <c r="X331" s="974"/>
      <c r="Y331" s="974">
        <f t="shared" si="100"/>
        <v>0</v>
      </c>
      <c r="Z331" s="974">
        <f t="shared" si="101"/>
        <v>0</v>
      </c>
      <c r="AA331" s="969"/>
      <c r="AB331" s="170"/>
      <c r="AC331" s="170"/>
      <c r="AD331" s="282"/>
      <c r="AE331" s="5416"/>
    </row>
    <row r="332" spans="1:31" ht="34.5" customHeight="1">
      <c r="A332" s="5629"/>
      <c r="B332" s="5573"/>
      <c r="C332" s="5337"/>
      <c r="D332" s="5337"/>
      <c r="E332" s="5337"/>
      <c r="F332" s="5337"/>
      <c r="G332" s="5337"/>
      <c r="H332" s="5337"/>
      <c r="I332" s="5361"/>
      <c r="J332" s="5337"/>
      <c r="K332" s="5337"/>
      <c r="L332" s="5337"/>
      <c r="M332" s="5337"/>
      <c r="N332" s="5337"/>
      <c r="O332" s="5337"/>
      <c r="P332" s="5337"/>
      <c r="Q332" s="5345"/>
      <c r="R332" s="982"/>
      <c r="S332" s="983"/>
      <c r="T332" s="983"/>
      <c r="U332" s="169"/>
      <c r="V332" s="984"/>
      <c r="W332" s="170"/>
      <c r="X332" s="974"/>
      <c r="Y332" s="974">
        <f t="shared" si="100"/>
        <v>0</v>
      </c>
      <c r="Z332" s="974">
        <f t="shared" si="101"/>
        <v>0</v>
      </c>
      <c r="AA332" s="969"/>
      <c r="AB332" s="170"/>
      <c r="AC332" s="170"/>
      <c r="AD332" s="282"/>
      <c r="AE332" s="5416"/>
    </row>
    <row r="333" spans="1:31" ht="34.5" customHeight="1">
      <c r="A333" s="5629"/>
      <c r="B333" s="5574"/>
      <c r="C333" s="5338"/>
      <c r="D333" s="5338"/>
      <c r="E333" s="5338"/>
      <c r="F333" s="5338"/>
      <c r="G333" s="5338"/>
      <c r="H333" s="5338"/>
      <c r="I333" s="5362"/>
      <c r="J333" s="5338"/>
      <c r="K333" s="5338"/>
      <c r="L333" s="5338"/>
      <c r="M333" s="5338"/>
      <c r="N333" s="5338"/>
      <c r="O333" s="5338"/>
      <c r="P333" s="5338"/>
      <c r="Q333" s="5346"/>
      <c r="R333" s="975"/>
      <c r="S333" s="976"/>
      <c r="T333" s="976"/>
      <c r="U333" s="411"/>
      <c r="V333" s="977"/>
      <c r="W333" s="165"/>
      <c r="X333" s="978"/>
      <c r="Y333" s="978">
        <f t="shared" si="100"/>
        <v>0</v>
      </c>
      <c r="Z333" s="978">
        <f t="shared" si="101"/>
        <v>0</v>
      </c>
      <c r="AA333" s="979"/>
      <c r="AB333" s="165"/>
      <c r="AC333" s="165"/>
      <c r="AD333" s="166"/>
      <c r="AE333" s="5417"/>
    </row>
    <row r="334" spans="1:31" ht="34.5" customHeight="1">
      <c r="A334" s="5629"/>
      <c r="B334" s="5627" t="s">
        <v>235</v>
      </c>
      <c r="C334" s="5630" t="s">
        <v>236</v>
      </c>
      <c r="D334" s="5630" t="s">
        <v>237</v>
      </c>
      <c r="E334" s="5630" t="s">
        <v>326</v>
      </c>
      <c r="F334" s="5353" t="s">
        <v>239</v>
      </c>
      <c r="G334" s="5630" t="s">
        <v>240</v>
      </c>
      <c r="H334" s="5630" t="s">
        <v>257</v>
      </c>
      <c r="I334" s="5360" t="s">
        <v>3123</v>
      </c>
      <c r="J334" s="5347" t="s">
        <v>2673</v>
      </c>
      <c r="K334" s="5347" t="s">
        <v>3124</v>
      </c>
      <c r="L334" s="5399">
        <v>249</v>
      </c>
      <c r="M334" s="5399">
        <v>270</v>
      </c>
      <c r="N334" s="5399">
        <v>200</v>
      </c>
      <c r="O334" s="5347" t="s">
        <v>3125</v>
      </c>
      <c r="P334" s="5347" t="s">
        <v>3126</v>
      </c>
      <c r="Q334" s="5394" t="s">
        <v>3116</v>
      </c>
      <c r="R334" s="970"/>
      <c r="S334" s="967"/>
      <c r="T334" s="967"/>
      <c r="U334" s="283"/>
      <c r="V334" s="988"/>
      <c r="W334" s="178"/>
      <c r="X334" s="989"/>
      <c r="Y334" s="973"/>
      <c r="Z334" s="973"/>
      <c r="AA334" s="990"/>
      <c r="AB334" s="178"/>
      <c r="AC334" s="181"/>
      <c r="AD334" s="181"/>
      <c r="AE334" s="5418"/>
    </row>
    <row r="335" spans="1:31" ht="34.5" customHeight="1">
      <c r="A335" s="5629"/>
      <c r="B335" s="5573"/>
      <c r="C335" s="5337"/>
      <c r="D335" s="5337"/>
      <c r="E335" s="5337"/>
      <c r="F335" s="5337"/>
      <c r="G335" s="5337"/>
      <c r="H335" s="5337"/>
      <c r="I335" s="5361"/>
      <c r="J335" s="5337"/>
      <c r="K335" s="5337"/>
      <c r="L335" s="5337"/>
      <c r="M335" s="5337"/>
      <c r="N335" s="5337"/>
      <c r="O335" s="5337"/>
      <c r="P335" s="5337"/>
      <c r="Q335" s="5345"/>
      <c r="R335" s="982"/>
      <c r="S335" s="983"/>
      <c r="T335" s="983"/>
      <c r="U335" s="169"/>
      <c r="V335" s="984"/>
      <c r="W335" s="170"/>
      <c r="X335" s="974"/>
      <c r="Y335" s="974">
        <f t="shared" ref="Y335:Y338" si="102">+V335*X335</f>
        <v>0</v>
      </c>
      <c r="Z335" s="974">
        <f t="shared" ref="Z335:Z338" si="103">+Y335*1.12</f>
        <v>0</v>
      </c>
      <c r="AA335" s="969"/>
      <c r="AB335" s="170"/>
      <c r="AC335" s="282"/>
      <c r="AD335" s="282"/>
      <c r="AE335" s="5416"/>
    </row>
    <row r="336" spans="1:31" ht="34.5" customHeight="1">
      <c r="A336" s="5629"/>
      <c r="B336" s="5573"/>
      <c r="C336" s="5337"/>
      <c r="D336" s="5337"/>
      <c r="E336" s="5337"/>
      <c r="F336" s="5337"/>
      <c r="G336" s="5337"/>
      <c r="H336" s="5337"/>
      <c r="I336" s="5361"/>
      <c r="J336" s="5337"/>
      <c r="K336" s="5337"/>
      <c r="L336" s="5337"/>
      <c r="M336" s="5337"/>
      <c r="N336" s="5337"/>
      <c r="O336" s="5337"/>
      <c r="P336" s="5337"/>
      <c r="Q336" s="5345"/>
      <c r="R336" s="982"/>
      <c r="S336" s="983"/>
      <c r="T336" s="983"/>
      <c r="U336" s="169"/>
      <c r="V336" s="984"/>
      <c r="W336" s="170"/>
      <c r="X336" s="974"/>
      <c r="Y336" s="974">
        <f t="shared" si="102"/>
        <v>0</v>
      </c>
      <c r="Z336" s="974">
        <f t="shared" si="103"/>
        <v>0</v>
      </c>
      <c r="AA336" s="969"/>
      <c r="AB336" s="170"/>
      <c r="AC336" s="282"/>
      <c r="AD336" s="282"/>
      <c r="AE336" s="5416"/>
    </row>
    <row r="337" spans="1:31" ht="34.5" customHeight="1">
      <c r="A337" s="5629"/>
      <c r="B337" s="5573"/>
      <c r="C337" s="5337"/>
      <c r="D337" s="5337"/>
      <c r="E337" s="5337"/>
      <c r="F337" s="5337"/>
      <c r="G337" s="5337"/>
      <c r="H337" s="5337"/>
      <c r="I337" s="5361"/>
      <c r="J337" s="5337"/>
      <c r="K337" s="5337"/>
      <c r="L337" s="5337"/>
      <c r="M337" s="5337"/>
      <c r="N337" s="5337"/>
      <c r="O337" s="5337"/>
      <c r="P337" s="5337"/>
      <c r="Q337" s="5345"/>
      <c r="R337" s="982"/>
      <c r="S337" s="983"/>
      <c r="T337" s="983"/>
      <c r="U337" s="169"/>
      <c r="V337" s="984"/>
      <c r="W337" s="170"/>
      <c r="X337" s="974"/>
      <c r="Y337" s="974">
        <f t="shared" si="102"/>
        <v>0</v>
      </c>
      <c r="Z337" s="974">
        <f t="shared" si="103"/>
        <v>0</v>
      </c>
      <c r="AA337" s="969"/>
      <c r="AB337" s="170"/>
      <c r="AC337" s="282"/>
      <c r="AD337" s="282"/>
      <c r="AE337" s="5416"/>
    </row>
    <row r="338" spans="1:31" ht="34.5" customHeight="1">
      <c r="A338" s="5629"/>
      <c r="B338" s="5574"/>
      <c r="C338" s="5338"/>
      <c r="D338" s="5338"/>
      <c r="E338" s="5338"/>
      <c r="F338" s="5338"/>
      <c r="G338" s="5338"/>
      <c r="H338" s="5338"/>
      <c r="I338" s="5362"/>
      <c r="J338" s="5338"/>
      <c r="K338" s="5338"/>
      <c r="L338" s="5338"/>
      <c r="M338" s="5338"/>
      <c r="N338" s="5338"/>
      <c r="O338" s="5338"/>
      <c r="P338" s="5338"/>
      <c r="Q338" s="5346"/>
      <c r="R338" s="975"/>
      <c r="S338" s="976"/>
      <c r="T338" s="976"/>
      <c r="U338" s="411"/>
      <c r="V338" s="977"/>
      <c r="W338" s="165"/>
      <c r="X338" s="978"/>
      <c r="Y338" s="978">
        <f t="shared" si="102"/>
        <v>0</v>
      </c>
      <c r="Z338" s="978">
        <f t="shared" si="103"/>
        <v>0</v>
      </c>
      <c r="AA338" s="979"/>
      <c r="AB338" s="165"/>
      <c r="AC338" s="166"/>
      <c r="AD338" s="166"/>
      <c r="AE338" s="5417"/>
    </row>
    <row r="339" spans="1:31" ht="34.5" customHeight="1">
      <c r="A339" s="5629"/>
      <c r="B339" s="5627" t="s">
        <v>235</v>
      </c>
      <c r="C339" s="5630" t="s">
        <v>236</v>
      </c>
      <c r="D339" s="5630" t="s">
        <v>244</v>
      </c>
      <c r="E339" s="5630" t="s">
        <v>471</v>
      </c>
      <c r="F339" s="5640" t="s">
        <v>239</v>
      </c>
      <c r="G339" s="5630" t="s">
        <v>240</v>
      </c>
      <c r="H339" s="5630" t="s">
        <v>257</v>
      </c>
      <c r="I339" s="5347" t="s">
        <v>3127</v>
      </c>
      <c r="J339" s="5347" t="s">
        <v>338</v>
      </c>
      <c r="K339" s="5347" t="s">
        <v>2976</v>
      </c>
      <c r="L339" s="5399">
        <v>0</v>
      </c>
      <c r="M339" s="5631">
        <v>1</v>
      </c>
      <c r="N339" s="5631">
        <v>1</v>
      </c>
      <c r="O339" s="5347" t="s">
        <v>3128</v>
      </c>
      <c r="P339" s="5347" t="s">
        <v>3129</v>
      </c>
      <c r="Q339" s="5394" t="s">
        <v>3130</v>
      </c>
      <c r="R339" s="970"/>
      <c r="S339" s="967"/>
      <c r="T339" s="967"/>
      <c r="U339" s="176"/>
      <c r="V339" s="968"/>
      <c r="W339" s="414"/>
      <c r="X339" s="973"/>
      <c r="Y339" s="973"/>
      <c r="Z339" s="973"/>
      <c r="AA339" s="981"/>
      <c r="AB339" s="414"/>
      <c r="AC339" s="174"/>
      <c r="AD339" s="174"/>
      <c r="AE339" s="5415"/>
    </row>
    <row r="340" spans="1:31" ht="34.5" customHeight="1">
      <c r="A340" s="5629"/>
      <c r="B340" s="5573"/>
      <c r="C340" s="5337"/>
      <c r="D340" s="5337"/>
      <c r="E340" s="5337"/>
      <c r="F340" s="5337"/>
      <c r="G340" s="5337"/>
      <c r="H340" s="5337"/>
      <c r="I340" s="5337"/>
      <c r="J340" s="5337"/>
      <c r="K340" s="5337"/>
      <c r="L340" s="5337"/>
      <c r="M340" s="5337"/>
      <c r="N340" s="5337"/>
      <c r="O340" s="5337"/>
      <c r="P340" s="5337"/>
      <c r="Q340" s="5345"/>
      <c r="R340" s="982"/>
      <c r="S340" s="983"/>
      <c r="T340" s="983"/>
      <c r="U340" s="169"/>
      <c r="V340" s="984"/>
      <c r="W340" s="170"/>
      <c r="X340" s="974"/>
      <c r="Y340" s="974">
        <f t="shared" ref="Y340:Y348" si="104">+V340*X340</f>
        <v>0</v>
      </c>
      <c r="Z340" s="974">
        <f t="shared" ref="Z340:Z348" si="105">+Y340*1.12</f>
        <v>0</v>
      </c>
      <c r="AA340" s="969"/>
      <c r="AB340" s="170"/>
      <c r="AC340" s="282"/>
      <c r="AD340" s="282"/>
      <c r="AE340" s="5416"/>
    </row>
    <row r="341" spans="1:31" ht="34.5" customHeight="1">
      <c r="A341" s="5629"/>
      <c r="B341" s="5573"/>
      <c r="C341" s="5337"/>
      <c r="D341" s="5337"/>
      <c r="E341" s="5337"/>
      <c r="F341" s="5337"/>
      <c r="G341" s="5337"/>
      <c r="H341" s="5337"/>
      <c r="I341" s="5337"/>
      <c r="J341" s="5337"/>
      <c r="K341" s="5337"/>
      <c r="L341" s="5337"/>
      <c r="M341" s="5337"/>
      <c r="N341" s="5337"/>
      <c r="O341" s="5337"/>
      <c r="P341" s="5337"/>
      <c r="Q341" s="5345"/>
      <c r="R341" s="970"/>
      <c r="S341" s="967"/>
      <c r="T341" s="967"/>
      <c r="U341" s="1217"/>
      <c r="V341" s="968"/>
      <c r="W341" s="414"/>
      <c r="X341" s="973"/>
      <c r="Y341" s="974">
        <f t="shared" si="104"/>
        <v>0</v>
      </c>
      <c r="Z341" s="974">
        <f t="shared" si="105"/>
        <v>0</v>
      </c>
      <c r="AA341" s="969"/>
      <c r="AB341" s="170"/>
      <c r="AC341" s="282"/>
      <c r="AD341" s="282"/>
      <c r="AE341" s="5416"/>
    </row>
    <row r="342" spans="1:31" ht="34.5" customHeight="1">
      <c r="A342" s="5629"/>
      <c r="B342" s="5573"/>
      <c r="C342" s="5337"/>
      <c r="D342" s="5337"/>
      <c r="E342" s="5337"/>
      <c r="F342" s="5337"/>
      <c r="G342" s="5337"/>
      <c r="H342" s="5337"/>
      <c r="I342" s="5337"/>
      <c r="J342" s="5337"/>
      <c r="K342" s="5337"/>
      <c r="L342" s="5337"/>
      <c r="M342" s="5337"/>
      <c r="N342" s="5337"/>
      <c r="O342" s="5337"/>
      <c r="P342" s="5337"/>
      <c r="Q342" s="5345"/>
      <c r="R342" s="169"/>
      <c r="S342" s="169"/>
      <c r="T342" s="169"/>
      <c r="U342" s="169"/>
      <c r="V342" s="169"/>
      <c r="W342" s="169"/>
      <c r="X342" s="169"/>
      <c r="Y342" s="974">
        <f t="shared" si="104"/>
        <v>0</v>
      </c>
      <c r="Z342" s="974">
        <f t="shared" si="105"/>
        <v>0</v>
      </c>
      <c r="AA342" s="1220"/>
      <c r="AB342" s="160"/>
      <c r="AC342" s="161"/>
      <c r="AD342" s="161"/>
      <c r="AE342" s="5416"/>
    </row>
    <row r="343" spans="1:31" ht="34.5" customHeight="1">
      <c r="A343" s="5629"/>
      <c r="B343" s="5574"/>
      <c r="C343" s="5338"/>
      <c r="D343" s="5338"/>
      <c r="E343" s="5338"/>
      <c r="F343" s="5338"/>
      <c r="G343" s="5338"/>
      <c r="H343" s="5338"/>
      <c r="I343" s="5338"/>
      <c r="J343" s="5338"/>
      <c r="K343" s="5338"/>
      <c r="L343" s="5338"/>
      <c r="M343" s="5338"/>
      <c r="N343" s="5338"/>
      <c r="O343" s="5338"/>
      <c r="P343" s="5338"/>
      <c r="Q343" s="5346"/>
      <c r="R343" s="169"/>
      <c r="S343" s="169"/>
      <c r="T343" s="169"/>
      <c r="U343" s="169"/>
      <c r="V343" s="169"/>
      <c r="W343" s="169"/>
      <c r="X343" s="169"/>
      <c r="Y343" s="974">
        <f t="shared" si="104"/>
        <v>0</v>
      </c>
      <c r="Z343" s="974">
        <f t="shared" si="105"/>
        <v>0</v>
      </c>
      <c r="AA343" s="1220"/>
      <c r="AB343" s="160"/>
      <c r="AC343" s="161"/>
      <c r="AD343" s="161"/>
      <c r="AE343" s="5416"/>
    </row>
    <row r="344" spans="1:31" ht="34.5" customHeight="1">
      <c r="A344" s="5629"/>
      <c r="B344" s="5627" t="s">
        <v>235</v>
      </c>
      <c r="C344" s="5632" t="s">
        <v>236</v>
      </c>
      <c r="D344" s="5632" t="s">
        <v>237</v>
      </c>
      <c r="E344" s="5641" t="s">
        <v>326</v>
      </c>
      <c r="F344" s="5633" t="s">
        <v>239</v>
      </c>
      <c r="G344" s="5641" t="s">
        <v>240</v>
      </c>
      <c r="H344" s="5641" t="s">
        <v>257</v>
      </c>
      <c r="I344" s="5336" t="s">
        <v>1813</v>
      </c>
      <c r="J344" s="5336" t="s">
        <v>1814</v>
      </c>
      <c r="K344" s="5336" t="s">
        <v>3131</v>
      </c>
      <c r="L344" s="5343">
        <v>1</v>
      </c>
      <c r="M344" s="5343">
        <v>1</v>
      </c>
      <c r="N344" s="5343">
        <v>1</v>
      </c>
      <c r="O344" s="5336" t="s">
        <v>3132</v>
      </c>
      <c r="P344" s="5336" t="s">
        <v>564</v>
      </c>
      <c r="Q344" s="5370" t="s">
        <v>3116</v>
      </c>
      <c r="R344" s="169"/>
      <c r="S344" s="169"/>
      <c r="T344" s="169"/>
      <c r="U344" s="169"/>
      <c r="V344" s="169"/>
      <c r="W344" s="169"/>
      <c r="X344" s="169"/>
      <c r="Y344" s="974">
        <f t="shared" si="104"/>
        <v>0</v>
      </c>
      <c r="Z344" s="974">
        <f t="shared" si="105"/>
        <v>0</v>
      </c>
      <c r="AA344" s="1220"/>
      <c r="AB344" s="160"/>
      <c r="AC344" s="161"/>
      <c r="AD344" s="161"/>
      <c r="AE344" s="5416"/>
    </row>
    <row r="345" spans="1:31" ht="34.5" customHeight="1">
      <c r="A345" s="5629"/>
      <c r="B345" s="5573"/>
      <c r="C345" s="5337"/>
      <c r="D345" s="5337"/>
      <c r="E345" s="5337"/>
      <c r="F345" s="5337"/>
      <c r="G345" s="5337"/>
      <c r="H345" s="5337"/>
      <c r="I345" s="5337"/>
      <c r="J345" s="5337"/>
      <c r="K345" s="5337"/>
      <c r="L345" s="5337"/>
      <c r="M345" s="5337"/>
      <c r="N345" s="5337"/>
      <c r="O345" s="5337"/>
      <c r="P345" s="5337"/>
      <c r="Q345" s="5345"/>
      <c r="R345" s="169"/>
      <c r="S345" s="169"/>
      <c r="T345" s="169"/>
      <c r="U345" s="169"/>
      <c r="V345" s="169"/>
      <c r="W345" s="169"/>
      <c r="X345" s="169"/>
      <c r="Y345" s="974">
        <f t="shared" si="104"/>
        <v>0</v>
      </c>
      <c r="Z345" s="974">
        <f t="shared" si="105"/>
        <v>0</v>
      </c>
      <c r="AA345" s="1220"/>
      <c r="AB345" s="160"/>
      <c r="AC345" s="161"/>
      <c r="AD345" s="161"/>
      <c r="AE345" s="5416"/>
    </row>
    <row r="346" spans="1:31" ht="34.5" customHeight="1">
      <c r="A346" s="5629"/>
      <c r="B346" s="5573"/>
      <c r="C346" s="5337"/>
      <c r="D346" s="5337"/>
      <c r="E346" s="5337"/>
      <c r="F346" s="5337"/>
      <c r="G346" s="5337"/>
      <c r="H346" s="5337"/>
      <c r="I346" s="5337"/>
      <c r="J346" s="5337"/>
      <c r="K346" s="5337"/>
      <c r="L346" s="5337"/>
      <c r="M346" s="5337"/>
      <c r="N346" s="5337"/>
      <c r="O346" s="5337"/>
      <c r="P346" s="5337"/>
      <c r="Q346" s="5345"/>
      <c r="R346" s="169"/>
      <c r="S346" s="169"/>
      <c r="T346" s="169"/>
      <c r="U346" s="169"/>
      <c r="V346" s="169"/>
      <c r="W346" s="169"/>
      <c r="X346" s="169"/>
      <c r="Y346" s="974">
        <f t="shared" si="104"/>
        <v>0</v>
      </c>
      <c r="Z346" s="974">
        <f t="shared" si="105"/>
        <v>0</v>
      </c>
      <c r="AA346" s="1220"/>
      <c r="AB346" s="160"/>
      <c r="AC346" s="161"/>
      <c r="AD346" s="161"/>
      <c r="AE346" s="5416"/>
    </row>
    <row r="347" spans="1:31" ht="34.5" customHeight="1">
      <c r="A347" s="5629"/>
      <c r="B347" s="5573"/>
      <c r="C347" s="5337"/>
      <c r="D347" s="5337"/>
      <c r="E347" s="5337"/>
      <c r="F347" s="5337"/>
      <c r="G347" s="5337"/>
      <c r="H347" s="5337"/>
      <c r="I347" s="5337"/>
      <c r="J347" s="5337"/>
      <c r="K347" s="5337"/>
      <c r="L347" s="5337"/>
      <c r="M347" s="5337"/>
      <c r="N347" s="5337"/>
      <c r="O347" s="5337"/>
      <c r="P347" s="5337"/>
      <c r="Q347" s="5345"/>
      <c r="R347" s="169"/>
      <c r="S347" s="169"/>
      <c r="T347" s="169"/>
      <c r="U347" s="169"/>
      <c r="V347" s="169"/>
      <c r="W347" s="169"/>
      <c r="X347" s="169"/>
      <c r="Y347" s="974">
        <f t="shared" si="104"/>
        <v>0</v>
      </c>
      <c r="Z347" s="974">
        <f t="shared" si="105"/>
        <v>0</v>
      </c>
      <c r="AA347" s="1220"/>
      <c r="AB347" s="160"/>
      <c r="AC347" s="161"/>
      <c r="AD347" s="161"/>
      <c r="AE347" s="5416"/>
    </row>
    <row r="348" spans="1:31" ht="34.5" customHeight="1">
      <c r="A348" s="5555"/>
      <c r="B348" s="5574"/>
      <c r="C348" s="5338"/>
      <c r="D348" s="5338"/>
      <c r="E348" s="5338"/>
      <c r="F348" s="5338"/>
      <c r="G348" s="5338"/>
      <c r="H348" s="5338"/>
      <c r="I348" s="5338"/>
      <c r="J348" s="5338"/>
      <c r="K348" s="5338"/>
      <c r="L348" s="5338"/>
      <c r="M348" s="5338"/>
      <c r="N348" s="5338"/>
      <c r="O348" s="5338"/>
      <c r="P348" s="5338"/>
      <c r="Q348" s="5346"/>
      <c r="R348" s="975"/>
      <c r="S348" s="976"/>
      <c r="T348" s="976"/>
      <c r="U348" s="411"/>
      <c r="V348" s="977"/>
      <c r="W348" s="165"/>
      <c r="X348" s="978"/>
      <c r="Y348" s="978">
        <f t="shared" si="104"/>
        <v>0</v>
      </c>
      <c r="Z348" s="978">
        <f t="shared" si="105"/>
        <v>0</v>
      </c>
      <c r="AA348" s="979"/>
      <c r="AB348" s="165"/>
      <c r="AC348" s="166"/>
      <c r="AD348" s="166"/>
      <c r="AE348" s="5417"/>
    </row>
    <row r="349" spans="1:31" ht="22.5" customHeight="1">
      <c r="A349" s="2158"/>
      <c r="B349" s="785"/>
      <c r="C349" s="785"/>
      <c r="D349" s="785"/>
      <c r="E349" s="785"/>
      <c r="F349" s="785"/>
      <c r="G349" s="785"/>
      <c r="H349" s="785"/>
      <c r="I349" s="785"/>
      <c r="J349" s="785"/>
      <c r="K349" s="785"/>
      <c r="L349" s="785"/>
      <c r="M349" s="785"/>
      <c r="N349" s="785"/>
      <c r="O349" s="785"/>
      <c r="P349" s="785"/>
      <c r="Q349" s="786"/>
      <c r="R349" s="5636" t="s">
        <v>1819</v>
      </c>
      <c r="S349" s="5474"/>
      <c r="T349" s="5474"/>
      <c r="U349" s="5474"/>
      <c r="V349" s="5474"/>
      <c r="W349" s="5474"/>
      <c r="X349" s="5474"/>
      <c r="Y349" s="5475"/>
      <c r="Z349" s="997" t="s">
        <v>340</v>
      </c>
      <c r="AA349" s="998">
        <f>SUM(AA309:AA348)</f>
        <v>0</v>
      </c>
      <c r="AB349" s="5521"/>
      <c r="AC349" s="5474"/>
      <c r="AD349" s="5474"/>
      <c r="AE349" s="5477"/>
    </row>
    <row r="350" spans="1:31" ht="18" customHeight="1">
      <c r="A350" s="5628" t="s">
        <v>3133</v>
      </c>
      <c r="B350" s="5576" t="s">
        <v>272</v>
      </c>
      <c r="C350" s="5355" t="s">
        <v>302</v>
      </c>
      <c r="D350" s="5355" t="s">
        <v>303</v>
      </c>
      <c r="E350" s="5355" t="s">
        <v>304</v>
      </c>
      <c r="F350" s="5364" t="s">
        <v>305</v>
      </c>
      <c r="G350" s="5355" t="s">
        <v>240</v>
      </c>
      <c r="H350" s="5355" t="s">
        <v>257</v>
      </c>
      <c r="I350" s="5360" t="s">
        <v>3134</v>
      </c>
      <c r="J350" s="5625" t="s">
        <v>3135</v>
      </c>
      <c r="K350" s="5355" t="s">
        <v>2846</v>
      </c>
      <c r="L350" s="5363">
        <v>2</v>
      </c>
      <c r="M350" s="5363">
        <v>1</v>
      </c>
      <c r="N350" s="5363">
        <v>2</v>
      </c>
      <c r="O350" s="5355" t="s">
        <v>3136</v>
      </c>
      <c r="P350" s="5355" t="s">
        <v>3137</v>
      </c>
      <c r="Q350" s="5392" t="s">
        <v>3138</v>
      </c>
      <c r="R350" s="1102"/>
      <c r="S350" s="1103"/>
      <c r="T350" s="1103"/>
      <c r="U350" s="154"/>
      <c r="V350" s="1104"/>
      <c r="W350" s="155"/>
      <c r="X350" s="1105"/>
      <c r="Y350" s="1105"/>
      <c r="Z350" s="1105"/>
      <c r="AA350" s="1106"/>
      <c r="AB350" s="155"/>
      <c r="AC350" s="156"/>
      <c r="AD350" s="156"/>
      <c r="AE350" s="5428"/>
    </row>
    <row r="351" spans="1:31" ht="18" customHeight="1">
      <c r="A351" s="5629"/>
      <c r="B351" s="5573"/>
      <c r="C351" s="5337"/>
      <c r="D351" s="5337"/>
      <c r="E351" s="5337"/>
      <c r="F351" s="5337"/>
      <c r="G351" s="5337"/>
      <c r="H351" s="5337"/>
      <c r="I351" s="5361"/>
      <c r="J351" s="5337"/>
      <c r="K351" s="5337"/>
      <c r="L351" s="5337"/>
      <c r="M351" s="5337"/>
      <c r="N351" s="5337"/>
      <c r="O351" s="5337"/>
      <c r="P351" s="5337"/>
      <c r="Q351" s="5345"/>
      <c r="R351" s="982"/>
      <c r="S351" s="983"/>
      <c r="T351" s="983"/>
      <c r="U351" s="169"/>
      <c r="V351" s="984"/>
      <c r="W351" s="170"/>
      <c r="X351" s="974"/>
      <c r="Y351" s="974">
        <f t="shared" ref="Y351:Y354" si="106">+V351*X351</f>
        <v>0</v>
      </c>
      <c r="Z351" s="974">
        <f t="shared" ref="Z351:Z354" si="107">+Y351*1.12</f>
        <v>0</v>
      </c>
      <c r="AA351" s="969"/>
      <c r="AB351" s="170"/>
      <c r="AC351" s="282"/>
      <c r="AD351" s="282"/>
      <c r="AE351" s="5416"/>
    </row>
    <row r="352" spans="1:31" ht="18" customHeight="1">
      <c r="A352" s="5629"/>
      <c r="B352" s="5573"/>
      <c r="C352" s="5337"/>
      <c r="D352" s="5337"/>
      <c r="E352" s="5337"/>
      <c r="F352" s="5337"/>
      <c r="G352" s="5337"/>
      <c r="H352" s="5337"/>
      <c r="I352" s="5361"/>
      <c r="J352" s="5337"/>
      <c r="K352" s="5337"/>
      <c r="L352" s="5337"/>
      <c r="M352" s="5337"/>
      <c r="N352" s="5337"/>
      <c r="O352" s="5337"/>
      <c r="P352" s="5337"/>
      <c r="Q352" s="5345"/>
      <c r="R352" s="971"/>
      <c r="S352" s="972"/>
      <c r="T352" s="972"/>
      <c r="U352" s="1217"/>
      <c r="V352" s="968"/>
      <c r="W352" s="414"/>
      <c r="X352" s="973"/>
      <c r="Y352" s="974">
        <f t="shared" si="106"/>
        <v>0</v>
      </c>
      <c r="Z352" s="974">
        <f t="shared" si="107"/>
        <v>0</v>
      </c>
      <c r="AA352" s="969"/>
      <c r="AB352" s="170"/>
      <c r="AC352" s="282"/>
      <c r="AD352" s="282"/>
      <c r="AE352" s="5416"/>
    </row>
    <row r="353" spans="1:31" ht="18" customHeight="1">
      <c r="A353" s="5629"/>
      <c r="B353" s="5573"/>
      <c r="C353" s="5337"/>
      <c r="D353" s="5337"/>
      <c r="E353" s="5337"/>
      <c r="F353" s="5337"/>
      <c r="G353" s="5337"/>
      <c r="H353" s="5337"/>
      <c r="I353" s="5361"/>
      <c r="J353" s="5337"/>
      <c r="K353" s="5337"/>
      <c r="L353" s="5337"/>
      <c r="M353" s="5337"/>
      <c r="N353" s="5337"/>
      <c r="O353" s="5337"/>
      <c r="P353" s="5337"/>
      <c r="Q353" s="5345"/>
      <c r="R353" s="970"/>
      <c r="S353" s="967"/>
      <c r="T353" s="967"/>
      <c r="U353" s="1217"/>
      <c r="V353" s="968"/>
      <c r="W353" s="414"/>
      <c r="X353" s="973"/>
      <c r="Y353" s="974">
        <f t="shared" si="106"/>
        <v>0</v>
      </c>
      <c r="Z353" s="974">
        <f t="shared" si="107"/>
        <v>0</v>
      </c>
      <c r="AA353" s="969"/>
      <c r="AB353" s="170"/>
      <c r="AC353" s="282"/>
      <c r="AD353" s="282"/>
      <c r="AE353" s="5416"/>
    </row>
    <row r="354" spans="1:31" ht="18" customHeight="1">
      <c r="A354" s="5629"/>
      <c r="B354" s="5574"/>
      <c r="C354" s="5338"/>
      <c r="D354" s="5338"/>
      <c r="E354" s="5338"/>
      <c r="F354" s="5338"/>
      <c r="G354" s="5338"/>
      <c r="H354" s="5338"/>
      <c r="I354" s="5362"/>
      <c r="J354" s="5338"/>
      <c r="K354" s="5338"/>
      <c r="L354" s="5338"/>
      <c r="M354" s="5338"/>
      <c r="N354" s="5338"/>
      <c r="O354" s="5338"/>
      <c r="P354" s="5338"/>
      <c r="Q354" s="5346"/>
      <c r="R354" s="975"/>
      <c r="S354" s="976"/>
      <c r="T354" s="976"/>
      <c r="U354" s="411"/>
      <c r="V354" s="977"/>
      <c r="W354" s="165"/>
      <c r="X354" s="978"/>
      <c r="Y354" s="978">
        <f t="shared" si="106"/>
        <v>0</v>
      </c>
      <c r="Z354" s="978">
        <f t="shared" si="107"/>
        <v>0</v>
      </c>
      <c r="AA354" s="979"/>
      <c r="AB354" s="165"/>
      <c r="AC354" s="166"/>
      <c r="AD354" s="166"/>
      <c r="AE354" s="5417"/>
    </row>
    <row r="355" spans="1:31" ht="18" customHeight="1">
      <c r="A355" s="5629"/>
      <c r="B355" s="5627" t="s">
        <v>235</v>
      </c>
      <c r="C355" s="5347" t="s">
        <v>236</v>
      </c>
      <c r="D355" s="5347" t="s">
        <v>237</v>
      </c>
      <c r="E355" s="5347" t="s">
        <v>255</v>
      </c>
      <c r="F355" s="5353" t="s">
        <v>239</v>
      </c>
      <c r="G355" s="5336" t="s">
        <v>240</v>
      </c>
      <c r="H355" s="5336" t="s">
        <v>257</v>
      </c>
      <c r="I355" s="5621" t="s">
        <v>3139</v>
      </c>
      <c r="J355" s="5621" t="s">
        <v>3140</v>
      </c>
      <c r="K355" s="5618" t="s">
        <v>2846</v>
      </c>
      <c r="L355" s="5619">
        <v>2</v>
      </c>
      <c r="M355" s="5619">
        <v>0</v>
      </c>
      <c r="N355" s="5619">
        <v>2</v>
      </c>
      <c r="O355" s="5407" t="s">
        <v>3141</v>
      </c>
      <c r="P355" s="5618" t="s">
        <v>3142</v>
      </c>
      <c r="Q355" s="5620" t="s">
        <v>3143</v>
      </c>
      <c r="R355" s="1110"/>
      <c r="S355" s="1111"/>
      <c r="T355" s="1111"/>
      <c r="U355" s="1711"/>
      <c r="V355" s="1112"/>
      <c r="W355" s="1719"/>
      <c r="X355" s="1113"/>
      <c r="Y355" s="1113"/>
      <c r="Z355" s="1113"/>
      <c r="AA355" s="1114"/>
      <c r="AB355" s="1719"/>
      <c r="AC355" s="410"/>
      <c r="AD355" s="410"/>
      <c r="AE355" s="1308"/>
    </row>
    <row r="356" spans="1:31" ht="18" customHeight="1">
      <c r="A356" s="5629"/>
      <c r="B356" s="5573"/>
      <c r="C356" s="5337"/>
      <c r="D356" s="5337"/>
      <c r="E356" s="5337"/>
      <c r="F356" s="5337"/>
      <c r="G356" s="5337"/>
      <c r="H356" s="5337"/>
      <c r="I356" s="5337"/>
      <c r="J356" s="5337"/>
      <c r="K356" s="5337"/>
      <c r="L356" s="5337"/>
      <c r="M356" s="5337"/>
      <c r="N356" s="5337"/>
      <c r="O356" s="5337"/>
      <c r="P356" s="5337"/>
      <c r="Q356" s="5345"/>
      <c r="R356" s="1110"/>
      <c r="S356" s="1111"/>
      <c r="T356" s="1111"/>
      <c r="U356" s="1711"/>
      <c r="V356" s="1112"/>
      <c r="W356" s="1719"/>
      <c r="X356" s="1113"/>
      <c r="Y356" s="1113"/>
      <c r="Z356" s="1113"/>
      <c r="AA356" s="1114"/>
      <c r="AB356" s="1719"/>
      <c r="AC356" s="410"/>
      <c r="AD356" s="410"/>
      <c r="AE356" s="1308"/>
    </row>
    <row r="357" spans="1:31" ht="18" customHeight="1">
      <c r="A357" s="5629"/>
      <c r="B357" s="5573"/>
      <c r="C357" s="5337"/>
      <c r="D357" s="5337"/>
      <c r="E357" s="5337"/>
      <c r="F357" s="5337"/>
      <c r="G357" s="5337"/>
      <c r="H357" s="5337"/>
      <c r="I357" s="5337"/>
      <c r="J357" s="5337"/>
      <c r="K357" s="5337"/>
      <c r="L357" s="5337"/>
      <c r="M357" s="5337"/>
      <c r="N357" s="5337"/>
      <c r="O357" s="5337"/>
      <c r="P357" s="5337"/>
      <c r="Q357" s="5345"/>
      <c r="R357" s="1110"/>
      <c r="S357" s="1111"/>
      <c r="T357" s="1111"/>
      <c r="U357" s="1711"/>
      <c r="V357" s="1112"/>
      <c r="W357" s="1719"/>
      <c r="X357" s="1113"/>
      <c r="Y357" s="1113"/>
      <c r="Z357" s="1113"/>
      <c r="AA357" s="1114"/>
      <c r="AB357" s="1719"/>
      <c r="AC357" s="410"/>
      <c r="AD357" s="410"/>
      <c r="AE357" s="1308"/>
    </row>
    <row r="358" spans="1:31" ht="18" customHeight="1">
      <c r="A358" s="5629"/>
      <c r="B358" s="5573"/>
      <c r="C358" s="5337"/>
      <c r="D358" s="5337"/>
      <c r="E358" s="5337"/>
      <c r="F358" s="5337"/>
      <c r="G358" s="5337"/>
      <c r="H358" s="5337"/>
      <c r="I358" s="5337"/>
      <c r="J358" s="5337"/>
      <c r="K358" s="5337"/>
      <c r="L358" s="5337"/>
      <c r="M358" s="5337"/>
      <c r="N358" s="5337"/>
      <c r="O358" s="5337"/>
      <c r="P358" s="5337"/>
      <c r="Q358" s="5345"/>
      <c r="R358" s="1110"/>
      <c r="S358" s="1111"/>
      <c r="T358" s="1111"/>
      <c r="U358" s="1711"/>
      <c r="V358" s="1112"/>
      <c r="W358" s="1719"/>
      <c r="X358" s="1113"/>
      <c r="Y358" s="1113"/>
      <c r="Z358" s="1113"/>
      <c r="AA358" s="1114"/>
      <c r="AB358" s="1719"/>
      <c r="AC358" s="410"/>
      <c r="AD358" s="410"/>
      <c r="AE358" s="1308"/>
    </row>
    <row r="359" spans="1:31" ht="18" customHeight="1">
      <c r="A359" s="5629"/>
      <c r="B359" s="5574"/>
      <c r="C359" s="5338"/>
      <c r="D359" s="5338"/>
      <c r="E359" s="5338"/>
      <c r="F359" s="5338"/>
      <c r="G359" s="5338"/>
      <c r="H359" s="5338"/>
      <c r="I359" s="5338"/>
      <c r="J359" s="5338"/>
      <c r="K359" s="5338"/>
      <c r="L359" s="5338"/>
      <c r="M359" s="5338"/>
      <c r="N359" s="5338"/>
      <c r="O359" s="5338"/>
      <c r="P359" s="5338"/>
      <c r="Q359" s="5346"/>
      <c r="R359" s="1309"/>
      <c r="S359" s="1310"/>
      <c r="T359" s="1310"/>
      <c r="U359" s="277"/>
      <c r="V359" s="1311"/>
      <c r="W359" s="416"/>
      <c r="X359" s="1312"/>
      <c r="Y359" s="1312"/>
      <c r="Z359" s="1312"/>
      <c r="AA359" s="1313"/>
      <c r="AB359" s="416"/>
      <c r="AC359" s="278"/>
      <c r="AD359" s="278"/>
      <c r="AE359" s="1314"/>
    </row>
    <row r="360" spans="1:31" ht="18" customHeight="1">
      <c r="A360" s="5629"/>
      <c r="B360" s="5627" t="s">
        <v>235</v>
      </c>
      <c r="C360" s="5347" t="s">
        <v>236</v>
      </c>
      <c r="D360" s="5347" t="s">
        <v>237</v>
      </c>
      <c r="E360" s="5347" t="s">
        <v>255</v>
      </c>
      <c r="F360" s="5353" t="s">
        <v>239</v>
      </c>
      <c r="G360" s="5336" t="s">
        <v>240</v>
      </c>
      <c r="H360" s="5336" t="s">
        <v>257</v>
      </c>
      <c r="I360" s="5621" t="s">
        <v>3144</v>
      </c>
      <c r="J360" s="5618" t="s">
        <v>3145</v>
      </c>
      <c r="K360" s="5618" t="s">
        <v>3146</v>
      </c>
      <c r="L360" s="5407">
        <v>0</v>
      </c>
      <c r="M360" s="5407">
        <v>1</v>
      </c>
      <c r="N360" s="5407">
        <v>0</v>
      </c>
      <c r="O360" s="5618" t="s">
        <v>3147</v>
      </c>
      <c r="P360" s="5618" t="s">
        <v>3148</v>
      </c>
      <c r="Q360" s="5620" t="s">
        <v>3149</v>
      </c>
      <c r="R360" s="1110"/>
      <c r="S360" s="1111"/>
      <c r="T360" s="1111"/>
      <c r="U360" s="1711"/>
      <c r="V360" s="1112"/>
      <c r="W360" s="1719"/>
      <c r="X360" s="1113"/>
      <c r="Y360" s="1113"/>
      <c r="Z360" s="1113"/>
      <c r="AA360" s="1114"/>
      <c r="AB360" s="1719"/>
      <c r="AC360" s="410"/>
      <c r="AD360" s="410"/>
      <c r="AE360" s="1308"/>
    </row>
    <row r="361" spans="1:31" ht="18" customHeight="1">
      <c r="A361" s="5629"/>
      <c r="B361" s="5573"/>
      <c r="C361" s="5337"/>
      <c r="D361" s="5337"/>
      <c r="E361" s="5337"/>
      <c r="F361" s="5337"/>
      <c r="G361" s="5337"/>
      <c r="H361" s="5337"/>
      <c r="I361" s="5337"/>
      <c r="J361" s="5337"/>
      <c r="K361" s="5337"/>
      <c r="L361" s="5337"/>
      <c r="M361" s="5337"/>
      <c r="N361" s="5337"/>
      <c r="O361" s="5337"/>
      <c r="P361" s="5337"/>
      <c r="Q361" s="5345"/>
      <c r="R361" s="1110"/>
      <c r="S361" s="1111"/>
      <c r="T361" s="1111"/>
      <c r="U361" s="1711"/>
      <c r="V361" s="1112"/>
      <c r="W361" s="1719"/>
      <c r="X361" s="1113"/>
      <c r="Y361" s="1113"/>
      <c r="Z361" s="1113"/>
      <c r="AA361" s="1114"/>
      <c r="AB361" s="1719"/>
      <c r="AC361" s="410"/>
      <c r="AD361" s="410"/>
      <c r="AE361" s="1308"/>
    </row>
    <row r="362" spans="1:31" ht="18" customHeight="1">
      <c r="A362" s="5629"/>
      <c r="B362" s="5573"/>
      <c r="C362" s="5337"/>
      <c r="D362" s="5337"/>
      <c r="E362" s="5337"/>
      <c r="F362" s="5337"/>
      <c r="G362" s="5337"/>
      <c r="H362" s="5337"/>
      <c r="I362" s="5337"/>
      <c r="J362" s="5337"/>
      <c r="K362" s="5337"/>
      <c r="L362" s="5337"/>
      <c r="M362" s="5337"/>
      <c r="N362" s="5337"/>
      <c r="O362" s="5337"/>
      <c r="P362" s="5337"/>
      <c r="Q362" s="5345"/>
      <c r="R362" s="1110"/>
      <c r="S362" s="1111"/>
      <c r="T362" s="1111"/>
      <c r="U362" s="1711"/>
      <c r="V362" s="1112"/>
      <c r="W362" s="1719"/>
      <c r="X362" s="1113"/>
      <c r="Y362" s="1113"/>
      <c r="Z362" s="1113"/>
      <c r="AA362" s="1114"/>
      <c r="AB362" s="1719"/>
      <c r="AC362" s="410"/>
      <c r="AD362" s="410"/>
      <c r="AE362" s="1308"/>
    </row>
    <row r="363" spans="1:31" ht="18" customHeight="1">
      <c r="A363" s="5629"/>
      <c r="B363" s="5573"/>
      <c r="C363" s="5337"/>
      <c r="D363" s="5337"/>
      <c r="E363" s="5337"/>
      <c r="F363" s="5337"/>
      <c r="G363" s="5337"/>
      <c r="H363" s="5337"/>
      <c r="I363" s="5337"/>
      <c r="J363" s="5337"/>
      <c r="K363" s="5337"/>
      <c r="L363" s="5337"/>
      <c r="M363" s="5337"/>
      <c r="N363" s="5337"/>
      <c r="O363" s="5337"/>
      <c r="P363" s="5337"/>
      <c r="Q363" s="5345"/>
      <c r="R363" s="1110"/>
      <c r="S363" s="1111"/>
      <c r="T363" s="1111"/>
      <c r="U363" s="1711"/>
      <c r="V363" s="1112"/>
      <c r="W363" s="1719"/>
      <c r="X363" s="1113"/>
      <c r="Y363" s="1113"/>
      <c r="Z363" s="1113"/>
      <c r="AA363" s="1114"/>
      <c r="AB363" s="1719"/>
      <c r="AC363" s="410"/>
      <c r="AD363" s="410"/>
      <c r="AE363" s="1308"/>
    </row>
    <row r="364" spans="1:31" ht="18" customHeight="1">
      <c r="A364" s="5629"/>
      <c r="B364" s="5573"/>
      <c r="C364" s="5337"/>
      <c r="D364" s="5337"/>
      <c r="E364" s="5337"/>
      <c r="F364" s="5337"/>
      <c r="G364" s="5337"/>
      <c r="H364" s="5337"/>
      <c r="I364" s="5338"/>
      <c r="J364" s="5338"/>
      <c r="K364" s="5338"/>
      <c r="L364" s="5338"/>
      <c r="M364" s="5338"/>
      <c r="N364" s="5338"/>
      <c r="O364" s="5338"/>
      <c r="P364" s="5338"/>
      <c r="Q364" s="5346"/>
      <c r="R364" s="1309"/>
      <c r="S364" s="1310"/>
      <c r="T364" s="1310"/>
      <c r="U364" s="277"/>
      <c r="V364" s="1311"/>
      <c r="W364" s="416"/>
      <c r="X364" s="1312"/>
      <c r="Y364" s="1312"/>
      <c r="Z364" s="1312"/>
      <c r="AA364" s="1313"/>
      <c r="AB364" s="416"/>
      <c r="AC364" s="278"/>
      <c r="AD364" s="278"/>
      <c r="AE364" s="1314"/>
    </row>
    <row r="365" spans="1:31" ht="18" customHeight="1">
      <c r="A365" s="5629"/>
      <c r="B365" s="5626" t="s">
        <v>272</v>
      </c>
      <c r="C365" s="5624" t="s">
        <v>302</v>
      </c>
      <c r="D365" s="5624" t="s">
        <v>303</v>
      </c>
      <c r="E365" s="5624" t="s">
        <v>304</v>
      </c>
      <c r="F365" s="5622" t="s">
        <v>305</v>
      </c>
      <c r="G365" s="5624" t="s">
        <v>240</v>
      </c>
      <c r="H365" s="5624" t="s">
        <v>257</v>
      </c>
      <c r="I365" s="5618" t="s">
        <v>3150</v>
      </c>
      <c r="J365" s="5618" t="s">
        <v>3151</v>
      </c>
      <c r="K365" s="5618" t="s">
        <v>3146</v>
      </c>
      <c r="L365" s="5407">
        <v>0</v>
      </c>
      <c r="M365" s="5407">
        <v>1</v>
      </c>
      <c r="N365" s="5407">
        <v>1</v>
      </c>
      <c r="O365" s="5618" t="s">
        <v>3152</v>
      </c>
      <c r="P365" s="5618" t="s">
        <v>3153</v>
      </c>
      <c r="Q365" s="5620" t="s">
        <v>3149</v>
      </c>
      <c r="R365" s="1110"/>
      <c r="S365" s="1111"/>
      <c r="T365" s="1111"/>
      <c r="U365" s="1711"/>
      <c r="V365" s="1112"/>
      <c r="W365" s="1719"/>
      <c r="X365" s="1113"/>
      <c r="Y365" s="1113"/>
      <c r="Z365" s="1113"/>
      <c r="AA365" s="1114"/>
      <c r="AB365" s="1719"/>
      <c r="AC365" s="410"/>
      <c r="AD365" s="410"/>
      <c r="AE365" s="1308"/>
    </row>
    <row r="366" spans="1:31" ht="18" customHeight="1">
      <c r="A366" s="5629"/>
      <c r="B366" s="5573"/>
      <c r="C366" s="5337"/>
      <c r="D366" s="5337"/>
      <c r="E366" s="5337"/>
      <c r="F366" s="5337"/>
      <c r="G366" s="5337"/>
      <c r="H366" s="5337"/>
      <c r="I366" s="5337"/>
      <c r="J366" s="5337"/>
      <c r="K366" s="5337"/>
      <c r="L366" s="5337"/>
      <c r="M366" s="5337"/>
      <c r="N366" s="5337"/>
      <c r="O366" s="5337"/>
      <c r="P366" s="5337"/>
      <c r="Q366" s="5345"/>
      <c r="R366" s="1110"/>
      <c r="S366" s="1111"/>
      <c r="T366" s="1111"/>
      <c r="U366" s="1711"/>
      <c r="V366" s="1112"/>
      <c r="W366" s="1719"/>
      <c r="X366" s="1113"/>
      <c r="Y366" s="1113"/>
      <c r="Z366" s="1113"/>
      <c r="AA366" s="1114"/>
      <c r="AB366" s="1719"/>
      <c r="AC366" s="410"/>
      <c r="AD366" s="410"/>
      <c r="AE366" s="1308"/>
    </row>
    <row r="367" spans="1:31" ht="18" customHeight="1">
      <c r="A367" s="5629"/>
      <c r="B367" s="5573"/>
      <c r="C367" s="5337"/>
      <c r="D367" s="5337"/>
      <c r="E367" s="5337"/>
      <c r="F367" s="5337"/>
      <c r="G367" s="5337"/>
      <c r="H367" s="5337"/>
      <c r="I367" s="5337"/>
      <c r="J367" s="5337"/>
      <c r="K367" s="5337"/>
      <c r="L367" s="5337"/>
      <c r="M367" s="5337"/>
      <c r="N367" s="5337"/>
      <c r="O367" s="5337"/>
      <c r="P367" s="5337"/>
      <c r="Q367" s="5345"/>
      <c r="R367" s="1110"/>
      <c r="S367" s="1111"/>
      <c r="T367" s="1111"/>
      <c r="U367" s="1711"/>
      <c r="V367" s="1112"/>
      <c r="W367" s="1719"/>
      <c r="X367" s="1113"/>
      <c r="Y367" s="1113"/>
      <c r="Z367" s="1113"/>
      <c r="AA367" s="1114"/>
      <c r="AB367" s="1719"/>
      <c r="AC367" s="410"/>
      <c r="AD367" s="410"/>
      <c r="AE367" s="1308"/>
    </row>
    <row r="368" spans="1:31" ht="18" customHeight="1">
      <c r="A368" s="5629"/>
      <c r="B368" s="5573"/>
      <c r="C368" s="5337"/>
      <c r="D368" s="5337"/>
      <c r="E368" s="5337"/>
      <c r="F368" s="5337"/>
      <c r="G368" s="5337"/>
      <c r="H368" s="5337"/>
      <c r="I368" s="5337"/>
      <c r="J368" s="5337"/>
      <c r="K368" s="5337"/>
      <c r="L368" s="5337"/>
      <c r="M368" s="5337"/>
      <c r="N368" s="5337"/>
      <c r="O368" s="5337"/>
      <c r="P368" s="5337"/>
      <c r="Q368" s="5345"/>
      <c r="R368" s="1110"/>
      <c r="S368" s="1111"/>
      <c r="T368" s="1111"/>
      <c r="U368" s="1711"/>
      <c r="V368" s="1112"/>
      <c r="W368" s="1719"/>
      <c r="X368" s="1113"/>
      <c r="Y368" s="1113"/>
      <c r="Z368" s="1113"/>
      <c r="AA368" s="1114"/>
      <c r="AB368" s="1719"/>
      <c r="AC368" s="410"/>
      <c r="AD368" s="410"/>
      <c r="AE368" s="1308"/>
    </row>
    <row r="369" spans="1:31" ht="18" customHeight="1">
      <c r="A369" s="5629"/>
      <c r="B369" s="5574"/>
      <c r="C369" s="5338"/>
      <c r="D369" s="5338"/>
      <c r="E369" s="5338"/>
      <c r="F369" s="5338"/>
      <c r="G369" s="5338"/>
      <c r="H369" s="5338"/>
      <c r="I369" s="5338"/>
      <c r="J369" s="5338"/>
      <c r="K369" s="5338"/>
      <c r="L369" s="5338"/>
      <c r="M369" s="5338"/>
      <c r="N369" s="5338"/>
      <c r="O369" s="5338"/>
      <c r="P369" s="5338"/>
      <c r="Q369" s="5346"/>
      <c r="R369" s="1309"/>
      <c r="S369" s="1310"/>
      <c r="T369" s="1310"/>
      <c r="U369" s="277"/>
      <c r="V369" s="1311"/>
      <c r="W369" s="416"/>
      <c r="X369" s="1312"/>
      <c r="Y369" s="1312"/>
      <c r="Z369" s="1312"/>
      <c r="AA369" s="1313"/>
      <c r="AB369" s="416"/>
      <c r="AC369" s="278"/>
      <c r="AD369" s="278"/>
      <c r="AE369" s="1314"/>
    </row>
    <row r="370" spans="1:31" ht="18" customHeight="1">
      <c r="A370" s="5629"/>
      <c r="B370" s="5572" t="s">
        <v>272</v>
      </c>
      <c r="C370" s="5336" t="s">
        <v>302</v>
      </c>
      <c r="D370" s="5336" t="s">
        <v>274</v>
      </c>
      <c r="E370" s="5336" t="s">
        <v>885</v>
      </c>
      <c r="F370" s="5341" t="s">
        <v>305</v>
      </c>
      <c r="G370" s="5336" t="s">
        <v>262</v>
      </c>
      <c r="H370" s="5336" t="s">
        <v>241</v>
      </c>
      <c r="I370" s="5618" t="s">
        <v>3154</v>
      </c>
      <c r="J370" s="5618" t="s">
        <v>3155</v>
      </c>
      <c r="K370" s="5618" t="s">
        <v>3024</v>
      </c>
      <c r="L370" s="5619">
        <v>1</v>
      </c>
      <c r="M370" s="5619">
        <v>0</v>
      </c>
      <c r="N370" s="5619">
        <v>1</v>
      </c>
      <c r="O370" s="5618" t="s">
        <v>3156</v>
      </c>
      <c r="P370" s="5618" t="s">
        <v>3026</v>
      </c>
      <c r="Q370" s="5620" t="s">
        <v>3157</v>
      </c>
      <c r="R370" s="1110"/>
      <c r="S370" s="1111"/>
      <c r="T370" s="1111"/>
      <c r="U370" s="1711"/>
      <c r="V370" s="1112"/>
      <c r="W370" s="1719"/>
      <c r="X370" s="1113"/>
      <c r="Y370" s="1113"/>
      <c r="Z370" s="1113"/>
      <c r="AA370" s="1114"/>
      <c r="AB370" s="1719"/>
      <c r="AC370" s="410"/>
      <c r="AD370" s="410"/>
      <c r="AE370" s="1308"/>
    </row>
    <row r="371" spans="1:31" ht="18" customHeight="1">
      <c r="A371" s="5629"/>
      <c r="B371" s="5573"/>
      <c r="C371" s="5337"/>
      <c r="D371" s="5337"/>
      <c r="E371" s="5337"/>
      <c r="F371" s="5337"/>
      <c r="G371" s="5337"/>
      <c r="H371" s="5337"/>
      <c r="I371" s="5337"/>
      <c r="J371" s="5337"/>
      <c r="K371" s="5337"/>
      <c r="L371" s="5337"/>
      <c r="M371" s="5337"/>
      <c r="N371" s="5337"/>
      <c r="O371" s="5337"/>
      <c r="P371" s="5337"/>
      <c r="Q371" s="5345"/>
      <c r="R371" s="1110"/>
      <c r="S371" s="1111"/>
      <c r="T371" s="1111"/>
      <c r="U371" s="1711"/>
      <c r="V371" s="1112"/>
      <c r="W371" s="1719"/>
      <c r="X371" s="1113"/>
      <c r="Y371" s="1113"/>
      <c r="Z371" s="1113"/>
      <c r="AA371" s="1114"/>
      <c r="AB371" s="1719"/>
      <c r="AC371" s="410"/>
      <c r="AD371" s="410"/>
      <c r="AE371" s="1308"/>
    </row>
    <row r="372" spans="1:31" ht="18" customHeight="1">
      <c r="A372" s="5629"/>
      <c r="B372" s="5573"/>
      <c r="C372" s="5337"/>
      <c r="D372" s="5337"/>
      <c r="E372" s="5337"/>
      <c r="F372" s="5337"/>
      <c r="G372" s="5337"/>
      <c r="H372" s="5337"/>
      <c r="I372" s="5337"/>
      <c r="J372" s="5337"/>
      <c r="K372" s="5337"/>
      <c r="L372" s="5337"/>
      <c r="M372" s="5337"/>
      <c r="N372" s="5337"/>
      <c r="O372" s="5337"/>
      <c r="P372" s="5337"/>
      <c r="Q372" s="5345"/>
      <c r="R372" s="1110"/>
      <c r="S372" s="1111"/>
      <c r="T372" s="1111"/>
      <c r="U372" s="1711"/>
      <c r="V372" s="1112"/>
      <c r="W372" s="1719"/>
      <c r="X372" s="1113"/>
      <c r="Y372" s="1113"/>
      <c r="Z372" s="1113"/>
      <c r="AA372" s="1114"/>
      <c r="AB372" s="1719"/>
      <c r="AC372" s="410"/>
      <c r="AD372" s="410"/>
      <c r="AE372" s="1308"/>
    </row>
    <row r="373" spans="1:31" ht="18" customHeight="1">
      <c r="A373" s="5629"/>
      <c r="B373" s="5573"/>
      <c r="C373" s="5337"/>
      <c r="D373" s="5337"/>
      <c r="E373" s="5337"/>
      <c r="F373" s="5337"/>
      <c r="G373" s="5337"/>
      <c r="H373" s="5337"/>
      <c r="I373" s="5337"/>
      <c r="J373" s="5337"/>
      <c r="K373" s="5337"/>
      <c r="L373" s="5337"/>
      <c r="M373" s="5337"/>
      <c r="N373" s="5337"/>
      <c r="O373" s="5337"/>
      <c r="P373" s="5337"/>
      <c r="Q373" s="5345"/>
      <c r="R373" s="1110"/>
      <c r="S373" s="1111"/>
      <c r="T373" s="1111"/>
      <c r="U373" s="1711"/>
      <c r="V373" s="1112"/>
      <c r="W373" s="1719"/>
      <c r="X373" s="1113"/>
      <c r="Y373" s="1113"/>
      <c r="Z373" s="1113"/>
      <c r="AA373" s="1114"/>
      <c r="AB373" s="1719"/>
      <c r="AC373" s="410"/>
      <c r="AD373" s="410"/>
      <c r="AE373" s="1308"/>
    </row>
    <row r="374" spans="1:31" ht="18" customHeight="1">
      <c r="A374" s="5629"/>
      <c r="B374" s="5574"/>
      <c r="C374" s="5338"/>
      <c r="D374" s="5338"/>
      <c r="E374" s="5338"/>
      <c r="F374" s="5338"/>
      <c r="G374" s="5338"/>
      <c r="H374" s="5338"/>
      <c r="I374" s="5338"/>
      <c r="J374" s="5338"/>
      <c r="K374" s="5338"/>
      <c r="L374" s="5338"/>
      <c r="M374" s="5338"/>
      <c r="N374" s="5338"/>
      <c r="O374" s="5338"/>
      <c r="P374" s="5338"/>
      <c r="Q374" s="5346"/>
      <c r="R374" s="1309"/>
      <c r="S374" s="1310"/>
      <c r="T374" s="1310"/>
      <c r="U374" s="277"/>
      <c r="V374" s="1311"/>
      <c r="W374" s="416"/>
      <c r="X374" s="1312"/>
      <c r="Y374" s="1312"/>
      <c r="Z374" s="1312"/>
      <c r="AA374" s="1313"/>
      <c r="AB374" s="416"/>
      <c r="AC374" s="278"/>
      <c r="AD374" s="278"/>
      <c r="AE374" s="1314"/>
    </row>
    <row r="375" spans="1:31" ht="18" customHeight="1">
      <c r="A375" s="5629"/>
      <c r="B375" s="5627" t="s">
        <v>235</v>
      </c>
      <c r="C375" s="5347" t="s">
        <v>236</v>
      </c>
      <c r="D375" s="5347" t="s">
        <v>237</v>
      </c>
      <c r="E375" s="5347" t="s">
        <v>255</v>
      </c>
      <c r="F375" s="5353" t="s">
        <v>239</v>
      </c>
      <c r="G375" s="5336" t="s">
        <v>240</v>
      </c>
      <c r="H375" s="5336" t="s">
        <v>257</v>
      </c>
      <c r="I375" s="5618" t="s">
        <v>3158</v>
      </c>
      <c r="J375" s="5618" t="s">
        <v>3159</v>
      </c>
      <c r="K375" s="5618" t="s">
        <v>3160</v>
      </c>
      <c r="L375" s="5619">
        <v>1</v>
      </c>
      <c r="M375" s="5619">
        <v>2</v>
      </c>
      <c r="N375" s="5619">
        <v>2</v>
      </c>
      <c r="O375" s="5618" t="s">
        <v>3161</v>
      </c>
      <c r="P375" s="5618" t="s">
        <v>3162</v>
      </c>
      <c r="Q375" s="5620" t="s">
        <v>3149</v>
      </c>
      <c r="R375" s="1110"/>
      <c r="S375" s="1111"/>
      <c r="T375" s="1111"/>
      <c r="U375" s="1711"/>
      <c r="V375" s="1112"/>
      <c r="W375" s="1719"/>
      <c r="X375" s="1113"/>
      <c r="Y375" s="1113"/>
      <c r="Z375" s="1113"/>
      <c r="AA375" s="1114"/>
      <c r="AB375" s="1719"/>
      <c r="AC375" s="410"/>
      <c r="AD375" s="410"/>
      <c r="AE375" s="1308"/>
    </row>
    <row r="376" spans="1:31" ht="18" customHeight="1">
      <c r="A376" s="5629"/>
      <c r="B376" s="5573"/>
      <c r="C376" s="5337"/>
      <c r="D376" s="5337"/>
      <c r="E376" s="5337"/>
      <c r="F376" s="5337"/>
      <c r="G376" s="5337"/>
      <c r="H376" s="5337"/>
      <c r="I376" s="5337"/>
      <c r="J376" s="5337"/>
      <c r="K376" s="5337"/>
      <c r="L376" s="5337"/>
      <c r="M376" s="5337"/>
      <c r="N376" s="5337"/>
      <c r="O376" s="5337"/>
      <c r="P376" s="5337"/>
      <c r="Q376" s="5345"/>
      <c r="R376" s="1110"/>
      <c r="S376" s="1111"/>
      <c r="T376" s="1111"/>
      <c r="U376" s="1711"/>
      <c r="V376" s="1112"/>
      <c r="W376" s="1719"/>
      <c r="X376" s="1113"/>
      <c r="Y376" s="1113"/>
      <c r="Z376" s="1113"/>
      <c r="AA376" s="1114"/>
      <c r="AB376" s="1719"/>
      <c r="AC376" s="410"/>
      <c r="AD376" s="410"/>
      <c r="AE376" s="1308"/>
    </row>
    <row r="377" spans="1:31" ht="18" customHeight="1">
      <c r="A377" s="5629"/>
      <c r="B377" s="5573"/>
      <c r="C377" s="5337"/>
      <c r="D377" s="5337"/>
      <c r="E377" s="5337"/>
      <c r="F377" s="5337"/>
      <c r="G377" s="5337"/>
      <c r="H377" s="5337"/>
      <c r="I377" s="5337"/>
      <c r="J377" s="5337"/>
      <c r="K377" s="5337"/>
      <c r="L377" s="5337"/>
      <c r="M377" s="5337"/>
      <c r="N377" s="5337"/>
      <c r="O377" s="5337"/>
      <c r="P377" s="5337"/>
      <c r="Q377" s="5345"/>
      <c r="R377" s="1110"/>
      <c r="S377" s="1111"/>
      <c r="T377" s="1111"/>
      <c r="U377" s="1711"/>
      <c r="V377" s="1112"/>
      <c r="W377" s="1719"/>
      <c r="X377" s="1113"/>
      <c r="Y377" s="1113"/>
      <c r="Z377" s="1113"/>
      <c r="AA377" s="1114"/>
      <c r="AB377" s="1719"/>
      <c r="AC377" s="410"/>
      <c r="AD377" s="410"/>
      <c r="AE377" s="1308"/>
    </row>
    <row r="378" spans="1:31" ht="18" customHeight="1">
      <c r="A378" s="5629"/>
      <c r="B378" s="5573"/>
      <c r="C378" s="5337"/>
      <c r="D378" s="5337"/>
      <c r="E378" s="5337"/>
      <c r="F378" s="5337"/>
      <c r="G378" s="5337"/>
      <c r="H378" s="5337"/>
      <c r="I378" s="5337"/>
      <c r="J378" s="5337"/>
      <c r="K378" s="5337"/>
      <c r="L378" s="5337"/>
      <c r="M378" s="5337"/>
      <c r="N378" s="5337"/>
      <c r="O378" s="5337"/>
      <c r="P378" s="5337"/>
      <c r="Q378" s="5345"/>
      <c r="R378" s="1110"/>
      <c r="S378" s="1111"/>
      <c r="T378" s="1111"/>
      <c r="U378" s="1711"/>
      <c r="V378" s="1112"/>
      <c r="W378" s="1719"/>
      <c r="X378" s="1113"/>
      <c r="Y378" s="1113"/>
      <c r="Z378" s="1113"/>
      <c r="AA378" s="1114"/>
      <c r="AB378" s="1719"/>
      <c r="AC378" s="410"/>
      <c r="AD378" s="410"/>
      <c r="AE378" s="1308"/>
    </row>
    <row r="379" spans="1:31" ht="18" customHeight="1">
      <c r="A379" s="5629"/>
      <c r="B379" s="5574"/>
      <c r="C379" s="5338"/>
      <c r="D379" s="5338"/>
      <c r="E379" s="5338"/>
      <c r="F379" s="5338"/>
      <c r="G379" s="5338"/>
      <c r="H379" s="5338"/>
      <c r="I379" s="5337"/>
      <c r="J379" s="5337"/>
      <c r="K379" s="5337"/>
      <c r="L379" s="5337"/>
      <c r="M379" s="5337"/>
      <c r="N379" s="5337"/>
      <c r="O379" s="5337"/>
      <c r="P379" s="5337"/>
      <c r="Q379" s="5345"/>
      <c r="R379" s="1309"/>
      <c r="S379" s="1310"/>
      <c r="T379" s="1310"/>
      <c r="U379" s="277"/>
      <c r="V379" s="1311"/>
      <c r="W379" s="416"/>
      <c r="X379" s="1312"/>
      <c r="Y379" s="1312"/>
      <c r="Z379" s="1312"/>
      <c r="AA379" s="1313"/>
      <c r="AB379" s="416"/>
      <c r="AC379" s="278"/>
      <c r="AD379" s="278"/>
      <c r="AE379" s="1314"/>
    </row>
    <row r="380" spans="1:31" ht="18" customHeight="1">
      <c r="A380" s="5629"/>
      <c r="B380" s="5626" t="s">
        <v>272</v>
      </c>
      <c r="C380" s="5624" t="s">
        <v>302</v>
      </c>
      <c r="D380" s="5624" t="s">
        <v>303</v>
      </c>
      <c r="E380" s="5624" t="s">
        <v>304</v>
      </c>
      <c r="F380" s="5622" t="s">
        <v>305</v>
      </c>
      <c r="G380" s="5624" t="s">
        <v>240</v>
      </c>
      <c r="H380" s="5624" t="s">
        <v>257</v>
      </c>
      <c r="I380" s="5618" t="s">
        <v>3163</v>
      </c>
      <c r="J380" s="5618" t="s">
        <v>3164</v>
      </c>
      <c r="K380" s="5618" t="s">
        <v>3146</v>
      </c>
      <c r="L380" s="5619">
        <v>0</v>
      </c>
      <c r="M380" s="5619">
        <v>1</v>
      </c>
      <c r="N380" s="5619">
        <v>0</v>
      </c>
      <c r="O380" s="5618" t="s">
        <v>3165</v>
      </c>
      <c r="P380" s="5618" t="s">
        <v>3166</v>
      </c>
      <c r="Q380" s="5620" t="s">
        <v>3149</v>
      </c>
      <c r="R380" s="1110"/>
      <c r="S380" s="1111"/>
      <c r="T380" s="1111"/>
      <c r="U380" s="1711"/>
      <c r="V380" s="1112"/>
      <c r="W380" s="1719"/>
      <c r="X380" s="1113"/>
      <c r="Y380" s="1113"/>
      <c r="Z380" s="1113"/>
      <c r="AA380" s="1114"/>
      <c r="AB380" s="1719"/>
      <c r="AC380" s="410"/>
      <c r="AD380" s="410"/>
      <c r="AE380" s="1308"/>
    </row>
    <row r="381" spans="1:31" ht="18" customHeight="1">
      <c r="A381" s="5629"/>
      <c r="B381" s="5573"/>
      <c r="C381" s="5337"/>
      <c r="D381" s="5337"/>
      <c r="E381" s="5337"/>
      <c r="F381" s="5337"/>
      <c r="G381" s="5337"/>
      <c r="H381" s="5337"/>
      <c r="I381" s="5337"/>
      <c r="J381" s="5337"/>
      <c r="K381" s="5337"/>
      <c r="L381" s="5337"/>
      <c r="M381" s="5337"/>
      <c r="N381" s="5337"/>
      <c r="O381" s="5337"/>
      <c r="P381" s="5337"/>
      <c r="Q381" s="5345"/>
      <c r="R381" s="1110"/>
      <c r="S381" s="1111"/>
      <c r="T381" s="1111"/>
      <c r="U381" s="1711"/>
      <c r="V381" s="1112"/>
      <c r="W381" s="1719"/>
      <c r="X381" s="1113"/>
      <c r="Y381" s="1113"/>
      <c r="Z381" s="1113"/>
      <c r="AA381" s="1114"/>
      <c r="AB381" s="1719"/>
      <c r="AC381" s="410"/>
      <c r="AD381" s="410"/>
      <c r="AE381" s="1308"/>
    </row>
    <row r="382" spans="1:31" ht="18" customHeight="1">
      <c r="A382" s="5629"/>
      <c r="B382" s="5573"/>
      <c r="C382" s="5337"/>
      <c r="D382" s="5337"/>
      <c r="E382" s="5337"/>
      <c r="F382" s="5337"/>
      <c r="G382" s="5337"/>
      <c r="H382" s="5337"/>
      <c r="I382" s="5337"/>
      <c r="J382" s="5337"/>
      <c r="K382" s="5337"/>
      <c r="L382" s="5337"/>
      <c r="M382" s="5337"/>
      <c r="N382" s="5337"/>
      <c r="O382" s="5337"/>
      <c r="P382" s="5337"/>
      <c r="Q382" s="5345"/>
      <c r="R382" s="1110"/>
      <c r="S382" s="1111"/>
      <c r="T382" s="1111"/>
      <c r="U382" s="1711"/>
      <c r="V382" s="1112"/>
      <c r="W382" s="1719"/>
      <c r="X382" s="1113"/>
      <c r="Y382" s="1113"/>
      <c r="Z382" s="1113"/>
      <c r="AA382" s="1114"/>
      <c r="AB382" s="1719"/>
      <c r="AC382" s="410"/>
      <c r="AD382" s="410"/>
      <c r="AE382" s="1308"/>
    </row>
    <row r="383" spans="1:31" ht="18" customHeight="1">
      <c r="A383" s="5629"/>
      <c r="B383" s="5573"/>
      <c r="C383" s="5337"/>
      <c r="D383" s="5337"/>
      <c r="E383" s="5337"/>
      <c r="F383" s="5337"/>
      <c r="G383" s="5337"/>
      <c r="H383" s="5337"/>
      <c r="I383" s="5337"/>
      <c r="J383" s="5337"/>
      <c r="K383" s="5337"/>
      <c r="L383" s="5337"/>
      <c r="M383" s="5337"/>
      <c r="N383" s="5337"/>
      <c r="O383" s="5337"/>
      <c r="P383" s="5337"/>
      <c r="Q383" s="5345"/>
      <c r="R383" s="1110"/>
      <c r="S383" s="1111"/>
      <c r="T383" s="1111"/>
      <c r="U383" s="1711"/>
      <c r="V383" s="1112"/>
      <c r="W383" s="1719"/>
      <c r="X383" s="1113"/>
      <c r="Y383" s="1113"/>
      <c r="Z383" s="1113"/>
      <c r="AA383" s="1114"/>
      <c r="AB383" s="1719"/>
      <c r="AC383" s="410"/>
      <c r="AD383" s="410"/>
      <c r="AE383" s="1308"/>
    </row>
    <row r="384" spans="1:31" ht="18" customHeight="1">
      <c r="A384" s="5629"/>
      <c r="B384" s="5574"/>
      <c r="C384" s="5338"/>
      <c r="D384" s="5338"/>
      <c r="E384" s="5338"/>
      <c r="F384" s="5338"/>
      <c r="G384" s="5338"/>
      <c r="H384" s="5338"/>
      <c r="I384" s="5338"/>
      <c r="J384" s="5338"/>
      <c r="K384" s="5338"/>
      <c r="L384" s="5338"/>
      <c r="M384" s="5338"/>
      <c r="N384" s="5338"/>
      <c r="O384" s="5338"/>
      <c r="P384" s="5338"/>
      <c r="Q384" s="5346"/>
      <c r="R384" s="1309"/>
      <c r="S384" s="1310"/>
      <c r="T384" s="1310"/>
      <c r="U384" s="277"/>
      <c r="V384" s="1311"/>
      <c r="W384" s="416"/>
      <c r="X384" s="1312"/>
      <c r="Y384" s="1312"/>
      <c r="Z384" s="1312"/>
      <c r="AA384" s="1313"/>
      <c r="AB384" s="416"/>
      <c r="AC384" s="278"/>
      <c r="AD384" s="278"/>
      <c r="AE384" s="1314"/>
    </row>
    <row r="385" spans="1:31" ht="18" customHeight="1">
      <c r="A385" s="5629"/>
      <c r="B385" s="5626" t="s">
        <v>272</v>
      </c>
      <c r="C385" s="5624" t="s">
        <v>302</v>
      </c>
      <c r="D385" s="5624" t="s">
        <v>303</v>
      </c>
      <c r="E385" s="5624" t="s">
        <v>304</v>
      </c>
      <c r="F385" s="5622" t="s">
        <v>305</v>
      </c>
      <c r="G385" s="5624" t="s">
        <v>240</v>
      </c>
      <c r="H385" s="5624" t="s">
        <v>257</v>
      </c>
      <c r="I385" s="5618" t="s">
        <v>3167</v>
      </c>
      <c r="J385" s="5618" t="s">
        <v>3168</v>
      </c>
      <c r="K385" s="5618" t="s">
        <v>3006</v>
      </c>
      <c r="L385" s="5619">
        <v>2</v>
      </c>
      <c r="M385" s="5619">
        <v>0</v>
      </c>
      <c r="N385" s="5619">
        <v>2</v>
      </c>
      <c r="O385" s="5618" t="s">
        <v>3169</v>
      </c>
      <c r="P385" s="5618" t="s">
        <v>3170</v>
      </c>
      <c r="Q385" s="5620" t="s">
        <v>3149</v>
      </c>
      <c r="R385" s="1110"/>
      <c r="S385" s="1111"/>
      <c r="T385" s="1111"/>
      <c r="U385" s="1711"/>
      <c r="V385" s="1112"/>
      <c r="W385" s="1719"/>
      <c r="X385" s="1113"/>
      <c r="Y385" s="1113"/>
      <c r="Z385" s="1113"/>
      <c r="AA385" s="1114"/>
      <c r="AB385" s="1719"/>
      <c r="AC385" s="410"/>
      <c r="AD385" s="410"/>
      <c r="AE385" s="1308"/>
    </row>
    <row r="386" spans="1:31" ht="18" customHeight="1">
      <c r="A386" s="5629"/>
      <c r="B386" s="5573"/>
      <c r="C386" s="5337"/>
      <c r="D386" s="5337"/>
      <c r="E386" s="5337"/>
      <c r="F386" s="5337"/>
      <c r="G386" s="5337"/>
      <c r="H386" s="5337"/>
      <c r="I386" s="5337"/>
      <c r="J386" s="5337"/>
      <c r="K386" s="5337"/>
      <c r="L386" s="5337"/>
      <c r="M386" s="5337"/>
      <c r="N386" s="5337"/>
      <c r="O386" s="5337"/>
      <c r="P386" s="5337"/>
      <c r="Q386" s="5345"/>
      <c r="R386" s="1110"/>
      <c r="S386" s="1111"/>
      <c r="T386" s="1111"/>
      <c r="U386" s="1711"/>
      <c r="V386" s="1112"/>
      <c r="W386" s="1719"/>
      <c r="X386" s="1113"/>
      <c r="Y386" s="1113"/>
      <c r="Z386" s="1113"/>
      <c r="AA386" s="1114"/>
      <c r="AB386" s="1719"/>
      <c r="AC386" s="410"/>
      <c r="AD386" s="410"/>
      <c r="AE386" s="1308"/>
    </row>
    <row r="387" spans="1:31" ht="18" customHeight="1">
      <c r="A387" s="5629"/>
      <c r="B387" s="5573"/>
      <c r="C387" s="5337"/>
      <c r="D387" s="5337"/>
      <c r="E387" s="5337"/>
      <c r="F387" s="5337"/>
      <c r="G387" s="5337"/>
      <c r="H387" s="5337"/>
      <c r="I387" s="5337"/>
      <c r="J387" s="5337"/>
      <c r="K387" s="5337"/>
      <c r="L387" s="5337"/>
      <c r="M387" s="5337"/>
      <c r="N387" s="5337"/>
      <c r="O387" s="5337"/>
      <c r="P387" s="5337"/>
      <c r="Q387" s="5345"/>
      <c r="R387" s="1110"/>
      <c r="S387" s="1111"/>
      <c r="T387" s="1111"/>
      <c r="U387" s="1711"/>
      <c r="V387" s="1112"/>
      <c r="W387" s="1719"/>
      <c r="X387" s="1113"/>
      <c r="Y387" s="1113"/>
      <c r="Z387" s="1113"/>
      <c r="AA387" s="1114"/>
      <c r="AB387" s="1719"/>
      <c r="AC387" s="410"/>
      <c r="AD387" s="410"/>
      <c r="AE387" s="1308"/>
    </row>
    <row r="388" spans="1:31" ht="18" customHeight="1">
      <c r="A388" s="5629"/>
      <c r="B388" s="5573"/>
      <c r="C388" s="5337"/>
      <c r="D388" s="5337"/>
      <c r="E388" s="5337"/>
      <c r="F388" s="5337"/>
      <c r="G388" s="5337"/>
      <c r="H388" s="5337"/>
      <c r="I388" s="5337"/>
      <c r="J388" s="5337"/>
      <c r="K388" s="5337"/>
      <c r="L388" s="5337"/>
      <c r="M388" s="5337"/>
      <c r="N388" s="5337"/>
      <c r="O388" s="5337"/>
      <c r="P388" s="5337"/>
      <c r="Q388" s="5345"/>
      <c r="R388" s="1110"/>
      <c r="S388" s="1111"/>
      <c r="T388" s="1111"/>
      <c r="U388" s="1711"/>
      <c r="V388" s="1112"/>
      <c r="W388" s="1719"/>
      <c r="X388" s="1113"/>
      <c r="Y388" s="1113"/>
      <c r="Z388" s="1113"/>
      <c r="AA388" s="1114"/>
      <c r="AB388" s="1719"/>
      <c r="AC388" s="410"/>
      <c r="AD388" s="410"/>
      <c r="AE388" s="1308"/>
    </row>
    <row r="389" spans="1:31" ht="18" customHeight="1">
      <c r="A389" s="5629"/>
      <c r="B389" s="5574"/>
      <c r="C389" s="5338"/>
      <c r="D389" s="5338"/>
      <c r="E389" s="5338"/>
      <c r="F389" s="5338"/>
      <c r="G389" s="5338"/>
      <c r="H389" s="5338"/>
      <c r="I389" s="5337"/>
      <c r="J389" s="5337"/>
      <c r="K389" s="5337"/>
      <c r="L389" s="5337"/>
      <c r="M389" s="5337"/>
      <c r="N389" s="5337"/>
      <c r="O389" s="5337"/>
      <c r="P389" s="5337"/>
      <c r="Q389" s="5345"/>
      <c r="R389" s="1309"/>
      <c r="S389" s="1310"/>
      <c r="T389" s="1310"/>
      <c r="U389" s="277"/>
      <c r="V389" s="1311"/>
      <c r="W389" s="416"/>
      <c r="X389" s="1312"/>
      <c r="Y389" s="1312"/>
      <c r="Z389" s="1312"/>
      <c r="AA389" s="1313"/>
      <c r="AB389" s="416"/>
      <c r="AC389" s="278"/>
      <c r="AD389" s="278"/>
      <c r="AE389" s="1314"/>
    </row>
    <row r="390" spans="1:31" ht="18" customHeight="1">
      <c r="A390" s="5629"/>
      <c r="B390" s="5626" t="s">
        <v>272</v>
      </c>
      <c r="C390" s="5624" t="s">
        <v>302</v>
      </c>
      <c r="D390" s="5624" t="s">
        <v>303</v>
      </c>
      <c r="E390" s="5624" t="s">
        <v>304</v>
      </c>
      <c r="F390" s="5622" t="s">
        <v>305</v>
      </c>
      <c r="G390" s="5624" t="s">
        <v>240</v>
      </c>
      <c r="H390" s="5624" t="s">
        <v>257</v>
      </c>
      <c r="I390" s="5618" t="s">
        <v>3171</v>
      </c>
      <c r="J390" s="5618" t="s">
        <v>3172</v>
      </c>
      <c r="K390" s="5618" t="s">
        <v>3173</v>
      </c>
      <c r="L390" s="5619">
        <v>4</v>
      </c>
      <c r="M390" s="5619">
        <v>4</v>
      </c>
      <c r="N390" s="5619">
        <v>4</v>
      </c>
      <c r="O390" s="5618" t="s">
        <v>3174</v>
      </c>
      <c r="P390" s="5618" t="s">
        <v>3175</v>
      </c>
      <c r="Q390" s="5620" t="s">
        <v>3176</v>
      </c>
      <c r="R390" s="1110"/>
      <c r="S390" s="1111"/>
      <c r="T390" s="1111"/>
      <c r="U390" s="1711"/>
      <c r="V390" s="1112"/>
      <c r="W390" s="1719"/>
      <c r="X390" s="1113"/>
      <c r="Y390" s="1113"/>
      <c r="Z390" s="1113"/>
      <c r="AA390" s="1114"/>
      <c r="AB390" s="1719"/>
      <c r="AC390" s="410"/>
      <c r="AD390" s="410"/>
      <c r="AE390" s="1308"/>
    </row>
    <row r="391" spans="1:31" ht="18" customHeight="1">
      <c r="A391" s="5629"/>
      <c r="B391" s="5573"/>
      <c r="C391" s="5337"/>
      <c r="D391" s="5337"/>
      <c r="E391" s="5337"/>
      <c r="F391" s="5337"/>
      <c r="G391" s="5337"/>
      <c r="H391" s="5337"/>
      <c r="I391" s="5337"/>
      <c r="J391" s="5337"/>
      <c r="K391" s="5337"/>
      <c r="L391" s="5337"/>
      <c r="M391" s="5337"/>
      <c r="N391" s="5337"/>
      <c r="O391" s="5337"/>
      <c r="P391" s="5337"/>
      <c r="Q391" s="5345"/>
      <c r="R391" s="1110"/>
      <c r="S391" s="1111"/>
      <c r="T391" s="1111"/>
      <c r="U391" s="1711"/>
      <c r="V391" s="1112"/>
      <c r="W391" s="1719"/>
      <c r="X391" s="1113"/>
      <c r="Y391" s="1113"/>
      <c r="Z391" s="1113"/>
      <c r="AA391" s="1114"/>
      <c r="AB391" s="1719"/>
      <c r="AC391" s="410"/>
      <c r="AD391" s="410"/>
      <c r="AE391" s="1308"/>
    </row>
    <row r="392" spans="1:31" ht="18" customHeight="1">
      <c r="A392" s="5629"/>
      <c r="B392" s="5573"/>
      <c r="C392" s="5337"/>
      <c r="D392" s="5337"/>
      <c r="E392" s="5337"/>
      <c r="F392" s="5337"/>
      <c r="G392" s="5337"/>
      <c r="H392" s="5337"/>
      <c r="I392" s="5337"/>
      <c r="J392" s="5337"/>
      <c r="K392" s="5337"/>
      <c r="L392" s="5337"/>
      <c r="M392" s="5337"/>
      <c r="N392" s="5337"/>
      <c r="O392" s="5337"/>
      <c r="P392" s="5337"/>
      <c r="Q392" s="5345"/>
      <c r="R392" s="1110"/>
      <c r="S392" s="1111"/>
      <c r="T392" s="1111"/>
      <c r="U392" s="1711"/>
      <c r="V392" s="1112"/>
      <c r="W392" s="1719"/>
      <c r="X392" s="1113"/>
      <c r="Y392" s="1113"/>
      <c r="Z392" s="1113"/>
      <c r="AA392" s="1114"/>
      <c r="AB392" s="1719"/>
      <c r="AC392" s="410"/>
      <c r="AD392" s="410"/>
      <c r="AE392" s="1308"/>
    </row>
    <row r="393" spans="1:31" ht="18" customHeight="1">
      <c r="A393" s="5629"/>
      <c r="B393" s="5573"/>
      <c r="C393" s="5337"/>
      <c r="D393" s="5337"/>
      <c r="E393" s="5337"/>
      <c r="F393" s="5337"/>
      <c r="G393" s="5337"/>
      <c r="H393" s="5337"/>
      <c r="I393" s="5337"/>
      <c r="J393" s="5337"/>
      <c r="K393" s="5337"/>
      <c r="L393" s="5337"/>
      <c r="M393" s="5337"/>
      <c r="N393" s="5337"/>
      <c r="O393" s="5337"/>
      <c r="P393" s="5337"/>
      <c r="Q393" s="5345"/>
      <c r="R393" s="1110"/>
      <c r="S393" s="1111"/>
      <c r="T393" s="1111"/>
      <c r="U393" s="1711"/>
      <c r="V393" s="1112"/>
      <c r="W393" s="1719"/>
      <c r="X393" s="1113"/>
      <c r="Y393" s="1113"/>
      <c r="Z393" s="1113"/>
      <c r="AA393" s="1114"/>
      <c r="AB393" s="1719"/>
      <c r="AC393" s="410"/>
      <c r="AD393" s="410"/>
      <c r="AE393" s="1308"/>
    </row>
    <row r="394" spans="1:31" ht="18" customHeight="1">
      <c r="A394" s="5629"/>
      <c r="B394" s="5574"/>
      <c r="C394" s="5338"/>
      <c r="D394" s="5338"/>
      <c r="E394" s="5338"/>
      <c r="F394" s="5338"/>
      <c r="G394" s="5338"/>
      <c r="H394" s="5338"/>
      <c r="I394" s="5338"/>
      <c r="J394" s="5338"/>
      <c r="K394" s="5338"/>
      <c r="L394" s="5338"/>
      <c r="M394" s="5338"/>
      <c r="N394" s="5338"/>
      <c r="O394" s="5338"/>
      <c r="P394" s="5338"/>
      <c r="Q394" s="5346"/>
      <c r="R394" s="1309"/>
      <c r="S394" s="1310"/>
      <c r="T394" s="1310"/>
      <c r="U394" s="277"/>
      <c r="V394" s="1311"/>
      <c r="W394" s="416"/>
      <c r="X394" s="1312"/>
      <c r="Y394" s="1312"/>
      <c r="Z394" s="1312"/>
      <c r="AA394" s="1313"/>
      <c r="AB394" s="416"/>
      <c r="AC394" s="278"/>
      <c r="AD394" s="278"/>
      <c r="AE394" s="1314"/>
    </row>
    <row r="395" spans="1:31" ht="18" customHeight="1">
      <c r="A395" s="5629"/>
      <c r="B395" s="5626" t="s">
        <v>272</v>
      </c>
      <c r="C395" s="5624" t="s">
        <v>302</v>
      </c>
      <c r="D395" s="5624" t="s">
        <v>303</v>
      </c>
      <c r="E395" s="5624" t="s">
        <v>304</v>
      </c>
      <c r="F395" s="5622" t="s">
        <v>305</v>
      </c>
      <c r="G395" s="5624" t="s">
        <v>240</v>
      </c>
      <c r="H395" s="5624" t="s">
        <v>257</v>
      </c>
      <c r="I395" s="5618" t="s">
        <v>3177</v>
      </c>
      <c r="J395" s="5618" t="s">
        <v>3178</v>
      </c>
      <c r="K395" s="5618" t="s">
        <v>3146</v>
      </c>
      <c r="L395" s="5619">
        <v>1</v>
      </c>
      <c r="M395" s="5619">
        <v>1</v>
      </c>
      <c r="N395" s="5619">
        <v>1</v>
      </c>
      <c r="O395" s="5618" t="s">
        <v>3179</v>
      </c>
      <c r="P395" s="5618" t="s">
        <v>3180</v>
      </c>
      <c r="Q395" s="5620" t="s">
        <v>3176</v>
      </c>
      <c r="R395" s="1110"/>
      <c r="S395" s="1111"/>
      <c r="T395" s="1111"/>
      <c r="U395" s="1711"/>
      <c r="V395" s="1112"/>
      <c r="W395" s="1719"/>
      <c r="X395" s="1113"/>
      <c r="Y395" s="1113"/>
      <c r="Z395" s="1113"/>
      <c r="AA395" s="1114"/>
      <c r="AB395" s="1719"/>
      <c r="AC395" s="410"/>
      <c r="AD395" s="410"/>
      <c r="AE395" s="1308"/>
    </row>
    <row r="396" spans="1:31" ht="18" customHeight="1">
      <c r="A396" s="5629"/>
      <c r="B396" s="5573"/>
      <c r="C396" s="5337"/>
      <c r="D396" s="5337"/>
      <c r="E396" s="5337"/>
      <c r="F396" s="5337"/>
      <c r="G396" s="5337"/>
      <c r="H396" s="5337"/>
      <c r="I396" s="5337"/>
      <c r="J396" s="5337"/>
      <c r="K396" s="5337"/>
      <c r="L396" s="5337"/>
      <c r="M396" s="5337"/>
      <c r="N396" s="5337"/>
      <c r="O396" s="5337"/>
      <c r="P396" s="5337"/>
      <c r="Q396" s="5345"/>
      <c r="R396" s="1110"/>
      <c r="S396" s="1111"/>
      <c r="T396" s="1111"/>
      <c r="U396" s="1711"/>
      <c r="V396" s="1112"/>
      <c r="W396" s="1719"/>
      <c r="X396" s="1113"/>
      <c r="Y396" s="1113"/>
      <c r="Z396" s="1113"/>
      <c r="AA396" s="1114"/>
      <c r="AB396" s="1719"/>
      <c r="AC396" s="410"/>
      <c r="AD396" s="410"/>
      <c r="AE396" s="1308"/>
    </row>
    <row r="397" spans="1:31" ht="18" customHeight="1">
      <c r="A397" s="5629"/>
      <c r="B397" s="5573"/>
      <c r="C397" s="5337"/>
      <c r="D397" s="5337"/>
      <c r="E397" s="5337"/>
      <c r="F397" s="5337"/>
      <c r="G397" s="5337"/>
      <c r="H397" s="5337"/>
      <c r="I397" s="5337"/>
      <c r="J397" s="5337"/>
      <c r="K397" s="5337"/>
      <c r="L397" s="5337"/>
      <c r="M397" s="5337"/>
      <c r="N397" s="5337"/>
      <c r="O397" s="5337"/>
      <c r="P397" s="5337"/>
      <c r="Q397" s="5345"/>
      <c r="R397" s="1110"/>
      <c r="S397" s="1111"/>
      <c r="T397" s="1111"/>
      <c r="U397" s="1711"/>
      <c r="V397" s="1112"/>
      <c r="W397" s="1719"/>
      <c r="X397" s="1113"/>
      <c r="Y397" s="1113"/>
      <c r="Z397" s="1113"/>
      <c r="AA397" s="1114"/>
      <c r="AB397" s="1719"/>
      <c r="AC397" s="410"/>
      <c r="AD397" s="410"/>
      <c r="AE397" s="1308"/>
    </row>
    <row r="398" spans="1:31" ht="18" customHeight="1">
      <c r="A398" s="5629"/>
      <c r="B398" s="5573"/>
      <c r="C398" s="5337"/>
      <c r="D398" s="5337"/>
      <c r="E398" s="5337"/>
      <c r="F398" s="5337"/>
      <c r="G398" s="5337"/>
      <c r="H398" s="5337"/>
      <c r="I398" s="5337"/>
      <c r="J398" s="5337"/>
      <c r="K398" s="5337"/>
      <c r="L398" s="5337"/>
      <c r="M398" s="5337"/>
      <c r="N398" s="5337"/>
      <c r="O398" s="5337"/>
      <c r="P398" s="5337"/>
      <c r="Q398" s="5345"/>
      <c r="R398" s="1110"/>
      <c r="S398" s="1111"/>
      <c r="T398" s="1111"/>
      <c r="U398" s="1711"/>
      <c r="V398" s="1112"/>
      <c r="W398" s="1719"/>
      <c r="X398" s="1113"/>
      <c r="Y398" s="1113"/>
      <c r="Z398" s="1113"/>
      <c r="AA398" s="1114"/>
      <c r="AB398" s="1719"/>
      <c r="AC398" s="410"/>
      <c r="AD398" s="410"/>
      <c r="AE398" s="1308"/>
    </row>
    <row r="399" spans="1:31" ht="18" customHeight="1">
      <c r="A399" s="5629"/>
      <c r="B399" s="5574"/>
      <c r="C399" s="5338"/>
      <c r="D399" s="5338"/>
      <c r="E399" s="5338"/>
      <c r="F399" s="5338"/>
      <c r="G399" s="5338"/>
      <c r="H399" s="5338"/>
      <c r="I399" s="5338"/>
      <c r="J399" s="5338"/>
      <c r="K399" s="5338"/>
      <c r="L399" s="5338"/>
      <c r="M399" s="5338"/>
      <c r="N399" s="5338"/>
      <c r="O399" s="5338"/>
      <c r="P399" s="5338"/>
      <c r="Q399" s="5346"/>
      <c r="R399" s="1309"/>
      <c r="S399" s="1310"/>
      <c r="T399" s="1310"/>
      <c r="U399" s="277"/>
      <c r="V399" s="1311"/>
      <c r="W399" s="416"/>
      <c r="X399" s="1312"/>
      <c r="Y399" s="1312"/>
      <c r="Z399" s="1312"/>
      <c r="AA399" s="1313"/>
      <c r="AB399" s="416"/>
      <c r="AC399" s="278"/>
      <c r="AD399" s="278"/>
      <c r="AE399" s="1314"/>
    </row>
    <row r="400" spans="1:31" ht="18" customHeight="1">
      <c r="A400" s="5629"/>
      <c r="B400" s="5626" t="s">
        <v>272</v>
      </c>
      <c r="C400" s="5624" t="s">
        <v>302</v>
      </c>
      <c r="D400" s="5624" t="s">
        <v>303</v>
      </c>
      <c r="E400" s="5624" t="s">
        <v>304</v>
      </c>
      <c r="F400" s="5622" t="s">
        <v>305</v>
      </c>
      <c r="G400" s="5624" t="s">
        <v>240</v>
      </c>
      <c r="H400" s="5624" t="s">
        <v>257</v>
      </c>
      <c r="I400" s="5618" t="s">
        <v>3181</v>
      </c>
      <c r="J400" s="5618" t="s">
        <v>3182</v>
      </c>
      <c r="K400" s="5618" t="s">
        <v>3173</v>
      </c>
      <c r="L400" s="5619">
        <v>0</v>
      </c>
      <c r="M400" s="5619">
        <v>1</v>
      </c>
      <c r="N400" s="5619">
        <v>1</v>
      </c>
      <c r="O400" s="5618" t="s">
        <v>3183</v>
      </c>
      <c r="P400" s="5618" t="s">
        <v>3184</v>
      </c>
      <c r="Q400" s="5620" t="s">
        <v>3176</v>
      </c>
      <c r="R400" s="1110"/>
      <c r="S400" s="1111"/>
      <c r="T400" s="1111"/>
      <c r="U400" s="1711"/>
      <c r="V400" s="1112"/>
      <c r="W400" s="1719"/>
      <c r="X400" s="1113"/>
      <c r="Y400" s="1113"/>
      <c r="Z400" s="1113"/>
      <c r="AA400" s="1114"/>
      <c r="AB400" s="1719"/>
      <c r="AC400" s="410"/>
      <c r="AD400" s="410"/>
      <c r="AE400" s="1308"/>
    </row>
    <row r="401" spans="1:31" ht="18" customHeight="1">
      <c r="A401" s="5629"/>
      <c r="B401" s="5573"/>
      <c r="C401" s="5337"/>
      <c r="D401" s="5337"/>
      <c r="E401" s="5337"/>
      <c r="F401" s="5337"/>
      <c r="G401" s="5337"/>
      <c r="H401" s="5337"/>
      <c r="I401" s="5337"/>
      <c r="J401" s="5337"/>
      <c r="K401" s="5337"/>
      <c r="L401" s="5337"/>
      <c r="M401" s="5337"/>
      <c r="N401" s="5337"/>
      <c r="O401" s="5337"/>
      <c r="P401" s="5337"/>
      <c r="Q401" s="5345"/>
      <c r="R401" s="1110"/>
      <c r="S401" s="1111"/>
      <c r="T401" s="1111"/>
      <c r="U401" s="1711"/>
      <c r="V401" s="1112"/>
      <c r="W401" s="1719"/>
      <c r="X401" s="1113"/>
      <c r="Y401" s="1113"/>
      <c r="Z401" s="1113"/>
      <c r="AA401" s="1114"/>
      <c r="AB401" s="1719"/>
      <c r="AC401" s="410"/>
      <c r="AD401" s="410"/>
      <c r="AE401" s="1308"/>
    </row>
    <row r="402" spans="1:31" ht="18" customHeight="1">
      <c r="A402" s="5629"/>
      <c r="B402" s="5573"/>
      <c r="C402" s="5337"/>
      <c r="D402" s="5337"/>
      <c r="E402" s="5337"/>
      <c r="F402" s="5337"/>
      <c r="G402" s="5337"/>
      <c r="H402" s="5337"/>
      <c r="I402" s="5337"/>
      <c r="J402" s="5337"/>
      <c r="K402" s="5337"/>
      <c r="L402" s="5337"/>
      <c r="M402" s="5337"/>
      <c r="N402" s="5337"/>
      <c r="O402" s="5337"/>
      <c r="P402" s="5337"/>
      <c r="Q402" s="5345"/>
      <c r="R402" s="1110"/>
      <c r="S402" s="1111"/>
      <c r="T402" s="1111"/>
      <c r="U402" s="1711"/>
      <c r="V402" s="1112"/>
      <c r="W402" s="1719"/>
      <c r="X402" s="1113"/>
      <c r="Y402" s="1113"/>
      <c r="Z402" s="1113"/>
      <c r="AA402" s="1114"/>
      <c r="AB402" s="1719"/>
      <c r="AC402" s="410"/>
      <c r="AD402" s="410"/>
      <c r="AE402" s="1308"/>
    </row>
    <row r="403" spans="1:31" ht="18" customHeight="1">
      <c r="A403" s="5629"/>
      <c r="B403" s="5573"/>
      <c r="C403" s="5337"/>
      <c r="D403" s="5337"/>
      <c r="E403" s="5337"/>
      <c r="F403" s="5337"/>
      <c r="G403" s="5337"/>
      <c r="H403" s="5337"/>
      <c r="I403" s="5337"/>
      <c r="J403" s="5337"/>
      <c r="K403" s="5337"/>
      <c r="L403" s="5337"/>
      <c r="M403" s="5337"/>
      <c r="N403" s="5337"/>
      <c r="O403" s="5337"/>
      <c r="P403" s="5337"/>
      <c r="Q403" s="5345"/>
      <c r="R403" s="1110"/>
      <c r="S403" s="1111"/>
      <c r="T403" s="1111"/>
      <c r="U403" s="1711"/>
      <c r="V403" s="1112"/>
      <c r="W403" s="1719"/>
      <c r="X403" s="1113"/>
      <c r="Y403" s="1113"/>
      <c r="Z403" s="1113"/>
      <c r="AA403" s="1114"/>
      <c r="AB403" s="1719"/>
      <c r="AC403" s="410"/>
      <c r="AD403" s="410"/>
      <c r="AE403" s="1308"/>
    </row>
    <row r="404" spans="1:31" ht="18" customHeight="1">
      <c r="A404" s="5629"/>
      <c r="B404" s="5574"/>
      <c r="C404" s="5338"/>
      <c r="D404" s="5338"/>
      <c r="E404" s="5338"/>
      <c r="F404" s="5338"/>
      <c r="G404" s="5338"/>
      <c r="H404" s="5338"/>
      <c r="I404" s="5338"/>
      <c r="J404" s="5338"/>
      <c r="K404" s="5338"/>
      <c r="L404" s="5338"/>
      <c r="M404" s="5338"/>
      <c r="N404" s="5338"/>
      <c r="O404" s="5338"/>
      <c r="P404" s="5338"/>
      <c r="Q404" s="5346"/>
      <c r="R404" s="1309"/>
      <c r="S404" s="1310"/>
      <c r="T404" s="1310"/>
      <c r="U404" s="277"/>
      <c r="V404" s="1311"/>
      <c r="W404" s="416"/>
      <c r="X404" s="1312"/>
      <c r="Y404" s="1312"/>
      <c r="Z404" s="1312"/>
      <c r="AA404" s="1313"/>
      <c r="AB404" s="416"/>
      <c r="AC404" s="278"/>
      <c r="AD404" s="278"/>
      <c r="AE404" s="1314"/>
    </row>
    <row r="405" spans="1:31" ht="18" customHeight="1">
      <c r="A405" s="5629"/>
      <c r="B405" s="5627" t="s">
        <v>235</v>
      </c>
      <c r="C405" s="5347" t="s">
        <v>236</v>
      </c>
      <c r="D405" s="5347" t="s">
        <v>237</v>
      </c>
      <c r="E405" s="5347" t="s">
        <v>255</v>
      </c>
      <c r="F405" s="5353" t="s">
        <v>239</v>
      </c>
      <c r="G405" s="5336" t="s">
        <v>240</v>
      </c>
      <c r="H405" s="5336" t="s">
        <v>257</v>
      </c>
      <c r="I405" s="5618" t="s">
        <v>3185</v>
      </c>
      <c r="J405" s="5618" t="s">
        <v>3186</v>
      </c>
      <c r="K405" s="5618" t="s">
        <v>3187</v>
      </c>
      <c r="L405" s="5619">
        <v>1</v>
      </c>
      <c r="M405" s="5619">
        <v>1</v>
      </c>
      <c r="N405" s="5619">
        <v>1</v>
      </c>
      <c r="O405" s="5618" t="s">
        <v>3188</v>
      </c>
      <c r="P405" s="5618" t="s">
        <v>3189</v>
      </c>
      <c r="Q405" s="5620" t="s">
        <v>3149</v>
      </c>
      <c r="R405" s="1110"/>
      <c r="S405" s="1111"/>
      <c r="T405" s="1111"/>
      <c r="U405" s="1711"/>
      <c r="V405" s="1112"/>
      <c r="W405" s="1719"/>
      <c r="X405" s="1113"/>
      <c r="Y405" s="1113"/>
      <c r="Z405" s="1113"/>
      <c r="AA405" s="1114"/>
      <c r="AB405" s="1719"/>
      <c r="AC405" s="410"/>
      <c r="AD405" s="410"/>
      <c r="AE405" s="1308"/>
    </row>
    <row r="406" spans="1:31" ht="18" customHeight="1">
      <c r="A406" s="5629"/>
      <c r="B406" s="5573"/>
      <c r="C406" s="5337"/>
      <c r="D406" s="5337"/>
      <c r="E406" s="5337"/>
      <c r="F406" s="5337"/>
      <c r="G406" s="5337"/>
      <c r="H406" s="5337"/>
      <c r="I406" s="5337"/>
      <c r="J406" s="5337"/>
      <c r="K406" s="5337"/>
      <c r="L406" s="5337"/>
      <c r="M406" s="5337"/>
      <c r="N406" s="5337"/>
      <c r="O406" s="5337"/>
      <c r="P406" s="5337"/>
      <c r="Q406" s="5345"/>
      <c r="R406" s="1110"/>
      <c r="S406" s="1111"/>
      <c r="T406" s="1111"/>
      <c r="U406" s="1711"/>
      <c r="V406" s="1112"/>
      <c r="W406" s="1719"/>
      <c r="X406" s="1113"/>
      <c r="Y406" s="1113"/>
      <c r="Z406" s="1113"/>
      <c r="AA406" s="1114"/>
      <c r="AB406" s="1719"/>
      <c r="AC406" s="410"/>
      <c r="AD406" s="410"/>
      <c r="AE406" s="1308"/>
    </row>
    <row r="407" spans="1:31" ht="18" customHeight="1">
      <c r="A407" s="5629"/>
      <c r="B407" s="5573"/>
      <c r="C407" s="5337"/>
      <c r="D407" s="5337"/>
      <c r="E407" s="5337"/>
      <c r="F407" s="5337"/>
      <c r="G407" s="5337"/>
      <c r="H407" s="5337"/>
      <c r="I407" s="5337"/>
      <c r="J407" s="5337"/>
      <c r="K407" s="5337"/>
      <c r="L407" s="5337"/>
      <c r="M407" s="5337"/>
      <c r="N407" s="5337"/>
      <c r="O407" s="5337"/>
      <c r="P407" s="5337"/>
      <c r="Q407" s="5345"/>
      <c r="R407" s="1110"/>
      <c r="S407" s="1111"/>
      <c r="T407" s="1111"/>
      <c r="U407" s="1711"/>
      <c r="V407" s="1112"/>
      <c r="W407" s="1719"/>
      <c r="X407" s="1113"/>
      <c r="Y407" s="1113"/>
      <c r="Z407" s="1113"/>
      <c r="AA407" s="1114"/>
      <c r="AB407" s="1719"/>
      <c r="AC407" s="410"/>
      <c r="AD407" s="410"/>
      <c r="AE407" s="1308"/>
    </row>
    <row r="408" spans="1:31" ht="18" customHeight="1">
      <c r="A408" s="5629"/>
      <c r="B408" s="5573"/>
      <c r="C408" s="5337"/>
      <c r="D408" s="5337"/>
      <c r="E408" s="5337"/>
      <c r="F408" s="5337"/>
      <c r="G408" s="5337"/>
      <c r="H408" s="5337"/>
      <c r="I408" s="5337"/>
      <c r="J408" s="5337"/>
      <c r="K408" s="5337"/>
      <c r="L408" s="5337"/>
      <c r="M408" s="5337"/>
      <c r="N408" s="5337"/>
      <c r="O408" s="5337"/>
      <c r="P408" s="5337"/>
      <c r="Q408" s="5345"/>
      <c r="R408" s="1110"/>
      <c r="S408" s="1111"/>
      <c r="T408" s="1111"/>
      <c r="U408" s="1711"/>
      <c r="V408" s="1112"/>
      <c r="W408" s="1719"/>
      <c r="X408" s="1113"/>
      <c r="Y408" s="1113"/>
      <c r="Z408" s="1113"/>
      <c r="AA408" s="1114"/>
      <c r="AB408" s="1719"/>
      <c r="AC408" s="410"/>
      <c r="AD408" s="410"/>
      <c r="AE408" s="1308"/>
    </row>
    <row r="409" spans="1:31" ht="18" customHeight="1">
      <c r="A409" s="5629"/>
      <c r="B409" s="5574"/>
      <c r="C409" s="5338"/>
      <c r="D409" s="5338"/>
      <c r="E409" s="5338"/>
      <c r="F409" s="5338"/>
      <c r="G409" s="5338"/>
      <c r="H409" s="5338"/>
      <c r="I409" s="5338"/>
      <c r="J409" s="5338"/>
      <c r="K409" s="5338"/>
      <c r="L409" s="5338"/>
      <c r="M409" s="5338"/>
      <c r="N409" s="5338"/>
      <c r="O409" s="5338"/>
      <c r="P409" s="5338"/>
      <c r="Q409" s="5346"/>
      <c r="R409" s="1309"/>
      <c r="S409" s="1310"/>
      <c r="T409" s="1310"/>
      <c r="U409" s="277"/>
      <c r="V409" s="1311"/>
      <c r="W409" s="416"/>
      <c r="X409" s="1312"/>
      <c r="Y409" s="1312"/>
      <c r="Z409" s="1312"/>
      <c r="AA409" s="1313"/>
      <c r="AB409" s="416"/>
      <c r="AC409" s="278"/>
      <c r="AD409" s="278"/>
      <c r="AE409" s="1314"/>
    </row>
    <row r="410" spans="1:31" ht="18" customHeight="1">
      <c r="A410" s="5629"/>
      <c r="B410" s="5626" t="s">
        <v>272</v>
      </c>
      <c r="C410" s="5624" t="s">
        <v>302</v>
      </c>
      <c r="D410" s="5624" t="s">
        <v>303</v>
      </c>
      <c r="E410" s="5624" t="s">
        <v>304</v>
      </c>
      <c r="F410" s="5622" t="s">
        <v>305</v>
      </c>
      <c r="G410" s="5624" t="s">
        <v>240</v>
      </c>
      <c r="H410" s="5624" t="s">
        <v>257</v>
      </c>
      <c r="I410" s="5618" t="s">
        <v>3190</v>
      </c>
      <c r="J410" s="5618" t="s">
        <v>3191</v>
      </c>
      <c r="K410" s="5618" t="s">
        <v>2995</v>
      </c>
      <c r="L410" s="5619">
        <v>0</v>
      </c>
      <c r="M410" s="5619">
        <v>1</v>
      </c>
      <c r="N410" s="5619">
        <v>0</v>
      </c>
      <c r="O410" s="5618" t="s">
        <v>2996</v>
      </c>
      <c r="P410" s="5618" t="s">
        <v>2997</v>
      </c>
      <c r="Q410" s="5620" t="s">
        <v>3176</v>
      </c>
      <c r="R410" s="1110"/>
      <c r="S410" s="1111"/>
      <c r="T410" s="1111"/>
      <c r="U410" s="1711"/>
      <c r="V410" s="1112"/>
      <c r="W410" s="1719"/>
      <c r="X410" s="1113"/>
      <c r="Y410" s="1113"/>
      <c r="Z410" s="1113"/>
      <c r="AA410" s="1114"/>
      <c r="AB410" s="1719"/>
      <c r="AC410" s="410"/>
      <c r="AD410" s="410"/>
      <c r="AE410" s="1308"/>
    </row>
    <row r="411" spans="1:31" ht="18" customHeight="1">
      <c r="A411" s="5629"/>
      <c r="B411" s="5573"/>
      <c r="C411" s="5337"/>
      <c r="D411" s="5337"/>
      <c r="E411" s="5337"/>
      <c r="F411" s="5337"/>
      <c r="G411" s="5337"/>
      <c r="H411" s="5337"/>
      <c r="I411" s="5337"/>
      <c r="J411" s="5337"/>
      <c r="K411" s="5337"/>
      <c r="L411" s="5337"/>
      <c r="M411" s="5337"/>
      <c r="N411" s="5337"/>
      <c r="O411" s="5337"/>
      <c r="P411" s="5337"/>
      <c r="Q411" s="5345"/>
      <c r="R411" s="1110"/>
      <c r="S411" s="1111"/>
      <c r="T411" s="1111"/>
      <c r="U411" s="1711"/>
      <c r="V411" s="1112"/>
      <c r="W411" s="1719"/>
      <c r="X411" s="1113"/>
      <c r="Y411" s="1113"/>
      <c r="Z411" s="1113"/>
      <c r="AA411" s="1114"/>
      <c r="AB411" s="1719"/>
      <c r="AC411" s="410"/>
      <c r="AD411" s="410"/>
      <c r="AE411" s="1308"/>
    </row>
    <row r="412" spans="1:31" ht="18" customHeight="1">
      <c r="A412" s="5629"/>
      <c r="B412" s="5573"/>
      <c r="C412" s="5337"/>
      <c r="D412" s="5337"/>
      <c r="E412" s="5337"/>
      <c r="F412" s="5337"/>
      <c r="G412" s="5337"/>
      <c r="H412" s="5337"/>
      <c r="I412" s="5337"/>
      <c r="J412" s="5337"/>
      <c r="K412" s="5337"/>
      <c r="L412" s="5337"/>
      <c r="M412" s="5337"/>
      <c r="N412" s="5337"/>
      <c r="O412" s="5337"/>
      <c r="P412" s="5337"/>
      <c r="Q412" s="5345"/>
      <c r="R412" s="1110"/>
      <c r="S412" s="1111"/>
      <c r="T412" s="1111"/>
      <c r="U412" s="1711"/>
      <c r="V412" s="1112"/>
      <c r="W412" s="1719"/>
      <c r="X412" s="1113"/>
      <c r="Y412" s="1113"/>
      <c r="Z412" s="1113"/>
      <c r="AA412" s="1114"/>
      <c r="AB412" s="1719"/>
      <c r="AC412" s="410"/>
      <c r="AD412" s="410"/>
      <c r="AE412" s="1308"/>
    </row>
    <row r="413" spans="1:31" ht="18" customHeight="1">
      <c r="A413" s="5629"/>
      <c r="B413" s="5573"/>
      <c r="C413" s="5337"/>
      <c r="D413" s="5337"/>
      <c r="E413" s="5337"/>
      <c r="F413" s="5337"/>
      <c r="G413" s="5337"/>
      <c r="H413" s="5337"/>
      <c r="I413" s="5337"/>
      <c r="J413" s="5337"/>
      <c r="K413" s="5337"/>
      <c r="L413" s="5337"/>
      <c r="M413" s="5337"/>
      <c r="N413" s="5337"/>
      <c r="O413" s="5337"/>
      <c r="P413" s="5337"/>
      <c r="Q413" s="5345"/>
      <c r="R413" s="1110"/>
      <c r="S413" s="1111"/>
      <c r="T413" s="1111"/>
      <c r="U413" s="1711"/>
      <c r="V413" s="1112"/>
      <c r="W413" s="1719"/>
      <c r="X413" s="1113"/>
      <c r="Y413" s="1113"/>
      <c r="Z413" s="1113"/>
      <c r="AA413" s="1114"/>
      <c r="AB413" s="1719"/>
      <c r="AC413" s="410"/>
      <c r="AD413" s="410"/>
      <c r="AE413" s="1308"/>
    </row>
    <row r="414" spans="1:31" ht="18" customHeight="1">
      <c r="A414" s="5629"/>
      <c r="B414" s="5574"/>
      <c r="C414" s="5338"/>
      <c r="D414" s="5338"/>
      <c r="E414" s="5338"/>
      <c r="F414" s="5338"/>
      <c r="G414" s="5338"/>
      <c r="H414" s="5338"/>
      <c r="I414" s="5338"/>
      <c r="J414" s="5338"/>
      <c r="K414" s="5338"/>
      <c r="L414" s="5338"/>
      <c r="M414" s="5338"/>
      <c r="N414" s="5338"/>
      <c r="O414" s="5338"/>
      <c r="P414" s="5338"/>
      <c r="Q414" s="5346"/>
      <c r="R414" s="1309"/>
      <c r="S414" s="1310"/>
      <c r="T414" s="1310"/>
      <c r="U414" s="277"/>
      <c r="V414" s="1311"/>
      <c r="W414" s="416"/>
      <c r="X414" s="1312"/>
      <c r="Y414" s="1312"/>
      <c r="Z414" s="1312"/>
      <c r="AA414" s="1313"/>
      <c r="AB414" s="416"/>
      <c r="AC414" s="278"/>
      <c r="AD414" s="278"/>
      <c r="AE414" s="1314"/>
    </row>
    <row r="415" spans="1:31" ht="18" customHeight="1">
      <c r="A415" s="5629"/>
      <c r="B415" s="5626" t="s">
        <v>272</v>
      </c>
      <c r="C415" s="5624" t="s">
        <v>302</v>
      </c>
      <c r="D415" s="5624" t="s">
        <v>303</v>
      </c>
      <c r="E415" s="5624" t="s">
        <v>304</v>
      </c>
      <c r="F415" s="5622" t="s">
        <v>305</v>
      </c>
      <c r="G415" s="5336" t="s">
        <v>262</v>
      </c>
      <c r="H415" s="5336" t="s">
        <v>241</v>
      </c>
      <c r="I415" s="5336" t="s">
        <v>3192</v>
      </c>
      <c r="J415" s="5623" t="s">
        <v>3193</v>
      </c>
      <c r="K415" s="5336" t="s">
        <v>3146</v>
      </c>
      <c r="L415" s="5343">
        <v>1</v>
      </c>
      <c r="M415" s="5399">
        <v>1</v>
      </c>
      <c r="N415" s="5343">
        <v>1</v>
      </c>
      <c r="O415" s="5336" t="s">
        <v>3194</v>
      </c>
      <c r="P415" s="5336" t="s">
        <v>3195</v>
      </c>
      <c r="Q415" s="5370" t="s">
        <v>3196</v>
      </c>
      <c r="R415" s="970"/>
      <c r="S415" s="967"/>
      <c r="T415" s="967"/>
      <c r="U415" s="176"/>
      <c r="V415" s="968"/>
      <c r="W415" s="414"/>
      <c r="X415" s="973"/>
      <c r="Y415" s="973"/>
      <c r="Z415" s="973"/>
      <c r="AA415" s="981"/>
      <c r="AB415" s="414"/>
      <c r="AC415" s="174"/>
      <c r="AD415" s="174"/>
      <c r="AE415" s="5415"/>
    </row>
    <row r="416" spans="1:31" ht="18" customHeight="1">
      <c r="A416" s="5629"/>
      <c r="B416" s="5573"/>
      <c r="C416" s="5337"/>
      <c r="D416" s="5337"/>
      <c r="E416" s="5337"/>
      <c r="F416" s="5337"/>
      <c r="G416" s="5337"/>
      <c r="H416" s="5337"/>
      <c r="I416" s="5337"/>
      <c r="J416" s="5337"/>
      <c r="K416" s="5337"/>
      <c r="L416" s="5337"/>
      <c r="M416" s="5337"/>
      <c r="N416" s="5337"/>
      <c r="O416" s="5337"/>
      <c r="P416" s="5337"/>
      <c r="Q416" s="5345"/>
      <c r="R416" s="982"/>
      <c r="S416" s="983"/>
      <c r="T416" s="983"/>
      <c r="U416" s="169"/>
      <c r="V416" s="984"/>
      <c r="W416" s="170"/>
      <c r="X416" s="974"/>
      <c r="Y416" s="974">
        <f t="shared" ref="Y416:Y419" si="108">+V416*X416</f>
        <v>0</v>
      </c>
      <c r="Z416" s="974">
        <f t="shared" ref="Z416:Z419" si="109">+Y416*1.12</f>
        <v>0</v>
      </c>
      <c r="AA416" s="969"/>
      <c r="AB416" s="170"/>
      <c r="AC416" s="282"/>
      <c r="AD416" s="282"/>
      <c r="AE416" s="5416"/>
    </row>
    <row r="417" spans="1:31" ht="18" customHeight="1">
      <c r="A417" s="5629"/>
      <c r="B417" s="5573"/>
      <c r="C417" s="5337"/>
      <c r="D417" s="5337"/>
      <c r="E417" s="5337"/>
      <c r="F417" s="5337"/>
      <c r="G417" s="5337"/>
      <c r="H417" s="5337"/>
      <c r="I417" s="5337"/>
      <c r="J417" s="5337"/>
      <c r="K417" s="5337"/>
      <c r="L417" s="5337"/>
      <c r="M417" s="5337"/>
      <c r="N417" s="5337"/>
      <c r="O417" s="5337"/>
      <c r="P417" s="5337"/>
      <c r="Q417" s="5345"/>
      <c r="R417" s="971"/>
      <c r="S417" s="972"/>
      <c r="T417" s="972"/>
      <c r="U417" s="1217"/>
      <c r="V417" s="968"/>
      <c r="W417" s="414"/>
      <c r="X417" s="973"/>
      <c r="Y417" s="974">
        <f t="shared" si="108"/>
        <v>0</v>
      </c>
      <c r="Z417" s="974">
        <f t="shared" si="109"/>
        <v>0</v>
      </c>
      <c r="AA417" s="969"/>
      <c r="AB417" s="170"/>
      <c r="AC417" s="282"/>
      <c r="AD417" s="282"/>
      <c r="AE417" s="5416"/>
    </row>
    <row r="418" spans="1:31" ht="18" customHeight="1">
      <c r="A418" s="5629"/>
      <c r="B418" s="5573"/>
      <c r="C418" s="5337"/>
      <c r="D418" s="5337"/>
      <c r="E418" s="5337"/>
      <c r="F418" s="5337"/>
      <c r="G418" s="5337"/>
      <c r="H418" s="5337"/>
      <c r="I418" s="5337"/>
      <c r="J418" s="5337"/>
      <c r="K418" s="5337"/>
      <c r="L418" s="5337"/>
      <c r="M418" s="5337"/>
      <c r="N418" s="5337"/>
      <c r="O418" s="5337"/>
      <c r="P418" s="5337"/>
      <c r="Q418" s="5345"/>
      <c r="R418" s="970"/>
      <c r="S418" s="967"/>
      <c r="T418" s="967"/>
      <c r="U418" s="1217"/>
      <c r="V418" s="968"/>
      <c r="W418" s="414"/>
      <c r="X418" s="973"/>
      <c r="Y418" s="974">
        <f t="shared" si="108"/>
        <v>0</v>
      </c>
      <c r="Z418" s="974">
        <f t="shared" si="109"/>
        <v>0</v>
      </c>
      <c r="AA418" s="969"/>
      <c r="AB418" s="170"/>
      <c r="AC418" s="282"/>
      <c r="AD418" s="282"/>
      <c r="AE418" s="5416"/>
    </row>
    <row r="419" spans="1:31" ht="18" customHeight="1">
      <c r="A419" s="5629"/>
      <c r="B419" s="5574"/>
      <c r="C419" s="5338"/>
      <c r="D419" s="5338"/>
      <c r="E419" s="5338"/>
      <c r="F419" s="5338"/>
      <c r="G419" s="5338"/>
      <c r="H419" s="5338"/>
      <c r="I419" s="5338"/>
      <c r="J419" s="5338"/>
      <c r="K419" s="5338"/>
      <c r="L419" s="5338"/>
      <c r="M419" s="5338"/>
      <c r="N419" s="5338"/>
      <c r="O419" s="5338"/>
      <c r="P419" s="5338"/>
      <c r="Q419" s="5346"/>
      <c r="R419" s="975"/>
      <c r="S419" s="976"/>
      <c r="T419" s="976"/>
      <c r="U419" s="411"/>
      <c r="V419" s="977"/>
      <c r="W419" s="165"/>
      <c r="X419" s="978"/>
      <c r="Y419" s="978">
        <f t="shared" si="108"/>
        <v>0</v>
      </c>
      <c r="Z419" s="978">
        <f t="shared" si="109"/>
        <v>0</v>
      </c>
      <c r="AA419" s="979"/>
      <c r="AB419" s="165"/>
      <c r="AC419" s="166"/>
      <c r="AD419" s="166"/>
      <c r="AE419" s="5417"/>
    </row>
    <row r="420" spans="1:31" ht="18" customHeight="1">
      <c r="A420" s="5629"/>
      <c r="B420" s="5572" t="s">
        <v>235</v>
      </c>
      <c r="C420" s="5336" t="s">
        <v>236</v>
      </c>
      <c r="D420" s="5336" t="s">
        <v>237</v>
      </c>
      <c r="E420" s="5336" t="s">
        <v>255</v>
      </c>
      <c r="F420" s="5341" t="s">
        <v>239</v>
      </c>
      <c r="G420" s="5336" t="s">
        <v>240</v>
      </c>
      <c r="H420" s="5336" t="s">
        <v>257</v>
      </c>
      <c r="I420" s="5336" t="s">
        <v>3197</v>
      </c>
      <c r="J420" s="5623" t="s">
        <v>3198</v>
      </c>
      <c r="K420" s="5336" t="s">
        <v>3012</v>
      </c>
      <c r="L420" s="5399">
        <v>3</v>
      </c>
      <c r="M420" s="5399">
        <v>4</v>
      </c>
      <c r="N420" s="5399">
        <v>3</v>
      </c>
      <c r="O420" s="5336" t="s">
        <v>3199</v>
      </c>
      <c r="P420" s="5336" t="s">
        <v>3200</v>
      </c>
      <c r="Q420" s="5370" t="s">
        <v>3149</v>
      </c>
      <c r="R420" s="970"/>
      <c r="S420" s="967"/>
      <c r="T420" s="967"/>
      <c r="U420" s="176"/>
      <c r="V420" s="968"/>
      <c r="W420" s="414"/>
      <c r="X420" s="973"/>
      <c r="Y420" s="973"/>
      <c r="Z420" s="973"/>
      <c r="AA420" s="981"/>
      <c r="AB420" s="414"/>
      <c r="AC420" s="174"/>
      <c r="AD420" s="174"/>
      <c r="AE420" s="5415"/>
    </row>
    <row r="421" spans="1:31" ht="18" customHeight="1">
      <c r="A421" s="5629"/>
      <c r="B421" s="5573"/>
      <c r="C421" s="5337"/>
      <c r="D421" s="5337"/>
      <c r="E421" s="5337"/>
      <c r="F421" s="5337"/>
      <c r="G421" s="5337"/>
      <c r="H421" s="5337"/>
      <c r="I421" s="5337"/>
      <c r="J421" s="5337"/>
      <c r="K421" s="5337"/>
      <c r="L421" s="5337"/>
      <c r="M421" s="5337"/>
      <c r="N421" s="5337"/>
      <c r="O421" s="5337"/>
      <c r="P421" s="5337"/>
      <c r="Q421" s="5345"/>
      <c r="R421" s="982"/>
      <c r="S421" s="983"/>
      <c r="T421" s="983"/>
      <c r="U421" s="169"/>
      <c r="V421" s="984"/>
      <c r="W421" s="170"/>
      <c r="X421" s="974"/>
      <c r="Y421" s="974">
        <f t="shared" ref="Y421:Y424" si="110">+V421*X421</f>
        <v>0</v>
      </c>
      <c r="Z421" s="974">
        <f t="shared" ref="Z421:Z424" si="111">+Y421*1.12</f>
        <v>0</v>
      </c>
      <c r="AA421" s="969"/>
      <c r="AB421" s="170"/>
      <c r="AC421" s="282"/>
      <c r="AD421" s="282"/>
      <c r="AE421" s="5416"/>
    </row>
    <row r="422" spans="1:31" ht="18" customHeight="1">
      <c r="A422" s="5629"/>
      <c r="B422" s="5573"/>
      <c r="C422" s="5337"/>
      <c r="D422" s="5337"/>
      <c r="E422" s="5337"/>
      <c r="F422" s="5337"/>
      <c r="G422" s="5337"/>
      <c r="H422" s="5337"/>
      <c r="I422" s="5337"/>
      <c r="J422" s="5337"/>
      <c r="K422" s="5337"/>
      <c r="L422" s="5337"/>
      <c r="M422" s="5337"/>
      <c r="N422" s="5337"/>
      <c r="O422" s="5337"/>
      <c r="P422" s="5337"/>
      <c r="Q422" s="5345"/>
      <c r="R422" s="971"/>
      <c r="S422" s="972"/>
      <c r="T422" s="972"/>
      <c r="U422" s="1217"/>
      <c r="V422" s="968"/>
      <c r="W422" s="414"/>
      <c r="X422" s="973"/>
      <c r="Y422" s="974">
        <f t="shared" si="110"/>
        <v>0</v>
      </c>
      <c r="Z422" s="974">
        <f t="shared" si="111"/>
        <v>0</v>
      </c>
      <c r="AA422" s="969"/>
      <c r="AB422" s="170"/>
      <c r="AC422" s="282"/>
      <c r="AD422" s="282"/>
      <c r="AE422" s="5416"/>
    </row>
    <row r="423" spans="1:31" ht="18" customHeight="1">
      <c r="A423" s="5629"/>
      <c r="B423" s="5573"/>
      <c r="C423" s="5337"/>
      <c r="D423" s="5337"/>
      <c r="E423" s="5337"/>
      <c r="F423" s="5337"/>
      <c r="G423" s="5337"/>
      <c r="H423" s="5337"/>
      <c r="I423" s="5337"/>
      <c r="J423" s="5337"/>
      <c r="K423" s="5337"/>
      <c r="L423" s="5337"/>
      <c r="M423" s="5337"/>
      <c r="N423" s="5337"/>
      <c r="O423" s="5337"/>
      <c r="P423" s="5337"/>
      <c r="Q423" s="5345"/>
      <c r="R423" s="970"/>
      <c r="S423" s="967"/>
      <c r="T423" s="967"/>
      <c r="U423" s="1217"/>
      <c r="V423" s="968"/>
      <c r="W423" s="414"/>
      <c r="X423" s="973"/>
      <c r="Y423" s="974">
        <f t="shared" si="110"/>
        <v>0</v>
      </c>
      <c r="Z423" s="974">
        <f t="shared" si="111"/>
        <v>0</v>
      </c>
      <c r="AA423" s="969"/>
      <c r="AB423" s="170"/>
      <c r="AC423" s="282"/>
      <c r="AD423" s="282"/>
      <c r="AE423" s="5416"/>
    </row>
    <row r="424" spans="1:31" ht="18" customHeight="1">
      <c r="A424" s="5555"/>
      <c r="B424" s="5574"/>
      <c r="C424" s="5338"/>
      <c r="D424" s="5338"/>
      <c r="E424" s="5338"/>
      <c r="F424" s="5338"/>
      <c r="G424" s="5338"/>
      <c r="H424" s="5338"/>
      <c r="I424" s="5338"/>
      <c r="J424" s="5338"/>
      <c r="K424" s="5338"/>
      <c r="L424" s="5338"/>
      <c r="M424" s="5338"/>
      <c r="N424" s="5338"/>
      <c r="O424" s="5338"/>
      <c r="P424" s="5338"/>
      <c r="Q424" s="5346"/>
      <c r="R424" s="975"/>
      <c r="S424" s="976"/>
      <c r="T424" s="976"/>
      <c r="U424" s="411"/>
      <c r="V424" s="977"/>
      <c r="W424" s="165"/>
      <c r="X424" s="978"/>
      <c r="Y424" s="978">
        <f t="shared" si="110"/>
        <v>0</v>
      </c>
      <c r="Z424" s="978">
        <f t="shared" si="111"/>
        <v>0</v>
      </c>
      <c r="AA424" s="979"/>
      <c r="AB424" s="165"/>
      <c r="AC424" s="166"/>
      <c r="AD424" s="166"/>
      <c r="AE424" s="5417"/>
    </row>
    <row r="425" spans="1:31" ht="22.5" customHeight="1">
      <c r="A425" s="2158"/>
      <c r="B425" s="785"/>
      <c r="C425" s="785"/>
      <c r="D425" s="785"/>
      <c r="E425" s="785"/>
      <c r="F425" s="785"/>
      <c r="G425" s="785"/>
      <c r="H425" s="785"/>
      <c r="I425" s="785"/>
      <c r="J425" s="785"/>
      <c r="K425" s="785"/>
      <c r="L425" s="785"/>
      <c r="M425" s="785"/>
      <c r="N425" s="785"/>
      <c r="O425" s="785"/>
      <c r="P425" s="785"/>
      <c r="Q425" s="786"/>
      <c r="R425" s="5642" t="s">
        <v>3201</v>
      </c>
      <c r="S425" s="5474"/>
      <c r="T425" s="5474"/>
      <c r="U425" s="5474"/>
      <c r="V425" s="5474"/>
      <c r="W425" s="5474"/>
      <c r="X425" s="5474"/>
      <c r="Y425" s="5475"/>
      <c r="Z425" s="997" t="s">
        <v>340</v>
      </c>
      <c r="AA425" s="998">
        <f>SUM(AA350:AA424)</f>
        <v>0</v>
      </c>
      <c r="AB425" s="5521"/>
      <c r="AC425" s="5474"/>
      <c r="AD425" s="5474"/>
      <c r="AE425" s="5477"/>
    </row>
    <row r="426" spans="1:31" ht="18" customHeight="1">
      <c r="A426" s="5628" t="s">
        <v>3202</v>
      </c>
      <c r="B426" s="5576" t="s">
        <v>272</v>
      </c>
      <c r="C426" s="5355" t="s">
        <v>302</v>
      </c>
      <c r="D426" s="5355" t="s">
        <v>303</v>
      </c>
      <c r="E426" s="5355" t="s">
        <v>304</v>
      </c>
      <c r="F426" s="5364" t="s">
        <v>305</v>
      </c>
      <c r="G426" s="5355" t="s">
        <v>240</v>
      </c>
      <c r="H426" s="5355" t="s">
        <v>257</v>
      </c>
      <c r="I426" s="5360" t="s">
        <v>3203</v>
      </c>
      <c r="J426" s="5625" t="s">
        <v>3135</v>
      </c>
      <c r="K426" s="5355" t="s">
        <v>2846</v>
      </c>
      <c r="L426" s="5363">
        <v>2</v>
      </c>
      <c r="M426" s="5363">
        <v>1</v>
      </c>
      <c r="N426" s="5363">
        <v>2</v>
      </c>
      <c r="O426" s="5355" t="s">
        <v>3136</v>
      </c>
      <c r="P426" s="5355" t="s">
        <v>3137</v>
      </c>
      <c r="Q426" s="5392" t="s">
        <v>3138</v>
      </c>
      <c r="R426" s="1110"/>
      <c r="S426" s="1111"/>
      <c r="T426" s="1111"/>
      <c r="U426" s="1711"/>
      <c r="V426" s="1112"/>
      <c r="W426" s="1719"/>
      <c r="X426" s="1113"/>
      <c r="Y426" s="1113"/>
      <c r="Z426" s="1113"/>
      <c r="AA426" s="1114"/>
      <c r="AB426" s="1719"/>
      <c r="AC426" s="410"/>
      <c r="AD426" s="410"/>
      <c r="AE426" s="1308"/>
    </row>
    <row r="427" spans="1:31" ht="18" customHeight="1">
      <c r="A427" s="5629"/>
      <c r="B427" s="5573"/>
      <c r="C427" s="5337"/>
      <c r="D427" s="5337"/>
      <c r="E427" s="5337"/>
      <c r="F427" s="5337"/>
      <c r="G427" s="5337"/>
      <c r="H427" s="5337"/>
      <c r="I427" s="5361"/>
      <c r="J427" s="5337"/>
      <c r="K427" s="5337"/>
      <c r="L427" s="5337"/>
      <c r="M427" s="5337"/>
      <c r="N427" s="5337"/>
      <c r="O427" s="5337"/>
      <c r="P427" s="5337"/>
      <c r="Q427" s="5345"/>
      <c r="R427" s="1110"/>
      <c r="S427" s="1111"/>
      <c r="T427" s="1111"/>
      <c r="U427" s="1711"/>
      <c r="V427" s="1112"/>
      <c r="W427" s="1719"/>
      <c r="X427" s="1113"/>
      <c r="Y427" s="1113"/>
      <c r="Z427" s="1113"/>
      <c r="AA427" s="1114"/>
      <c r="AB427" s="1719"/>
      <c r="AC427" s="410"/>
      <c r="AD427" s="410"/>
      <c r="AE427" s="1308"/>
    </row>
    <row r="428" spans="1:31" ht="18" customHeight="1">
      <c r="A428" s="5629"/>
      <c r="B428" s="5573"/>
      <c r="C428" s="5337"/>
      <c r="D428" s="5337"/>
      <c r="E428" s="5337"/>
      <c r="F428" s="5337"/>
      <c r="G428" s="5337"/>
      <c r="H428" s="5337"/>
      <c r="I428" s="5361"/>
      <c r="J428" s="5337"/>
      <c r="K428" s="5337"/>
      <c r="L428" s="5337"/>
      <c r="M428" s="5337"/>
      <c r="N428" s="5337"/>
      <c r="O428" s="5337"/>
      <c r="P428" s="5337"/>
      <c r="Q428" s="5345"/>
      <c r="R428" s="1110"/>
      <c r="S428" s="1111"/>
      <c r="T428" s="1111"/>
      <c r="U428" s="1711"/>
      <c r="V428" s="1112"/>
      <c r="W428" s="1719"/>
      <c r="X428" s="1113"/>
      <c r="Y428" s="1113"/>
      <c r="Z428" s="1113"/>
      <c r="AA428" s="1114"/>
      <c r="AB428" s="1719"/>
      <c r="AC428" s="410"/>
      <c r="AD428" s="410"/>
      <c r="AE428" s="1308"/>
    </row>
    <row r="429" spans="1:31" ht="18" customHeight="1">
      <c r="A429" s="5629"/>
      <c r="B429" s="5573"/>
      <c r="C429" s="5337"/>
      <c r="D429" s="5337"/>
      <c r="E429" s="5337"/>
      <c r="F429" s="5337"/>
      <c r="G429" s="5337"/>
      <c r="H429" s="5337"/>
      <c r="I429" s="5361"/>
      <c r="J429" s="5337"/>
      <c r="K429" s="5337"/>
      <c r="L429" s="5337"/>
      <c r="M429" s="5337"/>
      <c r="N429" s="5337"/>
      <c r="O429" s="5337"/>
      <c r="P429" s="5337"/>
      <c r="Q429" s="5345"/>
      <c r="R429" s="1110"/>
      <c r="S429" s="1111"/>
      <c r="T429" s="1111"/>
      <c r="U429" s="1711"/>
      <c r="V429" s="1112"/>
      <c r="W429" s="1719"/>
      <c r="X429" s="1113"/>
      <c r="Y429" s="1113"/>
      <c r="Z429" s="1113"/>
      <c r="AA429" s="1114"/>
      <c r="AB429" s="1719"/>
      <c r="AC429" s="410"/>
      <c r="AD429" s="410"/>
      <c r="AE429" s="1308"/>
    </row>
    <row r="430" spans="1:31" ht="18" customHeight="1">
      <c r="A430" s="5629"/>
      <c r="B430" s="5574"/>
      <c r="C430" s="5338"/>
      <c r="D430" s="5338"/>
      <c r="E430" s="5338"/>
      <c r="F430" s="5338"/>
      <c r="G430" s="5338"/>
      <c r="H430" s="5338"/>
      <c r="I430" s="5362"/>
      <c r="J430" s="5338"/>
      <c r="K430" s="5338"/>
      <c r="L430" s="5338"/>
      <c r="M430" s="5338"/>
      <c r="N430" s="5338"/>
      <c r="O430" s="5338"/>
      <c r="P430" s="5338"/>
      <c r="Q430" s="5346"/>
      <c r="R430" s="1309"/>
      <c r="S430" s="1310"/>
      <c r="T430" s="1310"/>
      <c r="U430" s="277"/>
      <c r="V430" s="1311"/>
      <c r="W430" s="416"/>
      <c r="X430" s="1312"/>
      <c r="Y430" s="1312"/>
      <c r="Z430" s="1312"/>
      <c r="AA430" s="1313"/>
      <c r="AB430" s="416"/>
      <c r="AC430" s="278"/>
      <c r="AD430" s="278"/>
      <c r="AE430" s="1314"/>
    </row>
    <row r="431" spans="1:31" ht="18" customHeight="1">
      <c r="A431" s="5629"/>
      <c r="B431" s="5627" t="s">
        <v>235</v>
      </c>
      <c r="C431" s="5347" t="s">
        <v>236</v>
      </c>
      <c r="D431" s="5347" t="s">
        <v>237</v>
      </c>
      <c r="E431" s="5347" t="s">
        <v>255</v>
      </c>
      <c r="F431" s="5353" t="s">
        <v>239</v>
      </c>
      <c r="G431" s="5336" t="s">
        <v>240</v>
      </c>
      <c r="H431" s="5336" t="s">
        <v>257</v>
      </c>
      <c r="I431" s="5621" t="s">
        <v>3139</v>
      </c>
      <c r="J431" s="5621" t="s">
        <v>3140</v>
      </c>
      <c r="K431" s="5618" t="s">
        <v>2846</v>
      </c>
      <c r="L431" s="5619">
        <v>2</v>
      </c>
      <c r="M431" s="5619">
        <v>0</v>
      </c>
      <c r="N431" s="5619">
        <v>2</v>
      </c>
      <c r="O431" s="5407" t="s">
        <v>3141</v>
      </c>
      <c r="P431" s="5618" t="s">
        <v>3142</v>
      </c>
      <c r="Q431" s="5620" t="s">
        <v>3204</v>
      </c>
      <c r="R431" s="1110"/>
      <c r="S431" s="1111"/>
      <c r="T431" s="1111"/>
      <c r="U431" s="1711"/>
      <c r="V431" s="1112"/>
      <c r="W431" s="1719"/>
      <c r="X431" s="1113"/>
      <c r="Y431" s="1113"/>
      <c r="Z431" s="1113"/>
      <c r="AA431" s="1114"/>
      <c r="AB431" s="1719"/>
      <c r="AC431" s="410"/>
      <c r="AD431" s="410"/>
      <c r="AE431" s="1308"/>
    </row>
    <row r="432" spans="1:31" ht="18" customHeight="1">
      <c r="A432" s="5629"/>
      <c r="B432" s="5573"/>
      <c r="C432" s="5337"/>
      <c r="D432" s="5337"/>
      <c r="E432" s="5337"/>
      <c r="F432" s="5337"/>
      <c r="G432" s="5337"/>
      <c r="H432" s="5337"/>
      <c r="I432" s="5337"/>
      <c r="J432" s="5337"/>
      <c r="K432" s="5337"/>
      <c r="L432" s="5337"/>
      <c r="M432" s="5337"/>
      <c r="N432" s="5337"/>
      <c r="O432" s="5337"/>
      <c r="P432" s="5337"/>
      <c r="Q432" s="5345"/>
      <c r="R432" s="1110"/>
      <c r="S432" s="1111"/>
      <c r="T432" s="1111"/>
      <c r="U432" s="1711"/>
      <c r="V432" s="1112"/>
      <c r="W432" s="1719"/>
      <c r="X432" s="1113"/>
      <c r="Y432" s="1113"/>
      <c r="Z432" s="1113"/>
      <c r="AA432" s="1114"/>
      <c r="AB432" s="1719"/>
      <c r="AC432" s="410"/>
      <c r="AD432" s="410"/>
      <c r="AE432" s="1308"/>
    </row>
    <row r="433" spans="1:31" ht="18" customHeight="1">
      <c r="A433" s="5629"/>
      <c r="B433" s="5573"/>
      <c r="C433" s="5337"/>
      <c r="D433" s="5337"/>
      <c r="E433" s="5337"/>
      <c r="F433" s="5337"/>
      <c r="G433" s="5337"/>
      <c r="H433" s="5337"/>
      <c r="I433" s="5337"/>
      <c r="J433" s="5337"/>
      <c r="K433" s="5337"/>
      <c r="L433" s="5337"/>
      <c r="M433" s="5337"/>
      <c r="N433" s="5337"/>
      <c r="O433" s="5337"/>
      <c r="P433" s="5337"/>
      <c r="Q433" s="5345"/>
      <c r="R433" s="1110"/>
      <c r="S433" s="1111"/>
      <c r="T433" s="1111"/>
      <c r="U433" s="1711"/>
      <c r="V433" s="1112"/>
      <c r="W433" s="1719"/>
      <c r="X433" s="1113"/>
      <c r="Y433" s="1113"/>
      <c r="Z433" s="1113"/>
      <c r="AA433" s="1114"/>
      <c r="AB433" s="1719"/>
      <c r="AC433" s="410"/>
      <c r="AD433" s="410"/>
      <c r="AE433" s="1308"/>
    </row>
    <row r="434" spans="1:31" ht="18" customHeight="1">
      <c r="A434" s="5629"/>
      <c r="B434" s="5573"/>
      <c r="C434" s="5337"/>
      <c r="D434" s="5337"/>
      <c r="E434" s="5337"/>
      <c r="F434" s="5337"/>
      <c r="G434" s="5337"/>
      <c r="H434" s="5337"/>
      <c r="I434" s="5337"/>
      <c r="J434" s="5337"/>
      <c r="K434" s="5337"/>
      <c r="L434" s="5337"/>
      <c r="M434" s="5337"/>
      <c r="N434" s="5337"/>
      <c r="O434" s="5337"/>
      <c r="P434" s="5337"/>
      <c r="Q434" s="5345"/>
      <c r="R434" s="1110"/>
      <c r="S434" s="1111"/>
      <c r="T434" s="1111"/>
      <c r="U434" s="1711"/>
      <c r="V434" s="1112"/>
      <c r="W434" s="1719"/>
      <c r="X434" s="1113"/>
      <c r="Y434" s="1113"/>
      <c r="Z434" s="1113"/>
      <c r="AA434" s="1114"/>
      <c r="AB434" s="1719"/>
      <c r="AC434" s="410"/>
      <c r="AD434" s="410"/>
      <c r="AE434" s="1308"/>
    </row>
    <row r="435" spans="1:31" ht="18" customHeight="1">
      <c r="A435" s="5629"/>
      <c r="B435" s="5574"/>
      <c r="C435" s="5338"/>
      <c r="D435" s="5338"/>
      <c r="E435" s="5338"/>
      <c r="F435" s="5338"/>
      <c r="G435" s="5338"/>
      <c r="H435" s="5338"/>
      <c r="I435" s="5338"/>
      <c r="J435" s="5338"/>
      <c r="K435" s="5338"/>
      <c r="L435" s="5338"/>
      <c r="M435" s="5338"/>
      <c r="N435" s="5338"/>
      <c r="O435" s="5338"/>
      <c r="P435" s="5338"/>
      <c r="Q435" s="5346"/>
      <c r="R435" s="1309"/>
      <c r="S435" s="1310"/>
      <c r="T435" s="1310"/>
      <c r="U435" s="277"/>
      <c r="V435" s="1311"/>
      <c r="W435" s="416"/>
      <c r="X435" s="1312"/>
      <c r="Y435" s="1312"/>
      <c r="Z435" s="1312"/>
      <c r="AA435" s="1313"/>
      <c r="AB435" s="416"/>
      <c r="AC435" s="278"/>
      <c r="AD435" s="278"/>
      <c r="AE435" s="1314"/>
    </row>
    <row r="436" spans="1:31" ht="18" customHeight="1">
      <c r="A436" s="5629"/>
      <c r="B436" s="5627" t="s">
        <v>235</v>
      </c>
      <c r="C436" s="5347" t="s">
        <v>236</v>
      </c>
      <c r="D436" s="5347" t="s">
        <v>237</v>
      </c>
      <c r="E436" s="5347" t="s">
        <v>255</v>
      </c>
      <c r="F436" s="5353" t="s">
        <v>239</v>
      </c>
      <c r="G436" s="5336" t="s">
        <v>240</v>
      </c>
      <c r="H436" s="5336" t="s">
        <v>257</v>
      </c>
      <c r="I436" s="5621" t="s">
        <v>3144</v>
      </c>
      <c r="J436" s="5618" t="s">
        <v>3145</v>
      </c>
      <c r="K436" s="5618" t="s">
        <v>3146</v>
      </c>
      <c r="L436" s="5407">
        <v>0</v>
      </c>
      <c r="M436" s="5407">
        <v>1</v>
      </c>
      <c r="N436" s="5407">
        <v>0</v>
      </c>
      <c r="O436" s="5618" t="s">
        <v>3147</v>
      </c>
      <c r="P436" s="5618" t="s">
        <v>3148</v>
      </c>
      <c r="Q436" s="5620" t="s">
        <v>3205</v>
      </c>
      <c r="R436" s="1110"/>
      <c r="S436" s="1111"/>
      <c r="T436" s="1111"/>
      <c r="U436" s="1711"/>
      <c r="V436" s="1112"/>
      <c r="W436" s="1719"/>
      <c r="X436" s="1113"/>
      <c r="Y436" s="1113"/>
      <c r="Z436" s="1113"/>
      <c r="AA436" s="1114"/>
      <c r="AB436" s="1719"/>
      <c r="AC436" s="410"/>
      <c r="AD436" s="410"/>
      <c r="AE436" s="1308"/>
    </row>
    <row r="437" spans="1:31" ht="18" customHeight="1">
      <c r="A437" s="5629"/>
      <c r="B437" s="5573"/>
      <c r="C437" s="5337"/>
      <c r="D437" s="5337"/>
      <c r="E437" s="5337"/>
      <c r="F437" s="5337"/>
      <c r="G437" s="5337"/>
      <c r="H437" s="5337"/>
      <c r="I437" s="5337"/>
      <c r="J437" s="5337"/>
      <c r="K437" s="5337"/>
      <c r="L437" s="5337"/>
      <c r="M437" s="5337"/>
      <c r="N437" s="5337"/>
      <c r="O437" s="5337"/>
      <c r="P437" s="5337"/>
      <c r="Q437" s="5345"/>
      <c r="R437" s="1110"/>
      <c r="S437" s="1111"/>
      <c r="T437" s="1111"/>
      <c r="U437" s="1711"/>
      <c r="V437" s="1112"/>
      <c r="W437" s="1719"/>
      <c r="X437" s="1113"/>
      <c r="Y437" s="1113"/>
      <c r="Z437" s="1113"/>
      <c r="AA437" s="1114"/>
      <c r="AB437" s="1719"/>
      <c r="AC437" s="410"/>
      <c r="AD437" s="410"/>
      <c r="AE437" s="1308"/>
    </row>
    <row r="438" spans="1:31" ht="18" customHeight="1">
      <c r="A438" s="5629"/>
      <c r="B438" s="5573"/>
      <c r="C438" s="5337"/>
      <c r="D438" s="5337"/>
      <c r="E438" s="5337"/>
      <c r="F438" s="5337"/>
      <c r="G438" s="5337"/>
      <c r="H438" s="5337"/>
      <c r="I438" s="5337"/>
      <c r="J438" s="5337"/>
      <c r="K438" s="5337"/>
      <c r="L438" s="5337"/>
      <c r="M438" s="5337"/>
      <c r="N438" s="5337"/>
      <c r="O438" s="5337"/>
      <c r="P438" s="5337"/>
      <c r="Q438" s="5345"/>
      <c r="R438" s="1110"/>
      <c r="S438" s="1111"/>
      <c r="T438" s="1111"/>
      <c r="U438" s="1711"/>
      <c r="V438" s="1112"/>
      <c r="W438" s="1719"/>
      <c r="X438" s="1113"/>
      <c r="Y438" s="1113"/>
      <c r="Z438" s="1113"/>
      <c r="AA438" s="1114"/>
      <c r="AB438" s="1719"/>
      <c r="AC438" s="410"/>
      <c r="AD438" s="410"/>
      <c r="AE438" s="1308"/>
    </row>
    <row r="439" spans="1:31" ht="18" customHeight="1">
      <c r="A439" s="5629"/>
      <c r="B439" s="5573"/>
      <c r="C439" s="5337"/>
      <c r="D439" s="5337"/>
      <c r="E439" s="5337"/>
      <c r="F439" s="5337"/>
      <c r="G439" s="5337"/>
      <c r="H439" s="5337"/>
      <c r="I439" s="5337"/>
      <c r="J439" s="5337"/>
      <c r="K439" s="5337"/>
      <c r="L439" s="5337"/>
      <c r="M439" s="5337"/>
      <c r="N439" s="5337"/>
      <c r="O439" s="5337"/>
      <c r="P439" s="5337"/>
      <c r="Q439" s="5345"/>
      <c r="R439" s="1110"/>
      <c r="S439" s="1111"/>
      <c r="T439" s="1111"/>
      <c r="U439" s="1711"/>
      <c r="V439" s="1112"/>
      <c r="W439" s="1719"/>
      <c r="X439" s="1113"/>
      <c r="Y439" s="1113"/>
      <c r="Z439" s="1113"/>
      <c r="AA439" s="1114"/>
      <c r="AB439" s="1719"/>
      <c r="AC439" s="410"/>
      <c r="AD439" s="410"/>
      <c r="AE439" s="1308"/>
    </row>
    <row r="440" spans="1:31" ht="18" customHeight="1">
      <c r="A440" s="5629"/>
      <c r="B440" s="5574"/>
      <c r="C440" s="5338"/>
      <c r="D440" s="5338"/>
      <c r="E440" s="5338"/>
      <c r="F440" s="5338"/>
      <c r="G440" s="5338"/>
      <c r="H440" s="5338"/>
      <c r="I440" s="5338"/>
      <c r="J440" s="5338"/>
      <c r="K440" s="5338"/>
      <c r="L440" s="5338"/>
      <c r="M440" s="5338"/>
      <c r="N440" s="5338"/>
      <c r="O440" s="5338"/>
      <c r="P440" s="5338"/>
      <c r="Q440" s="5346"/>
      <c r="R440" s="1309"/>
      <c r="S440" s="1310"/>
      <c r="T440" s="1310"/>
      <c r="U440" s="277"/>
      <c r="V440" s="1311"/>
      <c r="W440" s="416"/>
      <c r="X440" s="1312"/>
      <c r="Y440" s="1312"/>
      <c r="Z440" s="1312"/>
      <c r="AA440" s="1313"/>
      <c r="AB440" s="416"/>
      <c r="AC440" s="278"/>
      <c r="AD440" s="278"/>
      <c r="AE440" s="1314"/>
    </row>
    <row r="441" spans="1:31" ht="16.5" customHeight="1">
      <c r="A441" s="5629"/>
      <c r="B441" s="5572" t="s">
        <v>272</v>
      </c>
      <c r="C441" s="5336" t="s">
        <v>302</v>
      </c>
      <c r="D441" s="5336" t="s">
        <v>303</v>
      </c>
      <c r="E441" s="5336" t="s">
        <v>304</v>
      </c>
      <c r="F441" s="5341" t="s">
        <v>305</v>
      </c>
      <c r="G441" s="5336" t="s">
        <v>240</v>
      </c>
      <c r="H441" s="5336" t="s">
        <v>257</v>
      </c>
      <c r="I441" s="5618" t="s">
        <v>3150</v>
      </c>
      <c r="J441" s="5618" t="s">
        <v>3151</v>
      </c>
      <c r="K441" s="5618" t="s">
        <v>3146</v>
      </c>
      <c r="L441" s="5407">
        <v>0</v>
      </c>
      <c r="M441" s="5407">
        <v>1</v>
      </c>
      <c r="N441" s="5407">
        <v>1</v>
      </c>
      <c r="O441" s="5618" t="s">
        <v>3152</v>
      </c>
      <c r="P441" s="5618" t="s">
        <v>3153</v>
      </c>
      <c r="Q441" s="5620" t="s">
        <v>3205</v>
      </c>
      <c r="R441" s="970"/>
      <c r="S441" s="967"/>
      <c r="T441" s="967"/>
      <c r="U441" s="176"/>
      <c r="V441" s="968"/>
      <c r="W441" s="414"/>
      <c r="X441" s="973"/>
      <c r="Y441" s="973"/>
      <c r="Z441" s="973"/>
      <c r="AA441" s="981"/>
      <c r="AB441" s="414"/>
      <c r="AC441" s="174"/>
      <c r="AD441" s="174"/>
      <c r="AE441" s="5415"/>
    </row>
    <row r="442" spans="1:31" ht="16.5" customHeight="1">
      <c r="A442" s="5629"/>
      <c r="B442" s="5573"/>
      <c r="C442" s="5337"/>
      <c r="D442" s="5337"/>
      <c r="E442" s="5337"/>
      <c r="F442" s="5337"/>
      <c r="G442" s="5337"/>
      <c r="H442" s="5337"/>
      <c r="I442" s="5337"/>
      <c r="J442" s="5337"/>
      <c r="K442" s="5337"/>
      <c r="L442" s="5337"/>
      <c r="M442" s="5337"/>
      <c r="N442" s="5337"/>
      <c r="O442" s="5337"/>
      <c r="P442" s="5337"/>
      <c r="Q442" s="5345"/>
      <c r="R442" s="970"/>
      <c r="S442" s="967"/>
      <c r="T442" s="967"/>
      <c r="U442" s="176"/>
      <c r="V442" s="968"/>
      <c r="W442" s="414"/>
      <c r="X442" s="973"/>
      <c r="Y442" s="973"/>
      <c r="Z442" s="973"/>
      <c r="AA442" s="981"/>
      <c r="AB442" s="414"/>
      <c r="AC442" s="174"/>
      <c r="AD442" s="174"/>
      <c r="AE442" s="5416"/>
    </row>
    <row r="443" spans="1:31" ht="18" customHeight="1">
      <c r="A443" s="5629"/>
      <c r="B443" s="5573"/>
      <c r="C443" s="5337"/>
      <c r="D443" s="5337"/>
      <c r="E443" s="5337"/>
      <c r="F443" s="5337"/>
      <c r="G443" s="5337"/>
      <c r="H443" s="5337"/>
      <c r="I443" s="5337"/>
      <c r="J443" s="5337"/>
      <c r="K443" s="5337"/>
      <c r="L443" s="5337"/>
      <c r="M443" s="5337"/>
      <c r="N443" s="5337"/>
      <c r="O443" s="5337"/>
      <c r="P443" s="5337"/>
      <c r="Q443" s="5345"/>
      <c r="R443" s="982"/>
      <c r="S443" s="983"/>
      <c r="T443" s="983"/>
      <c r="U443" s="169"/>
      <c r="V443" s="984"/>
      <c r="W443" s="170"/>
      <c r="X443" s="974"/>
      <c r="Y443" s="974">
        <f t="shared" ref="Y443:Y445" si="112">+V443*X443</f>
        <v>0</v>
      </c>
      <c r="Z443" s="974">
        <f t="shared" ref="Z443:Z445" si="113">+Y443*1.12</f>
        <v>0</v>
      </c>
      <c r="AA443" s="969"/>
      <c r="AB443" s="170"/>
      <c r="AC443" s="282"/>
      <c r="AD443" s="282"/>
      <c r="AE443" s="5416"/>
    </row>
    <row r="444" spans="1:31" ht="18" customHeight="1">
      <c r="A444" s="5629"/>
      <c r="B444" s="5573"/>
      <c r="C444" s="5337"/>
      <c r="D444" s="5337"/>
      <c r="E444" s="5337"/>
      <c r="F444" s="5337"/>
      <c r="G444" s="5337"/>
      <c r="H444" s="5337"/>
      <c r="I444" s="5337"/>
      <c r="J444" s="5337"/>
      <c r="K444" s="5337"/>
      <c r="L444" s="5337"/>
      <c r="M444" s="5337"/>
      <c r="N444" s="5337"/>
      <c r="O444" s="5337"/>
      <c r="P444" s="5337"/>
      <c r="Q444" s="5345"/>
      <c r="R444" s="970"/>
      <c r="S444" s="1136"/>
      <c r="T444" s="1136"/>
      <c r="U444" s="413"/>
      <c r="V444" s="1130"/>
      <c r="W444" s="355"/>
      <c r="X444" s="1131"/>
      <c r="Y444" s="1133">
        <f t="shared" si="112"/>
        <v>0</v>
      </c>
      <c r="Z444" s="1133">
        <f t="shared" si="113"/>
        <v>0</v>
      </c>
      <c r="AA444" s="1134"/>
      <c r="AB444" s="170"/>
      <c r="AC444" s="282"/>
      <c r="AD444" s="282"/>
      <c r="AE444" s="5416"/>
    </row>
    <row r="445" spans="1:31" ht="25.5" customHeight="1">
      <c r="A445" s="5629"/>
      <c r="B445" s="5574"/>
      <c r="C445" s="5338"/>
      <c r="D445" s="5338"/>
      <c r="E445" s="5338"/>
      <c r="F445" s="5338"/>
      <c r="G445" s="5338"/>
      <c r="H445" s="5338"/>
      <c r="I445" s="5338"/>
      <c r="J445" s="5338"/>
      <c r="K445" s="5338"/>
      <c r="L445" s="5338"/>
      <c r="M445" s="5338"/>
      <c r="N445" s="5338"/>
      <c r="O445" s="5338"/>
      <c r="P445" s="5338"/>
      <c r="Q445" s="5346"/>
      <c r="R445" s="975"/>
      <c r="S445" s="1153"/>
      <c r="T445" s="1153"/>
      <c r="U445" s="360"/>
      <c r="V445" s="1154"/>
      <c r="W445" s="361"/>
      <c r="X445" s="1304"/>
      <c r="Y445" s="1304">
        <f t="shared" si="112"/>
        <v>0</v>
      </c>
      <c r="Z445" s="1304">
        <f t="shared" si="113"/>
        <v>0</v>
      </c>
      <c r="AA445" s="1155"/>
      <c r="AB445" s="165"/>
      <c r="AC445" s="166"/>
      <c r="AD445" s="166"/>
      <c r="AE445" s="5417"/>
    </row>
    <row r="446" spans="1:31" ht="57" customHeight="1">
      <c r="A446" s="5629"/>
      <c r="B446" s="5591" t="s">
        <v>272</v>
      </c>
      <c r="C446" s="5632" t="s">
        <v>679</v>
      </c>
      <c r="D446" s="5632" t="s">
        <v>680</v>
      </c>
      <c r="E446" s="5632" t="s">
        <v>681</v>
      </c>
      <c r="F446" s="5640" t="s">
        <v>682</v>
      </c>
      <c r="G446" s="5632" t="s">
        <v>686</v>
      </c>
      <c r="H446" s="5632" t="s">
        <v>294</v>
      </c>
      <c r="I446" s="5347" t="s">
        <v>3206</v>
      </c>
      <c r="J446" s="5623" t="s">
        <v>3207</v>
      </c>
      <c r="K446" s="5347" t="s">
        <v>3208</v>
      </c>
      <c r="L446" s="5399">
        <v>1</v>
      </c>
      <c r="M446" s="5399">
        <v>1</v>
      </c>
      <c r="N446" s="5399">
        <v>1</v>
      </c>
      <c r="O446" s="5347" t="s">
        <v>3209</v>
      </c>
      <c r="P446" s="5347" t="s">
        <v>3210</v>
      </c>
      <c r="Q446" s="5394" t="s">
        <v>3211</v>
      </c>
      <c r="R446" s="1237" t="s">
        <v>17</v>
      </c>
      <c r="S446" s="1315" t="s">
        <v>63</v>
      </c>
      <c r="T446" s="1316"/>
      <c r="U446" s="1317" t="s">
        <v>20</v>
      </c>
      <c r="V446" s="355"/>
      <c r="W446" s="355"/>
      <c r="X446" s="355"/>
      <c r="Y446" s="355"/>
      <c r="Z446" s="355"/>
      <c r="AA446" s="1318">
        <f>SUM($Z$447:$Z$448)</f>
        <v>2024.96</v>
      </c>
      <c r="AB446" s="176"/>
      <c r="AC446" s="176"/>
      <c r="AD446" s="176"/>
      <c r="AE446" s="5638" t="s">
        <v>3212</v>
      </c>
    </row>
    <row r="447" spans="1:31" ht="43.5" customHeight="1">
      <c r="A447" s="5629"/>
      <c r="B447" s="5573"/>
      <c r="C447" s="5337"/>
      <c r="D447" s="5337"/>
      <c r="E447" s="5337"/>
      <c r="F447" s="5337"/>
      <c r="G447" s="5337"/>
      <c r="H447" s="5337"/>
      <c r="I447" s="5337"/>
      <c r="J447" s="5337"/>
      <c r="K447" s="5337"/>
      <c r="L447" s="5337"/>
      <c r="M447" s="5337"/>
      <c r="N447" s="5337"/>
      <c r="O447" s="5337"/>
      <c r="P447" s="5337"/>
      <c r="Q447" s="5345"/>
      <c r="R447" s="176"/>
      <c r="S447" s="476"/>
      <c r="T447" s="1186">
        <v>4516003136</v>
      </c>
      <c r="U447" s="1319" t="s">
        <v>3213</v>
      </c>
      <c r="V447" s="355">
        <v>1</v>
      </c>
      <c r="W447" s="355" t="s">
        <v>322</v>
      </c>
      <c r="X447" s="355">
        <v>650</v>
      </c>
      <c r="Y447" s="355">
        <f t="shared" ref="Y447:Y448" si="114">+V447*X447</f>
        <v>650</v>
      </c>
      <c r="Z447" s="355">
        <f t="shared" ref="Z447:Z448" si="115">+Y447*1.12</f>
        <v>728.00000000000011</v>
      </c>
      <c r="AA447" s="1320"/>
      <c r="AB447" s="169" t="s">
        <v>251</v>
      </c>
      <c r="AC447" s="169"/>
      <c r="AD447" s="169"/>
      <c r="AE447" s="5416"/>
    </row>
    <row r="448" spans="1:31" ht="40.5" customHeight="1">
      <c r="A448" s="5629"/>
      <c r="B448" s="5573"/>
      <c r="C448" s="5337"/>
      <c r="D448" s="5337"/>
      <c r="E448" s="5337"/>
      <c r="F448" s="5337"/>
      <c r="G448" s="5337"/>
      <c r="H448" s="5337"/>
      <c r="I448" s="5337"/>
      <c r="J448" s="5337"/>
      <c r="K448" s="5337"/>
      <c r="L448" s="5337"/>
      <c r="M448" s="5337"/>
      <c r="N448" s="5337"/>
      <c r="O448" s="5337"/>
      <c r="P448" s="5337"/>
      <c r="Q448" s="5345"/>
      <c r="R448" s="176"/>
      <c r="S448" s="476"/>
      <c r="T448" s="355">
        <v>4523000381</v>
      </c>
      <c r="U448" s="1319" t="s">
        <v>3214</v>
      </c>
      <c r="V448" s="355">
        <v>1</v>
      </c>
      <c r="W448" s="355" t="s">
        <v>269</v>
      </c>
      <c r="X448" s="355">
        <v>1158</v>
      </c>
      <c r="Y448" s="355">
        <f t="shared" si="114"/>
        <v>1158</v>
      </c>
      <c r="Z448" s="355">
        <f t="shared" si="115"/>
        <v>1296.96</v>
      </c>
      <c r="AA448" s="364"/>
      <c r="AB448" s="176" t="s">
        <v>251</v>
      </c>
      <c r="AC448" s="176"/>
      <c r="AD448" s="176"/>
      <c r="AE448" s="5416"/>
    </row>
    <row r="449" spans="1:31" ht="30" customHeight="1">
      <c r="A449" s="5629"/>
      <c r="B449" s="5573"/>
      <c r="C449" s="5337"/>
      <c r="D449" s="5337"/>
      <c r="E449" s="5337"/>
      <c r="F449" s="5337"/>
      <c r="G449" s="5337"/>
      <c r="H449" s="5337"/>
      <c r="I449" s="5337"/>
      <c r="J449" s="5337"/>
      <c r="K449" s="5337"/>
      <c r="L449" s="5337"/>
      <c r="M449" s="5337"/>
      <c r="N449" s="5337"/>
      <c r="O449" s="5337"/>
      <c r="P449" s="5337"/>
      <c r="Q449" s="5345"/>
      <c r="R449" s="1237" t="s">
        <v>17</v>
      </c>
      <c r="S449" s="1321">
        <v>840104</v>
      </c>
      <c r="T449" s="476"/>
      <c r="U449" s="1322" t="s">
        <v>24</v>
      </c>
      <c r="V449" s="355"/>
      <c r="W449" s="355"/>
      <c r="X449" s="355"/>
      <c r="Y449" s="355"/>
      <c r="Z449" s="355"/>
      <c r="AA449" s="1323">
        <f>$Z$450</f>
        <v>6014.4000000000005</v>
      </c>
      <c r="AB449" s="176"/>
      <c r="AC449" s="176"/>
      <c r="AD449" s="176"/>
      <c r="AE449" s="5416"/>
    </row>
    <row r="450" spans="1:31" ht="39" customHeight="1">
      <c r="A450" s="5629"/>
      <c r="B450" s="5573"/>
      <c r="C450" s="5337"/>
      <c r="D450" s="5337"/>
      <c r="E450" s="5337"/>
      <c r="F450" s="5337"/>
      <c r="G450" s="5337"/>
      <c r="H450" s="5337"/>
      <c r="I450" s="5337"/>
      <c r="J450" s="5337"/>
      <c r="K450" s="5337"/>
      <c r="L450" s="5337"/>
      <c r="M450" s="5337"/>
      <c r="N450" s="5337"/>
      <c r="O450" s="5337"/>
      <c r="P450" s="5337"/>
      <c r="Q450" s="5345"/>
      <c r="R450" s="169"/>
      <c r="S450" s="412"/>
      <c r="T450" s="357">
        <v>4391301112</v>
      </c>
      <c r="U450" s="412" t="s">
        <v>3215</v>
      </c>
      <c r="V450" s="1324">
        <v>3</v>
      </c>
      <c r="W450" s="355" t="s">
        <v>269</v>
      </c>
      <c r="X450" s="355">
        <v>1790</v>
      </c>
      <c r="Y450" s="355">
        <f>+V450*X450</f>
        <v>5370</v>
      </c>
      <c r="Z450" s="355">
        <f>+Y450*1.12</f>
        <v>6014.4000000000005</v>
      </c>
      <c r="AA450" s="364"/>
      <c r="AB450" s="176" t="s">
        <v>251</v>
      </c>
      <c r="AC450" s="176"/>
      <c r="AD450" s="176"/>
      <c r="AE450" s="5416"/>
    </row>
    <row r="451" spans="1:31" ht="21" customHeight="1">
      <c r="A451" s="5629"/>
      <c r="B451" s="5574"/>
      <c r="C451" s="5338"/>
      <c r="D451" s="5338"/>
      <c r="E451" s="5338"/>
      <c r="F451" s="5338"/>
      <c r="G451" s="5338"/>
      <c r="H451" s="5338"/>
      <c r="I451" s="5338"/>
      <c r="J451" s="5338"/>
      <c r="K451" s="5338"/>
      <c r="L451" s="5338"/>
      <c r="M451" s="5338"/>
      <c r="N451" s="5338"/>
      <c r="O451" s="5338"/>
      <c r="P451" s="5338"/>
      <c r="Q451" s="5346"/>
      <c r="R451" s="169"/>
      <c r="S451" s="412"/>
      <c r="T451" s="412"/>
      <c r="U451" s="412"/>
      <c r="V451" s="355"/>
      <c r="W451" s="355"/>
      <c r="X451" s="355"/>
      <c r="Y451" s="355"/>
      <c r="Z451" s="355"/>
      <c r="AA451" s="412"/>
      <c r="AB451" s="169"/>
      <c r="AC451" s="169"/>
      <c r="AD451" s="169"/>
      <c r="AE451" s="5417"/>
    </row>
    <row r="452" spans="1:31" ht="21" customHeight="1">
      <c r="A452" s="5629"/>
      <c r="B452" s="5627" t="s">
        <v>235</v>
      </c>
      <c r="C452" s="5347" t="s">
        <v>236</v>
      </c>
      <c r="D452" s="5347" t="s">
        <v>237</v>
      </c>
      <c r="E452" s="5347" t="s">
        <v>255</v>
      </c>
      <c r="F452" s="5353" t="s">
        <v>239</v>
      </c>
      <c r="G452" s="5336" t="s">
        <v>240</v>
      </c>
      <c r="H452" s="5336" t="s">
        <v>257</v>
      </c>
      <c r="I452" s="5618" t="s">
        <v>3158</v>
      </c>
      <c r="J452" s="5618" t="s">
        <v>3159</v>
      </c>
      <c r="K452" s="5618" t="s">
        <v>3160</v>
      </c>
      <c r="L452" s="5619">
        <v>1</v>
      </c>
      <c r="M452" s="5619">
        <v>2</v>
      </c>
      <c r="N452" s="5619">
        <v>2</v>
      </c>
      <c r="O452" s="5618" t="s">
        <v>3161</v>
      </c>
      <c r="P452" s="5618" t="s">
        <v>3162</v>
      </c>
      <c r="Q452" s="5620" t="s">
        <v>3216</v>
      </c>
      <c r="R452" s="1325"/>
      <c r="S452" s="1326"/>
      <c r="T452" s="1326"/>
      <c r="U452" s="413"/>
      <c r="V452" s="355"/>
      <c r="W452" s="355"/>
      <c r="X452" s="355"/>
      <c r="Y452" s="355"/>
      <c r="Z452" s="355"/>
      <c r="AA452" s="413"/>
      <c r="AB452" s="1217"/>
      <c r="AC452" s="1217"/>
      <c r="AD452" s="1217"/>
      <c r="AE452" s="1308"/>
    </row>
    <row r="453" spans="1:31" ht="21" customHeight="1">
      <c r="A453" s="5629"/>
      <c r="B453" s="5573"/>
      <c r="C453" s="5337"/>
      <c r="D453" s="5337"/>
      <c r="E453" s="5337"/>
      <c r="F453" s="5337"/>
      <c r="G453" s="5337"/>
      <c r="H453" s="5337"/>
      <c r="I453" s="5337"/>
      <c r="J453" s="5337"/>
      <c r="K453" s="5337"/>
      <c r="L453" s="5337"/>
      <c r="M453" s="5337"/>
      <c r="N453" s="5337"/>
      <c r="O453" s="5337"/>
      <c r="P453" s="5337"/>
      <c r="Q453" s="5345"/>
      <c r="R453" s="1325"/>
      <c r="S453" s="1326"/>
      <c r="T453" s="1326"/>
      <c r="U453" s="413"/>
      <c r="V453" s="355"/>
      <c r="W453" s="355"/>
      <c r="X453" s="355"/>
      <c r="Y453" s="355"/>
      <c r="Z453" s="355"/>
      <c r="AA453" s="413"/>
      <c r="AB453" s="1217"/>
      <c r="AC453" s="1217"/>
      <c r="AD453" s="1217"/>
      <c r="AE453" s="1308"/>
    </row>
    <row r="454" spans="1:31" ht="21" customHeight="1">
      <c r="A454" s="5629"/>
      <c r="B454" s="5573"/>
      <c r="C454" s="5337"/>
      <c r="D454" s="5337"/>
      <c r="E454" s="5337"/>
      <c r="F454" s="5337"/>
      <c r="G454" s="5337"/>
      <c r="H454" s="5337"/>
      <c r="I454" s="5337"/>
      <c r="J454" s="5337"/>
      <c r="K454" s="5337"/>
      <c r="L454" s="5337"/>
      <c r="M454" s="5337"/>
      <c r="N454" s="5337"/>
      <c r="O454" s="5337"/>
      <c r="P454" s="5337"/>
      <c r="Q454" s="5345"/>
      <c r="R454" s="1325"/>
      <c r="S454" s="1325"/>
      <c r="T454" s="1325"/>
      <c r="U454" s="1217"/>
      <c r="V454" s="414"/>
      <c r="W454" s="414"/>
      <c r="X454" s="414"/>
      <c r="Y454" s="414"/>
      <c r="Z454" s="414"/>
      <c r="AA454" s="1217"/>
      <c r="AB454" s="1217"/>
      <c r="AC454" s="1217"/>
      <c r="AD454" s="1217"/>
      <c r="AE454" s="1308"/>
    </row>
    <row r="455" spans="1:31" ht="21" customHeight="1">
      <c r="A455" s="5629"/>
      <c r="B455" s="5573"/>
      <c r="C455" s="5337"/>
      <c r="D455" s="5337"/>
      <c r="E455" s="5337"/>
      <c r="F455" s="5337"/>
      <c r="G455" s="5337"/>
      <c r="H455" s="5337"/>
      <c r="I455" s="5337"/>
      <c r="J455" s="5337"/>
      <c r="K455" s="5337"/>
      <c r="L455" s="5337"/>
      <c r="M455" s="5337"/>
      <c r="N455" s="5337"/>
      <c r="O455" s="5337"/>
      <c r="P455" s="5337"/>
      <c r="Q455" s="5345"/>
      <c r="R455" s="1325"/>
      <c r="S455" s="1325"/>
      <c r="T455" s="1325"/>
      <c r="U455" s="1217"/>
      <c r="V455" s="414"/>
      <c r="W455" s="414"/>
      <c r="X455" s="414"/>
      <c r="Y455" s="414"/>
      <c r="Z455" s="414"/>
      <c r="AA455" s="1217"/>
      <c r="AB455" s="1217"/>
      <c r="AC455" s="1217"/>
      <c r="AD455" s="1217"/>
      <c r="AE455" s="1308"/>
    </row>
    <row r="456" spans="1:31" ht="21" customHeight="1">
      <c r="A456" s="5629"/>
      <c r="B456" s="5574"/>
      <c r="C456" s="5338"/>
      <c r="D456" s="5338"/>
      <c r="E456" s="5338"/>
      <c r="F456" s="5338"/>
      <c r="G456" s="5338"/>
      <c r="H456" s="5338"/>
      <c r="I456" s="5337"/>
      <c r="J456" s="5337"/>
      <c r="K456" s="5337"/>
      <c r="L456" s="5337"/>
      <c r="M456" s="5337"/>
      <c r="N456" s="5337"/>
      <c r="O456" s="5337"/>
      <c r="P456" s="5337"/>
      <c r="Q456" s="5345"/>
      <c r="R456" s="1327"/>
      <c r="S456" s="1327"/>
      <c r="T456" s="1327"/>
      <c r="U456" s="277"/>
      <c r="V456" s="416"/>
      <c r="W456" s="416"/>
      <c r="X456" s="416"/>
      <c r="Y456" s="416"/>
      <c r="Z456" s="416"/>
      <c r="AA456" s="277"/>
      <c r="AB456" s="277"/>
      <c r="AC456" s="277"/>
      <c r="AD456" s="277"/>
      <c r="AE456" s="1314"/>
    </row>
    <row r="457" spans="1:31" ht="21" customHeight="1">
      <c r="A457" s="5629"/>
      <c r="B457" s="5626" t="s">
        <v>272</v>
      </c>
      <c r="C457" s="5624" t="s">
        <v>302</v>
      </c>
      <c r="D457" s="5624" t="s">
        <v>303</v>
      </c>
      <c r="E457" s="5624" t="s">
        <v>304</v>
      </c>
      <c r="F457" s="5622" t="s">
        <v>305</v>
      </c>
      <c r="G457" s="5624" t="s">
        <v>240</v>
      </c>
      <c r="H457" s="5624" t="s">
        <v>257</v>
      </c>
      <c r="I457" s="5618" t="s">
        <v>3163</v>
      </c>
      <c r="J457" s="5618" t="s">
        <v>3164</v>
      </c>
      <c r="K457" s="5618" t="s">
        <v>3146</v>
      </c>
      <c r="L457" s="5619">
        <v>0</v>
      </c>
      <c r="M457" s="5619">
        <v>1</v>
      </c>
      <c r="N457" s="5619">
        <v>0</v>
      </c>
      <c r="O457" s="5618" t="s">
        <v>3165</v>
      </c>
      <c r="P457" s="5618" t="s">
        <v>3166</v>
      </c>
      <c r="Q457" s="5620" t="s">
        <v>3216</v>
      </c>
      <c r="R457" s="1721"/>
      <c r="S457" s="1721"/>
      <c r="T457" s="1721"/>
      <c r="U457" s="1711"/>
      <c r="V457" s="1719"/>
      <c r="W457" s="1719"/>
      <c r="X457" s="1719"/>
      <c r="Y457" s="1719"/>
      <c r="Z457" s="1719"/>
      <c r="AA457" s="1711"/>
      <c r="AB457" s="1711"/>
      <c r="AC457" s="1711"/>
      <c r="AD457" s="1711"/>
      <c r="AE457" s="1308"/>
    </row>
    <row r="458" spans="1:31" ht="21" customHeight="1">
      <c r="A458" s="5629"/>
      <c r="B458" s="5573"/>
      <c r="C458" s="5337"/>
      <c r="D458" s="5337"/>
      <c r="E458" s="5337"/>
      <c r="F458" s="5337"/>
      <c r="G458" s="5337"/>
      <c r="H458" s="5337"/>
      <c r="I458" s="5337"/>
      <c r="J458" s="5337"/>
      <c r="K458" s="5337"/>
      <c r="L458" s="5337"/>
      <c r="M458" s="5337"/>
      <c r="N458" s="5337"/>
      <c r="O458" s="5337"/>
      <c r="P458" s="5337"/>
      <c r="Q458" s="5345"/>
      <c r="R458" s="1721"/>
      <c r="S458" s="1721"/>
      <c r="T458" s="1721"/>
      <c r="U458" s="1711"/>
      <c r="V458" s="1719"/>
      <c r="W458" s="1719"/>
      <c r="X458" s="1719"/>
      <c r="Y458" s="1719"/>
      <c r="Z458" s="1719"/>
      <c r="AA458" s="1711"/>
      <c r="AB458" s="1711"/>
      <c r="AC458" s="1711"/>
      <c r="AD458" s="1711"/>
      <c r="AE458" s="1308"/>
    </row>
    <row r="459" spans="1:31" ht="21" customHeight="1">
      <c r="A459" s="5629"/>
      <c r="B459" s="5573"/>
      <c r="C459" s="5337"/>
      <c r="D459" s="5337"/>
      <c r="E459" s="5337"/>
      <c r="F459" s="5337"/>
      <c r="G459" s="5337"/>
      <c r="H459" s="5337"/>
      <c r="I459" s="5337"/>
      <c r="J459" s="5337"/>
      <c r="K459" s="5337"/>
      <c r="L459" s="5337"/>
      <c r="M459" s="5337"/>
      <c r="N459" s="5337"/>
      <c r="O459" s="5337"/>
      <c r="P459" s="5337"/>
      <c r="Q459" s="5345"/>
      <c r="R459" s="1721"/>
      <c r="S459" s="1721"/>
      <c r="T459" s="1721"/>
      <c r="U459" s="1711"/>
      <c r="V459" s="1719"/>
      <c r="W459" s="1719"/>
      <c r="X459" s="1719"/>
      <c r="Y459" s="1719"/>
      <c r="Z459" s="1719"/>
      <c r="AA459" s="1711"/>
      <c r="AB459" s="1711"/>
      <c r="AC459" s="1711"/>
      <c r="AD459" s="1711"/>
      <c r="AE459" s="1308"/>
    </row>
    <row r="460" spans="1:31" ht="21" customHeight="1">
      <c r="A460" s="5629"/>
      <c r="B460" s="5573"/>
      <c r="C460" s="5337"/>
      <c r="D460" s="5337"/>
      <c r="E460" s="5337"/>
      <c r="F460" s="5337"/>
      <c r="G460" s="5337"/>
      <c r="H460" s="5337"/>
      <c r="I460" s="5337"/>
      <c r="J460" s="5337"/>
      <c r="K460" s="5337"/>
      <c r="L460" s="5337"/>
      <c r="M460" s="5337"/>
      <c r="N460" s="5337"/>
      <c r="O460" s="5337"/>
      <c r="P460" s="5337"/>
      <c r="Q460" s="5345"/>
      <c r="R460" s="1721"/>
      <c r="S460" s="1721"/>
      <c r="T460" s="1721"/>
      <c r="U460" s="1711"/>
      <c r="V460" s="1719"/>
      <c r="W460" s="1719"/>
      <c r="X460" s="1719"/>
      <c r="Y460" s="1719"/>
      <c r="Z460" s="1719"/>
      <c r="AA460" s="1711"/>
      <c r="AB460" s="1711"/>
      <c r="AC460" s="1711"/>
      <c r="AD460" s="1711"/>
      <c r="AE460" s="1308"/>
    </row>
    <row r="461" spans="1:31" ht="21" customHeight="1">
      <c r="A461" s="5629"/>
      <c r="B461" s="5574"/>
      <c r="C461" s="5338"/>
      <c r="D461" s="5338"/>
      <c r="E461" s="5338"/>
      <c r="F461" s="5338"/>
      <c r="G461" s="5338"/>
      <c r="H461" s="5338"/>
      <c r="I461" s="5338"/>
      <c r="J461" s="5338"/>
      <c r="K461" s="5338"/>
      <c r="L461" s="5338"/>
      <c r="M461" s="5338"/>
      <c r="N461" s="5338"/>
      <c r="O461" s="5338"/>
      <c r="P461" s="5338"/>
      <c r="Q461" s="5346"/>
      <c r="R461" s="1327"/>
      <c r="S461" s="1327"/>
      <c r="T461" s="1327"/>
      <c r="U461" s="277"/>
      <c r="V461" s="416"/>
      <c r="W461" s="416"/>
      <c r="X461" s="416"/>
      <c r="Y461" s="416"/>
      <c r="Z461" s="416"/>
      <c r="AA461" s="277"/>
      <c r="AB461" s="277"/>
      <c r="AC461" s="277"/>
      <c r="AD461" s="277"/>
      <c r="AE461" s="1314"/>
    </row>
    <row r="462" spans="1:31" ht="21" customHeight="1">
      <c r="A462" s="5629"/>
      <c r="B462" s="5626" t="s">
        <v>272</v>
      </c>
      <c r="C462" s="5624" t="s">
        <v>302</v>
      </c>
      <c r="D462" s="5624" t="s">
        <v>303</v>
      </c>
      <c r="E462" s="5624" t="s">
        <v>304</v>
      </c>
      <c r="F462" s="5622" t="s">
        <v>305</v>
      </c>
      <c r="G462" s="5624" t="s">
        <v>240</v>
      </c>
      <c r="H462" s="5624" t="s">
        <v>257</v>
      </c>
      <c r="I462" s="5618" t="s">
        <v>3167</v>
      </c>
      <c r="J462" s="5618" t="s">
        <v>3168</v>
      </c>
      <c r="K462" s="5618" t="s">
        <v>3006</v>
      </c>
      <c r="L462" s="5619">
        <v>2</v>
      </c>
      <c r="M462" s="5619">
        <v>0</v>
      </c>
      <c r="N462" s="5619">
        <v>2</v>
      </c>
      <c r="O462" s="5618" t="s">
        <v>3169</v>
      </c>
      <c r="P462" s="5618" t="s">
        <v>3170</v>
      </c>
      <c r="Q462" s="5620" t="s">
        <v>3216</v>
      </c>
      <c r="R462" s="1721"/>
      <c r="S462" s="1721"/>
      <c r="T462" s="1721"/>
      <c r="U462" s="1711"/>
      <c r="V462" s="1719"/>
      <c r="W462" s="1719"/>
      <c r="X462" s="1719"/>
      <c r="Y462" s="1719"/>
      <c r="Z462" s="1719"/>
      <c r="AA462" s="1711"/>
      <c r="AB462" s="1711"/>
      <c r="AC462" s="1711"/>
      <c r="AD462" s="1711"/>
      <c r="AE462" s="1308"/>
    </row>
    <row r="463" spans="1:31" ht="21" customHeight="1">
      <c r="A463" s="5629"/>
      <c r="B463" s="5573"/>
      <c r="C463" s="5337"/>
      <c r="D463" s="5337"/>
      <c r="E463" s="5337"/>
      <c r="F463" s="5337"/>
      <c r="G463" s="5337"/>
      <c r="H463" s="5337"/>
      <c r="I463" s="5337"/>
      <c r="J463" s="5337"/>
      <c r="K463" s="5337"/>
      <c r="L463" s="5337"/>
      <c r="M463" s="5337"/>
      <c r="N463" s="5337"/>
      <c r="O463" s="5337"/>
      <c r="P463" s="5337"/>
      <c r="Q463" s="5345"/>
      <c r="R463" s="1721"/>
      <c r="S463" s="1721"/>
      <c r="T463" s="1721"/>
      <c r="U463" s="1711"/>
      <c r="V463" s="1719"/>
      <c r="W463" s="1719"/>
      <c r="X463" s="1719"/>
      <c r="Y463" s="1719"/>
      <c r="Z463" s="1719"/>
      <c r="AA463" s="1711"/>
      <c r="AB463" s="1711"/>
      <c r="AC463" s="1711"/>
      <c r="AD463" s="1711"/>
      <c r="AE463" s="1308"/>
    </row>
    <row r="464" spans="1:31" ht="21" customHeight="1">
      <c r="A464" s="5629"/>
      <c r="B464" s="5573"/>
      <c r="C464" s="5337"/>
      <c r="D464" s="5337"/>
      <c r="E464" s="5337"/>
      <c r="F464" s="5337"/>
      <c r="G464" s="5337"/>
      <c r="H464" s="5337"/>
      <c r="I464" s="5337"/>
      <c r="J464" s="5337"/>
      <c r="K464" s="5337"/>
      <c r="L464" s="5337"/>
      <c r="M464" s="5337"/>
      <c r="N464" s="5337"/>
      <c r="O464" s="5337"/>
      <c r="P464" s="5337"/>
      <c r="Q464" s="5345"/>
      <c r="R464" s="1721"/>
      <c r="S464" s="1721"/>
      <c r="T464" s="1721"/>
      <c r="U464" s="1711"/>
      <c r="V464" s="1719"/>
      <c r="W464" s="1719"/>
      <c r="X464" s="1719"/>
      <c r="Y464" s="1719"/>
      <c r="Z464" s="1719"/>
      <c r="AA464" s="1711"/>
      <c r="AB464" s="1711"/>
      <c r="AC464" s="1711"/>
      <c r="AD464" s="1711"/>
      <c r="AE464" s="1308"/>
    </row>
    <row r="465" spans="1:31" ht="21" customHeight="1">
      <c r="A465" s="5629"/>
      <c r="B465" s="5573"/>
      <c r="C465" s="5337"/>
      <c r="D465" s="5337"/>
      <c r="E465" s="5337"/>
      <c r="F465" s="5337"/>
      <c r="G465" s="5337"/>
      <c r="H465" s="5337"/>
      <c r="I465" s="5337"/>
      <c r="J465" s="5337"/>
      <c r="K465" s="5337"/>
      <c r="L465" s="5337"/>
      <c r="M465" s="5337"/>
      <c r="N465" s="5337"/>
      <c r="O465" s="5337"/>
      <c r="P465" s="5337"/>
      <c r="Q465" s="5345"/>
      <c r="R465" s="1721"/>
      <c r="S465" s="1721"/>
      <c r="T465" s="1721"/>
      <c r="U465" s="1711"/>
      <c r="V465" s="1719"/>
      <c r="W465" s="1719"/>
      <c r="X465" s="1719"/>
      <c r="Y465" s="1719"/>
      <c r="Z465" s="1719"/>
      <c r="AA465" s="1711"/>
      <c r="AB465" s="1711"/>
      <c r="AC465" s="1711"/>
      <c r="AD465" s="1711"/>
      <c r="AE465" s="1308"/>
    </row>
    <row r="466" spans="1:31" ht="21" customHeight="1">
      <c r="A466" s="5629"/>
      <c r="B466" s="5574"/>
      <c r="C466" s="5338"/>
      <c r="D466" s="5338"/>
      <c r="E466" s="5338"/>
      <c r="F466" s="5338"/>
      <c r="G466" s="5338"/>
      <c r="H466" s="5338"/>
      <c r="I466" s="5337"/>
      <c r="J466" s="5337"/>
      <c r="K466" s="5337"/>
      <c r="L466" s="5337"/>
      <c r="M466" s="5337"/>
      <c r="N466" s="5337"/>
      <c r="O466" s="5337"/>
      <c r="P466" s="5337"/>
      <c r="Q466" s="5345"/>
      <c r="R466" s="1327"/>
      <c r="S466" s="1327"/>
      <c r="T466" s="1327"/>
      <c r="U466" s="277"/>
      <c r="V466" s="416"/>
      <c r="W466" s="416"/>
      <c r="X466" s="416"/>
      <c r="Y466" s="416"/>
      <c r="Z466" s="416"/>
      <c r="AA466" s="277"/>
      <c r="AB466" s="277"/>
      <c r="AC466" s="277"/>
      <c r="AD466" s="277"/>
      <c r="AE466" s="1314"/>
    </row>
    <row r="467" spans="1:31" ht="21" customHeight="1">
      <c r="A467" s="5629"/>
      <c r="B467" s="5626" t="s">
        <v>272</v>
      </c>
      <c r="C467" s="5624" t="s">
        <v>302</v>
      </c>
      <c r="D467" s="5624" t="s">
        <v>303</v>
      </c>
      <c r="E467" s="5624" t="s">
        <v>304</v>
      </c>
      <c r="F467" s="5622" t="s">
        <v>305</v>
      </c>
      <c r="G467" s="5624" t="s">
        <v>240</v>
      </c>
      <c r="H467" s="5624" t="s">
        <v>257</v>
      </c>
      <c r="I467" s="5618" t="s">
        <v>3171</v>
      </c>
      <c r="J467" s="5618" t="s">
        <v>3172</v>
      </c>
      <c r="K467" s="5618" t="s">
        <v>3173</v>
      </c>
      <c r="L467" s="5619">
        <v>4</v>
      </c>
      <c r="M467" s="5619">
        <v>4</v>
      </c>
      <c r="N467" s="5619">
        <v>4</v>
      </c>
      <c r="O467" s="5618" t="s">
        <v>3174</v>
      </c>
      <c r="P467" s="5618" t="s">
        <v>3175</v>
      </c>
      <c r="Q467" s="5620" t="s">
        <v>3217</v>
      </c>
      <c r="R467" s="1721"/>
      <c r="S467" s="1721"/>
      <c r="T467" s="1721"/>
      <c r="U467" s="1711"/>
      <c r="V467" s="1719"/>
      <c r="W467" s="1719"/>
      <c r="X467" s="1719"/>
      <c r="Y467" s="1719"/>
      <c r="Z467" s="1719"/>
      <c r="AA467" s="1711"/>
      <c r="AB467" s="1711"/>
      <c r="AC467" s="1711"/>
      <c r="AD467" s="1711"/>
      <c r="AE467" s="1308"/>
    </row>
    <row r="468" spans="1:31" ht="21" customHeight="1">
      <c r="A468" s="5629"/>
      <c r="B468" s="5573"/>
      <c r="C468" s="5337"/>
      <c r="D468" s="5337"/>
      <c r="E468" s="5337"/>
      <c r="F468" s="5337"/>
      <c r="G468" s="5337"/>
      <c r="H468" s="5337"/>
      <c r="I468" s="5337"/>
      <c r="J468" s="5337"/>
      <c r="K468" s="5337"/>
      <c r="L468" s="5337"/>
      <c r="M468" s="5337"/>
      <c r="N468" s="5337"/>
      <c r="O468" s="5337"/>
      <c r="P468" s="5337"/>
      <c r="Q468" s="5345"/>
      <c r="R468" s="1721"/>
      <c r="S468" s="1721"/>
      <c r="T468" s="1721"/>
      <c r="U468" s="1711"/>
      <c r="V468" s="1719"/>
      <c r="W468" s="1719"/>
      <c r="X468" s="1719"/>
      <c r="Y468" s="1719"/>
      <c r="Z468" s="1719"/>
      <c r="AA468" s="1711"/>
      <c r="AB468" s="1711"/>
      <c r="AC468" s="1711"/>
      <c r="AD468" s="1711"/>
      <c r="AE468" s="1308"/>
    </row>
    <row r="469" spans="1:31" ht="21" customHeight="1">
      <c r="A469" s="5629"/>
      <c r="B469" s="5573"/>
      <c r="C469" s="5337"/>
      <c r="D469" s="5337"/>
      <c r="E469" s="5337"/>
      <c r="F469" s="5337"/>
      <c r="G469" s="5337"/>
      <c r="H469" s="5337"/>
      <c r="I469" s="5337"/>
      <c r="J469" s="5337"/>
      <c r="K469" s="5337"/>
      <c r="L469" s="5337"/>
      <c r="M469" s="5337"/>
      <c r="N469" s="5337"/>
      <c r="O469" s="5337"/>
      <c r="P469" s="5337"/>
      <c r="Q469" s="5345"/>
      <c r="R469" s="1721"/>
      <c r="S469" s="1721"/>
      <c r="T469" s="1721"/>
      <c r="U469" s="1711"/>
      <c r="V469" s="1719"/>
      <c r="W469" s="1719"/>
      <c r="X469" s="1719"/>
      <c r="Y469" s="1719"/>
      <c r="Z469" s="1719"/>
      <c r="AA469" s="1711"/>
      <c r="AB469" s="1711"/>
      <c r="AC469" s="1711"/>
      <c r="AD469" s="1711"/>
      <c r="AE469" s="1308"/>
    </row>
    <row r="470" spans="1:31" ht="21" customHeight="1">
      <c r="A470" s="5629"/>
      <c r="B470" s="5573"/>
      <c r="C470" s="5337"/>
      <c r="D470" s="5337"/>
      <c r="E470" s="5337"/>
      <c r="F470" s="5337"/>
      <c r="G470" s="5337"/>
      <c r="H470" s="5337"/>
      <c r="I470" s="5337"/>
      <c r="J470" s="5337"/>
      <c r="K470" s="5337"/>
      <c r="L470" s="5337"/>
      <c r="M470" s="5337"/>
      <c r="N470" s="5337"/>
      <c r="O470" s="5337"/>
      <c r="P470" s="5337"/>
      <c r="Q470" s="5345"/>
      <c r="R470" s="1721"/>
      <c r="S470" s="1721"/>
      <c r="T470" s="1721"/>
      <c r="U470" s="1711"/>
      <c r="V470" s="1719"/>
      <c r="W470" s="1719"/>
      <c r="X470" s="1719"/>
      <c r="Y470" s="1719"/>
      <c r="Z470" s="1719"/>
      <c r="AA470" s="1711"/>
      <c r="AB470" s="1711"/>
      <c r="AC470" s="1711"/>
      <c r="AD470" s="1711"/>
      <c r="AE470" s="1308"/>
    </row>
    <row r="471" spans="1:31" ht="21" customHeight="1">
      <c r="A471" s="5629"/>
      <c r="B471" s="5574"/>
      <c r="C471" s="5338"/>
      <c r="D471" s="5338"/>
      <c r="E471" s="5338"/>
      <c r="F471" s="5338"/>
      <c r="G471" s="5338"/>
      <c r="H471" s="5338"/>
      <c r="I471" s="5338"/>
      <c r="J471" s="5338"/>
      <c r="K471" s="5338"/>
      <c r="L471" s="5338"/>
      <c r="M471" s="5338"/>
      <c r="N471" s="5338"/>
      <c r="O471" s="5338"/>
      <c r="P471" s="5338"/>
      <c r="Q471" s="5346"/>
      <c r="R471" s="1327"/>
      <c r="S471" s="1327"/>
      <c r="T471" s="1327"/>
      <c r="U471" s="277"/>
      <c r="V471" s="416"/>
      <c r="W471" s="416"/>
      <c r="X471" s="416"/>
      <c r="Y471" s="416"/>
      <c r="Z471" s="416"/>
      <c r="AA471" s="277"/>
      <c r="AB471" s="277"/>
      <c r="AC471" s="277"/>
      <c r="AD471" s="277"/>
      <c r="AE471" s="1314"/>
    </row>
    <row r="472" spans="1:31" ht="21" customHeight="1">
      <c r="A472" s="5629"/>
      <c r="B472" s="5626" t="s">
        <v>272</v>
      </c>
      <c r="C472" s="5624" t="s">
        <v>302</v>
      </c>
      <c r="D472" s="5624" t="s">
        <v>303</v>
      </c>
      <c r="E472" s="5624" t="s">
        <v>304</v>
      </c>
      <c r="F472" s="5622" t="s">
        <v>305</v>
      </c>
      <c r="G472" s="5624" t="s">
        <v>240</v>
      </c>
      <c r="H472" s="5624" t="s">
        <v>257</v>
      </c>
      <c r="I472" s="5618" t="s">
        <v>3177</v>
      </c>
      <c r="J472" s="5618" t="s">
        <v>3178</v>
      </c>
      <c r="K472" s="5618" t="s">
        <v>3146</v>
      </c>
      <c r="L472" s="5619">
        <v>1</v>
      </c>
      <c r="M472" s="5619">
        <v>1</v>
      </c>
      <c r="N472" s="5619">
        <v>1</v>
      </c>
      <c r="O472" s="5618" t="s">
        <v>3179</v>
      </c>
      <c r="P472" s="5618" t="s">
        <v>3180</v>
      </c>
      <c r="Q472" s="5620" t="s">
        <v>3217</v>
      </c>
      <c r="R472" s="1721"/>
      <c r="S472" s="1721"/>
      <c r="T472" s="1721"/>
      <c r="U472" s="1711"/>
      <c r="V472" s="1719"/>
      <c r="W472" s="1719"/>
      <c r="X472" s="1719"/>
      <c r="Y472" s="1719"/>
      <c r="Z472" s="1719"/>
      <c r="AA472" s="1711"/>
      <c r="AB472" s="1711"/>
      <c r="AC472" s="1711"/>
      <c r="AD472" s="1711"/>
      <c r="AE472" s="1308"/>
    </row>
    <row r="473" spans="1:31" ht="21" customHeight="1">
      <c r="A473" s="5629"/>
      <c r="B473" s="5573"/>
      <c r="C473" s="5337"/>
      <c r="D473" s="5337"/>
      <c r="E473" s="5337"/>
      <c r="F473" s="5337"/>
      <c r="G473" s="5337"/>
      <c r="H473" s="5337"/>
      <c r="I473" s="5337"/>
      <c r="J473" s="5337"/>
      <c r="K473" s="5337"/>
      <c r="L473" s="5337"/>
      <c r="M473" s="5337"/>
      <c r="N473" s="5337"/>
      <c r="O473" s="5337"/>
      <c r="P473" s="5337"/>
      <c r="Q473" s="5345"/>
      <c r="R473" s="1721"/>
      <c r="S473" s="1721"/>
      <c r="T473" s="1721"/>
      <c r="U473" s="1711"/>
      <c r="V473" s="1719"/>
      <c r="W473" s="1719"/>
      <c r="X473" s="1719"/>
      <c r="Y473" s="1719"/>
      <c r="Z473" s="1719"/>
      <c r="AA473" s="1711"/>
      <c r="AB473" s="1711"/>
      <c r="AC473" s="1711"/>
      <c r="AD473" s="1711"/>
      <c r="AE473" s="1308"/>
    </row>
    <row r="474" spans="1:31" ht="21" customHeight="1">
      <c r="A474" s="5629"/>
      <c r="B474" s="5573"/>
      <c r="C474" s="5337"/>
      <c r="D474" s="5337"/>
      <c r="E474" s="5337"/>
      <c r="F474" s="5337"/>
      <c r="G474" s="5337"/>
      <c r="H474" s="5337"/>
      <c r="I474" s="5337"/>
      <c r="J474" s="5337"/>
      <c r="K474" s="5337"/>
      <c r="L474" s="5337"/>
      <c r="M474" s="5337"/>
      <c r="N474" s="5337"/>
      <c r="O474" s="5337"/>
      <c r="P474" s="5337"/>
      <c r="Q474" s="5345"/>
      <c r="R474" s="1721"/>
      <c r="S474" s="1721"/>
      <c r="T474" s="1721"/>
      <c r="U474" s="1711"/>
      <c r="V474" s="1719"/>
      <c r="W474" s="1719"/>
      <c r="X474" s="1719"/>
      <c r="Y474" s="1719"/>
      <c r="Z474" s="1719"/>
      <c r="AA474" s="1711"/>
      <c r="AB474" s="1711"/>
      <c r="AC474" s="1711"/>
      <c r="AD474" s="1711"/>
      <c r="AE474" s="1308"/>
    </row>
    <row r="475" spans="1:31" ht="21" customHeight="1">
      <c r="A475" s="5629"/>
      <c r="B475" s="5573"/>
      <c r="C475" s="5337"/>
      <c r="D475" s="5337"/>
      <c r="E475" s="5337"/>
      <c r="F475" s="5337"/>
      <c r="G475" s="5337"/>
      <c r="H475" s="5337"/>
      <c r="I475" s="5337"/>
      <c r="J475" s="5337"/>
      <c r="K475" s="5337"/>
      <c r="L475" s="5337"/>
      <c r="M475" s="5337"/>
      <c r="N475" s="5337"/>
      <c r="O475" s="5337"/>
      <c r="P475" s="5337"/>
      <c r="Q475" s="5345"/>
      <c r="R475" s="1721"/>
      <c r="S475" s="1721"/>
      <c r="T475" s="1721"/>
      <c r="U475" s="1711"/>
      <c r="V475" s="1719"/>
      <c r="W475" s="1719"/>
      <c r="X475" s="1719"/>
      <c r="Y475" s="1719"/>
      <c r="Z475" s="1719"/>
      <c r="AA475" s="1711"/>
      <c r="AB475" s="1711"/>
      <c r="AC475" s="1711"/>
      <c r="AD475" s="1711"/>
      <c r="AE475" s="1308"/>
    </row>
    <row r="476" spans="1:31" ht="21" customHeight="1">
      <c r="A476" s="5629"/>
      <c r="B476" s="5574"/>
      <c r="C476" s="5338"/>
      <c r="D476" s="5338"/>
      <c r="E476" s="5338"/>
      <c r="F476" s="5338"/>
      <c r="G476" s="5338"/>
      <c r="H476" s="5338"/>
      <c r="I476" s="5338"/>
      <c r="J476" s="5338"/>
      <c r="K476" s="5338"/>
      <c r="L476" s="5338"/>
      <c r="M476" s="5338"/>
      <c r="N476" s="5338"/>
      <c r="O476" s="5338"/>
      <c r="P476" s="5338"/>
      <c r="Q476" s="5346"/>
      <c r="R476" s="1327"/>
      <c r="S476" s="1327"/>
      <c r="T476" s="1327"/>
      <c r="U476" s="277"/>
      <c r="V476" s="416"/>
      <c r="W476" s="416"/>
      <c r="X476" s="416"/>
      <c r="Y476" s="416"/>
      <c r="Z476" s="416"/>
      <c r="AA476" s="277"/>
      <c r="AB476" s="277"/>
      <c r="AC476" s="277"/>
      <c r="AD476" s="277"/>
      <c r="AE476" s="1314"/>
    </row>
    <row r="477" spans="1:31" ht="21" customHeight="1">
      <c r="A477" s="5629"/>
      <c r="B477" s="5626" t="s">
        <v>272</v>
      </c>
      <c r="C477" s="5624" t="s">
        <v>302</v>
      </c>
      <c r="D477" s="5624" t="s">
        <v>303</v>
      </c>
      <c r="E477" s="5624" t="s">
        <v>304</v>
      </c>
      <c r="F477" s="5622" t="s">
        <v>305</v>
      </c>
      <c r="G477" s="5624" t="s">
        <v>240</v>
      </c>
      <c r="H477" s="5624" t="s">
        <v>257</v>
      </c>
      <c r="I477" s="5618" t="s">
        <v>3181</v>
      </c>
      <c r="J477" s="5618" t="s">
        <v>3182</v>
      </c>
      <c r="K477" s="5618" t="s">
        <v>3173</v>
      </c>
      <c r="L477" s="5619">
        <v>0</v>
      </c>
      <c r="M477" s="5619">
        <v>1</v>
      </c>
      <c r="N477" s="5619">
        <v>1</v>
      </c>
      <c r="O477" s="5618" t="s">
        <v>3183</v>
      </c>
      <c r="P477" s="5618" t="s">
        <v>3184</v>
      </c>
      <c r="Q477" s="5620" t="s">
        <v>3217</v>
      </c>
      <c r="R477" s="1721"/>
      <c r="S477" s="1721"/>
      <c r="T477" s="1721"/>
      <c r="U477" s="1711"/>
      <c r="V477" s="1719"/>
      <c r="W477" s="1719"/>
      <c r="X477" s="1719"/>
      <c r="Y477" s="1719"/>
      <c r="Z477" s="1719"/>
      <c r="AA477" s="1711"/>
      <c r="AB477" s="1711"/>
      <c r="AC477" s="1711"/>
      <c r="AD477" s="1711"/>
      <c r="AE477" s="1308"/>
    </row>
    <row r="478" spans="1:31" ht="21" customHeight="1">
      <c r="A478" s="5629"/>
      <c r="B478" s="5573"/>
      <c r="C478" s="5337"/>
      <c r="D478" s="5337"/>
      <c r="E478" s="5337"/>
      <c r="F478" s="5337"/>
      <c r="G478" s="5337"/>
      <c r="H478" s="5337"/>
      <c r="I478" s="5337"/>
      <c r="J478" s="5337"/>
      <c r="K478" s="5337"/>
      <c r="L478" s="5337"/>
      <c r="M478" s="5337"/>
      <c r="N478" s="5337"/>
      <c r="O478" s="5337"/>
      <c r="P478" s="5337"/>
      <c r="Q478" s="5345"/>
      <c r="R478" s="1721"/>
      <c r="S478" s="1721"/>
      <c r="T478" s="1721"/>
      <c r="U478" s="1711"/>
      <c r="V478" s="1719"/>
      <c r="W478" s="1719"/>
      <c r="X478" s="1719"/>
      <c r="Y478" s="1719"/>
      <c r="Z478" s="1719"/>
      <c r="AA478" s="1711"/>
      <c r="AB478" s="1711"/>
      <c r="AC478" s="1711"/>
      <c r="AD478" s="1711"/>
      <c r="AE478" s="1308"/>
    </row>
    <row r="479" spans="1:31" ht="21" customHeight="1">
      <c r="A479" s="5629"/>
      <c r="B479" s="5573"/>
      <c r="C479" s="5337"/>
      <c r="D479" s="5337"/>
      <c r="E479" s="5337"/>
      <c r="F479" s="5337"/>
      <c r="G479" s="5337"/>
      <c r="H479" s="5337"/>
      <c r="I479" s="5337"/>
      <c r="J479" s="5337"/>
      <c r="K479" s="5337"/>
      <c r="L479" s="5337"/>
      <c r="M479" s="5337"/>
      <c r="N479" s="5337"/>
      <c r="O479" s="5337"/>
      <c r="P479" s="5337"/>
      <c r="Q479" s="5345"/>
      <c r="R479" s="1721"/>
      <c r="S479" s="1721"/>
      <c r="T479" s="1721"/>
      <c r="U479" s="1711"/>
      <c r="V479" s="1719"/>
      <c r="W479" s="1719"/>
      <c r="X479" s="1719"/>
      <c r="Y479" s="1719"/>
      <c r="Z479" s="1719"/>
      <c r="AA479" s="1711"/>
      <c r="AB479" s="1711"/>
      <c r="AC479" s="1711"/>
      <c r="AD479" s="1711"/>
      <c r="AE479" s="1308"/>
    </row>
    <row r="480" spans="1:31" ht="21" customHeight="1">
      <c r="A480" s="5629"/>
      <c r="B480" s="5573"/>
      <c r="C480" s="5337"/>
      <c r="D480" s="5337"/>
      <c r="E480" s="5337"/>
      <c r="F480" s="5337"/>
      <c r="G480" s="5337"/>
      <c r="H480" s="5337"/>
      <c r="I480" s="5337"/>
      <c r="J480" s="5337"/>
      <c r="K480" s="5337"/>
      <c r="L480" s="5337"/>
      <c r="M480" s="5337"/>
      <c r="N480" s="5337"/>
      <c r="O480" s="5337"/>
      <c r="P480" s="5337"/>
      <c r="Q480" s="5345"/>
      <c r="R480" s="1721"/>
      <c r="S480" s="1721"/>
      <c r="T480" s="1721"/>
      <c r="U480" s="1711"/>
      <c r="V480" s="1719"/>
      <c r="W480" s="1719"/>
      <c r="X480" s="1719"/>
      <c r="Y480" s="1719"/>
      <c r="Z480" s="1719"/>
      <c r="AA480" s="1711"/>
      <c r="AB480" s="1711"/>
      <c r="AC480" s="1711"/>
      <c r="AD480" s="1711"/>
      <c r="AE480" s="1308"/>
    </row>
    <row r="481" spans="1:31" ht="21" customHeight="1">
      <c r="A481" s="5629"/>
      <c r="B481" s="5574"/>
      <c r="C481" s="5338"/>
      <c r="D481" s="5338"/>
      <c r="E481" s="5338"/>
      <c r="F481" s="5338"/>
      <c r="G481" s="5338"/>
      <c r="H481" s="5338"/>
      <c r="I481" s="5338"/>
      <c r="J481" s="5338"/>
      <c r="K481" s="5338"/>
      <c r="L481" s="5338"/>
      <c r="M481" s="5338"/>
      <c r="N481" s="5338"/>
      <c r="O481" s="5338"/>
      <c r="P481" s="5338"/>
      <c r="Q481" s="5346"/>
      <c r="R481" s="1327"/>
      <c r="S481" s="1327"/>
      <c r="T481" s="1327"/>
      <c r="U481" s="277"/>
      <c r="V481" s="416"/>
      <c r="W481" s="416"/>
      <c r="X481" s="416"/>
      <c r="Y481" s="416"/>
      <c r="Z481" s="416"/>
      <c r="AA481" s="277"/>
      <c r="AB481" s="277"/>
      <c r="AC481" s="277"/>
      <c r="AD481" s="277"/>
      <c r="AE481" s="1314"/>
    </row>
    <row r="482" spans="1:31" ht="21" customHeight="1">
      <c r="A482" s="5629"/>
      <c r="B482" s="5627" t="s">
        <v>235</v>
      </c>
      <c r="C482" s="5347" t="s">
        <v>236</v>
      </c>
      <c r="D482" s="5347" t="s">
        <v>237</v>
      </c>
      <c r="E482" s="5347" t="s">
        <v>255</v>
      </c>
      <c r="F482" s="5353" t="s">
        <v>239</v>
      </c>
      <c r="G482" s="5336" t="s">
        <v>240</v>
      </c>
      <c r="H482" s="5336" t="s">
        <v>257</v>
      </c>
      <c r="I482" s="5618" t="s">
        <v>3185</v>
      </c>
      <c r="J482" s="5618" t="s">
        <v>3186</v>
      </c>
      <c r="K482" s="5618" t="s">
        <v>3187</v>
      </c>
      <c r="L482" s="5619">
        <v>1</v>
      </c>
      <c r="M482" s="5619">
        <v>1</v>
      </c>
      <c r="N482" s="5619">
        <v>1</v>
      </c>
      <c r="O482" s="5618" t="s">
        <v>3188</v>
      </c>
      <c r="P482" s="5618" t="s">
        <v>3189</v>
      </c>
      <c r="Q482" s="5620" t="s">
        <v>3216</v>
      </c>
      <c r="R482" s="1721"/>
      <c r="S482" s="1721"/>
      <c r="T482" s="1721"/>
      <c r="U482" s="1711"/>
      <c r="V482" s="1719"/>
      <c r="W482" s="1719"/>
      <c r="X482" s="1719"/>
      <c r="Y482" s="1719"/>
      <c r="Z482" s="1719"/>
      <c r="AA482" s="1711"/>
      <c r="AB482" s="1711"/>
      <c r="AC482" s="1711"/>
      <c r="AD482" s="1711"/>
      <c r="AE482" s="1308"/>
    </row>
    <row r="483" spans="1:31" ht="21" customHeight="1">
      <c r="A483" s="5629"/>
      <c r="B483" s="5573"/>
      <c r="C483" s="5337"/>
      <c r="D483" s="5337"/>
      <c r="E483" s="5337"/>
      <c r="F483" s="5337"/>
      <c r="G483" s="5337"/>
      <c r="H483" s="5337"/>
      <c r="I483" s="5337"/>
      <c r="J483" s="5337"/>
      <c r="K483" s="5337"/>
      <c r="L483" s="5337"/>
      <c r="M483" s="5337"/>
      <c r="N483" s="5337"/>
      <c r="O483" s="5337"/>
      <c r="P483" s="5337"/>
      <c r="Q483" s="5345"/>
      <c r="R483" s="1721"/>
      <c r="S483" s="1721"/>
      <c r="T483" s="1721"/>
      <c r="U483" s="1711"/>
      <c r="V483" s="1719"/>
      <c r="W483" s="1719"/>
      <c r="X483" s="1719"/>
      <c r="Y483" s="1719"/>
      <c r="Z483" s="1719"/>
      <c r="AA483" s="1711"/>
      <c r="AB483" s="1711"/>
      <c r="AC483" s="1711"/>
      <c r="AD483" s="1711"/>
      <c r="AE483" s="1308"/>
    </row>
    <row r="484" spans="1:31" ht="21" customHeight="1">
      <c r="A484" s="5629"/>
      <c r="B484" s="5573"/>
      <c r="C484" s="5337"/>
      <c r="D484" s="5337"/>
      <c r="E484" s="5337"/>
      <c r="F484" s="5337"/>
      <c r="G484" s="5337"/>
      <c r="H484" s="5337"/>
      <c r="I484" s="5337"/>
      <c r="J484" s="5337"/>
      <c r="K484" s="5337"/>
      <c r="L484" s="5337"/>
      <c r="M484" s="5337"/>
      <c r="N484" s="5337"/>
      <c r="O484" s="5337"/>
      <c r="P484" s="5337"/>
      <c r="Q484" s="5345"/>
      <c r="R484" s="1721"/>
      <c r="S484" s="1721"/>
      <c r="T484" s="1721"/>
      <c r="U484" s="1711"/>
      <c r="V484" s="1719"/>
      <c r="W484" s="1719"/>
      <c r="X484" s="1719"/>
      <c r="Y484" s="1719"/>
      <c r="Z484" s="1719"/>
      <c r="AA484" s="1711"/>
      <c r="AB484" s="1711"/>
      <c r="AC484" s="1711"/>
      <c r="AD484" s="1711"/>
      <c r="AE484" s="1308"/>
    </row>
    <row r="485" spans="1:31" ht="21" customHeight="1">
      <c r="A485" s="5629"/>
      <c r="B485" s="5573"/>
      <c r="C485" s="5337"/>
      <c r="D485" s="5337"/>
      <c r="E485" s="5337"/>
      <c r="F485" s="5337"/>
      <c r="G485" s="5337"/>
      <c r="H485" s="5337"/>
      <c r="I485" s="5337"/>
      <c r="J485" s="5337"/>
      <c r="K485" s="5337"/>
      <c r="L485" s="5337"/>
      <c r="M485" s="5337"/>
      <c r="N485" s="5337"/>
      <c r="O485" s="5337"/>
      <c r="P485" s="5337"/>
      <c r="Q485" s="5345"/>
      <c r="R485" s="1721"/>
      <c r="S485" s="1721"/>
      <c r="T485" s="1721"/>
      <c r="U485" s="1711"/>
      <c r="V485" s="1719"/>
      <c r="W485" s="1719"/>
      <c r="X485" s="1719"/>
      <c r="Y485" s="1719"/>
      <c r="Z485" s="1719"/>
      <c r="AA485" s="1711"/>
      <c r="AB485" s="1711"/>
      <c r="AC485" s="1711"/>
      <c r="AD485" s="1711"/>
      <c r="AE485" s="1308"/>
    </row>
    <row r="486" spans="1:31" ht="21" customHeight="1">
      <c r="A486" s="5629"/>
      <c r="B486" s="5574"/>
      <c r="C486" s="5338"/>
      <c r="D486" s="5338"/>
      <c r="E486" s="5338"/>
      <c r="F486" s="5338"/>
      <c r="G486" s="5338"/>
      <c r="H486" s="5338"/>
      <c r="I486" s="5338"/>
      <c r="J486" s="5338"/>
      <c r="K486" s="5338"/>
      <c r="L486" s="5338"/>
      <c r="M486" s="5338"/>
      <c r="N486" s="5338"/>
      <c r="O486" s="5338"/>
      <c r="P486" s="5338"/>
      <c r="Q486" s="5346"/>
      <c r="R486" s="1327"/>
      <c r="S486" s="1327"/>
      <c r="T486" s="1327"/>
      <c r="U486" s="277"/>
      <c r="V486" s="416"/>
      <c r="W486" s="416"/>
      <c r="X486" s="416"/>
      <c r="Y486" s="416"/>
      <c r="Z486" s="416"/>
      <c r="AA486" s="277"/>
      <c r="AB486" s="277"/>
      <c r="AC486" s="277"/>
      <c r="AD486" s="277"/>
      <c r="AE486" s="1314"/>
    </row>
    <row r="487" spans="1:31" ht="21" customHeight="1">
      <c r="A487" s="5629"/>
      <c r="B487" s="5626" t="s">
        <v>272</v>
      </c>
      <c r="C487" s="5624" t="s">
        <v>302</v>
      </c>
      <c r="D487" s="5624" t="s">
        <v>303</v>
      </c>
      <c r="E487" s="5624" t="s">
        <v>304</v>
      </c>
      <c r="F487" s="5622" t="s">
        <v>305</v>
      </c>
      <c r="G487" s="5624" t="s">
        <v>240</v>
      </c>
      <c r="H487" s="5624" t="s">
        <v>257</v>
      </c>
      <c r="I487" s="5618" t="s">
        <v>3190</v>
      </c>
      <c r="J487" s="5618" t="s">
        <v>3191</v>
      </c>
      <c r="K487" s="5618" t="s">
        <v>2995</v>
      </c>
      <c r="L487" s="5619">
        <v>0</v>
      </c>
      <c r="M487" s="5619">
        <v>1</v>
      </c>
      <c r="N487" s="5619">
        <v>0</v>
      </c>
      <c r="O487" s="5618" t="s">
        <v>2996</v>
      </c>
      <c r="P487" s="5618" t="s">
        <v>2997</v>
      </c>
      <c r="Q487" s="5620" t="s">
        <v>3217</v>
      </c>
      <c r="R487" s="1721"/>
      <c r="S487" s="1721"/>
      <c r="T487" s="1721"/>
      <c r="U487" s="1711"/>
      <c r="V487" s="1719"/>
      <c r="W487" s="1719"/>
      <c r="X487" s="1719"/>
      <c r="Y487" s="1719"/>
      <c r="Z487" s="1719"/>
      <c r="AA487" s="1711"/>
      <c r="AB487" s="1711"/>
      <c r="AC487" s="1711"/>
      <c r="AD487" s="1711"/>
      <c r="AE487" s="1308"/>
    </row>
    <row r="488" spans="1:31" ht="21" customHeight="1">
      <c r="A488" s="5629"/>
      <c r="B488" s="5573"/>
      <c r="C488" s="5337"/>
      <c r="D488" s="5337"/>
      <c r="E488" s="5337"/>
      <c r="F488" s="5337"/>
      <c r="G488" s="5337"/>
      <c r="H488" s="5337"/>
      <c r="I488" s="5337"/>
      <c r="J488" s="5337"/>
      <c r="K488" s="5337"/>
      <c r="L488" s="5337"/>
      <c r="M488" s="5337"/>
      <c r="N488" s="5337"/>
      <c r="O488" s="5337"/>
      <c r="P488" s="5337"/>
      <c r="Q488" s="5345"/>
      <c r="R488" s="1721"/>
      <c r="S488" s="1721"/>
      <c r="T488" s="1721"/>
      <c r="U488" s="1711"/>
      <c r="V488" s="1719"/>
      <c r="W488" s="1719"/>
      <c r="X488" s="1719"/>
      <c r="Y488" s="1719"/>
      <c r="Z488" s="1719"/>
      <c r="AA488" s="1711"/>
      <c r="AB488" s="1711"/>
      <c r="AC488" s="1711"/>
      <c r="AD488" s="1711"/>
      <c r="AE488" s="1308"/>
    </row>
    <row r="489" spans="1:31" ht="21" customHeight="1">
      <c r="A489" s="5629"/>
      <c r="B489" s="5573"/>
      <c r="C489" s="5337"/>
      <c r="D489" s="5337"/>
      <c r="E489" s="5337"/>
      <c r="F489" s="5337"/>
      <c r="G489" s="5337"/>
      <c r="H489" s="5337"/>
      <c r="I489" s="5337"/>
      <c r="J489" s="5337"/>
      <c r="K489" s="5337"/>
      <c r="L489" s="5337"/>
      <c r="M489" s="5337"/>
      <c r="N489" s="5337"/>
      <c r="O489" s="5337"/>
      <c r="P489" s="5337"/>
      <c r="Q489" s="5345"/>
      <c r="R489" s="1721"/>
      <c r="S489" s="1721"/>
      <c r="T489" s="1721"/>
      <c r="U489" s="1711"/>
      <c r="V489" s="1719"/>
      <c r="W489" s="1719"/>
      <c r="X489" s="1719"/>
      <c r="Y489" s="1719"/>
      <c r="Z489" s="1719"/>
      <c r="AA489" s="1711"/>
      <c r="AB489" s="1711"/>
      <c r="AC489" s="1711"/>
      <c r="AD489" s="1711"/>
      <c r="AE489" s="1308"/>
    </row>
    <row r="490" spans="1:31" ht="21" customHeight="1">
      <c r="A490" s="5629"/>
      <c r="B490" s="5573"/>
      <c r="C490" s="5337"/>
      <c r="D490" s="5337"/>
      <c r="E490" s="5337"/>
      <c r="F490" s="5337"/>
      <c r="G490" s="5337"/>
      <c r="H490" s="5337"/>
      <c r="I490" s="5337"/>
      <c r="J490" s="5337"/>
      <c r="K490" s="5337"/>
      <c r="L490" s="5337"/>
      <c r="M490" s="5337"/>
      <c r="N490" s="5337"/>
      <c r="O490" s="5337"/>
      <c r="P490" s="5337"/>
      <c r="Q490" s="5345"/>
      <c r="R490" s="1721"/>
      <c r="S490" s="1721"/>
      <c r="T490" s="1721"/>
      <c r="U490" s="1711"/>
      <c r="V490" s="1719"/>
      <c r="W490" s="1719"/>
      <c r="X490" s="1719"/>
      <c r="Y490" s="1719"/>
      <c r="Z490" s="1719"/>
      <c r="AA490" s="1711"/>
      <c r="AB490" s="1711"/>
      <c r="AC490" s="1711"/>
      <c r="AD490" s="1711"/>
      <c r="AE490" s="1308"/>
    </row>
    <row r="491" spans="1:31" ht="21" customHeight="1">
      <c r="A491" s="5629"/>
      <c r="B491" s="5574"/>
      <c r="C491" s="5338"/>
      <c r="D491" s="5338"/>
      <c r="E491" s="5338"/>
      <c r="F491" s="5338"/>
      <c r="G491" s="5338"/>
      <c r="H491" s="5338"/>
      <c r="I491" s="5338"/>
      <c r="J491" s="5338"/>
      <c r="K491" s="5338"/>
      <c r="L491" s="5338"/>
      <c r="M491" s="5338"/>
      <c r="N491" s="5338"/>
      <c r="O491" s="5338"/>
      <c r="P491" s="5338"/>
      <c r="Q491" s="5346"/>
      <c r="R491" s="1327"/>
      <c r="S491" s="1327"/>
      <c r="T491" s="1327"/>
      <c r="U491" s="277"/>
      <c r="V491" s="416"/>
      <c r="W491" s="416"/>
      <c r="X491" s="416"/>
      <c r="Y491" s="416"/>
      <c r="Z491" s="416"/>
      <c r="AA491" s="277"/>
      <c r="AB491" s="277"/>
      <c r="AC491" s="277"/>
      <c r="AD491" s="277"/>
      <c r="AE491" s="1314"/>
    </row>
    <row r="492" spans="1:31" ht="21" customHeight="1">
      <c r="A492" s="5629"/>
      <c r="B492" s="5626" t="s">
        <v>272</v>
      </c>
      <c r="C492" s="5624" t="s">
        <v>302</v>
      </c>
      <c r="D492" s="5624" t="s">
        <v>303</v>
      </c>
      <c r="E492" s="5624" t="s">
        <v>304</v>
      </c>
      <c r="F492" s="5622" t="s">
        <v>305</v>
      </c>
      <c r="G492" s="5336" t="s">
        <v>262</v>
      </c>
      <c r="H492" s="5336" t="s">
        <v>241</v>
      </c>
      <c r="I492" s="5336" t="s">
        <v>3192</v>
      </c>
      <c r="J492" s="5623" t="s">
        <v>3193</v>
      </c>
      <c r="K492" s="5336" t="s">
        <v>3146</v>
      </c>
      <c r="L492" s="5343">
        <v>1</v>
      </c>
      <c r="M492" s="5399">
        <v>1</v>
      </c>
      <c r="N492" s="5343">
        <v>1</v>
      </c>
      <c r="O492" s="5336" t="s">
        <v>3194</v>
      </c>
      <c r="P492" s="5336" t="s">
        <v>3195</v>
      </c>
      <c r="Q492" s="5370" t="s">
        <v>3218</v>
      </c>
      <c r="R492" s="1721"/>
      <c r="S492" s="1721"/>
      <c r="T492" s="1721"/>
      <c r="U492" s="1711"/>
      <c r="V492" s="1719"/>
      <c r="W492" s="1719"/>
      <c r="X492" s="1719"/>
      <c r="Y492" s="1719"/>
      <c r="Z492" s="1719"/>
      <c r="AA492" s="1711"/>
      <c r="AB492" s="1711"/>
      <c r="AC492" s="1711"/>
      <c r="AD492" s="1711"/>
      <c r="AE492" s="1308"/>
    </row>
    <row r="493" spans="1:31" ht="21" customHeight="1">
      <c r="A493" s="5629"/>
      <c r="B493" s="5573"/>
      <c r="C493" s="5337"/>
      <c r="D493" s="5337"/>
      <c r="E493" s="5337"/>
      <c r="F493" s="5337"/>
      <c r="G493" s="5337"/>
      <c r="H493" s="5337"/>
      <c r="I493" s="5337"/>
      <c r="J493" s="5337"/>
      <c r="K493" s="5337"/>
      <c r="L493" s="5337"/>
      <c r="M493" s="5337"/>
      <c r="N493" s="5337"/>
      <c r="O493" s="5337"/>
      <c r="P493" s="5337"/>
      <c r="Q493" s="5345"/>
      <c r="R493" s="1721"/>
      <c r="S493" s="1721"/>
      <c r="T493" s="1721"/>
      <c r="U493" s="1711"/>
      <c r="V493" s="1719"/>
      <c r="W493" s="1719"/>
      <c r="X493" s="1719"/>
      <c r="Y493" s="1719"/>
      <c r="Z493" s="1719"/>
      <c r="AA493" s="1711"/>
      <c r="AB493" s="1711"/>
      <c r="AC493" s="1711"/>
      <c r="AD493" s="1711"/>
      <c r="AE493" s="1308"/>
    </row>
    <row r="494" spans="1:31" ht="21" customHeight="1">
      <c r="A494" s="5629"/>
      <c r="B494" s="5573"/>
      <c r="C494" s="5337"/>
      <c r="D494" s="5337"/>
      <c r="E494" s="5337"/>
      <c r="F494" s="5337"/>
      <c r="G494" s="5337"/>
      <c r="H494" s="5337"/>
      <c r="I494" s="5337"/>
      <c r="J494" s="5337"/>
      <c r="K494" s="5337"/>
      <c r="L494" s="5337"/>
      <c r="M494" s="5337"/>
      <c r="N494" s="5337"/>
      <c r="O494" s="5337"/>
      <c r="P494" s="5337"/>
      <c r="Q494" s="5345"/>
      <c r="R494" s="1721"/>
      <c r="S494" s="1721"/>
      <c r="T494" s="1721"/>
      <c r="U494" s="1711"/>
      <c r="V494" s="1719"/>
      <c r="W494" s="1719"/>
      <c r="X494" s="1719"/>
      <c r="Y494" s="1719"/>
      <c r="Z494" s="1719"/>
      <c r="AA494" s="1711"/>
      <c r="AB494" s="1711"/>
      <c r="AC494" s="1711"/>
      <c r="AD494" s="1711"/>
      <c r="AE494" s="1308"/>
    </row>
    <row r="495" spans="1:31" ht="21" customHeight="1">
      <c r="A495" s="5629"/>
      <c r="B495" s="5573"/>
      <c r="C495" s="5337"/>
      <c r="D495" s="5337"/>
      <c r="E495" s="5337"/>
      <c r="F495" s="5337"/>
      <c r="G495" s="5337"/>
      <c r="H495" s="5337"/>
      <c r="I495" s="5337"/>
      <c r="J495" s="5337"/>
      <c r="K495" s="5337"/>
      <c r="L495" s="5337"/>
      <c r="M495" s="5337"/>
      <c r="N495" s="5337"/>
      <c r="O495" s="5337"/>
      <c r="P495" s="5337"/>
      <c r="Q495" s="5345"/>
      <c r="R495" s="1721"/>
      <c r="S495" s="1721"/>
      <c r="T495" s="1721"/>
      <c r="U495" s="1711"/>
      <c r="V495" s="1719"/>
      <c r="W495" s="1719"/>
      <c r="X495" s="1719"/>
      <c r="Y495" s="1719"/>
      <c r="Z495" s="1719"/>
      <c r="AA495" s="1711"/>
      <c r="AB495" s="1711"/>
      <c r="AC495" s="1711"/>
      <c r="AD495" s="1711"/>
      <c r="AE495" s="1308"/>
    </row>
    <row r="496" spans="1:31" ht="21" customHeight="1">
      <c r="A496" s="5629"/>
      <c r="B496" s="5574"/>
      <c r="C496" s="5338"/>
      <c r="D496" s="5338"/>
      <c r="E496" s="5338"/>
      <c r="F496" s="5338"/>
      <c r="G496" s="5338"/>
      <c r="H496" s="5338"/>
      <c r="I496" s="5338"/>
      <c r="J496" s="5338"/>
      <c r="K496" s="5338"/>
      <c r="L496" s="5338"/>
      <c r="M496" s="5338"/>
      <c r="N496" s="5338"/>
      <c r="O496" s="5338"/>
      <c r="P496" s="5338"/>
      <c r="Q496" s="5346"/>
      <c r="R496" s="1327"/>
      <c r="S496" s="1327"/>
      <c r="T496" s="1327"/>
      <c r="U496" s="277"/>
      <c r="V496" s="416"/>
      <c r="W496" s="416"/>
      <c r="X496" s="416"/>
      <c r="Y496" s="416"/>
      <c r="Z496" s="416"/>
      <c r="AA496" s="277"/>
      <c r="AB496" s="277"/>
      <c r="AC496" s="277"/>
      <c r="AD496" s="277"/>
      <c r="AE496" s="1314"/>
    </row>
    <row r="497" spans="1:31" ht="18" customHeight="1">
      <c r="A497" s="5629"/>
      <c r="B497" s="5572" t="s">
        <v>235</v>
      </c>
      <c r="C497" s="5336" t="s">
        <v>236</v>
      </c>
      <c r="D497" s="5336" t="s">
        <v>237</v>
      </c>
      <c r="E497" s="5336" t="s">
        <v>255</v>
      </c>
      <c r="F497" s="5341" t="s">
        <v>239</v>
      </c>
      <c r="G497" s="5336" t="s">
        <v>240</v>
      </c>
      <c r="H497" s="5336" t="s">
        <v>257</v>
      </c>
      <c r="I497" s="5336" t="s">
        <v>3197</v>
      </c>
      <c r="J497" s="5623" t="s">
        <v>3198</v>
      </c>
      <c r="K497" s="5336" t="s">
        <v>3012</v>
      </c>
      <c r="L497" s="5399">
        <v>3</v>
      </c>
      <c r="M497" s="5399">
        <v>4</v>
      </c>
      <c r="N497" s="5399">
        <v>3</v>
      </c>
      <c r="O497" s="5336" t="s">
        <v>3199</v>
      </c>
      <c r="P497" s="5336" t="s">
        <v>3200</v>
      </c>
      <c r="Q497" s="5370" t="s">
        <v>3216</v>
      </c>
      <c r="R497" s="995"/>
      <c r="S497" s="996"/>
      <c r="T497" s="996"/>
      <c r="U497" s="283"/>
      <c r="V497" s="988"/>
      <c r="W497" s="178"/>
      <c r="X497" s="989"/>
      <c r="Y497" s="989"/>
      <c r="Z497" s="989"/>
      <c r="AA497" s="990"/>
      <c r="AB497" s="178"/>
      <c r="AC497" s="181"/>
      <c r="AD497" s="181"/>
      <c r="AE497" s="5418"/>
    </row>
    <row r="498" spans="1:31" ht="18" customHeight="1">
      <c r="A498" s="5629"/>
      <c r="B498" s="5573"/>
      <c r="C498" s="5337"/>
      <c r="D498" s="5337"/>
      <c r="E498" s="5337"/>
      <c r="F498" s="5337"/>
      <c r="G498" s="5337"/>
      <c r="H498" s="5337"/>
      <c r="I498" s="5337"/>
      <c r="J498" s="5337"/>
      <c r="K498" s="5337"/>
      <c r="L498" s="5337"/>
      <c r="M498" s="5337"/>
      <c r="N498" s="5337"/>
      <c r="O498" s="5337"/>
      <c r="P498" s="5337"/>
      <c r="Q498" s="5345"/>
      <c r="R498" s="982"/>
      <c r="S498" s="983"/>
      <c r="T498" s="983"/>
      <c r="U498" s="169"/>
      <c r="V498" s="984"/>
      <c r="W498" s="170"/>
      <c r="X498" s="974"/>
      <c r="Y498" s="974">
        <f t="shared" ref="Y498:Y501" si="116">+V498*X498</f>
        <v>0</v>
      </c>
      <c r="Z498" s="974">
        <f t="shared" ref="Z498:Z501" si="117">+Y498*1.12</f>
        <v>0</v>
      </c>
      <c r="AA498" s="969"/>
      <c r="AB498" s="170"/>
      <c r="AC498" s="282"/>
      <c r="AD498" s="282"/>
      <c r="AE498" s="5416"/>
    </row>
    <row r="499" spans="1:31" ht="18" customHeight="1">
      <c r="A499" s="5629"/>
      <c r="B499" s="5573"/>
      <c r="C499" s="5337"/>
      <c r="D499" s="5337"/>
      <c r="E499" s="5337"/>
      <c r="F499" s="5337"/>
      <c r="G499" s="5337"/>
      <c r="H499" s="5337"/>
      <c r="I499" s="5337"/>
      <c r="J499" s="5337"/>
      <c r="K499" s="5337"/>
      <c r="L499" s="5337"/>
      <c r="M499" s="5337"/>
      <c r="N499" s="5337"/>
      <c r="O499" s="5337"/>
      <c r="P499" s="5337"/>
      <c r="Q499" s="5345"/>
      <c r="R499" s="971"/>
      <c r="S499" s="972"/>
      <c r="T499" s="972"/>
      <c r="U499" s="1217"/>
      <c r="V499" s="968"/>
      <c r="W499" s="414"/>
      <c r="X499" s="973"/>
      <c r="Y499" s="974">
        <f t="shared" si="116"/>
        <v>0</v>
      </c>
      <c r="Z499" s="974">
        <f t="shared" si="117"/>
        <v>0</v>
      </c>
      <c r="AA499" s="969"/>
      <c r="AB499" s="170"/>
      <c r="AC499" s="282"/>
      <c r="AD499" s="282"/>
      <c r="AE499" s="5416"/>
    </row>
    <row r="500" spans="1:31" ht="18" customHeight="1">
      <c r="A500" s="5555"/>
      <c r="B500" s="5573"/>
      <c r="C500" s="5337"/>
      <c r="D500" s="5337"/>
      <c r="E500" s="5337"/>
      <c r="F500" s="5337"/>
      <c r="G500" s="5337"/>
      <c r="H500" s="5337"/>
      <c r="I500" s="5337"/>
      <c r="J500" s="5337"/>
      <c r="K500" s="5337"/>
      <c r="L500" s="5337"/>
      <c r="M500" s="5337"/>
      <c r="N500" s="5337"/>
      <c r="O500" s="5337"/>
      <c r="P500" s="5337"/>
      <c r="Q500" s="5345"/>
      <c r="R500" s="970"/>
      <c r="S500" s="967"/>
      <c r="T500" s="967"/>
      <c r="U500" s="1217"/>
      <c r="V500" s="968"/>
      <c r="W500" s="414"/>
      <c r="X500" s="973"/>
      <c r="Y500" s="974">
        <f t="shared" si="116"/>
        <v>0</v>
      </c>
      <c r="Z500" s="974">
        <f t="shared" si="117"/>
        <v>0</v>
      </c>
      <c r="AA500" s="969"/>
      <c r="AB500" s="170"/>
      <c r="AC500" s="282"/>
      <c r="AD500" s="282"/>
      <c r="AE500" s="5416"/>
    </row>
    <row r="501" spans="1:31" ht="18" customHeight="1">
      <c r="A501" s="2163"/>
      <c r="B501" s="5574"/>
      <c r="C501" s="5338"/>
      <c r="D501" s="5338"/>
      <c r="E501" s="5338"/>
      <c r="F501" s="5338"/>
      <c r="G501" s="5338"/>
      <c r="H501" s="5338"/>
      <c r="I501" s="5338"/>
      <c r="J501" s="5338"/>
      <c r="K501" s="5338"/>
      <c r="L501" s="5338"/>
      <c r="M501" s="5338"/>
      <c r="N501" s="5338"/>
      <c r="O501" s="5338"/>
      <c r="P501" s="5338"/>
      <c r="Q501" s="5346"/>
      <c r="R501" s="975"/>
      <c r="S501" s="976"/>
      <c r="T501" s="976"/>
      <c r="U501" s="411"/>
      <c r="V501" s="977"/>
      <c r="W501" s="165"/>
      <c r="X501" s="978"/>
      <c r="Y501" s="978">
        <f t="shared" si="116"/>
        <v>0</v>
      </c>
      <c r="Z501" s="978">
        <f t="shared" si="117"/>
        <v>0</v>
      </c>
      <c r="AA501" s="979"/>
      <c r="AB501" s="165"/>
      <c r="AC501" s="166"/>
      <c r="AD501" s="166"/>
      <c r="AE501" s="5417"/>
    </row>
    <row r="502" spans="1:31" ht="22.5" customHeight="1">
      <c r="A502" s="2158"/>
      <c r="B502" s="785"/>
      <c r="C502" s="785"/>
      <c r="D502" s="785"/>
      <c r="E502" s="785"/>
      <c r="F502" s="785"/>
      <c r="G502" s="785"/>
      <c r="H502" s="785"/>
      <c r="I502" s="785"/>
      <c r="J502" s="785"/>
      <c r="K502" s="785"/>
      <c r="L502" s="785"/>
      <c r="M502" s="785"/>
      <c r="N502" s="785"/>
      <c r="O502" s="785"/>
      <c r="P502" s="785"/>
      <c r="Q502" s="786"/>
      <c r="R502" s="5636" t="s">
        <v>3219</v>
      </c>
      <c r="S502" s="5474"/>
      <c r="T502" s="5474"/>
      <c r="U502" s="5474"/>
      <c r="V502" s="5474"/>
      <c r="W502" s="5474"/>
      <c r="X502" s="5474"/>
      <c r="Y502" s="5475"/>
      <c r="Z502" s="997" t="s">
        <v>340</v>
      </c>
      <c r="AA502" s="998">
        <f>SUM(AA426:AA501)</f>
        <v>8039.3600000000006</v>
      </c>
      <c r="AB502" s="5521"/>
      <c r="AC502" s="5474"/>
      <c r="AD502" s="5474"/>
      <c r="AE502" s="5477"/>
    </row>
    <row r="503" spans="1:31" ht="18" customHeight="1">
      <c r="A503" s="5628" t="s">
        <v>3220</v>
      </c>
      <c r="B503" s="5576" t="s">
        <v>272</v>
      </c>
      <c r="C503" s="5355" t="s">
        <v>302</v>
      </c>
      <c r="D503" s="5355" t="s">
        <v>303</v>
      </c>
      <c r="E503" s="5355" t="s">
        <v>304</v>
      </c>
      <c r="F503" s="5364" t="s">
        <v>305</v>
      </c>
      <c r="G503" s="5355" t="s">
        <v>240</v>
      </c>
      <c r="H503" s="5355" t="s">
        <v>257</v>
      </c>
      <c r="I503" s="5360" t="s">
        <v>3221</v>
      </c>
      <c r="J503" s="5625" t="s">
        <v>3135</v>
      </c>
      <c r="K503" s="5355" t="s">
        <v>2846</v>
      </c>
      <c r="L503" s="5363">
        <v>2</v>
      </c>
      <c r="M503" s="5363">
        <v>1</v>
      </c>
      <c r="N503" s="5363">
        <v>2</v>
      </c>
      <c r="O503" s="5355" t="s">
        <v>3136</v>
      </c>
      <c r="P503" s="5355" t="s">
        <v>3137</v>
      </c>
      <c r="Q503" s="5392" t="s">
        <v>3138</v>
      </c>
      <c r="R503" s="1102"/>
      <c r="S503" s="1103"/>
      <c r="T503" s="1103"/>
      <c r="U503" s="154"/>
      <c r="V503" s="1104"/>
      <c r="W503" s="155"/>
      <c r="X503" s="1105"/>
      <c r="Y503" s="1105"/>
      <c r="Z503" s="1105"/>
      <c r="AA503" s="1106"/>
      <c r="AB503" s="155"/>
      <c r="AC503" s="156"/>
      <c r="AD503" s="156"/>
      <c r="AE503" s="5428"/>
    </row>
    <row r="504" spans="1:31" ht="18" customHeight="1">
      <c r="A504" s="5629"/>
      <c r="B504" s="5573"/>
      <c r="C504" s="5337"/>
      <c r="D504" s="5337"/>
      <c r="E504" s="5337"/>
      <c r="F504" s="5337"/>
      <c r="G504" s="5337"/>
      <c r="H504" s="5337"/>
      <c r="I504" s="5361"/>
      <c r="J504" s="5337"/>
      <c r="K504" s="5337"/>
      <c r="L504" s="5337"/>
      <c r="M504" s="5337"/>
      <c r="N504" s="5337"/>
      <c r="O504" s="5337"/>
      <c r="P504" s="5337"/>
      <c r="Q504" s="5345"/>
      <c r="R504" s="970"/>
      <c r="S504" s="967"/>
      <c r="T504" s="967"/>
      <c r="U504" s="176"/>
      <c r="V504" s="968"/>
      <c r="W504" s="414"/>
      <c r="X504" s="973"/>
      <c r="Y504" s="973"/>
      <c r="Z504" s="973"/>
      <c r="AA504" s="981"/>
      <c r="AB504" s="414"/>
      <c r="AC504" s="174"/>
      <c r="AD504" s="174"/>
      <c r="AE504" s="5416"/>
    </row>
    <row r="505" spans="1:31" ht="18" customHeight="1">
      <c r="A505" s="5629"/>
      <c r="B505" s="5573"/>
      <c r="C505" s="5337"/>
      <c r="D505" s="5337"/>
      <c r="E505" s="5337"/>
      <c r="F505" s="5337"/>
      <c r="G505" s="5337"/>
      <c r="H505" s="5337"/>
      <c r="I505" s="5361"/>
      <c r="J505" s="5337"/>
      <c r="K505" s="5337"/>
      <c r="L505" s="5337"/>
      <c r="M505" s="5337"/>
      <c r="N505" s="5337"/>
      <c r="O505" s="5337"/>
      <c r="P505" s="5337"/>
      <c r="Q505" s="5345"/>
      <c r="R505" s="970"/>
      <c r="S505" s="967"/>
      <c r="T505" s="967"/>
      <c r="U505" s="176"/>
      <c r="V505" s="968"/>
      <c r="W505" s="414"/>
      <c r="X505" s="973"/>
      <c r="Y505" s="973"/>
      <c r="Z505" s="973"/>
      <c r="AA505" s="981"/>
      <c r="AB505" s="414"/>
      <c r="AC505" s="174"/>
      <c r="AD505" s="174"/>
      <c r="AE505" s="5416"/>
    </row>
    <row r="506" spans="1:31" ht="18" customHeight="1">
      <c r="A506" s="5629"/>
      <c r="B506" s="5573"/>
      <c r="C506" s="5337"/>
      <c r="D506" s="5337"/>
      <c r="E506" s="5337"/>
      <c r="F506" s="5337"/>
      <c r="G506" s="5337"/>
      <c r="H506" s="5337"/>
      <c r="I506" s="5361"/>
      <c r="J506" s="5337"/>
      <c r="K506" s="5337"/>
      <c r="L506" s="5337"/>
      <c r="M506" s="5337"/>
      <c r="N506" s="5337"/>
      <c r="O506" s="5337"/>
      <c r="P506" s="5337"/>
      <c r="Q506" s="5345"/>
      <c r="R506" s="970"/>
      <c r="S506" s="967"/>
      <c r="T506" s="967"/>
      <c r="U506" s="176"/>
      <c r="V506" s="968"/>
      <c r="W506" s="414"/>
      <c r="X506" s="973"/>
      <c r="Y506" s="973"/>
      <c r="Z506" s="973"/>
      <c r="AA506" s="981"/>
      <c r="AB506" s="414"/>
      <c r="AC506" s="174"/>
      <c r="AD506" s="174"/>
      <c r="AE506" s="5416"/>
    </row>
    <row r="507" spans="1:31" ht="18" customHeight="1">
      <c r="A507" s="5629"/>
      <c r="B507" s="5574"/>
      <c r="C507" s="5338"/>
      <c r="D507" s="5338"/>
      <c r="E507" s="5338"/>
      <c r="F507" s="5338"/>
      <c r="G507" s="5338"/>
      <c r="H507" s="5338"/>
      <c r="I507" s="5362"/>
      <c r="J507" s="5338"/>
      <c r="K507" s="5338"/>
      <c r="L507" s="5338"/>
      <c r="M507" s="5338"/>
      <c r="N507" s="5338"/>
      <c r="O507" s="5338"/>
      <c r="P507" s="5338"/>
      <c r="Q507" s="5346"/>
      <c r="R507" s="1328"/>
      <c r="S507" s="1329"/>
      <c r="T507" s="1329"/>
      <c r="U507" s="1330"/>
      <c r="V507" s="1311"/>
      <c r="W507" s="416"/>
      <c r="X507" s="1312"/>
      <c r="Y507" s="1312"/>
      <c r="Z507" s="1312"/>
      <c r="AA507" s="1313"/>
      <c r="AB507" s="416"/>
      <c r="AC507" s="278"/>
      <c r="AD507" s="278"/>
      <c r="AE507" s="5416"/>
    </row>
    <row r="508" spans="1:31" ht="18" customHeight="1">
      <c r="A508" s="5629"/>
      <c r="B508" s="5627" t="s">
        <v>235</v>
      </c>
      <c r="C508" s="5347" t="s">
        <v>236</v>
      </c>
      <c r="D508" s="5347" t="s">
        <v>237</v>
      </c>
      <c r="E508" s="5347" t="s">
        <v>255</v>
      </c>
      <c r="F508" s="5353" t="s">
        <v>239</v>
      </c>
      <c r="G508" s="5336" t="s">
        <v>240</v>
      </c>
      <c r="H508" s="5336" t="s">
        <v>257</v>
      </c>
      <c r="I508" s="5621" t="s">
        <v>3139</v>
      </c>
      <c r="J508" s="5621" t="s">
        <v>3140</v>
      </c>
      <c r="K508" s="5618" t="s">
        <v>2846</v>
      </c>
      <c r="L508" s="5619">
        <v>2</v>
      </c>
      <c r="M508" s="5619">
        <v>0</v>
      </c>
      <c r="N508" s="5619">
        <v>2</v>
      </c>
      <c r="O508" s="5407" t="s">
        <v>3141</v>
      </c>
      <c r="P508" s="5618" t="s">
        <v>3142</v>
      </c>
      <c r="Q508" s="5620" t="s">
        <v>3222</v>
      </c>
      <c r="R508" s="1257"/>
      <c r="S508" s="1248"/>
      <c r="T508" s="1248"/>
      <c r="U508" s="1712"/>
      <c r="V508" s="1112"/>
      <c r="W508" s="1719"/>
      <c r="X508" s="1113"/>
      <c r="Y508" s="1113"/>
      <c r="Z508" s="1113"/>
      <c r="AA508" s="1114"/>
      <c r="AB508" s="1719"/>
      <c r="AC508" s="410"/>
      <c r="AD508" s="410"/>
      <c r="AE508" s="5416"/>
    </row>
    <row r="509" spans="1:31" ht="18" customHeight="1">
      <c r="A509" s="5629"/>
      <c r="B509" s="5573"/>
      <c r="C509" s="5337"/>
      <c r="D509" s="5337"/>
      <c r="E509" s="5337"/>
      <c r="F509" s="5337"/>
      <c r="G509" s="5337"/>
      <c r="H509" s="5337"/>
      <c r="I509" s="5337"/>
      <c r="J509" s="5337"/>
      <c r="K509" s="5337"/>
      <c r="L509" s="5337"/>
      <c r="M509" s="5337"/>
      <c r="N509" s="5337"/>
      <c r="O509" s="5337"/>
      <c r="P509" s="5337"/>
      <c r="Q509" s="5345"/>
      <c r="R509" s="1257"/>
      <c r="S509" s="1248"/>
      <c r="T509" s="1248"/>
      <c r="U509" s="1712"/>
      <c r="V509" s="1112"/>
      <c r="W509" s="1719"/>
      <c r="X509" s="1113"/>
      <c r="Y509" s="1113"/>
      <c r="Z509" s="1113"/>
      <c r="AA509" s="1114"/>
      <c r="AB509" s="1719"/>
      <c r="AC509" s="410"/>
      <c r="AD509" s="410"/>
      <c r="AE509" s="5416"/>
    </row>
    <row r="510" spans="1:31" ht="18" customHeight="1">
      <c r="A510" s="5629"/>
      <c r="B510" s="5573"/>
      <c r="C510" s="5337"/>
      <c r="D510" s="5337"/>
      <c r="E510" s="5337"/>
      <c r="F510" s="5337"/>
      <c r="G510" s="5337"/>
      <c r="H510" s="5337"/>
      <c r="I510" s="5337"/>
      <c r="J510" s="5337"/>
      <c r="K510" s="5337"/>
      <c r="L510" s="5337"/>
      <c r="M510" s="5337"/>
      <c r="N510" s="5337"/>
      <c r="O510" s="5337"/>
      <c r="P510" s="5337"/>
      <c r="Q510" s="5345"/>
      <c r="R510" s="1257"/>
      <c r="S510" s="1248"/>
      <c r="T510" s="1248"/>
      <c r="U510" s="1712"/>
      <c r="V510" s="1112"/>
      <c r="W510" s="1719"/>
      <c r="X510" s="1113"/>
      <c r="Y510" s="1113"/>
      <c r="Z510" s="1113"/>
      <c r="AA510" s="1114"/>
      <c r="AB510" s="1719"/>
      <c r="AC510" s="410"/>
      <c r="AD510" s="410"/>
      <c r="AE510" s="5416"/>
    </row>
    <row r="511" spans="1:31" ht="18" customHeight="1">
      <c r="A511" s="5629"/>
      <c r="B511" s="5573"/>
      <c r="C511" s="5337"/>
      <c r="D511" s="5337"/>
      <c r="E511" s="5337"/>
      <c r="F511" s="5337"/>
      <c r="G511" s="5337"/>
      <c r="H511" s="5337"/>
      <c r="I511" s="5337"/>
      <c r="J511" s="5337"/>
      <c r="K511" s="5337"/>
      <c r="L511" s="5337"/>
      <c r="M511" s="5337"/>
      <c r="N511" s="5337"/>
      <c r="O511" s="5337"/>
      <c r="P511" s="5337"/>
      <c r="Q511" s="5345"/>
      <c r="R511" s="1257"/>
      <c r="S511" s="1248"/>
      <c r="T511" s="1248"/>
      <c r="U511" s="1712"/>
      <c r="V511" s="1112"/>
      <c r="W511" s="1719"/>
      <c r="X511" s="1113"/>
      <c r="Y511" s="1113"/>
      <c r="Z511" s="1113"/>
      <c r="AA511" s="1114"/>
      <c r="AB511" s="1719"/>
      <c r="AC511" s="410"/>
      <c r="AD511" s="410"/>
      <c r="AE511" s="5416"/>
    </row>
    <row r="512" spans="1:31" ht="18" customHeight="1">
      <c r="A512" s="5629"/>
      <c r="B512" s="5574"/>
      <c r="C512" s="5338"/>
      <c r="D512" s="5338"/>
      <c r="E512" s="5338"/>
      <c r="F512" s="5338"/>
      <c r="G512" s="5338"/>
      <c r="H512" s="5338"/>
      <c r="I512" s="5338"/>
      <c r="J512" s="5338"/>
      <c r="K512" s="5338"/>
      <c r="L512" s="5338"/>
      <c r="M512" s="5338"/>
      <c r="N512" s="5338"/>
      <c r="O512" s="5338"/>
      <c r="P512" s="5338"/>
      <c r="Q512" s="5346"/>
      <c r="R512" s="1328"/>
      <c r="S512" s="1329"/>
      <c r="T512" s="1329"/>
      <c r="U512" s="1330"/>
      <c r="V512" s="1311"/>
      <c r="W512" s="416"/>
      <c r="X512" s="1312"/>
      <c r="Y512" s="1312"/>
      <c r="Z512" s="1312"/>
      <c r="AA512" s="1313"/>
      <c r="AB512" s="416"/>
      <c r="AC512" s="278"/>
      <c r="AD512" s="278"/>
      <c r="AE512" s="5416"/>
    </row>
    <row r="513" spans="1:31" ht="18" customHeight="1">
      <c r="A513" s="5629"/>
      <c r="B513" s="5627" t="s">
        <v>235</v>
      </c>
      <c r="C513" s="5347" t="s">
        <v>236</v>
      </c>
      <c r="D513" s="5347" t="s">
        <v>237</v>
      </c>
      <c r="E513" s="5347" t="s">
        <v>255</v>
      </c>
      <c r="F513" s="5353" t="s">
        <v>239</v>
      </c>
      <c r="G513" s="5336" t="s">
        <v>240</v>
      </c>
      <c r="H513" s="5336" t="s">
        <v>257</v>
      </c>
      <c r="I513" s="5621" t="s">
        <v>3144</v>
      </c>
      <c r="J513" s="5618" t="s">
        <v>3145</v>
      </c>
      <c r="K513" s="5618" t="s">
        <v>3146</v>
      </c>
      <c r="L513" s="5407">
        <v>0</v>
      </c>
      <c r="M513" s="5407">
        <v>1</v>
      </c>
      <c r="N513" s="5407">
        <v>0</v>
      </c>
      <c r="O513" s="5618" t="s">
        <v>3147</v>
      </c>
      <c r="P513" s="5618" t="s">
        <v>3148</v>
      </c>
      <c r="Q513" s="5620" t="s">
        <v>3223</v>
      </c>
      <c r="R513" s="1257"/>
      <c r="S513" s="1248"/>
      <c r="T513" s="1248"/>
      <c r="U513" s="1712"/>
      <c r="V513" s="1112"/>
      <c r="W513" s="1719"/>
      <c r="X513" s="1113"/>
      <c r="Y513" s="1113"/>
      <c r="Z513" s="1113"/>
      <c r="AA513" s="1114"/>
      <c r="AB513" s="1719"/>
      <c r="AC513" s="410"/>
      <c r="AD513" s="410"/>
      <c r="AE513" s="5416"/>
    </row>
    <row r="514" spans="1:31" ht="18" customHeight="1">
      <c r="A514" s="5629"/>
      <c r="B514" s="5573"/>
      <c r="C514" s="5337"/>
      <c r="D514" s="5337"/>
      <c r="E514" s="5337"/>
      <c r="F514" s="5337"/>
      <c r="G514" s="5337"/>
      <c r="H514" s="5337"/>
      <c r="I514" s="5337"/>
      <c r="J514" s="5337"/>
      <c r="K514" s="5337"/>
      <c r="L514" s="5337"/>
      <c r="M514" s="5337"/>
      <c r="N514" s="5337"/>
      <c r="O514" s="5337"/>
      <c r="P514" s="5337"/>
      <c r="Q514" s="5345"/>
      <c r="R514" s="1257"/>
      <c r="S514" s="1248"/>
      <c r="T514" s="1248"/>
      <c r="U514" s="1712"/>
      <c r="V514" s="1112"/>
      <c r="W514" s="1719"/>
      <c r="X514" s="1113"/>
      <c r="Y514" s="1113"/>
      <c r="Z514" s="1113"/>
      <c r="AA514" s="1114"/>
      <c r="AB514" s="1719"/>
      <c r="AC514" s="410"/>
      <c r="AD514" s="410"/>
      <c r="AE514" s="5416"/>
    </row>
    <row r="515" spans="1:31" ht="18" customHeight="1">
      <c r="A515" s="5629"/>
      <c r="B515" s="5573"/>
      <c r="C515" s="5337"/>
      <c r="D515" s="5337"/>
      <c r="E515" s="5337"/>
      <c r="F515" s="5337"/>
      <c r="G515" s="5337"/>
      <c r="H515" s="5337"/>
      <c r="I515" s="5337"/>
      <c r="J515" s="5337"/>
      <c r="K515" s="5337"/>
      <c r="L515" s="5337"/>
      <c r="M515" s="5337"/>
      <c r="N515" s="5337"/>
      <c r="O515" s="5337"/>
      <c r="P515" s="5337"/>
      <c r="Q515" s="5345"/>
      <c r="R515" s="1257"/>
      <c r="S515" s="1248"/>
      <c r="T515" s="1248"/>
      <c r="U515" s="1712"/>
      <c r="V515" s="1112"/>
      <c r="W515" s="1719"/>
      <c r="X515" s="1113"/>
      <c r="Y515" s="1113"/>
      <c r="Z515" s="1113"/>
      <c r="AA515" s="1114"/>
      <c r="AB515" s="1719"/>
      <c r="AC515" s="410"/>
      <c r="AD515" s="410"/>
      <c r="AE515" s="5416"/>
    </row>
    <row r="516" spans="1:31" ht="18" customHeight="1">
      <c r="A516" s="5629"/>
      <c r="B516" s="5573"/>
      <c r="C516" s="5337"/>
      <c r="D516" s="5337"/>
      <c r="E516" s="5337"/>
      <c r="F516" s="5337"/>
      <c r="G516" s="5337"/>
      <c r="H516" s="5337"/>
      <c r="I516" s="5337"/>
      <c r="J516" s="5337"/>
      <c r="K516" s="5337"/>
      <c r="L516" s="5337"/>
      <c r="M516" s="5337"/>
      <c r="N516" s="5337"/>
      <c r="O516" s="5337"/>
      <c r="P516" s="5337"/>
      <c r="Q516" s="5345"/>
      <c r="R516" s="1257"/>
      <c r="S516" s="1248"/>
      <c r="T516" s="1248"/>
      <c r="U516" s="1712"/>
      <c r="V516" s="1112"/>
      <c r="W516" s="1719"/>
      <c r="X516" s="1113"/>
      <c r="Y516" s="1113"/>
      <c r="Z516" s="1113"/>
      <c r="AA516" s="1114"/>
      <c r="AB516" s="1719"/>
      <c r="AC516" s="410"/>
      <c r="AD516" s="410"/>
      <c r="AE516" s="5416"/>
    </row>
    <row r="517" spans="1:31" ht="18" customHeight="1">
      <c r="A517" s="5629"/>
      <c r="B517" s="5574"/>
      <c r="C517" s="5338"/>
      <c r="D517" s="5338"/>
      <c r="E517" s="5338"/>
      <c r="F517" s="5338"/>
      <c r="G517" s="5338"/>
      <c r="H517" s="5338"/>
      <c r="I517" s="5338"/>
      <c r="J517" s="5338"/>
      <c r="K517" s="5338"/>
      <c r="L517" s="5338"/>
      <c r="M517" s="5338"/>
      <c r="N517" s="5338"/>
      <c r="O517" s="5338"/>
      <c r="P517" s="5338"/>
      <c r="Q517" s="5346"/>
      <c r="R517" s="1328"/>
      <c r="S517" s="1329"/>
      <c r="T517" s="1331"/>
      <c r="U517" s="1332"/>
      <c r="V517" s="1333"/>
      <c r="W517" s="506"/>
      <c r="X517" s="1334"/>
      <c r="Y517" s="1334"/>
      <c r="Z517" s="1334"/>
      <c r="AA517" s="1335"/>
      <c r="AB517" s="506"/>
      <c r="AC517" s="278"/>
      <c r="AD517" s="278"/>
      <c r="AE517" s="5416"/>
    </row>
    <row r="518" spans="1:31" ht="18" customHeight="1">
      <c r="A518" s="5629"/>
      <c r="B518" s="5572" t="s">
        <v>272</v>
      </c>
      <c r="C518" s="5336" t="s">
        <v>302</v>
      </c>
      <c r="D518" s="5336" t="s">
        <v>303</v>
      </c>
      <c r="E518" s="5336" t="s">
        <v>304</v>
      </c>
      <c r="F518" s="5341" t="s">
        <v>305</v>
      </c>
      <c r="G518" s="5336" t="s">
        <v>240</v>
      </c>
      <c r="H518" s="5336" t="s">
        <v>257</v>
      </c>
      <c r="I518" s="5618" t="s">
        <v>3150</v>
      </c>
      <c r="J518" s="5618" t="s">
        <v>3151</v>
      </c>
      <c r="K518" s="5618" t="s">
        <v>3146</v>
      </c>
      <c r="L518" s="5407">
        <v>0</v>
      </c>
      <c r="M518" s="5407">
        <v>1</v>
      </c>
      <c r="N518" s="5407">
        <v>1</v>
      </c>
      <c r="O518" s="5618" t="s">
        <v>3152</v>
      </c>
      <c r="P518" s="5618" t="s">
        <v>3153</v>
      </c>
      <c r="Q518" s="5620" t="s">
        <v>3223</v>
      </c>
      <c r="R518" s="970"/>
      <c r="S518" s="967"/>
      <c r="T518" s="1136"/>
      <c r="U518" s="476"/>
      <c r="V518" s="1130"/>
      <c r="W518" s="355"/>
      <c r="X518" s="1131"/>
      <c r="Y518" s="1131"/>
      <c r="Z518" s="1131"/>
      <c r="AA518" s="1132"/>
      <c r="AB518" s="355"/>
      <c r="AC518" s="174"/>
      <c r="AD518" s="174"/>
      <c r="AE518" s="5416"/>
    </row>
    <row r="519" spans="1:31" ht="18" customHeight="1">
      <c r="A519" s="5629"/>
      <c r="B519" s="5573"/>
      <c r="C519" s="5337"/>
      <c r="D519" s="5337"/>
      <c r="E519" s="5337"/>
      <c r="F519" s="5337"/>
      <c r="G519" s="5337"/>
      <c r="H519" s="5337"/>
      <c r="I519" s="5337"/>
      <c r="J519" s="5337"/>
      <c r="K519" s="5337"/>
      <c r="L519" s="5337"/>
      <c r="M519" s="5337"/>
      <c r="N519" s="5337"/>
      <c r="O519" s="5337"/>
      <c r="P519" s="5337"/>
      <c r="Q519" s="5345"/>
      <c r="R519" s="982"/>
      <c r="S519" s="983"/>
      <c r="T519" s="1147"/>
      <c r="U519" s="412"/>
      <c r="V519" s="1275"/>
      <c r="W519" s="357"/>
      <c r="X519" s="1133"/>
      <c r="Y519" s="1133">
        <f t="shared" ref="Y519:Y522" si="118">+V519*X519</f>
        <v>0</v>
      </c>
      <c r="Z519" s="1133">
        <f t="shared" ref="Z519:Z522" si="119">+Y519*1.12</f>
        <v>0</v>
      </c>
      <c r="AA519" s="1134"/>
      <c r="AB519" s="357"/>
      <c r="AC519" s="282"/>
      <c r="AD519" s="282"/>
      <c r="AE519" s="5416"/>
    </row>
    <row r="520" spans="1:31" ht="18" customHeight="1">
      <c r="A520" s="5629"/>
      <c r="B520" s="5573"/>
      <c r="C520" s="5337"/>
      <c r="D520" s="5337"/>
      <c r="E520" s="5337"/>
      <c r="F520" s="5337"/>
      <c r="G520" s="5337"/>
      <c r="H520" s="5337"/>
      <c r="I520" s="5337"/>
      <c r="J520" s="5337"/>
      <c r="K520" s="5337"/>
      <c r="L520" s="5337"/>
      <c r="M520" s="5337"/>
      <c r="N520" s="5337"/>
      <c r="O520" s="5337"/>
      <c r="P520" s="5337"/>
      <c r="Q520" s="5345"/>
      <c r="R520" s="971"/>
      <c r="S520" s="972"/>
      <c r="T520" s="1135"/>
      <c r="U520" s="413"/>
      <c r="V520" s="1130"/>
      <c r="W520" s="355"/>
      <c r="X520" s="1131"/>
      <c r="Y520" s="1133">
        <f t="shared" si="118"/>
        <v>0</v>
      </c>
      <c r="Z520" s="1133">
        <f t="shared" si="119"/>
        <v>0</v>
      </c>
      <c r="AA520" s="1134"/>
      <c r="AB520" s="357"/>
      <c r="AC520" s="282"/>
      <c r="AD520" s="282"/>
      <c r="AE520" s="5416"/>
    </row>
    <row r="521" spans="1:31" ht="18" customHeight="1">
      <c r="A521" s="5629"/>
      <c r="B521" s="5573"/>
      <c r="C521" s="5337"/>
      <c r="D521" s="5337"/>
      <c r="E521" s="5337"/>
      <c r="F521" s="5337"/>
      <c r="G521" s="5337"/>
      <c r="H521" s="5337"/>
      <c r="I521" s="5337"/>
      <c r="J521" s="5337"/>
      <c r="K521" s="5337"/>
      <c r="L521" s="5337"/>
      <c r="M521" s="5337"/>
      <c r="N521" s="5337"/>
      <c r="O521" s="5337"/>
      <c r="P521" s="5337"/>
      <c r="Q521" s="5345"/>
      <c r="R521" s="970"/>
      <c r="S521" s="967"/>
      <c r="T521" s="1136"/>
      <c r="U521" s="413"/>
      <c r="V521" s="1130"/>
      <c r="W521" s="355"/>
      <c r="X521" s="1131"/>
      <c r="Y521" s="1133">
        <f t="shared" si="118"/>
        <v>0</v>
      </c>
      <c r="Z521" s="1133">
        <f t="shared" si="119"/>
        <v>0</v>
      </c>
      <c r="AA521" s="1134"/>
      <c r="AB521" s="357"/>
      <c r="AC521" s="282"/>
      <c r="AD521" s="282"/>
      <c r="AE521" s="5416"/>
    </row>
    <row r="522" spans="1:31" ht="18" customHeight="1">
      <c r="A522" s="5629"/>
      <c r="B522" s="5574"/>
      <c r="C522" s="5338"/>
      <c r="D522" s="5338"/>
      <c r="E522" s="5338"/>
      <c r="F522" s="5338"/>
      <c r="G522" s="5338"/>
      <c r="H522" s="5338"/>
      <c r="I522" s="5338"/>
      <c r="J522" s="5338"/>
      <c r="K522" s="5338"/>
      <c r="L522" s="5338"/>
      <c r="M522" s="5338"/>
      <c r="N522" s="5338"/>
      <c r="O522" s="5338"/>
      <c r="P522" s="5338"/>
      <c r="Q522" s="5346"/>
      <c r="R522" s="975"/>
      <c r="S522" s="976"/>
      <c r="T522" s="1153"/>
      <c r="U522" s="360"/>
      <c r="V522" s="1154"/>
      <c r="W522" s="361"/>
      <c r="X522" s="1304"/>
      <c r="Y522" s="1304">
        <f t="shared" si="118"/>
        <v>0</v>
      </c>
      <c r="Z522" s="1304">
        <f t="shared" si="119"/>
        <v>0</v>
      </c>
      <c r="AA522" s="1155"/>
      <c r="AB522" s="361"/>
      <c r="AC522" s="166"/>
      <c r="AD522" s="166"/>
      <c r="AE522" s="5417"/>
    </row>
    <row r="523" spans="1:31" ht="18" customHeight="1">
      <c r="A523" s="5629"/>
      <c r="B523" s="5627" t="s">
        <v>272</v>
      </c>
      <c r="C523" s="5347" t="s">
        <v>302</v>
      </c>
      <c r="D523" s="5347" t="s">
        <v>274</v>
      </c>
      <c r="E523" s="5347" t="s">
        <v>275</v>
      </c>
      <c r="F523" s="5353" t="s">
        <v>305</v>
      </c>
      <c r="G523" s="5347" t="s">
        <v>262</v>
      </c>
      <c r="H523" s="5347" t="s">
        <v>241</v>
      </c>
      <c r="I523" s="5407" t="s">
        <v>3154</v>
      </c>
      <c r="J523" s="5407" t="s">
        <v>3155</v>
      </c>
      <c r="K523" s="5407" t="s">
        <v>3024</v>
      </c>
      <c r="L523" s="5343">
        <v>1</v>
      </c>
      <c r="M523" s="5399">
        <v>0</v>
      </c>
      <c r="N523" s="5343">
        <v>1</v>
      </c>
      <c r="O523" s="5336" t="s">
        <v>3224</v>
      </c>
      <c r="P523" s="5336" t="s">
        <v>3225</v>
      </c>
      <c r="Q523" s="5370" t="s">
        <v>3226</v>
      </c>
      <c r="R523" s="1225" t="s">
        <v>29</v>
      </c>
      <c r="S523" s="1315" t="s">
        <v>63</v>
      </c>
      <c r="T523" s="1316"/>
      <c r="U523" s="1317" t="s">
        <v>20</v>
      </c>
      <c r="V523" s="355"/>
      <c r="W523" s="355"/>
      <c r="X523" s="355"/>
      <c r="Y523" s="1131"/>
      <c r="Z523" s="1131"/>
      <c r="AA523" s="1132">
        <f>SUM($Z$524:$Z$525)</f>
        <v>3864.0000000000005</v>
      </c>
      <c r="AB523" s="355"/>
      <c r="AC523" s="174"/>
      <c r="AD523" s="174"/>
      <c r="AE523" s="5415"/>
    </row>
    <row r="524" spans="1:31" ht="26.25" customHeight="1">
      <c r="A524" s="5629"/>
      <c r="B524" s="5573"/>
      <c r="C524" s="5337"/>
      <c r="D524" s="5337"/>
      <c r="E524" s="5337"/>
      <c r="F524" s="5337"/>
      <c r="G524" s="5337"/>
      <c r="H524" s="5337"/>
      <c r="I524" s="5337"/>
      <c r="J524" s="5337"/>
      <c r="K524" s="5337"/>
      <c r="L524" s="5337"/>
      <c r="M524" s="5337"/>
      <c r="N524" s="5337"/>
      <c r="O524" s="5337"/>
      <c r="P524" s="5337"/>
      <c r="Q524" s="5345"/>
      <c r="R524" s="176"/>
      <c r="S524" s="176"/>
      <c r="T524" s="1186">
        <v>4516003136</v>
      </c>
      <c r="U524" s="1319" t="s">
        <v>3213</v>
      </c>
      <c r="V524" s="355">
        <v>1</v>
      </c>
      <c r="W524" s="355" t="s">
        <v>322</v>
      </c>
      <c r="X524" s="355">
        <v>650</v>
      </c>
      <c r="Y524" s="1133">
        <f t="shared" ref="Y524:Y525" si="120">+V524*X524</f>
        <v>650</v>
      </c>
      <c r="Z524" s="1133">
        <f t="shared" ref="Z524:Z525" si="121">+Y524*1.12</f>
        <v>728.00000000000011</v>
      </c>
      <c r="AA524" s="1134"/>
      <c r="AB524" s="357" t="s">
        <v>251</v>
      </c>
      <c r="AC524" s="282"/>
      <c r="AD524" s="282"/>
      <c r="AE524" s="5416"/>
    </row>
    <row r="525" spans="1:31" ht="27.75" customHeight="1">
      <c r="A525" s="5629"/>
      <c r="B525" s="5573"/>
      <c r="C525" s="5337"/>
      <c r="D525" s="5337"/>
      <c r="E525" s="5337"/>
      <c r="F525" s="5337"/>
      <c r="G525" s="5337"/>
      <c r="H525" s="5337"/>
      <c r="I525" s="5337"/>
      <c r="J525" s="5337"/>
      <c r="K525" s="5337"/>
      <c r="L525" s="5337"/>
      <c r="M525" s="5337"/>
      <c r="N525" s="5337"/>
      <c r="O525" s="5337"/>
      <c r="P525" s="5337"/>
      <c r="Q525" s="5345"/>
      <c r="R525" s="176"/>
      <c r="S525" s="176"/>
      <c r="T525" s="1186" t="s">
        <v>3227</v>
      </c>
      <c r="U525" s="1319" t="s">
        <v>3214</v>
      </c>
      <c r="V525" s="1324">
        <v>2</v>
      </c>
      <c r="W525" s="355" t="s">
        <v>269</v>
      </c>
      <c r="X525" s="355">
        <v>1400</v>
      </c>
      <c r="Y525" s="1133">
        <f t="shared" si="120"/>
        <v>2800</v>
      </c>
      <c r="Z525" s="1133">
        <f t="shared" si="121"/>
        <v>3136.0000000000005</v>
      </c>
      <c r="AA525" s="1134"/>
      <c r="AB525" s="357" t="s">
        <v>251</v>
      </c>
      <c r="AC525" s="282"/>
      <c r="AD525" s="282"/>
      <c r="AE525" s="5416"/>
    </row>
    <row r="526" spans="1:31" ht="29.25" customHeight="1">
      <c r="A526" s="5629"/>
      <c r="B526" s="5573"/>
      <c r="C526" s="5337"/>
      <c r="D526" s="5337"/>
      <c r="E526" s="5337"/>
      <c r="F526" s="5337"/>
      <c r="G526" s="5337"/>
      <c r="H526" s="5337"/>
      <c r="I526" s="5337"/>
      <c r="J526" s="5337"/>
      <c r="K526" s="5337"/>
      <c r="L526" s="5337"/>
      <c r="M526" s="5337"/>
      <c r="N526" s="5337"/>
      <c r="O526" s="5337"/>
      <c r="P526" s="5337"/>
      <c r="Q526" s="5345"/>
      <c r="R526" s="407"/>
      <c r="S526" s="407"/>
      <c r="T526" s="412"/>
      <c r="U526" s="412"/>
      <c r="V526" s="355"/>
      <c r="W526" s="355"/>
      <c r="X526" s="355"/>
      <c r="Y526" s="1230"/>
      <c r="Z526" s="1230"/>
      <c r="AA526" s="1155"/>
      <c r="AB526" s="361"/>
      <c r="AC526" s="166"/>
      <c r="AD526" s="166"/>
      <c r="AE526" s="5416"/>
    </row>
    <row r="527" spans="1:31" ht="29.25" customHeight="1">
      <c r="A527" s="5629"/>
      <c r="B527" s="5573"/>
      <c r="C527" s="5337"/>
      <c r="D527" s="5337"/>
      <c r="E527" s="5337"/>
      <c r="F527" s="5337"/>
      <c r="G527" s="5337"/>
      <c r="H527" s="5337"/>
      <c r="I527" s="5337"/>
      <c r="J527" s="5337"/>
      <c r="K527" s="5337"/>
      <c r="L527" s="5337"/>
      <c r="M527" s="5337"/>
      <c r="N527" s="5337"/>
      <c r="O527" s="5337"/>
      <c r="P527" s="5337"/>
      <c r="Q527" s="5345"/>
      <c r="R527" s="1225" t="s">
        <v>29</v>
      </c>
      <c r="S527" s="1238">
        <v>530807</v>
      </c>
      <c r="T527" s="1239"/>
      <c r="U527" s="1336" t="s">
        <v>44</v>
      </c>
      <c r="V527" s="362"/>
      <c r="W527" s="363"/>
      <c r="X527" s="363"/>
      <c r="Y527" s="1243"/>
      <c r="Z527" s="1243"/>
      <c r="AA527" s="1132">
        <f>SUM($Z$528:$Z$531)</f>
        <v>332.64000000000004</v>
      </c>
      <c r="AB527" s="864"/>
      <c r="AC527" s="410"/>
      <c r="AD527" s="410"/>
      <c r="AE527" s="5416"/>
    </row>
    <row r="528" spans="1:31" ht="29.25" customHeight="1">
      <c r="A528" s="5629"/>
      <c r="B528" s="5573"/>
      <c r="C528" s="5337"/>
      <c r="D528" s="5337"/>
      <c r="E528" s="5337"/>
      <c r="F528" s="5337"/>
      <c r="G528" s="5337"/>
      <c r="H528" s="5337"/>
      <c r="I528" s="5337"/>
      <c r="J528" s="5337"/>
      <c r="K528" s="5337"/>
      <c r="L528" s="5337"/>
      <c r="M528" s="5337"/>
      <c r="N528" s="5337"/>
      <c r="O528" s="5337"/>
      <c r="P528" s="5337"/>
      <c r="Q528" s="5345"/>
      <c r="R528" s="967"/>
      <c r="S528" s="1221"/>
      <c r="T528" s="1247">
        <v>351300111</v>
      </c>
      <c r="U528" s="1337" t="s">
        <v>3228</v>
      </c>
      <c r="V528" s="355">
        <v>7</v>
      </c>
      <c r="W528" s="355" t="s">
        <v>322</v>
      </c>
      <c r="X528" s="1338">
        <v>9</v>
      </c>
      <c r="Y528" s="1133">
        <f t="shared" ref="Y528:Y531" si="122">+V528*X528</f>
        <v>63</v>
      </c>
      <c r="Z528" s="1133">
        <f t="shared" ref="Z528:Z531" si="123">+Y528*1.12</f>
        <v>70.56</v>
      </c>
      <c r="AA528" s="1295"/>
      <c r="AB528" s="365" t="s">
        <v>251</v>
      </c>
      <c r="AC528" s="161"/>
      <c r="AD528" s="161"/>
      <c r="AE528" s="5416"/>
    </row>
    <row r="529" spans="1:31" ht="29.25" customHeight="1">
      <c r="A529" s="5629"/>
      <c r="B529" s="5573"/>
      <c r="C529" s="5337"/>
      <c r="D529" s="5337"/>
      <c r="E529" s="5337"/>
      <c r="F529" s="5337"/>
      <c r="G529" s="5337"/>
      <c r="H529" s="5337"/>
      <c r="I529" s="5337"/>
      <c r="J529" s="5337"/>
      <c r="K529" s="5337"/>
      <c r="L529" s="5337"/>
      <c r="M529" s="5337"/>
      <c r="N529" s="5337"/>
      <c r="O529" s="5337"/>
      <c r="P529" s="5337"/>
      <c r="Q529" s="5345"/>
      <c r="R529" s="967"/>
      <c r="S529" s="1221"/>
      <c r="T529" s="1247">
        <v>351300111</v>
      </c>
      <c r="U529" s="1339" t="s">
        <v>3229</v>
      </c>
      <c r="V529" s="355">
        <v>7</v>
      </c>
      <c r="W529" s="355" t="s">
        <v>322</v>
      </c>
      <c r="X529" s="1338">
        <v>9</v>
      </c>
      <c r="Y529" s="1133">
        <f t="shared" si="122"/>
        <v>63</v>
      </c>
      <c r="Z529" s="1133">
        <f t="shared" si="123"/>
        <v>70.56</v>
      </c>
      <c r="AA529" s="1295"/>
      <c r="AB529" s="365" t="s">
        <v>251</v>
      </c>
      <c r="AC529" s="161"/>
      <c r="AD529" s="161"/>
      <c r="AE529" s="5416"/>
    </row>
    <row r="530" spans="1:31" ht="29.25" customHeight="1">
      <c r="A530" s="5629"/>
      <c r="B530" s="5573"/>
      <c r="C530" s="5337"/>
      <c r="D530" s="5337"/>
      <c r="E530" s="5337"/>
      <c r="F530" s="5337"/>
      <c r="G530" s="5337"/>
      <c r="H530" s="5337"/>
      <c r="I530" s="5337"/>
      <c r="J530" s="5337"/>
      <c r="K530" s="5337"/>
      <c r="L530" s="5337"/>
      <c r="M530" s="5337"/>
      <c r="N530" s="5337"/>
      <c r="O530" s="5337"/>
      <c r="P530" s="5337"/>
      <c r="Q530" s="5345"/>
      <c r="R530" s="967"/>
      <c r="S530" s="1221"/>
      <c r="T530" s="1247">
        <v>351300011</v>
      </c>
      <c r="U530" s="1337" t="s">
        <v>3230</v>
      </c>
      <c r="V530" s="355">
        <v>12</v>
      </c>
      <c r="W530" s="355" t="s">
        <v>322</v>
      </c>
      <c r="X530" s="1338">
        <v>9</v>
      </c>
      <c r="Y530" s="1133">
        <f t="shared" si="122"/>
        <v>108</v>
      </c>
      <c r="Z530" s="1133">
        <f t="shared" si="123"/>
        <v>120.96000000000001</v>
      </c>
      <c r="AA530" s="1295"/>
      <c r="AB530" s="365" t="s">
        <v>251</v>
      </c>
      <c r="AC530" s="161"/>
      <c r="AD530" s="161"/>
      <c r="AE530" s="5416"/>
    </row>
    <row r="531" spans="1:31" ht="29.25" customHeight="1">
      <c r="A531" s="5629"/>
      <c r="B531" s="5573"/>
      <c r="C531" s="5337"/>
      <c r="D531" s="5337"/>
      <c r="E531" s="5337"/>
      <c r="F531" s="5337"/>
      <c r="G531" s="5337"/>
      <c r="H531" s="5337"/>
      <c r="I531" s="5337"/>
      <c r="J531" s="5337"/>
      <c r="K531" s="5337"/>
      <c r="L531" s="5337"/>
      <c r="M531" s="5337"/>
      <c r="N531" s="5337"/>
      <c r="O531" s="5337"/>
      <c r="P531" s="5337"/>
      <c r="Q531" s="5345"/>
      <c r="R531" s="1217"/>
      <c r="S531" s="1217"/>
      <c r="T531" s="1247">
        <v>351300111</v>
      </c>
      <c r="U531" s="1274" t="s">
        <v>3231</v>
      </c>
      <c r="V531" s="355">
        <v>7</v>
      </c>
      <c r="W531" s="355" t="s">
        <v>322</v>
      </c>
      <c r="X531" s="1338">
        <v>9</v>
      </c>
      <c r="Y531" s="1133">
        <f t="shared" si="122"/>
        <v>63</v>
      </c>
      <c r="Z531" s="1133">
        <f t="shared" si="123"/>
        <v>70.56</v>
      </c>
      <c r="AA531" s="1295"/>
      <c r="AB531" s="365" t="s">
        <v>251</v>
      </c>
      <c r="AC531" s="161"/>
      <c r="AD531" s="161"/>
      <c r="AE531" s="5416"/>
    </row>
    <row r="532" spans="1:31" ht="29.25" customHeight="1">
      <c r="A532" s="5629"/>
      <c r="B532" s="5573"/>
      <c r="C532" s="5337"/>
      <c r="D532" s="5337"/>
      <c r="E532" s="5337"/>
      <c r="F532" s="5337"/>
      <c r="G532" s="5337"/>
      <c r="H532" s="5337"/>
      <c r="I532" s="5337"/>
      <c r="J532" s="5337"/>
      <c r="K532" s="5337"/>
      <c r="L532" s="5337"/>
      <c r="M532" s="5337"/>
      <c r="N532" s="5337"/>
      <c r="O532" s="5337"/>
      <c r="P532" s="5337"/>
      <c r="Q532" s="5345"/>
      <c r="R532" s="1721"/>
      <c r="S532" s="1711"/>
      <c r="T532" s="248"/>
      <c r="U532" s="1298"/>
      <c r="V532" s="864"/>
      <c r="W532" s="864"/>
      <c r="X532" s="1340"/>
      <c r="Y532" s="1230"/>
      <c r="Z532" s="1230"/>
      <c r="AA532" s="1295"/>
      <c r="AB532" s="365"/>
      <c r="AC532" s="161"/>
      <c r="AD532" s="161"/>
      <c r="AE532" s="5416"/>
    </row>
    <row r="533" spans="1:31" ht="29.25" customHeight="1">
      <c r="A533" s="5629"/>
      <c r="B533" s="5573"/>
      <c r="C533" s="5337"/>
      <c r="D533" s="5337"/>
      <c r="E533" s="5337"/>
      <c r="F533" s="5337"/>
      <c r="G533" s="5337"/>
      <c r="H533" s="5337"/>
      <c r="I533" s="5337"/>
      <c r="J533" s="5337"/>
      <c r="K533" s="5337"/>
      <c r="L533" s="5337"/>
      <c r="M533" s="5337"/>
      <c r="N533" s="5337"/>
      <c r="O533" s="5337"/>
      <c r="P533" s="5337"/>
      <c r="Q533" s="5345"/>
      <c r="R533" s="1225" t="s">
        <v>29</v>
      </c>
      <c r="S533" s="1238">
        <v>530804</v>
      </c>
      <c r="T533" s="1252"/>
      <c r="U533" s="1341" t="s">
        <v>3232</v>
      </c>
      <c r="V533" s="363"/>
      <c r="W533" s="363"/>
      <c r="X533" s="1342"/>
      <c r="Y533" s="1243"/>
      <c r="Z533" s="1243"/>
      <c r="AA533" s="1244">
        <f>$Z$534</f>
        <v>109.20000000000002</v>
      </c>
      <c r="AB533" s="363"/>
      <c r="AC533" s="181"/>
      <c r="AD533" s="181"/>
      <c r="AE533" s="5416"/>
    </row>
    <row r="534" spans="1:31" ht="29.25" customHeight="1">
      <c r="A534" s="5629"/>
      <c r="B534" s="5573"/>
      <c r="C534" s="5337"/>
      <c r="D534" s="5337"/>
      <c r="E534" s="5337"/>
      <c r="F534" s="5337"/>
      <c r="G534" s="5337"/>
      <c r="H534" s="5337"/>
      <c r="I534" s="5337"/>
      <c r="J534" s="5337"/>
      <c r="K534" s="5337"/>
      <c r="L534" s="5337"/>
      <c r="M534" s="5337"/>
      <c r="N534" s="5337"/>
      <c r="O534" s="5337"/>
      <c r="P534" s="5337"/>
      <c r="Q534" s="5345"/>
      <c r="R534" s="1325"/>
      <c r="S534" s="1217"/>
      <c r="T534" s="1247">
        <v>3212904110</v>
      </c>
      <c r="U534" s="1235" t="s">
        <v>2880</v>
      </c>
      <c r="V534" s="355">
        <v>30</v>
      </c>
      <c r="W534" s="355" t="s">
        <v>322</v>
      </c>
      <c r="X534" s="355">
        <v>3.25</v>
      </c>
      <c r="Y534" s="1133">
        <f>+V534*X534</f>
        <v>97.5</v>
      </c>
      <c r="Z534" s="1133">
        <f>+Y534*1.12</f>
        <v>109.20000000000002</v>
      </c>
      <c r="AA534" s="1295"/>
      <c r="AB534" s="365" t="s">
        <v>251</v>
      </c>
      <c r="AC534" s="161"/>
      <c r="AD534" s="161"/>
      <c r="AE534" s="5416"/>
    </row>
    <row r="535" spans="1:31" ht="29.25" customHeight="1">
      <c r="A535" s="5629"/>
      <c r="B535" s="5573"/>
      <c r="C535" s="5337"/>
      <c r="D535" s="5337"/>
      <c r="E535" s="5337"/>
      <c r="F535" s="5337"/>
      <c r="G535" s="5337"/>
      <c r="H535" s="5337"/>
      <c r="I535" s="5337"/>
      <c r="J535" s="5337"/>
      <c r="K535" s="5337"/>
      <c r="L535" s="5337"/>
      <c r="M535" s="5337"/>
      <c r="N535" s="5337"/>
      <c r="O535" s="5337"/>
      <c r="P535" s="5337"/>
      <c r="Q535" s="5345"/>
      <c r="R535" s="1711"/>
      <c r="S535" s="1711"/>
      <c r="T535" s="248"/>
      <c r="U535" s="1343"/>
      <c r="V535" s="864"/>
      <c r="W535" s="864"/>
      <c r="X535" s="864"/>
      <c r="Y535" s="1230"/>
      <c r="Z535" s="1230"/>
      <c r="AA535" s="1295"/>
      <c r="AB535" s="365"/>
      <c r="AC535" s="161"/>
      <c r="AD535" s="161"/>
      <c r="AE535" s="5416"/>
    </row>
    <row r="536" spans="1:31" ht="29.25" customHeight="1">
      <c r="A536" s="5629"/>
      <c r="B536" s="5573"/>
      <c r="C536" s="5337"/>
      <c r="D536" s="5337"/>
      <c r="E536" s="5337"/>
      <c r="F536" s="5337"/>
      <c r="G536" s="5337"/>
      <c r="H536" s="5337"/>
      <c r="I536" s="5337"/>
      <c r="J536" s="5337"/>
      <c r="K536" s="5337"/>
      <c r="L536" s="5337"/>
      <c r="M536" s="5337"/>
      <c r="N536" s="5337"/>
      <c r="O536" s="5337"/>
      <c r="P536" s="5337"/>
      <c r="Q536" s="5345"/>
      <c r="R536" s="1225" t="s">
        <v>29</v>
      </c>
      <c r="S536" s="1238">
        <v>840104</v>
      </c>
      <c r="T536" s="362"/>
      <c r="U536" s="1344" t="s">
        <v>24</v>
      </c>
      <c r="V536" s="1272"/>
      <c r="W536" s="1272"/>
      <c r="X536" s="1272"/>
      <c r="Y536" s="1243"/>
      <c r="Z536" s="1243"/>
      <c r="AA536" s="1244">
        <f>$Z$537</f>
        <v>4009.6000000000004</v>
      </c>
      <c r="AB536" s="363"/>
      <c r="AC536" s="181"/>
      <c r="AD536" s="181"/>
      <c r="AE536" s="5416"/>
    </row>
    <row r="537" spans="1:31" ht="38.25" customHeight="1">
      <c r="A537" s="5629"/>
      <c r="B537" s="5574"/>
      <c r="C537" s="5338"/>
      <c r="D537" s="5338"/>
      <c r="E537" s="5338"/>
      <c r="F537" s="5338"/>
      <c r="G537" s="5338"/>
      <c r="H537" s="5338"/>
      <c r="I537" s="5338"/>
      <c r="J537" s="5338"/>
      <c r="K537" s="5338"/>
      <c r="L537" s="5338"/>
      <c r="M537" s="5338"/>
      <c r="N537" s="5338"/>
      <c r="O537" s="5338"/>
      <c r="P537" s="5338"/>
      <c r="Q537" s="5346"/>
      <c r="R537" s="975"/>
      <c r="S537" s="976"/>
      <c r="T537" s="357">
        <v>4391301112</v>
      </c>
      <c r="U537" s="1298" t="s">
        <v>3215</v>
      </c>
      <c r="V537" s="1345">
        <v>2</v>
      </c>
      <c r="W537" s="361" t="s">
        <v>269</v>
      </c>
      <c r="X537" s="361">
        <v>1790</v>
      </c>
      <c r="Y537" s="1304">
        <f>+V537*X537</f>
        <v>3580</v>
      </c>
      <c r="Z537" s="1304">
        <f>+Y537*1.12</f>
        <v>4009.6000000000004</v>
      </c>
      <c r="AA537" s="1155"/>
      <c r="AB537" s="361" t="s">
        <v>251</v>
      </c>
      <c r="AC537" s="166"/>
      <c r="AD537" s="166"/>
      <c r="AE537" s="5417"/>
    </row>
    <row r="538" spans="1:31" ht="18.75" customHeight="1">
      <c r="A538" s="5629"/>
      <c r="B538" s="5627" t="s">
        <v>235</v>
      </c>
      <c r="C538" s="5347" t="s">
        <v>236</v>
      </c>
      <c r="D538" s="5347" t="s">
        <v>237</v>
      </c>
      <c r="E538" s="5347" t="s">
        <v>255</v>
      </c>
      <c r="F538" s="5353" t="s">
        <v>239</v>
      </c>
      <c r="G538" s="5336" t="s">
        <v>240</v>
      </c>
      <c r="H538" s="5336" t="s">
        <v>257</v>
      </c>
      <c r="I538" s="5618" t="s">
        <v>3158</v>
      </c>
      <c r="J538" s="5618" t="s">
        <v>3159</v>
      </c>
      <c r="K538" s="5618" t="s">
        <v>3160</v>
      </c>
      <c r="L538" s="5619">
        <v>1</v>
      </c>
      <c r="M538" s="5619">
        <v>2</v>
      </c>
      <c r="N538" s="5619">
        <v>2</v>
      </c>
      <c r="O538" s="5618" t="s">
        <v>3161</v>
      </c>
      <c r="P538" s="5618" t="s">
        <v>3162</v>
      </c>
      <c r="Q538" s="5620" t="s">
        <v>3223</v>
      </c>
      <c r="R538" s="1110"/>
      <c r="S538" s="1111"/>
      <c r="T538" s="1346"/>
      <c r="U538" s="1347"/>
      <c r="V538" s="864"/>
      <c r="W538" s="864"/>
      <c r="X538" s="864"/>
      <c r="Y538" s="1348"/>
      <c r="Z538" s="1348"/>
      <c r="AA538" s="1231"/>
      <c r="AB538" s="864"/>
      <c r="AC538" s="410"/>
      <c r="AD538" s="410"/>
      <c r="AE538" s="1308"/>
    </row>
    <row r="539" spans="1:31" ht="27" customHeight="1">
      <c r="A539" s="5629"/>
      <c r="B539" s="5573"/>
      <c r="C539" s="5337"/>
      <c r="D539" s="5337"/>
      <c r="E539" s="5337"/>
      <c r="F539" s="5337"/>
      <c r="G539" s="5337"/>
      <c r="H539" s="5337"/>
      <c r="I539" s="5337"/>
      <c r="J539" s="5337"/>
      <c r="K539" s="5337"/>
      <c r="L539" s="5337"/>
      <c r="M539" s="5337"/>
      <c r="N539" s="5337"/>
      <c r="O539" s="5337"/>
      <c r="P539" s="5337"/>
      <c r="Q539" s="5345"/>
      <c r="R539" s="1110"/>
      <c r="S539" s="1111"/>
      <c r="T539" s="1346"/>
      <c r="U539" s="1347"/>
      <c r="V539" s="864"/>
      <c r="W539" s="864"/>
      <c r="X539" s="864"/>
      <c r="Y539" s="1348"/>
      <c r="Z539" s="1348"/>
      <c r="AA539" s="1231"/>
      <c r="AB539" s="864"/>
      <c r="AC539" s="410"/>
      <c r="AD539" s="410"/>
      <c r="AE539" s="1308"/>
    </row>
    <row r="540" spans="1:31" ht="25.5" customHeight="1">
      <c r="A540" s="5629"/>
      <c r="B540" s="5573"/>
      <c r="C540" s="5337"/>
      <c r="D540" s="5337"/>
      <c r="E540" s="5337"/>
      <c r="F540" s="5337"/>
      <c r="G540" s="5337"/>
      <c r="H540" s="5337"/>
      <c r="I540" s="5337"/>
      <c r="J540" s="5337"/>
      <c r="K540" s="5337"/>
      <c r="L540" s="5337"/>
      <c r="M540" s="5337"/>
      <c r="N540" s="5337"/>
      <c r="O540" s="5337"/>
      <c r="P540" s="5337"/>
      <c r="Q540" s="5345"/>
      <c r="R540" s="1110"/>
      <c r="S540" s="1111"/>
      <c r="T540" s="1346"/>
      <c r="U540" s="1347"/>
      <c r="V540" s="864"/>
      <c r="W540" s="864"/>
      <c r="X540" s="864"/>
      <c r="Y540" s="1348"/>
      <c r="Z540" s="1348"/>
      <c r="AA540" s="1231"/>
      <c r="AB540" s="864"/>
      <c r="AC540" s="410"/>
      <c r="AD540" s="410"/>
      <c r="AE540" s="1308"/>
    </row>
    <row r="541" spans="1:31" ht="21" customHeight="1">
      <c r="A541" s="5629"/>
      <c r="B541" s="5573"/>
      <c r="C541" s="5337"/>
      <c r="D541" s="5337"/>
      <c r="E541" s="5337"/>
      <c r="F541" s="5337"/>
      <c r="G541" s="5337"/>
      <c r="H541" s="5337"/>
      <c r="I541" s="5337"/>
      <c r="J541" s="5337"/>
      <c r="K541" s="5337"/>
      <c r="L541" s="5337"/>
      <c r="M541" s="5337"/>
      <c r="N541" s="5337"/>
      <c r="O541" s="5337"/>
      <c r="P541" s="5337"/>
      <c r="Q541" s="5345"/>
      <c r="R541" s="1110"/>
      <c r="S541" s="1111"/>
      <c r="T541" s="1346"/>
      <c r="U541" s="1347"/>
      <c r="V541" s="864"/>
      <c r="W541" s="864"/>
      <c r="X541" s="864"/>
      <c r="Y541" s="1348"/>
      <c r="Z541" s="1348"/>
      <c r="AA541" s="1231"/>
      <c r="AB541" s="864"/>
      <c r="AC541" s="410"/>
      <c r="AD541" s="410"/>
      <c r="AE541" s="1308"/>
    </row>
    <row r="542" spans="1:31" ht="24" customHeight="1">
      <c r="A542" s="5629"/>
      <c r="B542" s="5574"/>
      <c r="C542" s="5338"/>
      <c r="D542" s="5338"/>
      <c r="E542" s="5338"/>
      <c r="F542" s="5338"/>
      <c r="G542" s="5338"/>
      <c r="H542" s="5338"/>
      <c r="I542" s="5337"/>
      <c r="J542" s="5337"/>
      <c r="K542" s="5337"/>
      <c r="L542" s="5337"/>
      <c r="M542" s="5337"/>
      <c r="N542" s="5337"/>
      <c r="O542" s="5337"/>
      <c r="P542" s="5337"/>
      <c r="Q542" s="5345"/>
      <c r="R542" s="1309"/>
      <c r="S542" s="1310"/>
      <c r="T542" s="1349"/>
      <c r="U542" s="1350"/>
      <c r="V542" s="506"/>
      <c r="W542" s="506"/>
      <c r="X542" s="506"/>
      <c r="Y542" s="1334"/>
      <c r="Z542" s="1334"/>
      <c r="AA542" s="1335"/>
      <c r="AB542" s="506"/>
      <c r="AC542" s="278"/>
      <c r="AD542" s="278"/>
      <c r="AE542" s="1314"/>
    </row>
    <row r="543" spans="1:31" ht="24" customHeight="1">
      <c r="A543" s="5629"/>
      <c r="B543" s="5626" t="s">
        <v>272</v>
      </c>
      <c r="C543" s="5624" t="s">
        <v>302</v>
      </c>
      <c r="D543" s="5624" t="s">
        <v>303</v>
      </c>
      <c r="E543" s="5624" t="s">
        <v>304</v>
      </c>
      <c r="F543" s="5622" t="s">
        <v>305</v>
      </c>
      <c r="G543" s="5624" t="s">
        <v>240</v>
      </c>
      <c r="H543" s="5624" t="s">
        <v>257</v>
      </c>
      <c r="I543" s="5618" t="s">
        <v>3163</v>
      </c>
      <c r="J543" s="5618" t="s">
        <v>3164</v>
      </c>
      <c r="K543" s="5618" t="s">
        <v>3146</v>
      </c>
      <c r="L543" s="5619">
        <v>0</v>
      </c>
      <c r="M543" s="5619">
        <v>1</v>
      </c>
      <c r="N543" s="5619">
        <v>0</v>
      </c>
      <c r="O543" s="5618" t="s">
        <v>3165</v>
      </c>
      <c r="P543" s="5618" t="s">
        <v>3166</v>
      </c>
      <c r="Q543" s="5620" t="s">
        <v>3233</v>
      </c>
      <c r="R543" s="1110"/>
      <c r="S543" s="1111"/>
      <c r="T543" s="1351"/>
      <c r="U543" s="1347"/>
      <c r="V543" s="864"/>
      <c r="W543" s="864"/>
      <c r="X543" s="864"/>
      <c r="Y543" s="1348"/>
      <c r="Z543" s="1348"/>
      <c r="AA543" s="1231"/>
      <c r="AB543" s="864"/>
      <c r="AC543" s="410"/>
      <c r="AD543" s="410"/>
      <c r="AE543" s="1308"/>
    </row>
    <row r="544" spans="1:31" ht="24" customHeight="1">
      <c r="A544" s="5629"/>
      <c r="B544" s="5573"/>
      <c r="C544" s="5337"/>
      <c r="D544" s="5337"/>
      <c r="E544" s="5337"/>
      <c r="F544" s="5337"/>
      <c r="G544" s="5337"/>
      <c r="H544" s="5337"/>
      <c r="I544" s="5337"/>
      <c r="J544" s="5337"/>
      <c r="K544" s="5337"/>
      <c r="L544" s="5337"/>
      <c r="M544" s="5337"/>
      <c r="N544" s="5337"/>
      <c r="O544" s="5337"/>
      <c r="P544" s="5337"/>
      <c r="Q544" s="5345"/>
      <c r="R544" s="1110"/>
      <c r="S544" s="1111"/>
      <c r="T544" s="1351"/>
      <c r="U544" s="1347"/>
      <c r="V544" s="864"/>
      <c r="W544" s="864"/>
      <c r="X544" s="864"/>
      <c r="Y544" s="1348"/>
      <c r="Z544" s="1348"/>
      <c r="AA544" s="1231"/>
      <c r="AB544" s="864"/>
      <c r="AC544" s="410"/>
      <c r="AD544" s="410"/>
      <c r="AE544" s="1308"/>
    </row>
    <row r="545" spans="1:31" ht="24" customHeight="1">
      <c r="A545" s="5629"/>
      <c r="B545" s="5573"/>
      <c r="C545" s="5337"/>
      <c r="D545" s="5337"/>
      <c r="E545" s="5337"/>
      <c r="F545" s="5337"/>
      <c r="G545" s="5337"/>
      <c r="H545" s="5337"/>
      <c r="I545" s="5337"/>
      <c r="J545" s="5337"/>
      <c r="K545" s="5337"/>
      <c r="L545" s="5337"/>
      <c r="M545" s="5337"/>
      <c r="N545" s="5337"/>
      <c r="O545" s="5337"/>
      <c r="P545" s="5337"/>
      <c r="Q545" s="5345"/>
      <c r="R545" s="1110"/>
      <c r="S545" s="1111"/>
      <c r="T545" s="1351"/>
      <c r="U545" s="1347"/>
      <c r="V545" s="864"/>
      <c r="W545" s="864"/>
      <c r="X545" s="864"/>
      <c r="Y545" s="1348"/>
      <c r="Z545" s="1348"/>
      <c r="AA545" s="1231"/>
      <c r="AB545" s="864"/>
      <c r="AC545" s="410"/>
      <c r="AD545" s="410"/>
      <c r="AE545" s="1308"/>
    </row>
    <row r="546" spans="1:31" ht="24" customHeight="1">
      <c r="A546" s="5629"/>
      <c r="B546" s="5573"/>
      <c r="C546" s="5337"/>
      <c r="D546" s="5337"/>
      <c r="E546" s="5337"/>
      <c r="F546" s="5337"/>
      <c r="G546" s="5337"/>
      <c r="H546" s="5337"/>
      <c r="I546" s="5337"/>
      <c r="J546" s="5337"/>
      <c r="K546" s="5337"/>
      <c r="L546" s="5337"/>
      <c r="M546" s="5337"/>
      <c r="N546" s="5337"/>
      <c r="O546" s="5337"/>
      <c r="P546" s="5337"/>
      <c r="Q546" s="5345"/>
      <c r="R546" s="1110"/>
      <c r="S546" s="1111"/>
      <c r="T546" s="1351"/>
      <c r="U546" s="1347"/>
      <c r="V546" s="864"/>
      <c r="W546" s="864"/>
      <c r="X546" s="864"/>
      <c r="Y546" s="1348"/>
      <c r="Z546" s="1348"/>
      <c r="AA546" s="1231"/>
      <c r="AB546" s="864"/>
      <c r="AC546" s="410"/>
      <c r="AD546" s="410"/>
      <c r="AE546" s="1308"/>
    </row>
    <row r="547" spans="1:31" ht="24" customHeight="1">
      <c r="A547" s="5629"/>
      <c r="B547" s="5574"/>
      <c r="C547" s="5338"/>
      <c r="D547" s="5338"/>
      <c r="E547" s="5338"/>
      <c r="F547" s="5338"/>
      <c r="G547" s="5338"/>
      <c r="H547" s="5338"/>
      <c r="I547" s="5338"/>
      <c r="J547" s="5338"/>
      <c r="K547" s="5338"/>
      <c r="L547" s="5338"/>
      <c r="M547" s="5338"/>
      <c r="N547" s="5338"/>
      <c r="O547" s="5338"/>
      <c r="P547" s="5338"/>
      <c r="Q547" s="5346"/>
      <c r="R547" s="1309"/>
      <c r="S547" s="1310"/>
      <c r="T547" s="1349"/>
      <c r="U547" s="1350"/>
      <c r="V547" s="506"/>
      <c r="W547" s="506"/>
      <c r="X547" s="506"/>
      <c r="Y547" s="1334"/>
      <c r="Z547" s="1334"/>
      <c r="AA547" s="1335"/>
      <c r="AB547" s="506"/>
      <c r="AC547" s="278"/>
      <c r="AD547" s="278"/>
      <c r="AE547" s="1314"/>
    </row>
    <row r="548" spans="1:31" ht="24" customHeight="1">
      <c r="A548" s="5629"/>
      <c r="B548" s="5626" t="s">
        <v>272</v>
      </c>
      <c r="C548" s="5624" t="s">
        <v>302</v>
      </c>
      <c r="D548" s="5624" t="s">
        <v>303</v>
      </c>
      <c r="E548" s="5624" t="s">
        <v>304</v>
      </c>
      <c r="F548" s="5622" t="s">
        <v>305</v>
      </c>
      <c r="G548" s="5624" t="s">
        <v>240</v>
      </c>
      <c r="H548" s="5624" t="s">
        <v>257</v>
      </c>
      <c r="I548" s="5618" t="s">
        <v>3167</v>
      </c>
      <c r="J548" s="5618" t="s">
        <v>3168</v>
      </c>
      <c r="K548" s="5618" t="s">
        <v>3006</v>
      </c>
      <c r="L548" s="5619">
        <v>2</v>
      </c>
      <c r="M548" s="5619">
        <v>0</v>
      </c>
      <c r="N548" s="5619">
        <v>2</v>
      </c>
      <c r="O548" s="5618" t="s">
        <v>3169</v>
      </c>
      <c r="P548" s="5618" t="s">
        <v>3170</v>
      </c>
      <c r="Q548" s="5620" t="s">
        <v>3233</v>
      </c>
      <c r="R548" s="1110"/>
      <c r="S548" s="1111"/>
      <c r="T548" s="1351"/>
      <c r="U548" s="1347"/>
      <c r="V548" s="864"/>
      <c r="W548" s="864"/>
      <c r="X548" s="864"/>
      <c r="Y548" s="1348"/>
      <c r="Z548" s="1348"/>
      <c r="AA548" s="1231"/>
      <c r="AB548" s="864"/>
      <c r="AC548" s="410"/>
      <c r="AD548" s="410"/>
      <c r="AE548" s="1308"/>
    </row>
    <row r="549" spans="1:31" ht="24" customHeight="1">
      <c r="A549" s="5629"/>
      <c r="B549" s="5573"/>
      <c r="C549" s="5337"/>
      <c r="D549" s="5337"/>
      <c r="E549" s="5337"/>
      <c r="F549" s="5337"/>
      <c r="G549" s="5337"/>
      <c r="H549" s="5337"/>
      <c r="I549" s="5337"/>
      <c r="J549" s="5337"/>
      <c r="K549" s="5337"/>
      <c r="L549" s="5337"/>
      <c r="M549" s="5337"/>
      <c r="N549" s="5337"/>
      <c r="O549" s="5337"/>
      <c r="P549" s="5337"/>
      <c r="Q549" s="5345"/>
      <c r="R549" s="1110"/>
      <c r="S549" s="1111"/>
      <c r="T549" s="1351"/>
      <c r="U549" s="1347"/>
      <c r="V549" s="864"/>
      <c r="W549" s="864"/>
      <c r="X549" s="864"/>
      <c r="Y549" s="1348"/>
      <c r="Z549" s="1348"/>
      <c r="AA549" s="1231"/>
      <c r="AB549" s="864"/>
      <c r="AC549" s="410"/>
      <c r="AD549" s="410"/>
      <c r="AE549" s="1308"/>
    </row>
    <row r="550" spans="1:31" ht="24" customHeight="1">
      <c r="A550" s="5629"/>
      <c r="B550" s="5573"/>
      <c r="C550" s="5337"/>
      <c r="D550" s="5337"/>
      <c r="E550" s="5337"/>
      <c r="F550" s="5337"/>
      <c r="G550" s="5337"/>
      <c r="H550" s="5337"/>
      <c r="I550" s="5337"/>
      <c r="J550" s="5337"/>
      <c r="K550" s="5337"/>
      <c r="L550" s="5337"/>
      <c r="M550" s="5337"/>
      <c r="N550" s="5337"/>
      <c r="O550" s="5337"/>
      <c r="P550" s="5337"/>
      <c r="Q550" s="5345"/>
      <c r="R550" s="1110"/>
      <c r="S550" s="1111"/>
      <c r="T550" s="1351"/>
      <c r="U550" s="1347"/>
      <c r="V550" s="864"/>
      <c r="W550" s="864"/>
      <c r="X550" s="864"/>
      <c r="Y550" s="1348"/>
      <c r="Z550" s="1348"/>
      <c r="AA550" s="1231"/>
      <c r="AB550" s="864"/>
      <c r="AC550" s="410"/>
      <c r="AD550" s="410"/>
      <c r="AE550" s="1308"/>
    </row>
    <row r="551" spans="1:31" ht="24" customHeight="1">
      <c r="A551" s="5629"/>
      <c r="B551" s="5573"/>
      <c r="C551" s="5337"/>
      <c r="D551" s="5337"/>
      <c r="E551" s="5337"/>
      <c r="F551" s="5337"/>
      <c r="G551" s="5337"/>
      <c r="H551" s="5337"/>
      <c r="I551" s="5337"/>
      <c r="J551" s="5337"/>
      <c r="K551" s="5337"/>
      <c r="L551" s="5337"/>
      <c r="M551" s="5337"/>
      <c r="N551" s="5337"/>
      <c r="O551" s="5337"/>
      <c r="P551" s="5337"/>
      <c r="Q551" s="5345"/>
      <c r="R551" s="1110"/>
      <c r="S551" s="1111"/>
      <c r="T551" s="1351"/>
      <c r="U551" s="1347"/>
      <c r="V551" s="864"/>
      <c r="W551" s="864"/>
      <c r="X551" s="864"/>
      <c r="Y551" s="1348"/>
      <c r="Z551" s="1348"/>
      <c r="AA551" s="1231"/>
      <c r="AB551" s="864"/>
      <c r="AC551" s="410"/>
      <c r="AD551" s="410"/>
      <c r="AE551" s="1308"/>
    </row>
    <row r="552" spans="1:31" ht="24" customHeight="1">
      <c r="A552" s="5629"/>
      <c r="B552" s="5574"/>
      <c r="C552" s="5338"/>
      <c r="D552" s="5338"/>
      <c r="E552" s="5338"/>
      <c r="F552" s="5338"/>
      <c r="G552" s="5338"/>
      <c r="H552" s="5338"/>
      <c r="I552" s="5337"/>
      <c r="J552" s="5337"/>
      <c r="K552" s="5337"/>
      <c r="L552" s="5337"/>
      <c r="M552" s="5337"/>
      <c r="N552" s="5337"/>
      <c r="O552" s="5337"/>
      <c r="P552" s="5337"/>
      <c r="Q552" s="5345"/>
      <c r="R552" s="1309"/>
      <c r="S552" s="1310"/>
      <c r="T552" s="1349"/>
      <c r="U552" s="1350"/>
      <c r="V552" s="506"/>
      <c r="W552" s="506"/>
      <c r="X552" s="506"/>
      <c r="Y552" s="1334"/>
      <c r="Z552" s="1334"/>
      <c r="AA552" s="1335"/>
      <c r="AB552" s="506"/>
      <c r="AC552" s="278"/>
      <c r="AD552" s="278"/>
      <c r="AE552" s="1314"/>
    </row>
    <row r="553" spans="1:31" ht="24" customHeight="1">
      <c r="A553" s="5629"/>
      <c r="B553" s="5626" t="s">
        <v>272</v>
      </c>
      <c r="C553" s="5624" t="s">
        <v>302</v>
      </c>
      <c r="D553" s="5624" t="s">
        <v>303</v>
      </c>
      <c r="E553" s="5624" t="s">
        <v>304</v>
      </c>
      <c r="F553" s="5622" t="s">
        <v>305</v>
      </c>
      <c r="G553" s="5624" t="s">
        <v>240</v>
      </c>
      <c r="H553" s="5624" t="s">
        <v>257</v>
      </c>
      <c r="I553" s="5618" t="s">
        <v>3171</v>
      </c>
      <c r="J553" s="5618" t="s">
        <v>3172</v>
      </c>
      <c r="K553" s="5618" t="s">
        <v>3173</v>
      </c>
      <c r="L553" s="5619">
        <v>4</v>
      </c>
      <c r="M553" s="5619">
        <v>4</v>
      </c>
      <c r="N553" s="5619">
        <v>4</v>
      </c>
      <c r="O553" s="5618" t="s">
        <v>3174</v>
      </c>
      <c r="P553" s="5618" t="s">
        <v>3175</v>
      </c>
      <c r="Q553" s="5620" t="s">
        <v>3234</v>
      </c>
      <c r="R553" s="1110"/>
      <c r="S553" s="1111"/>
      <c r="T553" s="1351"/>
      <c r="U553" s="1347"/>
      <c r="V553" s="864"/>
      <c r="W553" s="864"/>
      <c r="X553" s="864"/>
      <c r="Y553" s="1348"/>
      <c r="Z553" s="1348"/>
      <c r="AA553" s="1231"/>
      <c r="AB553" s="864"/>
      <c r="AC553" s="410"/>
      <c r="AD553" s="410"/>
      <c r="AE553" s="1308"/>
    </row>
    <row r="554" spans="1:31" ht="24" customHeight="1">
      <c r="A554" s="5629"/>
      <c r="B554" s="5573"/>
      <c r="C554" s="5337"/>
      <c r="D554" s="5337"/>
      <c r="E554" s="5337"/>
      <c r="F554" s="5337"/>
      <c r="G554" s="5337"/>
      <c r="H554" s="5337"/>
      <c r="I554" s="5337"/>
      <c r="J554" s="5337"/>
      <c r="K554" s="5337"/>
      <c r="L554" s="5337"/>
      <c r="M554" s="5337"/>
      <c r="N554" s="5337"/>
      <c r="O554" s="5337"/>
      <c r="P554" s="5337"/>
      <c r="Q554" s="5345"/>
      <c r="R554" s="1110"/>
      <c r="S554" s="1111"/>
      <c r="T554" s="1351"/>
      <c r="U554" s="1347"/>
      <c r="V554" s="864"/>
      <c r="W554" s="864"/>
      <c r="X554" s="864"/>
      <c r="Y554" s="1348"/>
      <c r="Z554" s="1348"/>
      <c r="AA554" s="1231"/>
      <c r="AB554" s="864"/>
      <c r="AC554" s="410"/>
      <c r="AD554" s="410"/>
      <c r="AE554" s="1308"/>
    </row>
    <row r="555" spans="1:31" ht="24" customHeight="1">
      <c r="A555" s="5629"/>
      <c r="B555" s="5573"/>
      <c r="C555" s="5337"/>
      <c r="D555" s="5337"/>
      <c r="E555" s="5337"/>
      <c r="F555" s="5337"/>
      <c r="G555" s="5337"/>
      <c r="H555" s="5337"/>
      <c r="I555" s="5337"/>
      <c r="J555" s="5337"/>
      <c r="K555" s="5337"/>
      <c r="L555" s="5337"/>
      <c r="M555" s="5337"/>
      <c r="N555" s="5337"/>
      <c r="O555" s="5337"/>
      <c r="P555" s="5337"/>
      <c r="Q555" s="5345"/>
      <c r="R555" s="1110"/>
      <c r="S555" s="1111"/>
      <c r="T555" s="1351"/>
      <c r="U555" s="1347"/>
      <c r="V555" s="864"/>
      <c r="W555" s="864"/>
      <c r="X555" s="864"/>
      <c r="Y555" s="1348"/>
      <c r="Z555" s="1348"/>
      <c r="AA555" s="1231"/>
      <c r="AB555" s="864"/>
      <c r="AC555" s="410"/>
      <c r="AD555" s="410"/>
      <c r="AE555" s="1308"/>
    </row>
    <row r="556" spans="1:31" ht="24" customHeight="1">
      <c r="A556" s="5629"/>
      <c r="B556" s="5573"/>
      <c r="C556" s="5337"/>
      <c r="D556" s="5337"/>
      <c r="E556" s="5337"/>
      <c r="F556" s="5337"/>
      <c r="G556" s="5337"/>
      <c r="H556" s="5337"/>
      <c r="I556" s="5337"/>
      <c r="J556" s="5337"/>
      <c r="K556" s="5337"/>
      <c r="L556" s="5337"/>
      <c r="M556" s="5337"/>
      <c r="N556" s="5337"/>
      <c r="O556" s="5337"/>
      <c r="P556" s="5337"/>
      <c r="Q556" s="5345"/>
      <c r="R556" s="1110"/>
      <c r="S556" s="1111"/>
      <c r="T556" s="1351"/>
      <c r="U556" s="1347"/>
      <c r="V556" s="864"/>
      <c r="W556" s="864"/>
      <c r="X556" s="864"/>
      <c r="Y556" s="1348"/>
      <c r="Z556" s="1348"/>
      <c r="AA556" s="1231"/>
      <c r="AB556" s="864"/>
      <c r="AC556" s="410"/>
      <c r="AD556" s="410"/>
      <c r="AE556" s="1308"/>
    </row>
    <row r="557" spans="1:31" ht="24" customHeight="1">
      <c r="A557" s="5629"/>
      <c r="B557" s="5574"/>
      <c r="C557" s="5338"/>
      <c r="D557" s="5338"/>
      <c r="E557" s="5338"/>
      <c r="F557" s="5338"/>
      <c r="G557" s="5338"/>
      <c r="H557" s="5338"/>
      <c r="I557" s="5338"/>
      <c r="J557" s="5338"/>
      <c r="K557" s="5338"/>
      <c r="L557" s="5338"/>
      <c r="M557" s="5338"/>
      <c r="N557" s="5338"/>
      <c r="O557" s="5338"/>
      <c r="P557" s="5338"/>
      <c r="Q557" s="5346"/>
      <c r="R557" s="1309"/>
      <c r="S557" s="1310"/>
      <c r="T557" s="1349"/>
      <c r="U557" s="1350"/>
      <c r="V557" s="506"/>
      <c r="W557" s="506"/>
      <c r="X557" s="506"/>
      <c r="Y557" s="1334"/>
      <c r="Z557" s="1334"/>
      <c r="AA557" s="1335"/>
      <c r="AB557" s="506"/>
      <c r="AC557" s="278"/>
      <c r="AD557" s="278"/>
      <c r="AE557" s="1314"/>
    </row>
    <row r="558" spans="1:31" ht="24" customHeight="1">
      <c r="A558" s="5629"/>
      <c r="B558" s="5626" t="s">
        <v>272</v>
      </c>
      <c r="C558" s="5624" t="s">
        <v>302</v>
      </c>
      <c r="D558" s="5624" t="s">
        <v>303</v>
      </c>
      <c r="E558" s="5624" t="s">
        <v>304</v>
      </c>
      <c r="F558" s="5622" t="s">
        <v>305</v>
      </c>
      <c r="G558" s="5624" t="s">
        <v>240</v>
      </c>
      <c r="H558" s="5624" t="s">
        <v>257</v>
      </c>
      <c r="I558" s="5618" t="s">
        <v>3177</v>
      </c>
      <c r="J558" s="5618" t="s">
        <v>3178</v>
      </c>
      <c r="K558" s="5618" t="s">
        <v>3146</v>
      </c>
      <c r="L558" s="5619">
        <v>1</v>
      </c>
      <c r="M558" s="5619">
        <v>1</v>
      </c>
      <c r="N558" s="5619">
        <v>1</v>
      </c>
      <c r="O558" s="5618" t="s">
        <v>3179</v>
      </c>
      <c r="P558" s="5618" t="s">
        <v>3180</v>
      </c>
      <c r="Q558" s="5620" t="s">
        <v>3234</v>
      </c>
      <c r="R558" s="1110"/>
      <c r="S558" s="1111"/>
      <c r="T558" s="1351"/>
      <c r="U558" s="1347"/>
      <c r="V558" s="864"/>
      <c r="W558" s="864"/>
      <c r="X558" s="864"/>
      <c r="Y558" s="1348"/>
      <c r="Z558" s="1348"/>
      <c r="AA558" s="1231"/>
      <c r="AB558" s="864"/>
      <c r="AC558" s="410"/>
      <c r="AD558" s="410"/>
      <c r="AE558" s="1308"/>
    </row>
    <row r="559" spans="1:31" ht="24" customHeight="1">
      <c r="A559" s="5629"/>
      <c r="B559" s="5573"/>
      <c r="C559" s="5337"/>
      <c r="D559" s="5337"/>
      <c r="E559" s="5337"/>
      <c r="F559" s="5337"/>
      <c r="G559" s="5337"/>
      <c r="H559" s="5337"/>
      <c r="I559" s="5337"/>
      <c r="J559" s="5337"/>
      <c r="K559" s="5337"/>
      <c r="L559" s="5337"/>
      <c r="M559" s="5337"/>
      <c r="N559" s="5337"/>
      <c r="O559" s="5337"/>
      <c r="P559" s="5337"/>
      <c r="Q559" s="5345"/>
      <c r="R559" s="1110"/>
      <c r="S559" s="1111"/>
      <c r="T559" s="1351"/>
      <c r="U559" s="1347"/>
      <c r="V559" s="864"/>
      <c r="W559" s="864"/>
      <c r="X559" s="864"/>
      <c r="Y559" s="1348"/>
      <c r="Z559" s="1348"/>
      <c r="AA559" s="1231"/>
      <c r="AB559" s="864"/>
      <c r="AC559" s="410"/>
      <c r="AD559" s="410"/>
      <c r="AE559" s="1308"/>
    </row>
    <row r="560" spans="1:31" ht="24" customHeight="1">
      <c r="A560" s="5629"/>
      <c r="B560" s="5573"/>
      <c r="C560" s="5337"/>
      <c r="D560" s="5337"/>
      <c r="E560" s="5337"/>
      <c r="F560" s="5337"/>
      <c r="G560" s="5337"/>
      <c r="H560" s="5337"/>
      <c r="I560" s="5337"/>
      <c r="J560" s="5337"/>
      <c r="K560" s="5337"/>
      <c r="L560" s="5337"/>
      <c r="M560" s="5337"/>
      <c r="N560" s="5337"/>
      <c r="O560" s="5337"/>
      <c r="P560" s="5337"/>
      <c r="Q560" s="5345"/>
      <c r="R560" s="1110"/>
      <c r="S560" s="1111"/>
      <c r="T560" s="1351"/>
      <c r="U560" s="1347"/>
      <c r="V560" s="864"/>
      <c r="W560" s="864"/>
      <c r="X560" s="864"/>
      <c r="Y560" s="1348"/>
      <c r="Z560" s="1348"/>
      <c r="AA560" s="1231"/>
      <c r="AB560" s="864"/>
      <c r="AC560" s="410"/>
      <c r="AD560" s="410"/>
      <c r="AE560" s="1308"/>
    </row>
    <row r="561" spans="1:31" ht="24" customHeight="1">
      <c r="A561" s="5629"/>
      <c r="B561" s="5573"/>
      <c r="C561" s="5337"/>
      <c r="D561" s="5337"/>
      <c r="E561" s="5337"/>
      <c r="F561" s="5337"/>
      <c r="G561" s="5337"/>
      <c r="H561" s="5337"/>
      <c r="I561" s="5337"/>
      <c r="J561" s="5337"/>
      <c r="K561" s="5337"/>
      <c r="L561" s="5337"/>
      <c r="M561" s="5337"/>
      <c r="N561" s="5337"/>
      <c r="O561" s="5337"/>
      <c r="P561" s="5337"/>
      <c r="Q561" s="5345"/>
      <c r="R561" s="1110"/>
      <c r="S561" s="1111"/>
      <c r="T561" s="1351"/>
      <c r="U561" s="1347"/>
      <c r="V561" s="864"/>
      <c r="W561" s="864"/>
      <c r="X561" s="864"/>
      <c r="Y561" s="1348"/>
      <c r="Z561" s="1348"/>
      <c r="AA561" s="1231"/>
      <c r="AB561" s="864"/>
      <c r="AC561" s="410"/>
      <c r="AD561" s="410"/>
      <c r="AE561" s="1308"/>
    </row>
    <row r="562" spans="1:31" ht="24" customHeight="1">
      <c r="A562" s="5629"/>
      <c r="B562" s="5574"/>
      <c r="C562" s="5338"/>
      <c r="D562" s="5338"/>
      <c r="E562" s="5338"/>
      <c r="F562" s="5338"/>
      <c r="G562" s="5338"/>
      <c r="H562" s="5338"/>
      <c r="I562" s="5338"/>
      <c r="J562" s="5338"/>
      <c r="K562" s="5338"/>
      <c r="L562" s="5338"/>
      <c r="M562" s="5338"/>
      <c r="N562" s="5338"/>
      <c r="O562" s="5338"/>
      <c r="P562" s="5338"/>
      <c r="Q562" s="5346"/>
      <c r="R562" s="1309"/>
      <c r="S562" s="1310"/>
      <c r="T562" s="1349"/>
      <c r="U562" s="1350"/>
      <c r="V562" s="506"/>
      <c r="W562" s="506"/>
      <c r="X562" s="506"/>
      <c r="Y562" s="1334"/>
      <c r="Z562" s="1334"/>
      <c r="AA562" s="1335"/>
      <c r="AB562" s="506"/>
      <c r="AC562" s="278"/>
      <c r="AD562" s="278"/>
      <c r="AE562" s="1314"/>
    </row>
    <row r="563" spans="1:31" ht="24" customHeight="1">
      <c r="A563" s="5629"/>
      <c r="B563" s="5626" t="s">
        <v>272</v>
      </c>
      <c r="C563" s="5624" t="s">
        <v>302</v>
      </c>
      <c r="D563" s="5624" t="s">
        <v>303</v>
      </c>
      <c r="E563" s="5624" t="s">
        <v>304</v>
      </c>
      <c r="F563" s="5622" t="s">
        <v>305</v>
      </c>
      <c r="G563" s="5624" t="s">
        <v>240</v>
      </c>
      <c r="H563" s="5624" t="s">
        <v>257</v>
      </c>
      <c r="I563" s="5618" t="s">
        <v>3181</v>
      </c>
      <c r="J563" s="5618" t="s">
        <v>3182</v>
      </c>
      <c r="K563" s="5618" t="s">
        <v>3173</v>
      </c>
      <c r="L563" s="5619">
        <v>0</v>
      </c>
      <c r="M563" s="5619">
        <v>1</v>
      </c>
      <c r="N563" s="5619">
        <v>1</v>
      </c>
      <c r="O563" s="5618" t="s">
        <v>3183</v>
      </c>
      <c r="P563" s="5618" t="s">
        <v>3184</v>
      </c>
      <c r="Q563" s="5620" t="s">
        <v>3234</v>
      </c>
      <c r="R563" s="1110"/>
      <c r="S563" s="1111"/>
      <c r="T563" s="1351"/>
      <c r="U563" s="1347"/>
      <c r="V563" s="864"/>
      <c r="W563" s="864"/>
      <c r="X563" s="864"/>
      <c r="Y563" s="1348"/>
      <c r="Z563" s="1348"/>
      <c r="AA563" s="1231"/>
      <c r="AB563" s="864"/>
      <c r="AC563" s="410"/>
      <c r="AD563" s="410"/>
      <c r="AE563" s="1308"/>
    </row>
    <row r="564" spans="1:31" ht="24" customHeight="1">
      <c r="A564" s="5629"/>
      <c r="B564" s="5573"/>
      <c r="C564" s="5337"/>
      <c r="D564" s="5337"/>
      <c r="E564" s="5337"/>
      <c r="F564" s="5337"/>
      <c r="G564" s="5337"/>
      <c r="H564" s="5337"/>
      <c r="I564" s="5337"/>
      <c r="J564" s="5337"/>
      <c r="K564" s="5337"/>
      <c r="L564" s="5337"/>
      <c r="M564" s="5337"/>
      <c r="N564" s="5337"/>
      <c r="O564" s="5337"/>
      <c r="P564" s="5337"/>
      <c r="Q564" s="5345"/>
      <c r="R564" s="1110"/>
      <c r="S564" s="1111"/>
      <c r="T564" s="1351"/>
      <c r="U564" s="1347"/>
      <c r="V564" s="864"/>
      <c r="W564" s="864"/>
      <c r="X564" s="864"/>
      <c r="Y564" s="1348"/>
      <c r="Z564" s="1348"/>
      <c r="AA564" s="1231"/>
      <c r="AB564" s="864"/>
      <c r="AC564" s="410"/>
      <c r="AD564" s="410"/>
      <c r="AE564" s="1308"/>
    </row>
    <row r="565" spans="1:31" ht="24" customHeight="1">
      <c r="A565" s="5629"/>
      <c r="B565" s="5573"/>
      <c r="C565" s="5337"/>
      <c r="D565" s="5337"/>
      <c r="E565" s="5337"/>
      <c r="F565" s="5337"/>
      <c r="G565" s="5337"/>
      <c r="H565" s="5337"/>
      <c r="I565" s="5337"/>
      <c r="J565" s="5337"/>
      <c r="K565" s="5337"/>
      <c r="L565" s="5337"/>
      <c r="M565" s="5337"/>
      <c r="N565" s="5337"/>
      <c r="O565" s="5337"/>
      <c r="P565" s="5337"/>
      <c r="Q565" s="5345"/>
      <c r="R565" s="1110"/>
      <c r="S565" s="1111"/>
      <c r="T565" s="1351"/>
      <c r="U565" s="1347"/>
      <c r="V565" s="864"/>
      <c r="W565" s="864"/>
      <c r="X565" s="864"/>
      <c r="Y565" s="1348"/>
      <c r="Z565" s="1348"/>
      <c r="AA565" s="1231"/>
      <c r="AB565" s="864"/>
      <c r="AC565" s="410"/>
      <c r="AD565" s="410"/>
      <c r="AE565" s="1308"/>
    </row>
    <row r="566" spans="1:31" ht="24" customHeight="1">
      <c r="A566" s="5629"/>
      <c r="B566" s="5573"/>
      <c r="C566" s="5337"/>
      <c r="D566" s="5337"/>
      <c r="E566" s="5337"/>
      <c r="F566" s="5337"/>
      <c r="G566" s="5337"/>
      <c r="H566" s="5337"/>
      <c r="I566" s="5337"/>
      <c r="J566" s="5337"/>
      <c r="K566" s="5337"/>
      <c r="L566" s="5337"/>
      <c r="M566" s="5337"/>
      <c r="N566" s="5337"/>
      <c r="O566" s="5337"/>
      <c r="P566" s="5337"/>
      <c r="Q566" s="5345"/>
      <c r="R566" s="1110"/>
      <c r="S566" s="1111"/>
      <c r="T566" s="1351"/>
      <c r="U566" s="1347"/>
      <c r="V566" s="864"/>
      <c r="W566" s="864"/>
      <c r="X566" s="864"/>
      <c r="Y566" s="1348"/>
      <c r="Z566" s="1348"/>
      <c r="AA566" s="1231"/>
      <c r="AB566" s="864"/>
      <c r="AC566" s="410"/>
      <c r="AD566" s="410"/>
      <c r="AE566" s="1308"/>
    </row>
    <row r="567" spans="1:31" ht="24" customHeight="1">
      <c r="A567" s="5629"/>
      <c r="B567" s="5574"/>
      <c r="C567" s="5338"/>
      <c r="D567" s="5338"/>
      <c r="E567" s="5338"/>
      <c r="F567" s="5338"/>
      <c r="G567" s="5338"/>
      <c r="H567" s="5338"/>
      <c r="I567" s="5338"/>
      <c r="J567" s="5338"/>
      <c r="K567" s="5338"/>
      <c r="L567" s="5338"/>
      <c r="M567" s="5338"/>
      <c r="N567" s="5338"/>
      <c r="O567" s="5338"/>
      <c r="P567" s="5338"/>
      <c r="Q567" s="5346"/>
      <c r="R567" s="1309"/>
      <c r="S567" s="1310"/>
      <c r="T567" s="1349"/>
      <c r="U567" s="1350"/>
      <c r="V567" s="506"/>
      <c r="W567" s="506"/>
      <c r="X567" s="506"/>
      <c r="Y567" s="1334"/>
      <c r="Z567" s="1334"/>
      <c r="AA567" s="1335"/>
      <c r="AB567" s="506"/>
      <c r="AC567" s="278"/>
      <c r="AD567" s="278"/>
      <c r="AE567" s="1314"/>
    </row>
    <row r="568" spans="1:31" ht="24" customHeight="1">
      <c r="A568" s="5629"/>
      <c r="B568" s="5627" t="s">
        <v>235</v>
      </c>
      <c r="C568" s="5347" t="s">
        <v>236</v>
      </c>
      <c r="D568" s="5347" t="s">
        <v>237</v>
      </c>
      <c r="E568" s="5347" t="s">
        <v>255</v>
      </c>
      <c r="F568" s="5353" t="s">
        <v>239</v>
      </c>
      <c r="G568" s="5336" t="s">
        <v>240</v>
      </c>
      <c r="H568" s="5336" t="s">
        <v>257</v>
      </c>
      <c r="I568" s="5618" t="s">
        <v>3185</v>
      </c>
      <c r="J568" s="5618" t="s">
        <v>3186</v>
      </c>
      <c r="K568" s="5618" t="s">
        <v>3187</v>
      </c>
      <c r="L568" s="5619">
        <v>1</v>
      </c>
      <c r="M568" s="5619">
        <v>1</v>
      </c>
      <c r="N568" s="5619">
        <v>1</v>
      </c>
      <c r="O568" s="5618" t="s">
        <v>3188</v>
      </c>
      <c r="P568" s="5618" t="s">
        <v>3189</v>
      </c>
      <c r="Q568" s="5620" t="s">
        <v>3233</v>
      </c>
      <c r="R568" s="1110"/>
      <c r="S568" s="1111"/>
      <c r="T568" s="1351"/>
      <c r="U568" s="1347"/>
      <c r="V568" s="864"/>
      <c r="W568" s="864"/>
      <c r="X568" s="864"/>
      <c r="Y568" s="1348"/>
      <c r="Z568" s="1348"/>
      <c r="AA568" s="1231"/>
      <c r="AB568" s="864"/>
      <c r="AC568" s="410"/>
      <c r="AD568" s="410"/>
      <c r="AE568" s="1308"/>
    </row>
    <row r="569" spans="1:31" ht="24" customHeight="1">
      <c r="A569" s="5629"/>
      <c r="B569" s="5573"/>
      <c r="C569" s="5337"/>
      <c r="D569" s="5337"/>
      <c r="E569" s="5337"/>
      <c r="F569" s="5337"/>
      <c r="G569" s="5337"/>
      <c r="H569" s="5337"/>
      <c r="I569" s="5337"/>
      <c r="J569" s="5337"/>
      <c r="K569" s="5337"/>
      <c r="L569" s="5337"/>
      <c r="M569" s="5337"/>
      <c r="N569" s="5337"/>
      <c r="O569" s="5337"/>
      <c r="P569" s="5337"/>
      <c r="Q569" s="5345"/>
      <c r="R569" s="1110"/>
      <c r="S569" s="1111"/>
      <c r="T569" s="1351"/>
      <c r="U569" s="1347"/>
      <c r="V569" s="864"/>
      <c r="W569" s="864"/>
      <c r="X569" s="864"/>
      <c r="Y569" s="1348"/>
      <c r="Z569" s="1348"/>
      <c r="AA569" s="1231"/>
      <c r="AB569" s="864"/>
      <c r="AC569" s="410"/>
      <c r="AD569" s="410"/>
      <c r="AE569" s="1308"/>
    </row>
    <row r="570" spans="1:31" ht="24" customHeight="1">
      <c r="A570" s="5629"/>
      <c r="B570" s="5573"/>
      <c r="C570" s="5337"/>
      <c r="D570" s="5337"/>
      <c r="E570" s="5337"/>
      <c r="F570" s="5337"/>
      <c r="G570" s="5337"/>
      <c r="H570" s="5337"/>
      <c r="I570" s="5337"/>
      <c r="J570" s="5337"/>
      <c r="K570" s="5337"/>
      <c r="L570" s="5337"/>
      <c r="M570" s="5337"/>
      <c r="N570" s="5337"/>
      <c r="O570" s="5337"/>
      <c r="P570" s="5337"/>
      <c r="Q570" s="5345"/>
      <c r="R570" s="1110"/>
      <c r="S570" s="1111"/>
      <c r="T570" s="1351"/>
      <c r="U570" s="1347"/>
      <c r="V570" s="864"/>
      <c r="W570" s="864"/>
      <c r="X570" s="864"/>
      <c r="Y570" s="1348"/>
      <c r="Z570" s="1348"/>
      <c r="AA570" s="1231"/>
      <c r="AB570" s="864"/>
      <c r="AC570" s="410"/>
      <c r="AD570" s="410"/>
      <c r="AE570" s="1308"/>
    </row>
    <row r="571" spans="1:31" ht="24" customHeight="1">
      <c r="A571" s="5629"/>
      <c r="B571" s="5573"/>
      <c r="C571" s="5337"/>
      <c r="D571" s="5337"/>
      <c r="E571" s="5337"/>
      <c r="F571" s="5337"/>
      <c r="G571" s="5337"/>
      <c r="H571" s="5337"/>
      <c r="I571" s="5337"/>
      <c r="J571" s="5337"/>
      <c r="K571" s="5337"/>
      <c r="L571" s="5337"/>
      <c r="M571" s="5337"/>
      <c r="N571" s="5337"/>
      <c r="O571" s="5337"/>
      <c r="P571" s="5337"/>
      <c r="Q571" s="5345"/>
      <c r="R571" s="1110"/>
      <c r="S571" s="1111"/>
      <c r="T571" s="1351"/>
      <c r="U571" s="1347"/>
      <c r="V571" s="864"/>
      <c r="W571" s="864"/>
      <c r="X571" s="864"/>
      <c r="Y571" s="1348"/>
      <c r="Z571" s="1348"/>
      <c r="AA571" s="1231"/>
      <c r="AB571" s="864"/>
      <c r="AC571" s="410"/>
      <c r="AD571" s="410"/>
      <c r="AE571" s="1308"/>
    </row>
    <row r="572" spans="1:31" ht="24" customHeight="1">
      <c r="A572" s="5629"/>
      <c r="B572" s="5574"/>
      <c r="C572" s="5338"/>
      <c r="D572" s="5338"/>
      <c r="E572" s="5338"/>
      <c r="F572" s="5338"/>
      <c r="G572" s="5338"/>
      <c r="H572" s="5338"/>
      <c r="I572" s="5338"/>
      <c r="J572" s="5338"/>
      <c r="K572" s="5338"/>
      <c r="L572" s="5338"/>
      <c r="M572" s="5338"/>
      <c r="N572" s="5338"/>
      <c r="O572" s="5338"/>
      <c r="P572" s="5338"/>
      <c r="Q572" s="5346"/>
      <c r="R572" s="1309"/>
      <c r="S572" s="1310"/>
      <c r="T572" s="1349"/>
      <c r="U572" s="1350"/>
      <c r="V572" s="506"/>
      <c r="W572" s="506"/>
      <c r="X572" s="506"/>
      <c r="Y572" s="1334"/>
      <c r="Z572" s="1334"/>
      <c r="AA572" s="1335"/>
      <c r="AB572" s="506"/>
      <c r="AC572" s="278"/>
      <c r="AD572" s="278"/>
      <c r="AE572" s="1314"/>
    </row>
    <row r="573" spans="1:31" ht="24" customHeight="1">
      <c r="A573" s="5629"/>
      <c r="B573" s="5626" t="s">
        <v>272</v>
      </c>
      <c r="C573" s="5624" t="s">
        <v>302</v>
      </c>
      <c r="D573" s="5624" t="s">
        <v>303</v>
      </c>
      <c r="E573" s="5624" t="s">
        <v>304</v>
      </c>
      <c r="F573" s="5622" t="s">
        <v>305</v>
      </c>
      <c r="G573" s="5624" t="s">
        <v>240</v>
      </c>
      <c r="H573" s="5624" t="s">
        <v>257</v>
      </c>
      <c r="I573" s="5618" t="s">
        <v>3190</v>
      </c>
      <c r="J573" s="5618" t="s">
        <v>3191</v>
      </c>
      <c r="K573" s="5618" t="s">
        <v>2995</v>
      </c>
      <c r="L573" s="5619">
        <v>0</v>
      </c>
      <c r="M573" s="5619">
        <v>1</v>
      </c>
      <c r="N573" s="5619">
        <v>0</v>
      </c>
      <c r="O573" s="5618" t="s">
        <v>2996</v>
      </c>
      <c r="P573" s="5618" t="s">
        <v>2997</v>
      </c>
      <c r="Q573" s="5620" t="s">
        <v>3234</v>
      </c>
      <c r="R573" s="1110"/>
      <c r="S573" s="1111"/>
      <c r="T573" s="1351"/>
      <c r="U573" s="1347"/>
      <c r="V573" s="864"/>
      <c r="W573" s="864"/>
      <c r="X573" s="864"/>
      <c r="Y573" s="1348"/>
      <c r="Z573" s="1348"/>
      <c r="AA573" s="1231"/>
      <c r="AB573" s="864"/>
      <c r="AC573" s="410"/>
      <c r="AD573" s="410"/>
      <c r="AE573" s="1308"/>
    </row>
    <row r="574" spans="1:31" ht="24" customHeight="1">
      <c r="A574" s="5629"/>
      <c r="B574" s="5573"/>
      <c r="C574" s="5337"/>
      <c r="D574" s="5337"/>
      <c r="E574" s="5337"/>
      <c r="F574" s="5337"/>
      <c r="G574" s="5337"/>
      <c r="H574" s="5337"/>
      <c r="I574" s="5337"/>
      <c r="J574" s="5337"/>
      <c r="K574" s="5337"/>
      <c r="L574" s="5337"/>
      <c r="M574" s="5337"/>
      <c r="N574" s="5337"/>
      <c r="O574" s="5337"/>
      <c r="P574" s="5337"/>
      <c r="Q574" s="5345"/>
      <c r="R574" s="1110"/>
      <c r="S574" s="1111"/>
      <c r="T574" s="1351"/>
      <c r="U574" s="1347"/>
      <c r="V574" s="864"/>
      <c r="W574" s="864"/>
      <c r="X574" s="864"/>
      <c r="Y574" s="1348"/>
      <c r="Z574" s="1348"/>
      <c r="AA574" s="1231"/>
      <c r="AB574" s="864"/>
      <c r="AC574" s="410"/>
      <c r="AD574" s="410"/>
      <c r="AE574" s="1308"/>
    </row>
    <row r="575" spans="1:31" ht="24" customHeight="1">
      <c r="A575" s="5629"/>
      <c r="B575" s="5573"/>
      <c r="C575" s="5337"/>
      <c r="D575" s="5337"/>
      <c r="E575" s="5337"/>
      <c r="F575" s="5337"/>
      <c r="G575" s="5337"/>
      <c r="H575" s="5337"/>
      <c r="I575" s="5337"/>
      <c r="J575" s="5337"/>
      <c r="K575" s="5337"/>
      <c r="L575" s="5337"/>
      <c r="M575" s="5337"/>
      <c r="N575" s="5337"/>
      <c r="O575" s="5337"/>
      <c r="P575" s="5337"/>
      <c r="Q575" s="5345"/>
      <c r="R575" s="1110"/>
      <c r="S575" s="1111"/>
      <c r="T575" s="1351"/>
      <c r="U575" s="1347"/>
      <c r="V575" s="864"/>
      <c r="W575" s="864"/>
      <c r="X575" s="864"/>
      <c r="Y575" s="1348"/>
      <c r="Z575" s="1348"/>
      <c r="AA575" s="1231"/>
      <c r="AB575" s="864"/>
      <c r="AC575" s="410"/>
      <c r="AD575" s="410"/>
      <c r="AE575" s="1308"/>
    </row>
    <row r="576" spans="1:31" ht="24" customHeight="1">
      <c r="A576" s="5629"/>
      <c r="B576" s="5573"/>
      <c r="C576" s="5337"/>
      <c r="D576" s="5337"/>
      <c r="E576" s="5337"/>
      <c r="F576" s="5337"/>
      <c r="G576" s="5337"/>
      <c r="H576" s="5337"/>
      <c r="I576" s="5337"/>
      <c r="J576" s="5337"/>
      <c r="K576" s="5337"/>
      <c r="L576" s="5337"/>
      <c r="M576" s="5337"/>
      <c r="N576" s="5337"/>
      <c r="O576" s="5337"/>
      <c r="P576" s="5337"/>
      <c r="Q576" s="5345"/>
      <c r="R576" s="1110"/>
      <c r="S576" s="1111"/>
      <c r="T576" s="1351"/>
      <c r="U576" s="1347"/>
      <c r="V576" s="864"/>
      <c r="W576" s="864"/>
      <c r="X576" s="864"/>
      <c r="Y576" s="1348"/>
      <c r="Z576" s="1348"/>
      <c r="AA576" s="1231"/>
      <c r="AB576" s="864"/>
      <c r="AC576" s="410"/>
      <c r="AD576" s="410"/>
      <c r="AE576" s="1308"/>
    </row>
    <row r="577" spans="1:31" ht="24" customHeight="1">
      <c r="A577" s="5629"/>
      <c r="B577" s="5574"/>
      <c r="C577" s="5338"/>
      <c r="D577" s="5338"/>
      <c r="E577" s="5338"/>
      <c r="F577" s="5338"/>
      <c r="G577" s="5338"/>
      <c r="H577" s="5338"/>
      <c r="I577" s="5338"/>
      <c r="J577" s="5338"/>
      <c r="K577" s="5338"/>
      <c r="L577" s="5338"/>
      <c r="M577" s="5338"/>
      <c r="N577" s="5338"/>
      <c r="O577" s="5338"/>
      <c r="P577" s="5338"/>
      <c r="Q577" s="5346"/>
      <c r="R577" s="1309"/>
      <c r="S577" s="1310"/>
      <c r="T577" s="1349"/>
      <c r="U577" s="1350"/>
      <c r="V577" s="506"/>
      <c r="W577" s="506"/>
      <c r="X577" s="506"/>
      <c r="Y577" s="1334"/>
      <c r="Z577" s="1334"/>
      <c r="AA577" s="1335"/>
      <c r="AB577" s="506"/>
      <c r="AC577" s="278"/>
      <c r="AD577" s="278"/>
      <c r="AE577" s="1314"/>
    </row>
    <row r="578" spans="1:31" ht="15" customHeight="1">
      <c r="A578" s="5629"/>
      <c r="B578" s="5626" t="s">
        <v>272</v>
      </c>
      <c r="C578" s="5624" t="s">
        <v>302</v>
      </c>
      <c r="D578" s="5624" t="s">
        <v>303</v>
      </c>
      <c r="E578" s="5624" t="s">
        <v>304</v>
      </c>
      <c r="F578" s="5622" t="s">
        <v>305</v>
      </c>
      <c r="G578" s="5336" t="s">
        <v>262</v>
      </c>
      <c r="H578" s="5336" t="s">
        <v>241</v>
      </c>
      <c r="I578" s="5336" t="s">
        <v>3192</v>
      </c>
      <c r="J578" s="5623" t="s">
        <v>3193</v>
      </c>
      <c r="K578" s="5336" t="s">
        <v>3146</v>
      </c>
      <c r="L578" s="5343">
        <v>1</v>
      </c>
      <c r="M578" s="5399">
        <v>1</v>
      </c>
      <c r="N578" s="5343">
        <v>1</v>
      </c>
      <c r="O578" s="5336" t="s">
        <v>3194</v>
      </c>
      <c r="P578" s="5336" t="s">
        <v>3195</v>
      </c>
      <c r="Q578" s="5370" t="s">
        <v>3235</v>
      </c>
      <c r="R578" s="970"/>
      <c r="S578" s="967"/>
      <c r="T578" s="1136"/>
      <c r="U578" s="476"/>
      <c r="V578" s="1130"/>
      <c r="W578" s="355"/>
      <c r="X578" s="1131"/>
      <c r="Y578" s="1131"/>
      <c r="Z578" s="1131"/>
      <c r="AA578" s="1132"/>
      <c r="AB578" s="355"/>
      <c r="AC578" s="174"/>
      <c r="AD578" s="174"/>
      <c r="AE578" s="5415"/>
    </row>
    <row r="579" spans="1:31" ht="21" customHeight="1">
      <c r="A579" s="5629"/>
      <c r="B579" s="5573"/>
      <c r="C579" s="5337"/>
      <c r="D579" s="5337"/>
      <c r="E579" s="5337"/>
      <c r="F579" s="5337"/>
      <c r="G579" s="5337"/>
      <c r="H579" s="5337"/>
      <c r="I579" s="5337"/>
      <c r="J579" s="5337"/>
      <c r="K579" s="5337"/>
      <c r="L579" s="5337"/>
      <c r="M579" s="5337"/>
      <c r="N579" s="5337"/>
      <c r="O579" s="5337"/>
      <c r="P579" s="5337"/>
      <c r="Q579" s="5345"/>
      <c r="R579" s="970"/>
      <c r="S579" s="967"/>
      <c r="T579" s="1136"/>
      <c r="U579" s="476"/>
      <c r="V579" s="1130"/>
      <c r="W579" s="355"/>
      <c r="X579" s="1131"/>
      <c r="Y579" s="1131"/>
      <c r="Z579" s="1131"/>
      <c r="AA579" s="1132"/>
      <c r="AB579" s="355"/>
      <c r="AC579" s="174"/>
      <c r="AD579" s="174"/>
      <c r="AE579" s="5416"/>
    </row>
    <row r="580" spans="1:31" ht="21" customHeight="1">
      <c r="A580" s="5629"/>
      <c r="B580" s="5573"/>
      <c r="C580" s="5337"/>
      <c r="D580" s="5337"/>
      <c r="E580" s="5337"/>
      <c r="F580" s="5337"/>
      <c r="G580" s="5337"/>
      <c r="H580" s="5337"/>
      <c r="I580" s="5337"/>
      <c r="J580" s="5337"/>
      <c r="K580" s="5337"/>
      <c r="L580" s="5337"/>
      <c r="M580" s="5337"/>
      <c r="N580" s="5337"/>
      <c r="O580" s="5337"/>
      <c r="P580" s="5337"/>
      <c r="Q580" s="5345"/>
      <c r="R580" s="970"/>
      <c r="S580" s="967"/>
      <c r="T580" s="967"/>
      <c r="U580" s="176"/>
      <c r="V580" s="968"/>
      <c r="W580" s="414"/>
      <c r="X580" s="973"/>
      <c r="Y580" s="973"/>
      <c r="Z580" s="973"/>
      <c r="AA580" s="981"/>
      <c r="AB580" s="414"/>
      <c r="AC580" s="174"/>
      <c r="AD580" s="174"/>
      <c r="AE580" s="5416"/>
    </row>
    <row r="581" spans="1:31" ht="21" customHeight="1">
      <c r="A581" s="5629"/>
      <c r="B581" s="5573"/>
      <c r="C581" s="5337"/>
      <c r="D581" s="5337"/>
      <c r="E581" s="5337"/>
      <c r="F581" s="5337"/>
      <c r="G581" s="5337"/>
      <c r="H581" s="5337"/>
      <c r="I581" s="5337"/>
      <c r="J581" s="5337"/>
      <c r="K581" s="5337"/>
      <c r="L581" s="5337"/>
      <c r="M581" s="5337"/>
      <c r="N581" s="5337"/>
      <c r="O581" s="5337"/>
      <c r="P581" s="5337"/>
      <c r="Q581" s="5345"/>
      <c r="R581" s="970"/>
      <c r="S581" s="967"/>
      <c r="T581" s="967"/>
      <c r="U581" s="176"/>
      <c r="V581" s="968"/>
      <c r="W581" s="414"/>
      <c r="X581" s="973"/>
      <c r="Y581" s="973"/>
      <c r="Z581" s="973"/>
      <c r="AA581" s="981"/>
      <c r="AB581" s="414"/>
      <c r="AC581" s="174"/>
      <c r="AD581" s="174"/>
      <c r="AE581" s="5416"/>
    </row>
    <row r="582" spans="1:31" ht="21" customHeight="1">
      <c r="A582" s="5629"/>
      <c r="B582" s="5574"/>
      <c r="C582" s="5338"/>
      <c r="D582" s="5338"/>
      <c r="E582" s="5338"/>
      <c r="F582" s="5338"/>
      <c r="G582" s="5338"/>
      <c r="H582" s="5338"/>
      <c r="I582" s="5338"/>
      <c r="J582" s="5338"/>
      <c r="K582" s="5338"/>
      <c r="L582" s="5338"/>
      <c r="M582" s="5338"/>
      <c r="N582" s="5338"/>
      <c r="O582" s="5338"/>
      <c r="P582" s="5338"/>
      <c r="Q582" s="5346"/>
      <c r="R582" s="970"/>
      <c r="S582" s="967"/>
      <c r="T582" s="967"/>
      <c r="U582" s="176"/>
      <c r="V582" s="968"/>
      <c r="W582" s="414"/>
      <c r="X582" s="973"/>
      <c r="Y582" s="973"/>
      <c r="Z582" s="973"/>
      <c r="AA582" s="981"/>
      <c r="AB582" s="414"/>
      <c r="AC582" s="174"/>
      <c r="AD582" s="174"/>
      <c r="AE582" s="5416"/>
    </row>
    <row r="583" spans="1:31" ht="18" customHeight="1">
      <c r="A583" s="5629"/>
      <c r="B583" s="5572" t="s">
        <v>235</v>
      </c>
      <c r="C583" s="5336" t="s">
        <v>236</v>
      </c>
      <c r="D583" s="5336" t="s">
        <v>237</v>
      </c>
      <c r="E583" s="5336" t="s">
        <v>255</v>
      </c>
      <c r="F583" s="5341" t="s">
        <v>239</v>
      </c>
      <c r="G583" s="5336" t="s">
        <v>240</v>
      </c>
      <c r="H583" s="5336" t="s">
        <v>257</v>
      </c>
      <c r="I583" s="5336" t="s">
        <v>3197</v>
      </c>
      <c r="J583" s="5623" t="s">
        <v>3198</v>
      </c>
      <c r="K583" s="5336" t="s">
        <v>3012</v>
      </c>
      <c r="L583" s="5399">
        <v>3</v>
      </c>
      <c r="M583" s="5399">
        <v>4</v>
      </c>
      <c r="N583" s="5399">
        <v>3</v>
      </c>
      <c r="O583" s="5336" t="s">
        <v>3199</v>
      </c>
      <c r="P583" s="5336" t="s">
        <v>3200</v>
      </c>
      <c r="Q583" s="5370" t="s">
        <v>3233</v>
      </c>
      <c r="R583" s="982"/>
      <c r="S583" s="983"/>
      <c r="T583" s="983"/>
      <c r="U583" s="169"/>
      <c r="V583" s="984"/>
      <c r="W583" s="170"/>
      <c r="X583" s="974"/>
      <c r="Y583" s="974">
        <f>+V583*X583</f>
        <v>0</v>
      </c>
      <c r="Z583" s="974">
        <f>+Y583*1.12</f>
        <v>0</v>
      </c>
      <c r="AA583" s="969"/>
      <c r="AB583" s="170"/>
      <c r="AC583" s="282"/>
      <c r="AD583" s="282"/>
      <c r="AE583" s="5416"/>
    </row>
    <row r="584" spans="1:31" ht="18" customHeight="1">
      <c r="A584" s="5629"/>
      <c r="B584" s="5573"/>
      <c r="C584" s="5337"/>
      <c r="D584" s="5337"/>
      <c r="E584" s="5337"/>
      <c r="F584" s="5337"/>
      <c r="G584" s="5337"/>
      <c r="H584" s="5337"/>
      <c r="I584" s="5337"/>
      <c r="J584" s="5337"/>
      <c r="K584" s="5337"/>
      <c r="L584" s="5337"/>
      <c r="M584" s="5337"/>
      <c r="N584" s="5337"/>
      <c r="O584" s="5337"/>
      <c r="P584" s="5337"/>
      <c r="Q584" s="5345"/>
      <c r="R584" s="971"/>
      <c r="S584" s="972"/>
      <c r="T584" s="972"/>
      <c r="U584" s="1217"/>
      <c r="V584" s="968"/>
      <c r="W584" s="414"/>
      <c r="X584" s="973"/>
      <c r="Y584" s="974"/>
      <c r="Z584" s="974"/>
      <c r="AA584" s="969"/>
      <c r="AB584" s="170"/>
      <c r="AC584" s="282"/>
      <c r="AD584" s="282"/>
      <c r="AE584" s="5416"/>
    </row>
    <row r="585" spans="1:31" ht="18" customHeight="1">
      <c r="A585" s="5629"/>
      <c r="B585" s="5573"/>
      <c r="C585" s="5337"/>
      <c r="D585" s="5337"/>
      <c r="E585" s="5337"/>
      <c r="F585" s="5337"/>
      <c r="G585" s="5337"/>
      <c r="H585" s="5337"/>
      <c r="I585" s="5337"/>
      <c r="J585" s="5337"/>
      <c r="K585" s="5337"/>
      <c r="L585" s="5337"/>
      <c r="M585" s="5337"/>
      <c r="N585" s="5337"/>
      <c r="O585" s="5337"/>
      <c r="P585" s="5337"/>
      <c r="Q585" s="5345"/>
      <c r="R585" s="971"/>
      <c r="S585" s="972"/>
      <c r="T585" s="972"/>
      <c r="U585" s="1217"/>
      <c r="V585" s="968"/>
      <c r="W585" s="414"/>
      <c r="X585" s="973"/>
      <c r="Y585" s="974">
        <f t="shared" ref="Y585:Y587" si="124">+V585*X585</f>
        <v>0</v>
      </c>
      <c r="Z585" s="974">
        <f t="shared" ref="Z585:Z587" si="125">+Y585*1.12</f>
        <v>0</v>
      </c>
      <c r="AA585" s="969"/>
      <c r="AB585" s="170"/>
      <c r="AC585" s="282"/>
      <c r="AD585" s="282"/>
      <c r="AE585" s="5416"/>
    </row>
    <row r="586" spans="1:31" ht="18" customHeight="1">
      <c r="A586" s="5629"/>
      <c r="B586" s="5573"/>
      <c r="C586" s="5337"/>
      <c r="D586" s="5337"/>
      <c r="E586" s="5337"/>
      <c r="F586" s="5337"/>
      <c r="G586" s="5337"/>
      <c r="H586" s="5337"/>
      <c r="I586" s="5337"/>
      <c r="J586" s="5337"/>
      <c r="K586" s="5337"/>
      <c r="L586" s="5337"/>
      <c r="M586" s="5337"/>
      <c r="N586" s="5337"/>
      <c r="O586" s="5337"/>
      <c r="P586" s="5337"/>
      <c r="Q586" s="5345"/>
      <c r="R586" s="970"/>
      <c r="S586" s="967"/>
      <c r="T586" s="967"/>
      <c r="U586" s="1217"/>
      <c r="V586" s="968"/>
      <c r="W586" s="414"/>
      <c r="X586" s="973"/>
      <c r="Y586" s="974">
        <f t="shared" si="124"/>
        <v>0</v>
      </c>
      <c r="Z586" s="974">
        <f t="shared" si="125"/>
        <v>0</v>
      </c>
      <c r="AA586" s="969"/>
      <c r="AB586" s="170"/>
      <c r="AC586" s="282"/>
      <c r="AD586" s="282"/>
      <c r="AE586" s="5416"/>
    </row>
    <row r="587" spans="1:31" ht="18" customHeight="1">
      <c r="A587" s="5555"/>
      <c r="B587" s="5574"/>
      <c r="C587" s="5338"/>
      <c r="D587" s="5338"/>
      <c r="E587" s="5338"/>
      <c r="F587" s="5338"/>
      <c r="G587" s="5338"/>
      <c r="H587" s="5338"/>
      <c r="I587" s="5338"/>
      <c r="J587" s="5338"/>
      <c r="K587" s="5338"/>
      <c r="L587" s="5338"/>
      <c r="M587" s="5338"/>
      <c r="N587" s="5338"/>
      <c r="O587" s="5338"/>
      <c r="P587" s="5338"/>
      <c r="Q587" s="5346"/>
      <c r="R587" s="975"/>
      <c r="S587" s="976"/>
      <c r="T587" s="976"/>
      <c r="U587" s="411"/>
      <c r="V587" s="977"/>
      <c r="W587" s="165"/>
      <c r="X587" s="978"/>
      <c r="Y587" s="978">
        <f t="shared" si="124"/>
        <v>0</v>
      </c>
      <c r="Z587" s="978">
        <f t="shared" si="125"/>
        <v>0</v>
      </c>
      <c r="AA587" s="979"/>
      <c r="AB587" s="165"/>
      <c r="AC587" s="166"/>
      <c r="AD587" s="166"/>
      <c r="AE587" s="5417"/>
    </row>
    <row r="588" spans="1:31" ht="22.5" customHeight="1">
      <c r="A588" s="2158"/>
      <c r="B588" s="785"/>
      <c r="C588" s="785"/>
      <c r="D588" s="785"/>
      <c r="E588" s="785"/>
      <c r="F588" s="785"/>
      <c r="G588" s="785"/>
      <c r="H588" s="785"/>
      <c r="I588" s="785"/>
      <c r="J588" s="785"/>
      <c r="K588" s="785"/>
      <c r="L588" s="785"/>
      <c r="M588" s="785"/>
      <c r="N588" s="785"/>
      <c r="O588" s="785"/>
      <c r="P588" s="785"/>
      <c r="Q588" s="786"/>
      <c r="R588" s="5636" t="s">
        <v>3236</v>
      </c>
      <c r="S588" s="5474"/>
      <c r="T588" s="5474"/>
      <c r="U588" s="5474"/>
      <c r="V588" s="5474"/>
      <c r="W588" s="5474"/>
      <c r="X588" s="5474"/>
      <c r="Y588" s="5475"/>
      <c r="Z588" s="997" t="s">
        <v>340</v>
      </c>
      <c r="AA588" s="998">
        <f>SUM(AA503:AA587)</f>
        <v>8315.44</v>
      </c>
      <c r="AB588" s="5521"/>
      <c r="AC588" s="5474"/>
      <c r="AD588" s="5474"/>
      <c r="AE588" s="5477"/>
    </row>
    <row r="589" spans="1:31" ht="18" customHeight="1">
      <c r="A589" s="5628" t="s">
        <v>3237</v>
      </c>
      <c r="B589" s="5576" t="s">
        <v>272</v>
      </c>
      <c r="C589" s="5355" t="s">
        <v>302</v>
      </c>
      <c r="D589" s="5355" t="s">
        <v>303</v>
      </c>
      <c r="E589" s="5355" t="s">
        <v>304</v>
      </c>
      <c r="F589" s="5364" t="s">
        <v>305</v>
      </c>
      <c r="G589" s="5355" t="s">
        <v>240</v>
      </c>
      <c r="H589" s="5355" t="s">
        <v>257</v>
      </c>
      <c r="I589" s="5360" t="s">
        <v>3238</v>
      </c>
      <c r="J589" s="5625" t="s">
        <v>3135</v>
      </c>
      <c r="K589" s="5355" t="s">
        <v>2846</v>
      </c>
      <c r="L589" s="5363">
        <v>2</v>
      </c>
      <c r="M589" s="5363">
        <v>1</v>
      </c>
      <c r="N589" s="5363">
        <v>2</v>
      </c>
      <c r="O589" s="5355" t="s">
        <v>3136</v>
      </c>
      <c r="P589" s="5355" t="s">
        <v>3137</v>
      </c>
      <c r="Q589" s="5392" t="s">
        <v>3138</v>
      </c>
      <c r="R589" s="1102"/>
      <c r="S589" s="1103"/>
      <c r="T589" s="1103"/>
      <c r="U589" s="154"/>
      <c r="V589" s="1104"/>
      <c r="W589" s="155"/>
      <c r="X589" s="1105"/>
      <c r="Y589" s="1105"/>
      <c r="Z589" s="1105"/>
      <c r="AA589" s="1106"/>
      <c r="AB589" s="155"/>
      <c r="AC589" s="156"/>
      <c r="AD589" s="156"/>
      <c r="AE589" s="5428"/>
    </row>
    <row r="590" spans="1:31" ht="18" customHeight="1">
      <c r="A590" s="5629"/>
      <c r="B590" s="5573"/>
      <c r="C590" s="5337"/>
      <c r="D590" s="5337"/>
      <c r="E590" s="5337"/>
      <c r="F590" s="5337"/>
      <c r="G590" s="5337"/>
      <c r="H590" s="5337"/>
      <c r="I590" s="5361"/>
      <c r="J590" s="5337"/>
      <c r="K590" s="5337"/>
      <c r="L590" s="5337"/>
      <c r="M590" s="5337"/>
      <c r="N590" s="5337"/>
      <c r="O590" s="5337"/>
      <c r="P590" s="5337"/>
      <c r="Q590" s="5345"/>
      <c r="R590" s="982"/>
      <c r="S590" s="983"/>
      <c r="T590" s="983"/>
      <c r="U590" s="169"/>
      <c r="V590" s="984"/>
      <c r="W590" s="170"/>
      <c r="X590" s="974"/>
      <c r="Y590" s="974">
        <f t="shared" ref="Y590:Y593" si="126">+V590*X590</f>
        <v>0</v>
      </c>
      <c r="Z590" s="974">
        <f t="shared" ref="Z590:Z593" si="127">+Y590*1.12</f>
        <v>0</v>
      </c>
      <c r="AA590" s="969"/>
      <c r="AB590" s="170"/>
      <c r="AC590" s="282"/>
      <c r="AD590" s="282"/>
      <c r="AE590" s="5416"/>
    </row>
    <row r="591" spans="1:31" ht="18" customHeight="1">
      <c r="A591" s="5629"/>
      <c r="B591" s="5573"/>
      <c r="C591" s="5337"/>
      <c r="D591" s="5337"/>
      <c r="E591" s="5337"/>
      <c r="F591" s="5337"/>
      <c r="G591" s="5337"/>
      <c r="H591" s="5337"/>
      <c r="I591" s="5361"/>
      <c r="J591" s="5337"/>
      <c r="K591" s="5337"/>
      <c r="L591" s="5337"/>
      <c r="M591" s="5337"/>
      <c r="N591" s="5337"/>
      <c r="O591" s="5337"/>
      <c r="P591" s="5337"/>
      <c r="Q591" s="5345"/>
      <c r="R591" s="971"/>
      <c r="S591" s="972"/>
      <c r="T591" s="972"/>
      <c r="U591" s="1217"/>
      <c r="V591" s="968"/>
      <c r="W591" s="414"/>
      <c r="X591" s="973"/>
      <c r="Y591" s="974">
        <f t="shared" si="126"/>
        <v>0</v>
      </c>
      <c r="Z591" s="974">
        <f t="shared" si="127"/>
        <v>0</v>
      </c>
      <c r="AA591" s="969"/>
      <c r="AB591" s="170"/>
      <c r="AC591" s="282"/>
      <c r="AD591" s="282"/>
      <c r="AE591" s="5416"/>
    </row>
    <row r="592" spans="1:31" ht="18" customHeight="1">
      <c r="A592" s="5629"/>
      <c r="B592" s="5573"/>
      <c r="C592" s="5337"/>
      <c r="D592" s="5337"/>
      <c r="E592" s="5337"/>
      <c r="F592" s="5337"/>
      <c r="G592" s="5337"/>
      <c r="H592" s="5337"/>
      <c r="I592" s="5361"/>
      <c r="J592" s="5337"/>
      <c r="K592" s="5337"/>
      <c r="L592" s="5337"/>
      <c r="M592" s="5337"/>
      <c r="N592" s="5337"/>
      <c r="O592" s="5337"/>
      <c r="P592" s="5337"/>
      <c r="Q592" s="5345"/>
      <c r="R592" s="970"/>
      <c r="S592" s="967"/>
      <c r="T592" s="967"/>
      <c r="U592" s="1217"/>
      <c r="V592" s="968"/>
      <c r="W592" s="414"/>
      <c r="X592" s="973"/>
      <c r="Y592" s="974">
        <f t="shared" si="126"/>
        <v>0</v>
      </c>
      <c r="Z592" s="974">
        <f t="shared" si="127"/>
        <v>0</v>
      </c>
      <c r="AA592" s="969"/>
      <c r="AB592" s="170"/>
      <c r="AC592" s="282"/>
      <c r="AD592" s="282"/>
      <c r="AE592" s="5416"/>
    </row>
    <row r="593" spans="1:31" ht="18" customHeight="1">
      <c r="A593" s="5629"/>
      <c r="B593" s="5574"/>
      <c r="C593" s="5338"/>
      <c r="D593" s="5338"/>
      <c r="E593" s="5338"/>
      <c r="F593" s="5338"/>
      <c r="G593" s="5338"/>
      <c r="H593" s="5338"/>
      <c r="I593" s="5362"/>
      <c r="J593" s="5338"/>
      <c r="K593" s="5338"/>
      <c r="L593" s="5338"/>
      <c r="M593" s="5338"/>
      <c r="N593" s="5338"/>
      <c r="O593" s="5338"/>
      <c r="P593" s="5338"/>
      <c r="Q593" s="5346"/>
      <c r="R593" s="975"/>
      <c r="S593" s="976"/>
      <c r="T593" s="976"/>
      <c r="U593" s="411"/>
      <c r="V593" s="977"/>
      <c r="W593" s="165"/>
      <c r="X593" s="978"/>
      <c r="Y593" s="978">
        <f t="shared" si="126"/>
        <v>0</v>
      </c>
      <c r="Z593" s="978">
        <f t="shared" si="127"/>
        <v>0</v>
      </c>
      <c r="AA593" s="979"/>
      <c r="AB593" s="165"/>
      <c r="AC593" s="166"/>
      <c r="AD593" s="166"/>
      <c r="AE593" s="5417"/>
    </row>
    <row r="594" spans="1:31" ht="18" customHeight="1">
      <c r="A594" s="5629"/>
      <c r="B594" s="5627" t="s">
        <v>235</v>
      </c>
      <c r="C594" s="5347" t="s">
        <v>236</v>
      </c>
      <c r="D594" s="5347" t="s">
        <v>237</v>
      </c>
      <c r="E594" s="5347" t="s">
        <v>255</v>
      </c>
      <c r="F594" s="5353" t="s">
        <v>239</v>
      </c>
      <c r="G594" s="5336" t="s">
        <v>240</v>
      </c>
      <c r="H594" s="5336" t="s">
        <v>257</v>
      </c>
      <c r="I594" s="5621" t="s">
        <v>3139</v>
      </c>
      <c r="J594" s="5621" t="s">
        <v>3140</v>
      </c>
      <c r="K594" s="5618" t="s">
        <v>2846</v>
      </c>
      <c r="L594" s="5619">
        <v>2</v>
      </c>
      <c r="M594" s="5619">
        <v>0</v>
      </c>
      <c r="N594" s="5619">
        <v>2</v>
      </c>
      <c r="O594" s="5407" t="s">
        <v>3141</v>
      </c>
      <c r="P594" s="5618" t="s">
        <v>3142</v>
      </c>
      <c r="Q594" s="5620" t="s">
        <v>3239</v>
      </c>
      <c r="R594" s="1110"/>
      <c r="S594" s="1111"/>
      <c r="T594" s="1111"/>
      <c r="U594" s="1711"/>
      <c r="V594" s="1112"/>
      <c r="W594" s="1719"/>
      <c r="X594" s="1113"/>
      <c r="Y594" s="1113"/>
      <c r="Z594" s="1113"/>
      <c r="AA594" s="1114"/>
      <c r="AB594" s="1719"/>
      <c r="AC594" s="410"/>
      <c r="AD594" s="410"/>
      <c r="AE594" s="1308"/>
    </row>
    <row r="595" spans="1:31" ht="18" customHeight="1">
      <c r="A595" s="5629"/>
      <c r="B595" s="5573"/>
      <c r="C595" s="5337"/>
      <c r="D595" s="5337"/>
      <c r="E595" s="5337"/>
      <c r="F595" s="5337"/>
      <c r="G595" s="5337"/>
      <c r="H595" s="5337"/>
      <c r="I595" s="5337"/>
      <c r="J595" s="5337"/>
      <c r="K595" s="5337"/>
      <c r="L595" s="5337"/>
      <c r="M595" s="5337"/>
      <c r="N595" s="5337"/>
      <c r="O595" s="5337"/>
      <c r="P595" s="5337"/>
      <c r="Q595" s="5345"/>
      <c r="R595" s="1110"/>
      <c r="S595" s="1111"/>
      <c r="T595" s="1111"/>
      <c r="U595" s="1711"/>
      <c r="V595" s="1112"/>
      <c r="W595" s="1719"/>
      <c r="X595" s="1113"/>
      <c r="Y595" s="1113"/>
      <c r="Z595" s="1113"/>
      <c r="AA595" s="1114"/>
      <c r="AB595" s="1719"/>
      <c r="AC595" s="410"/>
      <c r="AD595" s="410"/>
      <c r="AE595" s="1308"/>
    </row>
    <row r="596" spans="1:31" ht="18" customHeight="1">
      <c r="A596" s="5629"/>
      <c r="B596" s="5573"/>
      <c r="C596" s="5337"/>
      <c r="D596" s="5337"/>
      <c r="E596" s="5337"/>
      <c r="F596" s="5337"/>
      <c r="G596" s="5337"/>
      <c r="H596" s="5337"/>
      <c r="I596" s="5337"/>
      <c r="J596" s="5337"/>
      <c r="K596" s="5337"/>
      <c r="L596" s="5337"/>
      <c r="M596" s="5337"/>
      <c r="N596" s="5337"/>
      <c r="O596" s="5337"/>
      <c r="P596" s="5337"/>
      <c r="Q596" s="5345"/>
      <c r="R596" s="1110"/>
      <c r="S596" s="1111"/>
      <c r="T596" s="1111"/>
      <c r="U596" s="1711"/>
      <c r="V596" s="1112"/>
      <c r="W596" s="1719"/>
      <c r="X596" s="1113"/>
      <c r="Y596" s="1113"/>
      <c r="Z596" s="1113"/>
      <c r="AA596" s="1114"/>
      <c r="AB596" s="1719"/>
      <c r="AC596" s="410"/>
      <c r="AD596" s="410"/>
      <c r="AE596" s="1308"/>
    </row>
    <row r="597" spans="1:31" ht="18" customHeight="1">
      <c r="A597" s="5629"/>
      <c r="B597" s="5573"/>
      <c r="C597" s="5337"/>
      <c r="D597" s="5337"/>
      <c r="E597" s="5337"/>
      <c r="F597" s="5337"/>
      <c r="G597" s="5337"/>
      <c r="H597" s="5337"/>
      <c r="I597" s="5337"/>
      <c r="J597" s="5337"/>
      <c r="K597" s="5337"/>
      <c r="L597" s="5337"/>
      <c r="M597" s="5337"/>
      <c r="N597" s="5337"/>
      <c r="O597" s="5337"/>
      <c r="P597" s="5337"/>
      <c r="Q597" s="5345"/>
      <c r="R597" s="1110"/>
      <c r="S597" s="1111"/>
      <c r="T597" s="1111"/>
      <c r="U597" s="1711"/>
      <c r="V597" s="1112"/>
      <c r="W597" s="1719"/>
      <c r="X597" s="1113"/>
      <c r="Y597" s="1113"/>
      <c r="Z597" s="1113"/>
      <c r="AA597" s="1114"/>
      <c r="AB597" s="1719"/>
      <c r="AC597" s="410"/>
      <c r="AD597" s="410"/>
      <c r="AE597" s="1308"/>
    </row>
    <row r="598" spans="1:31" ht="18" customHeight="1">
      <c r="A598" s="5629"/>
      <c r="B598" s="5574"/>
      <c r="C598" s="5338"/>
      <c r="D598" s="5338"/>
      <c r="E598" s="5338"/>
      <c r="F598" s="5338"/>
      <c r="G598" s="5338"/>
      <c r="H598" s="5338"/>
      <c r="I598" s="5338"/>
      <c r="J598" s="5338"/>
      <c r="K598" s="5338"/>
      <c r="L598" s="5338"/>
      <c r="M598" s="5338"/>
      <c r="N598" s="5338"/>
      <c r="O598" s="5338"/>
      <c r="P598" s="5338"/>
      <c r="Q598" s="5346"/>
      <c r="R598" s="1309"/>
      <c r="S598" s="1310"/>
      <c r="T598" s="1310"/>
      <c r="U598" s="277"/>
      <c r="V598" s="1311"/>
      <c r="W598" s="416"/>
      <c r="X598" s="1312"/>
      <c r="Y598" s="1312"/>
      <c r="Z598" s="1312"/>
      <c r="AA598" s="1313"/>
      <c r="AB598" s="416"/>
      <c r="AC598" s="278"/>
      <c r="AD598" s="278"/>
      <c r="AE598" s="1314"/>
    </row>
    <row r="599" spans="1:31" ht="18" customHeight="1">
      <c r="A599" s="5629"/>
      <c r="B599" s="5627" t="s">
        <v>235</v>
      </c>
      <c r="C599" s="5347" t="s">
        <v>236</v>
      </c>
      <c r="D599" s="5347" t="s">
        <v>237</v>
      </c>
      <c r="E599" s="5347" t="s">
        <v>255</v>
      </c>
      <c r="F599" s="5353" t="s">
        <v>239</v>
      </c>
      <c r="G599" s="5336" t="s">
        <v>240</v>
      </c>
      <c r="H599" s="5336" t="s">
        <v>257</v>
      </c>
      <c r="I599" s="5621" t="s">
        <v>3144</v>
      </c>
      <c r="J599" s="5618" t="s">
        <v>3145</v>
      </c>
      <c r="K599" s="5618" t="s">
        <v>3146</v>
      </c>
      <c r="L599" s="5407">
        <v>0</v>
      </c>
      <c r="M599" s="5407">
        <v>1</v>
      </c>
      <c r="N599" s="5407">
        <v>0</v>
      </c>
      <c r="O599" s="5618" t="s">
        <v>3147</v>
      </c>
      <c r="P599" s="5618" t="s">
        <v>3148</v>
      </c>
      <c r="Q599" s="5620" t="s">
        <v>3240</v>
      </c>
      <c r="R599" s="1110"/>
      <c r="S599" s="1111"/>
      <c r="T599" s="1111"/>
      <c r="U599" s="1711"/>
      <c r="V599" s="1112"/>
      <c r="W599" s="1719"/>
      <c r="X599" s="1113"/>
      <c r="Y599" s="1113"/>
      <c r="Z599" s="1113"/>
      <c r="AA599" s="1114"/>
      <c r="AB599" s="1719"/>
      <c r="AC599" s="410"/>
      <c r="AD599" s="410"/>
      <c r="AE599" s="1308"/>
    </row>
    <row r="600" spans="1:31" ht="18" customHeight="1">
      <c r="A600" s="5629"/>
      <c r="B600" s="5573"/>
      <c r="C600" s="5337"/>
      <c r="D600" s="5337"/>
      <c r="E600" s="5337"/>
      <c r="F600" s="5337"/>
      <c r="G600" s="5337"/>
      <c r="H600" s="5337"/>
      <c r="I600" s="5337"/>
      <c r="J600" s="5337"/>
      <c r="K600" s="5337"/>
      <c r="L600" s="5337"/>
      <c r="M600" s="5337"/>
      <c r="N600" s="5337"/>
      <c r="O600" s="5337"/>
      <c r="P600" s="5337"/>
      <c r="Q600" s="5345"/>
      <c r="R600" s="1110"/>
      <c r="S600" s="1111"/>
      <c r="T600" s="1111"/>
      <c r="U600" s="1711"/>
      <c r="V600" s="1112"/>
      <c r="W600" s="1719"/>
      <c r="X600" s="1113"/>
      <c r="Y600" s="1113"/>
      <c r="Z600" s="1113"/>
      <c r="AA600" s="1114"/>
      <c r="AB600" s="1719"/>
      <c r="AC600" s="410"/>
      <c r="AD600" s="410"/>
      <c r="AE600" s="1308"/>
    </row>
    <row r="601" spans="1:31" ht="18" customHeight="1">
      <c r="A601" s="5629"/>
      <c r="B601" s="5573"/>
      <c r="C601" s="5337"/>
      <c r="D601" s="5337"/>
      <c r="E601" s="5337"/>
      <c r="F601" s="5337"/>
      <c r="G601" s="5337"/>
      <c r="H601" s="5337"/>
      <c r="I601" s="5337"/>
      <c r="J601" s="5337"/>
      <c r="K601" s="5337"/>
      <c r="L601" s="5337"/>
      <c r="M601" s="5337"/>
      <c r="N601" s="5337"/>
      <c r="O601" s="5337"/>
      <c r="P601" s="5337"/>
      <c r="Q601" s="5345"/>
      <c r="R601" s="1110"/>
      <c r="S601" s="1111"/>
      <c r="T601" s="1111"/>
      <c r="U601" s="1711"/>
      <c r="V601" s="1112"/>
      <c r="W601" s="1719"/>
      <c r="X601" s="1113"/>
      <c r="Y601" s="1113"/>
      <c r="Z601" s="1113"/>
      <c r="AA601" s="1114"/>
      <c r="AB601" s="1719"/>
      <c r="AC601" s="410"/>
      <c r="AD601" s="410"/>
      <c r="AE601" s="1308"/>
    </row>
    <row r="602" spans="1:31" ht="18" customHeight="1">
      <c r="A602" s="5629"/>
      <c r="B602" s="5573"/>
      <c r="C602" s="5337"/>
      <c r="D602" s="5337"/>
      <c r="E602" s="5337"/>
      <c r="F602" s="5337"/>
      <c r="G602" s="5337"/>
      <c r="H602" s="5337"/>
      <c r="I602" s="5337"/>
      <c r="J602" s="5337"/>
      <c r="K602" s="5337"/>
      <c r="L602" s="5337"/>
      <c r="M602" s="5337"/>
      <c r="N602" s="5337"/>
      <c r="O602" s="5337"/>
      <c r="P602" s="5337"/>
      <c r="Q602" s="5345"/>
      <c r="R602" s="1110"/>
      <c r="S602" s="1111"/>
      <c r="T602" s="1111"/>
      <c r="U602" s="1711"/>
      <c r="V602" s="1112"/>
      <c r="W602" s="1719"/>
      <c r="X602" s="1113"/>
      <c r="Y602" s="1113"/>
      <c r="Z602" s="1113"/>
      <c r="AA602" s="1114"/>
      <c r="AB602" s="1719"/>
      <c r="AC602" s="410"/>
      <c r="AD602" s="410"/>
      <c r="AE602" s="1308"/>
    </row>
    <row r="603" spans="1:31" ht="18" customHeight="1">
      <c r="A603" s="5629"/>
      <c r="B603" s="5574"/>
      <c r="C603" s="5338"/>
      <c r="D603" s="5338"/>
      <c r="E603" s="5338"/>
      <c r="F603" s="5338"/>
      <c r="G603" s="5338"/>
      <c r="H603" s="5338"/>
      <c r="I603" s="5338"/>
      <c r="J603" s="5338"/>
      <c r="K603" s="5338"/>
      <c r="L603" s="5338"/>
      <c r="M603" s="5338"/>
      <c r="N603" s="5338"/>
      <c r="O603" s="5338"/>
      <c r="P603" s="5338"/>
      <c r="Q603" s="5346"/>
      <c r="R603" s="1309"/>
      <c r="S603" s="1310"/>
      <c r="T603" s="1310"/>
      <c r="U603" s="277"/>
      <c r="V603" s="1311"/>
      <c r="W603" s="416"/>
      <c r="X603" s="1312"/>
      <c r="Y603" s="1312"/>
      <c r="Z603" s="1312"/>
      <c r="AA603" s="1313"/>
      <c r="AB603" s="416"/>
      <c r="AC603" s="278"/>
      <c r="AD603" s="278"/>
      <c r="AE603" s="1314"/>
    </row>
    <row r="604" spans="1:31" ht="18" customHeight="1">
      <c r="A604" s="5629"/>
      <c r="B604" s="5572" t="s">
        <v>272</v>
      </c>
      <c r="C604" s="5336" t="s">
        <v>302</v>
      </c>
      <c r="D604" s="5336" t="s">
        <v>303</v>
      </c>
      <c r="E604" s="5336" t="s">
        <v>304</v>
      </c>
      <c r="F604" s="5341" t="s">
        <v>305</v>
      </c>
      <c r="G604" s="5336" t="s">
        <v>240</v>
      </c>
      <c r="H604" s="5336" t="s">
        <v>257</v>
      </c>
      <c r="I604" s="5618" t="s">
        <v>3150</v>
      </c>
      <c r="J604" s="5618" t="s">
        <v>3151</v>
      </c>
      <c r="K604" s="5618" t="s">
        <v>3146</v>
      </c>
      <c r="L604" s="5407">
        <v>0</v>
      </c>
      <c r="M604" s="5407">
        <v>1</v>
      </c>
      <c r="N604" s="5407">
        <v>1</v>
      </c>
      <c r="O604" s="5618" t="s">
        <v>3152</v>
      </c>
      <c r="P604" s="5618" t="s">
        <v>3153</v>
      </c>
      <c r="Q604" s="5620" t="s">
        <v>3240</v>
      </c>
      <c r="R604" s="1110"/>
      <c r="S604" s="1111"/>
      <c r="T604" s="1111"/>
      <c r="U604" s="1711"/>
      <c r="V604" s="1112"/>
      <c r="W604" s="1719"/>
      <c r="X604" s="1113"/>
      <c r="Y604" s="1113"/>
      <c r="Z604" s="1113"/>
      <c r="AA604" s="1114"/>
      <c r="AB604" s="1719"/>
      <c r="AC604" s="410"/>
      <c r="AD604" s="410"/>
      <c r="AE604" s="1308"/>
    </row>
    <row r="605" spans="1:31" ht="18" customHeight="1">
      <c r="A605" s="5629"/>
      <c r="B605" s="5573"/>
      <c r="C605" s="5337"/>
      <c r="D605" s="5337"/>
      <c r="E605" s="5337"/>
      <c r="F605" s="5337"/>
      <c r="G605" s="5337"/>
      <c r="H605" s="5337"/>
      <c r="I605" s="5337"/>
      <c r="J605" s="5337"/>
      <c r="K605" s="5337"/>
      <c r="L605" s="5337"/>
      <c r="M605" s="5337"/>
      <c r="N605" s="5337"/>
      <c r="O605" s="5337"/>
      <c r="P605" s="5337"/>
      <c r="Q605" s="5345"/>
      <c r="R605" s="1110"/>
      <c r="S605" s="1111"/>
      <c r="T605" s="1111"/>
      <c r="U605" s="1711"/>
      <c r="V605" s="1112"/>
      <c r="W605" s="1719"/>
      <c r="X605" s="1113"/>
      <c r="Y605" s="1113"/>
      <c r="Z605" s="1113"/>
      <c r="AA605" s="1114"/>
      <c r="AB605" s="1719"/>
      <c r="AC605" s="410"/>
      <c r="AD605" s="410"/>
      <c r="AE605" s="1308"/>
    </row>
    <row r="606" spans="1:31" ht="18" customHeight="1">
      <c r="A606" s="5629"/>
      <c r="B606" s="5573"/>
      <c r="C606" s="5337"/>
      <c r="D606" s="5337"/>
      <c r="E606" s="5337"/>
      <c r="F606" s="5337"/>
      <c r="G606" s="5337"/>
      <c r="H606" s="5337"/>
      <c r="I606" s="5337"/>
      <c r="J606" s="5337"/>
      <c r="K606" s="5337"/>
      <c r="L606" s="5337"/>
      <c r="M606" s="5337"/>
      <c r="N606" s="5337"/>
      <c r="O606" s="5337"/>
      <c r="P606" s="5337"/>
      <c r="Q606" s="5345"/>
      <c r="R606" s="1110"/>
      <c r="S606" s="1111"/>
      <c r="T606" s="1111"/>
      <c r="U606" s="1711"/>
      <c r="V606" s="1112"/>
      <c r="W606" s="1719"/>
      <c r="X606" s="1113"/>
      <c r="Y606" s="1113"/>
      <c r="Z606" s="1113"/>
      <c r="AA606" s="1114"/>
      <c r="AB606" s="1719"/>
      <c r="AC606" s="410"/>
      <c r="AD606" s="410"/>
      <c r="AE606" s="1308"/>
    </row>
    <row r="607" spans="1:31" ht="18" customHeight="1">
      <c r="A607" s="5629"/>
      <c r="B607" s="5573"/>
      <c r="C607" s="5337"/>
      <c r="D607" s="5337"/>
      <c r="E607" s="5337"/>
      <c r="F607" s="5337"/>
      <c r="G607" s="5337"/>
      <c r="H607" s="5337"/>
      <c r="I607" s="5337"/>
      <c r="J607" s="5337"/>
      <c r="K607" s="5337"/>
      <c r="L607" s="5337"/>
      <c r="M607" s="5337"/>
      <c r="N607" s="5337"/>
      <c r="O607" s="5337"/>
      <c r="P607" s="5337"/>
      <c r="Q607" s="5345"/>
      <c r="R607" s="1110"/>
      <c r="S607" s="1111"/>
      <c r="T607" s="1111"/>
      <c r="U607" s="1711"/>
      <c r="V607" s="1112"/>
      <c r="W607" s="1719"/>
      <c r="X607" s="1113"/>
      <c r="Y607" s="1113"/>
      <c r="Z607" s="1113"/>
      <c r="AA607" s="1114"/>
      <c r="AB607" s="1719"/>
      <c r="AC607" s="410"/>
      <c r="AD607" s="410"/>
      <c r="AE607" s="1308"/>
    </row>
    <row r="608" spans="1:31" ht="18" customHeight="1">
      <c r="A608" s="5629"/>
      <c r="B608" s="5574"/>
      <c r="C608" s="5338"/>
      <c r="D608" s="5338"/>
      <c r="E608" s="5338"/>
      <c r="F608" s="5338"/>
      <c r="G608" s="5338"/>
      <c r="H608" s="5338"/>
      <c r="I608" s="5338"/>
      <c r="J608" s="5338"/>
      <c r="K608" s="5338"/>
      <c r="L608" s="5338"/>
      <c r="M608" s="5338"/>
      <c r="N608" s="5338"/>
      <c r="O608" s="5338"/>
      <c r="P608" s="5338"/>
      <c r="Q608" s="5346"/>
      <c r="R608" s="1309"/>
      <c r="S608" s="1310"/>
      <c r="T608" s="1310"/>
      <c r="U608" s="277"/>
      <c r="V608" s="1311"/>
      <c r="W608" s="416"/>
      <c r="X608" s="1312"/>
      <c r="Y608" s="1312"/>
      <c r="Z608" s="1312"/>
      <c r="AA608" s="1313"/>
      <c r="AB608" s="416"/>
      <c r="AC608" s="278"/>
      <c r="AD608" s="278"/>
      <c r="AE608" s="1314"/>
    </row>
    <row r="609" spans="1:31" ht="18" customHeight="1">
      <c r="A609" s="5629"/>
      <c r="B609" s="5572" t="s">
        <v>272</v>
      </c>
      <c r="C609" s="5336" t="s">
        <v>302</v>
      </c>
      <c r="D609" s="5336" t="s">
        <v>274</v>
      </c>
      <c r="E609" s="5336" t="s">
        <v>885</v>
      </c>
      <c r="F609" s="5341" t="s">
        <v>305</v>
      </c>
      <c r="G609" s="5336" t="s">
        <v>262</v>
      </c>
      <c r="H609" s="5336" t="s">
        <v>241</v>
      </c>
      <c r="I609" s="5618" t="s">
        <v>3154</v>
      </c>
      <c r="J609" s="5618" t="s">
        <v>3155</v>
      </c>
      <c r="K609" s="5618" t="s">
        <v>3024</v>
      </c>
      <c r="L609" s="5619">
        <v>1</v>
      </c>
      <c r="M609" s="5619">
        <v>0</v>
      </c>
      <c r="N609" s="5619">
        <v>1</v>
      </c>
      <c r="O609" s="5618" t="s">
        <v>3241</v>
      </c>
      <c r="P609" s="5618" t="s">
        <v>3026</v>
      </c>
      <c r="Q609" s="5620" t="s">
        <v>3242</v>
      </c>
      <c r="R609" s="1237" t="s">
        <v>17</v>
      </c>
      <c r="S609" s="1292" t="s">
        <v>63</v>
      </c>
      <c r="T609" s="1352"/>
      <c r="U609" s="1353" t="s">
        <v>20</v>
      </c>
      <c r="V609" s="988"/>
      <c r="W609" s="178"/>
      <c r="X609" s="989"/>
      <c r="Y609" s="989"/>
      <c r="Z609" s="1113"/>
      <c r="AA609" s="1114">
        <f>$Z$610</f>
        <v>1344.0000000000002</v>
      </c>
      <c r="AB609" s="1719"/>
      <c r="AC609" s="410"/>
      <c r="AD609" s="410"/>
      <c r="AE609" s="1308"/>
    </row>
    <row r="610" spans="1:31" ht="18" customHeight="1">
      <c r="A610" s="5629"/>
      <c r="B610" s="5573"/>
      <c r="C610" s="5337"/>
      <c r="D610" s="5337"/>
      <c r="E610" s="5337"/>
      <c r="F610" s="5337"/>
      <c r="G610" s="5337"/>
      <c r="H610" s="5337"/>
      <c r="I610" s="5337"/>
      <c r="J610" s="5337"/>
      <c r="K610" s="5337"/>
      <c r="L610" s="5337"/>
      <c r="M610" s="5337"/>
      <c r="N610" s="5337"/>
      <c r="O610" s="5337"/>
      <c r="P610" s="5337"/>
      <c r="Q610" s="5345"/>
      <c r="R610" s="970"/>
      <c r="S610" s="169"/>
      <c r="T610" s="357">
        <v>452200061</v>
      </c>
      <c r="U610" s="1354" t="s">
        <v>2934</v>
      </c>
      <c r="V610" s="1201">
        <v>1</v>
      </c>
      <c r="W610" s="1201" t="s">
        <v>269</v>
      </c>
      <c r="X610" s="1199">
        <v>1200</v>
      </c>
      <c r="Y610" s="1199">
        <f>+V610*X610</f>
        <v>1200</v>
      </c>
      <c r="Z610" s="978">
        <f>+Y610*1.12</f>
        <v>1344.0000000000002</v>
      </c>
      <c r="AA610" s="1114"/>
      <c r="AB610" s="1719" t="s">
        <v>251</v>
      </c>
      <c r="AC610" s="410"/>
      <c r="AD610" s="410"/>
      <c r="AE610" s="1308"/>
    </row>
    <row r="611" spans="1:31" ht="18" customHeight="1">
      <c r="A611" s="5629"/>
      <c r="B611" s="5573"/>
      <c r="C611" s="5337"/>
      <c r="D611" s="5337"/>
      <c r="E611" s="5337"/>
      <c r="F611" s="5337"/>
      <c r="G611" s="5337"/>
      <c r="H611" s="5337"/>
      <c r="I611" s="5337"/>
      <c r="J611" s="5337"/>
      <c r="K611" s="5337"/>
      <c r="L611" s="5337"/>
      <c r="M611" s="5337"/>
      <c r="N611" s="5337"/>
      <c r="O611" s="5337"/>
      <c r="P611" s="5337"/>
      <c r="Q611" s="5345"/>
      <c r="R611" s="1110"/>
      <c r="S611" s="1111"/>
      <c r="T611" s="1111"/>
      <c r="U611" s="1711"/>
      <c r="V611" s="1112"/>
      <c r="W611" s="1719"/>
      <c r="X611" s="1113"/>
      <c r="Y611" s="1113"/>
      <c r="Z611" s="1113"/>
      <c r="AA611" s="1114"/>
      <c r="AB611" s="1719"/>
      <c r="AC611" s="410"/>
      <c r="AD611" s="410"/>
      <c r="AE611" s="1308"/>
    </row>
    <row r="612" spans="1:31" ht="18" customHeight="1">
      <c r="A612" s="5629"/>
      <c r="B612" s="5573"/>
      <c r="C612" s="5337"/>
      <c r="D612" s="5337"/>
      <c r="E612" s="5337"/>
      <c r="F612" s="5337"/>
      <c r="G612" s="5337"/>
      <c r="H612" s="5337"/>
      <c r="I612" s="5337"/>
      <c r="J612" s="5337"/>
      <c r="K612" s="5337"/>
      <c r="L612" s="5337"/>
      <c r="M612" s="5337"/>
      <c r="N612" s="5337"/>
      <c r="O612" s="5337"/>
      <c r="P612" s="5337"/>
      <c r="Q612" s="5345"/>
      <c r="R612" s="1110"/>
      <c r="S612" s="1111"/>
      <c r="T612" s="1111"/>
      <c r="U612" s="1711"/>
      <c r="V612" s="1112"/>
      <c r="W612" s="1719"/>
      <c r="X612" s="1113"/>
      <c r="Y612" s="1113"/>
      <c r="Z612" s="1113"/>
      <c r="AA612" s="1114"/>
      <c r="AB612" s="1719"/>
      <c r="AC612" s="410"/>
      <c r="AD612" s="410"/>
      <c r="AE612" s="1308"/>
    </row>
    <row r="613" spans="1:31" ht="61.5" customHeight="1">
      <c r="A613" s="5629"/>
      <c r="B613" s="5574"/>
      <c r="C613" s="5338"/>
      <c r="D613" s="5338"/>
      <c r="E613" s="5338"/>
      <c r="F613" s="5338"/>
      <c r="G613" s="5338"/>
      <c r="H613" s="5338"/>
      <c r="I613" s="5338"/>
      <c r="J613" s="5338"/>
      <c r="K613" s="5338"/>
      <c r="L613" s="5338"/>
      <c r="M613" s="5338"/>
      <c r="N613" s="5338"/>
      <c r="O613" s="5338"/>
      <c r="P613" s="5338"/>
      <c r="Q613" s="5346"/>
      <c r="R613" s="1309"/>
      <c r="S613" s="1310"/>
      <c r="T613" s="1310"/>
      <c r="U613" s="277"/>
      <c r="V613" s="1311"/>
      <c r="W613" s="416"/>
      <c r="X613" s="1312"/>
      <c r="Y613" s="1312"/>
      <c r="Z613" s="1312"/>
      <c r="AA613" s="1313"/>
      <c r="AB613" s="416"/>
      <c r="AC613" s="278"/>
      <c r="AD613" s="278"/>
      <c r="AE613" s="1314"/>
    </row>
    <row r="614" spans="1:31" ht="18" customHeight="1">
      <c r="A614" s="5629"/>
      <c r="B614" s="5627" t="s">
        <v>235</v>
      </c>
      <c r="C614" s="5347" t="s">
        <v>236</v>
      </c>
      <c r="D614" s="5347" t="s">
        <v>237</v>
      </c>
      <c r="E614" s="5347" t="s">
        <v>255</v>
      </c>
      <c r="F614" s="5353" t="s">
        <v>239</v>
      </c>
      <c r="G614" s="5336" t="s">
        <v>240</v>
      </c>
      <c r="H614" s="5336" t="s">
        <v>257</v>
      </c>
      <c r="I614" s="5618" t="s">
        <v>3158</v>
      </c>
      <c r="J614" s="5618" t="s">
        <v>3159</v>
      </c>
      <c r="K614" s="5618" t="s">
        <v>3160</v>
      </c>
      <c r="L614" s="5619">
        <v>1</v>
      </c>
      <c r="M614" s="5619">
        <v>2</v>
      </c>
      <c r="N614" s="5619">
        <v>2</v>
      </c>
      <c r="O614" s="5618" t="s">
        <v>3161</v>
      </c>
      <c r="P614" s="5618" t="s">
        <v>3162</v>
      </c>
      <c r="Q614" s="5620" t="s">
        <v>3240</v>
      </c>
      <c r="R614" s="1110"/>
      <c r="S614" s="1111"/>
      <c r="T614" s="1111"/>
      <c r="U614" s="1711"/>
      <c r="V614" s="1112"/>
      <c r="W614" s="1719"/>
      <c r="X614" s="1113"/>
      <c r="Y614" s="1113"/>
      <c r="Z614" s="1113"/>
      <c r="AA614" s="1114"/>
      <c r="AB614" s="1719"/>
      <c r="AC614" s="410"/>
      <c r="AD614" s="410"/>
      <c r="AE614" s="1308"/>
    </row>
    <row r="615" spans="1:31" ht="18" customHeight="1">
      <c r="A615" s="5629"/>
      <c r="B615" s="5573"/>
      <c r="C615" s="5337"/>
      <c r="D615" s="5337"/>
      <c r="E615" s="5337"/>
      <c r="F615" s="5337"/>
      <c r="G615" s="5337"/>
      <c r="H615" s="5337"/>
      <c r="I615" s="5337"/>
      <c r="J615" s="5337"/>
      <c r="K615" s="5337"/>
      <c r="L615" s="5337"/>
      <c r="M615" s="5337"/>
      <c r="N615" s="5337"/>
      <c r="O615" s="5337"/>
      <c r="P615" s="5337"/>
      <c r="Q615" s="5345"/>
      <c r="R615" s="1110"/>
      <c r="S615" s="1111"/>
      <c r="T615" s="1111"/>
      <c r="U615" s="1711"/>
      <c r="V615" s="1112"/>
      <c r="W615" s="1719"/>
      <c r="X615" s="1113"/>
      <c r="Y615" s="1113"/>
      <c r="Z615" s="1113"/>
      <c r="AA615" s="1114"/>
      <c r="AB615" s="1719"/>
      <c r="AC615" s="410"/>
      <c r="AD615" s="410"/>
      <c r="AE615" s="1308"/>
    </row>
    <row r="616" spans="1:31" ht="18" customHeight="1">
      <c r="A616" s="5629"/>
      <c r="B616" s="5573"/>
      <c r="C616" s="5337"/>
      <c r="D616" s="5337"/>
      <c r="E616" s="5337"/>
      <c r="F616" s="5337"/>
      <c r="G616" s="5337"/>
      <c r="H616" s="5337"/>
      <c r="I616" s="5337"/>
      <c r="J616" s="5337"/>
      <c r="K616" s="5337"/>
      <c r="L616" s="5337"/>
      <c r="M616" s="5337"/>
      <c r="N616" s="5337"/>
      <c r="O616" s="5337"/>
      <c r="P616" s="5337"/>
      <c r="Q616" s="5345"/>
      <c r="R616" s="1110"/>
      <c r="S616" s="1111"/>
      <c r="T616" s="1111"/>
      <c r="U616" s="1711"/>
      <c r="V616" s="1112"/>
      <c r="W616" s="1719"/>
      <c r="X616" s="1113"/>
      <c r="Y616" s="1113"/>
      <c r="Z616" s="1113"/>
      <c r="AA616" s="1114"/>
      <c r="AB616" s="1719"/>
      <c r="AC616" s="410"/>
      <c r="AD616" s="410"/>
      <c r="AE616" s="1308"/>
    </row>
    <row r="617" spans="1:31" ht="18" customHeight="1">
      <c r="A617" s="5629"/>
      <c r="B617" s="5573"/>
      <c r="C617" s="5337"/>
      <c r="D617" s="5337"/>
      <c r="E617" s="5337"/>
      <c r="F617" s="5337"/>
      <c r="G617" s="5337"/>
      <c r="H617" s="5337"/>
      <c r="I617" s="5337"/>
      <c r="J617" s="5337"/>
      <c r="K617" s="5337"/>
      <c r="L617" s="5337"/>
      <c r="M617" s="5337"/>
      <c r="N617" s="5337"/>
      <c r="O617" s="5337"/>
      <c r="P617" s="5337"/>
      <c r="Q617" s="5345"/>
      <c r="R617" s="1110"/>
      <c r="S617" s="1111"/>
      <c r="T617" s="1111"/>
      <c r="U617" s="1711"/>
      <c r="V617" s="1112"/>
      <c r="W617" s="1719"/>
      <c r="X617" s="1113"/>
      <c r="Y617" s="1113"/>
      <c r="Z617" s="1113"/>
      <c r="AA617" s="1114"/>
      <c r="AB617" s="1719"/>
      <c r="AC617" s="410"/>
      <c r="AD617" s="410"/>
      <c r="AE617" s="1308"/>
    </row>
    <row r="618" spans="1:31" ht="18" customHeight="1">
      <c r="A618" s="5629"/>
      <c r="B618" s="5574"/>
      <c r="C618" s="5338"/>
      <c r="D618" s="5338"/>
      <c r="E618" s="5338"/>
      <c r="F618" s="5338"/>
      <c r="G618" s="5338"/>
      <c r="H618" s="5338"/>
      <c r="I618" s="5337"/>
      <c r="J618" s="5337"/>
      <c r="K618" s="5337"/>
      <c r="L618" s="5337"/>
      <c r="M618" s="5337"/>
      <c r="N618" s="5337"/>
      <c r="O618" s="5337"/>
      <c r="P618" s="5337"/>
      <c r="Q618" s="5345"/>
      <c r="R618" s="1309"/>
      <c r="S618" s="1310"/>
      <c r="T618" s="1310"/>
      <c r="U618" s="277"/>
      <c r="V618" s="1311"/>
      <c r="W618" s="416"/>
      <c r="X618" s="1312"/>
      <c r="Y618" s="1312"/>
      <c r="Z618" s="1312"/>
      <c r="AA618" s="1313"/>
      <c r="AB618" s="416"/>
      <c r="AC618" s="278"/>
      <c r="AD618" s="278"/>
      <c r="AE618" s="1314"/>
    </row>
    <row r="619" spans="1:31" ht="18" customHeight="1">
      <c r="A619" s="5629"/>
      <c r="B619" s="5626" t="s">
        <v>272</v>
      </c>
      <c r="C619" s="5624" t="s">
        <v>302</v>
      </c>
      <c r="D619" s="5624" t="s">
        <v>303</v>
      </c>
      <c r="E619" s="5624" t="s">
        <v>304</v>
      </c>
      <c r="F619" s="5622" t="s">
        <v>305</v>
      </c>
      <c r="G619" s="5624" t="s">
        <v>240</v>
      </c>
      <c r="H619" s="5624" t="s">
        <v>257</v>
      </c>
      <c r="I619" s="5618" t="s">
        <v>3163</v>
      </c>
      <c r="J619" s="5618" t="s">
        <v>3164</v>
      </c>
      <c r="K619" s="5618" t="s">
        <v>3146</v>
      </c>
      <c r="L619" s="5619">
        <v>0</v>
      </c>
      <c r="M619" s="5619">
        <v>1</v>
      </c>
      <c r="N619" s="5619">
        <v>0</v>
      </c>
      <c r="O619" s="5618" t="s">
        <v>3165</v>
      </c>
      <c r="P619" s="5618" t="s">
        <v>3166</v>
      </c>
      <c r="Q619" s="5620" t="s">
        <v>3240</v>
      </c>
      <c r="R619" s="1110"/>
      <c r="S619" s="1111"/>
      <c r="T619" s="1111"/>
      <c r="U619" s="1711"/>
      <c r="V619" s="1112"/>
      <c r="W619" s="1719"/>
      <c r="X619" s="1113"/>
      <c r="Y619" s="1113"/>
      <c r="Z619" s="1113"/>
      <c r="AA619" s="1114"/>
      <c r="AB619" s="1719"/>
      <c r="AC619" s="410"/>
      <c r="AD619" s="410"/>
      <c r="AE619" s="1308"/>
    </row>
    <row r="620" spans="1:31" ht="18" customHeight="1">
      <c r="A620" s="5629"/>
      <c r="B620" s="5573"/>
      <c r="C620" s="5337"/>
      <c r="D620" s="5337"/>
      <c r="E620" s="5337"/>
      <c r="F620" s="5337"/>
      <c r="G620" s="5337"/>
      <c r="H620" s="5337"/>
      <c r="I620" s="5337"/>
      <c r="J620" s="5337"/>
      <c r="K620" s="5337"/>
      <c r="L620" s="5337"/>
      <c r="M620" s="5337"/>
      <c r="N620" s="5337"/>
      <c r="O620" s="5337"/>
      <c r="P620" s="5337"/>
      <c r="Q620" s="5345"/>
      <c r="R620" s="1110"/>
      <c r="S620" s="1111"/>
      <c r="T620" s="1111"/>
      <c r="U620" s="1711"/>
      <c r="V620" s="1112"/>
      <c r="W620" s="1719"/>
      <c r="X620" s="1113"/>
      <c r="Y620" s="1113"/>
      <c r="Z620" s="1113"/>
      <c r="AA620" s="1114"/>
      <c r="AB620" s="1719"/>
      <c r="AC620" s="410"/>
      <c r="AD620" s="410"/>
      <c r="AE620" s="1308"/>
    </row>
    <row r="621" spans="1:31" ht="18" customHeight="1">
      <c r="A621" s="5629"/>
      <c r="B621" s="5573"/>
      <c r="C621" s="5337"/>
      <c r="D621" s="5337"/>
      <c r="E621" s="5337"/>
      <c r="F621" s="5337"/>
      <c r="G621" s="5337"/>
      <c r="H621" s="5337"/>
      <c r="I621" s="5337"/>
      <c r="J621" s="5337"/>
      <c r="K621" s="5337"/>
      <c r="L621" s="5337"/>
      <c r="M621" s="5337"/>
      <c r="N621" s="5337"/>
      <c r="O621" s="5337"/>
      <c r="P621" s="5337"/>
      <c r="Q621" s="5345"/>
      <c r="R621" s="1110"/>
      <c r="S621" s="1111"/>
      <c r="T621" s="1111"/>
      <c r="U621" s="1711"/>
      <c r="V621" s="1112"/>
      <c r="W621" s="1719"/>
      <c r="X621" s="1113"/>
      <c r="Y621" s="1113"/>
      <c r="Z621" s="1113"/>
      <c r="AA621" s="1114"/>
      <c r="AB621" s="1719"/>
      <c r="AC621" s="410"/>
      <c r="AD621" s="410"/>
      <c r="AE621" s="1308"/>
    </row>
    <row r="622" spans="1:31" ht="18" customHeight="1">
      <c r="A622" s="5629"/>
      <c r="B622" s="5573"/>
      <c r="C622" s="5337"/>
      <c r="D622" s="5337"/>
      <c r="E622" s="5337"/>
      <c r="F622" s="5337"/>
      <c r="G622" s="5337"/>
      <c r="H622" s="5337"/>
      <c r="I622" s="5337"/>
      <c r="J622" s="5337"/>
      <c r="K622" s="5337"/>
      <c r="L622" s="5337"/>
      <c r="M622" s="5337"/>
      <c r="N622" s="5337"/>
      <c r="O622" s="5337"/>
      <c r="P622" s="5337"/>
      <c r="Q622" s="5345"/>
      <c r="R622" s="1110"/>
      <c r="S622" s="1111"/>
      <c r="T622" s="1111"/>
      <c r="U622" s="1711"/>
      <c r="V622" s="1112"/>
      <c r="W622" s="1719"/>
      <c r="X622" s="1113"/>
      <c r="Y622" s="1113"/>
      <c r="Z622" s="1113"/>
      <c r="AA622" s="1114"/>
      <c r="AB622" s="1719"/>
      <c r="AC622" s="410"/>
      <c r="AD622" s="410"/>
      <c r="AE622" s="1308"/>
    </row>
    <row r="623" spans="1:31" ht="18" customHeight="1">
      <c r="A623" s="5629"/>
      <c r="B623" s="5574"/>
      <c r="C623" s="5338"/>
      <c r="D623" s="5338"/>
      <c r="E623" s="5338"/>
      <c r="F623" s="5338"/>
      <c r="G623" s="5338"/>
      <c r="H623" s="5338"/>
      <c r="I623" s="5338"/>
      <c r="J623" s="5338"/>
      <c r="K623" s="5338"/>
      <c r="L623" s="5338"/>
      <c r="M623" s="5338"/>
      <c r="N623" s="5338"/>
      <c r="O623" s="5338"/>
      <c r="P623" s="5338"/>
      <c r="Q623" s="5346"/>
      <c r="R623" s="1309"/>
      <c r="S623" s="1310"/>
      <c r="T623" s="1310"/>
      <c r="U623" s="277"/>
      <c r="V623" s="1311"/>
      <c r="W623" s="416"/>
      <c r="X623" s="1312"/>
      <c r="Y623" s="1312"/>
      <c r="Z623" s="1312"/>
      <c r="AA623" s="1313"/>
      <c r="AB623" s="416"/>
      <c r="AC623" s="278"/>
      <c r="AD623" s="278"/>
      <c r="AE623" s="1314"/>
    </row>
    <row r="624" spans="1:31" ht="18" customHeight="1">
      <c r="A624" s="5629"/>
      <c r="B624" s="5626" t="s">
        <v>272</v>
      </c>
      <c r="C624" s="5624" t="s">
        <v>302</v>
      </c>
      <c r="D624" s="5624" t="s">
        <v>303</v>
      </c>
      <c r="E624" s="5624" t="s">
        <v>304</v>
      </c>
      <c r="F624" s="5622" t="s">
        <v>305</v>
      </c>
      <c r="G624" s="5624" t="s">
        <v>240</v>
      </c>
      <c r="H624" s="5624" t="s">
        <v>257</v>
      </c>
      <c r="I624" s="5618" t="s">
        <v>3167</v>
      </c>
      <c r="J624" s="5618" t="s">
        <v>3168</v>
      </c>
      <c r="K624" s="5618" t="s">
        <v>3006</v>
      </c>
      <c r="L624" s="5619">
        <v>2</v>
      </c>
      <c r="M624" s="5619">
        <v>0</v>
      </c>
      <c r="N624" s="5619">
        <v>2</v>
      </c>
      <c r="O624" s="5618" t="s">
        <v>3169</v>
      </c>
      <c r="P624" s="5618" t="s">
        <v>3170</v>
      </c>
      <c r="Q624" s="5620" t="s">
        <v>3240</v>
      </c>
      <c r="R624" s="1110"/>
      <c r="S624" s="1111"/>
      <c r="T624" s="1111"/>
      <c r="U624" s="1711"/>
      <c r="V624" s="1112"/>
      <c r="W624" s="1719"/>
      <c r="X624" s="1113"/>
      <c r="Y624" s="1113"/>
      <c r="Z624" s="1113"/>
      <c r="AA624" s="1114"/>
      <c r="AB624" s="1719"/>
      <c r="AC624" s="410"/>
      <c r="AD624" s="410"/>
      <c r="AE624" s="1308"/>
    </row>
    <row r="625" spans="1:31" ht="18" customHeight="1">
      <c r="A625" s="5629"/>
      <c r="B625" s="5573"/>
      <c r="C625" s="5337"/>
      <c r="D625" s="5337"/>
      <c r="E625" s="5337"/>
      <c r="F625" s="5337"/>
      <c r="G625" s="5337"/>
      <c r="H625" s="5337"/>
      <c r="I625" s="5337"/>
      <c r="J625" s="5337"/>
      <c r="K625" s="5337"/>
      <c r="L625" s="5337"/>
      <c r="M625" s="5337"/>
      <c r="N625" s="5337"/>
      <c r="O625" s="5337"/>
      <c r="P625" s="5337"/>
      <c r="Q625" s="5345"/>
      <c r="R625" s="1110"/>
      <c r="S625" s="1111"/>
      <c r="T625" s="1111"/>
      <c r="U625" s="1711"/>
      <c r="V625" s="1112"/>
      <c r="W625" s="1719"/>
      <c r="X625" s="1113"/>
      <c r="Y625" s="1113"/>
      <c r="Z625" s="1113"/>
      <c r="AA625" s="1114"/>
      <c r="AB625" s="1719"/>
      <c r="AC625" s="410"/>
      <c r="AD625" s="410"/>
      <c r="AE625" s="1308"/>
    </row>
    <row r="626" spans="1:31" ht="18" customHeight="1">
      <c r="A626" s="5629"/>
      <c r="B626" s="5573"/>
      <c r="C626" s="5337"/>
      <c r="D626" s="5337"/>
      <c r="E626" s="5337"/>
      <c r="F626" s="5337"/>
      <c r="G626" s="5337"/>
      <c r="H626" s="5337"/>
      <c r="I626" s="5337"/>
      <c r="J626" s="5337"/>
      <c r="K626" s="5337"/>
      <c r="L626" s="5337"/>
      <c r="M626" s="5337"/>
      <c r="N626" s="5337"/>
      <c r="O626" s="5337"/>
      <c r="P626" s="5337"/>
      <c r="Q626" s="5345"/>
      <c r="R626" s="1110"/>
      <c r="S626" s="1111"/>
      <c r="T626" s="1111"/>
      <c r="U626" s="1711"/>
      <c r="V626" s="1112"/>
      <c r="W626" s="1719"/>
      <c r="X626" s="1113"/>
      <c r="Y626" s="1113"/>
      <c r="Z626" s="1113"/>
      <c r="AA626" s="1114"/>
      <c r="AB626" s="1719"/>
      <c r="AC626" s="410"/>
      <c r="AD626" s="410"/>
      <c r="AE626" s="1308"/>
    </row>
    <row r="627" spans="1:31" ht="18" customHeight="1">
      <c r="A627" s="5629"/>
      <c r="B627" s="5573"/>
      <c r="C627" s="5337"/>
      <c r="D627" s="5337"/>
      <c r="E627" s="5337"/>
      <c r="F627" s="5337"/>
      <c r="G627" s="5337"/>
      <c r="H627" s="5337"/>
      <c r="I627" s="5337"/>
      <c r="J627" s="5337"/>
      <c r="K627" s="5337"/>
      <c r="L627" s="5337"/>
      <c r="M627" s="5337"/>
      <c r="N627" s="5337"/>
      <c r="O627" s="5337"/>
      <c r="P627" s="5337"/>
      <c r="Q627" s="5345"/>
      <c r="R627" s="1110"/>
      <c r="S627" s="1111"/>
      <c r="T627" s="1111"/>
      <c r="U627" s="1711"/>
      <c r="V627" s="1112"/>
      <c r="W627" s="1719"/>
      <c r="X627" s="1113"/>
      <c r="Y627" s="1113"/>
      <c r="Z627" s="1113"/>
      <c r="AA627" s="1114"/>
      <c r="AB627" s="1719"/>
      <c r="AC627" s="410"/>
      <c r="AD627" s="410"/>
      <c r="AE627" s="1308"/>
    </row>
    <row r="628" spans="1:31" ht="18" customHeight="1">
      <c r="A628" s="5629"/>
      <c r="B628" s="5574"/>
      <c r="C628" s="5338"/>
      <c r="D628" s="5338"/>
      <c r="E628" s="5338"/>
      <c r="F628" s="5338"/>
      <c r="G628" s="5338"/>
      <c r="H628" s="5338"/>
      <c r="I628" s="5337"/>
      <c r="J628" s="5337"/>
      <c r="K628" s="5337"/>
      <c r="L628" s="5337"/>
      <c r="M628" s="5337"/>
      <c r="N628" s="5337"/>
      <c r="O628" s="5337"/>
      <c r="P628" s="5337"/>
      <c r="Q628" s="5345"/>
      <c r="R628" s="1309"/>
      <c r="S628" s="1310"/>
      <c r="T628" s="1310"/>
      <c r="U628" s="277"/>
      <c r="V628" s="1311"/>
      <c r="W628" s="416"/>
      <c r="X628" s="1312"/>
      <c r="Y628" s="1312"/>
      <c r="Z628" s="1312"/>
      <c r="AA628" s="1313"/>
      <c r="AB628" s="416"/>
      <c r="AC628" s="278"/>
      <c r="AD628" s="278"/>
      <c r="AE628" s="1314"/>
    </row>
    <row r="629" spans="1:31" ht="18" customHeight="1">
      <c r="A629" s="5629"/>
      <c r="B629" s="5626" t="s">
        <v>272</v>
      </c>
      <c r="C629" s="5624" t="s">
        <v>302</v>
      </c>
      <c r="D629" s="5624" t="s">
        <v>303</v>
      </c>
      <c r="E629" s="5624" t="s">
        <v>304</v>
      </c>
      <c r="F629" s="5622" t="s">
        <v>305</v>
      </c>
      <c r="G629" s="5624" t="s">
        <v>240</v>
      </c>
      <c r="H629" s="5624" t="s">
        <v>257</v>
      </c>
      <c r="I629" s="5618" t="s">
        <v>3171</v>
      </c>
      <c r="J629" s="5618" t="s">
        <v>3172</v>
      </c>
      <c r="K629" s="5618" t="s">
        <v>3173</v>
      </c>
      <c r="L629" s="5619">
        <v>4</v>
      </c>
      <c r="M629" s="5619">
        <v>4</v>
      </c>
      <c r="N629" s="5619">
        <v>4</v>
      </c>
      <c r="O629" s="5618" t="s">
        <v>3174</v>
      </c>
      <c r="P629" s="5618" t="s">
        <v>3175</v>
      </c>
      <c r="Q629" s="5620" t="s">
        <v>3243</v>
      </c>
      <c r="R629" s="1110"/>
      <c r="S629" s="1111"/>
      <c r="T629" s="1111"/>
      <c r="U629" s="1711"/>
      <c r="V629" s="1112"/>
      <c r="W629" s="1719"/>
      <c r="X629" s="1113"/>
      <c r="Y629" s="1113"/>
      <c r="Z629" s="1113"/>
      <c r="AA629" s="1114"/>
      <c r="AB629" s="1719"/>
      <c r="AC629" s="410"/>
      <c r="AD629" s="410"/>
      <c r="AE629" s="1308"/>
    </row>
    <row r="630" spans="1:31" ht="18" customHeight="1">
      <c r="A630" s="5629"/>
      <c r="B630" s="5573"/>
      <c r="C630" s="5337"/>
      <c r="D630" s="5337"/>
      <c r="E630" s="5337"/>
      <c r="F630" s="5337"/>
      <c r="G630" s="5337"/>
      <c r="H630" s="5337"/>
      <c r="I630" s="5337"/>
      <c r="J630" s="5337"/>
      <c r="K630" s="5337"/>
      <c r="L630" s="5337"/>
      <c r="M630" s="5337"/>
      <c r="N630" s="5337"/>
      <c r="O630" s="5337"/>
      <c r="P630" s="5337"/>
      <c r="Q630" s="5345"/>
      <c r="R630" s="1110"/>
      <c r="S630" s="1111"/>
      <c r="T630" s="1111"/>
      <c r="U630" s="1711"/>
      <c r="V630" s="1112"/>
      <c r="W630" s="1719"/>
      <c r="X630" s="1113"/>
      <c r="Y630" s="1113"/>
      <c r="Z630" s="1113"/>
      <c r="AA630" s="1114"/>
      <c r="AB630" s="1719"/>
      <c r="AC630" s="410"/>
      <c r="AD630" s="410"/>
      <c r="AE630" s="1308"/>
    </row>
    <row r="631" spans="1:31" ht="18" customHeight="1">
      <c r="A631" s="5629"/>
      <c r="B631" s="5573"/>
      <c r="C631" s="5337"/>
      <c r="D631" s="5337"/>
      <c r="E631" s="5337"/>
      <c r="F631" s="5337"/>
      <c r="G631" s="5337"/>
      <c r="H631" s="5337"/>
      <c r="I631" s="5337"/>
      <c r="J631" s="5337"/>
      <c r="K631" s="5337"/>
      <c r="L631" s="5337"/>
      <c r="M631" s="5337"/>
      <c r="N631" s="5337"/>
      <c r="O631" s="5337"/>
      <c r="P631" s="5337"/>
      <c r="Q631" s="5345"/>
      <c r="R631" s="1110"/>
      <c r="S631" s="1111"/>
      <c r="T631" s="1111"/>
      <c r="U631" s="1711"/>
      <c r="V631" s="1112"/>
      <c r="W631" s="1719"/>
      <c r="X631" s="1113"/>
      <c r="Y631" s="1113"/>
      <c r="Z631" s="1113"/>
      <c r="AA631" s="1114"/>
      <c r="AB631" s="1719"/>
      <c r="AC631" s="410"/>
      <c r="AD631" s="410"/>
      <c r="AE631" s="1308"/>
    </row>
    <row r="632" spans="1:31" ht="18" customHeight="1">
      <c r="A632" s="5629"/>
      <c r="B632" s="5573"/>
      <c r="C632" s="5337"/>
      <c r="D632" s="5337"/>
      <c r="E632" s="5337"/>
      <c r="F632" s="5337"/>
      <c r="G632" s="5337"/>
      <c r="H632" s="5337"/>
      <c r="I632" s="5337"/>
      <c r="J632" s="5337"/>
      <c r="K632" s="5337"/>
      <c r="L632" s="5337"/>
      <c r="M632" s="5337"/>
      <c r="N632" s="5337"/>
      <c r="O632" s="5337"/>
      <c r="P632" s="5337"/>
      <c r="Q632" s="5345"/>
      <c r="R632" s="1110"/>
      <c r="S632" s="1111"/>
      <c r="T632" s="1111"/>
      <c r="U632" s="1711"/>
      <c r="V632" s="1112"/>
      <c r="W632" s="1719"/>
      <c r="X632" s="1113"/>
      <c r="Y632" s="1113"/>
      <c r="Z632" s="1113"/>
      <c r="AA632" s="1114"/>
      <c r="AB632" s="1719"/>
      <c r="AC632" s="410"/>
      <c r="AD632" s="410"/>
      <c r="AE632" s="1308"/>
    </row>
    <row r="633" spans="1:31" ht="18" customHeight="1">
      <c r="A633" s="5629"/>
      <c r="B633" s="5574"/>
      <c r="C633" s="5338"/>
      <c r="D633" s="5338"/>
      <c r="E633" s="5338"/>
      <c r="F633" s="5338"/>
      <c r="G633" s="5338"/>
      <c r="H633" s="5338"/>
      <c r="I633" s="5338"/>
      <c r="J633" s="5338"/>
      <c r="K633" s="5338"/>
      <c r="L633" s="5338"/>
      <c r="M633" s="5338"/>
      <c r="N633" s="5338"/>
      <c r="O633" s="5338"/>
      <c r="P633" s="5338"/>
      <c r="Q633" s="5346"/>
      <c r="R633" s="1309"/>
      <c r="S633" s="1310"/>
      <c r="T633" s="1310"/>
      <c r="U633" s="277"/>
      <c r="V633" s="1311"/>
      <c r="W633" s="416"/>
      <c r="X633" s="1312"/>
      <c r="Y633" s="1312"/>
      <c r="Z633" s="1312"/>
      <c r="AA633" s="1313"/>
      <c r="AB633" s="416"/>
      <c r="AC633" s="278"/>
      <c r="AD633" s="278"/>
      <c r="AE633" s="1314"/>
    </row>
    <row r="634" spans="1:31" ht="18" customHeight="1">
      <c r="A634" s="5629"/>
      <c r="B634" s="5626" t="s">
        <v>272</v>
      </c>
      <c r="C634" s="5624" t="s">
        <v>302</v>
      </c>
      <c r="D634" s="5624" t="s">
        <v>303</v>
      </c>
      <c r="E634" s="5624" t="s">
        <v>304</v>
      </c>
      <c r="F634" s="5622" t="s">
        <v>305</v>
      </c>
      <c r="G634" s="5624" t="s">
        <v>240</v>
      </c>
      <c r="H634" s="5624" t="s">
        <v>257</v>
      </c>
      <c r="I634" s="5618" t="s">
        <v>3177</v>
      </c>
      <c r="J634" s="5618" t="s">
        <v>3178</v>
      </c>
      <c r="K634" s="5618" t="s">
        <v>3146</v>
      </c>
      <c r="L634" s="5619">
        <v>1</v>
      </c>
      <c r="M634" s="5619">
        <v>1</v>
      </c>
      <c r="N634" s="5619">
        <v>1</v>
      </c>
      <c r="O634" s="5618" t="s">
        <v>3179</v>
      </c>
      <c r="P634" s="5618" t="s">
        <v>3180</v>
      </c>
      <c r="Q634" s="5620" t="s">
        <v>3243</v>
      </c>
      <c r="R634" s="1110"/>
      <c r="S634" s="1111"/>
      <c r="T634" s="1111"/>
      <c r="U634" s="1711"/>
      <c r="V634" s="1112"/>
      <c r="W634" s="1719"/>
      <c r="X634" s="1113"/>
      <c r="Y634" s="1113"/>
      <c r="Z634" s="1113"/>
      <c r="AA634" s="1114"/>
      <c r="AB634" s="1719"/>
      <c r="AC634" s="410"/>
      <c r="AD634" s="410"/>
      <c r="AE634" s="1308"/>
    </row>
    <row r="635" spans="1:31" ht="18" customHeight="1">
      <c r="A635" s="5629"/>
      <c r="B635" s="5573"/>
      <c r="C635" s="5337"/>
      <c r="D635" s="5337"/>
      <c r="E635" s="5337"/>
      <c r="F635" s="5337"/>
      <c r="G635" s="5337"/>
      <c r="H635" s="5337"/>
      <c r="I635" s="5337"/>
      <c r="J635" s="5337"/>
      <c r="K635" s="5337"/>
      <c r="L635" s="5337"/>
      <c r="M635" s="5337"/>
      <c r="N635" s="5337"/>
      <c r="O635" s="5337"/>
      <c r="P635" s="5337"/>
      <c r="Q635" s="5345"/>
      <c r="R635" s="1110"/>
      <c r="S635" s="1111"/>
      <c r="T635" s="1111"/>
      <c r="U635" s="1711"/>
      <c r="V635" s="1112"/>
      <c r="W635" s="1719"/>
      <c r="X635" s="1113"/>
      <c r="Y635" s="1113"/>
      <c r="Z635" s="1113"/>
      <c r="AA635" s="1114"/>
      <c r="AB635" s="1719"/>
      <c r="AC635" s="410"/>
      <c r="AD635" s="410"/>
      <c r="AE635" s="1308"/>
    </row>
    <row r="636" spans="1:31" ht="18" customHeight="1">
      <c r="A636" s="5629"/>
      <c r="B636" s="5573"/>
      <c r="C636" s="5337"/>
      <c r="D636" s="5337"/>
      <c r="E636" s="5337"/>
      <c r="F636" s="5337"/>
      <c r="G636" s="5337"/>
      <c r="H636" s="5337"/>
      <c r="I636" s="5337"/>
      <c r="J636" s="5337"/>
      <c r="K636" s="5337"/>
      <c r="L636" s="5337"/>
      <c r="M636" s="5337"/>
      <c r="N636" s="5337"/>
      <c r="O636" s="5337"/>
      <c r="P636" s="5337"/>
      <c r="Q636" s="5345"/>
      <c r="R636" s="1110"/>
      <c r="S636" s="1111"/>
      <c r="T636" s="1111"/>
      <c r="U636" s="1711"/>
      <c r="V636" s="1112"/>
      <c r="W636" s="1719"/>
      <c r="X636" s="1113"/>
      <c r="Y636" s="1113"/>
      <c r="Z636" s="1113"/>
      <c r="AA636" s="1114"/>
      <c r="AB636" s="1719"/>
      <c r="AC636" s="410"/>
      <c r="AD636" s="410"/>
      <c r="AE636" s="1308"/>
    </row>
    <row r="637" spans="1:31" ht="18" customHeight="1">
      <c r="A637" s="5629"/>
      <c r="B637" s="5573"/>
      <c r="C637" s="5337"/>
      <c r="D637" s="5337"/>
      <c r="E637" s="5337"/>
      <c r="F637" s="5337"/>
      <c r="G637" s="5337"/>
      <c r="H637" s="5337"/>
      <c r="I637" s="5337"/>
      <c r="J637" s="5337"/>
      <c r="K637" s="5337"/>
      <c r="L637" s="5337"/>
      <c r="M637" s="5337"/>
      <c r="N637" s="5337"/>
      <c r="O637" s="5337"/>
      <c r="P637" s="5337"/>
      <c r="Q637" s="5345"/>
      <c r="R637" s="1110"/>
      <c r="S637" s="1111"/>
      <c r="T637" s="1111"/>
      <c r="U637" s="1711"/>
      <c r="V637" s="1112"/>
      <c r="W637" s="1719"/>
      <c r="X637" s="1113"/>
      <c r="Y637" s="1113"/>
      <c r="Z637" s="1113"/>
      <c r="AA637" s="1114"/>
      <c r="AB637" s="1719"/>
      <c r="AC637" s="410"/>
      <c r="AD637" s="410"/>
      <c r="AE637" s="1308"/>
    </row>
    <row r="638" spans="1:31" ht="18" customHeight="1">
      <c r="A638" s="5629"/>
      <c r="B638" s="5574"/>
      <c r="C638" s="5338"/>
      <c r="D638" s="5338"/>
      <c r="E638" s="5338"/>
      <c r="F638" s="5338"/>
      <c r="G638" s="5338"/>
      <c r="H638" s="5338"/>
      <c r="I638" s="5338"/>
      <c r="J638" s="5338"/>
      <c r="K638" s="5338"/>
      <c r="L638" s="5338"/>
      <c r="M638" s="5338"/>
      <c r="N638" s="5338"/>
      <c r="O638" s="5338"/>
      <c r="P638" s="5338"/>
      <c r="Q638" s="5346"/>
      <c r="R638" s="1309"/>
      <c r="S638" s="1310"/>
      <c r="T638" s="1310"/>
      <c r="U638" s="277"/>
      <c r="V638" s="1311"/>
      <c r="W638" s="416"/>
      <c r="X638" s="1312"/>
      <c r="Y638" s="1312"/>
      <c r="Z638" s="1312"/>
      <c r="AA638" s="1313"/>
      <c r="AB638" s="416"/>
      <c r="AC638" s="278"/>
      <c r="AD638" s="278"/>
      <c r="AE638" s="1314"/>
    </row>
    <row r="639" spans="1:31" ht="18" customHeight="1">
      <c r="A639" s="5629"/>
      <c r="B639" s="5626" t="s">
        <v>272</v>
      </c>
      <c r="C639" s="5624" t="s">
        <v>302</v>
      </c>
      <c r="D639" s="5624" t="s">
        <v>303</v>
      </c>
      <c r="E639" s="5624" t="s">
        <v>304</v>
      </c>
      <c r="F639" s="5622" t="s">
        <v>305</v>
      </c>
      <c r="G639" s="5624" t="s">
        <v>240</v>
      </c>
      <c r="H639" s="5624" t="s">
        <v>257</v>
      </c>
      <c r="I639" s="5618" t="s">
        <v>3181</v>
      </c>
      <c r="J639" s="5618" t="s">
        <v>3182</v>
      </c>
      <c r="K639" s="5618" t="s">
        <v>3173</v>
      </c>
      <c r="L639" s="5619">
        <v>0</v>
      </c>
      <c r="M639" s="5619">
        <v>1</v>
      </c>
      <c r="N639" s="5619">
        <v>1</v>
      </c>
      <c r="O639" s="5618" t="s">
        <v>3183</v>
      </c>
      <c r="P639" s="5618" t="s">
        <v>3184</v>
      </c>
      <c r="Q639" s="5620" t="s">
        <v>3243</v>
      </c>
      <c r="R639" s="1110"/>
      <c r="S639" s="1111"/>
      <c r="T639" s="1111"/>
      <c r="U639" s="1711"/>
      <c r="V639" s="1112"/>
      <c r="W639" s="1719"/>
      <c r="X639" s="1113"/>
      <c r="Y639" s="1113"/>
      <c r="Z639" s="1113"/>
      <c r="AA639" s="1114"/>
      <c r="AB639" s="1719"/>
      <c r="AC639" s="410"/>
      <c r="AD639" s="410"/>
      <c r="AE639" s="1308"/>
    </row>
    <row r="640" spans="1:31" ht="18" customHeight="1">
      <c r="A640" s="5629"/>
      <c r="B640" s="5573"/>
      <c r="C640" s="5337"/>
      <c r="D640" s="5337"/>
      <c r="E640" s="5337"/>
      <c r="F640" s="5337"/>
      <c r="G640" s="5337"/>
      <c r="H640" s="5337"/>
      <c r="I640" s="5337"/>
      <c r="J640" s="5337"/>
      <c r="K640" s="5337"/>
      <c r="L640" s="5337"/>
      <c r="M640" s="5337"/>
      <c r="N640" s="5337"/>
      <c r="O640" s="5337"/>
      <c r="P640" s="5337"/>
      <c r="Q640" s="5345"/>
      <c r="R640" s="1110"/>
      <c r="S640" s="1111"/>
      <c r="T640" s="1111"/>
      <c r="U640" s="1711"/>
      <c r="V640" s="1112"/>
      <c r="W640" s="1719"/>
      <c r="X640" s="1113"/>
      <c r="Y640" s="1113"/>
      <c r="Z640" s="1113"/>
      <c r="AA640" s="1114"/>
      <c r="AB640" s="1719"/>
      <c r="AC640" s="410"/>
      <c r="AD640" s="410"/>
      <c r="AE640" s="1308"/>
    </row>
    <row r="641" spans="1:31" ht="18" customHeight="1">
      <c r="A641" s="5629"/>
      <c r="B641" s="5573"/>
      <c r="C641" s="5337"/>
      <c r="D641" s="5337"/>
      <c r="E641" s="5337"/>
      <c r="F641" s="5337"/>
      <c r="G641" s="5337"/>
      <c r="H641" s="5337"/>
      <c r="I641" s="5337"/>
      <c r="J641" s="5337"/>
      <c r="K641" s="5337"/>
      <c r="L641" s="5337"/>
      <c r="M641" s="5337"/>
      <c r="N641" s="5337"/>
      <c r="O641" s="5337"/>
      <c r="P641" s="5337"/>
      <c r="Q641" s="5345"/>
      <c r="R641" s="1110"/>
      <c r="S641" s="1111"/>
      <c r="T641" s="1111"/>
      <c r="U641" s="1711"/>
      <c r="V641" s="1112"/>
      <c r="W641" s="1719"/>
      <c r="X641" s="1113"/>
      <c r="Y641" s="1113"/>
      <c r="Z641" s="1113"/>
      <c r="AA641" s="1114"/>
      <c r="AB641" s="1719"/>
      <c r="AC641" s="410"/>
      <c r="AD641" s="410"/>
      <c r="AE641" s="1308"/>
    </row>
    <row r="642" spans="1:31" ht="18" customHeight="1">
      <c r="A642" s="5629"/>
      <c r="B642" s="5573"/>
      <c r="C642" s="5337"/>
      <c r="D642" s="5337"/>
      <c r="E642" s="5337"/>
      <c r="F642" s="5337"/>
      <c r="G642" s="5337"/>
      <c r="H642" s="5337"/>
      <c r="I642" s="5337"/>
      <c r="J642" s="5337"/>
      <c r="K642" s="5337"/>
      <c r="L642" s="5337"/>
      <c r="M642" s="5337"/>
      <c r="N642" s="5337"/>
      <c r="O642" s="5337"/>
      <c r="P642" s="5337"/>
      <c r="Q642" s="5345"/>
      <c r="R642" s="1110"/>
      <c r="S642" s="1111"/>
      <c r="T642" s="1111"/>
      <c r="U642" s="1711"/>
      <c r="V642" s="1112"/>
      <c r="W642" s="1719"/>
      <c r="X642" s="1113"/>
      <c r="Y642" s="1113"/>
      <c r="Z642" s="1113"/>
      <c r="AA642" s="1114"/>
      <c r="AB642" s="1719"/>
      <c r="AC642" s="410"/>
      <c r="AD642" s="410"/>
      <c r="AE642" s="1308"/>
    </row>
    <row r="643" spans="1:31" ht="18" customHeight="1">
      <c r="A643" s="5629"/>
      <c r="B643" s="5574"/>
      <c r="C643" s="5338"/>
      <c r="D643" s="5338"/>
      <c r="E643" s="5338"/>
      <c r="F643" s="5338"/>
      <c r="G643" s="5338"/>
      <c r="H643" s="5338"/>
      <c r="I643" s="5338"/>
      <c r="J643" s="5338"/>
      <c r="K643" s="5338"/>
      <c r="L643" s="5338"/>
      <c r="M643" s="5338"/>
      <c r="N643" s="5338"/>
      <c r="O643" s="5338"/>
      <c r="P643" s="5338"/>
      <c r="Q643" s="5346"/>
      <c r="R643" s="1309"/>
      <c r="S643" s="1310"/>
      <c r="T643" s="1310"/>
      <c r="U643" s="277"/>
      <c r="V643" s="1311"/>
      <c r="W643" s="416"/>
      <c r="X643" s="1312"/>
      <c r="Y643" s="1312"/>
      <c r="Z643" s="1312"/>
      <c r="AA643" s="1313"/>
      <c r="AB643" s="416"/>
      <c r="AC643" s="278"/>
      <c r="AD643" s="278"/>
      <c r="AE643" s="1314"/>
    </row>
    <row r="644" spans="1:31" ht="18" customHeight="1">
      <c r="A644" s="5629"/>
      <c r="B644" s="5627" t="s">
        <v>235</v>
      </c>
      <c r="C644" s="5347" t="s">
        <v>236</v>
      </c>
      <c r="D644" s="5347" t="s">
        <v>237</v>
      </c>
      <c r="E644" s="5347" t="s">
        <v>255</v>
      </c>
      <c r="F644" s="5353" t="s">
        <v>239</v>
      </c>
      <c r="G644" s="5336" t="s">
        <v>240</v>
      </c>
      <c r="H644" s="5336" t="s">
        <v>257</v>
      </c>
      <c r="I644" s="5618" t="s">
        <v>3185</v>
      </c>
      <c r="J644" s="5618" t="s">
        <v>3186</v>
      </c>
      <c r="K644" s="5618" t="s">
        <v>3187</v>
      </c>
      <c r="L644" s="5619">
        <v>1</v>
      </c>
      <c r="M644" s="5619">
        <v>1</v>
      </c>
      <c r="N644" s="5619">
        <v>1</v>
      </c>
      <c r="O644" s="5618" t="s">
        <v>3188</v>
      </c>
      <c r="P644" s="5618" t="s">
        <v>3189</v>
      </c>
      <c r="Q644" s="5620" t="s">
        <v>3240</v>
      </c>
      <c r="R644" s="1110"/>
      <c r="S644" s="1111"/>
      <c r="T644" s="1111"/>
      <c r="U644" s="1711"/>
      <c r="V644" s="1112"/>
      <c r="W644" s="1719"/>
      <c r="X644" s="1113"/>
      <c r="Y644" s="1113"/>
      <c r="Z644" s="1113"/>
      <c r="AA644" s="1114"/>
      <c r="AB644" s="1719"/>
      <c r="AC644" s="410"/>
      <c r="AD644" s="410"/>
      <c r="AE644" s="1308"/>
    </row>
    <row r="645" spans="1:31" ht="18" customHeight="1">
      <c r="A645" s="5629"/>
      <c r="B645" s="5573"/>
      <c r="C645" s="5337"/>
      <c r="D645" s="5337"/>
      <c r="E645" s="5337"/>
      <c r="F645" s="5337"/>
      <c r="G645" s="5337"/>
      <c r="H645" s="5337"/>
      <c r="I645" s="5337"/>
      <c r="J645" s="5337"/>
      <c r="K645" s="5337"/>
      <c r="L645" s="5337"/>
      <c r="M645" s="5337"/>
      <c r="N645" s="5337"/>
      <c r="O645" s="5337"/>
      <c r="P645" s="5337"/>
      <c r="Q645" s="5345"/>
      <c r="R645" s="1110"/>
      <c r="S645" s="1111"/>
      <c r="T645" s="1111"/>
      <c r="U645" s="1711"/>
      <c r="V645" s="1112"/>
      <c r="W645" s="1719"/>
      <c r="X645" s="1113"/>
      <c r="Y645" s="1113"/>
      <c r="Z645" s="1113"/>
      <c r="AA645" s="1114"/>
      <c r="AB645" s="1719"/>
      <c r="AC645" s="410"/>
      <c r="AD645" s="410"/>
      <c r="AE645" s="1308"/>
    </row>
    <row r="646" spans="1:31" ht="18" customHeight="1">
      <c r="A646" s="5629"/>
      <c r="B646" s="5573"/>
      <c r="C646" s="5337"/>
      <c r="D646" s="5337"/>
      <c r="E646" s="5337"/>
      <c r="F646" s="5337"/>
      <c r="G646" s="5337"/>
      <c r="H646" s="5337"/>
      <c r="I646" s="5337"/>
      <c r="J646" s="5337"/>
      <c r="K646" s="5337"/>
      <c r="L646" s="5337"/>
      <c r="M646" s="5337"/>
      <c r="N646" s="5337"/>
      <c r="O646" s="5337"/>
      <c r="P646" s="5337"/>
      <c r="Q646" s="5345"/>
      <c r="R646" s="1110"/>
      <c r="S646" s="1111"/>
      <c r="T646" s="1111"/>
      <c r="U646" s="1711"/>
      <c r="V646" s="1112"/>
      <c r="W646" s="1719"/>
      <c r="X646" s="1113"/>
      <c r="Y646" s="1113"/>
      <c r="Z646" s="1113"/>
      <c r="AA646" s="1114"/>
      <c r="AB646" s="1719"/>
      <c r="AC646" s="410"/>
      <c r="AD646" s="410"/>
      <c r="AE646" s="1308"/>
    </row>
    <row r="647" spans="1:31" ht="18" customHeight="1">
      <c r="A647" s="5629"/>
      <c r="B647" s="5573"/>
      <c r="C647" s="5337"/>
      <c r="D647" s="5337"/>
      <c r="E647" s="5337"/>
      <c r="F647" s="5337"/>
      <c r="G647" s="5337"/>
      <c r="H647" s="5337"/>
      <c r="I647" s="5337"/>
      <c r="J647" s="5337"/>
      <c r="K647" s="5337"/>
      <c r="L647" s="5337"/>
      <c r="M647" s="5337"/>
      <c r="N647" s="5337"/>
      <c r="O647" s="5337"/>
      <c r="P647" s="5337"/>
      <c r="Q647" s="5345"/>
      <c r="R647" s="1110"/>
      <c r="S647" s="1111"/>
      <c r="T647" s="1111"/>
      <c r="U647" s="1711"/>
      <c r="V647" s="1112"/>
      <c r="W647" s="1719"/>
      <c r="X647" s="1113"/>
      <c r="Y647" s="1113"/>
      <c r="Z647" s="1113"/>
      <c r="AA647" s="1114"/>
      <c r="AB647" s="1719"/>
      <c r="AC647" s="410"/>
      <c r="AD647" s="410"/>
      <c r="AE647" s="1308"/>
    </row>
    <row r="648" spans="1:31" ht="18" customHeight="1">
      <c r="A648" s="5629"/>
      <c r="B648" s="5574"/>
      <c r="C648" s="5338"/>
      <c r="D648" s="5338"/>
      <c r="E648" s="5338"/>
      <c r="F648" s="5338"/>
      <c r="G648" s="5338"/>
      <c r="H648" s="5338"/>
      <c r="I648" s="5338"/>
      <c r="J648" s="5338"/>
      <c r="K648" s="5338"/>
      <c r="L648" s="5338"/>
      <c r="M648" s="5338"/>
      <c r="N648" s="5338"/>
      <c r="O648" s="5338"/>
      <c r="P648" s="5338"/>
      <c r="Q648" s="5346"/>
      <c r="R648" s="1309"/>
      <c r="S648" s="1310"/>
      <c r="T648" s="1310"/>
      <c r="U648" s="277"/>
      <c r="V648" s="1311"/>
      <c r="W648" s="416"/>
      <c r="X648" s="1312"/>
      <c r="Y648" s="1312"/>
      <c r="Z648" s="1312"/>
      <c r="AA648" s="1313"/>
      <c r="AB648" s="416"/>
      <c r="AC648" s="278"/>
      <c r="AD648" s="278"/>
      <c r="AE648" s="1314"/>
    </row>
    <row r="649" spans="1:31" ht="18" customHeight="1">
      <c r="A649" s="5629"/>
      <c r="B649" s="5626" t="s">
        <v>272</v>
      </c>
      <c r="C649" s="5624" t="s">
        <v>302</v>
      </c>
      <c r="D649" s="5624" t="s">
        <v>303</v>
      </c>
      <c r="E649" s="5624" t="s">
        <v>304</v>
      </c>
      <c r="F649" s="5622" t="s">
        <v>305</v>
      </c>
      <c r="G649" s="5624" t="s">
        <v>240</v>
      </c>
      <c r="H649" s="5624" t="s">
        <v>257</v>
      </c>
      <c r="I649" s="5618" t="s">
        <v>3190</v>
      </c>
      <c r="J649" s="5618" t="s">
        <v>3191</v>
      </c>
      <c r="K649" s="5618" t="s">
        <v>2995</v>
      </c>
      <c r="L649" s="5619">
        <v>0</v>
      </c>
      <c r="M649" s="5619">
        <v>1</v>
      </c>
      <c r="N649" s="5619">
        <v>0</v>
      </c>
      <c r="O649" s="5618" t="s">
        <v>2996</v>
      </c>
      <c r="P649" s="5618" t="s">
        <v>2997</v>
      </c>
      <c r="Q649" s="5620" t="s">
        <v>3243</v>
      </c>
      <c r="R649" s="1110"/>
      <c r="S649" s="1111"/>
      <c r="T649" s="1111"/>
      <c r="U649" s="1711"/>
      <c r="V649" s="1112"/>
      <c r="W649" s="1719"/>
      <c r="X649" s="1113"/>
      <c r="Y649" s="1113"/>
      <c r="Z649" s="1113"/>
      <c r="AA649" s="1114"/>
      <c r="AB649" s="1719"/>
      <c r="AC649" s="410"/>
      <c r="AD649" s="410"/>
      <c r="AE649" s="1308"/>
    </row>
    <row r="650" spans="1:31" ht="18" customHeight="1">
      <c r="A650" s="5629"/>
      <c r="B650" s="5573"/>
      <c r="C650" s="5337"/>
      <c r="D650" s="5337"/>
      <c r="E650" s="5337"/>
      <c r="F650" s="5337"/>
      <c r="G650" s="5337"/>
      <c r="H650" s="5337"/>
      <c r="I650" s="5337"/>
      <c r="J650" s="5337"/>
      <c r="K650" s="5337"/>
      <c r="L650" s="5337"/>
      <c r="M650" s="5337"/>
      <c r="N650" s="5337"/>
      <c r="O650" s="5337"/>
      <c r="P650" s="5337"/>
      <c r="Q650" s="5345"/>
      <c r="R650" s="1110"/>
      <c r="S650" s="1111"/>
      <c r="T650" s="1111"/>
      <c r="U650" s="1711"/>
      <c r="V650" s="1112"/>
      <c r="W650" s="1719"/>
      <c r="X650" s="1113"/>
      <c r="Y650" s="1113"/>
      <c r="Z650" s="1113"/>
      <c r="AA650" s="1114"/>
      <c r="AB650" s="1719"/>
      <c r="AC650" s="410"/>
      <c r="AD650" s="410"/>
      <c r="AE650" s="1308"/>
    </row>
    <row r="651" spans="1:31" ht="18" customHeight="1">
      <c r="A651" s="5629"/>
      <c r="B651" s="5573"/>
      <c r="C651" s="5337"/>
      <c r="D651" s="5337"/>
      <c r="E651" s="5337"/>
      <c r="F651" s="5337"/>
      <c r="G651" s="5337"/>
      <c r="H651" s="5337"/>
      <c r="I651" s="5337"/>
      <c r="J651" s="5337"/>
      <c r="K651" s="5337"/>
      <c r="L651" s="5337"/>
      <c r="M651" s="5337"/>
      <c r="N651" s="5337"/>
      <c r="O651" s="5337"/>
      <c r="P651" s="5337"/>
      <c r="Q651" s="5345"/>
      <c r="R651" s="1110"/>
      <c r="S651" s="1111"/>
      <c r="T651" s="1111"/>
      <c r="U651" s="1711"/>
      <c r="V651" s="1112"/>
      <c r="W651" s="1719"/>
      <c r="X651" s="1113"/>
      <c r="Y651" s="1113"/>
      <c r="Z651" s="1113"/>
      <c r="AA651" s="1114"/>
      <c r="AB651" s="1719"/>
      <c r="AC651" s="410"/>
      <c r="AD651" s="410"/>
      <c r="AE651" s="1308"/>
    </row>
    <row r="652" spans="1:31" ht="18" customHeight="1">
      <c r="A652" s="5629"/>
      <c r="B652" s="5573"/>
      <c r="C652" s="5337"/>
      <c r="D652" s="5337"/>
      <c r="E652" s="5337"/>
      <c r="F652" s="5337"/>
      <c r="G652" s="5337"/>
      <c r="H652" s="5337"/>
      <c r="I652" s="5337"/>
      <c r="J652" s="5337"/>
      <c r="K652" s="5337"/>
      <c r="L652" s="5337"/>
      <c r="M652" s="5337"/>
      <c r="N652" s="5337"/>
      <c r="O652" s="5337"/>
      <c r="P652" s="5337"/>
      <c r="Q652" s="5345"/>
      <c r="R652" s="1110"/>
      <c r="S652" s="1111"/>
      <c r="T652" s="1111"/>
      <c r="U652" s="1711"/>
      <c r="V652" s="1112"/>
      <c r="W652" s="1719"/>
      <c r="X652" s="1113"/>
      <c r="Y652" s="1113"/>
      <c r="Z652" s="1113"/>
      <c r="AA652" s="1114"/>
      <c r="AB652" s="1719"/>
      <c r="AC652" s="410"/>
      <c r="AD652" s="410"/>
      <c r="AE652" s="1308"/>
    </row>
    <row r="653" spans="1:31" ht="18" customHeight="1">
      <c r="A653" s="5629"/>
      <c r="B653" s="5574"/>
      <c r="C653" s="5338"/>
      <c r="D653" s="5338"/>
      <c r="E653" s="5338"/>
      <c r="F653" s="5338"/>
      <c r="G653" s="5338"/>
      <c r="H653" s="5338"/>
      <c r="I653" s="5338"/>
      <c r="J653" s="5338"/>
      <c r="K653" s="5338"/>
      <c r="L653" s="5338"/>
      <c r="M653" s="5338"/>
      <c r="N653" s="5338"/>
      <c r="O653" s="5338"/>
      <c r="P653" s="5338"/>
      <c r="Q653" s="5346"/>
      <c r="R653" s="1309"/>
      <c r="S653" s="1310"/>
      <c r="T653" s="1310"/>
      <c r="U653" s="277"/>
      <c r="V653" s="1311"/>
      <c r="W653" s="416"/>
      <c r="X653" s="1312"/>
      <c r="Y653" s="1312"/>
      <c r="Z653" s="1312"/>
      <c r="AA653" s="1313"/>
      <c r="AB653" s="416"/>
      <c r="AC653" s="278"/>
      <c r="AD653" s="278"/>
      <c r="AE653" s="1314"/>
    </row>
    <row r="654" spans="1:31" ht="18" customHeight="1">
      <c r="A654" s="5629"/>
      <c r="B654" s="5626" t="s">
        <v>272</v>
      </c>
      <c r="C654" s="5624" t="s">
        <v>302</v>
      </c>
      <c r="D654" s="5624" t="s">
        <v>303</v>
      </c>
      <c r="E654" s="5624" t="s">
        <v>304</v>
      </c>
      <c r="F654" s="5622" t="s">
        <v>305</v>
      </c>
      <c r="G654" s="5336" t="s">
        <v>262</v>
      </c>
      <c r="H654" s="5336" t="s">
        <v>241</v>
      </c>
      <c r="I654" s="5336" t="s">
        <v>3192</v>
      </c>
      <c r="J654" s="5623" t="s">
        <v>3193</v>
      </c>
      <c r="K654" s="5336" t="s">
        <v>3146</v>
      </c>
      <c r="L654" s="5343">
        <v>1</v>
      </c>
      <c r="M654" s="5399">
        <v>1</v>
      </c>
      <c r="N654" s="5343">
        <v>1</v>
      </c>
      <c r="O654" s="5336" t="s">
        <v>3194</v>
      </c>
      <c r="P654" s="5336" t="s">
        <v>3195</v>
      </c>
      <c r="Q654" s="5370" t="s">
        <v>3244</v>
      </c>
      <c r="R654" s="970"/>
      <c r="S654" s="967"/>
      <c r="T654" s="967"/>
      <c r="U654" s="176"/>
      <c r="V654" s="968"/>
      <c r="W654" s="414"/>
      <c r="X654" s="973"/>
      <c r="Y654" s="973"/>
      <c r="Z654" s="973"/>
      <c r="AA654" s="981"/>
      <c r="AB654" s="414"/>
      <c r="AC654" s="174"/>
      <c r="AD654" s="174"/>
      <c r="AE654" s="5418"/>
    </row>
    <row r="655" spans="1:31" ht="18" customHeight="1">
      <c r="A655" s="5629"/>
      <c r="B655" s="5573"/>
      <c r="C655" s="5337"/>
      <c r="D655" s="5337"/>
      <c r="E655" s="5337"/>
      <c r="F655" s="5337"/>
      <c r="G655" s="5337"/>
      <c r="H655" s="5337"/>
      <c r="I655" s="5337"/>
      <c r="J655" s="5337"/>
      <c r="K655" s="5337"/>
      <c r="L655" s="5337"/>
      <c r="M655" s="5337"/>
      <c r="N655" s="5337"/>
      <c r="O655" s="5337"/>
      <c r="P655" s="5337"/>
      <c r="Q655" s="5345"/>
      <c r="R655" s="982"/>
      <c r="S655" s="983"/>
      <c r="T655" s="983"/>
      <c r="U655" s="169"/>
      <c r="V655" s="984"/>
      <c r="W655" s="170"/>
      <c r="X655" s="974"/>
      <c r="Y655" s="974">
        <f t="shared" ref="Y655:Y658" si="128">+V655*X655</f>
        <v>0</v>
      </c>
      <c r="Z655" s="974">
        <f t="shared" ref="Z655:Z658" si="129">+Y655*1.12</f>
        <v>0</v>
      </c>
      <c r="AA655" s="969"/>
      <c r="AB655" s="170"/>
      <c r="AC655" s="282"/>
      <c r="AD655" s="282"/>
      <c r="AE655" s="5416"/>
    </row>
    <row r="656" spans="1:31" ht="18" customHeight="1">
      <c r="A656" s="5629"/>
      <c r="B656" s="5573"/>
      <c r="C656" s="5337"/>
      <c r="D656" s="5337"/>
      <c r="E656" s="5337"/>
      <c r="F656" s="5337"/>
      <c r="G656" s="5337"/>
      <c r="H656" s="5337"/>
      <c r="I656" s="5337"/>
      <c r="J656" s="5337"/>
      <c r="K656" s="5337"/>
      <c r="L656" s="5337"/>
      <c r="M656" s="5337"/>
      <c r="N656" s="5337"/>
      <c r="O656" s="5337"/>
      <c r="P656" s="5337"/>
      <c r="Q656" s="5345"/>
      <c r="R656" s="971"/>
      <c r="S656" s="972"/>
      <c r="T656" s="972"/>
      <c r="U656" s="1217"/>
      <c r="V656" s="968"/>
      <c r="W656" s="414"/>
      <c r="X656" s="973"/>
      <c r="Y656" s="974">
        <f t="shared" si="128"/>
        <v>0</v>
      </c>
      <c r="Z656" s="974">
        <f t="shared" si="129"/>
        <v>0</v>
      </c>
      <c r="AA656" s="969"/>
      <c r="AB656" s="170"/>
      <c r="AC656" s="282"/>
      <c r="AD656" s="282"/>
      <c r="AE656" s="5416"/>
    </row>
    <row r="657" spans="1:31" ht="18" customHeight="1">
      <c r="A657" s="5629"/>
      <c r="B657" s="5573"/>
      <c r="C657" s="5337"/>
      <c r="D657" s="5337"/>
      <c r="E657" s="5337"/>
      <c r="F657" s="5337"/>
      <c r="G657" s="5337"/>
      <c r="H657" s="5337"/>
      <c r="I657" s="5337"/>
      <c r="J657" s="5337"/>
      <c r="K657" s="5337"/>
      <c r="L657" s="5337"/>
      <c r="M657" s="5337"/>
      <c r="N657" s="5337"/>
      <c r="O657" s="5337"/>
      <c r="P657" s="5337"/>
      <c r="Q657" s="5345"/>
      <c r="R657" s="970"/>
      <c r="S657" s="967"/>
      <c r="T657" s="967"/>
      <c r="U657" s="1217"/>
      <c r="V657" s="968"/>
      <c r="W657" s="414"/>
      <c r="X657" s="973"/>
      <c r="Y657" s="974">
        <f t="shared" si="128"/>
        <v>0</v>
      </c>
      <c r="Z657" s="974">
        <f t="shared" si="129"/>
        <v>0</v>
      </c>
      <c r="AA657" s="969"/>
      <c r="AB657" s="170"/>
      <c r="AC657" s="282"/>
      <c r="AD657" s="282"/>
      <c r="AE657" s="5416"/>
    </row>
    <row r="658" spans="1:31" ht="18" customHeight="1">
      <c r="A658" s="5629"/>
      <c r="B658" s="5574"/>
      <c r="C658" s="5338"/>
      <c r="D658" s="5338"/>
      <c r="E658" s="5338"/>
      <c r="F658" s="5338"/>
      <c r="G658" s="5338"/>
      <c r="H658" s="5338"/>
      <c r="I658" s="5338"/>
      <c r="J658" s="5338"/>
      <c r="K658" s="5338"/>
      <c r="L658" s="5338"/>
      <c r="M658" s="5338"/>
      <c r="N658" s="5338"/>
      <c r="O658" s="5338"/>
      <c r="P658" s="5338"/>
      <c r="Q658" s="5346"/>
      <c r="R658" s="975"/>
      <c r="S658" s="976"/>
      <c r="T658" s="976"/>
      <c r="U658" s="411"/>
      <c r="V658" s="977"/>
      <c r="W658" s="165"/>
      <c r="X658" s="978"/>
      <c r="Y658" s="978">
        <f t="shared" si="128"/>
        <v>0</v>
      </c>
      <c r="Z658" s="978">
        <f t="shared" si="129"/>
        <v>0</v>
      </c>
      <c r="AA658" s="979"/>
      <c r="AB658" s="165"/>
      <c r="AC658" s="166"/>
      <c r="AD658" s="166"/>
      <c r="AE658" s="5417"/>
    </row>
    <row r="659" spans="1:31" ht="18" customHeight="1">
      <c r="A659" s="5629"/>
      <c r="B659" s="5572" t="s">
        <v>235</v>
      </c>
      <c r="C659" s="5336" t="s">
        <v>236</v>
      </c>
      <c r="D659" s="5336" t="s">
        <v>237</v>
      </c>
      <c r="E659" s="5336" t="s">
        <v>255</v>
      </c>
      <c r="F659" s="5341" t="s">
        <v>239</v>
      </c>
      <c r="G659" s="5336" t="s">
        <v>240</v>
      </c>
      <c r="H659" s="5336" t="s">
        <v>257</v>
      </c>
      <c r="I659" s="5336" t="s">
        <v>3197</v>
      </c>
      <c r="J659" s="5623" t="s">
        <v>3198</v>
      </c>
      <c r="K659" s="5336" t="s">
        <v>3012</v>
      </c>
      <c r="L659" s="5399">
        <v>3</v>
      </c>
      <c r="M659" s="5399">
        <v>4</v>
      </c>
      <c r="N659" s="5399">
        <v>3</v>
      </c>
      <c r="O659" s="5336" t="s">
        <v>3199</v>
      </c>
      <c r="P659" s="5336" t="s">
        <v>3200</v>
      </c>
      <c r="Q659" s="5370" t="s">
        <v>3240</v>
      </c>
      <c r="R659" s="995"/>
      <c r="S659" s="996"/>
      <c r="T659" s="996"/>
      <c r="U659" s="283"/>
      <c r="V659" s="988"/>
      <c r="W659" s="178"/>
      <c r="X659" s="989"/>
      <c r="Y659" s="989"/>
      <c r="Z659" s="989"/>
      <c r="AA659" s="990"/>
      <c r="AB659" s="178"/>
      <c r="AC659" s="181"/>
      <c r="AD659" s="181"/>
      <c r="AE659" s="5418"/>
    </row>
    <row r="660" spans="1:31" ht="18" customHeight="1">
      <c r="A660" s="5629"/>
      <c r="B660" s="5573"/>
      <c r="C660" s="5337"/>
      <c r="D660" s="5337"/>
      <c r="E660" s="5337"/>
      <c r="F660" s="5337"/>
      <c r="G660" s="5337"/>
      <c r="H660" s="5337"/>
      <c r="I660" s="5337"/>
      <c r="J660" s="5337"/>
      <c r="K660" s="5337"/>
      <c r="L660" s="5337"/>
      <c r="M660" s="5337"/>
      <c r="N660" s="5337"/>
      <c r="O660" s="5337"/>
      <c r="P660" s="5337"/>
      <c r="Q660" s="5345"/>
      <c r="R660" s="982"/>
      <c r="S660" s="983"/>
      <c r="T660" s="983"/>
      <c r="U660" s="169"/>
      <c r="V660" s="984"/>
      <c r="W660" s="170"/>
      <c r="X660" s="974"/>
      <c r="Y660" s="974">
        <f t="shared" ref="Y660:Y663" si="130">+V660*X660</f>
        <v>0</v>
      </c>
      <c r="Z660" s="974">
        <f t="shared" ref="Z660:Z663" si="131">+Y660*1.12</f>
        <v>0</v>
      </c>
      <c r="AA660" s="969"/>
      <c r="AB660" s="170"/>
      <c r="AC660" s="282"/>
      <c r="AD660" s="282"/>
      <c r="AE660" s="5416"/>
    </row>
    <row r="661" spans="1:31" ht="18" customHeight="1">
      <c r="A661" s="5629"/>
      <c r="B661" s="5573"/>
      <c r="C661" s="5337"/>
      <c r="D661" s="5337"/>
      <c r="E661" s="5337"/>
      <c r="F661" s="5337"/>
      <c r="G661" s="5337"/>
      <c r="H661" s="5337"/>
      <c r="I661" s="5337"/>
      <c r="J661" s="5337"/>
      <c r="K661" s="5337"/>
      <c r="L661" s="5337"/>
      <c r="M661" s="5337"/>
      <c r="N661" s="5337"/>
      <c r="O661" s="5337"/>
      <c r="P661" s="5337"/>
      <c r="Q661" s="5345"/>
      <c r="R661" s="971"/>
      <c r="S661" s="972"/>
      <c r="T661" s="972"/>
      <c r="U661" s="1217"/>
      <c r="V661" s="968"/>
      <c r="W661" s="414"/>
      <c r="X661" s="973"/>
      <c r="Y661" s="974">
        <f t="shared" si="130"/>
        <v>0</v>
      </c>
      <c r="Z661" s="974">
        <f t="shared" si="131"/>
        <v>0</v>
      </c>
      <c r="AA661" s="969"/>
      <c r="AB661" s="170"/>
      <c r="AC661" s="282"/>
      <c r="AD661" s="282"/>
      <c r="AE661" s="5416"/>
    </row>
    <row r="662" spans="1:31" ht="18" customHeight="1">
      <c r="A662" s="5629"/>
      <c r="B662" s="5573"/>
      <c r="C662" s="5337"/>
      <c r="D662" s="5337"/>
      <c r="E662" s="5337"/>
      <c r="F662" s="5337"/>
      <c r="G662" s="5337"/>
      <c r="H662" s="5337"/>
      <c r="I662" s="5337"/>
      <c r="J662" s="5337"/>
      <c r="K662" s="5337"/>
      <c r="L662" s="5337"/>
      <c r="M662" s="5337"/>
      <c r="N662" s="5337"/>
      <c r="O662" s="5337"/>
      <c r="P662" s="5337"/>
      <c r="Q662" s="5345"/>
      <c r="R662" s="970"/>
      <c r="S662" s="967"/>
      <c r="T662" s="967"/>
      <c r="U662" s="1217"/>
      <c r="V662" s="968"/>
      <c r="W662" s="414"/>
      <c r="X662" s="973"/>
      <c r="Y662" s="974">
        <f t="shared" si="130"/>
        <v>0</v>
      </c>
      <c r="Z662" s="974">
        <f t="shared" si="131"/>
        <v>0</v>
      </c>
      <c r="AA662" s="969"/>
      <c r="AB662" s="170"/>
      <c r="AC662" s="282"/>
      <c r="AD662" s="282"/>
      <c r="AE662" s="5416"/>
    </row>
    <row r="663" spans="1:31" ht="18" customHeight="1">
      <c r="A663" s="5555"/>
      <c r="B663" s="5574"/>
      <c r="C663" s="5338"/>
      <c r="D663" s="5338"/>
      <c r="E663" s="5338"/>
      <c r="F663" s="5338"/>
      <c r="G663" s="5338"/>
      <c r="H663" s="5338"/>
      <c r="I663" s="5338"/>
      <c r="J663" s="5338"/>
      <c r="K663" s="5338"/>
      <c r="L663" s="5338"/>
      <c r="M663" s="5338"/>
      <c r="N663" s="5338"/>
      <c r="O663" s="5338"/>
      <c r="P663" s="5338"/>
      <c r="Q663" s="5346"/>
      <c r="R663" s="975"/>
      <c r="S663" s="976"/>
      <c r="T663" s="976"/>
      <c r="U663" s="411"/>
      <c r="V663" s="977"/>
      <c r="W663" s="165"/>
      <c r="X663" s="978"/>
      <c r="Y663" s="978">
        <f t="shared" si="130"/>
        <v>0</v>
      </c>
      <c r="Z663" s="978">
        <f t="shared" si="131"/>
        <v>0</v>
      </c>
      <c r="AA663" s="979"/>
      <c r="AB663" s="165"/>
      <c r="AC663" s="166"/>
      <c r="AD663" s="166"/>
      <c r="AE663" s="5417"/>
    </row>
    <row r="664" spans="1:31" ht="22.5" customHeight="1">
      <c r="A664" s="2158"/>
      <c r="B664" s="785"/>
      <c r="C664" s="785"/>
      <c r="D664" s="785"/>
      <c r="E664" s="785"/>
      <c r="F664" s="785"/>
      <c r="G664" s="785"/>
      <c r="H664" s="785"/>
      <c r="I664" s="785"/>
      <c r="J664" s="785"/>
      <c r="K664" s="785"/>
      <c r="L664" s="785"/>
      <c r="M664" s="785"/>
      <c r="N664" s="785"/>
      <c r="O664" s="785"/>
      <c r="P664" s="785"/>
      <c r="Q664" s="786"/>
      <c r="R664" s="5636" t="s">
        <v>3245</v>
      </c>
      <c r="S664" s="5474"/>
      <c r="T664" s="5474"/>
      <c r="U664" s="5474"/>
      <c r="V664" s="5474"/>
      <c r="W664" s="5474"/>
      <c r="X664" s="5474"/>
      <c r="Y664" s="5475"/>
      <c r="Z664" s="997" t="s">
        <v>340</v>
      </c>
      <c r="AA664" s="998">
        <f>SUM(AA589:AA663)</f>
        <v>1344.0000000000002</v>
      </c>
      <c r="AB664" s="5521"/>
      <c r="AC664" s="5474"/>
      <c r="AD664" s="5474"/>
      <c r="AE664" s="5477"/>
    </row>
    <row r="665" spans="1:31" ht="18" customHeight="1">
      <c r="A665" s="5628" t="s">
        <v>3246</v>
      </c>
      <c r="B665" s="5576" t="s">
        <v>272</v>
      </c>
      <c r="C665" s="5355" t="s">
        <v>302</v>
      </c>
      <c r="D665" s="5355" t="s">
        <v>303</v>
      </c>
      <c r="E665" s="5355" t="s">
        <v>304</v>
      </c>
      <c r="F665" s="5364" t="s">
        <v>305</v>
      </c>
      <c r="G665" s="5355" t="s">
        <v>240</v>
      </c>
      <c r="H665" s="5355" t="s">
        <v>257</v>
      </c>
      <c r="I665" s="5360" t="s">
        <v>3247</v>
      </c>
      <c r="J665" s="5625" t="s">
        <v>3135</v>
      </c>
      <c r="K665" s="5355" t="s">
        <v>2846</v>
      </c>
      <c r="L665" s="5363">
        <v>2</v>
      </c>
      <c r="M665" s="5363">
        <v>1</v>
      </c>
      <c r="N665" s="5363">
        <v>2</v>
      </c>
      <c r="O665" s="5355" t="s">
        <v>3136</v>
      </c>
      <c r="P665" s="5355" t="s">
        <v>3137</v>
      </c>
      <c r="Q665" s="5392" t="s">
        <v>3138</v>
      </c>
      <c r="R665" s="1102"/>
      <c r="S665" s="1103"/>
      <c r="T665" s="1103"/>
      <c r="U665" s="154"/>
      <c r="V665" s="1104"/>
      <c r="W665" s="155"/>
      <c r="X665" s="1105"/>
      <c r="Y665" s="1105"/>
      <c r="Z665" s="1105"/>
      <c r="AA665" s="1106"/>
      <c r="AB665" s="155"/>
      <c r="AC665" s="156"/>
      <c r="AD665" s="156"/>
      <c r="AE665" s="5428"/>
    </row>
    <row r="666" spans="1:31" ht="18" customHeight="1">
      <c r="A666" s="5629"/>
      <c r="B666" s="5573"/>
      <c r="C666" s="5337"/>
      <c r="D666" s="5337"/>
      <c r="E666" s="5337"/>
      <c r="F666" s="5337"/>
      <c r="G666" s="5337"/>
      <c r="H666" s="5337"/>
      <c r="I666" s="5361"/>
      <c r="J666" s="5337"/>
      <c r="K666" s="5337"/>
      <c r="L666" s="5337"/>
      <c r="M666" s="5337"/>
      <c r="N666" s="5337"/>
      <c r="O666" s="5337"/>
      <c r="P666" s="5337"/>
      <c r="Q666" s="5345"/>
      <c r="R666" s="982"/>
      <c r="S666" s="983"/>
      <c r="T666" s="983"/>
      <c r="U666" s="169"/>
      <c r="V666" s="984"/>
      <c r="W666" s="170"/>
      <c r="X666" s="974"/>
      <c r="Y666" s="974">
        <f t="shared" ref="Y666:Y669" si="132">+V666*X666</f>
        <v>0</v>
      </c>
      <c r="Z666" s="974">
        <f t="shared" ref="Z666:Z669" si="133">+Y666*1.12</f>
        <v>0</v>
      </c>
      <c r="AA666" s="969"/>
      <c r="AB666" s="170"/>
      <c r="AC666" s="282"/>
      <c r="AD666" s="282"/>
      <c r="AE666" s="5416"/>
    </row>
    <row r="667" spans="1:31" ht="18" customHeight="1">
      <c r="A667" s="5629"/>
      <c r="B667" s="5573"/>
      <c r="C667" s="5337"/>
      <c r="D667" s="5337"/>
      <c r="E667" s="5337"/>
      <c r="F667" s="5337"/>
      <c r="G667" s="5337"/>
      <c r="H667" s="5337"/>
      <c r="I667" s="5361"/>
      <c r="J667" s="5337"/>
      <c r="K667" s="5337"/>
      <c r="L667" s="5337"/>
      <c r="M667" s="5337"/>
      <c r="N667" s="5337"/>
      <c r="O667" s="5337"/>
      <c r="P667" s="5337"/>
      <c r="Q667" s="5345"/>
      <c r="R667" s="971"/>
      <c r="S667" s="972"/>
      <c r="T667" s="972"/>
      <c r="U667" s="1217"/>
      <c r="V667" s="968"/>
      <c r="W667" s="414"/>
      <c r="X667" s="973"/>
      <c r="Y667" s="974">
        <f t="shared" si="132"/>
        <v>0</v>
      </c>
      <c r="Z667" s="974">
        <f t="shared" si="133"/>
        <v>0</v>
      </c>
      <c r="AA667" s="969"/>
      <c r="AB667" s="170"/>
      <c r="AC667" s="282"/>
      <c r="AD667" s="282"/>
      <c r="AE667" s="5416"/>
    </row>
    <row r="668" spans="1:31" ht="18" customHeight="1">
      <c r="A668" s="5629"/>
      <c r="B668" s="5573"/>
      <c r="C668" s="5337"/>
      <c r="D668" s="5337"/>
      <c r="E668" s="5337"/>
      <c r="F668" s="5337"/>
      <c r="G668" s="5337"/>
      <c r="H668" s="5337"/>
      <c r="I668" s="5361"/>
      <c r="J668" s="5337"/>
      <c r="K668" s="5337"/>
      <c r="L668" s="5337"/>
      <c r="M668" s="5337"/>
      <c r="N668" s="5337"/>
      <c r="O668" s="5337"/>
      <c r="P668" s="5337"/>
      <c r="Q668" s="5345"/>
      <c r="R668" s="970"/>
      <c r="S668" s="967"/>
      <c r="T668" s="967"/>
      <c r="U668" s="1217"/>
      <c r="V668" s="968"/>
      <c r="W668" s="414"/>
      <c r="X668" s="973"/>
      <c r="Y668" s="974">
        <f t="shared" si="132"/>
        <v>0</v>
      </c>
      <c r="Z668" s="974">
        <f t="shared" si="133"/>
        <v>0</v>
      </c>
      <c r="AA668" s="969"/>
      <c r="AB668" s="170"/>
      <c r="AC668" s="282"/>
      <c r="AD668" s="282"/>
      <c r="AE668" s="5416"/>
    </row>
    <row r="669" spans="1:31" ht="18" customHeight="1">
      <c r="A669" s="5629"/>
      <c r="B669" s="5574"/>
      <c r="C669" s="5338"/>
      <c r="D669" s="5338"/>
      <c r="E669" s="5338"/>
      <c r="F669" s="5338"/>
      <c r="G669" s="5338"/>
      <c r="H669" s="5338"/>
      <c r="I669" s="5362"/>
      <c r="J669" s="5338"/>
      <c r="K669" s="5338"/>
      <c r="L669" s="5338"/>
      <c r="M669" s="5338"/>
      <c r="N669" s="5338"/>
      <c r="O669" s="5338"/>
      <c r="P669" s="5338"/>
      <c r="Q669" s="5346"/>
      <c r="R669" s="975"/>
      <c r="S669" s="976"/>
      <c r="T669" s="976"/>
      <c r="U669" s="411"/>
      <c r="V669" s="977"/>
      <c r="W669" s="165"/>
      <c r="X669" s="978"/>
      <c r="Y669" s="978">
        <f t="shared" si="132"/>
        <v>0</v>
      </c>
      <c r="Z669" s="978">
        <f t="shared" si="133"/>
        <v>0</v>
      </c>
      <c r="AA669" s="979"/>
      <c r="AB669" s="165"/>
      <c r="AC669" s="166"/>
      <c r="AD669" s="166"/>
      <c r="AE669" s="5417"/>
    </row>
    <row r="670" spans="1:31" ht="18" customHeight="1">
      <c r="A670" s="5629"/>
      <c r="B670" s="5627" t="s">
        <v>235</v>
      </c>
      <c r="C670" s="5347" t="s">
        <v>236</v>
      </c>
      <c r="D670" s="5347" t="s">
        <v>237</v>
      </c>
      <c r="E670" s="5347" t="s">
        <v>255</v>
      </c>
      <c r="F670" s="5353" t="s">
        <v>239</v>
      </c>
      <c r="G670" s="5336" t="s">
        <v>240</v>
      </c>
      <c r="H670" s="5336" t="s">
        <v>257</v>
      </c>
      <c r="I670" s="5621" t="s">
        <v>3139</v>
      </c>
      <c r="J670" s="5621" t="s">
        <v>3140</v>
      </c>
      <c r="K670" s="5618" t="s">
        <v>2846</v>
      </c>
      <c r="L670" s="5619">
        <v>2</v>
      </c>
      <c r="M670" s="5619">
        <v>0</v>
      </c>
      <c r="N670" s="5619">
        <v>2</v>
      </c>
      <c r="O670" s="5407" t="s">
        <v>3141</v>
      </c>
      <c r="P670" s="5618" t="s">
        <v>3142</v>
      </c>
      <c r="Q670" s="5620" t="s">
        <v>3248</v>
      </c>
      <c r="R670" s="1110"/>
      <c r="S670" s="1111"/>
      <c r="T670" s="1111"/>
      <c r="U670" s="1711"/>
      <c r="V670" s="1112"/>
      <c r="W670" s="1719"/>
      <c r="X670" s="1113"/>
      <c r="Y670" s="1113"/>
      <c r="Z670" s="1113"/>
      <c r="AA670" s="1114"/>
      <c r="AB670" s="1719"/>
      <c r="AC670" s="410"/>
      <c r="AD670" s="410"/>
      <c r="AE670" s="1308"/>
    </row>
    <row r="671" spans="1:31" ht="18" customHeight="1">
      <c r="A671" s="5629"/>
      <c r="B671" s="5573"/>
      <c r="C671" s="5337"/>
      <c r="D671" s="5337"/>
      <c r="E671" s="5337"/>
      <c r="F671" s="5337"/>
      <c r="G671" s="5337"/>
      <c r="H671" s="5337"/>
      <c r="I671" s="5337"/>
      <c r="J671" s="5337"/>
      <c r="K671" s="5337"/>
      <c r="L671" s="5337"/>
      <c r="M671" s="5337"/>
      <c r="N671" s="5337"/>
      <c r="O671" s="5337"/>
      <c r="P671" s="5337"/>
      <c r="Q671" s="5345"/>
      <c r="R671" s="1110"/>
      <c r="S671" s="1111"/>
      <c r="T671" s="1111"/>
      <c r="U671" s="1711"/>
      <c r="V671" s="1112"/>
      <c r="W671" s="1719"/>
      <c r="X671" s="1113"/>
      <c r="Y671" s="1113"/>
      <c r="Z671" s="1113"/>
      <c r="AA671" s="1114"/>
      <c r="AB671" s="1719"/>
      <c r="AC671" s="410"/>
      <c r="AD671" s="410"/>
      <c r="AE671" s="1308"/>
    </row>
    <row r="672" spans="1:31" ht="18" customHeight="1">
      <c r="A672" s="5629"/>
      <c r="B672" s="5573"/>
      <c r="C672" s="5337"/>
      <c r="D672" s="5337"/>
      <c r="E672" s="5337"/>
      <c r="F672" s="5337"/>
      <c r="G672" s="5337"/>
      <c r="H672" s="5337"/>
      <c r="I672" s="5337"/>
      <c r="J672" s="5337"/>
      <c r="K672" s="5337"/>
      <c r="L672" s="5337"/>
      <c r="M672" s="5337"/>
      <c r="N672" s="5337"/>
      <c r="O672" s="5337"/>
      <c r="P672" s="5337"/>
      <c r="Q672" s="5345"/>
      <c r="R672" s="1110"/>
      <c r="S672" s="1111"/>
      <c r="T672" s="1111"/>
      <c r="U672" s="1711"/>
      <c r="V672" s="1112"/>
      <c r="W672" s="1719"/>
      <c r="X672" s="1113"/>
      <c r="Y672" s="1113"/>
      <c r="Z672" s="1113"/>
      <c r="AA672" s="1114"/>
      <c r="AB672" s="1719"/>
      <c r="AC672" s="410"/>
      <c r="AD672" s="410"/>
      <c r="AE672" s="1308"/>
    </row>
    <row r="673" spans="1:31" ht="18" customHeight="1">
      <c r="A673" s="5629"/>
      <c r="B673" s="5573"/>
      <c r="C673" s="5337"/>
      <c r="D673" s="5337"/>
      <c r="E673" s="5337"/>
      <c r="F673" s="5337"/>
      <c r="G673" s="5337"/>
      <c r="H673" s="5337"/>
      <c r="I673" s="5337"/>
      <c r="J673" s="5337"/>
      <c r="K673" s="5337"/>
      <c r="L673" s="5337"/>
      <c r="M673" s="5337"/>
      <c r="N673" s="5337"/>
      <c r="O673" s="5337"/>
      <c r="P673" s="5337"/>
      <c r="Q673" s="5345"/>
      <c r="R673" s="1110"/>
      <c r="S673" s="1111"/>
      <c r="T673" s="1111"/>
      <c r="U673" s="1711"/>
      <c r="V673" s="1112"/>
      <c r="W673" s="1719"/>
      <c r="X673" s="1113"/>
      <c r="Y673" s="1113"/>
      <c r="Z673" s="1113"/>
      <c r="AA673" s="1114"/>
      <c r="AB673" s="1719"/>
      <c r="AC673" s="410"/>
      <c r="AD673" s="410"/>
      <c r="AE673" s="1308"/>
    </row>
    <row r="674" spans="1:31" ht="18" customHeight="1">
      <c r="A674" s="5629"/>
      <c r="B674" s="5574"/>
      <c r="C674" s="5338"/>
      <c r="D674" s="5338"/>
      <c r="E674" s="5338"/>
      <c r="F674" s="5338"/>
      <c r="G674" s="5338"/>
      <c r="H674" s="5338"/>
      <c r="I674" s="5338"/>
      <c r="J674" s="5338"/>
      <c r="K674" s="5338"/>
      <c r="L674" s="5338"/>
      <c r="M674" s="5338"/>
      <c r="N674" s="5338"/>
      <c r="O674" s="5338"/>
      <c r="P674" s="5338"/>
      <c r="Q674" s="5346"/>
      <c r="R674" s="1309"/>
      <c r="S674" s="1310"/>
      <c r="T674" s="1310"/>
      <c r="U674" s="277"/>
      <c r="V674" s="1311"/>
      <c r="W674" s="416"/>
      <c r="X674" s="1312"/>
      <c r="Y674" s="1312"/>
      <c r="Z674" s="1312"/>
      <c r="AA674" s="1313"/>
      <c r="AB674" s="416"/>
      <c r="AC674" s="278"/>
      <c r="AD674" s="278"/>
      <c r="AE674" s="1314"/>
    </row>
    <row r="675" spans="1:31" ht="18" customHeight="1">
      <c r="A675" s="5629"/>
      <c r="B675" s="5627" t="s">
        <v>235</v>
      </c>
      <c r="C675" s="5347" t="s">
        <v>236</v>
      </c>
      <c r="D675" s="5347" t="s">
        <v>237</v>
      </c>
      <c r="E675" s="5347" t="s">
        <v>255</v>
      </c>
      <c r="F675" s="5353" t="s">
        <v>239</v>
      </c>
      <c r="G675" s="5336" t="s">
        <v>240</v>
      </c>
      <c r="H675" s="5336" t="s">
        <v>257</v>
      </c>
      <c r="I675" s="5621" t="s">
        <v>3144</v>
      </c>
      <c r="J675" s="5618" t="s">
        <v>3145</v>
      </c>
      <c r="K675" s="5618" t="s">
        <v>3146</v>
      </c>
      <c r="L675" s="5407">
        <v>0</v>
      </c>
      <c r="M675" s="5407">
        <v>1</v>
      </c>
      <c r="N675" s="5407">
        <v>0</v>
      </c>
      <c r="O675" s="5618" t="s">
        <v>3147</v>
      </c>
      <c r="P675" s="5618" t="s">
        <v>3148</v>
      </c>
      <c r="Q675" s="5620" t="s">
        <v>3249</v>
      </c>
      <c r="R675" s="1110"/>
      <c r="S675" s="1111"/>
      <c r="T675" s="1111"/>
      <c r="U675" s="1711"/>
      <c r="V675" s="1112"/>
      <c r="W675" s="1719"/>
      <c r="X675" s="1113"/>
      <c r="Y675" s="1113"/>
      <c r="Z675" s="1113"/>
      <c r="AA675" s="1114"/>
      <c r="AB675" s="1719"/>
      <c r="AC675" s="410"/>
      <c r="AD675" s="410"/>
      <c r="AE675" s="1308"/>
    </row>
    <row r="676" spans="1:31" ht="18" customHeight="1">
      <c r="A676" s="5629"/>
      <c r="B676" s="5573"/>
      <c r="C676" s="5337"/>
      <c r="D676" s="5337"/>
      <c r="E676" s="5337"/>
      <c r="F676" s="5337"/>
      <c r="G676" s="5337"/>
      <c r="H676" s="5337"/>
      <c r="I676" s="5337"/>
      <c r="J676" s="5337"/>
      <c r="K676" s="5337"/>
      <c r="L676" s="5337"/>
      <c r="M676" s="5337"/>
      <c r="N676" s="5337"/>
      <c r="O676" s="5337"/>
      <c r="P676" s="5337"/>
      <c r="Q676" s="5345"/>
      <c r="R676" s="1110"/>
      <c r="S676" s="1111"/>
      <c r="T676" s="1111"/>
      <c r="U676" s="1711"/>
      <c r="V676" s="1112"/>
      <c r="W676" s="1719"/>
      <c r="X676" s="1113"/>
      <c r="Y676" s="1113"/>
      <c r="Z676" s="1113"/>
      <c r="AA676" s="1114"/>
      <c r="AB676" s="1719"/>
      <c r="AC676" s="410"/>
      <c r="AD676" s="410"/>
      <c r="AE676" s="1308"/>
    </row>
    <row r="677" spans="1:31" ht="18" customHeight="1">
      <c r="A677" s="5629"/>
      <c r="B677" s="5573"/>
      <c r="C677" s="5337"/>
      <c r="D677" s="5337"/>
      <c r="E677" s="5337"/>
      <c r="F677" s="5337"/>
      <c r="G677" s="5337"/>
      <c r="H677" s="5337"/>
      <c r="I677" s="5337"/>
      <c r="J677" s="5337"/>
      <c r="K677" s="5337"/>
      <c r="L677" s="5337"/>
      <c r="M677" s="5337"/>
      <c r="N677" s="5337"/>
      <c r="O677" s="5337"/>
      <c r="P677" s="5337"/>
      <c r="Q677" s="5345"/>
      <c r="R677" s="1110"/>
      <c r="S677" s="1111"/>
      <c r="T677" s="1111"/>
      <c r="U677" s="1711"/>
      <c r="V677" s="1112"/>
      <c r="W677" s="1719"/>
      <c r="X677" s="1113"/>
      <c r="Y677" s="1113"/>
      <c r="Z677" s="1113"/>
      <c r="AA677" s="1114"/>
      <c r="AB677" s="1719"/>
      <c r="AC677" s="410"/>
      <c r="AD677" s="410"/>
      <c r="AE677" s="1308"/>
    </row>
    <row r="678" spans="1:31" ht="18" customHeight="1">
      <c r="A678" s="5629"/>
      <c r="B678" s="5573"/>
      <c r="C678" s="5337"/>
      <c r="D678" s="5337"/>
      <c r="E678" s="5337"/>
      <c r="F678" s="5337"/>
      <c r="G678" s="5337"/>
      <c r="H678" s="5337"/>
      <c r="I678" s="5337"/>
      <c r="J678" s="5337"/>
      <c r="K678" s="5337"/>
      <c r="L678" s="5337"/>
      <c r="M678" s="5337"/>
      <c r="N678" s="5337"/>
      <c r="O678" s="5337"/>
      <c r="P678" s="5337"/>
      <c r="Q678" s="5345"/>
      <c r="R678" s="1110"/>
      <c r="S678" s="1111"/>
      <c r="T678" s="1111"/>
      <c r="U678" s="1711"/>
      <c r="V678" s="1112"/>
      <c r="W678" s="1719"/>
      <c r="X678" s="1113"/>
      <c r="Y678" s="1113"/>
      <c r="Z678" s="1113"/>
      <c r="AA678" s="1114"/>
      <c r="AB678" s="1719"/>
      <c r="AC678" s="410"/>
      <c r="AD678" s="410"/>
      <c r="AE678" s="1308"/>
    </row>
    <row r="679" spans="1:31" ht="18" customHeight="1">
      <c r="A679" s="5629"/>
      <c r="B679" s="5574"/>
      <c r="C679" s="5338"/>
      <c r="D679" s="5338"/>
      <c r="E679" s="5338"/>
      <c r="F679" s="5338"/>
      <c r="G679" s="5338"/>
      <c r="H679" s="5338"/>
      <c r="I679" s="5338"/>
      <c r="J679" s="5338"/>
      <c r="K679" s="5338"/>
      <c r="L679" s="5338"/>
      <c r="M679" s="5338"/>
      <c r="N679" s="5338"/>
      <c r="O679" s="5338"/>
      <c r="P679" s="5338"/>
      <c r="Q679" s="5346"/>
      <c r="R679" s="1309"/>
      <c r="S679" s="1310"/>
      <c r="T679" s="1310"/>
      <c r="U679" s="277"/>
      <c r="V679" s="1311"/>
      <c r="W679" s="416"/>
      <c r="X679" s="1312"/>
      <c r="Y679" s="1312"/>
      <c r="Z679" s="1312"/>
      <c r="AA679" s="1313"/>
      <c r="AB679" s="416"/>
      <c r="AC679" s="278"/>
      <c r="AD679" s="278"/>
      <c r="AE679" s="1314"/>
    </row>
    <row r="680" spans="1:31" ht="18" customHeight="1">
      <c r="A680" s="5629"/>
      <c r="B680" s="5572" t="s">
        <v>272</v>
      </c>
      <c r="C680" s="5336" t="s">
        <v>302</v>
      </c>
      <c r="D680" s="5336" t="s">
        <v>303</v>
      </c>
      <c r="E680" s="5336" t="s">
        <v>304</v>
      </c>
      <c r="F680" s="5341" t="s">
        <v>305</v>
      </c>
      <c r="G680" s="5336" t="s">
        <v>240</v>
      </c>
      <c r="H680" s="5336" t="s">
        <v>257</v>
      </c>
      <c r="I680" s="5618" t="s">
        <v>3150</v>
      </c>
      <c r="J680" s="5618" t="s">
        <v>3151</v>
      </c>
      <c r="K680" s="5618" t="s">
        <v>3146</v>
      </c>
      <c r="L680" s="5407">
        <v>0</v>
      </c>
      <c r="M680" s="5407">
        <v>1</v>
      </c>
      <c r="N680" s="5407">
        <v>1</v>
      </c>
      <c r="O680" s="5618" t="s">
        <v>3152</v>
      </c>
      <c r="P680" s="5618" t="s">
        <v>3153</v>
      </c>
      <c r="Q680" s="5620" t="s">
        <v>3249</v>
      </c>
      <c r="R680" s="1110"/>
      <c r="S680" s="1111"/>
      <c r="T680" s="1111"/>
      <c r="U680" s="1711"/>
      <c r="V680" s="1112"/>
      <c r="W680" s="1719"/>
      <c r="X680" s="1113"/>
      <c r="Y680" s="1113"/>
      <c r="Z680" s="1113"/>
      <c r="AA680" s="1114"/>
      <c r="AB680" s="1719"/>
      <c r="AC680" s="410"/>
      <c r="AD680" s="410"/>
      <c r="AE680" s="1308"/>
    </row>
    <row r="681" spans="1:31" ht="18" customHeight="1">
      <c r="A681" s="5629"/>
      <c r="B681" s="5573"/>
      <c r="C681" s="5337"/>
      <c r="D681" s="5337"/>
      <c r="E681" s="5337"/>
      <c r="F681" s="5337"/>
      <c r="G681" s="5337"/>
      <c r="H681" s="5337"/>
      <c r="I681" s="5337"/>
      <c r="J681" s="5337"/>
      <c r="K681" s="5337"/>
      <c r="L681" s="5337"/>
      <c r="M681" s="5337"/>
      <c r="N681" s="5337"/>
      <c r="O681" s="5337"/>
      <c r="P681" s="5337"/>
      <c r="Q681" s="5345"/>
      <c r="R681" s="1110"/>
      <c r="S681" s="1111"/>
      <c r="T681" s="1111"/>
      <c r="U681" s="1711"/>
      <c r="V681" s="1112"/>
      <c r="W681" s="1719"/>
      <c r="X681" s="1113"/>
      <c r="Y681" s="1113"/>
      <c r="Z681" s="1113"/>
      <c r="AA681" s="1114"/>
      <c r="AB681" s="1719"/>
      <c r="AC681" s="410"/>
      <c r="AD681" s="410"/>
      <c r="AE681" s="1308"/>
    </row>
    <row r="682" spans="1:31" ht="18" customHeight="1">
      <c r="A682" s="5629"/>
      <c r="B682" s="5573"/>
      <c r="C682" s="5337"/>
      <c r="D682" s="5337"/>
      <c r="E682" s="5337"/>
      <c r="F682" s="5337"/>
      <c r="G682" s="5337"/>
      <c r="H682" s="5337"/>
      <c r="I682" s="5337"/>
      <c r="J682" s="5337"/>
      <c r="K682" s="5337"/>
      <c r="L682" s="5337"/>
      <c r="M682" s="5337"/>
      <c r="N682" s="5337"/>
      <c r="O682" s="5337"/>
      <c r="P682" s="5337"/>
      <c r="Q682" s="5345"/>
      <c r="R682" s="1110"/>
      <c r="S682" s="1111"/>
      <c r="T682" s="1111"/>
      <c r="U682" s="1711"/>
      <c r="V682" s="1112"/>
      <c r="W682" s="1719"/>
      <c r="X682" s="1113"/>
      <c r="Y682" s="1113"/>
      <c r="Z682" s="1113"/>
      <c r="AA682" s="1114"/>
      <c r="AB682" s="1719"/>
      <c r="AC682" s="410"/>
      <c r="AD682" s="410"/>
      <c r="AE682" s="1308"/>
    </row>
    <row r="683" spans="1:31" ht="18" customHeight="1">
      <c r="A683" s="5629"/>
      <c r="B683" s="5573"/>
      <c r="C683" s="5337"/>
      <c r="D683" s="5337"/>
      <c r="E683" s="5337"/>
      <c r="F683" s="5337"/>
      <c r="G683" s="5337"/>
      <c r="H683" s="5337"/>
      <c r="I683" s="5337"/>
      <c r="J683" s="5337"/>
      <c r="K683" s="5337"/>
      <c r="L683" s="5337"/>
      <c r="M683" s="5337"/>
      <c r="N683" s="5337"/>
      <c r="O683" s="5337"/>
      <c r="P683" s="5337"/>
      <c r="Q683" s="5345"/>
      <c r="R683" s="1110"/>
      <c r="S683" s="1111"/>
      <c r="T683" s="1111"/>
      <c r="U683" s="1711"/>
      <c r="V683" s="1112"/>
      <c r="W683" s="1719"/>
      <c r="X683" s="1113"/>
      <c r="Y683" s="1113"/>
      <c r="Z683" s="1113"/>
      <c r="AA683" s="1114"/>
      <c r="AB683" s="1719"/>
      <c r="AC683" s="410"/>
      <c r="AD683" s="410"/>
      <c r="AE683" s="1308"/>
    </row>
    <row r="684" spans="1:31" ht="18" customHeight="1">
      <c r="A684" s="5629"/>
      <c r="B684" s="5574"/>
      <c r="C684" s="5338"/>
      <c r="D684" s="5338"/>
      <c r="E684" s="5338"/>
      <c r="F684" s="5338"/>
      <c r="G684" s="5338"/>
      <c r="H684" s="5338"/>
      <c r="I684" s="5338"/>
      <c r="J684" s="5338"/>
      <c r="K684" s="5338"/>
      <c r="L684" s="5338"/>
      <c r="M684" s="5338"/>
      <c r="N684" s="5338"/>
      <c r="O684" s="5338"/>
      <c r="P684" s="5338"/>
      <c r="Q684" s="5346"/>
      <c r="R684" s="1309"/>
      <c r="S684" s="1310"/>
      <c r="T684" s="1310"/>
      <c r="U684" s="277"/>
      <c r="V684" s="1311"/>
      <c r="W684" s="416"/>
      <c r="X684" s="1312"/>
      <c r="Y684" s="1312"/>
      <c r="Z684" s="1312"/>
      <c r="AA684" s="1313"/>
      <c r="AB684" s="416"/>
      <c r="AC684" s="278"/>
      <c r="AD684" s="278"/>
      <c r="AE684" s="1314"/>
    </row>
    <row r="685" spans="1:31" ht="18" customHeight="1">
      <c r="A685" s="5629"/>
      <c r="B685" s="5572" t="s">
        <v>272</v>
      </c>
      <c r="C685" s="5336" t="s">
        <v>302</v>
      </c>
      <c r="D685" s="5336" t="s">
        <v>274</v>
      </c>
      <c r="E685" s="5336" t="s">
        <v>885</v>
      </c>
      <c r="F685" s="5341" t="s">
        <v>305</v>
      </c>
      <c r="G685" s="5336" t="s">
        <v>262</v>
      </c>
      <c r="H685" s="5336" t="s">
        <v>241</v>
      </c>
      <c r="I685" s="5618" t="s">
        <v>3154</v>
      </c>
      <c r="J685" s="5618" t="s">
        <v>3155</v>
      </c>
      <c r="K685" s="5618" t="s">
        <v>3024</v>
      </c>
      <c r="L685" s="5619">
        <v>1</v>
      </c>
      <c r="M685" s="5619">
        <v>0</v>
      </c>
      <c r="N685" s="5619">
        <v>1</v>
      </c>
      <c r="O685" s="5618" t="s">
        <v>3156</v>
      </c>
      <c r="P685" s="5618" t="s">
        <v>3026</v>
      </c>
      <c r="Q685" s="5620" t="s">
        <v>3250</v>
      </c>
      <c r="R685" s="1110"/>
      <c r="S685" s="1111"/>
      <c r="T685" s="1111"/>
      <c r="U685" s="1711"/>
      <c r="V685" s="1112"/>
      <c r="W685" s="1719"/>
      <c r="X685" s="1113"/>
      <c r="Y685" s="1113"/>
      <c r="Z685" s="1113"/>
      <c r="AA685" s="1114"/>
      <c r="AB685" s="1719"/>
      <c r="AC685" s="410"/>
      <c r="AD685" s="410"/>
      <c r="AE685" s="1308"/>
    </row>
    <row r="686" spans="1:31" ht="18" customHeight="1">
      <c r="A686" s="5629"/>
      <c r="B686" s="5573"/>
      <c r="C686" s="5337"/>
      <c r="D686" s="5337"/>
      <c r="E686" s="5337"/>
      <c r="F686" s="5337"/>
      <c r="G686" s="5337"/>
      <c r="H686" s="5337"/>
      <c r="I686" s="5337"/>
      <c r="J686" s="5337"/>
      <c r="K686" s="5337"/>
      <c r="L686" s="5337"/>
      <c r="M686" s="5337"/>
      <c r="N686" s="5337"/>
      <c r="O686" s="5337"/>
      <c r="P686" s="5337"/>
      <c r="Q686" s="5345"/>
      <c r="R686" s="1110"/>
      <c r="S686" s="1111"/>
      <c r="T686" s="1111"/>
      <c r="U686" s="1711"/>
      <c r="V686" s="1112"/>
      <c r="W686" s="1719"/>
      <c r="X686" s="1113"/>
      <c r="Y686" s="1113"/>
      <c r="Z686" s="1113"/>
      <c r="AA686" s="1114"/>
      <c r="AB686" s="1719"/>
      <c r="AC686" s="410"/>
      <c r="AD686" s="410"/>
      <c r="AE686" s="1308"/>
    </row>
    <row r="687" spans="1:31" ht="18" customHeight="1">
      <c r="A687" s="5629"/>
      <c r="B687" s="5573"/>
      <c r="C687" s="5337"/>
      <c r="D687" s="5337"/>
      <c r="E687" s="5337"/>
      <c r="F687" s="5337"/>
      <c r="G687" s="5337"/>
      <c r="H687" s="5337"/>
      <c r="I687" s="5337"/>
      <c r="J687" s="5337"/>
      <c r="K687" s="5337"/>
      <c r="L687" s="5337"/>
      <c r="M687" s="5337"/>
      <c r="N687" s="5337"/>
      <c r="O687" s="5337"/>
      <c r="P687" s="5337"/>
      <c r="Q687" s="5345"/>
      <c r="R687" s="1110"/>
      <c r="S687" s="1111"/>
      <c r="T687" s="1111"/>
      <c r="U687" s="1711"/>
      <c r="V687" s="1112"/>
      <c r="W687" s="1719"/>
      <c r="X687" s="1113"/>
      <c r="Y687" s="1113"/>
      <c r="Z687" s="1113"/>
      <c r="AA687" s="1114"/>
      <c r="AB687" s="1719"/>
      <c r="AC687" s="410"/>
      <c r="AD687" s="410"/>
      <c r="AE687" s="1308"/>
    </row>
    <row r="688" spans="1:31" ht="18" customHeight="1">
      <c r="A688" s="5629"/>
      <c r="B688" s="5573"/>
      <c r="C688" s="5337"/>
      <c r="D688" s="5337"/>
      <c r="E688" s="5337"/>
      <c r="F688" s="5337"/>
      <c r="G688" s="5337"/>
      <c r="H688" s="5337"/>
      <c r="I688" s="5337"/>
      <c r="J688" s="5337"/>
      <c r="K688" s="5337"/>
      <c r="L688" s="5337"/>
      <c r="M688" s="5337"/>
      <c r="N688" s="5337"/>
      <c r="O688" s="5337"/>
      <c r="P688" s="5337"/>
      <c r="Q688" s="5345"/>
      <c r="R688" s="1110"/>
      <c r="S688" s="1111"/>
      <c r="T688" s="1111"/>
      <c r="U688" s="1711"/>
      <c r="V688" s="1112"/>
      <c r="W688" s="1719"/>
      <c r="X688" s="1113"/>
      <c r="Y688" s="1113"/>
      <c r="Z688" s="1113"/>
      <c r="AA688" s="1114"/>
      <c r="AB688" s="1719"/>
      <c r="AC688" s="410"/>
      <c r="AD688" s="410"/>
      <c r="AE688" s="1308"/>
    </row>
    <row r="689" spans="1:31" ht="18" customHeight="1">
      <c r="A689" s="5629"/>
      <c r="B689" s="5574"/>
      <c r="C689" s="5338"/>
      <c r="D689" s="5338"/>
      <c r="E689" s="5338"/>
      <c r="F689" s="5338"/>
      <c r="G689" s="5338"/>
      <c r="H689" s="5338"/>
      <c r="I689" s="5338"/>
      <c r="J689" s="5338"/>
      <c r="K689" s="5338"/>
      <c r="L689" s="5338"/>
      <c r="M689" s="5338"/>
      <c r="N689" s="5338"/>
      <c r="O689" s="5338"/>
      <c r="P689" s="5338"/>
      <c r="Q689" s="5346"/>
      <c r="R689" s="1309"/>
      <c r="S689" s="1310"/>
      <c r="T689" s="1310"/>
      <c r="U689" s="277"/>
      <c r="V689" s="1311"/>
      <c r="W689" s="416"/>
      <c r="X689" s="1312"/>
      <c r="Y689" s="1312"/>
      <c r="Z689" s="1312"/>
      <c r="AA689" s="1313"/>
      <c r="AB689" s="416"/>
      <c r="AC689" s="278"/>
      <c r="AD689" s="278"/>
      <c r="AE689" s="1314"/>
    </row>
    <row r="690" spans="1:31" ht="18" customHeight="1">
      <c r="A690" s="5629"/>
      <c r="B690" s="5627" t="s">
        <v>235</v>
      </c>
      <c r="C690" s="5347" t="s">
        <v>236</v>
      </c>
      <c r="D690" s="5347" t="s">
        <v>237</v>
      </c>
      <c r="E690" s="5347" t="s">
        <v>255</v>
      </c>
      <c r="F690" s="5353" t="s">
        <v>239</v>
      </c>
      <c r="G690" s="5336" t="s">
        <v>240</v>
      </c>
      <c r="H690" s="5336" t="s">
        <v>257</v>
      </c>
      <c r="I690" s="5618" t="s">
        <v>3158</v>
      </c>
      <c r="J690" s="5618" t="s">
        <v>3159</v>
      </c>
      <c r="K690" s="5618" t="s">
        <v>3160</v>
      </c>
      <c r="L690" s="5619">
        <v>1</v>
      </c>
      <c r="M690" s="5619">
        <v>2</v>
      </c>
      <c r="N690" s="5619">
        <v>2</v>
      </c>
      <c r="O690" s="5618" t="s">
        <v>3161</v>
      </c>
      <c r="P690" s="5618" t="s">
        <v>3162</v>
      </c>
      <c r="Q690" s="5620" t="s">
        <v>3249</v>
      </c>
      <c r="R690" s="1110"/>
      <c r="S690" s="1111"/>
      <c r="T690" s="1111"/>
      <c r="U690" s="1711"/>
      <c r="V690" s="1112"/>
      <c r="W690" s="1719"/>
      <c r="X690" s="1113"/>
      <c r="Y690" s="1113"/>
      <c r="Z690" s="1113"/>
      <c r="AA690" s="1114"/>
      <c r="AB690" s="1719"/>
      <c r="AC690" s="410"/>
      <c r="AD690" s="410"/>
      <c r="AE690" s="1308"/>
    </row>
    <row r="691" spans="1:31" ht="18" customHeight="1">
      <c r="A691" s="5629"/>
      <c r="B691" s="5573"/>
      <c r="C691" s="5337"/>
      <c r="D691" s="5337"/>
      <c r="E691" s="5337"/>
      <c r="F691" s="5337"/>
      <c r="G691" s="5337"/>
      <c r="H691" s="5337"/>
      <c r="I691" s="5337"/>
      <c r="J691" s="5337"/>
      <c r="K691" s="5337"/>
      <c r="L691" s="5337"/>
      <c r="M691" s="5337"/>
      <c r="N691" s="5337"/>
      <c r="O691" s="5337"/>
      <c r="P691" s="5337"/>
      <c r="Q691" s="5345"/>
      <c r="R691" s="1110"/>
      <c r="S691" s="1111"/>
      <c r="T691" s="1111"/>
      <c r="U691" s="1711"/>
      <c r="V691" s="1112"/>
      <c r="W691" s="1719"/>
      <c r="X691" s="1113"/>
      <c r="Y691" s="1113"/>
      <c r="Z691" s="1113"/>
      <c r="AA691" s="1114"/>
      <c r="AB691" s="1719"/>
      <c r="AC691" s="410"/>
      <c r="AD691" s="410"/>
      <c r="AE691" s="1308"/>
    </row>
    <row r="692" spans="1:31" ht="18" customHeight="1">
      <c r="A692" s="5629"/>
      <c r="B692" s="5573"/>
      <c r="C692" s="5337"/>
      <c r="D692" s="5337"/>
      <c r="E692" s="5337"/>
      <c r="F692" s="5337"/>
      <c r="G692" s="5337"/>
      <c r="H692" s="5337"/>
      <c r="I692" s="5337"/>
      <c r="J692" s="5337"/>
      <c r="K692" s="5337"/>
      <c r="L692" s="5337"/>
      <c r="M692" s="5337"/>
      <c r="N692" s="5337"/>
      <c r="O692" s="5337"/>
      <c r="P692" s="5337"/>
      <c r="Q692" s="5345"/>
      <c r="R692" s="1110"/>
      <c r="S692" s="1111"/>
      <c r="T692" s="1111"/>
      <c r="U692" s="1711"/>
      <c r="V692" s="1112"/>
      <c r="W692" s="1719"/>
      <c r="X692" s="1113"/>
      <c r="Y692" s="1113"/>
      <c r="Z692" s="1113"/>
      <c r="AA692" s="1114"/>
      <c r="AB692" s="1719"/>
      <c r="AC692" s="410"/>
      <c r="AD692" s="410"/>
      <c r="AE692" s="1308"/>
    </row>
    <row r="693" spans="1:31" ht="18" customHeight="1">
      <c r="A693" s="5629"/>
      <c r="B693" s="5573"/>
      <c r="C693" s="5337"/>
      <c r="D693" s="5337"/>
      <c r="E693" s="5337"/>
      <c r="F693" s="5337"/>
      <c r="G693" s="5337"/>
      <c r="H693" s="5337"/>
      <c r="I693" s="5337"/>
      <c r="J693" s="5337"/>
      <c r="K693" s="5337"/>
      <c r="L693" s="5337"/>
      <c r="M693" s="5337"/>
      <c r="N693" s="5337"/>
      <c r="O693" s="5337"/>
      <c r="P693" s="5337"/>
      <c r="Q693" s="5345"/>
      <c r="R693" s="1110"/>
      <c r="S693" s="1111"/>
      <c r="T693" s="1111"/>
      <c r="U693" s="1711"/>
      <c r="V693" s="1112"/>
      <c r="W693" s="1719"/>
      <c r="X693" s="1113"/>
      <c r="Y693" s="1113"/>
      <c r="Z693" s="1113"/>
      <c r="AA693" s="1114"/>
      <c r="AB693" s="1719"/>
      <c r="AC693" s="410"/>
      <c r="AD693" s="410"/>
      <c r="AE693" s="1308"/>
    </row>
    <row r="694" spans="1:31" ht="18" customHeight="1">
      <c r="A694" s="5629"/>
      <c r="B694" s="5574"/>
      <c r="C694" s="5338"/>
      <c r="D694" s="5338"/>
      <c r="E694" s="5338"/>
      <c r="F694" s="5338"/>
      <c r="G694" s="5338"/>
      <c r="H694" s="5338"/>
      <c r="I694" s="5337"/>
      <c r="J694" s="5337"/>
      <c r="K694" s="5337"/>
      <c r="L694" s="5337"/>
      <c r="M694" s="5337"/>
      <c r="N694" s="5337"/>
      <c r="O694" s="5337"/>
      <c r="P694" s="5337"/>
      <c r="Q694" s="5345"/>
      <c r="R694" s="1309"/>
      <c r="S694" s="1310"/>
      <c r="T694" s="1310"/>
      <c r="U694" s="277"/>
      <c r="V694" s="1311"/>
      <c r="W694" s="416"/>
      <c r="X694" s="1312"/>
      <c r="Y694" s="1312"/>
      <c r="Z694" s="1312"/>
      <c r="AA694" s="1313"/>
      <c r="AB694" s="416"/>
      <c r="AC694" s="278"/>
      <c r="AD694" s="278"/>
      <c r="AE694" s="1314"/>
    </row>
    <row r="695" spans="1:31" ht="18" customHeight="1">
      <c r="A695" s="5629"/>
      <c r="B695" s="5626" t="s">
        <v>272</v>
      </c>
      <c r="C695" s="5624" t="s">
        <v>302</v>
      </c>
      <c r="D695" s="5624" t="s">
        <v>303</v>
      </c>
      <c r="E695" s="5624" t="s">
        <v>304</v>
      </c>
      <c r="F695" s="5622" t="s">
        <v>305</v>
      </c>
      <c r="G695" s="5624" t="s">
        <v>240</v>
      </c>
      <c r="H695" s="5624" t="s">
        <v>257</v>
      </c>
      <c r="I695" s="5618" t="s">
        <v>3163</v>
      </c>
      <c r="J695" s="5618" t="s">
        <v>3164</v>
      </c>
      <c r="K695" s="5618" t="s">
        <v>3146</v>
      </c>
      <c r="L695" s="5619">
        <v>0</v>
      </c>
      <c r="M695" s="5619">
        <v>1</v>
      </c>
      <c r="N695" s="5619">
        <v>0</v>
      </c>
      <c r="O695" s="5618" t="s">
        <v>3165</v>
      </c>
      <c r="P695" s="5618" t="s">
        <v>3166</v>
      </c>
      <c r="Q695" s="5620" t="s">
        <v>3249</v>
      </c>
      <c r="R695" s="1110"/>
      <c r="S695" s="1111"/>
      <c r="T695" s="1111"/>
      <c r="U695" s="1711"/>
      <c r="V695" s="1112"/>
      <c r="W695" s="1719"/>
      <c r="X695" s="1113"/>
      <c r="Y695" s="1113"/>
      <c r="Z695" s="1113"/>
      <c r="AA695" s="1114"/>
      <c r="AB695" s="1719"/>
      <c r="AC695" s="410"/>
      <c r="AD695" s="410"/>
      <c r="AE695" s="1308"/>
    </row>
    <row r="696" spans="1:31" ht="18" customHeight="1">
      <c r="A696" s="5629"/>
      <c r="B696" s="5573"/>
      <c r="C696" s="5337"/>
      <c r="D696" s="5337"/>
      <c r="E696" s="5337"/>
      <c r="F696" s="5337"/>
      <c r="G696" s="5337"/>
      <c r="H696" s="5337"/>
      <c r="I696" s="5337"/>
      <c r="J696" s="5337"/>
      <c r="K696" s="5337"/>
      <c r="L696" s="5337"/>
      <c r="M696" s="5337"/>
      <c r="N696" s="5337"/>
      <c r="O696" s="5337"/>
      <c r="P696" s="5337"/>
      <c r="Q696" s="5345"/>
      <c r="R696" s="1110"/>
      <c r="S696" s="1111"/>
      <c r="T696" s="1111"/>
      <c r="U696" s="1711"/>
      <c r="V696" s="1112"/>
      <c r="W696" s="1719"/>
      <c r="X696" s="1113"/>
      <c r="Y696" s="1113"/>
      <c r="Z696" s="1113"/>
      <c r="AA696" s="1114"/>
      <c r="AB696" s="1719"/>
      <c r="AC696" s="410"/>
      <c r="AD696" s="410"/>
      <c r="AE696" s="1308"/>
    </row>
    <row r="697" spans="1:31" ht="18" customHeight="1">
      <c r="A697" s="5629"/>
      <c r="B697" s="5573"/>
      <c r="C697" s="5337"/>
      <c r="D697" s="5337"/>
      <c r="E697" s="5337"/>
      <c r="F697" s="5337"/>
      <c r="G697" s="5337"/>
      <c r="H697" s="5337"/>
      <c r="I697" s="5337"/>
      <c r="J697" s="5337"/>
      <c r="K697" s="5337"/>
      <c r="L697" s="5337"/>
      <c r="M697" s="5337"/>
      <c r="N697" s="5337"/>
      <c r="O697" s="5337"/>
      <c r="P697" s="5337"/>
      <c r="Q697" s="5345"/>
      <c r="R697" s="1110"/>
      <c r="S697" s="1111"/>
      <c r="T697" s="1111"/>
      <c r="U697" s="1711"/>
      <c r="V697" s="1112"/>
      <c r="W697" s="1719"/>
      <c r="X697" s="1113"/>
      <c r="Y697" s="1113"/>
      <c r="Z697" s="1113"/>
      <c r="AA697" s="1114"/>
      <c r="AB697" s="1719"/>
      <c r="AC697" s="410"/>
      <c r="AD697" s="410"/>
      <c r="AE697" s="1308"/>
    </row>
    <row r="698" spans="1:31" ht="18" customHeight="1">
      <c r="A698" s="5629"/>
      <c r="B698" s="5573"/>
      <c r="C698" s="5337"/>
      <c r="D698" s="5337"/>
      <c r="E698" s="5337"/>
      <c r="F698" s="5337"/>
      <c r="G698" s="5337"/>
      <c r="H698" s="5337"/>
      <c r="I698" s="5337"/>
      <c r="J698" s="5337"/>
      <c r="K698" s="5337"/>
      <c r="L698" s="5337"/>
      <c r="M698" s="5337"/>
      <c r="N698" s="5337"/>
      <c r="O698" s="5337"/>
      <c r="P698" s="5337"/>
      <c r="Q698" s="5345"/>
      <c r="R698" s="1110"/>
      <c r="S698" s="1111"/>
      <c r="T698" s="1111"/>
      <c r="U698" s="1711"/>
      <c r="V698" s="1112"/>
      <c r="W698" s="1719"/>
      <c r="X698" s="1113"/>
      <c r="Y698" s="1113"/>
      <c r="Z698" s="1113"/>
      <c r="AA698" s="1114"/>
      <c r="AB698" s="1719"/>
      <c r="AC698" s="410"/>
      <c r="AD698" s="410"/>
      <c r="AE698" s="1308"/>
    </row>
    <row r="699" spans="1:31" ht="18" customHeight="1">
      <c r="A699" s="5629"/>
      <c r="B699" s="5574"/>
      <c r="C699" s="5338"/>
      <c r="D699" s="5338"/>
      <c r="E699" s="5338"/>
      <c r="F699" s="5338"/>
      <c r="G699" s="5338"/>
      <c r="H699" s="5338"/>
      <c r="I699" s="5338"/>
      <c r="J699" s="5338"/>
      <c r="K699" s="5338"/>
      <c r="L699" s="5338"/>
      <c r="M699" s="5338"/>
      <c r="N699" s="5338"/>
      <c r="O699" s="5338"/>
      <c r="P699" s="5338"/>
      <c r="Q699" s="5346"/>
      <c r="R699" s="1309"/>
      <c r="S699" s="1310"/>
      <c r="T699" s="1310"/>
      <c r="U699" s="277"/>
      <c r="V699" s="1311"/>
      <c r="W699" s="416"/>
      <c r="X699" s="1312"/>
      <c r="Y699" s="1312"/>
      <c r="Z699" s="1312"/>
      <c r="AA699" s="1313"/>
      <c r="AB699" s="416"/>
      <c r="AC699" s="278"/>
      <c r="AD699" s="278"/>
      <c r="AE699" s="1314"/>
    </row>
    <row r="700" spans="1:31" ht="18" customHeight="1">
      <c r="A700" s="5629"/>
      <c r="B700" s="5626" t="s">
        <v>272</v>
      </c>
      <c r="C700" s="5624" t="s">
        <v>302</v>
      </c>
      <c r="D700" s="5624" t="s">
        <v>303</v>
      </c>
      <c r="E700" s="5624" t="s">
        <v>304</v>
      </c>
      <c r="F700" s="5622" t="s">
        <v>305</v>
      </c>
      <c r="G700" s="5624" t="s">
        <v>240</v>
      </c>
      <c r="H700" s="5624" t="s">
        <v>257</v>
      </c>
      <c r="I700" s="5618" t="s">
        <v>3167</v>
      </c>
      <c r="J700" s="5618" t="s">
        <v>3168</v>
      </c>
      <c r="K700" s="5618" t="s">
        <v>3006</v>
      </c>
      <c r="L700" s="5619">
        <v>2</v>
      </c>
      <c r="M700" s="5619">
        <v>0</v>
      </c>
      <c r="N700" s="5619">
        <v>2</v>
      </c>
      <c r="O700" s="5618" t="s">
        <v>3169</v>
      </c>
      <c r="P700" s="5618" t="s">
        <v>3170</v>
      </c>
      <c r="Q700" s="5620" t="s">
        <v>3249</v>
      </c>
      <c r="R700" s="1110"/>
      <c r="S700" s="1111"/>
      <c r="T700" s="1111"/>
      <c r="U700" s="1711"/>
      <c r="V700" s="1112"/>
      <c r="W700" s="1719"/>
      <c r="X700" s="1113"/>
      <c r="Y700" s="1113"/>
      <c r="Z700" s="1113"/>
      <c r="AA700" s="1114"/>
      <c r="AB700" s="1719"/>
      <c r="AC700" s="410"/>
      <c r="AD700" s="410"/>
      <c r="AE700" s="1308"/>
    </row>
    <row r="701" spans="1:31" ht="18" customHeight="1">
      <c r="A701" s="5629"/>
      <c r="B701" s="5573"/>
      <c r="C701" s="5337"/>
      <c r="D701" s="5337"/>
      <c r="E701" s="5337"/>
      <c r="F701" s="5337"/>
      <c r="G701" s="5337"/>
      <c r="H701" s="5337"/>
      <c r="I701" s="5337"/>
      <c r="J701" s="5337"/>
      <c r="K701" s="5337"/>
      <c r="L701" s="5337"/>
      <c r="M701" s="5337"/>
      <c r="N701" s="5337"/>
      <c r="O701" s="5337"/>
      <c r="P701" s="5337"/>
      <c r="Q701" s="5345"/>
      <c r="R701" s="1110"/>
      <c r="S701" s="1111"/>
      <c r="T701" s="1111"/>
      <c r="U701" s="1711"/>
      <c r="V701" s="1112"/>
      <c r="W701" s="1719"/>
      <c r="X701" s="1113"/>
      <c r="Y701" s="1113"/>
      <c r="Z701" s="1113"/>
      <c r="AA701" s="1114"/>
      <c r="AB701" s="1719"/>
      <c r="AC701" s="410"/>
      <c r="AD701" s="410"/>
      <c r="AE701" s="1308"/>
    </row>
    <row r="702" spans="1:31" ht="18" customHeight="1">
      <c r="A702" s="5629"/>
      <c r="B702" s="5573"/>
      <c r="C702" s="5337"/>
      <c r="D702" s="5337"/>
      <c r="E702" s="5337"/>
      <c r="F702" s="5337"/>
      <c r="G702" s="5337"/>
      <c r="H702" s="5337"/>
      <c r="I702" s="5337"/>
      <c r="J702" s="5337"/>
      <c r="K702" s="5337"/>
      <c r="L702" s="5337"/>
      <c r="M702" s="5337"/>
      <c r="N702" s="5337"/>
      <c r="O702" s="5337"/>
      <c r="P702" s="5337"/>
      <c r="Q702" s="5345"/>
      <c r="R702" s="1110"/>
      <c r="S702" s="1111"/>
      <c r="T702" s="1111"/>
      <c r="U702" s="1711"/>
      <c r="V702" s="1112"/>
      <c r="W702" s="1719"/>
      <c r="X702" s="1113"/>
      <c r="Y702" s="1113"/>
      <c r="Z702" s="1113"/>
      <c r="AA702" s="1114"/>
      <c r="AB702" s="1719"/>
      <c r="AC702" s="410"/>
      <c r="AD702" s="410"/>
      <c r="AE702" s="1308"/>
    </row>
    <row r="703" spans="1:31" ht="18" customHeight="1">
      <c r="A703" s="5629"/>
      <c r="B703" s="5573"/>
      <c r="C703" s="5337"/>
      <c r="D703" s="5337"/>
      <c r="E703" s="5337"/>
      <c r="F703" s="5337"/>
      <c r="G703" s="5337"/>
      <c r="H703" s="5337"/>
      <c r="I703" s="5337"/>
      <c r="J703" s="5337"/>
      <c r="K703" s="5337"/>
      <c r="L703" s="5337"/>
      <c r="M703" s="5337"/>
      <c r="N703" s="5337"/>
      <c r="O703" s="5337"/>
      <c r="P703" s="5337"/>
      <c r="Q703" s="5345"/>
      <c r="R703" s="1110"/>
      <c r="S703" s="1111"/>
      <c r="T703" s="1111"/>
      <c r="U703" s="1711"/>
      <c r="V703" s="1112"/>
      <c r="W703" s="1719"/>
      <c r="X703" s="1113"/>
      <c r="Y703" s="1113"/>
      <c r="Z703" s="1113"/>
      <c r="AA703" s="1114"/>
      <c r="AB703" s="1719"/>
      <c r="AC703" s="410"/>
      <c r="AD703" s="410"/>
      <c r="AE703" s="1308"/>
    </row>
    <row r="704" spans="1:31" ht="18" customHeight="1">
      <c r="A704" s="5629"/>
      <c r="B704" s="5574"/>
      <c r="C704" s="5338"/>
      <c r="D704" s="5338"/>
      <c r="E704" s="5338"/>
      <c r="F704" s="5338"/>
      <c r="G704" s="5338"/>
      <c r="H704" s="5338"/>
      <c r="I704" s="5337"/>
      <c r="J704" s="5337"/>
      <c r="K704" s="5337"/>
      <c r="L704" s="5337"/>
      <c r="M704" s="5337"/>
      <c r="N704" s="5337"/>
      <c r="O704" s="5337"/>
      <c r="P704" s="5337"/>
      <c r="Q704" s="5345"/>
      <c r="R704" s="1309"/>
      <c r="S704" s="1310"/>
      <c r="T704" s="1310"/>
      <c r="U704" s="277"/>
      <c r="V704" s="1311"/>
      <c r="W704" s="416"/>
      <c r="X704" s="1312"/>
      <c r="Y704" s="1312"/>
      <c r="Z704" s="1312"/>
      <c r="AA704" s="1313"/>
      <c r="AB704" s="416"/>
      <c r="AC704" s="278"/>
      <c r="AD704" s="278"/>
      <c r="AE704" s="1314"/>
    </row>
    <row r="705" spans="1:31" ht="18" customHeight="1">
      <c r="A705" s="5629"/>
      <c r="B705" s="5626" t="s">
        <v>272</v>
      </c>
      <c r="C705" s="5624" t="s">
        <v>302</v>
      </c>
      <c r="D705" s="5624" t="s">
        <v>303</v>
      </c>
      <c r="E705" s="5624" t="s">
        <v>304</v>
      </c>
      <c r="F705" s="5622" t="s">
        <v>305</v>
      </c>
      <c r="G705" s="5624" t="s">
        <v>240</v>
      </c>
      <c r="H705" s="5624" t="s">
        <v>257</v>
      </c>
      <c r="I705" s="5618" t="s">
        <v>3171</v>
      </c>
      <c r="J705" s="5618" t="s">
        <v>3172</v>
      </c>
      <c r="K705" s="5618" t="s">
        <v>3173</v>
      </c>
      <c r="L705" s="5619">
        <v>4</v>
      </c>
      <c r="M705" s="5619">
        <v>4</v>
      </c>
      <c r="N705" s="5619">
        <v>4</v>
      </c>
      <c r="O705" s="5618" t="s">
        <v>3174</v>
      </c>
      <c r="P705" s="5618" t="s">
        <v>3175</v>
      </c>
      <c r="Q705" s="5620" t="s">
        <v>3251</v>
      </c>
      <c r="R705" s="1110"/>
      <c r="S705" s="1111"/>
      <c r="T705" s="1111"/>
      <c r="U705" s="1711"/>
      <c r="V705" s="1112"/>
      <c r="W705" s="1719"/>
      <c r="X705" s="1113"/>
      <c r="Y705" s="1113"/>
      <c r="Z705" s="1113"/>
      <c r="AA705" s="1114"/>
      <c r="AB705" s="1719"/>
      <c r="AC705" s="410"/>
      <c r="AD705" s="410"/>
      <c r="AE705" s="1308"/>
    </row>
    <row r="706" spans="1:31" ht="18" customHeight="1">
      <c r="A706" s="5629"/>
      <c r="B706" s="5573"/>
      <c r="C706" s="5337"/>
      <c r="D706" s="5337"/>
      <c r="E706" s="5337"/>
      <c r="F706" s="5337"/>
      <c r="G706" s="5337"/>
      <c r="H706" s="5337"/>
      <c r="I706" s="5337"/>
      <c r="J706" s="5337"/>
      <c r="K706" s="5337"/>
      <c r="L706" s="5337"/>
      <c r="M706" s="5337"/>
      <c r="N706" s="5337"/>
      <c r="O706" s="5337"/>
      <c r="P706" s="5337"/>
      <c r="Q706" s="5345"/>
      <c r="R706" s="1110"/>
      <c r="S706" s="1111"/>
      <c r="T706" s="1111"/>
      <c r="U706" s="1711"/>
      <c r="V706" s="1112"/>
      <c r="W706" s="1719"/>
      <c r="X706" s="1113"/>
      <c r="Y706" s="1113"/>
      <c r="Z706" s="1113"/>
      <c r="AA706" s="1114"/>
      <c r="AB706" s="1719"/>
      <c r="AC706" s="410"/>
      <c r="AD706" s="410"/>
      <c r="AE706" s="1308"/>
    </row>
    <row r="707" spans="1:31" ht="18" customHeight="1">
      <c r="A707" s="5629"/>
      <c r="B707" s="5573"/>
      <c r="C707" s="5337"/>
      <c r="D707" s="5337"/>
      <c r="E707" s="5337"/>
      <c r="F707" s="5337"/>
      <c r="G707" s="5337"/>
      <c r="H707" s="5337"/>
      <c r="I707" s="5337"/>
      <c r="J707" s="5337"/>
      <c r="K707" s="5337"/>
      <c r="L707" s="5337"/>
      <c r="M707" s="5337"/>
      <c r="N707" s="5337"/>
      <c r="O707" s="5337"/>
      <c r="P707" s="5337"/>
      <c r="Q707" s="5345"/>
      <c r="R707" s="1110"/>
      <c r="S707" s="1111"/>
      <c r="T707" s="1111"/>
      <c r="U707" s="1711"/>
      <c r="V707" s="1112"/>
      <c r="W707" s="1719"/>
      <c r="X707" s="1113"/>
      <c r="Y707" s="1113"/>
      <c r="Z707" s="1113"/>
      <c r="AA707" s="1114"/>
      <c r="AB707" s="1719"/>
      <c r="AC707" s="410"/>
      <c r="AD707" s="410"/>
      <c r="AE707" s="1308"/>
    </row>
    <row r="708" spans="1:31" ht="18" customHeight="1">
      <c r="A708" s="5629"/>
      <c r="B708" s="5573"/>
      <c r="C708" s="5337"/>
      <c r="D708" s="5337"/>
      <c r="E708" s="5337"/>
      <c r="F708" s="5337"/>
      <c r="G708" s="5337"/>
      <c r="H708" s="5337"/>
      <c r="I708" s="5337"/>
      <c r="J708" s="5337"/>
      <c r="K708" s="5337"/>
      <c r="L708" s="5337"/>
      <c r="M708" s="5337"/>
      <c r="N708" s="5337"/>
      <c r="O708" s="5337"/>
      <c r="P708" s="5337"/>
      <c r="Q708" s="5345"/>
      <c r="R708" s="1110"/>
      <c r="S708" s="1111"/>
      <c r="T708" s="1111"/>
      <c r="U708" s="1711"/>
      <c r="V708" s="1112"/>
      <c r="W708" s="1719"/>
      <c r="X708" s="1113"/>
      <c r="Y708" s="1113"/>
      <c r="Z708" s="1113"/>
      <c r="AA708" s="1114"/>
      <c r="AB708" s="1719"/>
      <c r="AC708" s="410"/>
      <c r="AD708" s="410"/>
      <c r="AE708" s="1308"/>
    </row>
    <row r="709" spans="1:31" ht="18" customHeight="1">
      <c r="A709" s="5629"/>
      <c r="B709" s="5574"/>
      <c r="C709" s="5338"/>
      <c r="D709" s="5338"/>
      <c r="E709" s="5338"/>
      <c r="F709" s="5338"/>
      <c r="G709" s="5338"/>
      <c r="H709" s="5338"/>
      <c r="I709" s="5338"/>
      <c r="J709" s="5338"/>
      <c r="K709" s="5338"/>
      <c r="L709" s="5338"/>
      <c r="M709" s="5338"/>
      <c r="N709" s="5338"/>
      <c r="O709" s="5338"/>
      <c r="P709" s="5338"/>
      <c r="Q709" s="5346"/>
      <c r="R709" s="1309"/>
      <c r="S709" s="1310"/>
      <c r="T709" s="1310"/>
      <c r="U709" s="277"/>
      <c r="V709" s="1311"/>
      <c r="W709" s="416"/>
      <c r="X709" s="1312"/>
      <c r="Y709" s="1312"/>
      <c r="Z709" s="1312"/>
      <c r="AA709" s="1313"/>
      <c r="AB709" s="416"/>
      <c r="AC709" s="278"/>
      <c r="AD709" s="278"/>
      <c r="AE709" s="1314"/>
    </row>
    <row r="710" spans="1:31" ht="18" customHeight="1">
      <c r="A710" s="5629"/>
      <c r="B710" s="5626" t="s">
        <v>272</v>
      </c>
      <c r="C710" s="5624" t="s">
        <v>302</v>
      </c>
      <c r="D710" s="5624" t="s">
        <v>303</v>
      </c>
      <c r="E710" s="5624" t="s">
        <v>304</v>
      </c>
      <c r="F710" s="5622" t="s">
        <v>305</v>
      </c>
      <c r="G710" s="5624" t="s">
        <v>240</v>
      </c>
      <c r="H710" s="5624" t="s">
        <v>257</v>
      </c>
      <c r="I710" s="5618" t="s">
        <v>3177</v>
      </c>
      <c r="J710" s="5618" t="s">
        <v>3178</v>
      </c>
      <c r="K710" s="5618" t="s">
        <v>3146</v>
      </c>
      <c r="L710" s="5619">
        <v>1</v>
      </c>
      <c r="M710" s="5619">
        <v>1</v>
      </c>
      <c r="N710" s="5619">
        <v>1</v>
      </c>
      <c r="O710" s="5618" t="s">
        <v>3179</v>
      </c>
      <c r="P710" s="5618" t="s">
        <v>3180</v>
      </c>
      <c r="Q710" s="5620" t="s">
        <v>3251</v>
      </c>
      <c r="R710" s="1110"/>
      <c r="S710" s="1111"/>
      <c r="T710" s="1111"/>
      <c r="U710" s="1711"/>
      <c r="V710" s="1112"/>
      <c r="W710" s="1719"/>
      <c r="X710" s="1113"/>
      <c r="Y710" s="1113"/>
      <c r="Z710" s="1113"/>
      <c r="AA710" s="1114"/>
      <c r="AB710" s="1719"/>
      <c r="AC710" s="410"/>
      <c r="AD710" s="410"/>
      <c r="AE710" s="1308"/>
    </row>
    <row r="711" spans="1:31" ht="18" customHeight="1">
      <c r="A711" s="5629"/>
      <c r="B711" s="5573"/>
      <c r="C711" s="5337"/>
      <c r="D711" s="5337"/>
      <c r="E711" s="5337"/>
      <c r="F711" s="5337"/>
      <c r="G711" s="5337"/>
      <c r="H711" s="5337"/>
      <c r="I711" s="5337"/>
      <c r="J711" s="5337"/>
      <c r="K711" s="5337"/>
      <c r="L711" s="5337"/>
      <c r="M711" s="5337"/>
      <c r="N711" s="5337"/>
      <c r="O711" s="5337"/>
      <c r="P711" s="5337"/>
      <c r="Q711" s="5345"/>
      <c r="R711" s="1110"/>
      <c r="S711" s="1111"/>
      <c r="T711" s="1111"/>
      <c r="U711" s="1711"/>
      <c r="V711" s="1112"/>
      <c r="W711" s="1719"/>
      <c r="X711" s="1113"/>
      <c r="Y711" s="1113"/>
      <c r="Z711" s="1113"/>
      <c r="AA711" s="1114"/>
      <c r="AB711" s="1719"/>
      <c r="AC711" s="410"/>
      <c r="AD711" s="410"/>
      <c r="AE711" s="1308"/>
    </row>
    <row r="712" spans="1:31" ht="18" customHeight="1">
      <c r="A712" s="5629"/>
      <c r="B712" s="5573"/>
      <c r="C712" s="5337"/>
      <c r="D712" s="5337"/>
      <c r="E712" s="5337"/>
      <c r="F712" s="5337"/>
      <c r="G712" s="5337"/>
      <c r="H712" s="5337"/>
      <c r="I712" s="5337"/>
      <c r="J712" s="5337"/>
      <c r="K712" s="5337"/>
      <c r="L712" s="5337"/>
      <c r="M712" s="5337"/>
      <c r="N712" s="5337"/>
      <c r="O712" s="5337"/>
      <c r="P712" s="5337"/>
      <c r="Q712" s="5345"/>
      <c r="R712" s="1110"/>
      <c r="S712" s="1111"/>
      <c r="T712" s="1111"/>
      <c r="U712" s="1711"/>
      <c r="V712" s="1112"/>
      <c r="W712" s="1719"/>
      <c r="X712" s="1113"/>
      <c r="Y712" s="1113"/>
      <c r="Z712" s="1113"/>
      <c r="AA712" s="1114"/>
      <c r="AB712" s="1719"/>
      <c r="AC712" s="410"/>
      <c r="AD712" s="410"/>
      <c r="AE712" s="1308"/>
    </row>
    <row r="713" spans="1:31" ht="18" customHeight="1">
      <c r="A713" s="5629"/>
      <c r="B713" s="5573"/>
      <c r="C713" s="5337"/>
      <c r="D713" s="5337"/>
      <c r="E713" s="5337"/>
      <c r="F713" s="5337"/>
      <c r="G713" s="5337"/>
      <c r="H713" s="5337"/>
      <c r="I713" s="5337"/>
      <c r="J713" s="5337"/>
      <c r="K713" s="5337"/>
      <c r="L713" s="5337"/>
      <c r="M713" s="5337"/>
      <c r="N713" s="5337"/>
      <c r="O713" s="5337"/>
      <c r="P713" s="5337"/>
      <c r="Q713" s="5345"/>
      <c r="R713" s="1110"/>
      <c r="S713" s="1111"/>
      <c r="T713" s="1111"/>
      <c r="U713" s="1711"/>
      <c r="V713" s="1112"/>
      <c r="W713" s="1719"/>
      <c r="X713" s="1113"/>
      <c r="Y713" s="1113"/>
      <c r="Z713" s="1113"/>
      <c r="AA713" s="1114"/>
      <c r="AB713" s="1719"/>
      <c r="AC713" s="410"/>
      <c r="AD713" s="410"/>
      <c r="AE713" s="1308"/>
    </row>
    <row r="714" spans="1:31" ht="18" customHeight="1">
      <c r="A714" s="5629"/>
      <c r="B714" s="5574"/>
      <c r="C714" s="5338"/>
      <c r="D714" s="5338"/>
      <c r="E714" s="5338"/>
      <c r="F714" s="5338"/>
      <c r="G714" s="5338"/>
      <c r="H714" s="5338"/>
      <c r="I714" s="5338"/>
      <c r="J714" s="5338"/>
      <c r="K714" s="5338"/>
      <c r="L714" s="5338"/>
      <c r="M714" s="5338"/>
      <c r="N714" s="5338"/>
      <c r="O714" s="5338"/>
      <c r="P714" s="5338"/>
      <c r="Q714" s="5346"/>
      <c r="R714" s="1309"/>
      <c r="S714" s="1310"/>
      <c r="T714" s="1310"/>
      <c r="U714" s="277"/>
      <c r="V714" s="1311"/>
      <c r="W714" s="416"/>
      <c r="X714" s="1312"/>
      <c r="Y714" s="1312"/>
      <c r="Z714" s="1312"/>
      <c r="AA714" s="1313"/>
      <c r="AB714" s="416"/>
      <c r="AC714" s="278"/>
      <c r="AD714" s="278"/>
      <c r="AE714" s="1314"/>
    </row>
    <row r="715" spans="1:31" ht="18" customHeight="1">
      <c r="A715" s="5629"/>
      <c r="B715" s="5626" t="s">
        <v>272</v>
      </c>
      <c r="C715" s="5624" t="s">
        <v>302</v>
      </c>
      <c r="D715" s="5624" t="s">
        <v>303</v>
      </c>
      <c r="E715" s="5624" t="s">
        <v>304</v>
      </c>
      <c r="F715" s="5622" t="s">
        <v>305</v>
      </c>
      <c r="G715" s="5624" t="s">
        <v>240</v>
      </c>
      <c r="H715" s="5624" t="s">
        <v>257</v>
      </c>
      <c r="I715" s="5618" t="s">
        <v>3181</v>
      </c>
      <c r="J715" s="5618" t="s">
        <v>3182</v>
      </c>
      <c r="K715" s="5618" t="s">
        <v>3173</v>
      </c>
      <c r="L715" s="5619">
        <v>0</v>
      </c>
      <c r="M715" s="5619">
        <v>1</v>
      </c>
      <c r="N715" s="5619">
        <v>1</v>
      </c>
      <c r="O715" s="5618" t="s">
        <v>3183</v>
      </c>
      <c r="P715" s="5618" t="s">
        <v>3184</v>
      </c>
      <c r="Q715" s="5620" t="s">
        <v>3251</v>
      </c>
      <c r="R715" s="1110"/>
      <c r="S715" s="1111"/>
      <c r="T715" s="1111"/>
      <c r="U715" s="1711"/>
      <c r="V715" s="1112"/>
      <c r="W715" s="1719"/>
      <c r="X715" s="1113"/>
      <c r="Y715" s="1113"/>
      <c r="Z715" s="1113"/>
      <c r="AA715" s="1114"/>
      <c r="AB715" s="1719"/>
      <c r="AC715" s="410"/>
      <c r="AD715" s="410"/>
      <c r="AE715" s="1308"/>
    </row>
    <row r="716" spans="1:31" ht="18" customHeight="1">
      <c r="A716" s="5629"/>
      <c r="B716" s="5573"/>
      <c r="C716" s="5337"/>
      <c r="D716" s="5337"/>
      <c r="E716" s="5337"/>
      <c r="F716" s="5337"/>
      <c r="G716" s="5337"/>
      <c r="H716" s="5337"/>
      <c r="I716" s="5337"/>
      <c r="J716" s="5337"/>
      <c r="K716" s="5337"/>
      <c r="L716" s="5337"/>
      <c r="M716" s="5337"/>
      <c r="N716" s="5337"/>
      <c r="O716" s="5337"/>
      <c r="P716" s="5337"/>
      <c r="Q716" s="5345"/>
      <c r="R716" s="1110"/>
      <c r="S716" s="1111"/>
      <c r="T716" s="1111"/>
      <c r="U716" s="1711"/>
      <c r="V716" s="1112"/>
      <c r="W716" s="1719"/>
      <c r="X716" s="1113"/>
      <c r="Y716" s="1113"/>
      <c r="Z716" s="1113"/>
      <c r="AA716" s="1114"/>
      <c r="AB716" s="1719"/>
      <c r="AC716" s="410"/>
      <c r="AD716" s="410"/>
      <c r="AE716" s="1308"/>
    </row>
    <row r="717" spans="1:31" ht="18" customHeight="1">
      <c r="A717" s="5629"/>
      <c r="B717" s="5573"/>
      <c r="C717" s="5337"/>
      <c r="D717" s="5337"/>
      <c r="E717" s="5337"/>
      <c r="F717" s="5337"/>
      <c r="G717" s="5337"/>
      <c r="H717" s="5337"/>
      <c r="I717" s="5337"/>
      <c r="J717" s="5337"/>
      <c r="K717" s="5337"/>
      <c r="L717" s="5337"/>
      <c r="M717" s="5337"/>
      <c r="N717" s="5337"/>
      <c r="O717" s="5337"/>
      <c r="P717" s="5337"/>
      <c r="Q717" s="5345"/>
      <c r="R717" s="1110"/>
      <c r="S717" s="1111"/>
      <c r="T717" s="1111"/>
      <c r="U717" s="1711"/>
      <c r="V717" s="1112"/>
      <c r="W717" s="1719"/>
      <c r="X717" s="1113"/>
      <c r="Y717" s="1113"/>
      <c r="Z717" s="1113"/>
      <c r="AA717" s="1114"/>
      <c r="AB717" s="1719"/>
      <c r="AC717" s="410"/>
      <c r="AD717" s="410"/>
      <c r="AE717" s="1308"/>
    </row>
    <row r="718" spans="1:31" ht="18" customHeight="1">
      <c r="A718" s="5629"/>
      <c r="B718" s="5573"/>
      <c r="C718" s="5337"/>
      <c r="D718" s="5337"/>
      <c r="E718" s="5337"/>
      <c r="F718" s="5337"/>
      <c r="G718" s="5337"/>
      <c r="H718" s="5337"/>
      <c r="I718" s="5337"/>
      <c r="J718" s="5337"/>
      <c r="K718" s="5337"/>
      <c r="L718" s="5337"/>
      <c r="M718" s="5337"/>
      <c r="N718" s="5337"/>
      <c r="O718" s="5337"/>
      <c r="P718" s="5337"/>
      <c r="Q718" s="5345"/>
      <c r="R718" s="1110"/>
      <c r="S718" s="1111"/>
      <c r="T718" s="1111"/>
      <c r="U718" s="1711"/>
      <c r="V718" s="1112"/>
      <c r="W718" s="1719"/>
      <c r="X718" s="1113"/>
      <c r="Y718" s="1113"/>
      <c r="Z718" s="1113"/>
      <c r="AA718" s="1114"/>
      <c r="AB718" s="1719"/>
      <c r="AC718" s="410"/>
      <c r="AD718" s="410"/>
      <c r="AE718" s="1308"/>
    </row>
    <row r="719" spans="1:31" ht="18" customHeight="1">
      <c r="A719" s="5629"/>
      <c r="B719" s="5574"/>
      <c r="C719" s="5338"/>
      <c r="D719" s="5338"/>
      <c r="E719" s="5338"/>
      <c r="F719" s="5338"/>
      <c r="G719" s="5338"/>
      <c r="H719" s="5338"/>
      <c r="I719" s="5338"/>
      <c r="J719" s="5338"/>
      <c r="K719" s="5338"/>
      <c r="L719" s="5338"/>
      <c r="M719" s="5338"/>
      <c r="N719" s="5338"/>
      <c r="O719" s="5338"/>
      <c r="P719" s="5338"/>
      <c r="Q719" s="5346"/>
      <c r="R719" s="1309"/>
      <c r="S719" s="1310"/>
      <c r="T719" s="1310"/>
      <c r="U719" s="277"/>
      <c r="V719" s="1311"/>
      <c r="W719" s="416"/>
      <c r="X719" s="1312"/>
      <c r="Y719" s="1312"/>
      <c r="Z719" s="1312"/>
      <c r="AA719" s="1313"/>
      <c r="AB719" s="416"/>
      <c r="AC719" s="278"/>
      <c r="AD719" s="278"/>
      <c r="AE719" s="1314"/>
    </row>
    <row r="720" spans="1:31" ht="18" customHeight="1">
      <c r="A720" s="5629"/>
      <c r="B720" s="5627" t="s">
        <v>235</v>
      </c>
      <c r="C720" s="5347" t="s">
        <v>236</v>
      </c>
      <c r="D720" s="5347" t="s">
        <v>237</v>
      </c>
      <c r="E720" s="5347" t="s">
        <v>255</v>
      </c>
      <c r="F720" s="5353" t="s">
        <v>239</v>
      </c>
      <c r="G720" s="5336" t="s">
        <v>240</v>
      </c>
      <c r="H720" s="5336" t="s">
        <v>257</v>
      </c>
      <c r="I720" s="5618" t="s">
        <v>3185</v>
      </c>
      <c r="J720" s="5618" t="s">
        <v>3186</v>
      </c>
      <c r="K720" s="5618" t="s">
        <v>3187</v>
      </c>
      <c r="L720" s="5619">
        <v>1</v>
      </c>
      <c r="M720" s="5619">
        <v>1</v>
      </c>
      <c r="N720" s="5619">
        <v>1</v>
      </c>
      <c r="O720" s="5618" t="s">
        <v>3188</v>
      </c>
      <c r="P720" s="5618" t="s">
        <v>3189</v>
      </c>
      <c r="Q720" s="5620" t="s">
        <v>3249</v>
      </c>
      <c r="R720" s="1110"/>
      <c r="S720" s="1111"/>
      <c r="T720" s="1111"/>
      <c r="U720" s="1711"/>
      <c r="V720" s="1112"/>
      <c r="W720" s="1719"/>
      <c r="X720" s="1113"/>
      <c r="Y720" s="1113"/>
      <c r="Z720" s="1113"/>
      <c r="AA720" s="1114"/>
      <c r="AB720" s="1719"/>
      <c r="AC720" s="410"/>
      <c r="AD720" s="410"/>
      <c r="AE720" s="1308"/>
    </row>
    <row r="721" spans="1:31" ht="18" customHeight="1">
      <c r="A721" s="5629"/>
      <c r="B721" s="5573"/>
      <c r="C721" s="5337"/>
      <c r="D721" s="5337"/>
      <c r="E721" s="5337"/>
      <c r="F721" s="5337"/>
      <c r="G721" s="5337"/>
      <c r="H721" s="5337"/>
      <c r="I721" s="5337"/>
      <c r="J721" s="5337"/>
      <c r="K721" s="5337"/>
      <c r="L721" s="5337"/>
      <c r="M721" s="5337"/>
      <c r="N721" s="5337"/>
      <c r="O721" s="5337"/>
      <c r="P721" s="5337"/>
      <c r="Q721" s="5345"/>
      <c r="R721" s="1110"/>
      <c r="S721" s="1111"/>
      <c r="T721" s="1111"/>
      <c r="U721" s="1711"/>
      <c r="V721" s="1112"/>
      <c r="W721" s="1719"/>
      <c r="X721" s="1113"/>
      <c r="Y721" s="1113"/>
      <c r="Z721" s="1113"/>
      <c r="AA721" s="1114"/>
      <c r="AB721" s="1719"/>
      <c r="AC721" s="410"/>
      <c r="AD721" s="410"/>
      <c r="AE721" s="1308"/>
    </row>
    <row r="722" spans="1:31" ht="18" customHeight="1">
      <c r="A722" s="5629"/>
      <c r="B722" s="5573"/>
      <c r="C722" s="5337"/>
      <c r="D722" s="5337"/>
      <c r="E722" s="5337"/>
      <c r="F722" s="5337"/>
      <c r="G722" s="5337"/>
      <c r="H722" s="5337"/>
      <c r="I722" s="5337"/>
      <c r="J722" s="5337"/>
      <c r="K722" s="5337"/>
      <c r="L722" s="5337"/>
      <c r="M722" s="5337"/>
      <c r="N722" s="5337"/>
      <c r="O722" s="5337"/>
      <c r="P722" s="5337"/>
      <c r="Q722" s="5345"/>
      <c r="R722" s="1110"/>
      <c r="S722" s="1111"/>
      <c r="T722" s="1111"/>
      <c r="U722" s="1711"/>
      <c r="V722" s="1112"/>
      <c r="W722" s="1719"/>
      <c r="X722" s="1113"/>
      <c r="Y722" s="1113"/>
      <c r="Z722" s="1113"/>
      <c r="AA722" s="1114"/>
      <c r="AB722" s="1719"/>
      <c r="AC722" s="410"/>
      <c r="AD722" s="410"/>
      <c r="AE722" s="1308"/>
    </row>
    <row r="723" spans="1:31" ht="18" customHeight="1">
      <c r="A723" s="5629"/>
      <c r="B723" s="5573"/>
      <c r="C723" s="5337"/>
      <c r="D723" s="5337"/>
      <c r="E723" s="5337"/>
      <c r="F723" s="5337"/>
      <c r="G723" s="5337"/>
      <c r="H723" s="5337"/>
      <c r="I723" s="5337"/>
      <c r="J723" s="5337"/>
      <c r="K723" s="5337"/>
      <c r="L723" s="5337"/>
      <c r="M723" s="5337"/>
      <c r="N723" s="5337"/>
      <c r="O723" s="5337"/>
      <c r="P723" s="5337"/>
      <c r="Q723" s="5345"/>
      <c r="R723" s="1110"/>
      <c r="S723" s="1111"/>
      <c r="T723" s="1111"/>
      <c r="U723" s="1711"/>
      <c r="V723" s="1112"/>
      <c r="W723" s="1719"/>
      <c r="X723" s="1113"/>
      <c r="Y723" s="1113"/>
      <c r="Z723" s="1113"/>
      <c r="AA723" s="1114"/>
      <c r="AB723" s="1719"/>
      <c r="AC723" s="410"/>
      <c r="AD723" s="410"/>
      <c r="AE723" s="1308"/>
    </row>
    <row r="724" spans="1:31" ht="18" customHeight="1">
      <c r="A724" s="5629"/>
      <c r="B724" s="5574"/>
      <c r="C724" s="5338"/>
      <c r="D724" s="5338"/>
      <c r="E724" s="5338"/>
      <c r="F724" s="5338"/>
      <c r="G724" s="5338"/>
      <c r="H724" s="5338"/>
      <c r="I724" s="5338"/>
      <c r="J724" s="5338"/>
      <c r="K724" s="5338"/>
      <c r="L724" s="5338"/>
      <c r="M724" s="5338"/>
      <c r="N724" s="5338"/>
      <c r="O724" s="5338"/>
      <c r="P724" s="5338"/>
      <c r="Q724" s="5346"/>
      <c r="R724" s="1309"/>
      <c r="S724" s="1310"/>
      <c r="T724" s="1310"/>
      <c r="U724" s="277"/>
      <c r="V724" s="1311"/>
      <c r="W724" s="416"/>
      <c r="X724" s="1312"/>
      <c r="Y724" s="1312"/>
      <c r="Z724" s="1312"/>
      <c r="AA724" s="1313"/>
      <c r="AB724" s="416"/>
      <c r="AC724" s="278"/>
      <c r="AD724" s="278"/>
      <c r="AE724" s="1314"/>
    </row>
    <row r="725" spans="1:31" ht="18" customHeight="1">
      <c r="A725" s="5629"/>
      <c r="B725" s="5626" t="s">
        <v>272</v>
      </c>
      <c r="C725" s="5624" t="s">
        <v>302</v>
      </c>
      <c r="D725" s="5624" t="s">
        <v>303</v>
      </c>
      <c r="E725" s="5624" t="s">
        <v>304</v>
      </c>
      <c r="F725" s="5622" t="s">
        <v>305</v>
      </c>
      <c r="G725" s="5624" t="s">
        <v>240</v>
      </c>
      <c r="H725" s="5624" t="s">
        <v>257</v>
      </c>
      <c r="I725" s="5618" t="s">
        <v>3190</v>
      </c>
      <c r="J725" s="5618" t="s">
        <v>3191</v>
      </c>
      <c r="K725" s="5618" t="s">
        <v>2995</v>
      </c>
      <c r="L725" s="5619">
        <v>0</v>
      </c>
      <c r="M725" s="5619">
        <v>1</v>
      </c>
      <c r="N725" s="5619">
        <v>0</v>
      </c>
      <c r="O725" s="5618" t="s">
        <v>2996</v>
      </c>
      <c r="P725" s="5618" t="s">
        <v>2997</v>
      </c>
      <c r="Q725" s="5620" t="s">
        <v>3251</v>
      </c>
      <c r="R725" s="1110"/>
      <c r="S725" s="1111"/>
      <c r="T725" s="1111"/>
      <c r="U725" s="1711"/>
      <c r="V725" s="1112"/>
      <c r="W725" s="1719"/>
      <c r="X725" s="1113"/>
      <c r="Y725" s="1113"/>
      <c r="Z725" s="1113"/>
      <c r="AA725" s="1114"/>
      <c r="AB725" s="1719"/>
      <c r="AC725" s="410"/>
      <c r="AD725" s="410"/>
      <c r="AE725" s="1308"/>
    </row>
    <row r="726" spans="1:31" ht="18" customHeight="1">
      <c r="A726" s="5629"/>
      <c r="B726" s="5573"/>
      <c r="C726" s="5337"/>
      <c r="D726" s="5337"/>
      <c r="E726" s="5337"/>
      <c r="F726" s="5337"/>
      <c r="G726" s="5337"/>
      <c r="H726" s="5337"/>
      <c r="I726" s="5337"/>
      <c r="J726" s="5337"/>
      <c r="K726" s="5337"/>
      <c r="L726" s="5337"/>
      <c r="M726" s="5337"/>
      <c r="N726" s="5337"/>
      <c r="O726" s="5337"/>
      <c r="P726" s="5337"/>
      <c r="Q726" s="5345"/>
      <c r="R726" s="1110"/>
      <c r="S726" s="1111"/>
      <c r="T726" s="1111"/>
      <c r="U726" s="1711"/>
      <c r="V726" s="1112"/>
      <c r="W726" s="1719"/>
      <c r="X726" s="1113"/>
      <c r="Y726" s="1113"/>
      <c r="Z726" s="1113"/>
      <c r="AA726" s="1114"/>
      <c r="AB726" s="1719"/>
      <c r="AC726" s="410"/>
      <c r="AD726" s="410"/>
      <c r="AE726" s="1308"/>
    </row>
    <row r="727" spans="1:31" ht="18" customHeight="1">
      <c r="A727" s="5629"/>
      <c r="B727" s="5573"/>
      <c r="C727" s="5337"/>
      <c r="D727" s="5337"/>
      <c r="E727" s="5337"/>
      <c r="F727" s="5337"/>
      <c r="G727" s="5337"/>
      <c r="H727" s="5337"/>
      <c r="I727" s="5337"/>
      <c r="J727" s="5337"/>
      <c r="K727" s="5337"/>
      <c r="L727" s="5337"/>
      <c r="M727" s="5337"/>
      <c r="N727" s="5337"/>
      <c r="O727" s="5337"/>
      <c r="P727" s="5337"/>
      <c r="Q727" s="5345"/>
      <c r="R727" s="1110"/>
      <c r="S727" s="1111"/>
      <c r="T727" s="1111"/>
      <c r="U727" s="1711"/>
      <c r="V727" s="1112"/>
      <c r="W727" s="1719"/>
      <c r="X727" s="1113"/>
      <c r="Y727" s="1113"/>
      <c r="Z727" s="1113"/>
      <c r="AA727" s="1114"/>
      <c r="AB727" s="1719"/>
      <c r="AC727" s="410"/>
      <c r="AD727" s="410"/>
      <c r="AE727" s="1308"/>
    </row>
    <row r="728" spans="1:31" ht="18" customHeight="1">
      <c r="A728" s="5629"/>
      <c r="B728" s="5573"/>
      <c r="C728" s="5337"/>
      <c r="D728" s="5337"/>
      <c r="E728" s="5337"/>
      <c r="F728" s="5337"/>
      <c r="G728" s="5337"/>
      <c r="H728" s="5337"/>
      <c r="I728" s="5337"/>
      <c r="J728" s="5337"/>
      <c r="K728" s="5337"/>
      <c r="L728" s="5337"/>
      <c r="M728" s="5337"/>
      <c r="N728" s="5337"/>
      <c r="O728" s="5337"/>
      <c r="P728" s="5337"/>
      <c r="Q728" s="5345"/>
      <c r="R728" s="1110"/>
      <c r="S728" s="1111"/>
      <c r="T728" s="1111"/>
      <c r="U728" s="1711"/>
      <c r="V728" s="1112"/>
      <c r="W728" s="1719"/>
      <c r="X728" s="1113"/>
      <c r="Y728" s="1113"/>
      <c r="Z728" s="1113"/>
      <c r="AA728" s="1114"/>
      <c r="AB728" s="1719"/>
      <c r="AC728" s="410"/>
      <c r="AD728" s="410"/>
      <c r="AE728" s="1308"/>
    </row>
    <row r="729" spans="1:31" ht="18" customHeight="1">
      <c r="A729" s="5629"/>
      <c r="B729" s="5574"/>
      <c r="C729" s="5338"/>
      <c r="D729" s="5338"/>
      <c r="E729" s="5338"/>
      <c r="F729" s="5338"/>
      <c r="G729" s="5338"/>
      <c r="H729" s="5338"/>
      <c r="I729" s="5338"/>
      <c r="J729" s="5338"/>
      <c r="K729" s="5338"/>
      <c r="L729" s="5338"/>
      <c r="M729" s="5338"/>
      <c r="N729" s="5338"/>
      <c r="O729" s="5338"/>
      <c r="P729" s="5338"/>
      <c r="Q729" s="5346"/>
      <c r="R729" s="1309"/>
      <c r="S729" s="1310"/>
      <c r="T729" s="1310"/>
      <c r="U729" s="277"/>
      <c r="V729" s="1311"/>
      <c r="W729" s="416"/>
      <c r="X729" s="1312"/>
      <c r="Y729" s="1312"/>
      <c r="Z729" s="1312"/>
      <c r="AA729" s="1313"/>
      <c r="AB729" s="416"/>
      <c r="AC729" s="278"/>
      <c r="AD729" s="278"/>
      <c r="AE729" s="1314"/>
    </row>
    <row r="730" spans="1:31" ht="18" customHeight="1">
      <c r="A730" s="5629"/>
      <c r="B730" s="5626" t="s">
        <v>272</v>
      </c>
      <c r="C730" s="5624" t="s">
        <v>302</v>
      </c>
      <c r="D730" s="5624" t="s">
        <v>303</v>
      </c>
      <c r="E730" s="5624" t="s">
        <v>304</v>
      </c>
      <c r="F730" s="5622" t="s">
        <v>305</v>
      </c>
      <c r="G730" s="5336" t="s">
        <v>262</v>
      </c>
      <c r="H730" s="5336" t="s">
        <v>241</v>
      </c>
      <c r="I730" s="5336" t="s">
        <v>3192</v>
      </c>
      <c r="J730" s="5623" t="s">
        <v>3193</v>
      </c>
      <c r="K730" s="5336" t="s">
        <v>3146</v>
      </c>
      <c r="L730" s="5343">
        <v>1</v>
      </c>
      <c r="M730" s="5399">
        <v>1</v>
      </c>
      <c r="N730" s="5343">
        <v>1</v>
      </c>
      <c r="O730" s="5336" t="s">
        <v>3194</v>
      </c>
      <c r="P730" s="5336" t="s">
        <v>3195</v>
      </c>
      <c r="Q730" s="5370" t="s">
        <v>3252</v>
      </c>
      <c r="R730" s="970"/>
      <c r="S730" s="967"/>
      <c r="T730" s="967"/>
      <c r="U730" s="176"/>
      <c r="V730" s="968"/>
      <c r="W730" s="414"/>
      <c r="X730" s="973"/>
      <c r="Y730" s="973"/>
      <c r="Z730" s="973"/>
      <c r="AA730" s="981"/>
      <c r="AB730" s="414"/>
      <c r="AC730" s="174"/>
      <c r="AD730" s="174"/>
      <c r="AE730" s="5415"/>
    </row>
    <row r="731" spans="1:31" ht="18" customHeight="1">
      <c r="A731" s="5629"/>
      <c r="B731" s="5573"/>
      <c r="C731" s="5337"/>
      <c r="D731" s="5337"/>
      <c r="E731" s="5337"/>
      <c r="F731" s="5337"/>
      <c r="G731" s="5337"/>
      <c r="H731" s="5337"/>
      <c r="I731" s="5337"/>
      <c r="J731" s="5337"/>
      <c r="K731" s="5337"/>
      <c r="L731" s="5337"/>
      <c r="M731" s="5337"/>
      <c r="N731" s="5337"/>
      <c r="O731" s="5337"/>
      <c r="P731" s="5337"/>
      <c r="Q731" s="5345"/>
      <c r="R731" s="982"/>
      <c r="S731" s="983"/>
      <c r="T731" s="983"/>
      <c r="U731" s="169"/>
      <c r="V731" s="984"/>
      <c r="W731" s="170"/>
      <c r="X731" s="974"/>
      <c r="Y731" s="974">
        <f t="shared" ref="Y731:Y734" si="134">+V731*X731</f>
        <v>0</v>
      </c>
      <c r="Z731" s="974">
        <f t="shared" ref="Z731:Z734" si="135">+Y731*1.12</f>
        <v>0</v>
      </c>
      <c r="AA731" s="969"/>
      <c r="AB731" s="170"/>
      <c r="AC731" s="282"/>
      <c r="AD731" s="282"/>
      <c r="AE731" s="5416"/>
    </row>
    <row r="732" spans="1:31" ht="18" customHeight="1">
      <c r="A732" s="5629"/>
      <c r="B732" s="5573"/>
      <c r="C732" s="5337"/>
      <c r="D732" s="5337"/>
      <c r="E732" s="5337"/>
      <c r="F732" s="5337"/>
      <c r="G732" s="5337"/>
      <c r="H732" s="5337"/>
      <c r="I732" s="5337"/>
      <c r="J732" s="5337"/>
      <c r="K732" s="5337"/>
      <c r="L732" s="5337"/>
      <c r="M732" s="5337"/>
      <c r="N732" s="5337"/>
      <c r="O732" s="5337"/>
      <c r="P732" s="5337"/>
      <c r="Q732" s="5345"/>
      <c r="R732" s="971"/>
      <c r="S732" s="972"/>
      <c r="T732" s="972"/>
      <c r="U732" s="1217"/>
      <c r="V732" s="968"/>
      <c r="W732" s="414"/>
      <c r="X732" s="973"/>
      <c r="Y732" s="974">
        <f t="shared" si="134"/>
        <v>0</v>
      </c>
      <c r="Z732" s="974">
        <f t="shared" si="135"/>
        <v>0</v>
      </c>
      <c r="AA732" s="969"/>
      <c r="AB732" s="170"/>
      <c r="AC732" s="282"/>
      <c r="AD732" s="282"/>
      <c r="AE732" s="5416"/>
    </row>
    <row r="733" spans="1:31" ht="18" customHeight="1">
      <c r="A733" s="5629"/>
      <c r="B733" s="5573"/>
      <c r="C733" s="5337"/>
      <c r="D733" s="5337"/>
      <c r="E733" s="5337"/>
      <c r="F733" s="5337"/>
      <c r="G733" s="5337"/>
      <c r="H733" s="5337"/>
      <c r="I733" s="5337"/>
      <c r="J733" s="5337"/>
      <c r="K733" s="5337"/>
      <c r="L733" s="5337"/>
      <c r="M733" s="5337"/>
      <c r="N733" s="5337"/>
      <c r="O733" s="5337"/>
      <c r="P733" s="5337"/>
      <c r="Q733" s="5345"/>
      <c r="R733" s="970"/>
      <c r="S733" s="967"/>
      <c r="T733" s="967"/>
      <c r="U733" s="1217"/>
      <c r="V733" s="968"/>
      <c r="W733" s="414"/>
      <c r="X733" s="973"/>
      <c r="Y733" s="974">
        <f t="shared" si="134"/>
        <v>0</v>
      </c>
      <c r="Z733" s="974">
        <f t="shared" si="135"/>
        <v>0</v>
      </c>
      <c r="AA733" s="969"/>
      <c r="AB733" s="170"/>
      <c r="AC733" s="282"/>
      <c r="AD733" s="282"/>
      <c r="AE733" s="5416"/>
    </row>
    <row r="734" spans="1:31" ht="18" customHeight="1">
      <c r="A734" s="5629"/>
      <c r="B734" s="5574"/>
      <c r="C734" s="5338"/>
      <c r="D734" s="5338"/>
      <c r="E734" s="5338"/>
      <c r="F734" s="5338"/>
      <c r="G734" s="5338"/>
      <c r="H734" s="5338"/>
      <c r="I734" s="5338"/>
      <c r="J734" s="5338"/>
      <c r="K734" s="5338"/>
      <c r="L734" s="5338"/>
      <c r="M734" s="5338"/>
      <c r="N734" s="5338"/>
      <c r="O734" s="5338"/>
      <c r="P734" s="5338"/>
      <c r="Q734" s="5346"/>
      <c r="R734" s="975"/>
      <c r="S734" s="976"/>
      <c r="T734" s="976"/>
      <c r="U734" s="411"/>
      <c r="V734" s="977"/>
      <c r="W734" s="165"/>
      <c r="X734" s="978"/>
      <c r="Y734" s="978">
        <f t="shared" si="134"/>
        <v>0</v>
      </c>
      <c r="Z734" s="978">
        <f t="shared" si="135"/>
        <v>0</v>
      </c>
      <c r="AA734" s="979"/>
      <c r="AB734" s="165"/>
      <c r="AC734" s="166"/>
      <c r="AD734" s="166"/>
      <c r="AE734" s="5417"/>
    </row>
    <row r="735" spans="1:31" ht="18" customHeight="1">
      <c r="A735" s="5629"/>
      <c r="B735" s="5572" t="s">
        <v>235</v>
      </c>
      <c r="C735" s="5336" t="s">
        <v>236</v>
      </c>
      <c r="D735" s="5336" t="s">
        <v>237</v>
      </c>
      <c r="E735" s="5336" t="s">
        <v>255</v>
      </c>
      <c r="F735" s="5341" t="s">
        <v>239</v>
      </c>
      <c r="G735" s="5336" t="s">
        <v>240</v>
      </c>
      <c r="H735" s="5336" t="s">
        <v>257</v>
      </c>
      <c r="I735" s="5336" t="s">
        <v>3197</v>
      </c>
      <c r="J735" s="5623" t="s">
        <v>3198</v>
      </c>
      <c r="K735" s="5336" t="s">
        <v>3012</v>
      </c>
      <c r="L735" s="5399">
        <v>3</v>
      </c>
      <c r="M735" s="5399">
        <v>4</v>
      </c>
      <c r="N735" s="5399">
        <v>3</v>
      </c>
      <c r="O735" s="5336" t="s">
        <v>3199</v>
      </c>
      <c r="P735" s="5336" t="s">
        <v>3200</v>
      </c>
      <c r="Q735" s="5370" t="s">
        <v>3253</v>
      </c>
      <c r="R735" s="970"/>
      <c r="S735" s="967"/>
      <c r="T735" s="967"/>
      <c r="U735" s="176"/>
      <c r="V735" s="968"/>
      <c r="W735" s="414"/>
      <c r="X735" s="973"/>
      <c r="Y735" s="973"/>
      <c r="Z735" s="973"/>
      <c r="AA735" s="981"/>
      <c r="AB735" s="414"/>
      <c r="AC735" s="174"/>
      <c r="AD735" s="174"/>
      <c r="AE735" s="5415"/>
    </row>
    <row r="736" spans="1:31" ht="18" customHeight="1">
      <c r="A736" s="5629"/>
      <c r="B736" s="5573"/>
      <c r="C736" s="5337"/>
      <c r="D736" s="5337"/>
      <c r="E736" s="5337"/>
      <c r="F736" s="5337"/>
      <c r="G736" s="5337"/>
      <c r="H736" s="5337"/>
      <c r="I736" s="5337"/>
      <c r="J736" s="5337"/>
      <c r="K736" s="5337"/>
      <c r="L736" s="5337"/>
      <c r="M736" s="5337"/>
      <c r="N736" s="5337"/>
      <c r="O736" s="5337"/>
      <c r="P736" s="5337"/>
      <c r="Q736" s="5345"/>
      <c r="R736" s="982"/>
      <c r="S736" s="983"/>
      <c r="T736" s="983"/>
      <c r="U736" s="169"/>
      <c r="V736" s="984"/>
      <c r="W736" s="170"/>
      <c r="X736" s="974"/>
      <c r="Y736" s="974">
        <f t="shared" ref="Y736:Y739" si="136">+V736*X736</f>
        <v>0</v>
      </c>
      <c r="Z736" s="974">
        <f t="shared" ref="Z736:Z739" si="137">+Y736*1.12</f>
        <v>0</v>
      </c>
      <c r="AA736" s="969"/>
      <c r="AB736" s="170"/>
      <c r="AC736" s="282"/>
      <c r="AD736" s="282"/>
      <c r="AE736" s="5416"/>
    </row>
    <row r="737" spans="1:31" ht="18" customHeight="1">
      <c r="A737" s="5629"/>
      <c r="B737" s="5573"/>
      <c r="C737" s="5337"/>
      <c r="D737" s="5337"/>
      <c r="E737" s="5337"/>
      <c r="F737" s="5337"/>
      <c r="G737" s="5337"/>
      <c r="H737" s="5337"/>
      <c r="I737" s="5337"/>
      <c r="J737" s="5337"/>
      <c r="K737" s="5337"/>
      <c r="L737" s="5337"/>
      <c r="M737" s="5337"/>
      <c r="N737" s="5337"/>
      <c r="O737" s="5337"/>
      <c r="P737" s="5337"/>
      <c r="Q737" s="5345"/>
      <c r="R737" s="971"/>
      <c r="S737" s="972"/>
      <c r="T737" s="972"/>
      <c r="U737" s="1217"/>
      <c r="V737" s="968"/>
      <c r="W737" s="414"/>
      <c r="X737" s="973"/>
      <c r="Y737" s="974">
        <f t="shared" si="136"/>
        <v>0</v>
      </c>
      <c r="Z737" s="974">
        <f t="shared" si="137"/>
        <v>0</v>
      </c>
      <c r="AA737" s="969"/>
      <c r="AB737" s="170"/>
      <c r="AC737" s="282"/>
      <c r="AD737" s="282"/>
      <c r="AE737" s="5416"/>
    </row>
    <row r="738" spans="1:31" ht="18" customHeight="1">
      <c r="A738" s="5629"/>
      <c r="B738" s="5573"/>
      <c r="C738" s="5337"/>
      <c r="D738" s="5337"/>
      <c r="E738" s="5337"/>
      <c r="F738" s="5337"/>
      <c r="G738" s="5337"/>
      <c r="H738" s="5337"/>
      <c r="I738" s="5337"/>
      <c r="J738" s="5337"/>
      <c r="K738" s="5337"/>
      <c r="L738" s="5337"/>
      <c r="M738" s="5337"/>
      <c r="N738" s="5337"/>
      <c r="O738" s="5337"/>
      <c r="P738" s="5337"/>
      <c r="Q738" s="5345"/>
      <c r="R738" s="970"/>
      <c r="S738" s="967"/>
      <c r="T738" s="967"/>
      <c r="U738" s="1217"/>
      <c r="V738" s="968"/>
      <c r="W738" s="414"/>
      <c r="X738" s="973"/>
      <c r="Y738" s="974">
        <f t="shared" si="136"/>
        <v>0</v>
      </c>
      <c r="Z738" s="974">
        <f t="shared" si="137"/>
        <v>0</v>
      </c>
      <c r="AA738" s="969"/>
      <c r="AB738" s="170"/>
      <c r="AC738" s="282"/>
      <c r="AD738" s="282"/>
      <c r="AE738" s="5416"/>
    </row>
    <row r="739" spans="1:31" ht="18" customHeight="1">
      <c r="A739" s="5555"/>
      <c r="B739" s="5574"/>
      <c r="C739" s="5338"/>
      <c r="D739" s="5338"/>
      <c r="E739" s="5338"/>
      <c r="F739" s="5338"/>
      <c r="G739" s="5338"/>
      <c r="H739" s="5338"/>
      <c r="I739" s="5338"/>
      <c r="J739" s="5338"/>
      <c r="K739" s="5338"/>
      <c r="L739" s="5338"/>
      <c r="M739" s="5338"/>
      <c r="N739" s="5338"/>
      <c r="O739" s="5338"/>
      <c r="P739" s="5338"/>
      <c r="Q739" s="5346"/>
      <c r="R739" s="975"/>
      <c r="S739" s="976"/>
      <c r="T739" s="976"/>
      <c r="U739" s="411"/>
      <c r="V739" s="977"/>
      <c r="W739" s="165"/>
      <c r="X739" s="978"/>
      <c r="Y739" s="978">
        <f t="shared" si="136"/>
        <v>0</v>
      </c>
      <c r="Z739" s="978">
        <f t="shared" si="137"/>
        <v>0</v>
      </c>
      <c r="AA739" s="979"/>
      <c r="AB739" s="165"/>
      <c r="AC739" s="166"/>
      <c r="AD739" s="166"/>
      <c r="AE739" s="5417"/>
    </row>
    <row r="740" spans="1:31" ht="22.5" customHeight="1">
      <c r="A740" s="2158"/>
      <c r="B740" s="785"/>
      <c r="C740" s="785"/>
      <c r="D740" s="785"/>
      <c r="E740" s="785"/>
      <c r="F740" s="785"/>
      <c r="G740" s="785"/>
      <c r="H740" s="785"/>
      <c r="I740" s="785"/>
      <c r="J740" s="785"/>
      <c r="K740" s="785"/>
      <c r="L740" s="785"/>
      <c r="M740" s="785"/>
      <c r="N740" s="785"/>
      <c r="O740" s="785"/>
      <c r="P740" s="785"/>
      <c r="Q740" s="786"/>
      <c r="R740" s="5636" t="s">
        <v>3254</v>
      </c>
      <c r="S740" s="5474"/>
      <c r="T740" s="5474"/>
      <c r="U740" s="5474"/>
      <c r="V740" s="5474"/>
      <c r="W740" s="5474"/>
      <c r="X740" s="5474"/>
      <c r="Y740" s="5475"/>
      <c r="Z740" s="997" t="s">
        <v>340</v>
      </c>
      <c r="AA740" s="998">
        <f>SUM(AA665:AA739)</f>
        <v>0</v>
      </c>
      <c r="AB740" s="5521"/>
      <c r="AC740" s="5474"/>
      <c r="AD740" s="5474"/>
      <c r="AE740" s="5477"/>
    </row>
    <row r="741" spans="1:31" ht="18" customHeight="1">
      <c r="A741" s="5628" t="s">
        <v>3255</v>
      </c>
      <c r="B741" s="5576" t="s">
        <v>272</v>
      </c>
      <c r="C741" s="5355" t="s">
        <v>302</v>
      </c>
      <c r="D741" s="5355" t="s">
        <v>303</v>
      </c>
      <c r="E741" s="5355" t="s">
        <v>304</v>
      </c>
      <c r="F741" s="5364" t="s">
        <v>305</v>
      </c>
      <c r="G741" s="5355" t="s">
        <v>240</v>
      </c>
      <c r="H741" s="5355" t="s">
        <v>257</v>
      </c>
      <c r="I741" s="5360" t="s">
        <v>3256</v>
      </c>
      <c r="J741" s="5625" t="s">
        <v>3135</v>
      </c>
      <c r="K741" s="5355" t="s">
        <v>2846</v>
      </c>
      <c r="L741" s="5363">
        <v>2</v>
      </c>
      <c r="M741" s="5363">
        <v>1</v>
      </c>
      <c r="N741" s="5363">
        <v>2</v>
      </c>
      <c r="O741" s="5355" t="s">
        <v>3136</v>
      </c>
      <c r="P741" s="5355" t="s">
        <v>3137</v>
      </c>
      <c r="Q741" s="5392" t="s">
        <v>3138</v>
      </c>
      <c r="R741" s="1215" t="s">
        <v>39</v>
      </c>
      <c r="S741" s="1159">
        <v>531408</v>
      </c>
      <c r="T741" s="1103"/>
      <c r="U741" s="1355" t="s">
        <v>47</v>
      </c>
      <c r="V741" s="1104"/>
      <c r="W741" s="155"/>
      <c r="X741" s="1105"/>
      <c r="Y741" s="1105"/>
      <c r="Z741" s="1105"/>
      <c r="AA741" s="1106">
        <f>SUM($Z$742:$Z$751)</f>
        <v>3935.0640000000003</v>
      </c>
      <c r="AB741" s="155"/>
      <c r="AC741" s="156"/>
      <c r="AD741" s="156"/>
      <c r="AE741" s="5428"/>
    </row>
    <row r="742" spans="1:31" ht="18" customHeight="1">
      <c r="A742" s="5629"/>
      <c r="B742" s="5573"/>
      <c r="C742" s="5337"/>
      <c r="D742" s="5337"/>
      <c r="E742" s="5337"/>
      <c r="F742" s="5337"/>
      <c r="G742" s="5337"/>
      <c r="H742" s="5337"/>
      <c r="I742" s="5361"/>
      <c r="J742" s="5337"/>
      <c r="K742" s="5337"/>
      <c r="L742" s="5337"/>
      <c r="M742" s="5337"/>
      <c r="N742" s="5337"/>
      <c r="O742" s="5337"/>
      <c r="P742" s="5337"/>
      <c r="Q742" s="5345"/>
      <c r="R742" s="982"/>
      <c r="S742" s="983"/>
      <c r="T742" s="1188">
        <v>5327000117</v>
      </c>
      <c r="U742" s="169" t="s">
        <v>3257</v>
      </c>
      <c r="V742" s="984">
        <v>15</v>
      </c>
      <c r="W742" s="170" t="s">
        <v>269</v>
      </c>
      <c r="X742" s="974">
        <v>46.5</v>
      </c>
      <c r="Y742" s="974">
        <f t="shared" ref="Y742:Y751" si="138">+V742*X742</f>
        <v>697.5</v>
      </c>
      <c r="Z742" s="974">
        <f t="shared" ref="Z742:Z751" si="139">+Y742*1.12</f>
        <v>781.2</v>
      </c>
      <c r="AA742" s="969"/>
      <c r="AB742" s="170" t="s">
        <v>251</v>
      </c>
      <c r="AC742" s="282"/>
      <c r="AD742" s="282"/>
      <c r="AE742" s="5416"/>
    </row>
    <row r="743" spans="1:31" ht="18" customHeight="1">
      <c r="A743" s="5629"/>
      <c r="B743" s="5573"/>
      <c r="C743" s="5337"/>
      <c r="D743" s="5337"/>
      <c r="E743" s="5337"/>
      <c r="F743" s="5337"/>
      <c r="G743" s="5337"/>
      <c r="H743" s="5337"/>
      <c r="I743" s="5361"/>
      <c r="J743" s="5337"/>
      <c r="K743" s="5337"/>
      <c r="L743" s="5337"/>
      <c r="M743" s="5337"/>
      <c r="N743" s="5337"/>
      <c r="O743" s="5337"/>
      <c r="P743" s="5337"/>
      <c r="Q743" s="5345"/>
      <c r="R743" s="971"/>
      <c r="S743" s="972"/>
      <c r="T743" s="1188">
        <v>5327000117</v>
      </c>
      <c r="U743" s="1217" t="s">
        <v>3258</v>
      </c>
      <c r="V743" s="968">
        <v>15</v>
      </c>
      <c r="W743" s="414"/>
      <c r="X743" s="974">
        <v>49.5</v>
      </c>
      <c r="Y743" s="974">
        <f t="shared" si="138"/>
        <v>742.5</v>
      </c>
      <c r="Z743" s="974">
        <f t="shared" si="139"/>
        <v>831.6</v>
      </c>
      <c r="AA743" s="969"/>
      <c r="AB743" s="170" t="s">
        <v>251</v>
      </c>
      <c r="AC743" s="282"/>
      <c r="AD743" s="282"/>
      <c r="AE743" s="5416"/>
    </row>
    <row r="744" spans="1:31" ht="18" customHeight="1">
      <c r="A744" s="5629"/>
      <c r="B744" s="5573"/>
      <c r="C744" s="5337"/>
      <c r="D744" s="5337"/>
      <c r="E744" s="5337"/>
      <c r="F744" s="5337"/>
      <c r="G744" s="5337"/>
      <c r="H744" s="5337"/>
      <c r="I744" s="5361"/>
      <c r="J744" s="5337"/>
      <c r="K744" s="5337"/>
      <c r="L744" s="5337"/>
      <c r="M744" s="5337"/>
      <c r="N744" s="5337"/>
      <c r="O744" s="5337"/>
      <c r="P744" s="5337"/>
      <c r="Q744" s="5345"/>
      <c r="R744" s="971"/>
      <c r="S744" s="972"/>
      <c r="T744" s="1188">
        <v>5327000117</v>
      </c>
      <c r="U744" s="1217" t="s">
        <v>3259</v>
      </c>
      <c r="V744" s="968">
        <v>15</v>
      </c>
      <c r="W744" s="414"/>
      <c r="X744" s="973">
        <v>29.08</v>
      </c>
      <c r="Y744" s="974">
        <f t="shared" si="138"/>
        <v>436.2</v>
      </c>
      <c r="Z744" s="974">
        <f t="shared" si="139"/>
        <v>488.54400000000004</v>
      </c>
      <c r="AA744" s="969"/>
      <c r="AB744" s="170" t="s">
        <v>251</v>
      </c>
      <c r="AC744" s="282"/>
      <c r="AD744" s="282"/>
      <c r="AE744" s="5416"/>
    </row>
    <row r="745" spans="1:31" ht="18" customHeight="1">
      <c r="A745" s="5629"/>
      <c r="B745" s="5573"/>
      <c r="C745" s="5337"/>
      <c r="D745" s="5337"/>
      <c r="E745" s="5337"/>
      <c r="F745" s="5337"/>
      <c r="G745" s="5337"/>
      <c r="H745" s="5337"/>
      <c r="I745" s="5361"/>
      <c r="J745" s="5337"/>
      <c r="K745" s="5337"/>
      <c r="L745" s="5337"/>
      <c r="M745" s="5337"/>
      <c r="N745" s="5337"/>
      <c r="O745" s="5337"/>
      <c r="P745" s="5337"/>
      <c r="Q745" s="5345"/>
      <c r="R745" s="971"/>
      <c r="S745" s="972"/>
      <c r="T745" s="1135"/>
      <c r="U745" s="1218" t="s">
        <v>3260</v>
      </c>
      <c r="V745" s="972">
        <v>5</v>
      </c>
      <c r="W745" s="414"/>
      <c r="X745" s="1113">
        <v>75.010000000000005</v>
      </c>
      <c r="Y745" s="974">
        <f t="shared" si="138"/>
        <v>375.05</v>
      </c>
      <c r="Z745" s="974">
        <f t="shared" si="139"/>
        <v>420.05600000000004</v>
      </c>
      <c r="AA745" s="969"/>
      <c r="AB745" s="170" t="s">
        <v>251</v>
      </c>
      <c r="AC745" s="282"/>
      <c r="AD745" s="282"/>
      <c r="AE745" s="5416"/>
    </row>
    <row r="746" spans="1:31" ht="18" customHeight="1">
      <c r="A746" s="5629"/>
      <c r="B746" s="5573"/>
      <c r="C746" s="5337"/>
      <c r="D746" s="5337"/>
      <c r="E746" s="5337"/>
      <c r="F746" s="5337"/>
      <c r="G746" s="5337"/>
      <c r="H746" s="5337"/>
      <c r="I746" s="5361"/>
      <c r="J746" s="5337"/>
      <c r="K746" s="5337"/>
      <c r="L746" s="5337"/>
      <c r="M746" s="5337"/>
      <c r="N746" s="5337"/>
      <c r="O746" s="5337"/>
      <c r="P746" s="5337"/>
      <c r="Q746" s="5345"/>
      <c r="R746" s="971"/>
      <c r="S746" s="972"/>
      <c r="T746" s="972"/>
      <c r="U746" s="1218" t="s">
        <v>3261</v>
      </c>
      <c r="V746" s="972">
        <v>20</v>
      </c>
      <c r="W746" s="414"/>
      <c r="X746" s="1113">
        <v>3.47</v>
      </c>
      <c r="Y746" s="974">
        <f t="shared" si="138"/>
        <v>69.400000000000006</v>
      </c>
      <c r="Z746" s="974">
        <f t="shared" si="139"/>
        <v>77.728000000000009</v>
      </c>
      <c r="AA746" s="969"/>
      <c r="AB746" s="170" t="s">
        <v>251</v>
      </c>
      <c r="AC746" s="282"/>
      <c r="AD746" s="282"/>
      <c r="AE746" s="5416"/>
    </row>
    <row r="747" spans="1:31" ht="18" customHeight="1">
      <c r="A747" s="5629"/>
      <c r="B747" s="5573"/>
      <c r="C747" s="5337"/>
      <c r="D747" s="5337"/>
      <c r="E747" s="5337"/>
      <c r="F747" s="5337"/>
      <c r="G747" s="5337"/>
      <c r="H747" s="5337"/>
      <c r="I747" s="5361"/>
      <c r="J747" s="5337"/>
      <c r="K747" s="5337"/>
      <c r="L747" s="5337"/>
      <c r="M747" s="5337"/>
      <c r="N747" s="5337"/>
      <c r="O747" s="5337"/>
      <c r="P747" s="5337"/>
      <c r="Q747" s="5345"/>
      <c r="R747" s="971"/>
      <c r="S747" s="972"/>
      <c r="T747" s="972"/>
      <c r="U747" s="407" t="s">
        <v>3262</v>
      </c>
      <c r="V747" s="1224">
        <v>20</v>
      </c>
      <c r="W747" s="414"/>
      <c r="X747" s="978">
        <v>3.47</v>
      </c>
      <c r="Y747" s="974">
        <f t="shared" si="138"/>
        <v>69.400000000000006</v>
      </c>
      <c r="Z747" s="974">
        <f t="shared" si="139"/>
        <v>77.728000000000009</v>
      </c>
      <c r="AA747" s="969"/>
      <c r="AB747" s="170" t="s">
        <v>251</v>
      </c>
      <c r="AC747" s="282"/>
      <c r="AD747" s="282"/>
      <c r="AE747" s="5416"/>
    </row>
    <row r="748" spans="1:31" ht="18" customHeight="1">
      <c r="A748" s="5629"/>
      <c r="B748" s="5573"/>
      <c r="C748" s="5337"/>
      <c r="D748" s="5337"/>
      <c r="E748" s="5337"/>
      <c r="F748" s="5337"/>
      <c r="G748" s="5337"/>
      <c r="H748" s="5337"/>
      <c r="I748" s="5361"/>
      <c r="J748" s="5337"/>
      <c r="K748" s="5337"/>
      <c r="L748" s="5337"/>
      <c r="M748" s="5337"/>
      <c r="N748" s="5337"/>
      <c r="O748" s="5337"/>
      <c r="P748" s="5337"/>
      <c r="Q748" s="5345"/>
      <c r="R748" s="971"/>
      <c r="S748" s="972"/>
      <c r="T748" s="972"/>
      <c r="U748" s="169" t="s">
        <v>3263</v>
      </c>
      <c r="V748" s="984">
        <v>20</v>
      </c>
      <c r="W748" s="414"/>
      <c r="X748" s="973">
        <v>1.42</v>
      </c>
      <c r="Y748" s="974">
        <f t="shared" si="138"/>
        <v>28.4</v>
      </c>
      <c r="Z748" s="974">
        <f t="shared" si="139"/>
        <v>31.808</v>
      </c>
      <c r="AA748" s="969"/>
      <c r="AB748" s="170" t="s">
        <v>251</v>
      </c>
      <c r="AC748" s="282"/>
      <c r="AD748" s="282"/>
      <c r="AE748" s="5416"/>
    </row>
    <row r="749" spans="1:31" ht="18" customHeight="1">
      <c r="A749" s="5629"/>
      <c r="B749" s="5573"/>
      <c r="C749" s="5337"/>
      <c r="D749" s="5337"/>
      <c r="E749" s="5337"/>
      <c r="F749" s="5337"/>
      <c r="G749" s="5337"/>
      <c r="H749" s="5337"/>
      <c r="I749" s="5361"/>
      <c r="J749" s="5337"/>
      <c r="K749" s="5337"/>
      <c r="L749" s="5337"/>
      <c r="M749" s="5337"/>
      <c r="N749" s="5337"/>
      <c r="O749" s="5337"/>
      <c r="P749" s="5337"/>
      <c r="Q749" s="5345"/>
      <c r="R749" s="971"/>
      <c r="S749" s="972"/>
      <c r="T749" s="972"/>
      <c r="U749" s="169" t="s">
        <v>3264</v>
      </c>
      <c r="V749" s="984">
        <v>2</v>
      </c>
      <c r="W749" s="414"/>
      <c r="X749" s="974">
        <v>450</v>
      </c>
      <c r="Y749" s="974">
        <f t="shared" si="138"/>
        <v>900</v>
      </c>
      <c r="Z749" s="974">
        <f t="shared" si="139"/>
        <v>1008.0000000000001</v>
      </c>
      <c r="AA749" s="969"/>
      <c r="AB749" s="170" t="s">
        <v>251</v>
      </c>
      <c r="AC749" s="282"/>
      <c r="AD749" s="282"/>
      <c r="AE749" s="5416"/>
    </row>
    <row r="750" spans="1:31" ht="18" customHeight="1">
      <c r="A750" s="5629"/>
      <c r="B750" s="5573"/>
      <c r="C750" s="5337"/>
      <c r="D750" s="5337"/>
      <c r="E750" s="5337"/>
      <c r="F750" s="5337"/>
      <c r="G750" s="5337"/>
      <c r="H750" s="5337"/>
      <c r="I750" s="5361"/>
      <c r="J750" s="5337"/>
      <c r="K750" s="5337"/>
      <c r="L750" s="5337"/>
      <c r="M750" s="5337"/>
      <c r="N750" s="5337"/>
      <c r="O750" s="5337"/>
      <c r="P750" s="5337"/>
      <c r="Q750" s="5345"/>
      <c r="R750" s="970"/>
      <c r="S750" s="967"/>
      <c r="T750" s="967"/>
      <c r="U750" s="1217" t="s">
        <v>3265</v>
      </c>
      <c r="V750" s="968">
        <v>12</v>
      </c>
      <c r="W750" s="414"/>
      <c r="X750" s="973">
        <v>2.5</v>
      </c>
      <c r="Y750" s="974">
        <f t="shared" si="138"/>
        <v>30</v>
      </c>
      <c r="Z750" s="974">
        <f t="shared" si="139"/>
        <v>33.6</v>
      </c>
      <c r="AA750" s="969"/>
      <c r="AB750" s="170" t="s">
        <v>251</v>
      </c>
      <c r="AC750" s="282"/>
      <c r="AD750" s="282"/>
      <c r="AE750" s="5416"/>
    </row>
    <row r="751" spans="1:31" ht="21.75" customHeight="1">
      <c r="A751" s="5629"/>
      <c r="B751" s="5574"/>
      <c r="C751" s="5338"/>
      <c r="D751" s="5338"/>
      <c r="E751" s="5338"/>
      <c r="F751" s="5338"/>
      <c r="G751" s="5338"/>
      <c r="H751" s="5338"/>
      <c r="I751" s="5362"/>
      <c r="J751" s="5338"/>
      <c r="K751" s="5338"/>
      <c r="L751" s="5338"/>
      <c r="M751" s="5338"/>
      <c r="N751" s="5338"/>
      <c r="O751" s="5338"/>
      <c r="P751" s="5338"/>
      <c r="Q751" s="5346"/>
      <c r="R751" s="975"/>
      <c r="S751" s="976"/>
      <c r="T751" s="976"/>
      <c r="U751" s="411" t="s">
        <v>3266</v>
      </c>
      <c r="V751" s="977">
        <v>55</v>
      </c>
      <c r="W751" s="165"/>
      <c r="X751" s="973">
        <v>3</v>
      </c>
      <c r="Y751" s="978">
        <f t="shared" si="138"/>
        <v>165</v>
      </c>
      <c r="Z751" s="978">
        <f t="shared" si="139"/>
        <v>184.8</v>
      </c>
      <c r="AA751" s="979"/>
      <c r="AB751" s="165" t="s">
        <v>251</v>
      </c>
      <c r="AC751" s="166"/>
      <c r="AD751" s="166"/>
      <c r="AE751" s="5417"/>
    </row>
    <row r="752" spans="1:31" ht="21.75" customHeight="1">
      <c r="A752" s="5629"/>
      <c r="B752" s="5627" t="s">
        <v>235</v>
      </c>
      <c r="C752" s="5347" t="s">
        <v>236</v>
      </c>
      <c r="D752" s="5347" t="s">
        <v>237</v>
      </c>
      <c r="E752" s="5347" t="s">
        <v>255</v>
      </c>
      <c r="F752" s="5353" t="s">
        <v>239</v>
      </c>
      <c r="G752" s="5336" t="s">
        <v>240</v>
      </c>
      <c r="H752" s="5336" t="s">
        <v>257</v>
      </c>
      <c r="I752" s="5621" t="s">
        <v>3139</v>
      </c>
      <c r="J752" s="5621" t="s">
        <v>3140</v>
      </c>
      <c r="K752" s="5618" t="s">
        <v>2846</v>
      </c>
      <c r="L752" s="5619">
        <v>2</v>
      </c>
      <c r="M752" s="5619">
        <v>0</v>
      </c>
      <c r="N752" s="5619">
        <v>2</v>
      </c>
      <c r="O752" s="5407" t="s">
        <v>3141</v>
      </c>
      <c r="P752" s="5618" t="s">
        <v>3142</v>
      </c>
      <c r="Q752" s="5620" t="s">
        <v>3267</v>
      </c>
      <c r="R752" s="1110"/>
      <c r="S752" s="1111"/>
      <c r="T752" s="1111"/>
      <c r="U752" s="1711"/>
      <c r="V752" s="1112"/>
      <c r="W752" s="1719"/>
      <c r="X752" s="1113"/>
      <c r="Y752" s="1113"/>
      <c r="Z752" s="1113"/>
      <c r="AA752" s="1114"/>
      <c r="AB752" s="1719"/>
      <c r="AC752" s="410"/>
      <c r="AD752" s="410"/>
      <c r="AE752" s="1308"/>
    </row>
    <row r="753" spans="1:31" ht="21.75" customHeight="1">
      <c r="A753" s="5629"/>
      <c r="B753" s="5573"/>
      <c r="C753" s="5337"/>
      <c r="D753" s="5337"/>
      <c r="E753" s="5337"/>
      <c r="F753" s="5337"/>
      <c r="G753" s="5337"/>
      <c r="H753" s="5337"/>
      <c r="I753" s="5337"/>
      <c r="J753" s="5337"/>
      <c r="K753" s="5337"/>
      <c r="L753" s="5337"/>
      <c r="M753" s="5337"/>
      <c r="N753" s="5337"/>
      <c r="O753" s="5337"/>
      <c r="P753" s="5337"/>
      <c r="Q753" s="5345"/>
      <c r="R753" s="1110"/>
      <c r="S753" s="1111"/>
      <c r="T753" s="1111"/>
      <c r="U753" s="1711"/>
      <c r="V753" s="1112"/>
      <c r="W753" s="1719"/>
      <c r="X753" s="1113"/>
      <c r="Y753" s="1113"/>
      <c r="Z753" s="1113"/>
      <c r="AA753" s="1114"/>
      <c r="AB753" s="1719"/>
      <c r="AC753" s="410"/>
      <c r="AD753" s="410"/>
      <c r="AE753" s="1308"/>
    </row>
    <row r="754" spans="1:31" ht="21.75" customHeight="1">
      <c r="A754" s="5629"/>
      <c r="B754" s="5573"/>
      <c r="C754" s="5337"/>
      <c r="D754" s="5337"/>
      <c r="E754" s="5337"/>
      <c r="F754" s="5337"/>
      <c r="G754" s="5337"/>
      <c r="H754" s="5337"/>
      <c r="I754" s="5337"/>
      <c r="J754" s="5337"/>
      <c r="K754" s="5337"/>
      <c r="L754" s="5337"/>
      <c r="M754" s="5337"/>
      <c r="N754" s="5337"/>
      <c r="O754" s="5337"/>
      <c r="P754" s="5337"/>
      <c r="Q754" s="5345"/>
      <c r="R754" s="1110"/>
      <c r="S754" s="1111"/>
      <c r="T754" s="1111"/>
      <c r="U754" s="1711"/>
      <c r="V754" s="1112"/>
      <c r="W754" s="1719"/>
      <c r="X754" s="1113"/>
      <c r="Y754" s="1113"/>
      <c r="Z754" s="1113"/>
      <c r="AA754" s="1114"/>
      <c r="AB754" s="1719"/>
      <c r="AC754" s="410"/>
      <c r="AD754" s="410"/>
      <c r="AE754" s="1308"/>
    </row>
    <row r="755" spans="1:31" ht="21.75" customHeight="1">
      <c r="A755" s="5629"/>
      <c r="B755" s="5573"/>
      <c r="C755" s="5337"/>
      <c r="D755" s="5337"/>
      <c r="E755" s="5337"/>
      <c r="F755" s="5337"/>
      <c r="G755" s="5337"/>
      <c r="H755" s="5337"/>
      <c r="I755" s="5337"/>
      <c r="J755" s="5337"/>
      <c r="K755" s="5337"/>
      <c r="L755" s="5337"/>
      <c r="M755" s="5337"/>
      <c r="N755" s="5337"/>
      <c r="O755" s="5337"/>
      <c r="P755" s="5337"/>
      <c r="Q755" s="5345"/>
      <c r="R755" s="1110"/>
      <c r="S755" s="1111"/>
      <c r="T755" s="1111"/>
      <c r="U755" s="1711"/>
      <c r="V755" s="1112"/>
      <c r="W755" s="1719"/>
      <c r="X755" s="1113"/>
      <c r="Y755" s="1113"/>
      <c r="Z755" s="1113"/>
      <c r="AA755" s="1114"/>
      <c r="AB755" s="1719"/>
      <c r="AC755" s="410"/>
      <c r="AD755" s="410"/>
      <c r="AE755" s="1308"/>
    </row>
    <row r="756" spans="1:31" ht="21.75" customHeight="1">
      <c r="A756" s="5629"/>
      <c r="B756" s="5574"/>
      <c r="C756" s="5338"/>
      <c r="D756" s="5338"/>
      <c r="E756" s="5338"/>
      <c r="F756" s="5338"/>
      <c r="G756" s="5338"/>
      <c r="H756" s="5338"/>
      <c r="I756" s="5338"/>
      <c r="J756" s="5338"/>
      <c r="K756" s="5338"/>
      <c r="L756" s="5338"/>
      <c r="M756" s="5338"/>
      <c r="N756" s="5338"/>
      <c r="O756" s="5338"/>
      <c r="P756" s="5338"/>
      <c r="Q756" s="5346"/>
      <c r="R756" s="1309"/>
      <c r="S756" s="1310"/>
      <c r="T756" s="1310"/>
      <c r="U756" s="277"/>
      <c r="V756" s="1311"/>
      <c r="W756" s="416"/>
      <c r="X756" s="1312"/>
      <c r="Y756" s="1312"/>
      <c r="Z756" s="1312"/>
      <c r="AA756" s="1313"/>
      <c r="AB756" s="416"/>
      <c r="AC756" s="278"/>
      <c r="AD756" s="278"/>
      <c r="AE756" s="1314"/>
    </row>
    <row r="757" spans="1:31" ht="21.75" customHeight="1">
      <c r="A757" s="5629"/>
      <c r="B757" s="5627" t="s">
        <v>235</v>
      </c>
      <c r="C757" s="5347" t="s">
        <v>236</v>
      </c>
      <c r="D757" s="5347" t="s">
        <v>237</v>
      </c>
      <c r="E757" s="5347" t="s">
        <v>255</v>
      </c>
      <c r="F757" s="5353" t="s">
        <v>239</v>
      </c>
      <c r="G757" s="5336" t="s">
        <v>240</v>
      </c>
      <c r="H757" s="5336" t="s">
        <v>257</v>
      </c>
      <c r="I757" s="5621" t="s">
        <v>3144</v>
      </c>
      <c r="J757" s="5618" t="s">
        <v>3145</v>
      </c>
      <c r="K757" s="5618" t="s">
        <v>3146</v>
      </c>
      <c r="L757" s="5407">
        <v>0</v>
      </c>
      <c r="M757" s="5407">
        <v>1</v>
      </c>
      <c r="N757" s="5407">
        <v>0</v>
      </c>
      <c r="O757" s="5618" t="s">
        <v>3147</v>
      </c>
      <c r="P757" s="5618" t="s">
        <v>3148</v>
      </c>
      <c r="Q757" s="5620" t="s">
        <v>3268</v>
      </c>
      <c r="R757" s="1110"/>
      <c r="S757" s="1111"/>
      <c r="T757" s="1111"/>
      <c r="U757" s="1711"/>
      <c r="V757" s="1112"/>
      <c r="W757" s="1719"/>
      <c r="X757" s="1113"/>
      <c r="Y757" s="1113"/>
      <c r="Z757" s="1113"/>
      <c r="AA757" s="1114"/>
      <c r="AB757" s="1719"/>
      <c r="AC757" s="410"/>
      <c r="AD757" s="410"/>
      <c r="AE757" s="1308"/>
    </row>
    <row r="758" spans="1:31" ht="21.75" customHeight="1">
      <c r="A758" s="5629"/>
      <c r="B758" s="5573"/>
      <c r="C758" s="5337"/>
      <c r="D758" s="5337"/>
      <c r="E758" s="5337"/>
      <c r="F758" s="5337"/>
      <c r="G758" s="5337"/>
      <c r="H758" s="5337"/>
      <c r="I758" s="5337"/>
      <c r="J758" s="5337"/>
      <c r="K758" s="5337"/>
      <c r="L758" s="5337"/>
      <c r="M758" s="5337"/>
      <c r="N758" s="5337"/>
      <c r="O758" s="5337"/>
      <c r="P758" s="5337"/>
      <c r="Q758" s="5345"/>
      <c r="R758" s="1110"/>
      <c r="S758" s="1111"/>
      <c r="T758" s="1111"/>
      <c r="U758" s="1711"/>
      <c r="V758" s="1112"/>
      <c r="W758" s="1719"/>
      <c r="X758" s="1113"/>
      <c r="Y758" s="1113"/>
      <c r="Z758" s="1113"/>
      <c r="AA758" s="1114"/>
      <c r="AB758" s="1719"/>
      <c r="AC758" s="410"/>
      <c r="AD758" s="410"/>
      <c r="AE758" s="1308"/>
    </row>
    <row r="759" spans="1:31" ht="21.75" customHeight="1">
      <c r="A759" s="5629"/>
      <c r="B759" s="5573"/>
      <c r="C759" s="5337"/>
      <c r="D759" s="5337"/>
      <c r="E759" s="5337"/>
      <c r="F759" s="5337"/>
      <c r="G759" s="5337"/>
      <c r="H759" s="5337"/>
      <c r="I759" s="5337"/>
      <c r="J759" s="5337"/>
      <c r="K759" s="5337"/>
      <c r="L759" s="5337"/>
      <c r="M759" s="5337"/>
      <c r="N759" s="5337"/>
      <c r="O759" s="5337"/>
      <c r="P759" s="5337"/>
      <c r="Q759" s="5345"/>
      <c r="R759" s="1110"/>
      <c r="S759" s="1111"/>
      <c r="T759" s="1111"/>
      <c r="U759" s="1711"/>
      <c r="V759" s="1112"/>
      <c r="W759" s="1719"/>
      <c r="X759" s="1113"/>
      <c r="Y759" s="1113"/>
      <c r="Z759" s="1113"/>
      <c r="AA759" s="1114"/>
      <c r="AB759" s="1719"/>
      <c r="AC759" s="410"/>
      <c r="AD759" s="410"/>
      <c r="AE759" s="1308"/>
    </row>
    <row r="760" spans="1:31" ht="21.75" customHeight="1">
      <c r="A760" s="5629"/>
      <c r="B760" s="5573"/>
      <c r="C760" s="5337"/>
      <c r="D760" s="5337"/>
      <c r="E760" s="5337"/>
      <c r="F760" s="5337"/>
      <c r="G760" s="5337"/>
      <c r="H760" s="5337"/>
      <c r="I760" s="5337"/>
      <c r="J760" s="5337"/>
      <c r="K760" s="5337"/>
      <c r="L760" s="5337"/>
      <c r="M760" s="5337"/>
      <c r="N760" s="5337"/>
      <c r="O760" s="5337"/>
      <c r="P760" s="5337"/>
      <c r="Q760" s="5345"/>
      <c r="R760" s="1110"/>
      <c r="S760" s="1111"/>
      <c r="T760" s="1111"/>
      <c r="U760" s="1711"/>
      <c r="V760" s="1112"/>
      <c r="W760" s="1719"/>
      <c r="X760" s="1113"/>
      <c r="Y760" s="1113"/>
      <c r="Z760" s="1113"/>
      <c r="AA760" s="1114"/>
      <c r="AB760" s="1719"/>
      <c r="AC760" s="410"/>
      <c r="AD760" s="410"/>
      <c r="AE760" s="1308"/>
    </row>
    <row r="761" spans="1:31" ht="21.75" customHeight="1">
      <c r="A761" s="5629"/>
      <c r="B761" s="5574"/>
      <c r="C761" s="5338"/>
      <c r="D761" s="5338"/>
      <c r="E761" s="5338"/>
      <c r="F761" s="5338"/>
      <c r="G761" s="5338"/>
      <c r="H761" s="5338"/>
      <c r="I761" s="5338"/>
      <c r="J761" s="5338"/>
      <c r="K761" s="5338"/>
      <c r="L761" s="5338"/>
      <c r="M761" s="5338"/>
      <c r="N761" s="5338"/>
      <c r="O761" s="5338"/>
      <c r="P761" s="5338"/>
      <c r="Q761" s="5346"/>
      <c r="R761" s="1309"/>
      <c r="S761" s="1310"/>
      <c r="T761" s="1310"/>
      <c r="U761" s="277"/>
      <c r="V761" s="1311"/>
      <c r="W761" s="416"/>
      <c r="X761" s="1312"/>
      <c r="Y761" s="1312"/>
      <c r="Z761" s="1312"/>
      <c r="AA761" s="1313"/>
      <c r="AB761" s="416"/>
      <c r="AC761" s="278"/>
      <c r="AD761" s="278"/>
      <c r="AE761" s="1314"/>
    </row>
    <row r="762" spans="1:31" ht="21.75" customHeight="1">
      <c r="A762" s="5629"/>
      <c r="B762" s="5572" t="s">
        <v>272</v>
      </c>
      <c r="C762" s="5336" t="s">
        <v>302</v>
      </c>
      <c r="D762" s="5336" t="s">
        <v>303</v>
      </c>
      <c r="E762" s="5336" t="s">
        <v>304</v>
      </c>
      <c r="F762" s="5341" t="s">
        <v>305</v>
      </c>
      <c r="G762" s="5336" t="s">
        <v>240</v>
      </c>
      <c r="H762" s="5336" t="s">
        <v>257</v>
      </c>
      <c r="I762" s="5618" t="s">
        <v>3150</v>
      </c>
      <c r="J762" s="5618" t="s">
        <v>3151</v>
      </c>
      <c r="K762" s="5618" t="s">
        <v>3146</v>
      </c>
      <c r="L762" s="5407">
        <v>0</v>
      </c>
      <c r="M762" s="5407">
        <v>1</v>
      </c>
      <c r="N762" s="5407">
        <v>1</v>
      </c>
      <c r="O762" s="5618" t="s">
        <v>3152</v>
      </c>
      <c r="P762" s="5618" t="s">
        <v>3153</v>
      </c>
      <c r="Q762" s="5620" t="s">
        <v>3268</v>
      </c>
      <c r="R762" s="1110"/>
      <c r="S762" s="1111"/>
      <c r="T762" s="1111"/>
      <c r="U762" s="1711"/>
      <c r="V762" s="1112"/>
      <c r="W762" s="1719"/>
      <c r="X762" s="1113"/>
      <c r="Y762" s="1113"/>
      <c r="Z762" s="1113"/>
      <c r="AA762" s="1114"/>
      <c r="AB762" s="1719"/>
      <c r="AC762" s="410"/>
      <c r="AD762" s="410"/>
      <c r="AE762" s="1308"/>
    </row>
    <row r="763" spans="1:31" ht="21.75" customHeight="1">
      <c r="A763" s="5629"/>
      <c r="B763" s="5573"/>
      <c r="C763" s="5337"/>
      <c r="D763" s="5337"/>
      <c r="E763" s="5337"/>
      <c r="F763" s="5337"/>
      <c r="G763" s="5337"/>
      <c r="H763" s="5337"/>
      <c r="I763" s="5337"/>
      <c r="J763" s="5337"/>
      <c r="K763" s="5337"/>
      <c r="L763" s="5337"/>
      <c r="M763" s="5337"/>
      <c r="N763" s="5337"/>
      <c r="O763" s="5337"/>
      <c r="P763" s="5337"/>
      <c r="Q763" s="5345"/>
      <c r="R763" s="1110"/>
      <c r="S763" s="1111"/>
      <c r="T763" s="1111"/>
      <c r="U763" s="1711"/>
      <c r="V763" s="1112"/>
      <c r="W763" s="1719"/>
      <c r="X763" s="1113"/>
      <c r="Y763" s="1113"/>
      <c r="Z763" s="1113"/>
      <c r="AA763" s="1114"/>
      <c r="AB763" s="1719"/>
      <c r="AC763" s="410"/>
      <c r="AD763" s="410"/>
      <c r="AE763" s="1308"/>
    </row>
    <row r="764" spans="1:31" ht="21.75" customHeight="1">
      <c r="A764" s="5629"/>
      <c r="B764" s="5573"/>
      <c r="C764" s="5337"/>
      <c r="D764" s="5337"/>
      <c r="E764" s="5337"/>
      <c r="F764" s="5337"/>
      <c r="G764" s="5337"/>
      <c r="H764" s="5337"/>
      <c r="I764" s="5337"/>
      <c r="J764" s="5337"/>
      <c r="K764" s="5337"/>
      <c r="L764" s="5337"/>
      <c r="M764" s="5337"/>
      <c r="N764" s="5337"/>
      <c r="O764" s="5337"/>
      <c r="P764" s="5337"/>
      <c r="Q764" s="5345"/>
      <c r="R764" s="1110"/>
      <c r="S764" s="1111"/>
      <c r="T764" s="1111"/>
      <c r="U764" s="1711"/>
      <c r="V764" s="1112"/>
      <c r="W764" s="1719"/>
      <c r="X764" s="1113"/>
      <c r="Y764" s="1113"/>
      <c r="Z764" s="1113"/>
      <c r="AA764" s="1114"/>
      <c r="AB764" s="1719"/>
      <c r="AC764" s="410"/>
      <c r="AD764" s="410"/>
      <c r="AE764" s="1308"/>
    </row>
    <row r="765" spans="1:31" ht="21.75" customHeight="1">
      <c r="A765" s="5629"/>
      <c r="B765" s="5573"/>
      <c r="C765" s="5337"/>
      <c r="D765" s="5337"/>
      <c r="E765" s="5337"/>
      <c r="F765" s="5337"/>
      <c r="G765" s="5337"/>
      <c r="H765" s="5337"/>
      <c r="I765" s="5337"/>
      <c r="J765" s="5337"/>
      <c r="K765" s="5337"/>
      <c r="L765" s="5337"/>
      <c r="M765" s="5337"/>
      <c r="N765" s="5337"/>
      <c r="O765" s="5337"/>
      <c r="P765" s="5337"/>
      <c r="Q765" s="5345"/>
      <c r="R765" s="1110"/>
      <c r="S765" s="1111"/>
      <c r="T765" s="1111"/>
      <c r="U765" s="1711"/>
      <c r="V765" s="1112"/>
      <c r="W765" s="1719"/>
      <c r="X765" s="1113"/>
      <c r="Y765" s="1113"/>
      <c r="Z765" s="1113"/>
      <c r="AA765" s="1114"/>
      <c r="AB765" s="1719"/>
      <c r="AC765" s="410"/>
      <c r="AD765" s="410"/>
      <c r="AE765" s="1308"/>
    </row>
    <row r="766" spans="1:31" ht="21.75" customHeight="1">
      <c r="A766" s="5629"/>
      <c r="B766" s="5574"/>
      <c r="C766" s="5338"/>
      <c r="D766" s="5338"/>
      <c r="E766" s="5338"/>
      <c r="F766" s="5338"/>
      <c r="G766" s="5338"/>
      <c r="H766" s="5338"/>
      <c r="I766" s="5338"/>
      <c r="J766" s="5338"/>
      <c r="K766" s="5338"/>
      <c r="L766" s="5338"/>
      <c r="M766" s="5338"/>
      <c r="N766" s="5338"/>
      <c r="O766" s="5338"/>
      <c r="P766" s="5338"/>
      <c r="Q766" s="5346"/>
      <c r="R766" s="1309"/>
      <c r="S766" s="1310"/>
      <c r="T766" s="1310"/>
      <c r="U766" s="277"/>
      <c r="V766" s="1311"/>
      <c r="W766" s="416"/>
      <c r="X766" s="1312"/>
      <c r="Y766" s="1312"/>
      <c r="Z766" s="1312"/>
      <c r="AA766" s="1313"/>
      <c r="AB766" s="416"/>
      <c r="AC766" s="278"/>
      <c r="AD766" s="278"/>
      <c r="AE766" s="1314"/>
    </row>
    <row r="767" spans="1:31" ht="21.75" customHeight="1">
      <c r="A767" s="5629"/>
      <c r="B767" s="5572" t="s">
        <v>272</v>
      </c>
      <c r="C767" s="5336" t="s">
        <v>302</v>
      </c>
      <c r="D767" s="5336" t="s">
        <v>274</v>
      </c>
      <c r="E767" s="5336" t="s">
        <v>885</v>
      </c>
      <c r="F767" s="5341" t="s">
        <v>305</v>
      </c>
      <c r="G767" s="5336" t="s">
        <v>262</v>
      </c>
      <c r="H767" s="5336" t="s">
        <v>241</v>
      </c>
      <c r="I767" s="5618" t="s">
        <v>3154</v>
      </c>
      <c r="J767" s="5618" t="s">
        <v>3155</v>
      </c>
      <c r="K767" s="5618" t="s">
        <v>3024</v>
      </c>
      <c r="L767" s="5619">
        <v>1</v>
      </c>
      <c r="M767" s="5619">
        <v>0</v>
      </c>
      <c r="N767" s="5619">
        <v>1</v>
      </c>
      <c r="O767" s="5618" t="s">
        <v>3156</v>
      </c>
      <c r="P767" s="5618" t="s">
        <v>3026</v>
      </c>
      <c r="Q767" s="5620" t="s">
        <v>3269</v>
      </c>
      <c r="R767" s="1110"/>
      <c r="S767" s="1111"/>
      <c r="T767" s="1111"/>
      <c r="U767" s="1711"/>
      <c r="V767" s="1112"/>
      <c r="W767" s="1719"/>
      <c r="X767" s="1113"/>
      <c r="Y767" s="1113"/>
      <c r="Z767" s="1113"/>
      <c r="AA767" s="1114"/>
      <c r="AB767" s="1719"/>
      <c r="AC767" s="410"/>
      <c r="AD767" s="410"/>
      <c r="AE767" s="1308"/>
    </row>
    <row r="768" spans="1:31" ht="21.75" customHeight="1">
      <c r="A768" s="5629"/>
      <c r="B768" s="5573"/>
      <c r="C768" s="5337"/>
      <c r="D768" s="5337"/>
      <c r="E768" s="5337"/>
      <c r="F768" s="5337"/>
      <c r="G768" s="5337"/>
      <c r="H768" s="5337"/>
      <c r="I768" s="5337"/>
      <c r="J768" s="5337"/>
      <c r="K768" s="5337"/>
      <c r="L768" s="5337"/>
      <c r="M768" s="5337"/>
      <c r="N768" s="5337"/>
      <c r="O768" s="5337"/>
      <c r="P768" s="5337"/>
      <c r="Q768" s="5345"/>
      <c r="R768" s="1110"/>
      <c r="S768" s="1111"/>
      <c r="T768" s="1111"/>
      <c r="U768" s="1711"/>
      <c r="V768" s="1112"/>
      <c r="W768" s="1719"/>
      <c r="X768" s="1113"/>
      <c r="Y768" s="1113"/>
      <c r="Z768" s="1113"/>
      <c r="AA768" s="1114"/>
      <c r="AB768" s="1719"/>
      <c r="AC768" s="410"/>
      <c r="AD768" s="410"/>
      <c r="AE768" s="1308"/>
    </row>
    <row r="769" spans="1:31" ht="21.75" customHeight="1">
      <c r="A769" s="5629"/>
      <c r="B769" s="5573"/>
      <c r="C769" s="5337"/>
      <c r="D769" s="5337"/>
      <c r="E769" s="5337"/>
      <c r="F769" s="5337"/>
      <c r="G769" s="5337"/>
      <c r="H769" s="5337"/>
      <c r="I769" s="5337"/>
      <c r="J769" s="5337"/>
      <c r="K769" s="5337"/>
      <c r="L769" s="5337"/>
      <c r="M769" s="5337"/>
      <c r="N769" s="5337"/>
      <c r="O769" s="5337"/>
      <c r="P769" s="5337"/>
      <c r="Q769" s="5345"/>
      <c r="R769" s="1110"/>
      <c r="S769" s="1111"/>
      <c r="T769" s="1111"/>
      <c r="U769" s="1711"/>
      <c r="V769" s="1112"/>
      <c r="W769" s="1719"/>
      <c r="X769" s="1113"/>
      <c r="Y769" s="1113"/>
      <c r="Z769" s="1113"/>
      <c r="AA769" s="1114"/>
      <c r="AB769" s="1719"/>
      <c r="AC769" s="410"/>
      <c r="AD769" s="410"/>
      <c r="AE769" s="1308"/>
    </row>
    <row r="770" spans="1:31" ht="21.75" customHeight="1">
      <c r="A770" s="5629"/>
      <c r="B770" s="5573"/>
      <c r="C770" s="5337"/>
      <c r="D770" s="5337"/>
      <c r="E770" s="5337"/>
      <c r="F770" s="5337"/>
      <c r="G770" s="5337"/>
      <c r="H770" s="5337"/>
      <c r="I770" s="5337"/>
      <c r="J770" s="5337"/>
      <c r="K770" s="5337"/>
      <c r="L770" s="5337"/>
      <c r="M770" s="5337"/>
      <c r="N770" s="5337"/>
      <c r="O770" s="5337"/>
      <c r="P770" s="5337"/>
      <c r="Q770" s="5345"/>
      <c r="R770" s="1110"/>
      <c r="S770" s="1111"/>
      <c r="T770" s="1111"/>
      <c r="U770" s="1711"/>
      <c r="V770" s="1112"/>
      <c r="W770" s="1719"/>
      <c r="X770" s="1113"/>
      <c r="Y770" s="1113"/>
      <c r="Z770" s="1113"/>
      <c r="AA770" s="1114"/>
      <c r="AB770" s="1719"/>
      <c r="AC770" s="410"/>
      <c r="AD770" s="410"/>
      <c r="AE770" s="1308"/>
    </row>
    <row r="771" spans="1:31" ht="21.75" customHeight="1">
      <c r="A771" s="5629"/>
      <c r="B771" s="5574"/>
      <c r="C771" s="5338"/>
      <c r="D771" s="5338"/>
      <c r="E771" s="5338"/>
      <c r="F771" s="5338"/>
      <c r="G771" s="5338"/>
      <c r="H771" s="5338"/>
      <c r="I771" s="5338"/>
      <c r="J771" s="5338"/>
      <c r="K771" s="5338"/>
      <c r="L771" s="5338"/>
      <c r="M771" s="5338"/>
      <c r="N771" s="5338"/>
      <c r="O771" s="5338"/>
      <c r="P771" s="5338"/>
      <c r="Q771" s="5346"/>
      <c r="R771" s="1309"/>
      <c r="S771" s="1310"/>
      <c r="T771" s="1310"/>
      <c r="U771" s="277"/>
      <c r="V771" s="1311"/>
      <c r="W771" s="416"/>
      <c r="X771" s="1312"/>
      <c r="Y771" s="1312"/>
      <c r="Z771" s="1312"/>
      <c r="AA771" s="1313"/>
      <c r="AB771" s="416"/>
      <c r="AC771" s="278"/>
      <c r="AD771" s="278"/>
      <c r="AE771" s="1314"/>
    </row>
    <row r="772" spans="1:31" ht="21.75" customHeight="1">
      <c r="A772" s="5629"/>
      <c r="B772" s="5627" t="s">
        <v>235</v>
      </c>
      <c r="C772" s="5347" t="s">
        <v>236</v>
      </c>
      <c r="D772" s="5347" t="s">
        <v>237</v>
      </c>
      <c r="E772" s="5347" t="s">
        <v>255</v>
      </c>
      <c r="F772" s="5353" t="s">
        <v>239</v>
      </c>
      <c r="G772" s="5336" t="s">
        <v>240</v>
      </c>
      <c r="H772" s="5336" t="s">
        <v>257</v>
      </c>
      <c r="I772" s="5618" t="s">
        <v>3158</v>
      </c>
      <c r="J772" s="5618" t="s">
        <v>3159</v>
      </c>
      <c r="K772" s="5618" t="s">
        <v>3160</v>
      </c>
      <c r="L772" s="5619">
        <v>1</v>
      </c>
      <c r="M772" s="5619">
        <v>2</v>
      </c>
      <c r="N772" s="5619">
        <v>2</v>
      </c>
      <c r="O772" s="5618" t="s">
        <v>3161</v>
      </c>
      <c r="P772" s="5618" t="s">
        <v>3162</v>
      </c>
      <c r="Q772" s="5620" t="s">
        <v>3268</v>
      </c>
      <c r="R772" s="1110"/>
      <c r="S772" s="1111"/>
      <c r="T772" s="1111"/>
      <c r="U772" s="1711"/>
      <c r="V772" s="1112"/>
      <c r="W772" s="1719"/>
      <c r="X772" s="1113"/>
      <c r="Y772" s="1113"/>
      <c r="Z772" s="1113"/>
      <c r="AA772" s="1114"/>
      <c r="AB772" s="1719"/>
      <c r="AC772" s="410"/>
      <c r="AD772" s="410"/>
      <c r="AE772" s="1308"/>
    </row>
    <row r="773" spans="1:31" ht="21.75" customHeight="1">
      <c r="A773" s="5629"/>
      <c r="B773" s="5573"/>
      <c r="C773" s="5337"/>
      <c r="D773" s="5337"/>
      <c r="E773" s="5337"/>
      <c r="F773" s="5337"/>
      <c r="G773" s="5337"/>
      <c r="H773" s="5337"/>
      <c r="I773" s="5337"/>
      <c r="J773" s="5337"/>
      <c r="K773" s="5337"/>
      <c r="L773" s="5337"/>
      <c r="M773" s="5337"/>
      <c r="N773" s="5337"/>
      <c r="O773" s="5337"/>
      <c r="P773" s="5337"/>
      <c r="Q773" s="5345"/>
      <c r="R773" s="1110"/>
      <c r="S773" s="1111"/>
      <c r="T773" s="1111"/>
      <c r="U773" s="1711"/>
      <c r="V773" s="1112"/>
      <c r="W773" s="1719"/>
      <c r="X773" s="1113"/>
      <c r="Y773" s="1113"/>
      <c r="Z773" s="1113"/>
      <c r="AA773" s="1114"/>
      <c r="AB773" s="1719"/>
      <c r="AC773" s="410"/>
      <c r="AD773" s="410"/>
      <c r="AE773" s="1308"/>
    </row>
    <row r="774" spans="1:31" ht="21.75" customHeight="1">
      <c r="A774" s="5629"/>
      <c r="B774" s="5573"/>
      <c r="C774" s="5337"/>
      <c r="D774" s="5337"/>
      <c r="E774" s="5337"/>
      <c r="F774" s="5337"/>
      <c r="G774" s="5337"/>
      <c r="H774" s="5337"/>
      <c r="I774" s="5337"/>
      <c r="J774" s="5337"/>
      <c r="K774" s="5337"/>
      <c r="L774" s="5337"/>
      <c r="M774" s="5337"/>
      <c r="N774" s="5337"/>
      <c r="O774" s="5337"/>
      <c r="P774" s="5337"/>
      <c r="Q774" s="5345"/>
      <c r="R774" s="1110"/>
      <c r="S774" s="1111"/>
      <c r="T774" s="1111"/>
      <c r="U774" s="1711"/>
      <c r="V774" s="1112"/>
      <c r="W774" s="1719"/>
      <c r="X774" s="1113"/>
      <c r="Y774" s="1113"/>
      <c r="Z774" s="1113"/>
      <c r="AA774" s="1114"/>
      <c r="AB774" s="1719"/>
      <c r="AC774" s="410"/>
      <c r="AD774" s="410"/>
      <c r="AE774" s="1308"/>
    </row>
    <row r="775" spans="1:31" ht="21.75" customHeight="1">
      <c r="A775" s="5629"/>
      <c r="B775" s="5573"/>
      <c r="C775" s="5337"/>
      <c r="D775" s="5337"/>
      <c r="E775" s="5337"/>
      <c r="F775" s="5337"/>
      <c r="G775" s="5337"/>
      <c r="H775" s="5337"/>
      <c r="I775" s="5337"/>
      <c r="J775" s="5337"/>
      <c r="K775" s="5337"/>
      <c r="L775" s="5337"/>
      <c r="M775" s="5337"/>
      <c r="N775" s="5337"/>
      <c r="O775" s="5337"/>
      <c r="P775" s="5337"/>
      <c r="Q775" s="5345"/>
      <c r="R775" s="1110"/>
      <c r="S775" s="1111"/>
      <c r="T775" s="1111"/>
      <c r="U775" s="1711"/>
      <c r="V775" s="1112"/>
      <c r="W775" s="1719"/>
      <c r="X775" s="1113"/>
      <c r="Y775" s="1113"/>
      <c r="Z775" s="1113"/>
      <c r="AA775" s="1114"/>
      <c r="AB775" s="1719"/>
      <c r="AC775" s="410"/>
      <c r="AD775" s="410"/>
      <c r="AE775" s="1308"/>
    </row>
    <row r="776" spans="1:31" ht="21.75" customHeight="1">
      <c r="A776" s="5629"/>
      <c r="B776" s="5574"/>
      <c r="C776" s="5338"/>
      <c r="D776" s="5338"/>
      <c r="E776" s="5338"/>
      <c r="F776" s="5338"/>
      <c r="G776" s="5338"/>
      <c r="H776" s="5338"/>
      <c r="I776" s="5337"/>
      <c r="J776" s="5337"/>
      <c r="K776" s="5337"/>
      <c r="L776" s="5337"/>
      <c r="M776" s="5337"/>
      <c r="N776" s="5337"/>
      <c r="O776" s="5337"/>
      <c r="P776" s="5337"/>
      <c r="Q776" s="5345"/>
      <c r="R776" s="1309"/>
      <c r="S776" s="1310"/>
      <c r="T776" s="1310"/>
      <c r="U776" s="277"/>
      <c r="V776" s="1311"/>
      <c r="W776" s="416"/>
      <c r="X776" s="1312"/>
      <c r="Y776" s="1312"/>
      <c r="Z776" s="1312"/>
      <c r="AA776" s="1313"/>
      <c r="AB776" s="416"/>
      <c r="AC776" s="278"/>
      <c r="AD776" s="278"/>
      <c r="AE776" s="1314"/>
    </row>
    <row r="777" spans="1:31" ht="21.75" customHeight="1">
      <c r="A777" s="5629"/>
      <c r="B777" s="5626" t="s">
        <v>272</v>
      </c>
      <c r="C777" s="5624" t="s">
        <v>302</v>
      </c>
      <c r="D777" s="5624" t="s">
        <v>303</v>
      </c>
      <c r="E777" s="5624" t="s">
        <v>304</v>
      </c>
      <c r="F777" s="5622" t="s">
        <v>305</v>
      </c>
      <c r="G777" s="5624" t="s">
        <v>240</v>
      </c>
      <c r="H777" s="5624" t="s">
        <v>257</v>
      </c>
      <c r="I777" s="5618" t="s">
        <v>3163</v>
      </c>
      <c r="J777" s="5618" t="s">
        <v>3164</v>
      </c>
      <c r="K777" s="5618" t="s">
        <v>3146</v>
      </c>
      <c r="L777" s="5619">
        <v>0</v>
      </c>
      <c r="M777" s="5619">
        <v>1</v>
      </c>
      <c r="N777" s="5619">
        <v>0</v>
      </c>
      <c r="O777" s="5618" t="s">
        <v>3165</v>
      </c>
      <c r="P777" s="5618" t="s">
        <v>3166</v>
      </c>
      <c r="Q777" s="5620" t="s">
        <v>3268</v>
      </c>
      <c r="R777" s="1110"/>
      <c r="S777" s="1111"/>
      <c r="T777" s="1111"/>
      <c r="U777" s="1711"/>
      <c r="V777" s="1112"/>
      <c r="W777" s="1719"/>
      <c r="X777" s="1113"/>
      <c r="Y777" s="1113"/>
      <c r="Z777" s="1113"/>
      <c r="AA777" s="1114"/>
      <c r="AB777" s="1719"/>
      <c r="AC777" s="410"/>
      <c r="AD777" s="410"/>
      <c r="AE777" s="1308"/>
    </row>
    <row r="778" spans="1:31" ht="21.75" customHeight="1">
      <c r="A778" s="5629"/>
      <c r="B778" s="5573"/>
      <c r="C778" s="5337"/>
      <c r="D778" s="5337"/>
      <c r="E778" s="5337"/>
      <c r="F778" s="5337"/>
      <c r="G778" s="5337"/>
      <c r="H778" s="5337"/>
      <c r="I778" s="5337"/>
      <c r="J778" s="5337"/>
      <c r="K778" s="5337"/>
      <c r="L778" s="5337"/>
      <c r="M778" s="5337"/>
      <c r="N778" s="5337"/>
      <c r="O778" s="5337"/>
      <c r="P778" s="5337"/>
      <c r="Q778" s="5345"/>
      <c r="R778" s="1110"/>
      <c r="S778" s="1111"/>
      <c r="T778" s="1111"/>
      <c r="U778" s="1711"/>
      <c r="V778" s="1112"/>
      <c r="W778" s="1719"/>
      <c r="X778" s="1113"/>
      <c r="Y778" s="1113"/>
      <c r="Z778" s="1113"/>
      <c r="AA778" s="1114"/>
      <c r="AB778" s="1719"/>
      <c r="AC778" s="410"/>
      <c r="AD778" s="410"/>
      <c r="AE778" s="1308"/>
    </row>
    <row r="779" spans="1:31" ht="21.75" customHeight="1">
      <c r="A779" s="5629"/>
      <c r="B779" s="5573"/>
      <c r="C779" s="5337"/>
      <c r="D779" s="5337"/>
      <c r="E779" s="5337"/>
      <c r="F779" s="5337"/>
      <c r="G779" s="5337"/>
      <c r="H779" s="5337"/>
      <c r="I779" s="5337"/>
      <c r="J779" s="5337"/>
      <c r="K779" s="5337"/>
      <c r="L779" s="5337"/>
      <c r="M779" s="5337"/>
      <c r="N779" s="5337"/>
      <c r="O779" s="5337"/>
      <c r="P779" s="5337"/>
      <c r="Q779" s="5345"/>
      <c r="R779" s="1110"/>
      <c r="S779" s="1111"/>
      <c r="T779" s="1111"/>
      <c r="U779" s="1711"/>
      <c r="V779" s="1112"/>
      <c r="W779" s="1719"/>
      <c r="X779" s="1113"/>
      <c r="Y779" s="1113"/>
      <c r="Z779" s="1113"/>
      <c r="AA779" s="1114"/>
      <c r="AB779" s="1719"/>
      <c r="AC779" s="410"/>
      <c r="AD779" s="410"/>
      <c r="AE779" s="1308"/>
    </row>
    <row r="780" spans="1:31" ht="21.75" customHeight="1">
      <c r="A780" s="5629"/>
      <c r="B780" s="5573"/>
      <c r="C780" s="5337"/>
      <c r="D780" s="5337"/>
      <c r="E780" s="5337"/>
      <c r="F780" s="5337"/>
      <c r="G780" s="5337"/>
      <c r="H780" s="5337"/>
      <c r="I780" s="5337"/>
      <c r="J780" s="5337"/>
      <c r="K780" s="5337"/>
      <c r="L780" s="5337"/>
      <c r="M780" s="5337"/>
      <c r="N780" s="5337"/>
      <c r="O780" s="5337"/>
      <c r="P780" s="5337"/>
      <c r="Q780" s="5345"/>
      <c r="R780" s="1110"/>
      <c r="S780" s="1111"/>
      <c r="T780" s="1111"/>
      <c r="U780" s="1711"/>
      <c r="V780" s="1112"/>
      <c r="W780" s="1719"/>
      <c r="X780" s="1113"/>
      <c r="Y780" s="1113"/>
      <c r="Z780" s="1113"/>
      <c r="AA780" s="1114"/>
      <c r="AB780" s="1719"/>
      <c r="AC780" s="410"/>
      <c r="AD780" s="410"/>
      <c r="AE780" s="1308"/>
    </row>
    <row r="781" spans="1:31" ht="21.75" customHeight="1">
      <c r="A781" s="5629"/>
      <c r="B781" s="5574"/>
      <c r="C781" s="5338"/>
      <c r="D781" s="5338"/>
      <c r="E781" s="5338"/>
      <c r="F781" s="5338"/>
      <c r="G781" s="5338"/>
      <c r="H781" s="5338"/>
      <c r="I781" s="5338"/>
      <c r="J781" s="5338"/>
      <c r="K781" s="5338"/>
      <c r="L781" s="5338"/>
      <c r="M781" s="5338"/>
      <c r="N781" s="5338"/>
      <c r="O781" s="5338"/>
      <c r="P781" s="5338"/>
      <c r="Q781" s="5346"/>
      <c r="R781" s="1309"/>
      <c r="S781" s="1310"/>
      <c r="T781" s="1310"/>
      <c r="U781" s="277"/>
      <c r="V781" s="1311"/>
      <c r="W781" s="416"/>
      <c r="X781" s="1312"/>
      <c r="Y781" s="1312"/>
      <c r="Z781" s="1312"/>
      <c r="AA781" s="1313"/>
      <c r="AB781" s="416"/>
      <c r="AC781" s="278"/>
      <c r="AD781" s="278"/>
      <c r="AE781" s="1314"/>
    </row>
    <row r="782" spans="1:31" ht="21.75" customHeight="1">
      <c r="A782" s="5629"/>
      <c r="B782" s="5626" t="s">
        <v>272</v>
      </c>
      <c r="C782" s="5624" t="s">
        <v>302</v>
      </c>
      <c r="D782" s="5624" t="s">
        <v>303</v>
      </c>
      <c r="E782" s="5624" t="s">
        <v>304</v>
      </c>
      <c r="F782" s="5622" t="s">
        <v>305</v>
      </c>
      <c r="G782" s="5624" t="s">
        <v>240</v>
      </c>
      <c r="H782" s="5624" t="s">
        <v>257</v>
      </c>
      <c r="I782" s="5618" t="s">
        <v>3167</v>
      </c>
      <c r="J782" s="5618" t="s">
        <v>3168</v>
      </c>
      <c r="K782" s="5618" t="s">
        <v>3006</v>
      </c>
      <c r="L782" s="5619">
        <v>2</v>
      </c>
      <c r="M782" s="5619">
        <v>0</v>
      </c>
      <c r="N782" s="5619">
        <v>2</v>
      </c>
      <c r="O782" s="5618" t="s">
        <v>3169</v>
      </c>
      <c r="P782" s="5618" t="s">
        <v>3170</v>
      </c>
      <c r="Q782" s="5620" t="s">
        <v>3268</v>
      </c>
      <c r="R782" s="1110"/>
      <c r="S782" s="1111"/>
      <c r="T782" s="1111"/>
      <c r="U782" s="1711"/>
      <c r="V782" s="1112"/>
      <c r="W782" s="1719"/>
      <c r="X782" s="1113"/>
      <c r="Y782" s="1113"/>
      <c r="Z782" s="1113"/>
      <c r="AA782" s="1114"/>
      <c r="AB782" s="1719"/>
      <c r="AC782" s="410"/>
      <c r="AD782" s="410"/>
      <c r="AE782" s="1308"/>
    </row>
    <row r="783" spans="1:31" ht="21.75" customHeight="1">
      <c r="A783" s="5629"/>
      <c r="B783" s="5573"/>
      <c r="C783" s="5337"/>
      <c r="D783" s="5337"/>
      <c r="E783" s="5337"/>
      <c r="F783" s="5337"/>
      <c r="G783" s="5337"/>
      <c r="H783" s="5337"/>
      <c r="I783" s="5337"/>
      <c r="J783" s="5337"/>
      <c r="K783" s="5337"/>
      <c r="L783" s="5337"/>
      <c r="M783" s="5337"/>
      <c r="N783" s="5337"/>
      <c r="O783" s="5337"/>
      <c r="P783" s="5337"/>
      <c r="Q783" s="5345"/>
      <c r="R783" s="1110"/>
      <c r="S783" s="1111"/>
      <c r="T783" s="1111"/>
      <c r="U783" s="1711"/>
      <c r="V783" s="1112"/>
      <c r="W783" s="1719"/>
      <c r="X783" s="1113"/>
      <c r="Y783" s="1113"/>
      <c r="Z783" s="1113"/>
      <c r="AA783" s="1114"/>
      <c r="AB783" s="1719"/>
      <c r="AC783" s="410"/>
      <c r="AD783" s="410"/>
      <c r="AE783" s="1308"/>
    </row>
    <row r="784" spans="1:31" ht="21.75" customHeight="1">
      <c r="A784" s="5629"/>
      <c r="B784" s="5573"/>
      <c r="C784" s="5337"/>
      <c r="D784" s="5337"/>
      <c r="E784" s="5337"/>
      <c r="F784" s="5337"/>
      <c r="G784" s="5337"/>
      <c r="H784" s="5337"/>
      <c r="I784" s="5337"/>
      <c r="J784" s="5337"/>
      <c r="K784" s="5337"/>
      <c r="L784" s="5337"/>
      <c r="M784" s="5337"/>
      <c r="N784" s="5337"/>
      <c r="O784" s="5337"/>
      <c r="P784" s="5337"/>
      <c r="Q784" s="5345"/>
      <c r="R784" s="1110"/>
      <c r="S784" s="1111"/>
      <c r="T784" s="1111"/>
      <c r="U784" s="1711"/>
      <c r="V784" s="1112"/>
      <c r="W784" s="1719"/>
      <c r="X784" s="1113"/>
      <c r="Y784" s="1113"/>
      <c r="Z784" s="1113"/>
      <c r="AA784" s="1114"/>
      <c r="AB784" s="1719"/>
      <c r="AC784" s="410"/>
      <c r="AD784" s="410"/>
      <c r="AE784" s="1308"/>
    </row>
    <row r="785" spans="1:31" ht="21.75" customHeight="1">
      <c r="A785" s="5629"/>
      <c r="B785" s="5573"/>
      <c r="C785" s="5337"/>
      <c r="D785" s="5337"/>
      <c r="E785" s="5337"/>
      <c r="F785" s="5337"/>
      <c r="G785" s="5337"/>
      <c r="H785" s="5337"/>
      <c r="I785" s="5337"/>
      <c r="J785" s="5337"/>
      <c r="K785" s="5337"/>
      <c r="L785" s="5337"/>
      <c r="M785" s="5337"/>
      <c r="N785" s="5337"/>
      <c r="O785" s="5337"/>
      <c r="P785" s="5337"/>
      <c r="Q785" s="5345"/>
      <c r="R785" s="1110"/>
      <c r="S785" s="1111"/>
      <c r="T785" s="1111"/>
      <c r="U785" s="1711"/>
      <c r="V785" s="1112"/>
      <c r="W785" s="1719"/>
      <c r="X785" s="1113"/>
      <c r="Y785" s="1113"/>
      <c r="Z785" s="1113"/>
      <c r="AA785" s="1114"/>
      <c r="AB785" s="1719"/>
      <c r="AC785" s="410"/>
      <c r="AD785" s="410"/>
      <c r="AE785" s="1308"/>
    </row>
    <row r="786" spans="1:31" ht="21.75" customHeight="1">
      <c r="A786" s="5629"/>
      <c r="B786" s="5574"/>
      <c r="C786" s="5338"/>
      <c r="D786" s="5338"/>
      <c r="E786" s="5338"/>
      <c r="F786" s="5338"/>
      <c r="G786" s="5338"/>
      <c r="H786" s="5338"/>
      <c r="I786" s="5337"/>
      <c r="J786" s="5337"/>
      <c r="K786" s="5337"/>
      <c r="L786" s="5337"/>
      <c r="M786" s="5337"/>
      <c r="N786" s="5337"/>
      <c r="O786" s="5337"/>
      <c r="P786" s="5337"/>
      <c r="Q786" s="5345"/>
      <c r="R786" s="1309"/>
      <c r="S786" s="1310"/>
      <c r="T786" s="1310"/>
      <c r="U786" s="277"/>
      <c r="V786" s="1311"/>
      <c r="W786" s="416"/>
      <c r="X786" s="1312"/>
      <c r="Y786" s="1312"/>
      <c r="Z786" s="1312"/>
      <c r="AA786" s="1313"/>
      <c r="AB786" s="416"/>
      <c r="AC786" s="278"/>
      <c r="AD786" s="278"/>
      <c r="AE786" s="1314"/>
    </row>
    <row r="787" spans="1:31" ht="21.75" customHeight="1">
      <c r="A787" s="5629"/>
      <c r="B787" s="5626" t="s">
        <v>272</v>
      </c>
      <c r="C787" s="5624" t="s">
        <v>302</v>
      </c>
      <c r="D787" s="5624" t="s">
        <v>303</v>
      </c>
      <c r="E787" s="5624" t="s">
        <v>304</v>
      </c>
      <c r="F787" s="5622" t="s">
        <v>305</v>
      </c>
      <c r="G787" s="5624" t="s">
        <v>240</v>
      </c>
      <c r="H787" s="5624" t="s">
        <v>257</v>
      </c>
      <c r="I787" s="5618" t="s">
        <v>3171</v>
      </c>
      <c r="J787" s="5618" t="s">
        <v>3172</v>
      </c>
      <c r="K787" s="5618" t="s">
        <v>3173</v>
      </c>
      <c r="L787" s="5619">
        <v>4</v>
      </c>
      <c r="M787" s="5619">
        <v>4</v>
      </c>
      <c r="N787" s="5619">
        <v>4</v>
      </c>
      <c r="O787" s="5618" t="s">
        <v>3174</v>
      </c>
      <c r="P787" s="5618" t="s">
        <v>3175</v>
      </c>
      <c r="Q787" s="5620" t="s">
        <v>3270</v>
      </c>
      <c r="R787" s="1110"/>
      <c r="S787" s="1111"/>
      <c r="T787" s="1111"/>
      <c r="U787" s="1711"/>
      <c r="V787" s="1112"/>
      <c r="W787" s="1719"/>
      <c r="X787" s="1113"/>
      <c r="Y787" s="1113"/>
      <c r="Z787" s="1113"/>
      <c r="AA787" s="1114"/>
      <c r="AB787" s="1719"/>
      <c r="AC787" s="410"/>
      <c r="AD787" s="410"/>
      <c r="AE787" s="1308"/>
    </row>
    <row r="788" spans="1:31" ht="21.75" customHeight="1">
      <c r="A788" s="5629"/>
      <c r="B788" s="5573"/>
      <c r="C788" s="5337"/>
      <c r="D788" s="5337"/>
      <c r="E788" s="5337"/>
      <c r="F788" s="5337"/>
      <c r="G788" s="5337"/>
      <c r="H788" s="5337"/>
      <c r="I788" s="5337"/>
      <c r="J788" s="5337"/>
      <c r="K788" s="5337"/>
      <c r="L788" s="5337"/>
      <c r="M788" s="5337"/>
      <c r="N788" s="5337"/>
      <c r="O788" s="5337"/>
      <c r="P788" s="5337"/>
      <c r="Q788" s="5345"/>
      <c r="R788" s="1110"/>
      <c r="S788" s="1111"/>
      <c r="T788" s="1111"/>
      <c r="U788" s="1711"/>
      <c r="V788" s="1112"/>
      <c r="W788" s="1719"/>
      <c r="X788" s="1113"/>
      <c r="Y788" s="1113"/>
      <c r="Z788" s="1113"/>
      <c r="AA788" s="1114"/>
      <c r="AB788" s="1719"/>
      <c r="AC788" s="410"/>
      <c r="AD788" s="410"/>
      <c r="AE788" s="1308"/>
    </row>
    <row r="789" spans="1:31" ht="21.75" customHeight="1">
      <c r="A789" s="5629"/>
      <c r="B789" s="5573"/>
      <c r="C789" s="5337"/>
      <c r="D789" s="5337"/>
      <c r="E789" s="5337"/>
      <c r="F789" s="5337"/>
      <c r="G789" s="5337"/>
      <c r="H789" s="5337"/>
      <c r="I789" s="5337"/>
      <c r="J789" s="5337"/>
      <c r="K789" s="5337"/>
      <c r="L789" s="5337"/>
      <c r="M789" s="5337"/>
      <c r="N789" s="5337"/>
      <c r="O789" s="5337"/>
      <c r="P789" s="5337"/>
      <c r="Q789" s="5345"/>
      <c r="R789" s="1110"/>
      <c r="S789" s="1111"/>
      <c r="T789" s="1111"/>
      <c r="U789" s="1711"/>
      <c r="V789" s="1112"/>
      <c r="W789" s="1719"/>
      <c r="X789" s="1113"/>
      <c r="Y789" s="1113"/>
      <c r="Z789" s="1113"/>
      <c r="AA789" s="1114"/>
      <c r="AB789" s="1719"/>
      <c r="AC789" s="410"/>
      <c r="AD789" s="410"/>
      <c r="AE789" s="1308"/>
    </row>
    <row r="790" spans="1:31" ht="21.75" customHeight="1">
      <c r="A790" s="5629"/>
      <c r="B790" s="5573"/>
      <c r="C790" s="5337"/>
      <c r="D790" s="5337"/>
      <c r="E790" s="5337"/>
      <c r="F790" s="5337"/>
      <c r="G790" s="5337"/>
      <c r="H790" s="5337"/>
      <c r="I790" s="5337"/>
      <c r="J790" s="5337"/>
      <c r="K790" s="5337"/>
      <c r="L790" s="5337"/>
      <c r="M790" s="5337"/>
      <c r="N790" s="5337"/>
      <c r="O790" s="5337"/>
      <c r="P790" s="5337"/>
      <c r="Q790" s="5345"/>
      <c r="R790" s="1110"/>
      <c r="S790" s="1111"/>
      <c r="T790" s="1111"/>
      <c r="U790" s="1711"/>
      <c r="V790" s="1112"/>
      <c r="W790" s="1719"/>
      <c r="X790" s="1113"/>
      <c r="Y790" s="1113"/>
      <c r="Z790" s="1113"/>
      <c r="AA790" s="1114"/>
      <c r="AB790" s="1719"/>
      <c r="AC790" s="410"/>
      <c r="AD790" s="410"/>
      <c r="AE790" s="1308"/>
    </row>
    <row r="791" spans="1:31" ht="21.75" customHeight="1">
      <c r="A791" s="5629"/>
      <c r="B791" s="5574"/>
      <c r="C791" s="5338"/>
      <c r="D791" s="5338"/>
      <c r="E791" s="5338"/>
      <c r="F791" s="5338"/>
      <c r="G791" s="5338"/>
      <c r="H791" s="5338"/>
      <c r="I791" s="5338"/>
      <c r="J791" s="5338"/>
      <c r="K791" s="5338"/>
      <c r="L791" s="5338"/>
      <c r="M791" s="5338"/>
      <c r="N791" s="5338"/>
      <c r="O791" s="5338"/>
      <c r="P791" s="5338"/>
      <c r="Q791" s="5346"/>
      <c r="R791" s="1309"/>
      <c r="S791" s="1310"/>
      <c r="T791" s="1310"/>
      <c r="U791" s="277"/>
      <c r="V791" s="1311"/>
      <c r="W791" s="416"/>
      <c r="X791" s="1312"/>
      <c r="Y791" s="1312"/>
      <c r="Z791" s="1312"/>
      <c r="AA791" s="1313"/>
      <c r="AB791" s="416"/>
      <c r="AC791" s="278"/>
      <c r="AD791" s="278"/>
      <c r="AE791" s="1314"/>
    </row>
    <row r="792" spans="1:31" ht="21.75" customHeight="1">
      <c r="A792" s="5629"/>
      <c r="B792" s="5626" t="s">
        <v>272</v>
      </c>
      <c r="C792" s="5624" t="s">
        <v>302</v>
      </c>
      <c r="D792" s="5624" t="s">
        <v>303</v>
      </c>
      <c r="E792" s="5624" t="s">
        <v>304</v>
      </c>
      <c r="F792" s="5622" t="s">
        <v>305</v>
      </c>
      <c r="G792" s="5624" t="s">
        <v>240</v>
      </c>
      <c r="H792" s="5624" t="s">
        <v>257</v>
      </c>
      <c r="I792" s="5618" t="s">
        <v>3177</v>
      </c>
      <c r="J792" s="5618" t="s">
        <v>3178</v>
      </c>
      <c r="K792" s="5618" t="s">
        <v>3146</v>
      </c>
      <c r="L792" s="5619">
        <v>1</v>
      </c>
      <c r="M792" s="5619">
        <v>1</v>
      </c>
      <c r="N792" s="5619">
        <v>1</v>
      </c>
      <c r="O792" s="5618" t="s">
        <v>3179</v>
      </c>
      <c r="P792" s="5618" t="s">
        <v>3180</v>
      </c>
      <c r="Q792" s="5620" t="s">
        <v>3270</v>
      </c>
      <c r="R792" s="1110"/>
      <c r="S792" s="1111"/>
      <c r="T792" s="1111"/>
      <c r="U792" s="1711"/>
      <c r="V792" s="1112"/>
      <c r="W792" s="1719"/>
      <c r="X792" s="1113"/>
      <c r="Y792" s="1113"/>
      <c r="Z792" s="1113"/>
      <c r="AA792" s="1114"/>
      <c r="AB792" s="1719"/>
      <c r="AC792" s="410"/>
      <c r="AD792" s="410"/>
      <c r="AE792" s="1308"/>
    </row>
    <row r="793" spans="1:31" ht="21.75" customHeight="1">
      <c r="A793" s="5629"/>
      <c r="B793" s="5573"/>
      <c r="C793" s="5337"/>
      <c r="D793" s="5337"/>
      <c r="E793" s="5337"/>
      <c r="F793" s="5337"/>
      <c r="G793" s="5337"/>
      <c r="H793" s="5337"/>
      <c r="I793" s="5337"/>
      <c r="J793" s="5337"/>
      <c r="K793" s="5337"/>
      <c r="L793" s="5337"/>
      <c r="M793" s="5337"/>
      <c r="N793" s="5337"/>
      <c r="O793" s="5337"/>
      <c r="P793" s="5337"/>
      <c r="Q793" s="5345"/>
      <c r="R793" s="1110"/>
      <c r="S793" s="1111"/>
      <c r="T793" s="1111"/>
      <c r="U793" s="1711"/>
      <c r="V793" s="1112"/>
      <c r="W793" s="1719"/>
      <c r="X793" s="1113"/>
      <c r="Y793" s="1113"/>
      <c r="Z793" s="1113"/>
      <c r="AA793" s="1114"/>
      <c r="AB793" s="1719"/>
      <c r="AC793" s="410"/>
      <c r="AD793" s="410"/>
      <c r="AE793" s="1308"/>
    </row>
    <row r="794" spans="1:31" ht="21.75" customHeight="1">
      <c r="A794" s="5629"/>
      <c r="B794" s="5573"/>
      <c r="C794" s="5337"/>
      <c r="D794" s="5337"/>
      <c r="E794" s="5337"/>
      <c r="F794" s="5337"/>
      <c r="G794" s="5337"/>
      <c r="H794" s="5337"/>
      <c r="I794" s="5337"/>
      <c r="J794" s="5337"/>
      <c r="K794" s="5337"/>
      <c r="L794" s="5337"/>
      <c r="M794" s="5337"/>
      <c r="N794" s="5337"/>
      <c r="O794" s="5337"/>
      <c r="P794" s="5337"/>
      <c r="Q794" s="5345"/>
      <c r="R794" s="1110"/>
      <c r="S794" s="1111"/>
      <c r="T794" s="1111"/>
      <c r="U794" s="1711"/>
      <c r="V794" s="1112"/>
      <c r="W794" s="1719"/>
      <c r="X794" s="1113"/>
      <c r="Y794" s="1113"/>
      <c r="Z794" s="1113"/>
      <c r="AA794" s="1114"/>
      <c r="AB794" s="1719"/>
      <c r="AC794" s="410"/>
      <c r="AD794" s="410"/>
      <c r="AE794" s="1308"/>
    </row>
    <row r="795" spans="1:31" ht="21.75" customHeight="1">
      <c r="A795" s="5629"/>
      <c r="B795" s="5573"/>
      <c r="C795" s="5337"/>
      <c r="D795" s="5337"/>
      <c r="E795" s="5337"/>
      <c r="F795" s="5337"/>
      <c r="G795" s="5337"/>
      <c r="H795" s="5337"/>
      <c r="I795" s="5337"/>
      <c r="J795" s="5337"/>
      <c r="K795" s="5337"/>
      <c r="L795" s="5337"/>
      <c r="M795" s="5337"/>
      <c r="N795" s="5337"/>
      <c r="O795" s="5337"/>
      <c r="P795" s="5337"/>
      <c r="Q795" s="5345"/>
      <c r="R795" s="1110"/>
      <c r="S795" s="1111"/>
      <c r="T795" s="1111"/>
      <c r="U795" s="1711"/>
      <c r="V795" s="1112"/>
      <c r="W795" s="1719"/>
      <c r="X795" s="1113"/>
      <c r="Y795" s="1113"/>
      <c r="Z795" s="1113"/>
      <c r="AA795" s="1114"/>
      <c r="AB795" s="1719"/>
      <c r="AC795" s="410"/>
      <c r="AD795" s="410"/>
      <c r="AE795" s="1308"/>
    </row>
    <row r="796" spans="1:31" ht="21.75" customHeight="1">
      <c r="A796" s="5629"/>
      <c r="B796" s="5574"/>
      <c r="C796" s="5338"/>
      <c r="D796" s="5338"/>
      <c r="E796" s="5338"/>
      <c r="F796" s="5338"/>
      <c r="G796" s="5338"/>
      <c r="H796" s="5338"/>
      <c r="I796" s="5338"/>
      <c r="J796" s="5338"/>
      <c r="K796" s="5338"/>
      <c r="L796" s="5338"/>
      <c r="M796" s="5338"/>
      <c r="N796" s="5338"/>
      <c r="O796" s="5338"/>
      <c r="P796" s="5338"/>
      <c r="Q796" s="5346"/>
      <c r="R796" s="1309"/>
      <c r="S796" s="1310"/>
      <c r="T796" s="1310"/>
      <c r="U796" s="277"/>
      <c r="V796" s="1311"/>
      <c r="W796" s="416"/>
      <c r="X796" s="1312"/>
      <c r="Y796" s="1312"/>
      <c r="Z796" s="1312"/>
      <c r="AA796" s="1313"/>
      <c r="AB796" s="416"/>
      <c r="AC796" s="278"/>
      <c r="AD796" s="278"/>
      <c r="AE796" s="1314"/>
    </row>
    <row r="797" spans="1:31" ht="21.75" customHeight="1">
      <c r="A797" s="5629"/>
      <c r="B797" s="5626" t="s">
        <v>272</v>
      </c>
      <c r="C797" s="5624" t="s">
        <v>302</v>
      </c>
      <c r="D797" s="5624" t="s">
        <v>303</v>
      </c>
      <c r="E797" s="5624" t="s">
        <v>304</v>
      </c>
      <c r="F797" s="5622" t="s">
        <v>305</v>
      </c>
      <c r="G797" s="5624" t="s">
        <v>240</v>
      </c>
      <c r="H797" s="5624" t="s">
        <v>257</v>
      </c>
      <c r="I797" s="5618" t="s">
        <v>3181</v>
      </c>
      <c r="J797" s="5618" t="s">
        <v>3182</v>
      </c>
      <c r="K797" s="5618" t="s">
        <v>3173</v>
      </c>
      <c r="L797" s="5619">
        <v>0</v>
      </c>
      <c r="M797" s="5619">
        <v>1</v>
      </c>
      <c r="N797" s="5619">
        <v>1</v>
      </c>
      <c r="O797" s="5618" t="s">
        <v>3183</v>
      </c>
      <c r="P797" s="5618" t="s">
        <v>3184</v>
      </c>
      <c r="Q797" s="5620" t="s">
        <v>3270</v>
      </c>
      <c r="R797" s="1110"/>
      <c r="S797" s="1111"/>
      <c r="T797" s="1111"/>
      <c r="U797" s="1711"/>
      <c r="V797" s="1112"/>
      <c r="W797" s="1719"/>
      <c r="X797" s="1113"/>
      <c r="Y797" s="1113"/>
      <c r="Z797" s="1113"/>
      <c r="AA797" s="1114"/>
      <c r="AB797" s="1719"/>
      <c r="AC797" s="410"/>
      <c r="AD797" s="410"/>
      <c r="AE797" s="1308"/>
    </row>
    <row r="798" spans="1:31" ht="21.75" customHeight="1">
      <c r="A798" s="5629"/>
      <c r="B798" s="5573"/>
      <c r="C798" s="5337"/>
      <c r="D798" s="5337"/>
      <c r="E798" s="5337"/>
      <c r="F798" s="5337"/>
      <c r="G798" s="5337"/>
      <c r="H798" s="5337"/>
      <c r="I798" s="5337"/>
      <c r="J798" s="5337"/>
      <c r="K798" s="5337"/>
      <c r="L798" s="5337"/>
      <c r="M798" s="5337"/>
      <c r="N798" s="5337"/>
      <c r="O798" s="5337"/>
      <c r="P798" s="5337"/>
      <c r="Q798" s="5345"/>
      <c r="R798" s="1110"/>
      <c r="S798" s="1111"/>
      <c r="T798" s="1111"/>
      <c r="U798" s="1711"/>
      <c r="V798" s="1112"/>
      <c r="W798" s="1719"/>
      <c r="X798" s="1113"/>
      <c r="Y798" s="1113"/>
      <c r="Z798" s="1113"/>
      <c r="AA798" s="1114"/>
      <c r="AB798" s="1719"/>
      <c r="AC798" s="410"/>
      <c r="AD798" s="410"/>
      <c r="AE798" s="1308"/>
    </row>
    <row r="799" spans="1:31" ht="21.75" customHeight="1">
      <c r="A799" s="5629"/>
      <c r="B799" s="5573"/>
      <c r="C799" s="5337"/>
      <c r="D799" s="5337"/>
      <c r="E799" s="5337"/>
      <c r="F799" s="5337"/>
      <c r="G799" s="5337"/>
      <c r="H799" s="5337"/>
      <c r="I799" s="5337"/>
      <c r="J799" s="5337"/>
      <c r="K799" s="5337"/>
      <c r="L799" s="5337"/>
      <c r="M799" s="5337"/>
      <c r="N799" s="5337"/>
      <c r="O799" s="5337"/>
      <c r="P799" s="5337"/>
      <c r="Q799" s="5345"/>
      <c r="R799" s="1110"/>
      <c r="S799" s="1111"/>
      <c r="T799" s="1111"/>
      <c r="U799" s="1711"/>
      <c r="V799" s="1112"/>
      <c r="W799" s="1719"/>
      <c r="X799" s="1113"/>
      <c r="Y799" s="1113"/>
      <c r="Z799" s="1113"/>
      <c r="AA799" s="1114"/>
      <c r="AB799" s="1719"/>
      <c r="AC799" s="410"/>
      <c r="AD799" s="410"/>
      <c r="AE799" s="1308"/>
    </row>
    <row r="800" spans="1:31" ht="21.75" customHeight="1">
      <c r="A800" s="5629"/>
      <c r="B800" s="5573"/>
      <c r="C800" s="5337"/>
      <c r="D800" s="5337"/>
      <c r="E800" s="5337"/>
      <c r="F800" s="5337"/>
      <c r="G800" s="5337"/>
      <c r="H800" s="5337"/>
      <c r="I800" s="5337"/>
      <c r="J800" s="5337"/>
      <c r="K800" s="5337"/>
      <c r="L800" s="5337"/>
      <c r="M800" s="5337"/>
      <c r="N800" s="5337"/>
      <c r="O800" s="5337"/>
      <c r="P800" s="5337"/>
      <c r="Q800" s="5345"/>
      <c r="R800" s="1110"/>
      <c r="S800" s="1111"/>
      <c r="T800" s="1111"/>
      <c r="U800" s="1711"/>
      <c r="V800" s="1112"/>
      <c r="W800" s="1719"/>
      <c r="X800" s="1113"/>
      <c r="Y800" s="1113"/>
      <c r="Z800" s="1113"/>
      <c r="AA800" s="1114"/>
      <c r="AB800" s="1719"/>
      <c r="AC800" s="410"/>
      <c r="AD800" s="410"/>
      <c r="AE800" s="1308"/>
    </row>
    <row r="801" spans="1:31" ht="21.75" customHeight="1">
      <c r="A801" s="5629"/>
      <c r="B801" s="5574"/>
      <c r="C801" s="5338"/>
      <c r="D801" s="5338"/>
      <c r="E801" s="5338"/>
      <c r="F801" s="5338"/>
      <c r="G801" s="5338"/>
      <c r="H801" s="5338"/>
      <c r="I801" s="5338"/>
      <c r="J801" s="5338"/>
      <c r="K801" s="5338"/>
      <c r="L801" s="5338"/>
      <c r="M801" s="5338"/>
      <c r="N801" s="5338"/>
      <c r="O801" s="5338"/>
      <c r="P801" s="5338"/>
      <c r="Q801" s="5346"/>
      <c r="R801" s="1309"/>
      <c r="S801" s="1310"/>
      <c r="T801" s="1310"/>
      <c r="U801" s="277"/>
      <c r="V801" s="1311"/>
      <c r="W801" s="416"/>
      <c r="X801" s="1312"/>
      <c r="Y801" s="1312"/>
      <c r="Z801" s="1312"/>
      <c r="AA801" s="1313"/>
      <c r="AB801" s="416"/>
      <c r="AC801" s="278"/>
      <c r="AD801" s="278"/>
      <c r="AE801" s="1314"/>
    </row>
    <row r="802" spans="1:31" ht="21.75" customHeight="1">
      <c r="A802" s="5629"/>
      <c r="B802" s="5627" t="s">
        <v>235</v>
      </c>
      <c r="C802" s="5347" t="s">
        <v>236</v>
      </c>
      <c r="D802" s="5347" t="s">
        <v>237</v>
      </c>
      <c r="E802" s="5347" t="s">
        <v>255</v>
      </c>
      <c r="F802" s="5353" t="s">
        <v>239</v>
      </c>
      <c r="G802" s="5336" t="s">
        <v>240</v>
      </c>
      <c r="H802" s="5336" t="s">
        <v>257</v>
      </c>
      <c r="I802" s="5618" t="s">
        <v>3185</v>
      </c>
      <c r="J802" s="5618" t="s">
        <v>3186</v>
      </c>
      <c r="K802" s="5618" t="s">
        <v>3187</v>
      </c>
      <c r="L802" s="5619">
        <v>1</v>
      </c>
      <c r="M802" s="5619">
        <v>1</v>
      </c>
      <c r="N802" s="5619">
        <v>1</v>
      </c>
      <c r="O802" s="5618" t="s">
        <v>3188</v>
      </c>
      <c r="P802" s="5618" t="s">
        <v>3189</v>
      </c>
      <c r="Q802" s="5620" t="s">
        <v>3268</v>
      </c>
      <c r="R802" s="1110"/>
      <c r="S802" s="1111"/>
      <c r="T802" s="1111"/>
      <c r="U802" s="1711"/>
      <c r="V802" s="1112"/>
      <c r="W802" s="1719"/>
      <c r="X802" s="1113"/>
      <c r="Y802" s="1113"/>
      <c r="Z802" s="1113"/>
      <c r="AA802" s="1114"/>
      <c r="AB802" s="1719"/>
      <c r="AC802" s="410"/>
      <c r="AD802" s="410"/>
      <c r="AE802" s="1308"/>
    </row>
    <row r="803" spans="1:31" ht="21.75" customHeight="1">
      <c r="A803" s="5629"/>
      <c r="B803" s="5573"/>
      <c r="C803" s="5337"/>
      <c r="D803" s="5337"/>
      <c r="E803" s="5337"/>
      <c r="F803" s="5337"/>
      <c r="G803" s="5337"/>
      <c r="H803" s="5337"/>
      <c r="I803" s="5337"/>
      <c r="J803" s="5337"/>
      <c r="K803" s="5337"/>
      <c r="L803" s="5337"/>
      <c r="M803" s="5337"/>
      <c r="N803" s="5337"/>
      <c r="O803" s="5337"/>
      <c r="P803" s="5337"/>
      <c r="Q803" s="5345"/>
      <c r="R803" s="1110"/>
      <c r="S803" s="1111"/>
      <c r="T803" s="1111"/>
      <c r="U803" s="1711"/>
      <c r="V803" s="1112"/>
      <c r="W803" s="1719"/>
      <c r="X803" s="1113"/>
      <c r="Y803" s="1113"/>
      <c r="Z803" s="1113"/>
      <c r="AA803" s="1114"/>
      <c r="AB803" s="1719"/>
      <c r="AC803" s="410"/>
      <c r="AD803" s="410"/>
      <c r="AE803" s="1308"/>
    </row>
    <row r="804" spans="1:31" ht="21.75" customHeight="1">
      <c r="A804" s="5629"/>
      <c r="B804" s="5573"/>
      <c r="C804" s="5337"/>
      <c r="D804" s="5337"/>
      <c r="E804" s="5337"/>
      <c r="F804" s="5337"/>
      <c r="G804" s="5337"/>
      <c r="H804" s="5337"/>
      <c r="I804" s="5337"/>
      <c r="J804" s="5337"/>
      <c r="K804" s="5337"/>
      <c r="L804" s="5337"/>
      <c r="M804" s="5337"/>
      <c r="N804" s="5337"/>
      <c r="O804" s="5337"/>
      <c r="P804" s="5337"/>
      <c r="Q804" s="5345"/>
      <c r="R804" s="1110"/>
      <c r="S804" s="1111"/>
      <c r="T804" s="1111"/>
      <c r="U804" s="1711"/>
      <c r="V804" s="1112"/>
      <c r="W804" s="1719"/>
      <c r="X804" s="1113"/>
      <c r="Y804" s="1113"/>
      <c r="Z804" s="1113"/>
      <c r="AA804" s="1114"/>
      <c r="AB804" s="1719"/>
      <c r="AC804" s="410"/>
      <c r="AD804" s="410"/>
      <c r="AE804" s="1308"/>
    </row>
    <row r="805" spans="1:31" ht="21.75" customHeight="1">
      <c r="A805" s="5629"/>
      <c r="B805" s="5573"/>
      <c r="C805" s="5337"/>
      <c r="D805" s="5337"/>
      <c r="E805" s="5337"/>
      <c r="F805" s="5337"/>
      <c r="G805" s="5337"/>
      <c r="H805" s="5337"/>
      <c r="I805" s="5337"/>
      <c r="J805" s="5337"/>
      <c r="K805" s="5337"/>
      <c r="L805" s="5337"/>
      <c r="M805" s="5337"/>
      <c r="N805" s="5337"/>
      <c r="O805" s="5337"/>
      <c r="P805" s="5337"/>
      <c r="Q805" s="5345"/>
      <c r="R805" s="1110"/>
      <c r="S805" s="1111"/>
      <c r="T805" s="1111"/>
      <c r="U805" s="1711"/>
      <c r="V805" s="1112"/>
      <c r="W805" s="1719"/>
      <c r="X805" s="1113"/>
      <c r="Y805" s="1113"/>
      <c r="Z805" s="1113"/>
      <c r="AA805" s="1114"/>
      <c r="AB805" s="1719"/>
      <c r="AC805" s="410"/>
      <c r="AD805" s="410"/>
      <c r="AE805" s="1308"/>
    </row>
    <row r="806" spans="1:31" ht="21.75" customHeight="1">
      <c r="A806" s="5629"/>
      <c r="B806" s="5574"/>
      <c r="C806" s="5338"/>
      <c r="D806" s="5338"/>
      <c r="E806" s="5338"/>
      <c r="F806" s="5338"/>
      <c r="G806" s="5338"/>
      <c r="H806" s="5338"/>
      <c r="I806" s="5338"/>
      <c r="J806" s="5338"/>
      <c r="K806" s="5338"/>
      <c r="L806" s="5338"/>
      <c r="M806" s="5338"/>
      <c r="N806" s="5338"/>
      <c r="O806" s="5338"/>
      <c r="P806" s="5338"/>
      <c r="Q806" s="5346"/>
      <c r="R806" s="1309"/>
      <c r="S806" s="1310"/>
      <c r="T806" s="1310"/>
      <c r="U806" s="277"/>
      <c r="V806" s="1311"/>
      <c r="W806" s="416"/>
      <c r="X806" s="1312"/>
      <c r="Y806" s="1312"/>
      <c r="Z806" s="1312"/>
      <c r="AA806" s="1313"/>
      <c r="AB806" s="416"/>
      <c r="AC806" s="278"/>
      <c r="AD806" s="278"/>
      <c r="AE806" s="1314"/>
    </row>
    <row r="807" spans="1:31" ht="21.75" customHeight="1">
      <c r="A807" s="5629"/>
      <c r="B807" s="5626" t="s">
        <v>272</v>
      </c>
      <c r="C807" s="5624" t="s">
        <v>302</v>
      </c>
      <c r="D807" s="5624" t="s">
        <v>303</v>
      </c>
      <c r="E807" s="5624" t="s">
        <v>304</v>
      </c>
      <c r="F807" s="5622" t="s">
        <v>305</v>
      </c>
      <c r="G807" s="5624" t="s">
        <v>240</v>
      </c>
      <c r="H807" s="5624" t="s">
        <v>257</v>
      </c>
      <c r="I807" s="5618" t="s">
        <v>3190</v>
      </c>
      <c r="J807" s="5618" t="s">
        <v>3191</v>
      </c>
      <c r="K807" s="5618" t="s">
        <v>2995</v>
      </c>
      <c r="L807" s="5619">
        <v>0</v>
      </c>
      <c r="M807" s="5619">
        <v>1</v>
      </c>
      <c r="N807" s="5619">
        <v>0</v>
      </c>
      <c r="O807" s="5618" t="s">
        <v>2996</v>
      </c>
      <c r="P807" s="5618" t="s">
        <v>2997</v>
      </c>
      <c r="Q807" s="5620" t="s">
        <v>3270</v>
      </c>
      <c r="R807" s="1110"/>
      <c r="S807" s="1111"/>
      <c r="T807" s="1111"/>
      <c r="U807" s="1711"/>
      <c r="V807" s="1112"/>
      <c r="W807" s="1719"/>
      <c r="X807" s="1113"/>
      <c r="Y807" s="1113"/>
      <c r="Z807" s="1113"/>
      <c r="AA807" s="1114"/>
      <c r="AB807" s="1719"/>
      <c r="AC807" s="410"/>
      <c r="AD807" s="410"/>
      <c r="AE807" s="1308"/>
    </row>
    <row r="808" spans="1:31" ht="21.75" customHeight="1">
      <c r="A808" s="5629"/>
      <c r="B808" s="5573"/>
      <c r="C808" s="5337"/>
      <c r="D808" s="5337"/>
      <c r="E808" s="5337"/>
      <c r="F808" s="5337"/>
      <c r="G808" s="5337"/>
      <c r="H808" s="5337"/>
      <c r="I808" s="5337"/>
      <c r="J808" s="5337"/>
      <c r="K808" s="5337"/>
      <c r="L808" s="5337"/>
      <c r="M808" s="5337"/>
      <c r="N808" s="5337"/>
      <c r="O808" s="5337"/>
      <c r="P808" s="5337"/>
      <c r="Q808" s="5345"/>
      <c r="R808" s="1110"/>
      <c r="S808" s="1111"/>
      <c r="T808" s="1111"/>
      <c r="U808" s="1711"/>
      <c r="V808" s="1112"/>
      <c r="W808" s="1719"/>
      <c r="X808" s="1113"/>
      <c r="Y808" s="1113"/>
      <c r="Z808" s="1113"/>
      <c r="AA808" s="1114"/>
      <c r="AB808" s="1719"/>
      <c r="AC808" s="410"/>
      <c r="AD808" s="410"/>
      <c r="AE808" s="1308"/>
    </row>
    <row r="809" spans="1:31" ht="21.75" customHeight="1">
      <c r="A809" s="5629"/>
      <c r="B809" s="5573"/>
      <c r="C809" s="5337"/>
      <c r="D809" s="5337"/>
      <c r="E809" s="5337"/>
      <c r="F809" s="5337"/>
      <c r="G809" s="5337"/>
      <c r="H809" s="5337"/>
      <c r="I809" s="5337"/>
      <c r="J809" s="5337"/>
      <c r="K809" s="5337"/>
      <c r="L809" s="5337"/>
      <c r="M809" s="5337"/>
      <c r="N809" s="5337"/>
      <c r="O809" s="5337"/>
      <c r="P809" s="5337"/>
      <c r="Q809" s="5345"/>
      <c r="R809" s="1110"/>
      <c r="S809" s="1111"/>
      <c r="T809" s="1111"/>
      <c r="U809" s="1711"/>
      <c r="V809" s="1112"/>
      <c r="W809" s="1719"/>
      <c r="X809" s="1113"/>
      <c r="Y809" s="1113"/>
      <c r="Z809" s="1113"/>
      <c r="AA809" s="1114"/>
      <c r="AB809" s="1719"/>
      <c r="AC809" s="410"/>
      <c r="AD809" s="410"/>
      <c r="AE809" s="1308"/>
    </row>
    <row r="810" spans="1:31" ht="21.75" customHeight="1">
      <c r="A810" s="5629"/>
      <c r="B810" s="5573"/>
      <c r="C810" s="5337"/>
      <c r="D810" s="5337"/>
      <c r="E810" s="5337"/>
      <c r="F810" s="5337"/>
      <c r="G810" s="5337"/>
      <c r="H810" s="5337"/>
      <c r="I810" s="5337"/>
      <c r="J810" s="5337"/>
      <c r="K810" s="5337"/>
      <c r="L810" s="5337"/>
      <c r="M810" s="5337"/>
      <c r="N810" s="5337"/>
      <c r="O810" s="5337"/>
      <c r="P810" s="5337"/>
      <c r="Q810" s="5345"/>
      <c r="R810" s="1110"/>
      <c r="S810" s="1111"/>
      <c r="T810" s="1111"/>
      <c r="U810" s="1711"/>
      <c r="V810" s="1112"/>
      <c r="W810" s="1719"/>
      <c r="X810" s="1113"/>
      <c r="Y810" s="1113"/>
      <c r="Z810" s="1113"/>
      <c r="AA810" s="1114"/>
      <c r="AB810" s="1719"/>
      <c r="AC810" s="410"/>
      <c r="AD810" s="410"/>
      <c r="AE810" s="1308"/>
    </row>
    <row r="811" spans="1:31" ht="21.75" customHeight="1">
      <c r="A811" s="5629"/>
      <c r="B811" s="5574"/>
      <c r="C811" s="5338"/>
      <c r="D811" s="5338"/>
      <c r="E811" s="5338"/>
      <c r="F811" s="5338"/>
      <c r="G811" s="5338"/>
      <c r="H811" s="5338"/>
      <c r="I811" s="5338"/>
      <c r="J811" s="5338"/>
      <c r="K811" s="5338"/>
      <c r="L811" s="5338"/>
      <c r="M811" s="5338"/>
      <c r="N811" s="5338"/>
      <c r="O811" s="5338"/>
      <c r="P811" s="5338"/>
      <c r="Q811" s="5346"/>
      <c r="R811" s="1309"/>
      <c r="S811" s="1310"/>
      <c r="T811" s="1310"/>
      <c r="U811" s="277"/>
      <c r="V811" s="1311"/>
      <c r="W811" s="416"/>
      <c r="X811" s="1312"/>
      <c r="Y811" s="1312"/>
      <c r="Z811" s="1312"/>
      <c r="AA811" s="1313"/>
      <c r="AB811" s="416"/>
      <c r="AC811" s="278"/>
      <c r="AD811" s="278"/>
      <c r="AE811" s="1314"/>
    </row>
    <row r="812" spans="1:31" ht="18" customHeight="1">
      <c r="A812" s="5629"/>
      <c r="B812" s="5626" t="s">
        <v>272</v>
      </c>
      <c r="C812" s="5624" t="s">
        <v>302</v>
      </c>
      <c r="D812" s="5624" t="s">
        <v>303</v>
      </c>
      <c r="E812" s="5624" t="s">
        <v>304</v>
      </c>
      <c r="F812" s="5622" t="s">
        <v>305</v>
      </c>
      <c r="G812" s="5336" t="s">
        <v>262</v>
      </c>
      <c r="H812" s="5336" t="s">
        <v>241</v>
      </c>
      <c r="I812" s="5336" t="s">
        <v>3192</v>
      </c>
      <c r="J812" s="5623" t="s">
        <v>3193</v>
      </c>
      <c r="K812" s="5336" t="s">
        <v>3146</v>
      </c>
      <c r="L812" s="5343">
        <v>1</v>
      </c>
      <c r="M812" s="5399">
        <v>1</v>
      </c>
      <c r="N812" s="5343">
        <v>1</v>
      </c>
      <c r="O812" s="5336" t="s">
        <v>3194</v>
      </c>
      <c r="P812" s="5336" t="s">
        <v>3195</v>
      </c>
      <c r="Q812" s="5370" t="s">
        <v>3271</v>
      </c>
      <c r="R812" s="970"/>
      <c r="S812" s="967"/>
      <c r="T812" s="967"/>
      <c r="U812" s="176"/>
      <c r="V812" s="968"/>
      <c r="W812" s="414"/>
      <c r="X812" s="973"/>
      <c r="Y812" s="973"/>
      <c r="Z812" s="973"/>
      <c r="AA812" s="981"/>
      <c r="AB812" s="414"/>
      <c r="AC812" s="174"/>
      <c r="AD812" s="174"/>
      <c r="AE812" s="5415"/>
    </row>
    <row r="813" spans="1:31" ht="18" customHeight="1">
      <c r="A813" s="5629"/>
      <c r="B813" s="5573"/>
      <c r="C813" s="5337"/>
      <c r="D813" s="5337"/>
      <c r="E813" s="5337"/>
      <c r="F813" s="5337"/>
      <c r="G813" s="5337"/>
      <c r="H813" s="5337"/>
      <c r="I813" s="5337"/>
      <c r="J813" s="5337"/>
      <c r="K813" s="5337"/>
      <c r="L813" s="5337"/>
      <c r="M813" s="5337"/>
      <c r="N813" s="5337"/>
      <c r="O813" s="5337"/>
      <c r="P813" s="5337"/>
      <c r="Q813" s="5345"/>
      <c r="R813" s="982"/>
      <c r="S813" s="983"/>
      <c r="T813" s="983"/>
      <c r="U813" s="169"/>
      <c r="V813" s="984"/>
      <c r="W813" s="170"/>
      <c r="X813" s="974"/>
      <c r="Y813" s="974">
        <f t="shared" ref="Y813:Y816" si="140">+V813*X813</f>
        <v>0</v>
      </c>
      <c r="Z813" s="974">
        <f t="shared" ref="Z813:Z816" si="141">+Y813*1.12</f>
        <v>0</v>
      </c>
      <c r="AA813" s="969"/>
      <c r="AB813" s="170"/>
      <c r="AC813" s="282"/>
      <c r="AD813" s="282"/>
      <c r="AE813" s="5416"/>
    </row>
    <row r="814" spans="1:31" ht="18" customHeight="1">
      <c r="A814" s="5629"/>
      <c r="B814" s="5573"/>
      <c r="C814" s="5337"/>
      <c r="D814" s="5337"/>
      <c r="E814" s="5337"/>
      <c r="F814" s="5337"/>
      <c r="G814" s="5337"/>
      <c r="H814" s="5337"/>
      <c r="I814" s="5337"/>
      <c r="J814" s="5337"/>
      <c r="K814" s="5337"/>
      <c r="L814" s="5337"/>
      <c r="M814" s="5337"/>
      <c r="N814" s="5337"/>
      <c r="O814" s="5337"/>
      <c r="P814" s="5337"/>
      <c r="Q814" s="5345"/>
      <c r="R814" s="971"/>
      <c r="S814" s="972"/>
      <c r="T814" s="972"/>
      <c r="U814" s="1217"/>
      <c r="V814" s="968"/>
      <c r="W814" s="414"/>
      <c r="X814" s="973"/>
      <c r="Y814" s="974">
        <f t="shared" si="140"/>
        <v>0</v>
      </c>
      <c r="Z814" s="974">
        <f t="shared" si="141"/>
        <v>0</v>
      </c>
      <c r="AA814" s="969"/>
      <c r="AB814" s="170"/>
      <c r="AC814" s="282"/>
      <c r="AD814" s="282"/>
      <c r="AE814" s="5416"/>
    </row>
    <row r="815" spans="1:31" ht="18" customHeight="1">
      <c r="A815" s="5629"/>
      <c r="B815" s="5573"/>
      <c r="C815" s="5337"/>
      <c r="D815" s="5337"/>
      <c r="E815" s="5337"/>
      <c r="F815" s="5337"/>
      <c r="G815" s="5337"/>
      <c r="H815" s="5337"/>
      <c r="I815" s="5337"/>
      <c r="J815" s="5337"/>
      <c r="K815" s="5337"/>
      <c r="L815" s="5337"/>
      <c r="M815" s="5337"/>
      <c r="N815" s="5337"/>
      <c r="O815" s="5337"/>
      <c r="P815" s="5337"/>
      <c r="Q815" s="5345"/>
      <c r="R815" s="970"/>
      <c r="S815" s="967"/>
      <c r="T815" s="967"/>
      <c r="U815" s="1217"/>
      <c r="V815" s="968"/>
      <c r="W815" s="414"/>
      <c r="X815" s="973"/>
      <c r="Y815" s="974">
        <f t="shared" si="140"/>
        <v>0</v>
      </c>
      <c r="Z815" s="974">
        <f t="shared" si="141"/>
        <v>0</v>
      </c>
      <c r="AA815" s="969"/>
      <c r="AB815" s="170"/>
      <c r="AC815" s="282"/>
      <c r="AD815" s="282"/>
      <c r="AE815" s="5416"/>
    </row>
    <row r="816" spans="1:31" ht="18" customHeight="1">
      <c r="A816" s="5629"/>
      <c r="B816" s="5574"/>
      <c r="C816" s="5338"/>
      <c r="D816" s="5338"/>
      <c r="E816" s="5338"/>
      <c r="F816" s="5338"/>
      <c r="G816" s="5338"/>
      <c r="H816" s="5338"/>
      <c r="I816" s="5338"/>
      <c r="J816" s="5338"/>
      <c r="K816" s="5338"/>
      <c r="L816" s="5338"/>
      <c r="M816" s="5338"/>
      <c r="N816" s="5338"/>
      <c r="O816" s="5338"/>
      <c r="P816" s="5338"/>
      <c r="Q816" s="5346"/>
      <c r="R816" s="975"/>
      <c r="S816" s="976"/>
      <c r="T816" s="976"/>
      <c r="U816" s="411"/>
      <c r="V816" s="977"/>
      <c r="W816" s="165"/>
      <c r="X816" s="978"/>
      <c r="Y816" s="978">
        <f t="shared" si="140"/>
        <v>0</v>
      </c>
      <c r="Z816" s="978">
        <f t="shared" si="141"/>
        <v>0</v>
      </c>
      <c r="AA816" s="979"/>
      <c r="AB816" s="165"/>
      <c r="AC816" s="166"/>
      <c r="AD816" s="166"/>
      <c r="AE816" s="5417"/>
    </row>
    <row r="817" spans="1:31" ht="18" customHeight="1">
      <c r="A817" s="5629"/>
      <c r="B817" s="5572" t="s">
        <v>235</v>
      </c>
      <c r="C817" s="5336" t="s">
        <v>236</v>
      </c>
      <c r="D817" s="5336" t="s">
        <v>237</v>
      </c>
      <c r="E817" s="5336" t="s">
        <v>255</v>
      </c>
      <c r="F817" s="5341" t="s">
        <v>239</v>
      </c>
      <c r="G817" s="5336" t="s">
        <v>240</v>
      </c>
      <c r="H817" s="5336" t="s">
        <v>257</v>
      </c>
      <c r="I817" s="5336" t="s">
        <v>3197</v>
      </c>
      <c r="J817" s="5623" t="s">
        <v>3198</v>
      </c>
      <c r="K817" s="5336" t="s">
        <v>3012</v>
      </c>
      <c r="L817" s="5399">
        <v>3</v>
      </c>
      <c r="M817" s="5399">
        <v>4</v>
      </c>
      <c r="N817" s="5399">
        <v>3</v>
      </c>
      <c r="O817" s="5336" t="s">
        <v>3199</v>
      </c>
      <c r="P817" s="5336" t="s">
        <v>3200</v>
      </c>
      <c r="Q817" s="5370" t="s">
        <v>3268</v>
      </c>
      <c r="R817" s="970"/>
      <c r="S817" s="967"/>
      <c r="T817" s="967"/>
      <c r="U817" s="176"/>
      <c r="V817" s="968"/>
      <c r="W817" s="414"/>
      <c r="X817" s="973"/>
      <c r="Y817" s="973"/>
      <c r="Z817" s="973"/>
      <c r="AA817" s="981"/>
      <c r="AB817" s="414"/>
      <c r="AC817" s="174"/>
      <c r="AD817" s="174"/>
      <c r="AE817" s="5415"/>
    </row>
    <row r="818" spans="1:31" ht="18" customHeight="1">
      <c r="A818" s="5629"/>
      <c r="B818" s="5573"/>
      <c r="C818" s="5337"/>
      <c r="D818" s="5337"/>
      <c r="E818" s="5337"/>
      <c r="F818" s="5337"/>
      <c r="G818" s="5337"/>
      <c r="H818" s="5337"/>
      <c r="I818" s="5337"/>
      <c r="J818" s="5337"/>
      <c r="K818" s="5337"/>
      <c r="L818" s="5337"/>
      <c r="M818" s="5337"/>
      <c r="N818" s="5337"/>
      <c r="O818" s="5337"/>
      <c r="P818" s="5337"/>
      <c r="Q818" s="5345"/>
      <c r="R818" s="982"/>
      <c r="S818" s="983"/>
      <c r="T818" s="983"/>
      <c r="U818" s="169"/>
      <c r="V818" s="984"/>
      <c r="W818" s="170"/>
      <c r="X818" s="974"/>
      <c r="Y818" s="974">
        <f t="shared" ref="Y818:Y821" si="142">+V818*X818</f>
        <v>0</v>
      </c>
      <c r="Z818" s="974">
        <f t="shared" ref="Z818:Z821" si="143">+Y818*1.12</f>
        <v>0</v>
      </c>
      <c r="AA818" s="969"/>
      <c r="AB818" s="170"/>
      <c r="AC818" s="282"/>
      <c r="AD818" s="282"/>
      <c r="AE818" s="5416"/>
    </row>
    <row r="819" spans="1:31" ht="18" customHeight="1">
      <c r="A819" s="5629"/>
      <c r="B819" s="5573"/>
      <c r="C819" s="5337"/>
      <c r="D819" s="5337"/>
      <c r="E819" s="5337"/>
      <c r="F819" s="5337"/>
      <c r="G819" s="5337"/>
      <c r="H819" s="5337"/>
      <c r="I819" s="5337"/>
      <c r="J819" s="5337"/>
      <c r="K819" s="5337"/>
      <c r="L819" s="5337"/>
      <c r="M819" s="5337"/>
      <c r="N819" s="5337"/>
      <c r="O819" s="5337"/>
      <c r="P819" s="5337"/>
      <c r="Q819" s="5345"/>
      <c r="R819" s="971"/>
      <c r="S819" s="972"/>
      <c r="T819" s="972"/>
      <c r="U819" s="1217"/>
      <c r="V819" s="968"/>
      <c r="W819" s="414"/>
      <c r="X819" s="973"/>
      <c r="Y819" s="974">
        <f t="shared" si="142"/>
        <v>0</v>
      </c>
      <c r="Z819" s="974">
        <f t="shared" si="143"/>
        <v>0</v>
      </c>
      <c r="AA819" s="969"/>
      <c r="AB819" s="170"/>
      <c r="AC819" s="282"/>
      <c r="AD819" s="282"/>
      <c r="AE819" s="5416"/>
    </row>
    <row r="820" spans="1:31" ht="18" customHeight="1">
      <c r="A820" s="5629"/>
      <c r="B820" s="5573"/>
      <c r="C820" s="5337"/>
      <c r="D820" s="5337"/>
      <c r="E820" s="5337"/>
      <c r="F820" s="5337"/>
      <c r="G820" s="5337"/>
      <c r="H820" s="5337"/>
      <c r="I820" s="5337"/>
      <c r="J820" s="5337"/>
      <c r="K820" s="5337"/>
      <c r="L820" s="5337"/>
      <c r="M820" s="5337"/>
      <c r="N820" s="5337"/>
      <c r="O820" s="5337"/>
      <c r="P820" s="5337"/>
      <c r="Q820" s="5345"/>
      <c r="R820" s="970"/>
      <c r="S820" s="967"/>
      <c r="T820" s="967"/>
      <c r="U820" s="1217"/>
      <c r="V820" s="968"/>
      <c r="W820" s="414"/>
      <c r="X820" s="973"/>
      <c r="Y820" s="974">
        <f t="shared" si="142"/>
        <v>0</v>
      </c>
      <c r="Z820" s="974">
        <f t="shared" si="143"/>
        <v>0</v>
      </c>
      <c r="AA820" s="969"/>
      <c r="AB820" s="170"/>
      <c r="AC820" s="282"/>
      <c r="AD820" s="282"/>
      <c r="AE820" s="5416"/>
    </row>
    <row r="821" spans="1:31" ht="18" customHeight="1">
      <c r="A821" s="5555"/>
      <c r="B821" s="5574"/>
      <c r="C821" s="5338"/>
      <c r="D821" s="5338"/>
      <c r="E821" s="5338"/>
      <c r="F821" s="5338"/>
      <c r="G821" s="5338"/>
      <c r="H821" s="5338"/>
      <c r="I821" s="5338"/>
      <c r="J821" s="5338"/>
      <c r="K821" s="5338"/>
      <c r="L821" s="5338"/>
      <c r="M821" s="5338"/>
      <c r="N821" s="5338"/>
      <c r="O821" s="5338"/>
      <c r="P821" s="5338"/>
      <c r="Q821" s="5346"/>
      <c r="R821" s="975"/>
      <c r="S821" s="976"/>
      <c r="T821" s="976"/>
      <c r="U821" s="411"/>
      <c r="V821" s="977"/>
      <c r="W821" s="165"/>
      <c r="X821" s="978"/>
      <c r="Y821" s="978">
        <f t="shared" si="142"/>
        <v>0</v>
      </c>
      <c r="Z821" s="978">
        <f t="shared" si="143"/>
        <v>0</v>
      </c>
      <c r="AA821" s="979"/>
      <c r="AB821" s="165"/>
      <c r="AC821" s="166"/>
      <c r="AD821" s="166"/>
      <c r="AE821" s="5417"/>
    </row>
    <row r="822" spans="1:31" ht="35.25" customHeight="1">
      <c r="A822" s="2158"/>
      <c r="B822" s="785"/>
      <c r="C822" s="785"/>
      <c r="D822" s="785"/>
      <c r="E822" s="785"/>
      <c r="F822" s="785"/>
      <c r="G822" s="785"/>
      <c r="H822" s="785"/>
      <c r="I822" s="785"/>
      <c r="J822" s="785"/>
      <c r="K822" s="785"/>
      <c r="L822" s="785"/>
      <c r="M822" s="785"/>
      <c r="N822" s="785"/>
      <c r="O822" s="785"/>
      <c r="P822" s="785"/>
      <c r="Q822" s="786"/>
      <c r="R822" s="5636" t="s">
        <v>3272</v>
      </c>
      <c r="S822" s="5474"/>
      <c r="T822" s="5474"/>
      <c r="U822" s="5474"/>
      <c r="V822" s="5474"/>
      <c r="W822" s="5474"/>
      <c r="X822" s="5474"/>
      <c r="Y822" s="5475"/>
      <c r="Z822" s="997" t="s">
        <v>340</v>
      </c>
      <c r="AA822" s="998">
        <f>SUM(AA741:AA821)</f>
        <v>3935.0640000000003</v>
      </c>
      <c r="AB822" s="5521"/>
      <c r="AC822" s="5474"/>
      <c r="AD822" s="5474"/>
      <c r="AE822" s="5477"/>
    </row>
    <row r="823" spans="1:31" ht="18" customHeight="1">
      <c r="A823" s="5628" t="s">
        <v>3273</v>
      </c>
      <c r="B823" s="5576" t="s">
        <v>272</v>
      </c>
      <c r="C823" s="5355" t="s">
        <v>302</v>
      </c>
      <c r="D823" s="5355" t="s">
        <v>303</v>
      </c>
      <c r="E823" s="5355" t="s">
        <v>304</v>
      </c>
      <c r="F823" s="5364" t="s">
        <v>305</v>
      </c>
      <c r="G823" s="5355" t="s">
        <v>240</v>
      </c>
      <c r="H823" s="5355" t="s">
        <v>257</v>
      </c>
      <c r="I823" s="5360" t="s">
        <v>3274</v>
      </c>
      <c r="J823" s="5625" t="s">
        <v>3135</v>
      </c>
      <c r="K823" s="5355" t="s">
        <v>2846</v>
      </c>
      <c r="L823" s="5363">
        <v>2</v>
      </c>
      <c r="M823" s="5363">
        <v>1</v>
      </c>
      <c r="N823" s="5363">
        <v>2</v>
      </c>
      <c r="O823" s="5355" t="s">
        <v>3136</v>
      </c>
      <c r="P823" s="5355" t="s">
        <v>3137</v>
      </c>
      <c r="Q823" s="5392" t="s">
        <v>3138</v>
      </c>
      <c r="R823" s="1102"/>
      <c r="S823" s="1103"/>
      <c r="T823" s="1103"/>
      <c r="U823" s="154"/>
      <c r="V823" s="1104"/>
      <c r="W823" s="155"/>
      <c r="X823" s="1105"/>
      <c r="Y823" s="1105"/>
      <c r="Z823" s="1105"/>
      <c r="AA823" s="1106"/>
      <c r="AB823" s="155"/>
      <c r="AC823" s="156"/>
      <c r="AD823" s="156"/>
      <c r="AE823" s="5428"/>
    </row>
    <row r="824" spans="1:31" ht="18" customHeight="1">
      <c r="A824" s="5629"/>
      <c r="B824" s="5573"/>
      <c r="C824" s="5337"/>
      <c r="D824" s="5337"/>
      <c r="E824" s="5337"/>
      <c r="F824" s="5337"/>
      <c r="G824" s="5337"/>
      <c r="H824" s="5337"/>
      <c r="I824" s="5361"/>
      <c r="J824" s="5337"/>
      <c r="K824" s="5337"/>
      <c r="L824" s="5337"/>
      <c r="M824" s="5337"/>
      <c r="N824" s="5337"/>
      <c r="O824" s="5337"/>
      <c r="P824" s="5337"/>
      <c r="Q824" s="5345"/>
      <c r="R824" s="1356"/>
      <c r="S824" s="983"/>
      <c r="T824" s="983"/>
      <c r="U824" s="169"/>
      <c r="V824" s="984"/>
      <c r="W824" s="170"/>
      <c r="X824" s="974"/>
      <c r="Y824" s="974">
        <f t="shared" ref="Y824:Y827" si="144">+V824*X824</f>
        <v>0</v>
      </c>
      <c r="Z824" s="974">
        <f t="shared" ref="Z824:Z827" si="145">+Y824*1.12</f>
        <v>0</v>
      </c>
      <c r="AA824" s="969"/>
      <c r="AB824" s="170"/>
      <c r="AC824" s="282"/>
      <c r="AD824" s="282"/>
      <c r="AE824" s="5416"/>
    </row>
    <row r="825" spans="1:31" ht="18" customHeight="1">
      <c r="A825" s="5629"/>
      <c r="B825" s="5573"/>
      <c r="C825" s="5337"/>
      <c r="D825" s="5337"/>
      <c r="E825" s="5337"/>
      <c r="F825" s="5337"/>
      <c r="G825" s="5337"/>
      <c r="H825" s="5337"/>
      <c r="I825" s="5361"/>
      <c r="J825" s="5337"/>
      <c r="K825" s="5337"/>
      <c r="L825" s="5337"/>
      <c r="M825" s="5337"/>
      <c r="N825" s="5337"/>
      <c r="O825" s="5337"/>
      <c r="P825" s="5337"/>
      <c r="Q825" s="5345"/>
      <c r="R825" s="971"/>
      <c r="S825" s="972"/>
      <c r="T825" s="972"/>
      <c r="U825" s="1217"/>
      <c r="V825" s="968"/>
      <c r="W825" s="414"/>
      <c r="X825" s="973"/>
      <c r="Y825" s="974">
        <f t="shared" si="144"/>
        <v>0</v>
      </c>
      <c r="Z825" s="974">
        <f t="shared" si="145"/>
        <v>0</v>
      </c>
      <c r="AA825" s="969"/>
      <c r="AB825" s="170"/>
      <c r="AC825" s="282"/>
      <c r="AD825" s="282"/>
      <c r="AE825" s="5416"/>
    </row>
    <row r="826" spans="1:31" ht="18" customHeight="1">
      <c r="A826" s="5629"/>
      <c r="B826" s="5573"/>
      <c r="C826" s="5337"/>
      <c r="D826" s="5337"/>
      <c r="E826" s="5337"/>
      <c r="F826" s="5337"/>
      <c r="G826" s="5337"/>
      <c r="H826" s="5337"/>
      <c r="I826" s="5361"/>
      <c r="J826" s="5337"/>
      <c r="K826" s="5337"/>
      <c r="L826" s="5337"/>
      <c r="M826" s="5337"/>
      <c r="N826" s="5337"/>
      <c r="O826" s="5337"/>
      <c r="P826" s="5337"/>
      <c r="Q826" s="5345"/>
      <c r="R826" s="970"/>
      <c r="S826" s="967"/>
      <c r="T826" s="967"/>
      <c r="U826" s="1217"/>
      <c r="V826" s="968"/>
      <c r="W826" s="414"/>
      <c r="X826" s="973"/>
      <c r="Y826" s="974">
        <f t="shared" si="144"/>
        <v>0</v>
      </c>
      <c r="Z826" s="974">
        <f t="shared" si="145"/>
        <v>0</v>
      </c>
      <c r="AA826" s="969"/>
      <c r="AB826" s="170"/>
      <c r="AC826" s="282"/>
      <c r="AD826" s="282"/>
      <c r="AE826" s="5416"/>
    </row>
    <row r="827" spans="1:31" ht="18" customHeight="1">
      <c r="A827" s="5629"/>
      <c r="B827" s="5574"/>
      <c r="C827" s="5338"/>
      <c r="D827" s="5338"/>
      <c r="E827" s="5338"/>
      <c r="F827" s="5338"/>
      <c r="G827" s="5338"/>
      <c r="H827" s="5338"/>
      <c r="I827" s="5362"/>
      <c r="J827" s="5338"/>
      <c r="K827" s="5338"/>
      <c r="L827" s="5338"/>
      <c r="M827" s="5338"/>
      <c r="N827" s="5338"/>
      <c r="O827" s="5338"/>
      <c r="P827" s="5338"/>
      <c r="Q827" s="5346"/>
      <c r="R827" s="975"/>
      <c r="S827" s="976"/>
      <c r="T827" s="976"/>
      <c r="U827" s="411"/>
      <c r="V827" s="977"/>
      <c r="W827" s="165"/>
      <c r="X827" s="978"/>
      <c r="Y827" s="978">
        <f t="shared" si="144"/>
        <v>0</v>
      </c>
      <c r="Z827" s="978">
        <f t="shared" si="145"/>
        <v>0</v>
      </c>
      <c r="AA827" s="979"/>
      <c r="AB827" s="165"/>
      <c r="AC827" s="166"/>
      <c r="AD827" s="166"/>
      <c r="AE827" s="5417"/>
    </row>
    <row r="828" spans="1:31" ht="18" customHeight="1">
      <c r="A828" s="5629"/>
      <c r="B828" s="5627" t="s">
        <v>235</v>
      </c>
      <c r="C828" s="5347" t="s">
        <v>236</v>
      </c>
      <c r="D828" s="5347" t="s">
        <v>237</v>
      </c>
      <c r="E828" s="5347" t="s">
        <v>255</v>
      </c>
      <c r="F828" s="5353" t="s">
        <v>239</v>
      </c>
      <c r="G828" s="5336" t="s">
        <v>240</v>
      </c>
      <c r="H828" s="5336" t="s">
        <v>257</v>
      </c>
      <c r="I828" s="5621" t="s">
        <v>3139</v>
      </c>
      <c r="J828" s="5621" t="s">
        <v>3140</v>
      </c>
      <c r="K828" s="5618" t="s">
        <v>2846</v>
      </c>
      <c r="L828" s="5619">
        <v>2</v>
      </c>
      <c r="M828" s="5619">
        <v>0</v>
      </c>
      <c r="N828" s="5619">
        <v>2</v>
      </c>
      <c r="O828" s="5407" t="s">
        <v>3141</v>
      </c>
      <c r="P828" s="5618" t="s">
        <v>3142</v>
      </c>
      <c r="Q828" s="5620" t="s">
        <v>3275</v>
      </c>
      <c r="R828" s="1110"/>
      <c r="S828" s="1111"/>
      <c r="T828" s="1111"/>
      <c r="U828" s="1711"/>
      <c r="V828" s="1112"/>
      <c r="W828" s="1719"/>
      <c r="X828" s="1113"/>
      <c r="Y828" s="1113"/>
      <c r="Z828" s="1113"/>
      <c r="AA828" s="1114"/>
      <c r="AB828" s="1719"/>
      <c r="AC828" s="410"/>
      <c r="AD828" s="410"/>
      <c r="AE828" s="1308"/>
    </row>
    <row r="829" spans="1:31" ht="18" customHeight="1">
      <c r="A829" s="5629"/>
      <c r="B829" s="5573"/>
      <c r="C829" s="5337"/>
      <c r="D829" s="5337"/>
      <c r="E829" s="5337"/>
      <c r="F829" s="5337"/>
      <c r="G829" s="5337"/>
      <c r="H829" s="5337"/>
      <c r="I829" s="5337"/>
      <c r="J829" s="5337"/>
      <c r="K829" s="5337"/>
      <c r="L829" s="5337"/>
      <c r="M829" s="5337"/>
      <c r="N829" s="5337"/>
      <c r="O829" s="5337"/>
      <c r="P829" s="5337"/>
      <c r="Q829" s="5345"/>
      <c r="R829" s="1110"/>
      <c r="S829" s="1111"/>
      <c r="T829" s="1111"/>
      <c r="U829" s="1711"/>
      <c r="V829" s="1112"/>
      <c r="W829" s="1719"/>
      <c r="X829" s="1113"/>
      <c r="Y829" s="1113"/>
      <c r="Z829" s="1113"/>
      <c r="AA829" s="1114"/>
      <c r="AB829" s="1719"/>
      <c r="AC829" s="410"/>
      <c r="AD829" s="410"/>
      <c r="AE829" s="1308"/>
    </row>
    <row r="830" spans="1:31" ht="18" customHeight="1">
      <c r="A830" s="5629"/>
      <c r="B830" s="5573"/>
      <c r="C830" s="5337"/>
      <c r="D830" s="5337"/>
      <c r="E830" s="5337"/>
      <c r="F830" s="5337"/>
      <c r="G830" s="5337"/>
      <c r="H830" s="5337"/>
      <c r="I830" s="5337"/>
      <c r="J830" s="5337"/>
      <c r="K830" s="5337"/>
      <c r="L830" s="5337"/>
      <c r="M830" s="5337"/>
      <c r="N830" s="5337"/>
      <c r="O830" s="5337"/>
      <c r="P830" s="5337"/>
      <c r="Q830" s="5345"/>
      <c r="R830" s="1110"/>
      <c r="S830" s="1111"/>
      <c r="T830" s="1111"/>
      <c r="U830" s="1711"/>
      <c r="V830" s="1112"/>
      <c r="W830" s="1719"/>
      <c r="X830" s="1113"/>
      <c r="Y830" s="1113"/>
      <c r="Z830" s="1113"/>
      <c r="AA830" s="1114"/>
      <c r="AB830" s="1719"/>
      <c r="AC830" s="410"/>
      <c r="AD830" s="410"/>
      <c r="AE830" s="1308"/>
    </row>
    <row r="831" spans="1:31" ht="18" customHeight="1">
      <c r="A831" s="5629"/>
      <c r="B831" s="5573"/>
      <c r="C831" s="5337"/>
      <c r="D831" s="5337"/>
      <c r="E831" s="5337"/>
      <c r="F831" s="5337"/>
      <c r="G831" s="5337"/>
      <c r="H831" s="5337"/>
      <c r="I831" s="5337"/>
      <c r="J831" s="5337"/>
      <c r="K831" s="5337"/>
      <c r="L831" s="5337"/>
      <c r="M831" s="5337"/>
      <c r="N831" s="5337"/>
      <c r="O831" s="5337"/>
      <c r="P831" s="5337"/>
      <c r="Q831" s="5345"/>
      <c r="R831" s="1110"/>
      <c r="S831" s="1111"/>
      <c r="T831" s="1111"/>
      <c r="U831" s="1711"/>
      <c r="V831" s="1112"/>
      <c r="W831" s="1719"/>
      <c r="X831" s="1113"/>
      <c r="Y831" s="1113"/>
      <c r="Z831" s="1113"/>
      <c r="AA831" s="1114"/>
      <c r="AB831" s="1719"/>
      <c r="AC831" s="410"/>
      <c r="AD831" s="410"/>
      <c r="AE831" s="1308"/>
    </row>
    <row r="832" spans="1:31" ht="18" customHeight="1">
      <c r="A832" s="5629"/>
      <c r="B832" s="5574"/>
      <c r="C832" s="5338"/>
      <c r="D832" s="5338"/>
      <c r="E832" s="5338"/>
      <c r="F832" s="5338"/>
      <c r="G832" s="5338"/>
      <c r="H832" s="5338"/>
      <c r="I832" s="5338"/>
      <c r="J832" s="5338"/>
      <c r="K832" s="5338"/>
      <c r="L832" s="5338"/>
      <c r="M832" s="5338"/>
      <c r="N832" s="5338"/>
      <c r="O832" s="5338"/>
      <c r="P832" s="5338"/>
      <c r="Q832" s="5346"/>
      <c r="R832" s="1309"/>
      <c r="S832" s="1310"/>
      <c r="T832" s="1310"/>
      <c r="U832" s="277"/>
      <c r="V832" s="1311"/>
      <c r="W832" s="416"/>
      <c r="X832" s="1312"/>
      <c r="Y832" s="1312"/>
      <c r="Z832" s="1312"/>
      <c r="AA832" s="1313"/>
      <c r="AB832" s="416"/>
      <c r="AC832" s="278"/>
      <c r="AD832" s="278"/>
      <c r="AE832" s="1314"/>
    </row>
    <row r="833" spans="1:31" ht="18" customHeight="1">
      <c r="A833" s="5629"/>
      <c r="B833" s="5627" t="s">
        <v>235</v>
      </c>
      <c r="C833" s="5347" t="s">
        <v>236</v>
      </c>
      <c r="D833" s="5347" t="s">
        <v>237</v>
      </c>
      <c r="E833" s="5347" t="s">
        <v>255</v>
      </c>
      <c r="F833" s="5353" t="s">
        <v>239</v>
      </c>
      <c r="G833" s="5336" t="s">
        <v>240</v>
      </c>
      <c r="H833" s="5336" t="s">
        <v>257</v>
      </c>
      <c r="I833" s="5621" t="s">
        <v>3144</v>
      </c>
      <c r="J833" s="5618" t="s">
        <v>3145</v>
      </c>
      <c r="K833" s="5618" t="s">
        <v>3146</v>
      </c>
      <c r="L833" s="5407">
        <v>0</v>
      </c>
      <c r="M833" s="5407">
        <v>1</v>
      </c>
      <c r="N833" s="5407">
        <v>0</v>
      </c>
      <c r="O833" s="5618" t="s">
        <v>3147</v>
      </c>
      <c r="P833" s="5618" t="s">
        <v>3148</v>
      </c>
      <c r="Q833" s="5620" t="s">
        <v>3276</v>
      </c>
      <c r="R833" s="1110"/>
      <c r="S833" s="1111"/>
      <c r="T833" s="1111"/>
      <c r="U833" s="1711"/>
      <c r="V833" s="1112"/>
      <c r="W833" s="1719"/>
      <c r="X833" s="1113"/>
      <c r="Y833" s="1113"/>
      <c r="Z833" s="1113"/>
      <c r="AA833" s="1114"/>
      <c r="AB833" s="1719"/>
      <c r="AC833" s="410"/>
      <c r="AD833" s="410"/>
      <c r="AE833" s="1308"/>
    </row>
    <row r="834" spans="1:31" ht="18" customHeight="1">
      <c r="A834" s="5629"/>
      <c r="B834" s="5573"/>
      <c r="C834" s="5337"/>
      <c r="D834" s="5337"/>
      <c r="E834" s="5337"/>
      <c r="F834" s="5337"/>
      <c r="G834" s="5337"/>
      <c r="H834" s="5337"/>
      <c r="I834" s="5337"/>
      <c r="J834" s="5337"/>
      <c r="K834" s="5337"/>
      <c r="L834" s="5337"/>
      <c r="M834" s="5337"/>
      <c r="N834" s="5337"/>
      <c r="O834" s="5337"/>
      <c r="P834" s="5337"/>
      <c r="Q834" s="5345"/>
      <c r="R834" s="1110"/>
      <c r="S834" s="1111"/>
      <c r="T834" s="1111"/>
      <c r="U834" s="1711"/>
      <c r="V834" s="1112"/>
      <c r="W834" s="1719"/>
      <c r="X834" s="1113"/>
      <c r="Y834" s="1113"/>
      <c r="Z834" s="1113"/>
      <c r="AA834" s="1114"/>
      <c r="AB834" s="1719"/>
      <c r="AC834" s="410"/>
      <c r="AD834" s="410"/>
      <c r="AE834" s="1308"/>
    </row>
    <row r="835" spans="1:31" ht="18" customHeight="1">
      <c r="A835" s="5629"/>
      <c r="B835" s="5573"/>
      <c r="C835" s="5337"/>
      <c r="D835" s="5337"/>
      <c r="E835" s="5337"/>
      <c r="F835" s="5337"/>
      <c r="G835" s="5337"/>
      <c r="H835" s="5337"/>
      <c r="I835" s="5337"/>
      <c r="J835" s="5337"/>
      <c r="K835" s="5337"/>
      <c r="L835" s="5337"/>
      <c r="M835" s="5337"/>
      <c r="N835" s="5337"/>
      <c r="O835" s="5337"/>
      <c r="P835" s="5337"/>
      <c r="Q835" s="5345"/>
      <c r="R835" s="1110"/>
      <c r="S835" s="1111"/>
      <c r="T835" s="1111"/>
      <c r="U835" s="1711"/>
      <c r="V835" s="1112"/>
      <c r="W835" s="1719"/>
      <c r="X835" s="1113"/>
      <c r="Y835" s="1113"/>
      <c r="Z835" s="1113"/>
      <c r="AA835" s="1114"/>
      <c r="AB835" s="1719"/>
      <c r="AC835" s="410"/>
      <c r="AD835" s="410"/>
      <c r="AE835" s="1308"/>
    </row>
    <row r="836" spans="1:31" ht="18" customHeight="1">
      <c r="A836" s="5629"/>
      <c r="B836" s="5573"/>
      <c r="C836" s="5337"/>
      <c r="D836" s="5337"/>
      <c r="E836" s="5337"/>
      <c r="F836" s="5337"/>
      <c r="G836" s="5337"/>
      <c r="H836" s="5337"/>
      <c r="I836" s="5337"/>
      <c r="J836" s="5337"/>
      <c r="K836" s="5337"/>
      <c r="L836" s="5337"/>
      <c r="M836" s="5337"/>
      <c r="N836" s="5337"/>
      <c r="O836" s="5337"/>
      <c r="P836" s="5337"/>
      <c r="Q836" s="5345"/>
      <c r="R836" s="1110"/>
      <c r="S836" s="1111"/>
      <c r="T836" s="1111"/>
      <c r="U836" s="1711"/>
      <c r="V836" s="1112"/>
      <c r="W836" s="1719"/>
      <c r="X836" s="1113"/>
      <c r="Y836" s="1113"/>
      <c r="Z836" s="1113"/>
      <c r="AA836" s="1114"/>
      <c r="AB836" s="1719"/>
      <c r="AC836" s="410"/>
      <c r="AD836" s="410"/>
      <c r="AE836" s="1308"/>
    </row>
    <row r="837" spans="1:31" ht="18" customHeight="1">
      <c r="A837" s="5629"/>
      <c r="B837" s="5574"/>
      <c r="C837" s="5338"/>
      <c r="D837" s="5338"/>
      <c r="E837" s="5338"/>
      <c r="F837" s="5338"/>
      <c r="G837" s="5338"/>
      <c r="H837" s="5338"/>
      <c r="I837" s="5338"/>
      <c r="J837" s="5338"/>
      <c r="K837" s="5338"/>
      <c r="L837" s="5338"/>
      <c r="M837" s="5338"/>
      <c r="N837" s="5338"/>
      <c r="O837" s="5338"/>
      <c r="P837" s="5338"/>
      <c r="Q837" s="5346"/>
      <c r="R837" s="1309"/>
      <c r="S837" s="1310"/>
      <c r="T837" s="1310"/>
      <c r="U837" s="277"/>
      <c r="V837" s="1311"/>
      <c r="W837" s="416"/>
      <c r="X837" s="1312"/>
      <c r="Y837" s="1312"/>
      <c r="Z837" s="1312"/>
      <c r="AA837" s="1313"/>
      <c r="AB837" s="416"/>
      <c r="AC837" s="278"/>
      <c r="AD837" s="278"/>
      <c r="AE837" s="1314"/>
    </row>
    <row r="838" spans="1:31" ht="18" customHeight="1">
      <c r="A838" s="5629"/>
      <c r="B838" s="5572" t="s">
        <v>272</v>
      </c>
      <c r="C838" s="5336" t="s">
        <v>302</v>
      </c>
      <c r="D838" s="5336" t="s">
        <v>303</v>
      </c>
      <c r="E838" s="5336" t="s">
        <v>304</v>
      </c>
      <c r="F838" s="5341" t="s">
        <v>305</v>
      </c>
      <c r="G838" s="5336" t="s">
        <v>240</v>
      </c>
      <c r="H838" s="5336" t="s">
        <v>257</v>
      </c>
      <c r="I838" s="5618" t="s">
        <v>3150</v>
      </c>
      <c r="J838" s="5618" t="s">
        <v>3151</v>
      </c>
      <c r="K838" s="5618" t="s">
        <v>3146</v>
      </c>
      <c r="L838" s="5407">
        <v>0</v>
      </c>
      <c r="M838" s="5407">
        <v>1</v>
      </c>
      <c r="N838" s="5407">
        <v>1</v>
      </c>
      <c r="O838" s="5618" t="s">
        <v>3152</v>
      </c>
      <c r="P838" s="5618" t="s">
        <v>3153</v>
      </c>
      <c r="Q838" s="5620" t="s">
        <v>3276</v>
      </c>
      <c r="R838" s="1110"/>
      <c r="S838" s="1111"/>
      <c r="T838" s="1111"/>
      <c r="U838" s="1711"/>
      <c r="V838" s="1112"/>
      <c r="W838" s="1719"/>
      <c r="X838" s="1113"/>
      <c r="Y838" s="1113"/>
      <c r="Z838" s="1113"/>
      <c r="AA838" s="1114"/>
      <c r="AB838" s="1719"/>
      <c r="AC838" s="410"/>
      <c r="AD838" s="410"/>
      <c r="AE838" s="1308"/>
    </row>
    <row r="839" spans="1:31" ht="18" customHeight="1">
      <c r="A839" s="5629"/>
      <c r="B839" s="5573"/>
      <c r="C839" s="5337"/>
      <c r="D839" s="5337"/>
      <c r="E839" s="5337"/>
      <c r="F839" s="5337"/>
      <c r="G839" s="5337"/>
      <c r="H839" s="5337"/>
      <c r="I839" s="5337"/>
      <c r="J839" s="5337"/>
      <c r="K839" s="5337"/>
      <c r="L839" s="5337"/>
      <c r="M839" s="5337"/>
      <c r="N839" s="5337"/>
      <c r="O839" s="5337"/>
      <c r="P839" s="5337"/>
      <c r="Q839" s="5345"/>
      <c r="R839" s="1110"/>
      <c r="S839" s="1111"/>
      <c r="T839" s="1111"/>
      <c r="U839" s="1711"/>
      <c r="V839" s="1112"/>
      <c r="W839" s="1719"/>
      <c r="X839" s="1113"/>
      <c r="Y839" s="1113"/>
      <c r="Z839" s="1113"/>
      <c r="AA839" s="1114"/>
      <c r="AB839" s="1719"/>
      <c r="AC839" s="410"/>
      <c r="AD839" s="410"/>
      <c r="AE839" s="1308"/>
    </row>
    <row r="840" spans="1:31" ht="18" customHeight="1">
      <c r="A840" s="5629"/>
      <c r="B840" s="5573"/>
      <c r="C840" s="5337"/>
      <c r="D840" s="5337"/>
      <c r="E840" s="5337"/>
      <c r="F840" s="5337"/>
      <c r="G840" s="5337"/>
      <c r="H840" s="5337"/>
      <c r="I840" s="5337"/>
      <c r="J840" s="5337"/>
      <c r="K840" s="5337"/>
      <c r="L840" s="5337"/>
      <c r="M840" s="5337"/>
      <c r="N840" s="5337"/>
      <c r="O840" s="5337"/>
      <c r="P840" s="5337"/>
      <c r="Q840" s="5345"/>
      <c r="R840" s="1110"/>
      <c r="S840" s="1111"/>
      <c r="T840" s="1111"/>
      <c r="U840" s="1711"/>
      <c r="V840" s="1112"/>
      <c r="W840" s="1719"/>
      <c r="X840" s="1113"/>
      <c r="Y840" s="1113"/>
      <c r="Z840" s="1113"/>
      <c r="AA840" s="1114"/>
      <c r="AB840" s="1719"/>
      <c r="AC840" s="410"/>
      <c r="AD840" s="410"/>
      <c r="AE840" s="1308"/>
    </row>
    <row r="841" spans="1:31" ht="18" customHeight="1">
      <c r="A841" s="5629"/>
      <c r="B841" s="5573"/>
      <c r="C841" s="5337"/>
      <c r="D841" s="5337"/>
      <c r="E841" s="5337"/>
      <c r="F841" s="5337"/>
      <c r="G841" s="5337"/>
      <c r="H841" s="5337"/>
      <c r="I841" s="5337"/>
      <c r="J841" s="5337"/>
      <c r="K841" s="5337"/>
      <c r="L841" s="5337"/>
      <c r="M841" s="5337"/>
      <c r="N841" s="5337"/>
      <c r="O841" s="5337"/>
      <c r="P841" s="5337"/>
      <c r="Q841" s="5345"/>
      <c r="R841" s="1110"/>
      <c r="S841" s="1111"/>
      <c r="T841" s="1111"/>
      <c r="U841" s="1711"/>
      <c r="V841" s="1112"/>
      <c r="W841" s="1719"/>
      <c r="X841" s="1113"/>
      <c r="Y841" s="1113"/>
      <c r="Z841" s="1113"/>
      <c r="AA841" s="1114"/>
      <c r="AB841" s="1719"/>
      <c r="AC841" s="410"/>
      <c r="AD841" s="410"/>
      <c r="AE841" s="1308"/>
    </row>
    <row r="842" spans="1:31" ht="18" customHeight="1">
      <c r="A842" s="5629"/>
      <c r="B842" s="5574"/>
      <c r="C842" s="5338"/>
      <c r="D842" s="5338"/>
      <c r="E842" s="5338"/>
      <c r="F842" s="5338"/>
      <c r="G842" s="5338"/>
      <c r="H842" s="5338"/>
      <c r="I842" s="5338"/>
      <c r="J842" s="5338"/>
      <c r="K842" s="5338"/>
      <c r="L842" s="5338"/>
      <c r="M842" s="5338"/>
      <c r="N842" s="5338"/>
      <c r="O842" s="5338"/>
      <c r="P842" s="5338"/>
      <c r="Q842" s="5346"/>
      <c r="R842" s="1309"/>
      <c r="S842" s="1310"/>
      <c r="T842" s="1310"/>
      <c r="U842" s="277"/>
      <c r="V842" s="1311"/>
      <c r="W842" s="416"/>
      <c r="X842" s="1312"/>
      <c r="Y842" s="1312"/>
      <c r="Z842" s="1312"/>
      <c r="AA842" s="1313"/>
      <c r="AB842" s="416"/>
      <c r="AC842" s="278"/>
      <c r="AD842" s="278"/>
      <c r="AE842" s="1314"/>
    </row>
    <row r="843" spans="1:31" ht="18" customHeight="1">
      <c r="A843" s="5629"/>
      <c r="B843" s="5572" t="s">
        <v>272</v>
      </c>
      <c r="C843" s="5336" t="s">
        <v>302</v>
      </c>
      <c r="D843" s="5336" t="s">
        <v>274</v>
      </c>
      <c r="E843" s="5336" t="s">
        <v>885</v>
      </c>
      <c r="F843" s="5341" t="s">
        <v>305</v>
      </c>
      <c r="G843" s="5336" t="s">
        <v>262</v>
      </c>
      <c r="H843" s="5336" t="s">
        <v>241</v>
      </c>
      <c r="I843" s="5618" t="s">
        <v>3154</v>
      </c>
      <c r="J843" s="5618" t="s">
        <v>3155</v>
      </c>
      <c r="K843" s="5618" t="s">
        <v>3024</v>
      </c>
      <c r="L843" s="5619">
        <v>1</v>
      </c>
      <c r="M843" s="5619">
        <v>0</v>
      </c>
      <c r="N843" s="5619">
        <v>1</v>
      </c>
      <c r="O843" s="5618" t="s">
        <v>3156</v>
      </c>
      <c r="P843" s="5618" t="s">
        <v>3026</v>
      </c>
      <c r="Q843" s="5620" t="s">
        <v>3277</v>
      </c>
      <c r="R843" s="1110"/>
      <c r="S843" s="1111"/>
      <c r="T843" s="1111"/>
      <c r="U843" s="1711"/>
      <c r="V843" s="1112"/>
      <c r="W843" s="1719"/>
      <c r="X843" s="1113"/>
      <c r="Y843" s="1113"/>
      <c r="Z843" s="1113"/>
      <c r="AA843" s="1114"/>
      <c r="AB843" s="1719"/>
      <c r="AC843" s="410"/>
      <c r="AD843" s="410"/>
      <c r="AE843" s="1308"/>
    </row>
    <row r="844" spans="1:31" ht="18" customHeight="1">
      <c r="A844" s="5629"/>
      <c r="B844" s="5573"/>
      <c r="C844" s="5337"/>
      <c r="D844" s="5337"/>
      <c r="E844" s="5337"/>
      <c r="F844" s="5337"/>
      <c r="G844" s="5337"/>
      <c r="H844" s="5337"/>
      <c r="I844" s="5337"/>
      <c r="J844" s="5337"/>
      <c r="K844" s="5337"/>
      <c r="L844" s="5337"/>
      <c r="M844" s="5337"/>
      <c r="N844" s="5337"/>
      <c r="O844" s="5337"/>
      <c r="P844" s="5337"/>
      <c r="Q844" s="5345"/>
      <c r="R844" s="1110"/>
      <c r="S844" s="1111"/>
      <c r="T844" s="1111"/>
      <c r="U844" s="1711"/>
      <c r="V844" s="1112"/>
      <c r="W844" s="1719"/>
      <c r="X844" s="1113"/>
      <c r="Y844" s="1113"/>
      <c r="Z844" s="1113"/>
      <c r="AA844" s="1114"/>
      <c r="AB844" s="1719"/>
      <c r="AC844" s="410"/>
      <c r="AD844" s="410"/>
      <c r="AE844" s="1308"/>
    </row>
    <row r="845" spans="1:31" ht="18" customHeight="1">
      <c r="A845" s="5629"/>
      <c r="B845" s="5573"/>
      <c r="C845" s="5337"/>
      <c r="D845" s="5337"/>
      <c r="E845" s="5337"/>
      <c r="F845" s="5337"/>
      <c r="G845" s="5337"/>
      <c r="H845" s="5337"/>
      <c r="I845" s="5337"/>
      <c r="J845" s="5337"/>
      <c r="K845" s="5337"/>
      <c r="L845" s="5337"/>
      <c r="M845" s="5337"/>
      <c r="N845" s="5337"/>
      <c r="O845" s="5337"/>
      <c r="P845" s="5337"/>
      <c r="Q845" s="5345"/>
      <c r="R845" s="1110"/>
      <c r="S845" s="1111"/>
      <c r="T845" s="1111"/>
      <c r="U845" s="1711"/>
      <c r="V845" s="1112"/>
      <c r="W845" s="1719"/>
      <c r="X845" s="1113"/>
      <c r="Y845" s="1113"/>
      <c r="Z845" s="1113"/>
      <c r="AA845" s="1114"/>
      <c r="AB845" s="1719"/>
      <c r="AC845" s="410"/>
      <c r="AD845" s="410"/>
      <c r="AE845" s="1308"/>
    </row>
    <row r="846" spans="1:31" ht="18" customHeight="1">
      <c r="A846" s="5629"/>
      <c r="B846" s="5573"/>
      <c r="C846" s="5337"/>
      <c r="D846" s="5337"/>
      <c r="E846" s="5337"/>
      <c r="F846" s="5337"/>
      <c r="G846" s="5337"/>
      <c r="H846" s="5337"/>
      <c r="I846" s="5337"/>
      <c r="J846" s="5337"/>
      <c r="K846" s="5337"/>
      <c r="L846" s="5337"/>
      <c r="M846" s="5337"/>
      <c r="N846" s="5337"/>
      <c r="O846" s="5337"/>
      <c r="P846" s="5337"/>
      <c r="Q846" s="5345"/>
      <c r="R846" s="1110"/>
      <c r="S846" s="1111"/>
      <c r="T846" s="1111"/>
      <c r="U846" s="1711"/>
      <c r="V846" s="1112"/>
      <c r="W846" s="1719"/>
      <c r="X846" s="1113"/>
      <c r="Y846" s="1113"/>
      <c r="Z846" s="1113"/>
      <c r="AA846" s="1114"/>
      <c r="AB846" s="1719"/>
      <c r="AC846" s="410"/>
      <c r="AD846" s="410"/>
      <c r="AE846" s="1308"/>
    </row>
    <row r="847" spans="1:31" ht="18" customHeight="1">
      <c r="A847" s="5629"/>
      <c r="B847" s="5574"/>
      <c r="C847" s="5338"/>
      <c r="D847" s="5338"/>
      <c r="E847" s="5338"/>
      <c r="F847" s="5338"/>
      <c r="G847" s="5338"/>
      <c r="H847" s="5338"/>
      <c r="I847" s="5338"/>
      <c r="J847" s="5338"/>
      <c r="K847" s="5338"/>
      <c r="L847" s="5338"/>
      <c r="M847" s="5338"/>
      <c r="N847" s="5338"/>
      <c r="O847" s="5338"/>
      <c r="P847" s="5338"/>
      <c r="Q847" s="5346"/>
      <c r="R847" s="1309"/>
      <c r="S847" s="1310"/>
      <c r="T847" s="1310"/>
      <c r="U847" s="277"/>
      <c r="V847" s="1311"/>
      <c r="W847" s="416"/>
      <c r="X847" s="1312"/>
      <c r="Y847" s="1312"/>
      <c r="Z847" s="1312"/>
      <c r="AA847" s="1313"/>
      <c r="AB847" s="416"/>
      <c r="AC847" s="278"/>
      <c r="AD847" s="278"/>
      <c r="AE847" s="1314"/>
    </row>
    <row r="848" spans="1:31" ht="18" customHeight="1">
      <c r="A848" s="5629"/>
      <c r="B848" s="5627" t="s">
        <v>235</v>
      </c>
      <c r="C848" s="5347" t="s">
        <v>236</v>
      </c>
      <c r="D848" s="5347" t="s">
        <v>237</v>
      </c>
      <c r="E848" s="5347" t="s">
        <v>255</v>
      </c>
      <c r="F848" s="5353" t="s">
        <v>239</v>
      </c>
      <c r="G848" s="5336" t="s">
        <v>240</v>
      </c>
      <c r="H848" s="5336" t="s">
        <v>257</v>
      </c>
      <c r="I848" s="5618" t="s">
        <v>3158</v>
      </c>
      <c r="J848" s="5618" t="s">
        <v>3159</v>
      </c>
      <c r="K848" s="5618" t="s">
        <v>3160</v>
      </c>
      <c r="L848" s="5619">
        <v>1</v>
      </c>
      <c r="M848" s="5619">
        <v>2</v>
      </c>
      <c r="N848" s="5619">
        <v>2</v>
      </c>
      <c r="O848" s="5618" t="s">
        <v>3161</v>
      </c>
      <c r="P848" s="5618" t="s">
        <v>3162</v>
      </c>
      <c r="Q848" s="5620" t="s">
        <v>3276</v>
      </c>
      <c r="R848" s="1110"/>
      <c r="S848" s="1111"/>
      <c r="T848" s="1111"/>
      <c r="U848" s="1711"/>
      <c r="V848" s="1112"/>
      <c r="W848" s="1719"/>
      <c r="X848" s="1113"/>
      <c r="Y848" s="1113"/>
      <c r="Z848" s="1113"/>
      <c r="AA848" s="1114"/>
      <c r="AB848" s="1719"/>
      <c r="AC848" s="410"/>
      <c r="AD848" s="410"/>
      <c r="AE848" s="1308"/>
    </row>
    <row r="849" spans="1:31" ht="18" customHeight="1">
      <c r="A849" s="5629"/>
      <c r="B849" s="5573"/>
      <c r="C849" s="5337"/>
      <c r="D849" s="5337"/>
      <c r="E849" s="5337"/>
      <c r="F849" s="5337"/>
      <c r="G849" s="5337"/>
      <c r="H849" s="5337"/>
      <c r="I849" s="5337"/>
      <c r="J849" s="5337"/>
      <c r="K849" s="5337"/>
      <c r="L849" s="5337"/>
      <c r="M849" s="5337"/>
      <c r="N849" s="5337"/>
      <c r="O849" s="5337"/>
      <c r="P849" s="5337"/>
      <c r="Q849" s="5345"/>
      <c r="R849" s="1110"/>
      <c r="S849" s="1111"/>
      <c r="T849" s="1111"/>
      <c r="U849" s="1711"/>
      <c r="V849" s="1112"/>
      <c r="W849" s="1719"/>
      <c r="X849" s="1113"/>
      <c r="Y849" s="1113"/>
      <c r="Z849" s="1113"/>
      <c r="AA849" s="1114"/>
      <c r="AB849" s="1719"/>
      <c r="AC849" s="410"/>
      <c r="AD849" s="410"/>
      <c r="AE849" s="1308"/>
    </row>
    <row r="850" spans="1:31" ht="18" customHeight="1">
      <c r="A850" s="5629"/>
      <c r="B850" s="5573"/>
      <c r="C850" s="5337"/>
      <c r="D850" s="5337"/>
      <c r="E850" s="5337"/>
      <c r="F850" s="5337"/>
      <c r="G850" s="5337"/>
      <c r="H850" s="5337"/>
      <c r="I850" s="5337"/>
      <c r="J850" s="5337"/>
      <c r="K850" s="5337"/>
      <c r="L850" s="5337"/>
      <c r="M850" s="5337"/>
      <c r="N850" s="5337"/>
      <c r="O850" s="5337"/>
      <c r="P850" s="5337"/>
      <c r="Q850" s="5345"/>
      <c r="R850" s="1110"/>
      <c r="S850" s="1111"/>
      <c r="T850" s="1111"/>
      <c r="U850" s="1711"/>
      <c r="V850" s="1112"/>
      <c r="W850" s="1719"/>
      <c r="X850" s="1113"/>
      <c r="Y850" s="1113"/>
      <c r="Z850" s="1113"/>
      <c r="AA850" s="1114"/>
      <c r="AB850" s="1719"/>
      <c r="AC850" s="410"/>
      <c r="AD850" s="410"/>
      <c r="AE850" s="1308"/>
    </row>
    <row r="851" spans="1:31" ht="18" customHeight="1">
      <c r="A851" s="5629"/>
      <c r="B851" s="5573"/>
      <c r="C851" s="5337"/>
      <c r="D851" s="5337"/>
      <c r="E851" s="5337"/>
      <c r="F851" s="5337"/>
      <c r="G851" s="5337"/>
      <c r="H851" s="5337"/>
      <c r="I851" s="5337"/>
      <c r="J851" s="5337"/>
      <c r="K851" s="5337"/>
      <c r="L851" s="5337"/>
      <c r="M851" s="5337"/>
      <c r="N851" s="5337"/>
      <c r="O851" s="5337"/>
      <c r="P851" s="5337"/>
      <c r="Q851" s="5345"/>
      <c r="R851" s="1110"/>
      <c r="S851" s="1111"/>
      <c r="T851" s="1111"/>
      <c r="U851" s="1711"/>
      <c r="V851" s="1112"/>
      <c r="W851" s="1719"/>
      <c r="X851" s="1113"/>
      <c r="Y851" s="1113"/>
      <c r="Z851" s="1113"/>
      <c r="AA851" s="1114"/>
      <c r="AB851" s="1719"/>
      <c r="AC851" s="410"/>
      <c r="AD851" s="410"/>
      <c r="AE851" s="1308"/>
    </row>
    <row r="852" spans="1:31" ht="18" customHeight="1">
      <c r="A852" s="5629"/>
      <c r="B852" s="5574"/>
      <c r="C852" s="5338"/>
      <c r="D852" s="5338"/>
      <c r="E852" s="5338"/>
      <c r="F852" s="5338"/>
      <c r="G852" s="5338"/>
      <c r="H852" s="5338"/>
      <c r="I852" s="5337"/>
      <c r="J852" s="5337"/>
      <c r="K852" s="5337"/>
      <c r="L852" s="5337"/>
      <c r="M852" s="5337"/>
      <c r="N852" s="5337"/>
      <c r="O852" s="5337"/>
      <c r="P852" s="5337"/>
      <c r="Q852" s="5345"/>
      <c r="R852" s="1309"/>
      <c r="S852" s="1310"/>
      <c r="T852" s="1310"/>
      <c r="U852" s="277"/>
      <c r="V852" s="1311"/>
      <c r="W852" s="416"/>
      <c r="X852" s="1312"/>
      <c r="Y852" s="1312"/>
      <c r="Z852" s="1312"/>
      <c r="AA852" s="1313"/>
      <c r="AB852" s="416"/>
      <c r="AC852" s="278"/>
      <c r="AD852" s="278"/>
      <c r="AE852" s="1314"/>
    </row>
    <row r="853" spans="1:31" ht="18" customHeight="1">
      <c r="A853" s="5629"/>
      <c r="B853" s="5626" t="s">
        <v>272</v>
      </c>
      <c r="C853" s="5624" t="s">
        <v>302</v>
      </c>
      <c r="D853" s="5624" t="s">
        <v>303</v>
      </c>
      <c r="E853" s="5624" t="s">
        <v>304</v>
      </c>
      <c r="F853" s="5622" t="s">
        <v>305</v>
      </c>
      <c r="G853" s="5624" t="s">
        <v>240</v>
      </c>
      <c r="H853" s="5624" t="s">
        <v>257</v>
      </c>
      <c r="I853" s="5618" t="s">
        <v>3163</v>
      </c>
      <c r="J853" s="5618" t="s">
        <v>3164</v>
      </c>
      <c r="K853" s="5618" t="s">
        <v>3146</v>
      </c>
      <c r="L853" s="5619">
        <v>0</v>
      </c>
      <c r="M853" s="5619">
        <v>1</v>
      </c>
      <c r="N853" s="5619">
        <v>0</v>
      </c>
      <c r="O853" s="5618" t="s">
        <v>3165</v>
      </c>
      <c r="P853" s="5618" t="s">
        <v>3166</v>
      </c>
      <c r="Q853" s="5620" t="s">
        <v>3276</v>
      </c>
      <c r="R853" s="1110"/>
      <c r="S853" s="1111"/>
      <c r="T853" s="1111"/>
      <c r="U853" s="1711"/>
      <c r="V853" s="1112"/>
      <c r="W853" s="1719"/>
      <c r="X853" s="1113"/>
      <c r="Y853" s="1113"/>
      <c r="Z853" s="1113"/>
      <c r="AA853" s="1114"/>
      <c r="AB853" s="1719"/>
      <c r="AC853" s="410"/>
      <c r="AD853" s="410"/>
      <c r="AE853" s="1308"/>
    </row>
    <row r="854" spans="1:31" ht="18" customHeight="1">
      <c r="A854" s="5629"/>
      <c r="B854" s="5573"/>
      <c r="C854" s="5337"/>
      <c r="D854" s="5337"/>
      <c r="E854" s="5337"/>
      <c r="F854" s="5337"/>
      <c r="G854" s="5337"/>
      <c r="H854" s="5337"/>
      <c r="I854" s="5337"/>
      <c r="J854" s="5337"/>
      <c r="K854" s="5337"/>
      <c r="L854" s="5337"/>
      <c r="M854" s="5337"/>
      <c r="N854" s="5337"/>
      <c r="O854" s="5337"/>
      <c r="P854" s="5337"/>
      <c r="Q854" s="5345"/>
      <c r="R854" s="1110"/>
      <c r="S854" s="1111"/>
      <c r="T854" s="1111"/>
      <c r="U854" s="1711"/>
      <c r="V854" s="1112"/>
      <c r="W854" s="1719"/>
      <c r="X854" s="1113"/>
      <c r="Y854" s="1113"/>
      <c r="Z854" s="1113"/>
      <c r="AA854" s="1114"/>
      <c r="AB854" s="1719"/>
      <c r="AC854" s="410"/>
      <c r="AD854" s="410"/>
      <c r="AE854" s="1308"/>
    </row>
    <row r="855" spans="1:31" ht="18" customHeight="1">
      <c r="A855" s="5629"/>
      <c r="B855" s="5573"/>
      <c r="C855" s="5337"/>
      <c r="D855" s="5337"/>
      <c r="E855" s="5337"/>
      <c r="F855" s="5337"/>
      <c r="G855" s="5337"/>
      <c r="H855" s="5337"/>
      <c r="I855" s="5337"/>
      <c r="J855" s="5337"/>
      <c r="K855" s="5337"/>
      <c r="L855" s="5337"/>
      <c r="M855" s="5337"/>
      <c r="N855" s="5337"/>
      <c r="O855" s="5337"/>
      <c r="P855" s="5337"/>
      <c r="Q855" s="5345"/>
      <c r="R855" s="1110"/>
      <c r="S855" s="1111"/>
      <c r="T855" s="1111"/>
      <c r="U855" s="1711"/>
      <c r="V855" s="1112"/>
      <c r="W855" s="1719"/>
      <c r="X855" s="1113"/>
      <c r="Y855" s="1113"/>
      <c r="Z855" s="1113"/>
      <c r="AA855" s="1114"/>
      <c r="AB855" s="1719"/>
      <c r="AC855" s="410"/>
      <c r="AD855" s="410"/>
      <c r="AE855" s="1308"/>
    </row>
    <row r="856" spans="1:31" ht="18" customHeight="1">
      <c r="A856" s="5629"/>
      <c r="B856" s="5573"/>
      <c r="C856" s="5337"/>
      <c r="D856" s="5337"/>
      <c r="E856" s="5337"/>
      <c r="F856" s="5337"/>
      <c r="G856" s="5337"/>
      <c r="H856" s="5337"/>
      <c r="I856" s="5337"/>
      <c r="J856" s="5337"/>
      <c r="K856" s="5337"/>
      <c r="L856" s="5337"/>
      <c r="M856" s="5337"/>
      <c r="N856" s="5337"/>
      <c r="O856" s="5337"/>
      <c r="P856" s="5337"/>
      <c r="Q856" s="5345"/>
      <c r="R856" s="1110"/>
      <c r="S856" s="1111"/>
      <c r="T856" s="1111"/>
      <c r="U856" s="1711"/>
      <c r="V856" s="1112"/>
      <c r="W856" s="1719"/>
      <c r="X856" s="1113"/>
      <c r="Y856" s="1113"/>
      <c r="Z856" s="1113"/>
      <c r="AA856" s="1114"/>
      <c r="AB856" s="1719"/>
      <c r="AC856" s="410"/>
      <c r="AD856" s="410"/>
      <c r="AE856" s="1308"/>
    </row>
    <row r="857" spans="1:31" ht="18" customHeight="1">
      <c r="A857" s="5629"/>
      <c r="B857" s="5574"/>
      <c r="C857" s="5338"/>
      <c r="D857" s="5338"/>
      <c r="E857" s="5338"/>
      <c r="F857" s="5338"/>
      <c r="G857" s="5338"/>
      <c r="H857" s="5338"/>
      <c r="I857" s="5338"/>
      <c r="J857" s="5338"/>
      <c r="K857" s="5338"/>
      <c r="L857" s="5338"/>
      <c r="M857" s="5338"/>
      <c r="N857" s="5338"/>
      <c r="O857" s="5338"/>
      <c r="P857" s="5338"/>
      <c r="Q857" s="5346"/>
      <c r="R857" s="1309"/>
      <c r="S857" s="1310"/>
      <c r="T857" s="1310"/>
      <c r="U857" s="277"/>
      <c r="V857" s="1311"/>
      <c r="W857" s="416"/>
      <c r="X857" s="1312"/>
      <c r="Y857" s="1312"/>
      <c r="Z857" s="1312"/>
      <c r="AA857" s="1313"/>
      <c r="AB857" s="416"/>
      <c r="AC857" s="278"/>
      <c r="AD857" s="278"/>
      <c r="AE857" s="1314"/>
    </row>
    <row r="858" spans="1:31" ht="18" customHeight="1">
      <c r="A858" s="5629"/>
      <c r="B858" s="5626" t="s">
        <v>272</v>
      </c>
      <c r="C858" s="5624" t="s">
        <v>302</v>
      </c>
      <c r="D858" s="5624" t="s">
        <v>303</v>
      </c>
      <c r="E858" s="5624" t="s">
        <v>304</v>
      </c>
      <c r="F858" s="5622" t="s">
        <v>305</v>
      </c>
      <c r="G858" s="5624" t="s">
        <v>240</v>
      </c>
      <c r="H858" s="5624" t="s">
        <v>257</v>
      </c>
      <c r="I858" s="5618" t="s">
        <v>3167</v>
      </c>
      <c r="J858" s="5618" t="s">
        <v>3168</v>
      </c>
      <c r="K858" s="5618" t="s">
        <v>3006</v>
      </c>
      <c r="L858" s="5619">
        <v>2</v>
      </c>
      <c r="M858" s="5619">
        <v>0</v>
      </c>
      <c r="N858" s="5619">
        <v>2</v>
      </c>
      <c r="O858" s="5618" t="s">
        <v>3169</v>
      </c>
      <c r="P858" s="5618" t="s">
        <v>3170</v>
      </c>
      <c r="Q858" s="5620" t="s">
        <v>3276</v>
      </c>
      <c r="R858" s="1110"/>
      <c r="S858" s="1111"/>
      <c r="T858" s="1111"/>
      <c r="U858" s="1711"/>
      <c r="V858" s="1112"/>
      <c r="W858" s="1719"/>
      <c r="X858" s="1113"/>
      <c r="Y858" s="1113"/>
      <c r="Z858" s="1113"/>
      <c r="AA858" s="1114"/>
      <c r="AB858" s="1719"/>
      <c r="AC858" s="410"/>
      <c r="AD858" s="410"/>
      <c r="AE858" s="1308"/>
    </row>
    <row r="859" spans="1:31" ht="18" customHeight="1">
      <c r="A859" s="5629"/>
      <c r="B859" s="5573"/>
      <c r="C859" s="5337"/>
      <c r="D859" s="5337"/>
      <c r="E859" s="5337"/>
      <c r="F859" s="5337"/>
      <c r="G859" s="5337"/>
      <c r="H859" s="5337"/>
      <c r="I859" s="5337"/>
      <c r="J859" s="5337"/>
      <c r="K859" s="5337"/>
      <c r="L859" s="5337"/>
      <c r="M859" s="5337"/>
      <c r="N859" s="5337"/>
      <c r="O859" s="5337"/>
      <c r="P859" s="5337"/>
      <c r="Q859" s="5345"/>
      <c r="R859" s="1110"/>
      <c r="S859" s="1111"/>
      <c r="T859" s="1111"/>
      <c r="U859" s="1711"/>
      <c r="V859" s="1112"/>
      <c r="W859" s="1719"/>
      <c r="X859" s="1113"/>
      <c r="Y859" s="1113"/>
      <c r="Z859" s="1113"/>
      <c r="AA859" s="1114"/>
      <c r="AB859" s="1719"/>
      <c r="AC859" s="410"/>
      <c r="AD859" s="410"/>
      <c r="AE859" s="1308"/>
    </row>
    <row r="860" spans="1:31" ht="18" customHeight="1">
      <c r="A860" s="5629"/>
      <c r="B860" s="5573"/>
      <c r="C860" s="5337"/>
      <c r="D860" s="5337"/>
      <c r="E860" s="5337"/>
      <c r="F860" s="5337"/>
      <c r="G860" s="5337"/>
      <c r="H860" s="5337"/>
      <c r="I860" s="5337"/>
      <c r="J860" s="5337"/>
      <c r="K860" s="5337"/>
      <c r="L860" s="5337"/>
      <c r="M860" s="5337"/>
      <c r="N860" s="5337"/>
      <c r="O860" s="5337"/>
      <c r="P860" s="5337"/>
      <c r="Q860" s="5345"/>
      <c r="R860" s="1110"/>
      <c r="S860" s="1111"/>
      <c r="T860" s="1111"/>
      <c r="U860" s="1711"/>
      <c r="V860" s="1112"/>
      <c r="W860" s="1719"/>
      <c r="X860" s="1113"/>
      <c r="Y860" s="1113"/>
      <c r="Z860" s="1113"/>
      <c r="AA860" s="1114"/>
      <c r="AB860" s="1719"/>
      <c r="AC860" s="410"/>
      <c r="AD860" s="410"/>
      <c r="AE860" s="1308"/>
    </row>
    <row r="861" spans="1:31" ht="18" customHeight="1">
      <c r="A861" s="5629"/>
      <c r="B861" s="5573"/>
      <c r="C861" s="5337"/>
      <c r="D861" s="5337"/>
      <c r="E861" s="5337"/>
      <c r="F861" s="5337"/>
      <c r="G861" s="5337"/>
      <c r="H861" s="5337"/>
      <c r="I861" s="5337"/>
      <c r="J861" s="5337"/>
      <c r="K861" s="5337"/>
      <c r="L861" s="5337"/>
      <c r="M861" s="5337"/>
      <c r="N861" s="5337"/>
      <c r="O861" s="5337"/>
      <c r="P861" s="5337"/>
      <c r="Q861" s="5345"/>
      <c r="R861" s="1110"/>
      <c r="S861" s="1111"/>
      <c r="T861" s="1111"/>
      <c r="U861" s="1711"/>
      <c r="V861" s="1112"/>
      <c r="W861" s="1719"/>
      <c r="X861" s="1113"/>
      <c r="Y861" s="1113"/>
      <c r="Z861" s="1113"/>
      <c r="AA861" s="1114"/>
      <c r="AB861" s="1719"/>
      <c r="AC861" s="410"/>
      <c r="AD861" s="410"/>
      <c r="AE861" s="1308"/>
    </row>
    <row r="862" spans="1:31" ht="18" customHeight="1">
      <c r="A862" s="5629"/>
      <c r="B862" s="5574"/>
      <c r="C862" s="5338"/>
      <c r="D862" s="5338"/>
      <c r="E862" s="5338"/>
      <c r="F862" s="5338"/>
      <c r="G862" s="5338"/>
      <c r="H862" s="5338"/>
      <c r="I862" s="5337"/>
      <c r="J862" s="5337"/>
      <c r="K862" s="5337"/>
      <c r="L862" s="5337"/>
      <c r="M862" s="5337"/>
      <c r="N862" s="5337"/>
      <c r="O862" s="5337"/>
      <c r="P862" s="5337"/>
      <c r="Q862" s="5345"/>
      <c r="R862" s="1309"/>
      <c r="S862" s="1310"/>
      <c r="T862" s="1310"/>
      <c r="U862" s="277"/>
      <c r="V862" s="1311"/>
      <c r="W862" s="416"/>
      <c r="X862" s="1312"/>
      <c r="Y862" s="1312"/>
      <c r="Z862" s="1312"/>
      <c r="AA862" s="1313"/>
      <c r="AB862" s="416"/>
      <c r="AC862" s="278"/>
      <c r="AD862" s="278"/>
      <c r="AE862" s="1314"/>
    </row>
    <row r="863" spans="1:31" ht="18" customHeight="1">
      <c r="A863" s="5629"/>
      <c r="B863" s="5626" t="s">
        <v>272</v>
      </c>
      <c r="C863" s="5624" t="s">
        <v>302</v>
      </c>
      <c r="D863" s="5624" t="s">
        <v>303</v>
      </c>
      <c r="E863" s="5624" t="s">
        <v>304</v>
      </c>
      <c r="F863" s="5622" t="s">
        <v>305</v>
      </c>
      <c r="G863" s="5624" t="s">
        <v>240</v>
      </c>
      <c r="H863" s="5624" t="s">
        <v>257</v>
      </c>
      <c r="I863" s="5618" t="s">
        <v>3171</v>
      </c>
      <c r="J863" s="5618" t="s">
        <v>3172</v>
      </c>
      <c r="K863" s="5618" t="s">
        <v>3173</v>
      </c>
      <c r="L863" s="5619">
        <v>4</v>
      </c>
      <c r="M863" s="5619">
        <v>4</v>
      </c>
      <c r="N863" s="5619">
        <v>4</v>
      </c>
      <c r="O863" s="5618" t="s">
        <v>3174</v>
      </c>
      <c r="P863" s="5618" t="s">
        <v>3175</v>
      </c>
      <c r="Q863" s="5620" t="s">
        <v>3278</v>
      </c>
      <c r="R863" s="1110"/>
      <c r="S863" s="1111"/>
      <c r="T863" s="1111"/>
      <c r="U863" s="1711"/>
      <c r="V863" s="1112"/>
      <c r="W863" s="1719"/>
      <c r="X863" s="1113"/>
      <c r="Y863" s="1113"/>
      <c r="Z863" s="1113"/>
      <c r="AA863" s="1114"/>
      <c r="AB863" s="1719"/>
      <c r="AC863" s="410"/>
      <c r="AD863" s="410"/>
      <c r="AE863" s="1308"/>
    </row>
    <row r="864" spans="1:31" ht="18" customHeight="1">
      <c r="A864" s="5629"/>
      <c r="B864" s="5573"/>
      <c r="C864" s="5337"/>
      <c r="D864" s="5337"/>
      <c r="E864" s="5337"/>
      <c r="F864" s="5337"/>
      <c r="G864" s="5337"/>
      <c r="H864" s="5337"/>
      <c r="I864" s="5337"/>
      <c r="J864" s="5337"/>
      <c r="K864" s="5337"/>
      <c r="L864" s="5337"/>
      <c r="M864" s="5337"/>
      <c r="N864" s="5337"/>
      <c r="O864" s="5337"/>
      <c r="P864" s="5337"/>
      <c r="Q864" s="5345"/>
      <c r="R864" s="1110"/>
      <c r="S864" s="1111"/>
      <c r="T864" s="1111"/>
      <c r="U864" s="1711"/>
      <c r="V864" s="1112"/>
      <c r="W864" s="1719"/>
      <c r="X864" s="1113"/>
      <c r="Y864" s="1113"/>
      <c r="Z864" s="1113"/>
      <c r="AA864" s="1114"/>
      <c r="AB864" s="1719"/>
      <c r="AC864" s="410"/>
      <c r="AD864" s="410"/>
      <c r="AE864" s="1308"/>
    </row>
    <row r="865" spans="1:31" ht="18" customHeight="1">
      <c r="A865" s="5629"/>
      <c r="B865" s="5573"/>
      <c r="C865" s="5337"/>
      <c r="D865" s="5337"/>
      <c r="E865" s="5337"/>
      <c r="F865" s="5337"/>
      <c r="G865" s="5337"/>
      <c r="H865" s="5337"/>
      <c r="I865" s="5337"/>
      <c r="J865" s="5337"/>
      <c r="K865" s="5337"/>
      <c r="L865" s="5337"/>
      <c r="M865" s="5337"/>
      <c r="N865" s="5337"/>
      <c r="O865" s="5337"/>
      <c r="P865" s="5337"/>
      <c r="Q865" s="5345"/>
      <c r="R865" s="1110"/>
      <c r="S865" s="1111"/>
      <c r="T865" s="1111"/>
      <c r="U865" s="1711"/>
      <c r="V865" s="1112"/>
      <c r="W865" s="1719"/>
      <c r="X865" s="1113"/>
      <c r="Y865" s="1113"/>
      <c r="Z865" s="1113"/>
      <c r="AA865" s="1114"/>
      <c r="AB865" s="1719"/>
      <c r="AC865" s="410"/>
      <c r="AD865" s="410"/>
      <c r="AE865" s="1308"/>
    </row>
    <row r="866" spans="1:31" ht="18" customHeight="1">
      <c r="A866" s="5629"/>
      <c r="B866" s="5573"/>
      <c r="C866" s="5337"/>
      <c r="D866" s="5337"/>
      <c r="E866" s="5337"/>
      <c r="F866" s="5337"/>
      <c r="G866" s="5337"/>
      <c r="H866" s="5337"/>
      <c r="I866" s="5337"/>
      <c r="J866" s="5337"/>
      <c r="K866" s="5337"/>
      <c r="L866" s="5337"/>
      <c r="M866" s="5337"/>
      <c r="N866" s="5337"/>
      <c r="O866" s="5337"/>
      <c r="P866" s="5337"/>
      <c r="Q866" s="5345"/>
      <c r="R866" s="1110"/>
      <c r="S866" s="1111"/>
      <c r="T866" s="1111"/>
      <c r="U866" s="1711"/>
      <c r="V866" s="1112"/>
      <c r="W866" s="1719"/>
      <c r="X866" s="1113"/>
      <c r="Y866" s="1113"/>
      <c r="Z866" s="1113"/>
      <c r="AA866" s="1114"/>
      <c r="AB866" s="1719"/>
      <c r="AC866" s="410"/>
      <c r="AD866" s="410"/>
      <c r="AE866" s="1308"/>
    </row>
    <row r="867" spans="1:31" ht="18" customHeight="1">
      <c r="A867" s="5629"/>
      <c r="B867" s="5574"/>
      <c r="C867" s="5338"/>
      <c r="D867" s="5338"/>
      <c r="E867" s="5338"/>
      <c r="F867" s="5338"/>
      <c r="G867" s="5338"/>
      <c r="H867" s="5338"/>
      <c r="I867" s="5338"/>
      <c r="J867" s="5338"/>
      <c r="K867" s="5338"/>
      <c r="L867" s="5338"/>
      <c r="M867" s="5338"/>
      <c r="N867" s="5338"/>
      <c r="O867" s="5338"/>
      <c r="P867" s="5338"/>
      <c r="Q867" s="5346"/>
      <c r="R867" s="1309"/>
      <c r="S867" s="1310"/>
      <c r="T867" s="1310"/>
      <c r="U867" s="277"/>
      <c r="V867" s="1311"/>
      <c r="W867" s="416"/>
      <c r="X867" s="1312"/>
      <c r="Y867" s="1312"/>
      <c r="Z867" s="1312"/>
      <c r="AA867" s="1313"/>
      <c r="AB867" s="416"/>
      <c r="AC867" s="278"/>
      <c r="AD867" s="278"/>
      <c r="AE867" s="1314"/>
    </row>
    <row r="868" spans="1:31" ht="18" customHeight="1">
      <c r="A868" s="5629"/>
      <c r="B868" s="5626" t="s">
        <v>272</v>
      </c>
      <c r="C868" s="5624" t="s">
        <v>302</v>
      </c>
      <c r="D868" s="5624" t="s">
        <v>303</v>
      </c>
      <c r="E868" s="5624" t="s">
        <v>304</v>
      </c>
      <c r="F868" s="5622" t="s">
        <v>305</v>
      </c>
      <c r="G868" s="5624" t="s">
        <v>240</v>
      </c>
      <c r="H868" s="5624" t="s">
        <v>257</v>
      </c>
      <c r="I868" s="5618" t="s">
        <v>3177</v>
      </c>
      <c r="J868" s="5618" t="s">
        <v>3178</v>
      </c>
      <c r="K868" s="5618" t="s">
        <v>3146</v>
      </c>
      <c r="L868" s="5619">
        <v>1</v>
      </c>
      <c r="M868" s="5619">
        <v>1</v>
      </c>
      <c r="N868" s="5619">
        <v>1</v>
      </c>
      <c r="O868" s="5618" t="s">
        <v>3179</v>
      </c>
      <c r="P868" s="5618" t="s">
        <v>3180</v>
      </c>
      <c r="Q868" s="5620" t="s">
        <v>3278</v>
      </c>
      <c r="R868" s="1110"/>
      <c r="S868" s="1111"/>
      <c r="T868" s="1111"/>
      <c r="U868" s="1711"/>
      <c r="V868" s="1112"/>
      <c r="W868" s="1719"/>
      <c r="X868" s="1113"/>
      <c r="Y868" s="1113"/>
      <c r="Z868" s="1113"/>
      <c r="AA868" s="1114"/>
      <c r="AB868" s="1719"/>
      <c r="AC868" s="410"/>
      <c r="AD868" s="410"/>
      <c r="AE868" s="1308"/>
    </row>
    <row r="869" spans="1:31" ht="18" customHeight="1">
      <c r="A869" s="5629"/>
      <c r="B869" s="5573"/>
      <c r="C869" s="5337"/>
      <c r="D869" s="5337"/>
      <c r="E869" s="5337"/>
      <c r="F869" s="5337"/>
      <c r="G869" s="5337"/>
      <c r="H869" s="5337"/>
      <c r="I869" s="5337"/>
      <c r="J869" s="5337"/>
      <c r="K869" s="5337"/>
      <c r="L869" s="5337"/>
      <c r="M869" s="5337"/>
      <c r="N869" s="5337"/>
      <c r="O869" s="5337"/>
      <c r="P869" s="5337"/>
      <c r="Q869" s="5345"/>
      <c r="R869" s="1110"/>
      <c r="S869" s="1111"/>
      <c r="T869" s="1111"/>
      <c r="U869" s="1711"/>
      <c r="V869" s="1112"/>
      <c r="W869" s="1719"/>
      <c r="X869" s="1113"/>
      <c r="Y869" s="1113"/>
      <c r="Z869" s="1113"/>
      <c r="AA869" s="1114"/>
      <c r="AB869" s="1719"/>
      <c r="AC869" s="410"/>
      <c r="AD869" s="410"/>
      <c r="AE869" s="1308"/>
    </row>
    <row r="870" spans="1:31" ht="18" customHeight="1">
      <c r="A870" s="5629"/>
      <c r="B870" s="5573"/>
      <c r="C870" s="5337"/>
      <c r="D870" s="5337"/>
      <c r="E870" s="5337"/>
      <c r="F870" s="5337"/>
      <c r="G870" s="5337"/>
      <c r="H870" s="5337"/>
      <c r="I870" s="5337"/>
      <c r="J870" s="5337"/>
      <c r="K870" s="5337"/>
      <c r="L870" s="5337"/>
      <c r="M870" s="5337"/>
      <c r="N870" s="5337"/>
      <c r="O870" s="5337"/>
      <c r="P870" s="5337"/>
      <c r="Q870" s="5345"/>
      <c r="R870" s="1110"/>
      <c r="S870" s="1111"/>
      <c r="T870" s="1111"/>
      <c r="U870" s="1711"/>
      <c r="V870" s="1112"/>
      <c r="W870" s="1719"/>
      <c r="X870" s="1113"/>
      <c r="Y870" s="1113"/>
      <c r="Z870" s="1113"/>
      <c r="AA870" s="1114"/>
      <c r="AB870" s="1719"/>
      <c r="AC870" s="410"/>
      <c r="AD870" s="410"/>
      <c r="AE870" s="1308"/>
    </row>
    <row r="871" spans="1:31" ht="18" customHeight="1">
      <c r="A871" s="5629"/>
      <c r="B871" s="5573"/>
      <c r="C871" s="5337"/>
      <c r="D871" s="5337"/>
      <c r="E871" s="5337"/>
      <c r="F871" s="5337"/>
      <c r="G871" s="5337"/>
      <c r="H871" s="5337"/>
      <c r="I871" s="5337"/>
      <c r="J871" s="5337"/>
      <c r="K871" s="5337"/>
      <c r="L871" s="5337"/>
      <c r="M871" s="5337"/>
      <c r="N871" s="5337"/>
      <c r="O871" s="5337"/>
      <c r="P871" s="5337"/>
      <c r="Q871" s="5345"/>
      <c r="R871" s="1110"/>
      <c r="S871" s="1111"/>
      <c r="T871" s="1111"/>
      <c r="U871" s="1711"/>
      <c r="V871" s="1112"/>
      <c r="W871" s="1719"/>
      <c r="X871" s="1113"/>
      <c r="Y871" s="1113"/>
      <c r="Z871" s="1113"/>
      <c r="AA871" s="1114"/>
      <c r="AB871" s="1719"/>
      <c r="AC871" s="410"/>
      <c r="AD871" s="410"/>
      <c r="AE871" s="1308"/>
    </row>
    <row r="872" spans="1:31" ht="18" customHeight="1">
      <c r="A872" s="5629"/>
      <c r="B872" s="5574"/>
      <c r="C872" s="5338"/>
      <c r="D872" s="5338"/>
      <c r="E872" s="5338"/>
      <c r="F872" s="5338"/>
      <c r="G872" s="5338"/>
      <c r="H872" s="5338"/>
      <c r="I872" s="5338"/>
      <c r="J872" s="5338"/>
      <c r="K872" s="5338"/>
      <c r="L872" s="5338"/>
      <c r="M872" s="5338"/>
      <c r="N872" s="5338"/>
      <c r="O872" s="5338"/>
      <c r="P872" s="5338"/>
      <c r="Q872" s="5346"/>
      <c r="R872" s="1309"/>
      <c r="S872" s="1310"/>
      <c r="T872" s="1310"/>
      <c r="U872" s="277"/>
      <c r="V872" s="1311"/>
      <c r="W872" s="416"/>
      <c r="X872" s="1312"/>
      <c r="Y872" s="1312"/>
      <c r="Z872" s="1312"/>
      <c r="AA872" s="1313"/>
      <c r="AB872" s="416"/>
      <c r="AC872" s="278"/>
      <c r="AD872" s="278"/>
      <c r="AE872" s="1314"/>
    </row>
    <row r="873" spans="1:31" ht="18" customHeight="1">
      <c r="A873" s="5629"/>
      <c r="B873" s="5626" t="s">
        <v>272</v>
      </c>
      <c r="C873" s="5624" t="s">
        <v>302</v>
      </c>
      <c r="D873" s="5624" t="s">
        <v>303</v>
      </c>
      <c r="E873" s="5624" t="s">
        <v>304</v>
      </c>
      <c r="F873" s="5622" t="s">
        <v>305</v>
      </c>
      <c r="G873" s="5624" t="s">
        <v>240</v>
      </c>
      <c r="H873" s="5624" t="s">
        <v>257</v>
      </c>
      <c r="I873" s="5618" t="s">
        <v>3181</v>
      </c>
      <c r="J873" s="5618" t="s">
        <v>3182</v>
      </c>
      <c r="K873" s="5618" t="s">
        <v>3173</v>
      </c>
      <c r="L873" s="5619">
        <v>0</v>
      </c>
      <c r="M873" s="5619">
        <v>1</v>
      </c>
      <c r="N873" s="5619">
        <v>1</v>
      </c>
      <c r="O873" s="5618" t="s">
        <v>3183</v>
      </c>
      <c r="P873" s="5618" t="s">
        <v>3184</v>
      </c>
      <c r="Q873" s="5620" t="s">
        <v>3278</v>
      </c>
      <c r="R873" s="1110"/>
      <c r="S873" s="1111"/>
      <c r="T873" s="1111"/>
      <c r="U873" s="1711"/>
      <c r="V873" s="1112"/>
      <c r="W873" s="1719"/>
      <c r="X873" s="1113"/>
      <c r="Y873" s="1113"/>
      <c r="Z873" s="1113"/>
      <c r="AA873" s="1114"/>
      <c r="AB873" s="1719"/>
      <c r="AC873" s="410"/>
      <c r="AD873" s="410"/>
      <c r="AE873" s="1308"/>
    </row>
    <row r="874" spans="1:31" ht="18" customHeight="1">
      <c r="A874" s="5629"/>
      <c r="B874" s="5573"/>
      <c r="C874" s="5337"/>
      <c r="D874" s="5337"/>
      <c r="E874" s="5337"/>
      <c r="F874" s="5337"/>
      <c r="G874" s="5337"/>
      <c r="H874" s="5337"/>
      <c r="I874" s="5337"/>
      <c r="J874" s="5337"/>
      <c r="K874" s="5337"/>
      <c r="L874" s="5337"/>
      <c r="M874" s="5337"/>
      <c r="N874" s="5337"/>
      <c r="O874" s="5337"/>
      <c r="P874" s="5337"/>
      <c r="Q874" s="5345"/>
      <c r="R874" s="1110"/>
      <c r="S874" s="1111"/>
      <c r="T874" s="1111"/>
      <c r="U874" s="1711"/>
      <c r="V874" s="1112"/>
      <c r="W874" s="1719"/>
      <c r="X874" s="1113"/>
      <c r="Y874" s="1113"/>
      <c r="Z874" s="1113"/>
      <c r="AA874" s="1114"/>
      <c r="AB874" s="1719"/>
      <c r="AC874" s="410"/>
      <c r="AD874" s="410"/>
      <c r="AE874" s="1308"/>
    </row>
    <row r="875" spans="1:31" ht="18" customHeight="1">
      <c r="A875" s="5629"/>
      <c r="B875" s="5573"/>
      <c r="C875" s="5337"/>
      <c r="D875" s="5337"/>
      <c r="E875" s="5337"/>
      <c r="F875" s="5337"/>
      <c r="G875" s="5337"/>
      <c r="H875" s="5337"/>
      <c r="I875" s="5337"/>
      <c r="J875" s="5337"/>
      <c r="K875" s="5337"/>
      <c r="L875" s="5337"/>
      <c r="M875" s="5337"/>
      <c r="N875" s="5337"/>
      <c r="O875" s="5337"/>
      <c r="P875" s="5337"/>
      <c r="Q875" s="5345"/>
      <c r="R875" s="1110"/>
      <c r="S875" s="1111"/>
      <c r="T875" s="1111"/>
      <c r="U875" s="1711"/>
      <c r="V875" s="1112"/>
      <c r="W875" s="1719"/>
      <c r="X875" s="1113"/>
      <c r="Y875" s="1113"/>
      <c r="Z875" s="1113"/>
      <c r="AA875" s="1114"/>
      <c r="AB875" s="1719"/>
      <c r="AC875" s="410"/>
      <c r="AD875" s="410"/>
      <c r="AE875" s="1308"/>
    </row>
    <row r="876" spans="1:31" ht="18" customHeight="1">
      <c r="A876" s="5629"/>
      <c r="B876" s="5573"/>
      <c r="C876" s="5337"/>
      <c r="D876" s="5337"/>
      <c r="E876" s="5337"/>
      <c r="F876" s="5337"/>
      <c r="G876" s="5337"/>
      <c r="H876" s="5337"/>
      <c r="I876" s="5337"/>
      <c r="J876" s="5337"/>
      <c r="K876" s="5337"/>
      <c r="L876" s="5337"/>
      <c r="M876" s="5337"/>
      <c r="N876" s="5337"/>
      <c r="O876" s="5337"/>
      <c r="P876" s="5337"/>
      <c r="Q876" s="5345"/>
      <c r="R876" s="1110"/>
      <c r="S876" s="1111"/>
      <c r="T876" s="1111"/>
      <c r="U876" s="1711"/>
      <c r="V876" s="1112"/>
      <c r="W876" s="1719"/>
      <c r="X876" s="1113"/>
      <c r="Y876" s="1113"/>
      <c r="Z876" s="1113"/>
      <c r="AA876" s="1114"/>
      <c r="AB876" s="1719"/>
      <c r="AC876" s="410"/>
      <c r="AD876" s="410"/>
      <c r="AE876" s="1308"/>
    </row>
    <row r="877" spans="1:31" ht="18" customHeight="1">
      <c r="A877" s="5629"/>
      <c r="B877" s="5574"/>
      <c r="C877" s="5338"/>
      <c r="D877" s="5338"/>
      <c r="E877" s="5338"/>
      <c r="F877" s="5338"/>
      <c r="G877" s="5338"/>
      <c r="H877" s="5338"/>
      <c r="I877" s="5338"/>
      <c r="J877" s="5338"/>
      <c r="K877" s="5338"/>
      <c r="L877" s="5338"/>
      <c r="M877" s="5338"/>
      <c r="N877" s="5338"/>
      <c r="O877" s="5338"/>
      <c r="P877" s="5338"/>
      <c r="Q877" s="5346"/>
      <c r="R877" s="1309"/>
      <c r="S877" s="1310"/>
      <c r="T877" s="1310"/>
      <c r="U877" s="277"/>
      <c r="V877" s="1311"/>
      <c r="W877" s="416"/>
      <c r="X877" s="1312"/>
      <c r="Y877" s="1312"/>
      <c r="Z877" s="1312"/>
      <c r="AA877" s="1313"/>
      <c r="AB877" s="416"/>
      <c r="AC877" s="278"/>
      <c r="AD877" s="278"/>
      <c r="AE877" s="1314"/>
    </row>
    <row r="878" spans="1:31" ht="18" customHeight="1">
      <c r="A878" s="5629"/>
      <c r="B878" s="5627" t="s">
        <v>235</v>
      </c>
      <c r="C878" s="5347" t="s">
        <v>236</v>
      </c>
      <c r="D878" s="5347" t="s">
        <v>237</v>
      </c>
      <c r="E878" s="5347" t="s">
        <v>255</v>
      </c>
      <c r="F878" s="5353" t="s">
        <v>239</v>
      </c>
      <c r="G878" s="5336" t="s">
        <v>240</v>
      </c>
      <c r="H878" s="5336" t="s">
        <v>257</v>
      </c>
      <c r="I878" s="5618" t="s">
        <v>3185</v>
      </c>
      <c r="J878" s="5618" t="s">
        <v>3186</v>
      </c>
      <c r="K878" s="5618" t="s">
        <v>3187</v>
      </c>
      <c r="L878" s="5619">
        <v>1</v>
      </c>
      <c r="M878" s="5619">
        <v>1</v>
      </c>
      <c r="N878" s="5619">
        <v>1</v>
      </c>
      <c r="O878" s="5618" t="s">
        <v>3188</v>
      </c>
      <c r="P878" s="5618" t="s">
        <v>3189</v>
      </c>
      <c r="Q878" s="5620" t="s">
        <v>3276</v>
      </c>
      <c r="R878" s="1110"/>
      <c r="S878" s="1111"/>
      <c r="T878" s="1111"/>
      <c r="U878" s="1711"/>
      <c r="V878" s="1112"/>
      <c r="W878" s="1719"/>
      <c r="X878" s="1113"/>
      <c r="Y878" s="1113"/>
      <c r="Z878" s="1113"/>
      <c r="AA878" s="1114"/>
      <c r="AB878" s="1719"/>
      <c r="AC878" s="410"/>
      <c r="AD878" s="410"/>
      <c r="AE878" s="1308"/>
    </row>
    <row r="879" spans="1:31" ht="18" customHeight="1">
      <c r="A879" s="5629"/>
      <c r="B879" s="5573"/>
      <c r="C879" s="5337"/>
      <c r="D879" s="5337"/>
      <c r="E879" s="5337"/>
      <c r="F879" s="5337"/>
      <c r="G879" s="5337"/>
      <c r="H879" s="5337"/>
      <c r="I879" s="5337"/>
      <c r="J879" s="5337"/>
      <c r="K879" s="5337"/>
      <c r="L879" s="5337"/>
      <c r="M879" s="5337"/>
      <c r="N879" s="5337"/>
      <c r="O879" s="5337"/>
      <c r="P879" s="5337"/>
      <c r="Q879" s="5345"/>
      <c r="R879" s="1110"/>
      <c r="S879" s="1111"/>
      <c r="T879" s="1111"/>
      <c r="U879" s="1711"/>
      <c r="V879" s="1112"/>
      <c r="W879" s="1719"/>
      <c r="X879" s="1113"/>
      <c r="Y879" s="1113"/>
      <c r="Z879" s="1113"/>
      <c r="AA879" s="1114"/>
      <c r="AB879" s="1719"/>
      <c r="AC879" s="410"/>
      <c r="AD879" s="410"/>
      <c r="AE879" s="1308"/>
    </row>
    <row r="880" spans="1:31" ht="18" customHeight="1">
      <c r="A880" s="5629"/>
      <c r="B880" s="5573"/>
      <c r="C880" s="5337"/>
      <c r="D880" s="5337"/>
      <c r="E880" s="5337"/>
      <c r="F880" s="5337"/>
      <c r="G880" s="5337"/>
      <c r="H880" s="5337"/>
      <c r="I880" s="5337"/>
      <c r="J880" s="5337"/>
      <c r="K880" s="5337"/>
      <c r="L880" s="5337"/>
      <c r="M880" s="5337"/>
      <c r="N880" s="5337"/>
      <c r="O880" s="5337"/>
      <c r="P880" s="5337"/>
      <c r="Q880" s="5345"/>
      <c r="R880" s="1110"/>
      <c r="S880" s="1111"/>
      <c r="T880" s="1111"/>
      <c r="U880" s="1711"/>
      <c r="V880" s="1112"/>
      <c r="W880" s="1719"/>
      <c r="X880" s="1113"/>
      <c r="Y880" s="1113"/>
      <c r="Z880" s="1113"/>
      <c r="AA880" s="1114"/>
      <c r="AB880" s="1719"/>
      <c r="AC880" s="410"/>
      <c r="AD880" s="410"/>
      <c r="AE880" s="1308"/>
    </row>
    <row r="881" spans="1:31" ht="18" customHeight="1">
      <c r="A881" s="5629"/>
      <c r="B881" s="5573"/>
      <c r="C881" s="5337"/>
      <c r="D881" s="5337"/>
      <c r="E881" s="5337"/>
      <c r="F881" s="5337"/>
      <c r="G881" s="5337"/>
      <c r="H881" s="5337"/>
      <c r="I881" s="5337"/>
      <c r="J881" s="5337"/>
      <c r="K881" s="5337"/>
      <c r="L881" s="5337"/>
      <c r="M881" s="5337"/>
      <c r="N881" s="5337"/>
      <c r="O881" s="5337"/>
      <c r="P881" s="5337"/>
      <c r="Q881" s="5345"/>
      <c r="R881" s="1110"/>
      <c r="S881" s="1111"/>
      <c r="T881" s="1111"/>
      <c r="U881" s="1711"/>
      <c r="V881" s="1112"/>
      <c r="W881" s="1719"/>
      <c r="X881" s="1113"/>
      <c r="Y881" s="1113"/>
      <c r="Z881" s="1113"/>
      <c r="AA881" s="1114"/>
      <c r="AB881" s="1719"/>
      <c r="AC881" s="410"/>
      <c r="AD881" s="410"/>
      <c r="AE881" s="1308"/>
    </row>
    <row r="882" spans="1:31" ht="18" customHeight="1">
      <c r="A882" s="5629"/>
      <c r="B882" s="5574"/>
      <c r="C882" s="5338"/>
      <c r="D882" s="5338"/>
      <c r="E882" s="5338"/>
      <c r="F882" s="5338"/>
      <c r="G882" s="5338"/>
      <c r="H882" s="5338"/>
      <c r="I882" s="5338"/>
      <c r="J882" s="5338"/>
      <c r="K882" s="5338"/>
      <c r="L882" s="5338"/>
      <c r="M882" s="5338"/>
      <c r="N882" s="5338"/>
      <c r="O882" s="5338"/>
      <c r="P882" s="5338"/>
      <c r="Q882" s="5346"/>
      <c r="R882" s="1309"/>
      <c r="S882" s="1310"/>
      <c r="T882" s="1310"/>
      <c r="U882" s="277"/>
      <c r="V882" s="1311"/>
      <c r="W882" s="416"/>
      <c r="X882" s="1312"/>
      <c r="Y882" s="1312"/>
      <c r="Z882" s="1312"/>
      <c r="AA882" s="1313"/>
      <c r="AB882" s="416"/>
      <c r="AC882" s="278"/>
      <c r="AD882" s="278"/>
      <c r="AE882" s="1314"/>
    </row>
    <row r="883" spans="1:31" ht="18" customHeight="1">
      <c r="A883" s="5629"/>
      <c r="B883" s="5626" t="s">
        <v>272</v>
      </c>
      <c r="C883" s="5624" t="s">
        <v>302</v>
      </c>
      <c r="D883" s="5624" t="s">
        <v>303</v>
      </c>
      <c r="E883" s="5624" t="s">
        <v>304</v>
      </c>
      <c r="F883" s="5622" t="s">
        <v>305</v>
      </c>
      <c r="G883" s="5624" t="s">
        <v>240</v>
      </c>
      <c r="H883" s="5624" t="s">
        <v>257</v>
      </c>
      <c r="I883" s="5618" t="s">
        <v>3190</v>
      </c>
      <c r="J883" s="5618" t="s">
        <v>3191</v>
      </c>
      <c r="K883" s="5618" t="s">
        <v>2995</v>
      </c>
      <c r="L883" s="5619">
        <v>0</v>
      </c>
      <c r="M883" s="5619">
        <v>1</v>
      </c>
      <c r="N883" s="5619">
        <v>0</v>
      </c>
      <c r="O883" s="5618" t="s">
        <v>2996</v>
      </c>
      <c r="P883" s="5618" t="s">
        <v>2997</v>
      </c>
      <c r="Q883" s="5620" t="s">
        <v>3278</v>
      </c>
      <c r="R883" s="1110"/>
      <c r="S883" s="1111"/>
      <c r="T883" s="1111"/>
      <c r="U883" s="1711"/>
      <c r="V883" s="1112"/>
      <c r="W883" s="1719"/>
      <c r="X883" s="1113"/>
      <c r="Y883" s="1113"/>
      <c r="Z883" s="1113"/>
      <c r="AA883" s="1114"/>
      <c r="AB883" s="1719"/>
      <c r="AC883" s="410"/>
      <c r="AD883" s="410"/>
      <c r="AE883" s="1308"/>
    </row>
    <row r="884" spans="1:31" ht="18" customHeight="1">
      <c r="A884" s="5629"/>
      <c r="B884" s="5573"/>
      <c r="C884" s="5337"/>
      <c r="D884" s="5337"/>
      <c r="E884" s="5337"/>
      <c r="F884" s="5337"/>
      <c r="G884" s="5337"/>
      <c r="H884" s="5337"/>
      <c r="I884" s="5337"/>
      <c r="J884" s="5337"/>
      <c r="K884" s="5337"/>
      <c r="L884" s="5337"/>
      <c r="M884" s="5337"/>
      <c r="N884" s="5337"/>
      <c r="O884" s="5337"/>
      <c r="P884" s="5337"/>
      <c r="Q884" s="5345"/>
      <c r="R884" s="1110"/>
      <c r="S884" s="1111"/>
      <c r="T884" s="1111"/>
      <c r="U884" s="1711"/>
      <c r="V884" s="1112"/>
      <c r="W884" s="1719"/>
      <c r="X884" s="1113"/>
      <c r="Y884" s="1113"/>
      <c r="Z884" s="1113"/>
      <c r="AA884" s="1114"/>
      <c r="AB884" s="1719"/>
      <c r="AC884" s="410"/>
      <c r="AD884" s="410"/>
      <c r="AE884" s="1308"/>
    </row>
    <row r="885" spans="1:31" ht="18" customHeight="1">
      <c r="A885" s="5629"/>
      <c r="B885" s="5573"/>
      <c r="C885" s="5337"/>
      <c r="D885" s="5337"/>
      <c r="E885" s="5337"/>
      <c r="F885" s="5337"/>
      <c r="G885" s="5337"/>
      <c r="H885" s="5337"/>
      <c r="I885" s="5337"/>
      <c r="J885" s="5337"/>
      <c r="K885" s="5337"/>
      <c r="L885" s="5337"/>
      <c r="M885" s="5337"/>
      <c r="N885" s="5337"/>
      <c r="O885" s="5337"/>
      <c r="P885" s="5337"/>
      <c r="Q885" s="5345"/>
      <c r="R885" s="1110"/>
      <c r="S885" s="1111"/>
      <c r="T885" s="1111"/>
      <c r="U885" s="1711"/>
      <c r="V885" s="1112"/>
      <c r="W885" s="1719"/>
      <c r="X885" s="1113"/>
      <c r="Y885" s="1113"/>
      <c r="Z885" s="1113"/>
      <c r="AA885" s="1114"/>
      <c r="AB885" s="1719"/>
      <c r="AC885" s="410"/>
      <c r="AD885" s="410"/>
      <c r="AE885" s="1308"/>
    </row>
    <row r="886" spans="1:31" ht="18" customHeight="1">
      <c r="A886" s="5629"/>
      <c r="B886" s="5573"/>
      <c r="C886" s="5337"/>
      <c r="D886" s="5337"/>
      <c r="E886" s="5337"/>
      <c r="F886" s="5337"/>
      <c r="G886" s="5337"/>
      <c r="H886" s="5337"/>
      <c r="I886" s="5337"/>
      <c r="J886" s="5337"/>
      <c r="K886" s="5337"/>
      <c r="L886" s="5337"/>
      <c r="M886" s="5337"/>
      <c r="N886" s="5337"/>
      <c r="O886" s="5337"/>
      <c r="P886" s="5337"/>
      <c r="Q886" s="5345"/>
      <c r="R886" s="1110"/>
      <c r="S886" s="1111"/>
      <c r="T886" s="1111"/>
      <c r="U886" s="1711"/>
      <c r="V886" s="1112"/>
      <c r="W886" s="1719"/>
      <c r="X886" s="1113"/>
      <c r="Y886" s="1113"/>
      <c r="Z886" s="1113"/>
      <c r="AA886" s="1114"/>
      <c r="AB886" s="1719"/>
      <c r="AC886" s="410"/>
      <c r="AD886" s="410"/>
      <c r="AE886" s="1308"/>
    </row>
    <row r="887" spans="1:31" ht="18" customHeight="1">
      <c r="A887" s="5629"/>
      <c r="B887" s="5574"/>
      <c r="C887" s="5338"/>
      <c r="D887" s="5338"/>
      <c r="E887" s="5338"/>
      <c r="F887" s="5338"/>
      <c r="G887" s="5338"/>
      <c r="H887" s="5338"/>
      <c r="I887" s="5338"/>
      <c r="J887" s="5338"/>
      <c r="K887" s="5338"/>
      <c r="L887" s="5338"/>
      <c r="M887" s="5338"/>
      <c r="N887" s="5338"/>
      <c r="O887" s="5338"/>
      <c r="P887" s="5338"/>
      <c r="Q887" s="5346"/>
      <c r="R887" s="1309"/>
      <c r="S887" s="1310"/>
      <c r="T887" s="1310"/>
      <c r="U887" s="277"/>
      <c r="V887" s="1311"/>
      <c r="W887" s="416"/>
      <c r="X887" s="1312"/>
      <c r="Y887" s="1312"/>
      <c r="Z887" s="1312"/>
      <c r="AA887" s="1313"/>
      <c r="AB887" s="416"/>
      <c r="AC887" s="278"/>
      <c r="AD887" s="278"/>
      <c r="AE887" s="1314"/>
    </row>
    <row r="888" spans="1:31" ht="18" customHeight="1">
      <c r="A888" s="5629"/>
      <c r="B888" s="5626" t="s">
        <v>272</v>
      </c>
      <c r="C888" s="5624" t="s">
        <v>302</v>
      </c>
      <c r="D888" s="5624" t="s">
        <v>303</v>
      </c>
      <c r="E888" s="5624" t="s">
        <v>304</v>
      </c>
      <c r="F888" s="5622" t="s">
        <v>305</v>
      </c>
      <c r="G888" s="5336" t="s">
        <v>262</v>
      </c>
      <c r="H888" s="5336" t="s">
        <v>241</v>
      </c>
      <c r="I888" s="5336" t="s">
        <v>3192</v>
      </c>
      <c r="J888" s="5623" t="s">
        <v>3193</v>
      </c>
      <c r="K888" s="5336" t="s">
        <v>3146</v>
      </c>
      <c r="L888" s="5343">
        <v>1</v>
      </c>
      <c r="M888" s="5399">
        <v>1</v>
      </c>
      <c r="N888" s="5343">
        <v>1</v>
      </c>
      <c r="O888" s="5336" t="s">
        <v>3194</v>
      </c>
      <c r="P888" s="5336" t="s">
        <v>3195</v>
      </c>
      <c r="Q888" s="5370" t="s">
        <v>3279</v>
      </c>
      <c r="R888" s="970"/>
      <c r="S888" s="967"/>
      <c r="T888" s="967"/>
      <c r="U888" s="176"/>
      <c r="V888" s="968"/>
      <c r="W888" s="414"/>
      <c r="X888" s="973"/>
      <c r="Y888" s="973"/>
      <c r="Z888" s="973"/>
      <c r="AA888" s="981"/>
      <c r="AB888" s="414"/>
      <c r="AC888" s="174"/>
      <c r="AD888" s="174"/>
      <c r="AE888" s="5415"/>
    </row>
    <row r="889" spans="1:31" ht="18" customHeight="1">
      <c r="A889" s="5629"/>
      <c r="B889" s="5573"/>
      <c r="C889" s="5337"/>
      <c r="D889" s="5337"/>
      <c r="E889" s="5337"/>
      <c r="F889" s="5337"/>
      <c r="G889" s="5337"/>
      <c r="H889" s="5337"/>
      <c r="I889" s="5337"/>
      <c r="J889" s="5337"/>
      <c r="K889" s="5337"/>
      <c r="L889" s="5337"/>
      <c r="M889" s="5337"/>
      <c r="N889" s="5337"/>
      <c r="O889" s="5337"/>
      <c r="P889" s="5337"/>
      <c r="Q889" s="5345"/>
      <c r="R889" s="982"/>
      <c r="S889" s="983"/>
      <c r="T889" s="983"/>
      <c r="U889" s="169"/>
      <c r="V889" s="984"/>
      <c r="W889" s="170"/>
      <c r="X889" s="974"/>
      <c r="Y889" s="974">
        <f t="shared" ref="Y889:Y892" si="146">+V889*X889</f>
        <v>0</v>
      </c>
      <c r="Z889" s="974">
        <f t="shared" ref="Z889:Z892" si="147">+Y889*1.12</f>
        <v>0</v>
      </c>
      <c r="AA889" s="969"/>
      <c r="AB889" s="170"/>
      <c r="AC889" s="282"/>
      <c r="AD889" s="282"/>
      <c r="AE889" s="5416"/>
    </row>
    <row r="890" spans="1:31" ht="18" customHeight="1">
      <c r="A890" s="5629"/>
      <c r="B890" s="5573"/>
      <c r="C890" s="5337"/>
      <c r="D890" s="5337"/>
      <c r="E890" s="5337"/>
      <c r="F890" s="5337"/>
      <c r="G890" s="5337"/>
      <c r="H890" s="5337"/>
      <c r="I890" s="5337"/>
      <c r="J890" s="5337"/>
      <c r="K890" s="5337"/>
      <c r="L890" s="5337"/>
      <c r="M890" s="5337"/>
      <c r="N890" s="5337"/>
      <c r="O890" s="5337"/>
      <c r="P890" s="5337"/>
      <c r="Q890" s="5345"/>
      <c r="R890" s="971"/>
      <c r="S890" s="972"/>
      <c r="T890" s="972"/>
      <c r="U890" s="1217"/>
      <c r="V890" s="968"/>
      <c r="W890" s="414"/>
      <c r="X890" s="973"/>
      <c r="Y890" s="974">
        <f t="shared" si="146"/>
        <v>0</v>
      </c>
      <c r="Z890" s="974">
        <f t="shared" si="147"/>
        <v>0</v>
      </c>
      <c r="AA890" s="969"/>
      <c r="AB890" s="170"/>
      <c r="AC890" s="282"/>
      <c r="AD890" s="282"/>
      <c r="AE890" s="5416"/>
    </row>
    <row r="891" spans="1:31" ht="18" customHeight="1">
      <c r="A891" s="5629"/>
      <c r="B891" s="5573"/>
      <c r="C891" s="5337"/>
      <c r="D891" s="5337"/>
      <c r="E891" s="5337"/>
      <c r="F891" s="5337"/>
      <c r="G891" s="5337"/>
      <c r="H891" s="5337"/>
      <c r="I891" s="5337"/>
      <c r="J891" s="5337"/>
      <c r="K891" s="5337"/>
      <c r="L891" s="5337"/>
      <c r="M891" s="5337"/>
      <c r="N891" s="5337"/>
      <c r="O891" s="5337"/>
      <c r="P891" s="5337"/>
      <c r="Q891" s="5345"/>
      <c r="R891" s="970"/>
      <c r="S891" s="967"/>
      <c r="T891" s="967"/>
      <c r="U891" s="1217"/>
      <c r="V891" s="968"/>
      <c r="W891" s="414"/>
      <c r="X891" s="973"/>
      <c r="Y891" s="974">
        <f t="shared" si="146"/>
        <v>0</v>
      </c>
      <c r="Z891" s="974">
        <f t="shared" si="147"/>
        <v>0</v>
      </c>
      <c r="AA891" s="969"/>
      <c r="AB891" s="170"/>
      <c r="AC891" s="282"/>
      <c r="AD891" s="282"/>
      <c r="AE891" s="5416"/>
    </row>
    <row r="892" spans="1:31" ht="18" customHeight="1">
      <c r="A892" s="5629"/>
      <c r="B892" s="5574"/>
      <c r="C892" s="5338"/>
      <c r="D892" s="5338"/>
      <c r="E892" s="5338"/>
      <c r="F892" s="5338"/>
      <c r="G892" s="5338"/>
      <c r="H892" s="5338"/>
      <c r="I892" s="5338"/>
      <c r="J892" s="5338"/>
      <c r="K892" s="5338"/>
      <c r="L892" s="5338"/>
      <c r="M892" s="5338"/>
      <c r="N892" s="5338"/>
      <c r="O892" s="5338"/>
      <c r="P892" s="5338"/>
      <c r="Q892" s="5346"/>
      <c r="R892" s="975"/>
      <c r="S892" s="976"/>
      <c r="T892" s="976"/>
      <c r="U892" s="411"/>
      <c r="V892" s="977"/>
      <c r="W892" s="165"/>
      <c r="X892" s="978"/>
      <c r="Y892" s="978">
        <f t="shared" si="146"/>
        <v>0</v>
      </c>
      <c r="Z892" s="978">
        <f t="shared" si="147"/>
        <v>0</v>
      </c>
      <c r="AA892" s="979"/>
      <c r="AB892" s="165"/>
      <c r="AC892" s="166"/>
      <c r="AD892" s="166"/>
      <c r="AE892" s="5417"/>
    </row>
    <row r="893" spans="1:31" ht="18" customHeight="1">
      <c r="A893" s="5629"/>
      <c r="B893" s="5572" t="s">
        <v>235</v>
      </c>
      <c r="C893" s="5336" t="s">
        <v>236</v>
      </c>
      <c r="D893" s="5336" t="s">
        <v>237</v>
      </c>
      <c r="E893" s="5336" t="s">
        <v>255</v>
      </c>
      <c r="F893" s="5341" t="s">
        <v>239</v>
      </c>
      <c r="G893" s="5336" t="s">
        <v>240</v>
      </c>
      <c r="H893" s="5336" t="s">
        <v>257</v>
      </c>
      <c r="I893" s="5336" t="s">
        <v>3197</v>
      </c>
      <c r="J893" s="5623" t="s">
        <v>3198</v>
      </c>
      <c r="K893" s="5336" t="s">
        <v>3012</v>
      </c>
      <c r="L893" s="5399">
        <v>3</v>
      </c>
      <c r="M893" s="5399">
        <v>4</v>
      </c>
      <c r="N893" s="5399">
        <v>3</v>
      </c>
      <c r="O893" s="5336" t="s">
        <v>3199</v>
      </c>
      <c r="P893" s="5336" t="s">
        <v>3200</v>
      </c>
      <c r="Q893" s="5370" t="s">
        <v>3276</v>
      </c>
      <c r="R893" s="970"/>
      <c r="S893" s="967"/>
      <c r="T893" s="967"/>
      <c r="U893" s="176"/>
      <c r="V893" s="968"/>
      <c r="W893" s="414"/>
      <c r="X893" s="973"/>
      <c r="Y893" s="973"/>
      <c r="Z893" s="973"/>
      <c r="AA893" s="981"/>
      <c r="AB893" s="414"/>
      <c r="AC893" s="174"/>
      <c r="AD893" s="174"/>
      <c r="AE893" s="5415"/>
    </row>
    <row r="894" spans="1:31" ht="18" customHeight="1">
      <c r="A894" s="5629"/>
      <c r="B894" s="5573"/>
      <c r="C894" s="5337"/>
      <c r="D894" s="5337"/>
      <c r="E894" s="5337"/>
      <c r="F894" s="5337"/>
      <c r="G894" s="5337"/>
      <c r="H894" s="5337"/>
      <c r="I894" s="5337"/>
      <c r="J894" s="5337"/>
      <c r="K894" s="5337"/>
      <c r="L894" s="5337"/>
      <c r="M894" s="5337"/>
      <c r="N894" s="5337"/>
      <c r="O894" s="5337"/>
      <c r="P894" s="5337"/>
      <c r="Q894" s="5345"/>
      <c r="R894" s="982"/>
      <c r="S894" s="983"/>
      <c r="T894" s="983"/>
      <c r="U894" s="169"/>
      <c r="V894" s="984"/>
      <c r="W894" s="170"/>
      <c r="X894" s="974"/>
      <c r="Y894" s="974">
        <f t="shared" ref="Y894:Y897" si="148">+V894*X894</f>
        <v>0</v>
      </c>
      <c r="Z894" s="974">
        <f t="shared" ref="Z894:Z897" si="149">+Y894*1.12</f>
        <v>0</v>
      </c>
      <c r="AA894" s="969"/>
      <c r="AB894" s="170"/>
      <c r="AC894" s="282"/>
      <c r="AD894" s="282"/>
      <c r="AE894" s="5416"/>
    </row>
    <row r="895" spans="1:31" ht="18" customHeight="1">
      <c r="A895" s="5629"/>
      <c r="B895" s="5573"/>
      <c r="C895" s="5337"/>
      <c r="D895" s="5337"/>
      <c r="E895" s="5337"/>
      <c r="F895" s="5337"/>
      <c r="G895" s="5337"/>
      <c r="H895" s="5337"/>
      <c r="I895" s="5337"/>
      <c r="J895" s="5337"/>
      <c r="K895" s="5337"/>
      <c r="L895" s="5337"/>
      <c r="M895" s="5337"/>
      <c r="N895" s="5337"/>
      <c r="O895" s="5337"/>
      <c r="P895" s="5337"/>
      <c r="Q895" s="5345"/>
      <c r="R895" s="971"/>
      <c r="S895" s="972"/>
      <c r="T895" s="972"/>
      <c r="U895" s="1217"/>
      <c r="V895" s="968"/>
      <c r="W895" s="414"/>
      <c r="X895" s="973"/>
      <c r="Y895" s="974">
        <f t="shared" si="148"/>
        <v>0</v>
      </c>
      <c r="Z895" s="974">
        <f t="shared" si="149"/>
        <v>0</v>
      </c>
      <c r="AA895" s="969"/>
      <c r="AB895" s="170"/>
      <c r="AC895" s="282"/>
      <c r="AD895" s="282"/>
      <c r="AE895" s="5416"/>
    </row>
    <row r="896" spans="1:31" ht="18" customHeight="1">
      <c r="A896" s="5629"/>
      <c r="B896" s="5573"/>
      <c r="C896" s="5337"/>
      <c r="D896" s="5337"/>
      <c r="E896" s="5337"/>
      <c r="F896" s="5337"/>
      <c r="G896" s="5337"/>
      <c r="H896" s="5337"/>
      <c r="I896" s="5337"/>
      <c r="J896" s="5337"/>
      <c r="K896" s="5337"/>
      <c r="L896" s="5337"/>
      <c r="M896" s="5337"/>
      <c r="N896" s="5337"/>
      <c r="O896" s="5337"/>
      <c r="P896" s="5337"/>
      <c r="Q896" s="5345"/>
      <c r="R896" s="970"/>
      <c r="S896" s="967"/>
      <c r="T896" s="967"/>
      <c r="U896" s="1217"/>
      <c r="V896" s="968"/>
      <c r="W896" s="414"/>
      <c r="X896" s="973"/>
      <c r="Y896" s="974">
        <f t="shared" si="148"/>
        <v>0</v>
      </c>
      <c r="Z896" s="974">
        <f t="shared" si="149"/>
        <v>0</v>
      </c>
      <c r="AA896" s="969"/>
      <c r="AB896" s="170"/>
      <c r="AC896" s="282"/>
      <c r="AD896" s="282"/>
      <c r="AE896" s="5416"/>
    </row>
    <row r="897" spans="1:31" ht="18" customHeight="1">
      <c r="A897" s="5555"/>
      <c r="B897" s="5574"/>
      <c r="C897" s="5338"/>
      <c r="D897" s="5338"/>
      <c r="E897" s="5338"/>
      <c r="F897" s="5338"/>
      <c r="G897" s="5338"/>
      <c r="H897" s="5338"/>
      <c r="I897" s="5338"/>
      <c r="J897" s="5338"/>
      <c r="K897" s="5338"/>
      <c r="L897" s="5338"/>
      <c r="M897" s="5338"/>
      <c r="N897" s="5338"/>
      <c r="O897" s="5338"/>
      <c r="P897" s="5338"/>
      <c r="Q897" s="5346"/>
      <c r="R897" s="975"/>
      <c r="S897" s="976"/>
      <c r="T897" s="976"/>
      <c r="U897" s="411"/>
      <c r="V897" s="977"/>
      <c r="W897" s="165"/>
      <c r="X897" s="978"/>
      <c r="Y897" s="978">
        <f t="shared" si="148"/>
        <v>0</v>
      </c>
      <c r="Z897" s="978">
        <f t="shared" si="149"/>
        <v>0</v>
      </c>
      <c r="AA897" s="979"/>
      <c r="AB897" s="165"/>
      <c r="AC897" s="166"/>
      <c r="AD897" s="166"/>
      <c r="AE897" s="5417"/>
    </row>
    <row r="898" spans="1:31" ht="35.25" customHeight="1">
      <c r="A898" s="2158"/>
      <c r="B898" s="785"/>
      <c r="C898" s="785"/>
      <c r="D898" s="785"/>
      <c r="E898" s="785"/>
      <c r="F898" s="785"/>
      <c r="G898" s="785"/>
      <c r="H898" s="785"/>
      <c r="I898" s="785"/>
      <c r="J898" s="785"/>
      <c r="K898" s="785"/>
      <c r="L898" s="785"/>
      <c r="M898" s="785"/>
      <c r="N898" s="785"/>
      <c r="O898" s="785"/>
      <c r="P898" s="785"/>
      <c r="Q898" s="786"/>
      <c r="R898" s="5636" t="s">
        <v>3280</v>
      </c>
      <c r="S898" s="5474"/>
      <c r="T898" s="5474"/>
      <c r="U898" s="5474"/>
      <c r="V898" s="5474"/>
      <c r="W898" s="5474"/>
      <c r="X898" s="5474"/>
      <c r="Y898" s="5475"/>
      <c r="Z898" s="997" t="s">
        <v>340</v>
      </c>
      <c r="AA898" s="998">
        <f>SUM(AA823:AA897)</f>
        <v>0</v>
      </c>
      <c r="AB898" s="5521"/>
      <c r="AC898" s="5474"/>
      <c r="AD898" s="5474"/>
      <c r="AE898" s="5477"/>
    </row>
    <row r="899" spans="1:31" ht="18" customHeight="1">
      <c r="A899" s="5628" t="s">
        <v>3281</v>
      </c>
      <c r="B899" s="5576" t="s">
        <v>272</v>
      </c>
      <c r="C899" s="5355" t="s">
        <v>302</v>
      </c>
      <c r="D899" s="5355" t="s">
        <v>303</v>
      </c>
      <c r="E899" s="5355" t="s">
        <v>304</v>
      </c>
      <c r="F899" s="5364" t="s">
        <v>305</v>
      </c>
      <c r="G899" s="5355" t="s">
        <v>240</v>
      </c>
      <c r="H899" s="5355" t="s">
        <v>257</v>
      </c>
      <c r="I899" s="5360" t="s">
        <v>3282</v>
      </c>
      <c r="J899" s="5625" t="s">
        <v>3135</v>
      </c>
      <c r="K899" s="5355" t="s">
        <v>2846</v>
      </c>
      <c r="L899" s="5363">
        <v>2</v>
      </c>
      <c r="M899" s="5363">
        <v>1</v>
      </c>
      <c r="N899" s="5363">
        <v>2</v>
      </c>
      <c r="O899" s="5355" t="s">
        <v>3136</v>
      </c>
      <c r="P899" s="5355" t="s">
        <v>3137</v>
      </c>
      <c r="Q899" s="5392" t="s">
        <v>3138</v>
      </c>
      <c r="R899" s="1102"/>
      <c r="S899" s="1103"/>
      <c r="T899" s="1103"/>
      <c r="U899" s="154"/>
      <c r="V899" s="1104"/>
      <c r="W899" s="155"/>
      <c r="X899" s="1105"/>
      <c r="Y899" s="1105"/>
      <c r="Z899" s="1105"/>
      <c r="AA899" s="1106"/>
      <c r="AB899" s="155"/>
      <c r="AC899" s="156"/>
      <c r="AD899" s="156"/>
      <c r="AE899" s="5428"/>
    </row>
    <row r="900" spans="1:31" ht="18" customHeight="1">
      <c r="A900" s="5629"/>
      <c r="B900" s="5573"/>
      <c r="C900" s="5337"/>
      <c r="D900" s="5337"/>
      <c r="E900" s="5337"/>
      <c r="F900" s="5337"/>
      <c r="G900" s="5337"/>
      <c r="H900" s="5337"/>
      <c r="I900" s="5361"/>
      <c r="J900" s="5337"/>
      <c r="K900" s="5337"/>
      <c r="L900" s="5337"/>
      <c r="M900" s="5337"/>
      <c r="N900" s="5337"/>
      <c r="O900" s="5337"/>
      <c r="P900" s="5337"/>
      <c r="Q900" s="5345"/>
      <c r="R900" s="982"/>
      <c r="S900" s="983"/>
      <c r="T900" s="983"/>
      <c r="U900" s="169"/>
      <c r="V900" s="984"/>
      <c r="W900" s="170"/>
      <c r="X900" s="974"/>
      <c r="Y900" s="974">
        <f t="shared" ref="Y900:Y903" si="150">+V900*X900</f>
        <v>0</v>
      </c>
      <c r="Z900" s="974">
        <f t="shared" ref="Z900:Z903" si="151">+Y900*1.12</f>
        <v>0</v>
      </c>
      <c r="AA900" s="969"/>
      <c r="AB900" s="170"/>
      <c r="AC900" s="282"/>
      <c r="AD900" s="282"/>
      <c r="AE900" s="5416"/>
    </row>
    <row r="901" spans="1:31" ht="18" customHeight="1">
      <c r="A901" s="5629"/>
      <c r="B901" s="5573"/>
      <c r="C901" s="5337"/>
      <c r="D901" s="5337"/>
      <c r="E901" s="5337"/>
      <c r="F901" s="5337"/>
      <c r="G901" s="5337"/>
      <c r="H901" s="5337"/>
      <c r="I901" s="5361"/>
      <c r="J901" s="5337"/>
      <c r="K901" s="5337"/>
      <c r="L901" s="5337"/>
      <c r="M901" s="5337"/>
      <c r="N901" s="5337"/>
      <c r="O901" s="5337"/>
      <c r="P901" s="5337"/>
      <c r="Q901" s="5345"/>
      <c r="R901" s="971"/>
      <c r="S901" s="972"/>
      <c r="T901" s="972"/>
      <c r="U901" s="1217"/>
      <c r="V901" s="968"/>
      <c r="W901" s="414"/>
      <c r="X901" s="973"/>
      <c r="Y901" s="974">
        <f t="shared" si="150"/>
        <v>0</v>
      </c>
      <c r="Z901" s="974">
        <f t="shared" si="151"/>
        <v>0</v>
      </c>
      <c r="AA901" s="969"/>
      <c r="AB901" s="170"/>
      <c r="AC901" s="282"/>
      <c r="AD901" s="282"/>
      <c r="AE901" s="5416"/>
    </row>
    <row r="902" spans="1:31" ht="18" customHeight="1">
      <c r="A902" s="5629"/>
      <c r="B902" s="5573"/>
      <c r="C902" s="5337"/>
      <c r="D902" s="5337"/>
      <c r="E902" s="5337"/>
      <c r="F902" s="5337"/>
      <c r="G902" s="5337"/>
      <c r="H902" s="5337"/>
      <c r="I902" s="5361"/>
      <c r="J902" s="5337"/>
      <c r="K902" s="5337"/>
      <c r="L902" s="5337"/>
      <c r="M902" s="5337"/>
      <c r="N902" s="5337"/>
      <c r="O902" s="5337"/>
      <c r="P902" s="5337"/>
      <c r="Q902" s="5345"/>
      <c r="R902" s="970"/>
      <c r="S902" s="967"/>
      <c r="T902" s="967"/>
      <c r="U902" s="1217"/>
      <c r="V902" s="968"/>
      <c r="W902" s="414"/>
      <c r="X902" s="973"/>
      <c r="Y902" s="974">
        <f t="shared" si="150"/>
        <v>0</v>
      </c>
      <c r="Z902" s="974">
        <f t="shared" si="151"/>
        <v>0</v>
      </c>
      <c r="AA902" s="969"/>
      <c r="AB902" s="170"/>
      <c r="AC902" s="282"/>
      <c r="AD902" s="282"/>
      <c r="AE902" s="5416"/>
    </row>
    <row r="903" spans="1:31" ht="18" customHeight="1">
      <c r="A903" s="5629"/>
      <c r="B903" s="5574"/>
      <c r="C903" s="5338"/>
      <c r="D903" s="5338"/>
      <c r="E903" s="5338"/>
      <c r="F903" s="5338"/>
      <c r="G903" s="5338"/>
      <c r="H903" s="5338"/>
      <c r="I903" s="5362"/>
      <c r="J903" s="5338"/>
      <c r="K903" s="5338"/>
      <c r="L903" s="5338"/>
      <c r="M903" s="5338"/>
      <c r="N903" s="5338"/>
      <c r="O903" s="5338"/>
      <c r="P903" s="5338"/>
      <c r="Q903" s="5346"/>
      <c r="R903" s="975"/>
      <c r="S903" s="976"/>
      <c r="T903" s="976"/>
      <c r="U903" s="411"/>
      <c r="V903" s="977"/>
      <c r="W903" s="165"/>
      <c r="X903" s="978"/>
      <c r="Y903" s="978">
        <f t="shared" si="150"/>
        <v>0</v>
      </c>
      <c r="Z903" s="978">
        <f t="shared" si="151"/>
        <v>0</v>
      </c>
      <c r="AA903" s="979"/>
      <c r="AB903" s="165"/>
      <c r="AC903" s="166"/>
      <c r="AD903" s="166"/>
      <c r="AE903" s="5417"/>
    </row>
    <row r="904" spans="1:31" ht="18" customHeight="1">
      <c r="A904" s="5629"/>
      <c r="B904" s="5627" t="s">
        <v>235</v>
      </c>
      <c r="C904" s="5347" t="s">
        <v>236</v>
      </c>
      <c r="D904" s="5347" t="s">
        <v>237</v>
      </c>
      <c r="E904" s="5347" t="s">
        <v>255</v>
      </c>
      <c r="F904" s="5353" t="s">
        <v>239</v>
      </c>
      <c r="G904" s="5336" t="s">
        <v>240</v>
      </c>
      <c r="H904" s="5336" t="s">
        <v>257</v>
      </c>
      <c r="I904" s="5621" t="s">
        <v>3139</v>
      </c>
      <c r="J904" s="5621" t="s">
        <v>3140</v>
      </c>
      <c r="K904" s="5618" t="s">
        <v>2846</v>
      </c>
      <c r="L904" s="5619">
        <v>2</v>
      </c>
      <c r="M904" s="5619">
        <v>0</v>
      </c>
      <c r="N904" s="5619">
        <v>2</v>
      </c>
      <c r="O904" s="5407" t="s">
        <v>3141</v>
      </c>
      <c r="P904" s="5618" t="s">
        <v>3142</v>
      </c>
      <c r="Q904" s="5620" t="s">
        <v>3283</v>
      </c>
      <c r="R904" s="1110"/>
      <c r="S904" s="1111"/>
      <c r="T904" s="1111"/>
      <c r="U904" s="1711"/>
      <c r="V904" s="1112"/>
      <c r="W904" s="1719"/>
      <c r="X904" s="1113"/>
      <c r="Y904" s="1113"/>
      <c r="Z904" s="1113"/>
      <c r="AA904" s="1114"/>
      <c r="AB904" s="1719"/>
      <c r="AC904" s="410"/>
      <c r="AD904" s="410"/>
      <c r="AE904" s="1308"/>
    </row>
    <row r="905" spans="1:31" ht="18" customHeight="1">
      <c r="A905" s="5629"/>
      <c r="B905" s="5573"/>
      <c r="C905" s="5337"/>
      <c r="D905" s="5337"/>
      <c r="E905" s="5337"/>
      <c r="F905" s="5337"/>
      <c r="G905" s="5337"/>
      <c r="H905" s="5337"/>
      <c r="I905" s="5337"/>
      <c r="J905" s="5337"/>
      <c r="K905" s="5337"/>
      <c r="L905" s="5337"/>
      <c r="M905" s="5337"/>
      <c r="N905" s="5337"/>
      <c r="O905" s="5337"/>
      <c r="P905" s="5337"/>
      <c r="Q905" s="5345"/>
      <c r="R905" s="1110"/>
      <c r="S905" s="1111"/>
      <c r="T905" s="1111"/>
      <c r="U905" s="1711"/>
      <c r="V905" s="1112"/>
      <c r="W905" s="1719"/>
      <c r="X905" s="1113"/>
      <c r="Y905" s="1113"/>
      <c r="Z905" s="1113"/>
      <c r="AA905" s="1114"/>
      <c r="AB905" s="1719"/>
      <c r="AC905" s="410"/>
      <c r="AD905" s="410"/>
      <c r="AE905" s="1308"/>
    </row>
    <row r="906" spans="1:31" ht="18" customHeight="1">
      <c r="A906" s="5629"/>
      <c r="B906" s="5573"/>
      <c r="C906" s="5337"/>
      <c r="D906" s="5337"/>
      <c r="E906" s="5337"/>
      <c r="F906" s="5337"/>
      <c r="G906" s="5337"/>
      <c r="H906" s="5337"/>
      <c r="I906" s="5337"/>
      <c r="J906" s="5337"/>
      <c r="K906" s="5337"/>
      <c r="L906" s="5337"/>
      <c r="M906" s="5337"/>
      <c r="N906" s="5337"/>
      <c r="O906" s="5337"/>
      <c r="P906" s="5337"/>
      <c r="Q906" s="5345"/>
      <c r="R906" s="1110"/>
      <c r="S906" s="1111"/>
      <c r="T906" s="1111"/>
      <c r="U906" s="1711"/>
      <c r="V906" s="1112"/>
      <c r="W906" s="1719"/>
      <c r="X906" s="1113"/>
      <c r="Y906" s="1113"/>
      <c r="Z906" s="1113"/>
      <c r="AA906" s="1114"/>
      <c r="AB906" s="1719"/>
      <c r="AC906" s="410"/>
      <c r="AD906" s="410"/>
      <c r="AE906" s="1308"/>
    </row>
    <row r="907" spans="1:31" ht="18" customHeight="1">
      <c r="A907" s="5629"/>
      <c r="B907" s="5573"/>
      <c r="C907" s="5337"/>
      <c r="D907" s="5337"/>
      <c r="E907" s="5337"/>
      <c r="F907" s="5337"/>
      <c r="G907" s="5337"/>
      <c r="H907" s="5337"/>
      <c r="I907" s="5337"/>
      <c r="J907" s="5337"/>
      <c r="K907" s="5337"/>
      <c r="L907" s="5337"/>
      <c r="M907" s="5337"/>
      <c r="N907" s="5337"/>
      <c r="O907" s="5337"/>
      <c r="P907" s="5337"/>
      <c r="Q907" s="5345"/>
      <c r="R907" s="1110"/>
      <c r="S907" s="1111"/>
      <c r="T907" s="1111"/>
      <c r="U907" s="1711"/>
      <c r="V907" s="1112"/>
      <c r="W907" s="1719"/>
      <c r="X907" s="1113"/>
      <c r="Y907" s="1113"/>
      <c r="Z907" s="1113"/>
      <c r="AA907" s="1114"/>
      <c r="AB907" s="1719"/>
      <c r="AC907" s="410"/>
      <c r="AD907" s="410"/>
      <c r="AE907" s="1308"/>
    </row>
    <row r="908" spans="1:31" ht="18" customHeight="1">
      <c r="A908" s="5629"/>
      <c r="B908" s="5574"/>
      <c r="C908" s="5338"/>
      <c r="D908" s="5338"/>
      <c r="E908" s="5338"/>
      <c r="F908" s="5338"/>
      <c r="G908" s="5338"/>
      <c r="H908" s="5338"/>
      <c r="I908" s="5338"/>
      <c r="J908" s="5338"/>
      <c r="K908" s="5338"/>
      <c r="L908" s="5338"/>
      <c r="M908" s="5338"/>
      <c r="N908" s="5338"/>
      <c r="O908" s="5338"/>
      <c r="P908" s="5338"/>
      <c r="Q908" s="5346"/>
      <c r="R908" s="1309"/>
      <c r="S908" s="1310"/>
      <c r="T908" s="1310"/>
      <c r="U908" s="277"/>
      <c r="V908" s="1311"/>
      <c r="W908" s="416"/>
      <c r="X908" s="1312"/>
      <c r="Y908" s="1312"/>
      <c r="Z908" s="1312"/>
      <c r="AA908" s="1313"/>
      <c r="AB908" s="416"/>
      <c r="AC908" s="278"/>
      <c r="AD908" s="278"/>
      <c r="AE908" s="1314"/>
    </row>
    <row r="909" spans="1:31" ht="18" customHeight="1">
      <c r="A909" s="5629"/>
      <c r="B909" s="5627" t="s">
        <v>235</v>
      </c>
      <c r="C909" s="5347" t="s">
        <v>236</v>
      </c>
      <c r="D909" s="5347" t="s">
        <v>237</v>
      </c>
      <c r="E909" s="5347" t="s">
        <v>255</v>
      </c>
      <c r="F909" s="5353" t="s">
        <v>239</v>
      </c>
      <c r="G909" s="5336" t="s">
        <v>240</v>
      </c>
      <c r="H909" s="5336" t="s">
        <v>257</v>
      </c>
      <c r="I909" s="5621" t="s">
        <v>3144</v>
      </c>
      <c r="J909" s="5618" t="s">
        <v>3145</v>
      </c>
      <c r="K909" s="5618" t="s">
        <v>3146</v>
      </c>
      <c r="L909" s="5407">
        <v>0</v>
      </c>
      <c r="M909" s="5407">
        <v>1</v>
      </c>
      <c r="N909" s="5407">
        <v>0</v>
      </c>
      <c r="O909" s="5618" t="s">
        <v>3147</v>
      </c>
      <c r="P909" s="5618" t="s">
        <v>3148</v>
      </c>
      <c r="Q909" s="5620" t="s">
        <v>3284</v>
      </c>
      <c r="R909" s="1110"/>
      <c r="S909" s="1111"/>
      <c r="T909" s="1111"/>
      <c r="U909" s="1711"/>
      <c r="V909" s="1112"/>
      <c r="W909" s="1719"/>
      <c r="X909" s="1113"/>
      <c r="Y909" s="1113"/>
      <c r="Z909" s="1113"/>
      <c r="AA909" s="1114"/>
      <c r="AB909" s="1719"/>
      <c r="AC909" s="410"/>
      <c r="AD909" s="410"/>
      <c r="AE909" s="1308"/>
    </row>
    <row r="910" spans="1:31" ht="18" customHeight="1">
      <c r="A910" s="5629"/>
      <c r="B910" s="5573"/>
      <c r="C910" s="5337"/>
      <c r="D910" s="5337"/>
      <c r="E910" s="5337"/>
      <c r="F910" s="5337"/>
      <c r="G910" s="5337"/>
      <c r="H910" s="5337"/>
      <c r="I910" s="5337"/>
      <c r="J910" s="5337"/>
      <c r="K910" s="5337"/>
      <c r="L910" s="5337"/>
      <c r="M910" s="5337"/>
      <c r="N910" s="5337"/>
      <c r="O910" s="5337"/>
      <c r="P910" s="5337"/>
      <c r="Q910" s="5345"/>
      <c r="R910" s="1110"/>
      <c r="S910" s="1111"/>
      <c r="T910" s="1111"/>
      <c r="U910" s="1711"/>
      <c r="V910" s="1112"/>
      <c r="W910" s="1719"/>
      <c r="X910" s="1113"/>
      <c r="Y910" s="1113"/>
      <c r="Z910" s="1113"/>
      <c r="AA910" s="1114"/>
      <c r="AB910" s="1719"/>
      <c r="AC910" s="410"/>
      <c r="AD910" s="410"/>
      <c r="AE910" s="1308"/>
    </row>
    <row r="911" spans="1:31" ht="18" customHeight="1">
      <c r="A911" s="5629"/>
      <c r="B911" s="5573"/>
      <c r="C911" s="5337"/>
      <c r="D911" s="5337"/>
      <c r="E911" s="5337"/>
      <c r="F911" s="5337"/>
      <c r="G911" s="5337"/>
      <c r="H911" s="5337"/>
      <c r="I911" s="5337"/>
      <c r="J911" s="5337"/>
      <c r="K911" s="5337"/>
      <c r="L911" s="5337"/>
      <c r="M911" s="5337"/>
      <c r="N911" s="5337"/>
      <c r="O911" s="5337"/>
      <c r="P911" s="5337"/>
      <c r="Q911" s="5345"/>
      <c r="R911" s="1110"/>
      <c r="S911" s="1111"/>
      <c r="T911" s="1111"/>
      <c r="U911" s="1711"/>
      <c r="V911" s="1112"/>
      <c r="W911" s="1719"/>
      <c r="X911" s="1113"/>
      <c r="Y911" s="1113"/>
      <c r="Z911" s="1113"/>
      <c r="AA911" s="1114"/>
      <c r="AB911" s="1719"/>
      <c r="AC911" s="410"/>
      <c r="AD911" s="410"/>
      <c r="AE911" s="1308"/>
    </row>
    <row r="912" spans="1:31" ht="18" customHeight="1">
      <c r="A912" s="5629"/>
      <c r="B912" s="5573"/>
      <c r="C912" s="5337"/>
      <c r="D912" s="5337"/>
      <c r="E912" s="5337"/>
      <c r="F912" s="5337"/>
      <c r="G912" s="5337"/>
      <c r="H912" s="5337"/>
      <c r="I912" s="5337"/>
      <c r="J912" s="5337"/>
      <c r="K912" s="5337"/>
      <c r="L912" s="5337"/>
      <c r="M912" s="5337"/>
      <c r="N912" s="5337"/>
      <c r="O912" s="5337"/>
      <c r="P912" s="5337"/>
      <c r="Q912" s="5345"/>
      <c r="R912" s="1110"/>
      <c r="S912" s="1111"/>
      <c r="T912" s="1111"/>
      <c r="U912" s="1711"/>
      <c r="V912" s="1112"/>
      <c r="W912" s="1719"/>
      <c r="X912" s="1113"/>
      <c r="Y912" s="1113"/>
      <c r="Z912" s="1113"/>
      <c r="AA912" s="1114"/>
      <c r="AB912" s="1719"/>
      <c r="AC912" s="410"/>
      <c r="AD912" s="410"/>
      <c r="AE912" s="1308"/>
    </row>
    <row r="913" spans="1:31" ht="18" customHeight="1">
      <c r="A913" s="5629"/>
      <c r="B913" s="5574"/>
      <c r="C913" s="5338"/>
      <c r="D913" s="5338"/>
      <c r="E913" s="5338"/>
      <c r="F913" s="5338"/>
      <c r="G913" s="5338"/>
      <c r="H913" s="5338"/>
      <c r="I913" s="5338"/>
      <c r="J913" s="5338"/>
      <c r="K913" s="5338"/>
      <c r="L913" s="5338"/>
      <c r="M913" s="5338"/>
      <c r="N913" s="5338"/>
      <c r="O913" s="5338"/>
      <c r="P913" s="5338"/>
      <c r="Q913" s="5346"/>
      <c r="R913" s="1309"/>
      <c r="S913" s="1310"/>
      <c r="T913" s="1310"/>
      <c r="U913" s="277"/>
      <c r="V913" s="1311"/>
      <c r="W913" s="416"/>
      <c r="X913" s="1312"/>
      <c r="Y913" s="1312"/>
      <c r="Z913" s="1312"/>
      <c r="AA913" s="1313"/>
      <c r="AB913" s="416"/>
      <c r="AC913" s="278"/>
      <c r="AD913" s="278"/>
      <c r="AE913" s="1314"/>
    </row>
    <row r="914" spans="1:31" ht="18" customHeight="1">
      <c r="A914" s="5629"/>
      <c r="B914" s="5572" t="s">
        <v>272</v>
      </c>
      <c r="C914" s="5336" t="s">
        <v>302</v>
      </c>
      <c r="D914" s="5336" t="s">
        <v>303</v>
      </c>
      <c r="E914" s="5336" t="s">
        <v>304</v>
      </c>
      <c r="F914" s="5341" t="s">
        <v>305</v>
      </c>
      <c r="G914" s="5336" t="s">
        <v>240</v>
      </c>
      <c r="H914" s="5336" t="s">
        <v>257</v>
      </c>
      <c r="I914" s="5618" t="s">
        <v>3150</v>
      </c>
      <c r="J914" s="5618" t="s">
        <v>3151</v>
      </c>
      <c r="K914" s="5618" t="s">
        <v>3146</v>
      </c>
      <c r="L914" s="5407">
        <v>0</v>
      </c>
      <c r="M914" s="5407">
        <v>1</v>
      </c>
      <c r="N914" s="5407">
        <v>1</v>
      </c>
      <c r="O914" s="5618" t="s">
        <v>3152</v>
      </c>
      <c r="P914" s="5618" t="s">
        <v>3153</v>
      </c>
      <c r="Q914" s="5620" t="s">
        <v>3284</v>
      </c>
      <c r="R914" s="1110"/>
      <c r="S914" s="1111"/>
      <c r="T914" s="1111"/>
      <c r="U914" s="1711"/>
      <c r="V914" s="1112"/>
      <c r="W914" s="1719"/>
      <c r="X914" s="1113"/>
      <c r="Y914" s="1113"/>
      <c r="Z914" s="1113"/>
      <c r="AA914" s="1114"/>
      <c r="AB914" s="1719"/>
      <c r="AC914" s="410"/>
      <c r="AD914" s="410"/>
      <c r="AE914" s="1308"/>
    </row>
    <row r="915" spans="1:31" ht="18" customHeight="1">
      <c r="A915" s="5629"/>
      <c r="B915" s="5573"/>
      <c r="C915" s="5337"/>
      <c r="D915" s="5337"/>
      <c r="E915" s="5337"/>
      <c r="F915" s="5337"/>
      <c r="G915" s="5337"/>
      <c r="H915" s="5337"/>
      <c r="I915" s="5337"/>
      <c r="J915" s="5337"/>
      <c r="K915" s="5337"/>
      <c r="L915" s="5337"/>
      <c r="M915" s="5337"/>
      <c r="N915" s="5337"/>
      <c r="O915" s="5337"/>
      <c r="P915" s="5337"/>
      <c r="Q915" s="5345"/>
      <c r="R915" s="1110"/>
      <c r="S915" s="1111"/>
      <c r="T915" s="1111"/>
      <c r="U915" s="1711"/>
      <c r="V915" s="1112"/>
      <c r="W915" s="1719"/>
      <c r="X915" s="1113"/>
      <c r="Y915" s="1113"/>
      <c r="Z915" s="1113"/>
      <c r="AA915" s="1114"/>
      <c r="AB915" s="1719"/>
      <c r="AC915" s="410"/>
      <c r="AD915" s="410"/>
      <c r="AE915" s="1308"/>
    </row>
    <row r="916" spans="1:31" ht="18" customHeight="1">
      <c r="A916" s="5629"/>
      <c r="B916" s="5573"/>
      <c r="C916" s="5337"/>
      <c r="D916" s="5337"/>
      <c r="E916" s="5337"/>
      <c r="F916" s="5337"/>
      <c r="G916" s="5337"/>
      <c r="H916" s="5337"/>
      <c r="I916" s="5337"/>
      <c r="J916" s="5337"/>
      <c r="K916" s="5337"/>
      <c r="L916" s="5337"/>
      <c r="M916" s="5337"/>
      <c r="N916" s="5337"/>
      <c r="O916" s="5337"/>
      <c r="P916" s="5337"/>
      <c r="Q916" s="5345"/>
      <c r="R916" s="1110"/>
      <c r="S916" s="1111"/>
      <c r="T916" s="1111"/>
      <c r="U916" s="1711"/>
      <c r="V916" s="1112"/>
      <c r="W916" s="1719"/>
      <c r="X916" s="1113"/>
      <c r="Y916" s="1113"/>
      <c r="Z916" s="1113"/>
      <c r="AA916" s="1114"/>
      <c r="AB916" s="1719"/>
      <c r="AC916" s="410"/>
      <c r="AD916" s="410"/>
      <c r="AE916" s="1308"/>
    </row>
    <row r="917" spans="1:31" ht="18" customHeight="1">
      <c r="A917" s="5629"/>
      <c r="B917" s="5573"/>
      <c r="C917" s="5337"/>
      <c r="D917" s="5337"/>
      <c r="E917" s="5337"/>
      <c r="F917" s="5337"/>
      <c r="G917" s="5337"/>
      <c r="H917" s="5337"/>
      <c r="I917" s="5337"/>
      <c r="J917" s="5337"/>
      <c r="K917" s="5337"/>
      <c r="L917" s="5337"/>
      <c r="M917" s="5337"/>
      <c r="N917" s="5337"/>
      <c r="O917" s="5337"/>
      <c r="P917" s="5337"/>
      <c r="Q917" s="5345"/>
      <c r="R917" s="1110"/>
      <c r="S917" s="1111"/>
      <c r="T917" s="1111"/>
      <c r="U917" s="1711"/>
      <c r="V917" s="1112"/>
      <c r="W917" s="1719"/>
      <c r="X917" s="1113"/>
      <c r="Y917" s="1113"/>
      <c r="Z917" s="1113"/>
      <c r="AA917" s="1114"/>
      <c r="AB917" s="1719"/>
      <c r="AC917" s="410"/>
      <c r="AD917" s="410"/>
      <c r="AE917" s="1308"/>
    </row>
    <row r="918" spans="1:31" ht="18" customHeight="1">
      <c r="A918" s="5629"/>
      <c r="B918" s="5574"/>
      <c r="C918" s="5338"/>
      <c r="D918" s="5338"/>
      <c r="E918" s="5338"/>
      <c r="F918" s="5338"/>
      <c r="G918" s="5338"/>
      <c r="H918" s="5338"/>
      <c r="I918" s="5338"/>
      <c r="J918" s="5338"/>
      <c r="K918" s="5338"/>
      <c r="L918" s="5338"/>
      <c r="M918" s="5338"/>
      <c r="N918" s="5338"/>
      <c r="O918" s="5338"/>
      <c r="P918" s="5338"/>
      <c r="Q918" s="5346"/>
      <c r="R918" s="1309"/>
      <c r="S918" s="1310"/>
      <c r="T918" s="1310"/>
      <c r="U918" s="277"/>
      <c r="V918" s="1311"/>
      <c r="W918" s="416"/>
      <c r="X918" s="1312"/>
      <c r="Y918" s="1312"/>
      <c r="Z918" s="1312"/>
      <c r="AA918" s="1313"/>
      <c r="AB918" s="416"/>
      <c r="AC918" s="278"/>
      <c r="AD918" s="278"/>
      <c r="AE918" s="1314"/>
    </row>
    <row r="919" spans="1:31" ht="18" customHeight="1">
      <c r="A919" s="5629"/>
      <c r="B919" s="5572" t="s">
        <v>272</v>
      </c>
      <c r="C919" s="5336" t="s">
        <v>302</v>
      </c>
      <c r="D919" s="5336" t="s">
        <v>274</v>
      </c>
      <c r="E919" s="5336" t="s">
        <v>885</v>
      </c>
      <c r="F919" s="5341" t="s">
        <v>305</v>
      </c>
      <c r="G919" s="5336" t="s">
        <v>262</v>
      </c>
      <c r="H919" s="5336" t="s">
        <v>241</v>
      </c>
      <c r="I919" s="5618" t="s">
        <v>3154</v>
      </c>
      <c r="J919" s="5618" t="s">
        <v>3155</v>
      </c>
      <c r="K919" s="5618" t="s">
        <v>3024</v>
      </c>
      <c r="L919" s="5619">
        <v>1</v>
      </c>
      <c r="M919" s="5619">
        <v>0</v>
      </c>
      <c r="N919" s="5619">
        <v>1</v>
      </c>
      <c r="O919" s="5618" t="s">
        <v>3156</v>
      </c>
      <c r="P919" s="5618" t="s">
        <v>3026</v>
      </c>
      <c r="Q919" s="5620" t="s">
        <v>3285</v>
      </c>
      <c r="R919" s="1110"/>
      <c r="S919" s="1111"/>
      <c r="T919" s="1111"/>
      <c r="U919" s="1711"/>
      <c r="V919" s="1112"/>
      <c r="W919" s="1719"/>
      <c r="X919" s="1113"/>
      <c r="Y919" s="1113"/>
      <c r="Z919" s="1113"/>
      <c r="AA919" s="1114"/>
      <c r="AB919" s="1719"/>
      <c r="AC919" s="410"/>
      <c r="AD919" s="410"/>
      <c r="AE919" s="1308"/>
    </row>
    <row r="920" spans="1:31" ht="18" customHeight="1">
      <c r="A920" s="5629"/>
      <c r="B920" s="5573"/>
      <c r="C920" s="5337"/>
      <c r="D920" s="5337"/>
      <c r="E920" s="5337"/>
      <c r="F920" s="5337"/>
      <c r="G920" s="5337"/>
      <c r="H920" s="5337"/>
      <c r="I920" s="5337"/>
      <c r="J920" s="5337"/>
      <c r="K920" s="5337"/>
      <c r="L920" s="5337"/>
      <c r="M920" s="5337"/>
      <c r="N920" s="5337"/>
      <c r="O920" s="5337"/>
      <c r="P920" s="5337"/>
      <c r="Q920" s="5345"/>
      <c r="R920" s="1110"/>
      <c r="S920" s="1111"/>
      <c r="T920" s="1111"/>
      <c r="U920" s="1711"/>
      <c r="V920" s="1112"/>
      <c r="W920" s="1719"/>
      <c r="X920" s="1113"/>
      <c r="Y920" s="1113"/>
      <c r="Z920" s="1113"/>
      <c r="AA920" s="1114"/>
      <c r="AB920" s="1719"/>
      <c r="AC920" s="410"/>
      <c r="AD920" s="410"/>
      <c r="AE920" s="1308"/>
    </row>
    <row r="921" spans="1:31" ht="18" customHeight="1">
      <c r="A921" s="5629"/>
      <c r="B921" s="5573"/>
      <c r="C921" s="5337"/>
      <c r="D921" s="5337"/>
      <c r="E921" s="5337"/>
      <c r="F921" s="5337"/>
      <c r="G921" s="5337"/>
      <c r="H921" s="5337"/>
      <c r="I921" s="5337"/>
      <c r="J921" s="5337"/>
      <c r="K921" s="5337"/>
      <c r="L921" s="5337"/>
      <c r="M921" s="5337"/>
      <c r="N921" s="5337"/>
      <c r="O921" s="5337"/>
      <c r="P921" s="5337"/>
      <c r="Q921" s="5345"/>
      <c r="R921" s="1110"/>
      <c r="S921" s="1111"/>
      <c r="T921" s="1111"/>
      <c r="U921" s="1711"/>
      <c r="V921" s="1112"/>
      <c r="W921" s="1719"/>
      <c r="X921" s="1113"/>
      <c r="Y921" s="1113"/>
      <c r="Z921" s="1113"/>
      <c r="AA921" s="1114"/>
      <c r="AB921" s="1719"/>
      <c r="AC921" s="410"/>
      <c r="AD921" s="410"/>
      <c r="AE921" s="1308"/>
    </row>
    <row r="922" spans="1:31" ht="18" customHeight="1">
      <c r="A922" s="5629"/>
      <c r="B922" s="5573"/>
      <c r="C922" s="5337"/>
      <c r="D922" s="5337"/>
      <c r="E922" s="5337"/>
      <c r="F922" s="5337"/>
      <c r="G922" s="5337"/>
      <c r="H922" s="5337"/>
      <c r="I922" s="5337"/>
      <c r="J922" s="5337"/>
      <c r="K922" s="5337"/>
      <c r="L922" s="5337"/>
      <c r="M922" s="5337"/>
      <c r="N922" s="5337"/>
      <c r="O922" s="5337"/>
      <c r="P922" s="5337"/>
      <c r="Q922" s="5345"/>
      <c r="R922" s="1110"/>
      <c r="S922" s="1111"/>
      <c r="T922" s="1111"/>
      <c r="U922" s="1711"/>
      <c r="V922" s="1112"/>
      <c r="W922" s="1719"/>
      <c r="X922" s="1113"/>
      <c r="Y922" s="1113"/>
      <c r="Z922" s="1113"/>
      <c r="AA922" s="1114"/>
      <c r="AB922" s="1719"/>
      <c r="AC922" s="410"/>
      <c r="AD922" s="410"/>
      <c r="AE922" s="1308"/>
    </row>
    <row r="923" spans="1:31" ht="18" customHeight="1">
      <c r="A923" s="5629"/>
      <c r="B923" s="5574"/>
      <c r="C923" s="5338"/>
      <c r="D923" s="5338"/>
      <c r="E923" s="5338"/>
      <c r="F923" s="5338"/>
      <c r="G923" s="5338"/>
      <c r="H923" s="5338"/>
      <c r="I923" s="5338"/>
      <c r="J923" s="5338"/>
      <c r="K923" s="5338"/>
      <c r="L923" s="5338"/>
      <c r="M923" s="5338"/>
      <c r="N923" s="5338"/>
      <c r="O923" s="5338"/>
      <c r="P923" s="5338"/>
      <c r="Q923" s="5346"/>
      <c r="R923" s="1309"/>
      <c r="S923" s="1310"/>
      <c r="T923" s="1310"/>
      <c r="U923" s="277"/>
      <c r="V923" s="1311"/>
      <c r="W923" s="416"/>
      <c r="X923" s="1312"/>
      <c r="Y923" s="1312"/>
      <c r="Z923" s="1312"/>
      <c r="AA923" s="1313"/>
      <c r="AB923" s="416"/>
      <c r="AC923" s="278"/>
      <c r="AD923" s="278"/>
      <c r="AE923" s="1314"/>
    </row>
    <row r="924" spans="1:31" ht="18" customHeight="1">
      <c r="A924" s="5629"/>
      <c r="B924" s="5627" t="s">
        <v>235</v>
      </c>
      <c r="C924" s="5347" t="s">
        <v>236</v>
      </c>
      <c r="D924" s="5347" t="s">
        <v>237</v>
      </c>
      <c r="E924" s="5347" t="s">
        <v>255</v>
      </c>
      <c r="F924" s="5353" t="s">
        <v>239</v>
      </c>
      <c r="G924" s="5336" t="s">
        <v>240</v>
      </c>
      <c r="H924" s="5336" t="s">
        <v>257</v>
      </c>
      <c r="I924" s="5618" t="s">
        <v>3158</v>
      </c>
      <c r="J924" s="5618" t="s">
        <v>3159</v>
      </c>
      <c r="K924" s="5618" t="s">
        <v>3160</v>
      </c>
      <c r="L924" s="5619">
        <v>1</v>
      </c>
      <c r="M924" s="5619">
        <v>2</v>
      </c>
      <c r="N924" s="5619">
        <v>2</v>
      </c>
      <c r="O924" s="5618" t="s">
        <v>3161</v>
      </c>
      <c r="P924" s="5618" t="s">
        <v>3162</v>
      </c>
      <c r="Q924" s="5620" t="s">
        <v>3284</v>
      </c>
      <c r="R924" s="1110"/>
      <c r="S924" s="1111"/>
      <c r="T924" s="1111"/>
      <c r="U924" s="1711"/>
      <c r="V924" s="1112"/>
      <c r="W924" s="1719"/>
      <c r="X924" s="1113"/>
      <c r="Y924" s="1113"/>
      <c r="Z924" s="1113"/>
      <c r="AA924" s="1114"/>
      <c r="AB924" s="1719"/>
      <c r="AC924" s="410"/>
      <c r="AD924" s="410"/>
      <c r="AE924" s="1308"/>
    </row>
    <row r="925" spans="1:31" ht="18" customHeight="1">
      <c r="A925" s="5629"/>
      <c r="B925" s="5573"/>
      <c r="C925" s="5337"/>
      <c r="D925" s="5337"/>
      <c r="E925" s="5337"/>
      <c r="F925" s="5337"/>
      <c r="G925" s="5337"/>
      <c r="H925" s="5337"/>
      <c r="I925" s="5337"/>
      <c r="J925" s="5337"/>
      <c r="K925" s="5337"/>
      <c r="L925" s="5337"/>
      <c r="M925" s="5337"/>
      <c r="N925" s="5337"/>
      <c r="O925" s="5337"/>
      <c r="P925" s="5337"/>
      <c r="Q925" s="5345"/>
      <c r="R925" s="1110"/>
      <c r="S925" s="1111"/>
      <c r="T925" s="1111"/>
      <c r="U925" s="1711"/>
      <c r="V925" s="1112"/>
      <c r="W925" s="1719"/>
      <c r="X925" s="1113"/>
      <c r="Y925" s="1113"/>
      <c r="Z925" s="1113"/>
      <c r="AA925" s="1114"/>
      <c r="AB925" s="1719"/>
      <c r="AC925" s="410"/>
      <c r="AD925" s="410"/>
      <c r="AE925" s="1308"/>
    </row>
    <row r="926" spans="1:31" ht="18" customHeight="1">
      <c r="A926" s="5629"/>
      <c r="B926" s="5573"/>
      <c r="C926" s="5337"/>
      <c r="D926" s="5337"/>
      <c r="E926" s="5337"/>
      <c r="F926" s="5337"/>
      <c r="G926" s="5337"/>
      <c r="H926" s="5337"/>
      <c r="I926" s="5337"/>
      <c r="J926" s="5337"/>
      <c r="K926" s="5337"/>
      <c r="L926" s="5337"/>
      <c r="M926" s="5337"/>
      <c r="N926" s="5337"/>
      <c r="O926" s="5337"/>
      <c r="P926" s="5337"/>
      <c r="Q926" s="5345"/>
      <c r="R926" s="1110"/>
      <c r="S926" s="1111"/>
      <c r="T926" s="1111"/>
      <c r="U926" s="1711"/>
      <c r="V926" s="1112"/>
      <c r="W926" s="1719"/>
      <c r="X926" s="1113"/>
      <c r="Y926" s="1113"/>
      <c r="Z926" s="1113"/>
      <c r="AA926" s="1114"/>
      <c r="AB926" s="1719"/>
      <c r="AC926" s="410"/>
      <c r="AD926" s="410"/>
      <c r="AE926" s="1308"/>
    </row>
    <row r="927" spans="1:31" ht="18" customHeight="1">
      <c r="A927" s="5629"/>
      <c r="B927" s="5573"/>
      <c r="C927" s="5337"/>
      <c r="D927" s="5337"/>
      <c r="E927" s="5337"/>
      <c r="F927" s="5337"/>
      <c r="G927" s="5337"/>
      <c r="H927" s="5337"/>
      <c r="I927" s="5337"/>
      <c r="J927" s="5337"/>
      <c r="K927" s="5337"/>
      <c r="L927" s="5337"/>
      <c r="M927" s="5337"/>
      <c r="N927" s="5337"/>
      <c r="O927" s="5337"/>
      <c r="P927" s="5337"/>
      <c r="Q927" s="5345"/>
      <c r="R927" s="1110"/>
      <c r="S927" s="1111"/>
      <c r="T927" s="1111"/>
      <c r="U927" s="1711"/>
      <c r="V927" s="1112"/>
      <c r="W927" s="1719"/>
      <c r="X927" s="1113"/>
      <c r="Y927" s="1113"/>
      <c r="Z927" s="1113"/>
      <c r="AA927" s="1114"/>
      <c r="AB927" s="1719"/>
      <c r="AC927" s="410"/>
      <c r="AD927" s="410"/>
      <c r="AE927" s="1308"/>
    </row>
    <row r="928" spans="1:31" ht="18" customHeight="1">
      <c r="A928" s="5629"/>
      <c r="B928" s="5574"/>
      <c r="C928" s="5338"/>
      <c r="D928" s="5338"/>
      <c r="E928" s="5338"/>
      <c r="F928" s="5338"/>
      <c r="G928" s="5338"/>
      <c r="H928" s="5338"/>
      <c r="I928" s="5337"/>
      <c r="J928" s="5337"/>
      <c r="K928" s="5337"/>
      <c r="L928" s="5337"/>
      <c r="M928" s="5337"/>
      <c r="N928" s="5337"/>
      <c r="O928" s="5337"/>
      <c r="P928" s="5337"/>
      <c r="Q928" s="5345"/>
      <c r="R928" s="1309"/>
      <c r="S928" s="1310"/>
      <c r="T928" s="1310"/>
      <c r="U928" s="277"/>
      <c r="V928" s="1311"/>
      <c r="W928" s="416"/>
      <c r="X928" s="1312"/>
      <c r="Y928" s="1312"/>
      <c r="Z928" s="1312"/>
      <c r="AA928" s="1313"/>
      <c r="AB928" s="416"/>
      <c r="AC928" s="278"/>
      <c r="AD928" s="278"/>
      <c r="AE928" s="1314"/>
    </row>
    <row r="929" spans="1:31" ht="18" customHeight="1">
      <c r="A929" s="5629"/>
      <c r="B929" s="5626" t="s">
        <v>272</v>
      </c>
      <c r="C929" s="5624" t="s">
        <v>302</v>
      </c>
      <c r="D929" s="5624" t="s">
        <v>303</v>
      </c>
      <c r="E929" s="5624" t="s">
        <v>304</v>
      </c>
      <c r="F929" s="5622" t="s">
        <v>305</v>
      </c>
      <c r="G929" s="5624" t="s">
        <v>240</v>
      </c>
      <c r="H929" s="5624" t="s">
        <v>257</v>
      </c>
      <c r="I929" s="5618" t="s">
        <v>3163</v>
      </c>
      <c r="J929" s="5618" t="s">
        <v>3164</v>
      </c>
      <c r="K929" s="5618" t="s">
        <v>3146</v>
      </c>
      <c r="L929" s="5619">
        <v>0</v>
      </c>
      <c r="M929" s="5619">
        <v>1</v>
      </c>
      <c r="N929" s="5619">
        <v>0</v>
      </c>
      <c r="O929" s="5618" t="s">
        <v>3165</v>
      </c>
      <c r="P929" s="5618" t="s">
        <v>3166</v>
      </c>
      <c r="Q929" s="5620" t="s">
        <v>3284</v>
      </c>
      <c r="R929" s="1110"/>
      <c r="S929" s="1111"/>
      <c r="T929" s="1111"/>
      <c r="U929" s="1711"/>
      <c r="V929" s="1112"/>
      <c r="W929" s="1719"/>
      <c r="X929" s="1113"/>
      <c r="Y929" s="1113"/>
      <c r="Z929" s="1113"/>
      <c r="AA929" s="1114"/>
      <c r="AB929" s="1719"/>
      <c r="AC929" s="410"/>
      <c r="AD929" s="410"/>
      <c r="AE929" s="1308"/>
    </row>
    <row r="930" spans="1:31" ht="18" customHeight="1">
      <c r="A930" s="5629"/>
      <c r="B930" s="5573"/>
      <c r="C930" s="5337"/>
      <c r="D930" s="5337"/>
      <c r="E930" s="5337"/>
      <c r="F930" s="5337"/>
      <c r="G930" s="5337"/>
      <c r="H930" s="5337"/>
      <c r="I930" s="5337"/>
      <c r="J930" s="5337"/>
      <c r="K930" s="5337"/>
      <c r="L930" s="5337"/>
      <c r="M930" s="5337"/>
      <c r="N930" s="5337"/>
      <c r="O930" s="5337"/>
      <c r="P930" s="5337"/>
      <c r="Q930" s="5345"/>
      <c r="R930" s="1110"/>
      <c r="S930" s="1111"/>
      <c r="T930" s="1111"/>
      <c r="U930" s="1711"/>
      <c r="V930" s="1112"/>
      <c r="W930" s="1719"/>
      <c r="X930" s="1113"/>
      <c r="Y930" s="1113"/>
      <c r="Z930" s="1113"/>
      <c r="AA930" s="1114"/>
      <c r="AB930" s="1719"/>
      <c r="AC930" s="410"/>
      <c r="AD930" s="410"/>
      <c r="AE930" s="1308"/>
    </row>
    <row r="931" spans="1:31" ht="18" customHeight="1">
      <c r="A931" s="5629"/>
      <c r="B931" s="5573"/>
      <c r="C931" s="5337"/>
      <c r="D931" s="5337"/>
      <c r="E931" s="5337"/>
      <c r="F931" s="5337"/>
      <c r="G931" s="5337"/>
      <c r="H931" s="5337"/>
      <c r="I931" s="5337"/>
      <c r="J931" s="5337"/>
      <c r="K931" s="5337"/>
      <c r="L931" s="5337"/>
      <c r="M931" s="5337"/>
      <c r="N931" s="5337"/>
      <c r="O931" s="5337"/>
      <c r="P931" s="5337"/>
      <c r="Q931" s="5345"/>
      <c r="R931" s="1110"/>
      <c r="S931" s="1111"/>
      <c r="T931" s="1111"/>
      <c r="U931" s="1711"/>
      <c r="V931" s="1112"/>
      <c r="W931" s="1719"/>
      <c r="X931" s="1113"/>
      <c r="Y931" s="1113"/>
      <c r="Z931" s="1113"/>
      <c r="AA931" s="1114"/>
      <c r="AB931" s="1719"/>
      <c r="AC931" s="410"/>
      <c r="AD931" s="410"/>
      <c r="AE931" s="1308"/>
    </row>
    <row r="932" spans="1:31" ht="18" customHeight="1">
      <c r="A932" s="5629"/>
      <c r="B932" s="5573"/>
      <c r="C932" s="5337"/>
      <c r="D932" s="5337"/>
      <c r="E932" s="5337"/>
      <c r="F932" s="5337"/>
      <c r="G932" s="5337"/>
      <c r="H932" s="5337"/>
      <c r="I932" s="5337"/>
      <c r="J932" s="5337"/>
      <c r="K932" s="5337"/>
      <c r="L932" s="5337"/>
      <c r="M932" s="5337"/>
      <c r="N932" s="5337"/>
      <c r="O932" s="5337"/>
      <c r="P932" s="5337"/>
      <c r="Q932" s="5345"/>
      <c r="R932" s="1110"/>
      <c r="S932" s="1111"/>
      <c r="T932" s="1111"/>
      <c r="U932" s="1711"/>
      <c r="V932" s="1112"/>
      <c r="W932" s="1719"/>
      <c r="X932" s="1113"/>
      <c r="Y932" s="1113"/>
      <c r="Z932" s="1113"/>
      <c r="AA932" s="1114"/>
      <c r="AB932" s="1719"/>
      <c r="AC932" s="410"/>
      <c r="AD932" s="410"/>
      <c r="AE932" s="1308"/>
    </row>
    <row r="933" spans="1:31" ht="18" customHeight="1">
      <c r="A933" s="5629"/>
      <c r="B933" s="5574"/>
      <c r="C933" s="5338"/>
      <c r="D933" s="5338"/>
      <c r="E933" s="5338"/>
      <c r="F933" s="5338"/>
      <c r="G933" s="5338"/>
      <c r="H933" s="5338"/>
      <c r="I933" s="5338"/>
      <c r="J933" s="5338"/>
      <c r="K933" s="5338"/>
      <c r="L933" s="5338"/>
      <c r="M933" s="5338"/>
      <c r="N933" s="5338"/>
      <c r="O933" s="5338"/>
      <c r="P933" s="5338"/>
      <c r="Q933" s="5346"/>
      <c r="R933" s="1309"/>
      <c r="S933" s="1310"/>
      <c r="T933" s="1310"/>
      <c r="U933" s="277"/>
      <c r="V933" s="1311"/>
      <c r="W933" s="416"/>
      <c r="X933" s="1312"/>
      <c r="Y933" s="1312"/>
      <c r="Z933" s="1312"/>
      <c r="AA933" s="1313"/>
      <c r="AB933" s="416"/>
      <c r="AC933" s="278"/>
      <c r="AD933" s="278"/>
      <c r="AE933" s="1314"/>
    </row>
    <row r="934" spans="1:31" ht="18" customHeight="1">
      <c r="A934" s="5629"/>
      <c r="B934" s="5626" t="s">
        <v>272</v>
      </c>
      <c r="C934" s="5624" t="s">
        <v>302</v>
      </c>
      <c r="D934" s="5624" t="s">
        <v>303</v>
      </c>
      <c r="E934" s="5624" t="s">
        <v>304</v>
      </c>
      <c r="F934" s="5622" t="s">
        <v>305</v>
      </c>
      <c r="G934" s="5624" t="s">
        <v>240</v>
      </c>
      <c r="H934" s="5624" t="s">
        <v>257</v>
      </c>
      <c r="I934" s="5618" t="s">
        <v>3167</v>
      </c>
      <c r="J934" s="5618" t="s">
        <v>3168</v>
      </c>
      <c r="K934" s="5618" t="s">
        <v>3006</v>
      </c>
      <c r="L934" s="5619">
        <v>2</v>
      </c>
      <c r="M934" s="5619">
        <v>0</v>
      </c>
      <c r="N934" s="5619">
        <v>2</v>
      </c>
      <c r="O934" s="5618" t="s">
        <v>3169</v>
      </c>
      <c r="P934" s="5618" t="s">
        <v>3170</v>
      </c>
      <c r="Q934" s="5620" t="s">
        <v>3284</v>
      </c>
      <c r="R934" s="1110"/>
      <c r="S934" s="1111"/>
      <c r="T934" s="1111"/>
      <c r="U934" s="1711"/>
      <c r="V934" s="1112"/>
      <c r="W934" s="1719"/>
      <c r="X934" s="1113"/>
      <c r="Y934" s="1113"/>
      <c r="Z934" s="1113"/>
      <c r="AA934" s="1114"/>
      <c r="AB934" s="1719"/>
      <c r="AC934" s="410"/>
      <c r="AD934" s="410"/>
      <c r="AE934" s="1308"/>
    </row>
    <row r="935" spans="1:31" ht="18" customHeight="1">
      <c r="A935" s="5629"/>
      <c r="B935" s="5573"/>
      <c r="C935" s="5337"/>
      <c r="D935" s="5337"/>
      <c r="E935" s="5337"/>
      <c r="F935" s="5337"/>
      <c r="G935" s="5337"/>
      <c r="H935" s="5337"/>
      <c r="I935" s="5337"/>
      <c r="J935" s="5337"/>
      <c r="K935" s="5337"/>
      <c r="L935" s="5337"/>
      <c r="M935" s="5337"/>
      <c r="N935" s="5337"/>
      <c r="O935" s="5337"/>
      <c r="P935" s="5337"/>
      <c r="Q935" s="5345"/>
      <c r="R935" s="1110"/>
      <c r="S935" s="1111"/>
      <c r="T935" s="1111"/>
      <c r="U935" s="1711"/>
      <c r="V935" s="1112"/>
      <c r="W935" s="1719"/>
      <c r="X935" s="1113"/>
      <c r="Y935" s="1113"/>
      <c r="Z935" s="1113"/>
      <c r="AA935" s="1114"/>
      <c r="AB935" s="1719"/>
      <c r="AC935" s="410"/>
      <c r="AD935" s="410"/>
      <c r="AE935" s="1308"/>
    </row>
    <row r="936" spans="1:31" ht="18" customHeight="1">
      <c r="A936" s="5629"/>
      <c r="B936" s="5573"/>
      <c r="C936" s="5337"/>
      <c r="D936" s="5337"/>
      <c r="E936" s="5337"/>
      <c r="F936" s="5337"/>
      <c r="G936" s="5337"/>
      <c r="H936" s="5337"/>
      <c r="I936" s="5337"/>
      <c r="J936" s="5337"/>
      <c r="K936" s="5337"/>
      <c r="L936" s="5337"/>
      <c r="M936" s="5337"/>
      <c r="N936" s="5337"/>
      <c r="O936" s="5337"/>
      <c r="P936" s="5337"/>
      <c r="Q936" s="5345"/>
      <c r="R936" s="1110"/>
      <c r="S936" s="1111"/>
      <c r="T936" s="1111"/>
      <c r="U936" s="1711"/>
      <c r="V936" s="1112"/>
      <c r="W936" s="1719"/>
      <c r="X936" s="1113"/>
      <c r="Y936" s="1113"/>
      <c r="Z936" s="1113"/>
      <c r="AA936" s="1114"/>
      <c r="AB936" s="1719"/>
      <c r="AC936" s="410"/>
      <c r="AD936" s="410"/>
      <c r="AE936" s="1308"/>
    </row>
    <row r="937" spans="1:31" ht="18" customHeight="1">
      <c r="A937" s="5629"/>
      <c r="B937" s="5573"/>
      <c r="C937" s="5337"/>
      <c r="D937" s="5337"/>
      <c r="E937" s="5337"/>
      <c r="F937" s="5337"/>
      <c r="G937" s="5337"/>
      <c r="H937" s="5337"/>
      <c r="I937" s="5337"/>
      <c r="J937" s="5337"/>
      <c r="K937" s="5337"/>
      <c r="L937" s="5337"/>
      <c r="M937" s="5337"/>
      <c r="N937" s="5337"/>
      <c r="O937" s="5337"/>
      <c r="P937" s="5337"/>
      <c r="Q937" s="5345"/>
      <c r="R937" s="1110"/>
      <c r="S937" s="1111"/>
      <c r="T937" s="1111"/>
      <c r="U937" s="1711"/>
      <c r="V937" s="1112"/>
      <c r="W937" s="1719"/>
      <c r="X937" s="1113"/>
      <c r="Y937" s="1113"/>
      <c r="Z937" s="1113"/>
      <c r="AA937" s="1114"/>
      <c r="AB937" s="1719"/>
      <c r="AC937" s="410"/>
      <c r="AD937" s="410"/>
      <c r="AE937" s="1308"/>
    </row>
    <row r="938" spans="1:31" ht="18" customHeight="1">
      <c r="A938" s="5629"/>
      <c r="B938" s="5574"/>
      <c r="C938" s="5338"/>
      <c r="D938" s="5338"/>
      <c r="E938" s="5338"/>
      <c r="F938" s="5338"/>
      <c r="G938" s="5338"/>
      <c r="H938" s="5338"/>
      <c r="I938" s="5337"/>
      <c r="J938" s="5337"/>
      <c r="K938" s="5337"/>
      <c r="L938" s="5337"/>
      <c r="M938" s="5337"/>
      <c r="N938" s="5337"/>
      <c r="O938" s="5337"/>
      <c r="P938" s="5337"/>
      <c r="Q938" s="5345"/>
      <c r="R938" s="1309"/>
      <c r="S938" s="1310"/>
      <c r="T938" s="1310"/>
      <c r="U938" s="277"/>
      <c r="V938" s="1311"/>
      <c r="W938" s="416"/>
      <c r="X938" s="1312"/>
      <c r="Y938" s="1312"/>
      <c r="Z938" s="1312"/>
      <c r="AA938" s="1313"/>
      <c r="AB938" s="416"/>
      <c r="AC938" s="278"/>
      <c r="AD938" s="278"/>
      <c r="AE938" s="1314"/>
    </row>
    <row r="939" spans="1:31" ht="18" customHeight="1">
      <c r="A939" s="5629"/>
      <c r="B939" s="5626" t="s">
        <v>272</v>
      </c>
      <c r="C939" s="5624" t="s">
        <v>302</v>
      </c>
      <c r="D939" s="5624" t="s">
        <v>303</v>
      </c>
      <c r="E939" s="5624" t="s">
        <v>304</v>
      </c>
      <c r="F939" s="5622" t="s">
        <v>305</v>
      </c>
      <c r="G939" s="5624" t="s">
        <v>240</v>
      </c>
      <c r="H939" s="5624" t="s">
        <v>257</v>
      </c>
      <c r="I939" s="5618" t="s">
        <v>3171</v>
      </c>
      <c r="J939" s="5618" t="s">
        <v>3172</v>
      </c>
      <c r="K939" s="5618" t="s">
        <v>3173</v>
      </c>
      <c r="L939" s="5619">
        <v>4</v>
      </c>
      <c r="M939" s="5619">
        <v>4</v>
      </c>
      <c r="N939" s="5619">
        <v>4</v>
      </c>
      <c r="O939" s="5618" t="s">
        <v>3174</v>
      </c>
      <c r="P939" s="5618" t="s">
        <v>3175</v>
      </c>
      <c r="Q939" s="5620" t="s">
        <v>3286</v>
      </c>
      <c r="R939" s="1110"/>
      <c r="S939" s="1111"/>
      <c r="T939" s="1111"/>
      <c r="U939" s="1711"/>
      <c r="V939" s="1112"/>
      <c r="W939" s="1719"/>
      <c r="X939" s="1113"/>
      <c r="Y939" s="1113"/>
      <c r="Z939" s="1113"/>
      <c r="AA939" s="1114"/>
      <c r="AB939" s="1719"/>
      <c r="AC939" s="410"/>
      <c r="AD939" s="410"/>
      <c r="AE939" s="1308"/>
    </row>
    <row r="940" spans="1:31" ht="18" customHeight="1">
      <c r="A940" s="5629"/>
      <c r="B940" s="5573"/>
      <c r="C940" s="5337"/>
      <c r="D940" s="5337"/>
      <c r="E940" s="5337"/>
      <c r="F940" s="5337"/>
      <c r="G940" s="5337"/>
      <c r="H940" s="5337"/>
      <c r="I940" s="5337"/>
      <c r="J940" s="5337"/>
      <c r="K940" s="5337"/>
      <c r="L940" s="5337"/>
      <c r="M940" s="5337"/>
      <c r="N940" s="5337"/>
      <c r="O940" s="5337"/>
      <c r="P940" s="5337"/>
      <c r="Q940" s="5345"/>
      <c r="R940" s="1110"/>
      <c r="S940" s="1111"/>
      <c r="T940" s="1111"/>
      <c r="U940" s="1711"/>
      <c r="V940" s="1112"/>
      <c r="W940" s="1719"/>
      <c r="X940" s="1113"/>
      <c r="Y940" s="1113"/>
      <c r="Z940" s="1113"/>
      <c r="AA940" s="1114"/>
      <c r="AB940" s="1719"/>
      <c r="AC940" s="410"/>
      <c r="AD940" s="410"/>
      <c r="AE940" s="1308"/>
    </row>
    <row r="941" spans="1:31" ht="18" customHeight="1">
      <c r="A941" s="5629"/>
      <c r="B941" s="5573"/>
      <c r="C941" s="5337"/>
      <c r="D941" s="5337"/>
      <c r="E941" s="5337"/>
      <c r="F941" s="5337"/>
      <c r="G941" s="5337"/>
      <c r="H941" s="5337"/>
      <c r="I941" s="5337"/>
      <c r="J941" s="5337"/>
      <c r="K941" s="5337"/>
      <c r="L941" s="5337"/>
      <c r="M941" s="5337"/>
      <c r="N941" s="5337"/>
      <c r="O941" s="5337"/>
      <c r="P941" s="5337"/>
      <c r="Q941" s="5345"/>
      <c r="R941" s="1110"/>
      <c r="S941" s="1111"/>
      <c r="T941" s="1111"/>
      <c r="U941" s="1711"/>
      <c r="V941" s="1112"/>
      <c r="W941" s="1719"/>
      <c r="X941" s="1113"/>
      <c r="Y941" s="1113"/>
      <c r="Z941" s="1113"/>
      <c r="AA941" s="1114"/>
      <c r="AB941" s="1719"/>
      <c r="AC941" s="410"/>
      <c r="AD941" s="410"/>
      <c r="AE941" s="1308"/>
    </row>
    <row r="942" spans="1:31" ht="18" customHeight="1">
      <c r="A942" s="5629"/>
      <c r="B942" s="5573"/>
      <c r="C942" s="5337"/>
      <c r="D942" s="5337"/>
      <c r="E942" s="5337"/>
      <c r="F942" s="5337"/>
      <c r="G942" s="5337"/>
      <c r="H942" s="5337"/>
      <c r="I942" s="5337"/>
      <c r="J942" s="5337"/>
      <c r="K942" s="5337"/>
      <c r="L942" s="5337"/>
      <c r="M942" s="5337"/>
      <c r="N942" s="5337"/>
      <c r="O942" s="5337"/>
      <c r="P942" s="5337"/>
      <c r="Q942" s="5345"/>
      <c r="R942" s="1110"/>
      <c r="S942" s="1111"/>
      <c r="T942" s="1111"/>
      <c r="U942" s="1711"/>
      <c r="V942" s="1112"/>
      <c r="W942" s="1719"/>
      <c r="X942" s="1113"/>
      <c r="Y942" s="1113"/>
      <c r="Z942" s="1113"/>
      <c r="AA942" s="1114"/>
      <c r="AB942" s="1719"/>
      <c r="AC942" s="410"/>
      <c r="AD942" s="410"/>
      <c r="AE942" s="1308"/>
    </row>
    <row r="943" spans="1:31" ht="18" customHeight="1">
      <c r="A943" s="5629"/>
      <c r="B943" s="5574"/>
      <c r="C943" s="5338"/>
      <c r="D943" s="5338"/>
      <c r="E943" s="5338"/>
      <c r="F943" s="5338"/>
      <c r="G943" s="5338"/>
      <c r="H943" s="5338"/>
      <c r="I943" s="5338"/>
      <c r="J943" s="5338"/>
      <c r="K943" s="5338"/>
      <c r="L943" s="5338"/>
      <c r="M943" s="5338"/>
      <c r="N943" s="5338"/>
      <c r="O943" s="5338"/>
      <c r="P943" s="5338"/>
      <c r="Q943" s="5346"/>
      <c r="R943" s="1309"/>
      <c r="S943" s="1310"/>
      <c r="T943" s="1310"/>
      <c r="U943" s="277"/>
      <c r="V943" s="1311"/>
      <c r="W943" s="416"/>
      <c r="X943" s="1312"/>
      <c r="Y943" s="1312"/>
      <c r="Z943" s="1312"/>
      <c r="AA943" s="1313"/>
      <c r="AB943" s="416"/>
      <c r="AC943" s="278"/>
      <c r="AD943" s="278"/>
      <c r="AE943" s="1314"/>
    </row>
    <row r="944" spans="1:31" ht="18" customHeight="1">
      <c r="A944" s="5629"/>
      <c r="B944" s="5626" t="s">
        <v>272</v>
      </c>
      <c r="C944" s="5624" t="s">
        <v>302</v>
      </c>
      <c r="D944" s="5624" t="s">
        <v>303</v>
      </c>
      <c r="E944" s="5624" t="s">
        <v>304</v>
      </c>
      <c r="F944" s="5622" t="s">
        <v>305</v>
      </c>
      <c r="G944" s="5624" t="s">
        <v>240</v>
      </c>
      <c r="H944" s="5624" t="s">
        <v>257</v>
      </c>
      <c r="I944" s="5618" t="s">
        <v>3177</v>
      </c>
      <c r="J944" s="5618" t="s">
        <v>3178</v>
      </c>
      <c r="K944" s="5618" t="s">
        <v>3146</v>
      </c>
      <c r="L944" s="5619">
        <v>1</v>
      </c>
      <c r="M944" s="5619">
        <v>1</v>
      </c>
      <c r="N944" s="5619">
        <v>1</v>
      </c>
      <c r="O944" s="5618" t="s">
        <v>3179</v>
      </c>
      <c r="P944" s="5618" t="s">
        <v>3180</v>
      </c>
      <c r="Q944" s="5620" t="s">
        <v>3286</v>
      </c>
      <c r="R944" s="1110"/>
      <c r="S944" s="1111"/>
      <c r="T944" s="1111"/>
      <c r="U944" s="1711"/>
      <c r="V944" s="1112"/>
      <c r="W944" s="1719"/>
      <c r="X944" s="1113"/>
      <c r="Y944" s="1113"/>
      <c r="Z944" s="1113"/>
      <c r="AA944" s="1114"/>
      <c r="AB944" s="1719"/>
      <c r="AC944" s="410"/>
      <c r="AD944" s="410"/>
      <c r="AE944" s="1308"/>
    </row>
    <row r="945" spans="1:31" ht="18" customHeight="1">
      <c r="A945" s="5629"/>
      <c r="B945" s="5573"/>
      <c r="C945" s="5337"/>
      <c r="D945" s="5337"/>
      <c r="E945" s="5337"/>
      <c r="F945" s="5337"/>
      <c r="G945" s="5337"/>
      <c r="H945" s="5337"/>
      <c r="I945" s="5337"/>
      <c r="J945" s="5337"/>
      <c r="K945" s="5337"/>
      <c r="L945" s="5337"/>
      <c r="M945" s="5337"/>
      <c r="N945" s="5337"/>
      <c r="O945" s="5337"/>
      <c r="P945" s="5337"/>
      <c r="Q945" s="5345"/>
      <c r="R945" s="1110"/>
      <c r="S945" s="1111"/>
      <c r="T945" s="1111"/>
      <c r="U945" s="1711"/>
      <c r="V945" s="1112"/>
      <c r="W945" s="1719"/>
      <c r="X945" s="1113"/>
      <c r="Y945" s="1113"/>
      <c r="Z945" s="1113"/>
      <c r="AA945" s="1114"/>
      <c r="AB945" s="1719"/>
      <c r="AC945" s="410"/>
      <c r="AD945" s="410"/>
      <c r="AE945" s="1308"/>
    </row>
    <row r="946" spans="1:31" ht="18" customHeight="1">
      <c r="A946" s="5629"/>
      <c r="B946" s="5573"/>
      <c r="C946" s="5337"/>
      <c r="D946" s="5337"/>
      <c r="E946" s="5337"/>
      <c r="F946" s="5337"/>
      <c r="G946" s="5337"/>
      <c r="H946" s="5337"/>
      <c r="I946" s="5337"/>
      <c r="J946" s="5337"/>
      <c r="K946" s="5337"/>
      <c r="L946" s="5337"/>
      <c r="M946" s="5337"/>
      <c r="N946" s="5337"/>
      <c r="O946" s="5337"/>
      <c r="P946" s="5337"/>
      <c r="Q946" s="5345"/>
      <c r="R946" s="1110"/>
      <c r="S946" s="1111"/>
      <c r="T946" s="1111"/>
      <c r="U946" s="1711"/>
      <c r="V946" s="1112"/>
      <c r="W946" s="1719"/>
      <c r="X946" s="1113"/>
      <c r="Y946" s="1113"/>
      <c r="Z946" s="1113"/>
      <c r="AA946" s="1114"/>
      <c r="AB946" s="1719"/>
      <c r="AC946" s="410"/>
      <c r="AD946" s="410"/>
      <c r="AE946" s="1308"/>
    </row>
    <row r="947" spans="1:31" ht="18" customHeight="1">
      <c r="A947" s="5629"/>
      <c r="B947" s="5573"/>
      <c r="C947" s="5337"/>
      <c r="D947" s="5337"/>
      <c r="E947" s="5337"/>
      <c r="F947" s="5337"/>
      <c r="G947" s="5337"/>
      <c r="H947" s="5337"/>
      <c r="I947" s="5337"/>
      <c r="J947" s="5337"/>
      <c r="K947" s="5337"/>
      <c r="L947" s="5337"/>
      <c r="M947" s="5337"/>
      <c r="N947" s="5337"/>
      <c r="O947" s="5337"/>
      <c r="P947" s="5337"/>
      <c r="Q947" s="5345"/>
      <c r="R947" s="1110"/>
      <c r="S947" s="1111"/>
      <c r="T947" s="1111"/>
      <c r="U947" s="1711"/>
      <c r="V947" s="1112"/>
      <c r="W947" s="1719"/>
      <c r="X947" s="1113"/>
      <c r="Y947" s="1113"/>
      <c r="Z947" s="1113"/>
      <c r="AA947" s="1114"/>
      <c r="AB947" s="1719"/>
      <c r="AC947" s="410"/>
      <c r="AD947" s="410"/>
      <c r="AE947" s="1308"/>
    </row>
    <row r="948" spans="1:31" ht="18" customHeight="1">
      <c r="A948" s="5629"/>
      <c r="B948" s="5574"/>
      <c r="C948" s="5338"/>
      <c r="D948" s="5338"/>
      <c r="E948" s="5338"/>
      <c r="F948" s="5338"/>
      <c r="G948" s="5338"/>
      <c r="H948" s="5338"/>
      <c r="I948" s="5338"/>
      <c r="J948" s="5338"/>
      <c r="K948" s="5338"/>
      <c r="L948" s="5338"/>
      <c r="M948" s="5338"/>
      <c r="N948" s="5338"/>
      <c r="O948" s="5338"/>
      <c r="P948" s="5338"/>
      <c r="Q948" s="5346"/>
      <c r="R948" s="1309"/>
      <c r="S948" s="1310"/>
      <c r="T948" s="1310"/>
      <c r="U948" s="277"/>
      <c r="V948" s="1311"/>
      <c r="W948" s="416"/>
      <c r="X948" s="1312"/>
      <c r="Y948" s="1312"/>
      <c r="Z948" s="1312"/>
      <c r="AA948" s="1313"/>
      <c r="AB948" s="416"/>
      <c r="AC948" s="278"/>
      <c r="AD948" s="278"/>
      <c r="AE948" s="1314"/>
    </row>
    <row r="949" spans="1:31" ht="18" customHeight="1">
      <c r="A949" s="5629"/>
      <c r="B949" s="5626" t="s">
        <v>272</v>
      </c>
      <c r="C949" s="5624" t="s">
        <v>302</v>
      </c>
      <c r="D949" s="5624" t="s">
        <v>303</v>
      </c>
      <c r="E949" s="5624" t="s">
        <v>304</v>
      </c>
      <c r="F949" s="5622" t="s">
        <v>305</v>
      </c>
      <c r="G949" s="5624" t="s">
        <v>240</v>
      </c>
      <c r="H949" s="5624" t="s">
        <v>257</v>
      </c>
      <c r="I949" s="5618" t="s">
        <v>3181</v>
      </c>
      <c r="J949" s="5618" t="s">
        <v>3182</v>
      </c>
      <c r="K949" s="5618" t="s">
        <v>3173</v>
      </c>
      <c r="L949" s="5619">
        <v>0</v>
      </c>
      <c r="M949" s="5619">
        <v>1</v>
      </c>
      <c r="N949" s="5619">
        <v>1</v>
      </c>
      <c r="O949" s="5618" t="s">
        <v>3183</v>
      </c>
      <c r="P949" s="5618" t="s">
        <v>3184</v>
      </c>
      <c r="Q949" s="5620" t="s">
        <v>3286</v>
      </c>
      <c r="R949" s="1110"/>
      <c r="S949" s="1111"/>
      <c r="T949" s="1111"/>
      <c r="U949" s="1711"/>
      <c r="V949" s="1112"/>
      <c r="W949" s="1719"/>
      <c r="X949" s="1113"/>
      <c r="Y949" s="1113"/>
      <c r="Z949" s="1113"/>
      <c r="AA949" s="1114"/>
      <c r="AB949" s="1719"/>
      <c r="AC949" s="410"/>
      <c r="AD949" s="410"/>
      <c r="AE949" s="1308"/>
    </row>
    <row r="950" spans="1:31" ht="18" customHeight="1">
      <c r="A950" s="5629"/>
      <c r="B950" s="5573"/>
      <c r="C950" s="5337"/>
      <c r="D950" s="5337"/>
      <c r="E950" s="5337"/>
      <c r="F950" s="5337"/>
      <c r="G950" s="5337"/>
      <c r="H950" s="5337"/>
      <c r="I950" s="5337"/>
      <c r="J950" s="5337"/>
      <c r="K950" s="5337"/>
      <c r="L950" s="5337"/>
      <c r="M950" s="5337"/>
      <c r="N950" s="5337"/>
      <c r="O950" s="5337"/>
      <c r="P950" s="5337"/>
      <c r="Q950" s="5345"/>
      <c r="R950" s="1110"/>
      <c r="S950" s="1111"/>
      <c r="T950" s="1111"/>
      <c r="U950" s="1711"/>
      <c r="V950" s="1112"/>
      <c r="W950" s="1719"/>
      <c r="X950" s="1113"/>
      <c r="Y950" s="1113"/>
      <c r="Z950" s="1113"/>
      <c r="AA950" s="1114"/>
      <c r="AB950" s="1719"/>
      <c r="AC950" s="410"/>
      <c r="AD950" s="410"/>
      <c r="AE950" s="1308"/>
    </row>
    <row r="951" spans="1:31" ht="18" customHeight="1">
      <c r="A951" s="5629"/>
      <c r="B951" s="5573"/>
      <c r="C951" s="5337"/>
      <c r="D951" s="5337"/>
      <c r="E951" s="5337"/>
      <c r="F951" s="5337"/>
      <c r="G951" s="5337"/>
      <c r="H951" s="5337"/>
      <c r="I951" s="5337"/>
      <c r="J951" s="5337"/>
      <c r="K951" s="5337"/>
      <c r="L951" s="5337"/>
      <c r="M951" s="5337"/>
      <c r="N951" s="5337"/>
      <c r="O951" s="5337"/>
      <c r="P951" s="5337"/>
      <c r="Q951" s="5345"/>
      <c r="R951" s="1110"/>
      <c r="S951" s="1111"/>
      <c r="T951" s="1111"/>
      <c r="U951" s="1711"/>
      <c r="V951" s="1112"/>
      <c r="W951" s="1719"/>
      <c r="X951" s="1113"/>
      <c r="Y951" s="1113"/>
      <c r="Z951" s="1113"/>
      <c r="AA951" s="1114"/>
      <c r="AB951" s="1719"/>
      <c r="AC951" s="410"/>
      <c r="AD951" s="410"/>
      <c r="AE951" s="1308"/>
    </row>
    <row r="952" spans="1:31" ht="18" customHeight="1">
      <c r="A952" s="5629"/>
      <c r="B952" s="5573"/>
      <c r="C952" s="5337"/>
      <c r="D952" s="5337"/>
      <c r="E952" s="5337"/>
      <c r="F952" s="5337"/>
      <c r="G952" s="5337"/>
      <c r="H952" s="5337"/>
      <c r="I952" s="5337"/>
      <c r="J952" s="5337"/>
      <c r="K952" s="5337"/>
      <c r="L952" s="5337"/>
      <c r="M952" s="5337"/>
      <c r="N952" s="5337"/>
      <c r="O952" s="5337"/>
      <c r="P952" s="5337"/>
      <c r="Q952" s="5345"/>
      <c r="R952" s="1110"/>
      <c r="S952" s="1111"/>
      <c r="T952" s="1111"/>
      <c r="U952" s="1711"/>
      <c r="V952" s="1112"/>
      <c r="W952" s="1719"/>
      <c r="X952" s="1113"/>
      <c r="Y952" s="1113"/>
      <c r="Z952" s="1113"/>
      <c r="AA952" s="1114"/>
      <c r="AB952" s="1719"/>
      <c r="AC952" s="410"/>
      <c r="AD952" s="410"/>
      <c r="AE952" s="1308"/>
    </row>
    <row r="953" spans="1:31" ht="18" customHeight="1">
      <c r="A953" s="5629"/>
      <c r="B953" s="5574"/>
      <c r="C953" s="5338"/>
      <c r="D953" s="5338"/>
      <c r="E953" s="5338"/>
      <c r="F953" s="5338"/>
      <c r="G953" s="5338"/>
      <c r="H953" s="5338"/>
      <c r="I953" s="5338"/>
      <c r="J953" s="5338"/>
      <c r="K953" s="5338"/>
      <c r="L953" s="5338"/>
      <c r="M953" s="5338"/>
      <c r="N953" s="5338"/>
      <c r="O953" s="5338"/>
      <c r="P953" s="5338"/>
      <c r="Q953" s="5346"/>
      <c r="R953" s="1309"/>
      <c r="S953" s="1310"/>
      <c r="T953" s="1310"/>
      <c r="U953" s="277"/>
      <c r="V953" s="1311"/>
      <c r="W953" s="416"/>
      <c r="X953" s="1312"/>
      <c r="Y953" s="1312"/>
      <c r="Z953" s="1312"/>
      <c r="AA953" s="1313"/>
      <c r="AB953" s="416"/>
      <c r="AC953" s="278"/>
      <c r="AD953" s="278"/>
      <c r="AE953" s="1314"/>
    </row>
    <row r="954" spans="1:31" ht="18" customHeight="1">
      <c r="A954" s="5629"/>
      <c r="B954" s="5627" t="s">
        <v>235</v>
      </c>
      <c r="C954" s="5347" t="s">
        <v>236</v>
      </c>
      <c r="D954" s="5347" t="s">
        <v>237</v>
      </c>
      <c r="E954" s="5347" t="s">
        <v>255</v>
      </c>
      <c r="F954" s="5353" t="s">
        <v>239</v>
      </c>
      <c r="G954" s="5336" t="s">
        <v>240</v>
      </c>
      <c r="H954" s="5336" t="s">
        <v>257</v>
      </c>
      <c r="I954" s="5618" t="s">
        <v>3185</v>
      </c>
      <c r="J954" s="5618" t="s">
        <v>3186</v>
      </c>
      <c r="K954" s="5618" t="s">
        <v>3187</v>
      </c>
      <c r="L954" s="5619">
        <v>1</v>
      </c>
      <c r="M954" s="5619">
        <v>1</v>
      </c>
      <c r="N954" s="5619">
        <v>1</v>
      </c>
      <c r="O954" s="5618" t="s">
        <v>3188</v>
      </c>
      <c r="P954" s="5618" t="s">
        <v>3189</v>
      </c>
      <c r="Q954" s="5620" t="s">
        <v>3284</v>
      </c>
      <c r="R954" s="1110"/>
      <c r="S954" s="1111"/>
      <c r="T954" s="1111"/>
      <c r="U954" s="1711"/>
      <c r="V954" s="1112"/>
      <c r="W954" s="1719"/>
      <c r="X954" s="1113"/>
      <c r="Y954" s="1113"/>
      <c r="Z954" s="1113"/>
      <c r="AA954" s="1114"/>
      <c r="AB954" s="1719"/>
      <c r="AC954" s="410"/>
      <c r="AD954" s="410"/>
      <c r="AE954" s="1308"/>
    </row>
    <row r="955" spans="1:31" ht="18" customHeight="1">
      <c r="A955" s="5629"/>
      <c r="B955" s="5573"/>
      <c r="C955" s="5337"/>
      <c r="D955" s="5337"/>
      <c r="E955" s="5337"/>
      <c r="F955" s="5337"/>
      <c r="G955" s="5337"/>
      <c r="H955" s="5337"/>
      <c r="I955" s="5337"/>
      <c r="J955" s="5337"/>
      <c r="K955" s="5337"/>
      <c r="L955" s="5337"/>
      <c r="M955" s="5337"/>
      <c r="N955" s="5337"/>
      <c r="O955" s="5337"/>
      <c r="P955" s="5337"/>
      <c r="Q955" s="5345"/>
      <c r="R955" s="1110"/>
      <c r="S955" s="1111"/>
      <c r="T955" s="1111"/>
      <c r="U955" s="1711"/>
      <c r="V955" s="1112"/>
      <c r="W955" s="1719"/>
      <c r="X955" s="1113"/>
      <c r="Y955" s="1113"/>
      <c r="Z955" s="1113"/>
      <c r="AA955" s="1114"/>
      <c r="AB955" s="1719"/>
      <c r="AC955" s="410"/>
      <c r="AD955" s="410"/>
      <c r="AE955" s="1308"/>
    </row>
    <row r="956" spans="1:31" ht="18" customHeight="1">
      <c r="A956" s="5629"/>
      <c r="B956" s="5573"/>
      <c r="C956" s="5337"/>
      <c r="D956" s="5337"/>
      <c r="E956" s="5337"/>
      <c r="F956" s="5337"/>
      <c r="G956" s="5337"/>
      <c r="H956" s="5337"/>
      <c r="I956" s="5337"/>
      <c r="J956" s="5337"/>
      <c r="K956" s="5337"/>
      <c r="L956" s="5337"/>
      <c r="M956" s="5337"/>
      <c r="N956" s="5337"/>
      <c r="O956" s="5337"/>
      <c r="P956" s="5337"/>
      <c r="Q956" s="5345"/>
      <c r="R956" s="1110"/>
      <c r="S956" s="1111"/>
      <c r="T956" s="1111"/>
      <c r="U956" s="1711"/>
      <c r="V956" s="1112"/>
      <c r="W956" s="1719"/>
      <c r="X956" s="1113"/>
      <c r="Y956" s="1113"/>
      <c r="Z956" s="1113"/>
      <c r="AA956" s="1114"/>
      <c r="AB956" s="1719"/>
      <c r="AC956" s="410"/>
      <c r="AD956" s="410"/>
      <c r="AE956" s="1308"/>
    </row>
    <row r="957" spans="1:31" ht="18" customHeight="1">
      <c r="A957" s="5629"/>
      <c r="B957" s="5573"/>
      <c r="C957" s="5337"/>
      <c r="D957" s="5337"/>
      <c r="E957" s="5337"/>
      <c r="F957" s="5337"/>
      <c r="G957" s="5337"/>
      <c r="H957" s="5337"/>
      <c r="I957" s="5337"/>
      <c r="J957" s="5337"/>
      <c r="K957" s="5337"/>
      <c r="L957" s="5337"/>
      <c r="M957" s="5337"/>
      <c r="N957" s="5337"/>
      <c r="O957" s="5337"/>
      <c r="P957" s="5337"/>
      <c r="Q957" s="5345"/>
      <c r="R957" s="1110"/>
      <c r="S957" s="1111"/>
      <c r="T957" s="1111"/>
      <c r="U957" s="1711"/>
      <c r="V957" s="1112"/>
      <c r="W957" s="1719"/>
      <c r="X957" s="1113"/>
      <c r="Y957" s="1113"/>
      <c r="Z957" s="1113"/>
      <c r="AA957" s="1114"/>
      <c r="AB957" s="1719"/>
      <c r="AC957" s="410"/>
      <c r="AD957" s="410"/>
      <c r="AE957" s="1308"/>
    </row>
    <row r="958" spans="1:31" ht="18" customHeight="1">
      <c r="A958" s="5629"/>
      <c r="B958" s="5574"/>
      <c r="C958" s="5338"/>
      <c r="D958" s="5338"/>
      <c r="E958" s="5338"/>
      <c r="F958" s="5338"/>
      <c r="G958" s="5338"/>
      <c r="H958" s="5338"/>
      <c r="I958" s="5338"/>
      <c r="J958" s="5338"/>
      <c r="K958" s="5338"/>
      <c r="L958" s="5338"/>
      <c r="M958" s="5338"/>
      <c r="N958" s="5338"/>
      <c r="O958" s="5338"/>
      <c r="P958" s="5338"/>
      <c r="Q958" s="5346"/>
      <c r="R958" s="1309"/>
      <c r="S958" s="1310"/>
      <c r="T958" s="1310"/>
      <c r="U958" s="277"/>
      <c r="V958" s="1311"/>
      <c r="W958" s="416"/>
      <c r="X958" s="1312"/>
      <c r="Y958" s="1312"/>
      <c r="Z958" s="1312"/>
      <c r="AA958" s="1313"/>
      <c r="AB958" s="416"/>
      <c r="AC958" s="278"/>
      <c r="AD958" s="278"/>
      <c r="AE958" s="1314"/>
    </row>
    <row r="959" spans="1:31" ht="18" customHeight="1">
      <c r="A959" s="5629"/>
      <c r="B959" s="5626" t="s">
        <v>272</v>
      </c>
      <c r="C959" s="5624" t="s">
        <v>302</v>
      </c>
      <c r="D959" s="5624" t="s">
        <v>303</v>
      </c>
      <c r="E959" s="5624" t="s">
        <v>304</v>
      </c>
      <c r="F959" s="5622" t="s">
        <v>305</v>
      </c>
      <c r="G959" s="5624" t="s">
        <v>240</v>
      </c>
      <c r="H959" s="5624" t="s">
        <v>257</v>
      </c>
      <c r="I959" s="5618" t="s">
        <v>3190</v>
      </c>
      <c r="J959" s="5618" t="s">
        <v>3191</v>
      </c>
      <c r="K959" s="5618" t="s">
        <v>2995</v>
      </c>
      <c r="L959" s="5619">
        <v>0</v>
      </c>
      <c r="M959" s="5619">
        <v>1</v>
      </c>
      <c r="N959" s="5619">
        <v>0</v>
      </c>
      <c r="O959" s="5618" t="s">
        <v>2996</v>
      </c>
      <c r="P959" s="5618" t="s">
        <v>2997</v>
      </c>
      <c r="Q959" s="5620" t="s">
        <v>3286</v>
      </c>
      <c r="R959" s="1110"/>
      <c r="S959" s="1111"/>
      <c r="T959" s="1111"/>
      <c r="U959" s="1711"/>
      <c r="V959" s="1112"/>
      <c r="W959" s="1719"/>
      <c r="X959" s="1113"/>
      <c r="Y959" s="1113"/>
      <c r="Z959" s="1113"/>
      <c r="AA959" s="1114"/>
      <c r="AB959" s="1719"/>
      <c r="AC959" s="410"/>
      <c r="AD959" s="410"/>
      <c r="AE959" s="1308"/>
    </row>
    <row r="960" spans="1:31" ht="18" customHeight="1">
      <c r="A960" s="5629"/>
      <c r="B960" s="5573"/>
      <c r="C960" s="5337"/>
      <c r="D960" s="5337"/>
      <c r="E960" s="5337"/>
      <c r="F960" s="5337"/>
      <c r="G960" s="5337"/>
      <c r="H960" s="5337"/>
      <c r="I960" s="5337"/>
      <c r="J960" s="5337"/>
      <c r="K960" s="5337"/>
      <c r="L960" s="5337"/>
      <c r="M960" s="5337"/>
      <c r="N960" s="5337"/>
      <c r="O960" s="5337"/>
      <c r="P960" s="5337"/>
      <c r="Q960" s="5345"/>
      <c r="R960" s="1110"/>
      <c r="S960" s="1111"/>
      <c r="T960" s="1111"/>
      <c r="U960" s="1711"/>
      <c r="V960" s="1112"/>
      <c r="W960" s="1719"/>
      <c r="X960" s="1113"/>
      <c r="Y960" s="1113"/>
      <c r="Z960" s="1113"/>
      <c r="AA960" s="1114"/>
      <c r="AB960" s="1719"/>
      <c r="AC960" s="410"/>
      <c r="AD960" s="410"/>
      <c r="AE960" s="1308"/>
    </row>
    <row r="961" spans="1:31" ht="18" customHeight="1">
      <c r="A961" s="5629"/>
      <c r="B961" s="5573"/>
      <c r="C961" s="5337"/>
      <c r="D961" s="5337"/>
      <c r="E961" s="5337"/>
      <c r="F961" s="5337"/>
      <c r="G961" s="5337"/>
      <c r="H961" s="5337"/>
      <c r="I961" s="5337"/>
      <c r="J961" s="5337"/>
      <c r="K961" s="5337"/>
      <c r="L961" s="5337"/>
      <c r="M961" s="5337"/>
      <c r="N961" s="5337"/>
      <c r="O961" s="5337"/>
      <c r="P961" s="5337"/>
      <c r="Q961" s="5345"/>
      <c r="R961" s="1110"/>
      <c r="S961" s="1111"/>
      <c r="T961" s="1111"/>
      <c r="U961" s="1711"/>
      <c r="V961" s="1112"/>
      <c r="W961" s="1719"/>
      <c r="X961" s="1113"/>
      <c r="Y961" s="1113"/>
      <c r="Z961" s="1113"/>
      <c r="AA961" s="1114"/>
      <c r="AB961" s="1719"/>
      <c r="AC961" s="410"/>
      <c r="AD961" s="410"/>
      <c r="AE961" s="1308"/>
    </row>
    <row r="962" spans="1:31" ht="18" customHeight="1">
      <c r="A962" s="5629"/>
      <c r="B962" s="5573"/>
      <c r="C962" s="5337"/>
      <c r="D962" s="5337"/>
      <c r="E962" s="5337"/>
      <c r="F962" s="5337"/>
      <c r="G962" s="5337"/>
      <c r="H962" s="5337"/>
      <c r="I962" s="5337"/>
      <c r="J962" s="5337"/>
      <c r="K962" s="5337"/>
      <c r="L962" s="5337"/>
      <c r="M962" s="5337"/>
      <c r="N962" s="5337"/>
      <c r="O962" s="5337"/>
      <c r="P962" s="5337"/>
      <c r="Q962" s="5345"/>
      <c r="R962" s="1110"/>
      <c r="S962" s="1111"/>
      <c r="T962" s="1111"/>
      <c r="U962" s="1711"/>
      <c r="V962" s="1112"/>
      <c r="W962" s="1719"/>
      <c r="X962" s="1113"/>
      <c r="Y962" s="1113"/>
      <c r="Z962" s="1113"/>
      <c r="AA962" s="1114"/>
      <c r="AB962" s="1719"/>
      <c r="AC962" s="410"/>
      <c r="AD962" s="410"/>
      <c r="AE962" s="1308"/>
    </row>
    <row r="963" spans="1:31" ht="18" customHeight="1">
      <c r="A963" s="5629"/>
      <c r="B963" s="5574"/>
      <c r="C963" s="5338"/>
      <c r="D963" s="5338"/>
      <c r="E963" s="5338"/>
      <c r="F963" s="5338"/>
      <c r="G963" s="5338"/>
      <c r="H963" s="5338"/>
      <c r="I963" s="5338"/>
      <c r="J963" s="5338"/>
      <c r="K963" s="5338"/>
      <c r="L963" s="5338"/>
      <c r="M963" s="5338"/>
      <c r="N963" s="5338"/>
      <c r="O963" s="5338"/>
      <c r="P963" s="5338"/>
      <c r="Q963" s="5346"/>
      <c r="R963" s="1309"/>
      <c r="S963" s="1310"/>
      <c r="T963" s="1310"/>
      <c r="U963" s="277"/>
      <c r="V963" s="1311"/>
      <c r="W963" s="416"/>
      <c r="X963" s="1312"/>
      <c r="Y963" s="1312"/>
      <c r="Z963" s="1312"/>
      <c r="AA963" s="1313"/>
      <c r="AB963" s="416"/>
      <c r="AC963" s="278"/>
      <c r="AD963" s="278"/>
      <c r="AE963" s="1314"/>
    </row>
    <row r="964" spans="1:31" ht="18" customHeight="1">
      <c r="A964" s="5629"/>
      <c r="B964" s="5626" t="s">
        <v>272</v>
      </c>
      <c r="C964" s="5624" t="s">
        <v>302</v>
      </c>
      <c r="D964" s="5624" t="s">
        <v>303</v>
      </c>
      <c r="E964" s="5624" t="s">
        <v>304</v>
      </c>
      <c r="F964" s="5622" t="s">
        <v>305</v>
      </c>
      <c r="G964" s="5336" t="s">
        <v>262</v>
      </c>
      <c r="H964" s="5336" t="s">
        <v>241</v>
      </c>
      <c r="I964" s="5336" t="s">
        <v>3192</v>
      </c>
      <c r="J964" s="5623" t="s">
        <v>3193</v>
      </c>
      <c r="K964" s="5336" t="s">
        <v>3146</v>
      </c>
      <c r="L964" s="5343">
        <v>1</v>
      </c>
      <c r="M964" s="5399">
        <v>1</v>
      </c>
      <c r="N964" s="5343">
        <v>1</v>
      </c>
      <c r="O964" s="5336" t="s">
        <v>3194</v>
      </c>
      <c r="P964" s="5336" t="s">
        <v>3195</v>
      </c>
      <c r="Q964" s="5370" t="s">
        <v>3287</v>
      </c>
      <c r="R964" s="970"/>
      <c r="S964" s="967"/>
      <c r="T964" s="967"/>
      <c r="U964" s="176"/>
      <c r="V964" s="968"/>
      <c r="W964" s="414"/>
      <c r="X964" s="973"/>
      <c r="Y964" s="973"/>
      <c r="Z964" s="973"/>
      <c r="AA964" s="981"/>
      <c r="AB964" s="414"/>
      <c r="AC964" s="174"/>
      <c r="AD964" s="174"/>
      <c r="AE964" s="5415"/>
    </row>
    <row r="965" spans="1:31" ht="18" customHeight="1">
      <c r="A965" s="5629"/>
      <c r="B965" s="5573"/>
      <c r="C965" s="5337"/>
      <c r="D965" s="5337"/>
      <c r="E965" s="5337"/>
      <c r="F965" s="5337"/>
      <c r="G965" s="5337"/>
      <c r="H965" s="5337"/>
      <c r="I965" s="5337"/>
      <c r="J965" s="5337"/>
      <c r="K965" s="5337"/>
      <c r="L965" s="5337"/>
      <c r="M965" s="5337"/>
      <c r="N965" s="5337"/>
      <c r="O965" s="5337"/>
      <c r="P965" s="5337"/>
      <c r="Q965" s="5345"/>
      <c r="R965" s="982"/>
      <c r="S965" s="983"/>
      <c r="T965" s="983"/>
      <c r="U965" s="169"/>
      <c r="V965" s="984"/>
      <c r="W965" s="170"/>
      <c r="X965" s="974"/>
      <c r="Y965" s="974">
        <f t="shared" ref="Y965:Y968" si="152">+V965*X965</f>
        <v>0</v>
      </c>
      <c r="Z965" s="974">
        <f t="shared" ref="Z965:Z968" si="153">+Y965*1.12</f>
        <v>0</v>
      </c>
      <c r="AA965" s="969"/>
      <c r="AB965" s="170"/>
      <c r="AC965" s="282"/>
      <c r="AD965" s="282"/>
      <c r="AE965" s="5416"/>
    </row>
    <row r="966" spans="1:31" ht="18" customHeight="1">
      <c r="A966" s="5629"/>
      <c r="B966" s="5573"/>
      <c r="C966" s="5337"/>
      <c r="D966" s="5337"/>
      <c r="E966" s="5337"/>
      <c r="F966" s="5337"/>
      <c r="G966" s="5337"/>
      <c r="H966" s="5337"/>
      <c r="I966" s="5337"/>
      <c r="J966" s="5337"/>
      <c r="K966" s="5337"/>
      <c r="L966" s="5337"/>
      <c r="M966" s="5337"/>
      <c r="N966" s="5337"/>
      <c r="O966" s="5337"/>
      <c r="P966" s="5337"/>
      <c r="Q966" s="5345"/>
      <c r="R966" s="971"/>
      <c r="S966" s="972"/>
      <c r="T966" s="972"/>
      <c r="U966" s="1217"/>
      <c r="V966" s="968"/>
      <c r="W966" s="414"/>
      <c r="X966" s="973"/>
      <c r="Y966" s="974">
        <f t="shared" si="152"/>
        <v>0</v>
      </c>
      <c r="Z966" s="974">
        <f t="shared" si="153"/>
        <v>0</v>
      </c>
      <c r="AA966" s="969"/>
      <c r="AB966" s="170"/>
      <c r="AC966" s="282"/>
      <c r="AD966" s="282"/>
      <c r="AE966" s="5416"/>
    </row>
    <row r="967" spans="1:31" ht="18" customHeight="1">
      <c r="A967" s="5629"/>
      <c r="B967" s="5573"/>
      <c r="C967" s="5337"/>
      <c r="D967" s="5337"/>
      <c r="E967" s="5337"/>
      <c r="F967" s="5337"/>
      <c r="G967" s="5337"/>
      <c r="H967" s="5337"/>
      <c r="I967" s="5337"/>
      <c r="J967" s="5337"/>
      <c r="K967" s="5337"/>
      <c r="L967" s="5337"/>
      <c r="M967" s="5337"/>
      <c r="N967" s="5337"/>
      <c r="O967" s="5337"/>
      <c r="P967" s="5337"/>
      <c r="Q967" s="5345"/>
      <c r="R967" s="970"/>
      <c r="S967" s="967"/>
      <c r="T967" s="967"/>
      <c r="U967" s="1217"/>
      <c r="V967" s="968"/>
      <c r="W967" s="414"/>
      <c r="X967" s="973"/>
      <c r="Y967" s="974">
        <f t="shared" si="152"/>
        <v>0</v>
      </c>
      <c r="Z967" s="974">
        <f t="shared" si="153"/>
        <v>0</v>
      </c>
      <c r="AA967" s="969"/>
      <c r="AB967" s="170"/>
      <c r="AC967" s="282"/>
      <c r="AD967" s="282"/>
      <c r="AE967" s="5416"/>
    </row>
    <row r="968" spans="1:31" ht="18" customHeight="1">
      <c r="A968" s="5629"/>
      <c r="B968" s="5574"/>
      <c r="C968" s="5338"/>
      <c r="D968" s="5338"/>
      <c r="E968" s="5338"/>
      <c r="F968" s="5338"/>
      <c r="G968" s="5338"/>
      <c r="H968" s="5338"/>
      <c r="I968" s="5338"/>
      <c r="J968" s="5338"/>
      <c r="K968" s="5338"/>
      <c r="L968" s="5338"/>
      <c r="M968" s="5338"/>
      <c r="N968" s="5338"/>
      <c r="O968" s="5338"/>
      <c r="P968" s="5338"/>
      <c r="Q968" s="5346"/>
      <c r="R968" s="975"/>
      <c r="S968" s="976"/>
      <c r="T968" s="976"/>
      <c r="U968" s="411"/>
      <c r="V968" s="977"/>
      <c r="W968" s="165"/>
      <c r="X968" s="978"/>
      <c r="Y968" s="978">
        <f t="shared" si="152"/>
        <v>0</v>
      </c>
      <c r="Z968" s="978">
        <f t="shared" si="153"/>
        <v>0</v>
      </c>
      <c r="AA968" s="979"/>
      <c r="AB968" s="165"/>
      <c r="AC968" s="166"/>
      <c r="AD968" s="166"/>
      <c r="AE968" s="5417"/>
    </row>
    <row r="969" spans="1:31" ht="18" customHeight="1">
      <c r="A969" s="5629"/>
      <c r="B969" s="5572" t="s">
        <v>235</v>
      </c>
      <c r="C969" s="5336" t="s">
        <v>236</v>
      </c>
      <c r="D969" s="5336" t="s">
        <v>237</v>
      </c>
      <c r="E969" s="5336" t="s">
        <v>255</v>
      </c>
      <c r="F969" s="5341" t="s">
        <v>239</v>
      </c>
      <c r="G969" s="5336" t="s">
        <v>240</v>
      </c>
      <c r="H969" s="5336" t="s">
        <v>257</v>
      </c>
      <c r="I969" s="5336" t="s">
        <v>3197</v>
      </c>
      <c r="J969" s="5623" t="s">
        <v>3198</v>
      </c>
      <c r="K969" s="5336" t="s">
        <v>3012</v>
      </c>
      <c r="L969" s="5399">
        <v>3</v>
      </c>
      <c r="M969" s="5399">
        <v>4</v>
      </c>
      <c r="N969" s="5399">
        <v>3</v>
      </c>
      <c r="O969" s="5336" t="s">
        <v>3199</v>
      </c>
      <c r="P969" s="5336" t="s">
        <v>3200</v>
      </c>
      <c r="Q969" s="5370" t="s">
        <v>3284</v>
      </c>
      <c r="R969" s="970"/>
      <c r="S969" s="967"/>
      <c r="T969" s="967"/>
      <c r="U969" s="176"/>
      <c r="V969" s="968"/>
      <c r="W969" s="414"/>
      <c r="X969" s="973"/>
      <c r="Y969" s="973"/>
      <c r="Z969" s="973"/>
      <c r="AA969" s="981"/>
      <c r="AB969" s="414"/>
      <c r="AC969" s="174"/>
      <c r="AD969" s="174"/>
      <c r="AE969" s="5415"/>
    </row>
    <row r="970" spans="1:31" ht="18" customHeight="1">
      <c r="A970" s="5629"/>
      <c r="B970" s="5573"/>
      <c r="C970" s="5337"/>
      <c r="D970" s="5337"/>
      <c r="E970" s="5337"/>
      <c r="F970" s="5337"/>
      <c r="G970" s="5337"/>
      <c r="H970" s="5337"/>
      <c r="I970" s="5337"/>
      <c r="J970" s="5337"/>
      <c r="K970" s="5337"/>
      <c r="L970" s="5337"/>
      <c r="M970" s="5337"/>
      <c r="N970" s="5337"/>
      <c r="O970" s="5337"/>
      <c r="P970" s="5337"/>
      <c r="Q970" s="5345"/>
      <c r="R970" s="982"/>
      <c r="S970" s="983"/>
      <c r="T970" s="983"/>
      <c r="U970" s="169"/>
      <c r="V970" s="984"/>
      <c r="W970" s="170"/>
      <c r="X970" s="974"/>
      <c r="Y970" s="974">
        <f t="shared" ref="Y970:Y973" si="154">+V970*X970</f>
        <v>0</v>
      </c>
      <c r="Z970" s="974">
        <f t="shared" ref="Z970:Z973" si="155">+Y970*1.12</f>
        <v>0</v>
      </c>
      <c r="AA970" s="969"/>
      <c r="AB970" s="170"/>
      <c r="AC970" s="282"/>
      <c r="AD970" s="282"/>
      <c r="AE970" s="5416"/>
    </row>
    <row r="971" spans="1:31" ht="18" customHeight="1">
      <c r="A971" s="5629"/>
      <c r="B971" s="5573"/>
      <c r="C971" s="5337"/>
      <c r="D971" s="5337"/>
      <c r="E971" s="5337"/>
      <c r="F971" s="5337"/>
      <c r="G971" s="5337"/>
      <c r="H971" s="5337"/>
      <c r="I971" s="5337"/>
      <c r="J971" s="5337"/>
      <c r="K971" s="5337"/>
      <c r="L971" s="5337"/>
      <c r="M971" s="5337"/>
      <c r="N971" s="5337"/>
      <c r="O971" s="5337"/>
      <c r="P971" s="5337"/>
      <c r="Q971" s="5345"/>
      <c r="R971" s="971"/>
      <c r="S971" s="972"/>
      <c r="T971" s="972"/>
      <c r="U971" s="1217"/>
      <c r="V971" s="968"/>
      <c r="W971" s="414"/>
      <c r="X971" s="973"/>
      <c r="Y971" s="974">
        <f t="shared" si="154"/>
        <v>0</v>
      </c>
      <c r="Z971" s="974">
        <f t="shared" si="155"/>
        <v>0</v>
      </c>
      <c r="AA971" s="969"/>
      <c r="AB971" s="170"/>
      <c r="AC971" s="282"/>
      <c r="AD971" s="282"/>
      <c r="AE971" s="5416"/>
    </row>
    <row r="972" spans="1:31" ht="18" customHeight="1">
      <c r="A972" s="5629"/>
      <c r="B972" s="5573"/>
      <c r="C972" s="5337"/>
      <c r="D972" s="5337"/>
      <c r="E972" s="5337"/>
      <c r="F972" s="5337"/>
      <c r="G972" s="5337"/>
      <c r="H972" s="5337"/>
      <c r="I972" s="5337"/>
      <c r="J972" s="5337"/>
      <c r="K972" s="5337"/>
      <c r="L972" s="5337"/>
      <c r="M972" s="5337"/>
      <c r="N972" s="5337"/>
      <c r="O972" s="5337"/>
      <c r="P972" s="5337"/>
      <c r="Q972" s="5345"/>
      <c r="R972" s="970"/>
      <c r="S972" s="967"/>
      <c r="T972" s="967"/>
      <c r="U972" s="1217"/>
      <c r="V972" s="968"/>
      <c r="W972" s="414"/>
      <c r="X972" s="973"/>
      <c r="Y972" s="974">
        <f t="shared" si="154"/>
        <v>0</v>
      </c>
      <c r="Z972" s="974">
        <f t="shared" si="155"/>
        <v>0</v>
      </c>
      <c r="AA972" s="969"/>
      <c r="AB972" s="170"/>
      <c r="AC972" s="282"/>
      <c r="AD972" s="282"/>
      <c r="AE972" s="5416"/>
    </row>
    <row r="973" spans="1:31" ht="18" customHeight="1">
      <c r="A973" s="5555"/>
      <c r="B973" s="5574"/>
      <c r="C973" s="5338"/>
      <c r="D973" s="5338"/>
      <c r="E973" s="5338"/>
      <c r="F973" s="5338"/>
      <c r="G973" s="5338"/>
      <c r="H973" s="5338"/>
      <c r="I973" s="5338"/>
      <c r="J973" s="5338"/>
      <c r="K973" s="5338"/>
      <c r="L973" s="5338"/>
      <c r="M973" s="5338"/>
      <c r="N973" s="5338"/>
      <c r="O973" s="5338"/>
      <c r="P973" s="5338"/>
      <c r="Q973" s="5346"/>
      <c r="R973" s="975"/>
      <c r="S973" s="976"/>
      <c r="T973" s="976"/>
      <c r="U973" s="411"/>
      <c r="V973" s="977"/>
      <c r="W973" s="165"/>
      <c r="X973" s="978"/>
      <c r="Y973" s="978">
        <f t="shared" si="154"/>
        <v>0</v>
      </c>
      <c r="Z973" s="978">
        <f t="shared" si="155"/>
        <v>0</v>
      </c>
      <c r="AA973" s="979"/>
      <c r="AB973" s="165"/>
      <c r="AC973" s="166"/>
      <c r="AD973" s="166"/>
      <c r="AE973" s="5417"/>
    </row>
    <row r="974" spans="1:31" ht="35.25" customHeight="1">
      <c r="A974" s="2158"/>
      <c r="B974" s="785"/>
      <c r="C974" s="785"/>
      <c r="D974" s="785"/>
      <c r="E974" s="785"/>
      <c r="F974" s="785"/>
      <c r="G974" s="785"/>
      <c r="H974" s="785"/>
      <c r="I974" s="785"/>
      <c r="J974" s="785"/>
      <c r="K974" s="785"/>
      <c r="L974" s="785"/>
      <c r="M974" s="785"/>
      <c r="N974" s="785"/>
      <c r="O974" s="785"/>
      <c r="P974" s="785"/>
      <c r="Q974" s="786"/>
      <c r="R974" s="5636" t="s">
        <v>3288</v>
      </c>
      <c r="S974" s="5474"/>
      <c r="T974" s="5474"/>
      <c r="U974" s="5474"/>
      <c r="V974" s="5474"/>
      <c r="W974" s="5474"/>
      <c r="X974" s="5474"/>
      <c r="Y974" s="5475"/>
      <c r="Z974" s="997" t="s">
        <v>340</v>
      </c>
      <c r="AA974" s="998">
        <f>SUM(AA899:AA973)</f>
        <v>0</v>
      </c>
      <c r="AB974" s="5521"/>
      <c r="AC974" s="5474"/>
      <c r="AD974" s="5474"/>
      <c r="AE974" s="5477"/>
    </row>
    <row r="975" spans="1:31" ht="18" customHeight="1">
      <c r="A975" s="5628" t="s">
        <v>3289</v>
      </c>
      <c r="B975" s="5576" t="s">
        <v>272</v>
      </c>
      <c r="C975" s="5355" t="s">
        <v>302</v>
      </c>
      <c r="D975" s="5355" t="s">
        <v>303</v>
      </c>
      <c r="E975" s="5355" t="s">
        <v>304</v>
      </c>
      <c r="F975" s="5364" t="s">
        <v>305</v>
      </c>
      <c r="G975" s="5355" t="s">
        <v>240</v>
      </c>
      <c r="H975" s="5355" t="s">
        <v>257</v>
      </c>
      <c r="I975" s="5360" t="s">
        <v>3290</v>
      </c>
      <c r="J975" s="5625" t="s">
        <v>3135</v>
      </c>
      <c r="K975" s="5355" t="s">
        <v>2846</v>
      </c>
      <c r="L975" s="5363">
        <v>2</v>
      </c>
      <c r="M975" s="5363">
        <v>1</v>
      </c>
      <c r="N975" s="5363">
        <v>2</v>
      </c>
      <c r="O975" s="5355" t="s">
        <v>3136</v>
      </c>
      <c r="P975" s="5355" t="s">
        <v>3137</v>
      </c>
      <c r="Q975" s="5392" t="s">
        <v>3138</v>
      </c>
      <c r="R975" s="1102"/>
      <c r="S975" s="1103"/>
      <c r="T975" s="1103"/>
      <c r="U975" s="154"/>
      <c r="V975" s="1104"/>
      <c r="W975" s="155"/>
      <c r="X975" s="1105"/>
      <c r="Y975" s="1105"/>
      <c r="Z975" s="1105"/>
      <c r="AA975" s="1106"/>
      <c r="AB975" s="155"/>
      <c r="AC975" s="156"/>
      <c r="AD975" s="156"/>
      <c r="AE975" s="5428"/>
    </row>
    <row r="976" spans="1:31" ht="18" customHeight="1">
      <c r="A976" s="5629"/>
      <c r="B976" s="5573"/>
      <c r="C976" s="5337"/>
      <c r="D976" s="5337"/>
      <c r="E976" s="5337"/>
      <c r="F976" s="5337"/>
      <c r="G976" s="5337"/>
      <c r="H976" s="5337"/>
      <c r="I976" s="5361"/>
      <c r="J976" s="5337"/>
      <c r="K976" s="5337"/>
      <c r="L976" s="5337"/>
      <c r="M976" s="5337"/>
      <c r="N976" s="5337"/>
      <c r="O976" s="5337"/>
      <c r="P976" s="5337"/>
      <c r="Q976" s="5345"/>
      <c r="R976" s="982"/>
      <c r="S976" s="983"/>
      <c r="T976" s="983"/>
      <c r="U976" s="169"/>
      <c r="V976" s="984"/>
      <c r="W976" s="170"/>
      <c r="X976" s="974"/>
      <c r="Y976" s="974">
        <f t="shared" ref="Y976:Y979" si="156">+V976*X976</f>
        <v>0</v>
      </c>
      <c r="Z976" s="974">
        <f t="shared" ref="Z976:Z979" si="157">+Y976*1.12</f>
        <v>0</v>
      </c>
      <c r="AA976" s="969"/>
      <c r="AB976" s="170"/>
      <c r="AC976" s="282"/>
      <c r="AD976" s="282"/>
      <c r="AE976" s="5416"/>
    </row>
    <row r="977" spans="1:31" ht="18" customHeight="1">
      <c r="A977" s="5629"/>
      <c r="B977" s="5573"/>
      <c r="C977" s="5337"/>
      <c r="D977" s="5337"/>
      <c r="E977" s="5337"/>
      <c r="F977" s="5337"/>
      <c r="G977" s="5337"/>
      <c r="H977" s="5337"/>
      <c r="I977" s="5361"/>
      <c r="J977" s="5337"/>
      <c r="K977" s="5337"/>
      <c r="L977" s="5337"/>
      <c r="M977" s="5337"/>
      <c r="N977" s="5337"/>
      <c r="O977" s="5337"/>
      <c r="P977" s="5337"/>
      <c r="Q977" s="5345"/>
      <c r="R977" s="971"/>
      <c r="S977" s="972"/>
      <c r="T977" s="972"/>
      <c r="U977" s="1217"/>
      <c r="V977" s="968"/>
      <c r="W977" s="414"/>
      <c r="X977" s="973"/>
      <c r="Y977" s="974">
        <f t="shared" si="156"/>
        <v>0</v>
      </c>
      <c r="Z977" s="974">
        <f t="shared" si="157"/>
        <v>0</v>
      </c>
      <c r="AA977" s="969"/>
      <c r="AB977" s="170"/>
      <c r="AC977" s="282"/>
      <c r="AD977" s="282"/>
      <c r="AE977" s="5416"/>
    </row>
    <row r="978" spans="1:31" ht="18" customHeight="1">
      <c r="A978" s="5629"/>
      <c r="B978" s="5573"/>
      <c r="C978" s="5337"/>
      <c r="D978" s="5337"/>
      <c r="E978" s="5337"/>
      <c r="F978" s="5337"/>
      <c r="G978" s="5337"/>
      <c r="H978" s="5337"/>
      <c r="I978" s="5361"/>
      <c r="J978" s="5337"/>
      <c r="K978" s="5337"/>
      <c r="L978" s="5337"/>
      <c r="M978" s="5337"/>
      <c r="N978" s="5337"/>
      <c r="O978" s="5337"/>
      <c r="P978" s="5337"/>
      <c r="Q978" s="5345"/>
      <c r="R978" s="970"/>
      <c r="S978" s="967"/>
      <c r="T978" s="967"/>
      <c r="U978" s="1217"/>
      <c r="V978" s="968"/>
      <c r="W978" s="414"/>
      <c r="X978" s="973"/>
      <c r="Y978" s="974">
        <f t="shared" si="156"/>
        <v>0</v>
      </c>
      <c r="Z978" s="974">
        <f t="shared" si="157"/>
        <v>0</v>
      </c>
      <c r="AA978" s="969"/>
      <c r="AB978" s="170"/>
      <c r="AC978" s="282"/>
      <c r="AD978" s="282"/>
      <c r="AE978" s="5416"/>
    </row>
    <row r="979" spans="1:31" ht="18" customHeight="1">
      <c r="A979" s="5629"/>
      <c r="B979" s="5574"/>
      <c r="C979" s="5338"/>
      <c r="D979" s="5338"/>
      <c r="E979" s="5338"/>
      <c r="F979" s="5338"/>
      <c r="G979" s="5338"/>
      <c r="H979" s="5338"/>
      <c r="I979" s="5362"/>
      <c r="J979" s="5338"/>
      <c r="K979" s="5338"/>
      <c r="L979" s="5338"/>
      <c r="M979" s="5338"/>
      <c r="N979" s="5338"/>
      <c r="O979" s="5338"/>
      <c r="P979" s="5338"/>
      <c r="Q979" s="5346"/>
      <c r="R979" s="975"/>
      <c r="S979" s="976"/>
      <c r="T979" s="976"/>
      <c r="U979" s="411"/>
      <c r="V979" s="977"/>
      <c r="W979" s="165"/>
      <c r="X979" s="978"/>
      <c r="Y979" s="978">
        <f t="shared" si="156"/>
        <v>0</v>
      </c>
      <c r="Z979" s="978">
        <f t="shared" si="157"/>
        <v>0</v>
      </c>
      <c r="AA979" s="979"/>
      <c r="AB979" s="165"/>
      <c r="AC979" s="166"/>
      <c r="AD979" s="166"/>
      <c r="AE979" s="5417"/>
    </row>
    <row r="980" spans="1:31" ht="18" customHeight="1">
      <c r="A980" s="5629"/>
      <c r="B980" s="5627" t="s">
        <v>235</v>
      </c>
      <c r="C980" s="5347" t="s">
        <v>236</v>
      </c>
      <c r="D980" s="5347" t="s">
        <v>237</v>
      </c>
      <c r="E980" s="5347" t="s">
        <v>255</v>
      </c>
      <c r="F980" s="5353" t="s">
        <v>239</v>
      </c>
      <c r="G980" s="5336" t="s">
        <v>240</v>
      </c>
      <c r="H980" s="5336" t="s">
        <v>257</v>
      </c>
      <c r="I980" s="5621" t="s">
        <v>3139</v>
      </c>
      <c r="J980" s="5621" t="s">
        <v>3140</v>
      </c>
      <c r="K980" s="5618" t="s">
        <v>2846</v>
      </c>
      <c r="L980" s="5619">
        <v>2</v>
      </c>
      <c r="M980" s="5619">
        <v>0</v>
      </c>
      <c r="N980" s="5619">
        <v>2</v>
      </c>
      <c r="O980" s="5407" t="s">
        <v>3141</v>
      </c>
      <c r="P980" s="5618" t="s">
        <v>3142</v>
      </c>
      <c r="Q980" s="5620" t="s">
        <v>3291</v>
      </c>
      <c r="R980" s="1357"/>
      <c r="S980" s="1358"/>
      <c r="T980" s="1358"/>
      <c r="U980" s="1710"/>
      <c r="V980" s="1359"/>
      <c r="W980" s="1720"/>
      <c r="X980" s="1360"/>
      <c r="Y980" s="1360"/>
      <c r="Z980" s="1360"/>
      <c r="AA980" s="1361"/>
      <c r="AB980" s="1720"/>
      <c r="AC980" s="1362"/>
      <c r="AD980" s="1362"/>
      <c r="AE980" s="1308"/>
    </row>
    <row r="981" spans="1:31" ht="18" customHeight="1">
      <c r="A981" s="5629"/>
      <c r="B981" s="5573"/>
      <c r="C981" s="5337"/>
      <c r="D981" s="5337"/>
      <c r="E981" s="5337"/>
      <c r="F981" s="5337"/>
      <c r="G981" s="5337"/>
      <c r="H981" s="5337"/>
      <c r="I981" s="5337"/>
      <c r="J981" s="5337"/>
      <c r="K981" s="5337"/>
      <c r="L981" s="5337"/>
      <c r="M981" s="5337"/>
      <c r="N981" s="5337"/>
      <c r="O981" s="5337"/>
      <c r="P981" s="5337"/>
      <c r="Q981" s="5345"/>
      <c r="R981" s="1110"/>
      <c r="S981" s="1111"/>
      <c r="T981" s="1111"/>
      <c r="U981" s="1711"/>
      <c r="V981" s="1112"/>
      <c r="W981" s="1719"/>
      <c r="X981" s="1113"/>
      <c r="Y981" s="1113"/>
      <c r="Z981" s="1113"/>
      <c r="AA981" s="1363"/>
      <c r="AB981" s="1719"/>
      <c r="AC981" s="410"/>
      <c r="AD981" s="410"/>
      <c r="AE981" s="1308"/>
    </row>
    <row r="982" spans="1:31" ht="18" customHeight="1">
      <c r="A982" s="5629"/>
      <c r="B982" s="5573"/>
      <c r="C982" s="5337"/>
      <c r="D982" s="5337"/>
      <c r="E982" s="5337"/>
      <c r="F982" s="5337"/>
      <c r="G982" s="5337"/>
      <c r="H982" s="5337"/>
      <c r="I982" s="5337"/>
      <c r="J982" s="5337"/>
      <c r="K982" s="5337"/>
      <c r="L982" s="5337"/>
      <c r="M982" s="5337"/>
      <c r="N982" s="5337"/>
      <c r="O982" s="5337"/>
      <c r="P982" s="5337"/>
      <c r="Q982" s="5345"/>
      <c r="R982" s="1110"/>
      <c r="S982" s="1111"/>
      <c r="T982" s="1111"/>
      <c r="U982" s="1711"/>
      <c r="V982" s="1112"/>
      <c r="W982" s="1719"/>
      <c r="X982" s="1113"/>
      <c r="Y982" s="1113"/>
      <c r="Z982" s="1113"/>
      <c r="AA982" s="1363"/>
      <c r="AB982" s="1719"/>
      <c r="AC982" s="410"/>
      <c r="AD982" s="410"/>
      <c r="AE982" s="1308"/>
    </row>
    <row r="983" spans="1:31" ht="18" customHeight="1">
      <c r="A983" s="5629"/>
      <c r="B983" s="5573"/>
      <c r="C983" s="5337"/>
      <c r="D983" s="5337"/>
      <c r="E983" s="5337"/>
      <c r="F983" s="5337"/>
      <c r="G983" s="5337"/>
      <c r="H983" s="5337"/>
      <c r="I983" s="5337"/>
      <c r="J983" s="5337"/>
      <c r="K983" s="5337"/>
      <c r="L983" s="5337"/>
      <c r="M983" s="5337"/>
      <c r="N983" s="5337"/>
      <c r="O983" s="5337"/>
      <c r="P983" s="5337"/>
      <c r="Q983" s="5345"/>
      <c r="R983" s="1110"/>
      <c r="S983" s="1111"/>
      <c r="T983" s="1111"/>
      <c r="U983" s="1711"/>
      <c r="V983" s="1112"/>
      <c r="W983" s="1719"/>
      <c r="X983" s="1113"/>
      <c r="Y983" s="1113"/>
      <c r="Z983" s="1113"/>
      <c r="AA983" s="1363"/>
      <c r="AB983" s="1719"/>
      <c r="AC983" s="410"/>
      <c r="AD983" s="410"/>
      <c r="AE983" s="1308"/>
    </row>
    <row r="984" spans="1:31" ht="18" customHeight="1">
      <c r="A984" s="5629"/>
      <c r="B984" s="5574"/>
      <c r="C984" s="5338"/>
      <c r="D984" s="5338"/>
      <c r="E984" s="5338"/>
      <c r="F984" s="5338"/>
      <c r="G984" s="5338"/>
      <c r="H984" s="5338"/>
      <c r="I984" s="5338"/>
      <c r="J984" s="5338"/>
      <c r="K984" s="5338"/>
      <c r="L984" s="5338"/>
      <c r="M984" s="5338"/>
      <c r="N984" s="5338"/>
      <c r="O984" s="5338"/>
      <c r="P984" s="5338"/>
      <c r="Q984" s="5346"/>
      <c r="R984" s="1309"/>
      <c r="S984" s="1310"/>
      <c r="T984" s="1310"/>
      <c r="U984" s="277"/>
      <c r="V984" s="1311"/>
      <c r="W984" s="416"/>
      <c r="X984" s="1312"/>
      <c r="Y984" s="1312"/>
      <c r="Z984" s="1312"/>
      <c r="AA984" s="1364"/>
      <c r="AB984" s="416"/>
      <c r="AC984" s="278"/>
      <c r="AD984" s="278"/>
      <c r="AE984" s="1308"/>
    </row>
    <row r="985" spans="1:31" ht="18" customHeight="1">
      <c r="A985" s="5629"/>
      <c r="B985" s="5627" t="s">
        <v>235</v>
      </c>
      <c r="C985" s="5347" t="s">
        <v>236</v>
      </c>
      <c r="D985" s="5347" t="s">
        <v>237</v>
      </c>
      <c r="E985" s="5347" t="s">
        <v>255</v>
      </c>
      <c r="F985" s="5353" t="s">
        <v>239</v>
      </c>
      <c r="G985" s="5336" t="s">
        <v>240</v>
      </c>
      <c r="H985" s="5336" t="s">
        <v>257</v>
      </c>
      <c r="I985" s="5621" t="s">
        <v>3144</v>
      </c>
      <c r="J985" s="5618" t="s">
        <v>3145</v>
      </c>
      <c r="K985" s="5618" t="s">
        <v>3146</v>
      </c>
      <c r="L985" s="5407">
        <v>0</v>
      </c>
      <c r="M985" s="5407">
        <v>1</v>
      </c>
      <c r="N985" s="5407">
        <v>0</v>
      </c>
      <c r="O985" s="5618" t="s">
        <v>3147</v>
      </c>
      <c r="P985" s="5618" t="s">
        <v>3148</v>
      </c>
      <c r="Q985" s="5620" t="s">
        <v>3292</v>
      </c>
      <c r="R985" s="1357"/>
      <c r="S985" s="1358"/>
      <c r="T985" s="1358"/>
      <c r="U985" s="1710"/>
      <c r="V985" s="1359"/>
      <c r="W985" s="1720"/>
      <c r="X985" s="1360"/>
      <c r="Y985" s="1360"/>
      <c r="Z985" s="1360"/>
      <c r="AA985" s="1361"/>
      <c r="AB985" s="1720"/>
      <c r="AC985" s="1362"/>
      <c r="AD985" s="1362"/>
      <c r="AE985" s="1314"/>
    </row>
    <row r="986" spans="1:31" ht="18" customHeight="1">
      <c r="A986" s="5629"/>
      <c r="B986" s="5573"/>
      <c r="C986" s="5337"/>
      <c r="D986" s="5337"/>
      <c r="E986" s="5337"/>
      <c r="F986" s="5337"/>
      <c r="G986" s="5337"/>
      <c r="H986" s="5337"/>
      <c r="I986" s="5337"/>
      <c r="J986" s="5337"/>
      <c r="K986" s="5337"/>
      <c r="L986" s="5337"/>
      <c r="M986" s="5337"/>
      <c r="N986" s="5337"/>
      <c r="O986" s="5337"/>
      <c r="P986" s="5337"/>
      <c r="Q986" s="5345"/>
      <c r="R986" s="1110"/>
      <c r="S986" s="1111"/>
      <c r="T986" s="1111"/>
      <c r="U986" s="1711"/>
      <c r="V986" s="1112"/>
      <c r="W986" s="1719"/>
      <c r="X986" s="1113"/>
      <c r="Y986" s="1113"/>
      <c r="Z986" s="1113"/>
      <c r="AA986" s="1363"/>
      <c r="AB986" s="1719"/>
      <c r="AC986" s="410"/>
      <c r="AD986" s="410"/>
      <c r="AE986" s="1308"/>
    </row>
    <row r="987" spans="1:31" ht="18" customHeight="1">
      <c r="A987" s="5629"/>
      <c r="B987" s="5573"/>
      <c r="C987" s="5337"/>
      <c r="D987" s="5337"/>
      <c r="E987" s="5337"/>
      <c r="F987" s="5337"/>
      <c r="G987" s="5337"/>
      <c r="H987" s="5337"/>
      <c r="I987" s="5337"/>
      <c r="J987" s="5337"/>
      <c r="K987" s="5337"/>
      <c r="L987" s="5337"/>
      <c r="M987" s="5337"/>
      <c r="N987" s="5337"/>
      <c r="O987" s="5337"/>
      <c r="P987" s="5337"/>
      <c r="Q987" s="5345"/>
      <c r="R987" s="1110"/>
      <c r="S987" s="1111"/>
      <c r="T987" s="1111"/>
      <c r="U987" s="1711"/>
      <c r="V987" s="1112"/>
      <c r="W987" s="1719"/>
      <c r="X987" s="1113"/>
      <c r="Y987" s="1113"/>
      <c r="Z987" s="1113"/>
      <c r="AA987" s="1363"/>
      <c r="AB987" s="1719"/>
      <c r="AC987" s="410"/>
      <c r="AD987" s="410"/>
      <c r="AE987" s="1308"/>
    </row>
    <row r="988" spans="1:31" ht="18" customHeight="1">
      <c r="A988" s="5629"/>
      <c r="B988" s="5573"/>
      <c r="C988" s="5337"/>
      <c r="D988" s="5337"/>
      <c r="E988" s="5337"/>
      <c r="F988" s="5337"/>
      <c r="G988" s="5337"/>
      <c r="H988" s="5337"/>
      <c r="I988" s="5337"/>
      <c r="J988" s="5337"/>
      <c r="K988" s="5337"/>
      <c r="L988" s="5337"/>
      <c r="M988" s="5337"/>
      <c r="N988" s="5337"/>
      <c r="O988" s="5337"/>
      <c r="P988" s="5337"/>
      <c r="Q988" s="5345"/>
      <c r="R988" s="1110"/>
      <c r="S988" s="1111"/>
      <c r="T988" s="1111"/>
      <c r="U988" s="1711"/>
      <c r="V988" s="1112"/>
      <c r="W988" s="1719"/>
      <c r="X988" s="1113"/>
      <c r="Y988" s="1113"/>
      <c r="Z988" s="1113"/>
      <c r="AA988" s="1363"/>
      <c r="AB988" s="1719"/>
      <c r="AC988" s="410"/>
      <c r="AD988" s="410"/>
      <c r="AE988" s="1308"/>
    </row>
    <row r="989" spans="1:31" ht="18" customHeight="1">
      <c r="A989" s="5629"/>
      <c r="B989" s="5574"/>
      <c r="C989" s="5338"/>
      <c r="D989" s="5338"/>
      <c r="E989" s="5338"/>
      <c r="F989" s="5338"/>
      <c r="G989" s="5338"/>
      <c r="H989" s="5338"/>
      <c r="I989" s="5338"/>
      <c r="J989" s="5338"/>
      <c r="K989" s="5338"/>
      <c r="L989" s="5338"/>
      <c r="M989" s="5338"/>
      <c r="N989" s="5338"/>
      <c r="O989" s="5338"/>
      <c r="P989" s="5338"/>
      <c r="Q989" s="5346"/>
      <c r="R989" s="1110"/>
      <c r="S989" s="1111"/>
      <c r="T989" s="1111"/>
      <c r="U989" s="1711"/>
      <c r="V989" s="1112"/>
      <c r="W989" s="1719"/>
      <c r="X989" s="1113"/>
      <c r="Y989" s="1113"/>
      <c r="Z989" s="1113"/>
      <c r="AA989" s="1363"/>
      <c r="AB989" s="1719"/>
      <c r="AC989" s="410"/>
      <c r="AD989" s="410"/>
      <c r="AE989" s="1308"/>
    </row>
    <row r="990" spans="1:31" ht="18" customHeight="1">
      <c r="A990" s="5629"/>
      <c r="B990" s="5572" t="s">
        <v>272</v>
      </c>
      <c r="C990" s="5336" t="s">
        <v>302</v>
      </c>
      <c r="D990" s="5336" t="s">
        <v>303</v>
      </c>
      <c r="E990" s="5336" t="s">
        <v>304</v>
      </c>
      <c r="F990" s="5341" t="s">
        <v>305</v>
      </c>
      <c r="G990" s="5336" t="s">
        <v>240</v>
      </c>
      <c r="H990" s="5336" t="s">
        <v>257</v>
      </c>
      <c r="I990" s="5618" t="s">
        <v>3150</v>
      </c>
      <c r="J990" s="5618" t="s">
        <v>3151</v>
      </c>
      <c r="K990" s="5618" t="s">
        <v>3146</v>
      </c>
      <c r="L990" s="5407">
        <v>0</v>
      </c>
      <c r="M990" s="5407">
        <v>1</v>
      </c>
      <c r="N990" s="5407">
        <v>1</v>
      </c>
      <c r="O990" s="5618" t="s">
        <v>3152</v>
      </c>
      <c r="P990" s="5618" t="s">
        <v>3153</v>
      </c>
      <c r="Q990" s="5620" t="s">
        <v>3292</v>
      </c>
      <c r="R990" s="1110"/>
      <c r="S990" s="1111"/>
      <c r="T990" s="1111"/>
      <c r="U990" s="1711"/>
      <c r="V990" s="1112"/>
      <c r="W990" s="1719"/>
      <c r="X990" s="1113"/>
      <c r="Y990" s="1113"/>
      <c r="Z990" s="1113"/>
      <c r="AA990" s="1363"/>
      <c r="AB990" s="1719"/>
      <c r="AC990" s="410"/>
      <c r="AD990" s="410"/>
      <c r="AE990" s="1308"/>
    </row>
    <row r="991" spans="1:31" ht="18" customHeight="1">
      <c r="A991" s="5629"/>
      <c r="B991" s="5573"/>
      <c r="C991" s="5337"/>
      <c r="D991" s="5337"/>
      <c r="E991" s="5337"/>
      <c r="F991" s="5337"/>
      <c r="G991" s="5337"/>
      <c r="H991" s="5337"/>
      <c r="I991" s="5337"/>
      <c r="J991" s="5337"/>
      <c r="K991" s="5337"/>
      <c r="L991" s="5337"/>
      <c r="M991" s="5337"/>
      <c r="N991" s="5337"/>
      <c r="O991" s="5337"/>
      <c r="P991" s="5337"/>
      <c r="Q991" s="5345"/>
      <c r="R991" s="1309"/>
      <c r="S991" s="1310"/>
      <c r="T991" s="1310"/>
      <c r="U991" s="277"/>
      <c r="V991" s="1311"/>
      <c r="W991" s="416"/>
      <c r="X991" s="1312"/>
      <c r="Y991" s="1312"/>
      <c r="Z991" s="1312"/>
      <c r="AA991" s="1364"/>
      <c r="AB991" s="416"/>
      <c r="AC991" s="278"/>
      <c r="AD991" s="278"/>
      <c r="AE991" s="1314"/>
    </row>
    <row r="992" spans="1:31" ht="18" customHeight="1">
      <c r="A992" s="5629"/>
      <c r="B992" s="5573"/>
      <c r="C992" s="5337"/>
      <c r="D992" s="5337"/>
      <c r="E992" s="5337"/>
      <c r="F992" s="5337"/>
      <c r="G992" s="5337"/>
      <c r="H992" s="5337"/>
      <c r="I992" s="5337"/>
      <c r="J992" s="5337"/>
      <c r="K992" s="5337"/>
      <c r="L992" s="5337"/>
      <c r="M992" s="5337"/>
      <c r="N992" s="5337"/>
      <c r="O992" s="5337"/>
      <c r="P992" s="5337"/>
      <c r="Q992" s="5345"/>
      <c r="R992" s="1110"/>
      <c r="S992" s="1111"/>
      <c r="T992" s="1111"/>
      <c r="U992" s="1711"/>
      <c r="V992" s="1112"/>
      <c r="W992" s="1719"/>
      <c r="X992" s="1113"/>
      <c r="Y992" s="1113"/>
      <c r="Z992" s="1113"/>
      <c r="AA992" s="1363"/>
      <c r="AB992" s="1719"/>
      <c r="AC992" s="410"/>
      <c r="AD992" s="410"/>
      <c r="AE992" s="1308"/>
    </row>
    <row r="993" spans="1:31" ht="18" customHeight="1">
      <c r="A993" s="5629"/>
      <c r="B993" s="5573"/>
      <c r="C993" s="5337"/>
      <c r="D993" s="5337"/>
      <c r="E993" s="5337"/>
      <c r="F993" s="5337"/>
      <c r="G993" s="5337"/>
      <c r="H993" s="5337"/>
      <c r="I993" s="5337"/>
      <c r="J993" s="5337"/>
      <c r="K993" s="5337"/>
      <c r="L993" s="5337"/>
      <c r="M993" s="5337"/>
      <c r="N993" s="5337"/>
      <c r="O993" s="5337"/>
      <c r="P993" s="5337"/>
      <c r="Q993" s="5345"/>
      <c r="R993" s="1110"/>
      <c r="S993" s="1111"/>
      <c r="T993" s="1111"/>
      <c r="U993" s="1711"/>
      <c r="V993" s="1112"/>
      <c r="W993" s="1719"/>
      <c r="X993" s="1113"/>
      <c r="Y993" s="1113"/>
      <c r="Z993" s="1113"/>
      <c r="AA993" s="1363"/>
      <c r="AB993" s="1719"/>
      <c r="AC993" s="410"/>
      <c r="AD993" s="410"/>
      <c r="AE993" s="1308"/>
    </row>
    <row r="994" spans="1:31" ht="18" customHeight="1">
      <c r="A994" s="5629"/>
      <c r="B994" s="5574"/>
      <c r="C994" s="5338"/>
      <c r="D994" s="5338"/>
      <c r="E994" s="5338"/>
      <c r="F994" s="5338"/>
      <c r="G994" s="5338"/>
      <c r="H994" s="5338"/>
      <c r="I994" s="5338"/>
      <c r="J994" s="5338"/>
      <c r="K994" s="5338"/>
      <c r="L994" s="5338"/>
      <c r="M994" s="5338"/>
      <c r="N994" s="5338"/>
      <c r="O994" s="5338"/>
      <c r="P994" s="5338"/>
      <c r="Q994" s="5346"/>
      <c r="R994" s="1110"/>
      <c r="S994" s="1111"/>
      <c r="T994" s="1111"/>
      <c r="U994" s="1711"/>
      <c r="V994" s="1112"/>
      <c r="W994" s="1719"/>
      <c r="X994" s="1113"/>
      <c r="Y994" s="1113"/>
      <c r="Z994" s="1113"/>
      <c r="AA994" s="1363"/>
      <c r="AB994" s="1719"/>
      <c r="AC994" s="410"/>
      <c r="AD994" s="410"/>
      <c r="AE994" s="1308"/>
    </row>
    <row r="995" spans="1:31" ht="18" customHeight="1">
      <c r="A995" s="5629"/>
      <c r="B995" s="5572" t="s">
        <v>272</v>
      </c>
      <c r="C995" s="5336" t="s">
        <v>302</v>
      </c>
      <c r="D995" s="5336" t="s">
        <v>274</v>
      </c>
      <c r="E995" s="5336" t="s">
        <v>885</v>
      </c>
      <c r="F995" s="5341" t="s">
        <v>305</v>
      </c>
      <c r="G995" s="5336" t="s">
        <v>262</v>
      </c>
      <c r="H995" s="5336" t="s">
        <v>241</v>
      </c>
      <c r="I995" s="5618" t="s">
        <v>3154</v>
      </c>
      <c r="J995" s="5618" t="s">
        <v>3155</v>
      </c>
      <c r="K995" s="5618" t="s">
        <v>3024</v>
      </c>
      <c r="L995" s="5619">
        <v>1</v>
      </c>
      <c r="M995" s="5619">
        <v>0</v>
      </c>
      <c r="N995" s="5619">
        <v>1</v>
      </c>
      <c r="O995" s="5618" t="s">
        <v>3156</v>
      </c>
      <c r="P995" s="5618" t="s">
        <v>3026</v>
      </c>
      <c r="Q995" s="5620" t="s">
        <v>3293</v>
      </c>
      <c r="R995" s="1110"/>
      <c r="S995" s="1111"/>
      <c r="T995" s="1111"/>
      <c r="U995" s="1711"/>
      <c r="V995" s="1112"/>
      <c r="W995" s="1719"/>
      <c r="X995" s="1113"/>
      <c r="Y995" s="1113"/>
      <c r="Z995" s="1113"/>
      <c r="AA995" s="1363"/>
      <c r="AB995" s="1719"/>
      <c r="AC995" s="410"/>
      <c r="AD995" s="410"/>
      <c r="AE995" s="1308"/>
    </row>
    <row r="996" spans="1:31" ht="18" customHeight="1">
      <c r="A996" s="5629"/>
      <c r="B996" s="5573"/>
      <c r="C996" s="5337"/>
      <c r="D996" s="5337"/>
      <c r="E996" s="5337"/>
      <c r="F996" s="5337"/>
      <c r="G996" s="5337"/>
      <c r="H996" s="5337"/>
      <c r="I996" s="5337"/>
      <c r="J996" s="5337"/>
      <c r="K996" s="5337"/>
      <c r="L996" s="5337"/>
      <c r="M996" s="5337"/>
      <c r="N996" s="5337"/>
      <c r="O996" s="5337"/>
      <c r="P996" s="5337"/>
      <c r="Q996" s="5345"/>
      <c r="R996" s="1110"/>
      <c r="S996" s="1111"/>
      <c r="T996" s="1111"/>
      <c r="U996" s="1711"/>
      <c r="V996" s="1112"/>
      <c r="W996" s="1719"/>
      <c r="X996" s="1113"/>
      <c r="Y996" s="1113"/>
      <c r="Z996" s="1113"/>
      <c r="AA996" s="1363"/>
      <c r="AB996" s="1719"/>
      <c r="AC996" s="410"/>
      <c r="AD996" s="410"/>
      <c r="AE996" s="1308"/>
    </row>
    <row r="997" spans="1:31" ht="18" customHeight="1">
      <c r="A997" s="5629"/>
      <c r="B997" s="5573"/>
      <c r="C997" s="5337"/>
      <c r="D997" s="5337"/>
      <c r="E997" s="5337"/>
      <c r="F997" s="5337"/>
      <c r="G997" s="5337"/>
      <c r="H997" s="5337"/>
      <c r="I997" s="5337"/>
      <c r="J997" s="5337"/>
      <c r="K997" s="5337"/>
      <c r="L997" s="5337"/>
      <c r="M997" s="5337"/>
      <c r="N997" s="5337"/>
      <c r="O997" s="5337"/>
      <c r="P997" s="5337"/>
      <c r="Q997" s="5345"/>
      <c r="R997" s="1309"/>
      <c r="S997" s="1310"/>
      <c r="T997" s="1310"/>
      <c r="U997" s="277"/>
      <c r="V997" s="1311"/>
      <c r="W997" s="416"/>
      <c r="X997" s="1312"/>
      <c r="Y997" s="1312"/>
      <c r="Z997" s="1312"/>
      <c r="AA997" s="1364"/>
      <c r="AB997" s="416"/>
      <c r="AC997" s="278"/>
      <c r="AD997" s="278"/>
      <c r="AE997" s="1314"/>
    </row>
    <row r="998" spans="1:31" ht="18" customHeight="1">
      <c r="A998" s="5629"/>
      <c r="B998" s="5573"/>
      <c r="C998" s="5337"/>
      <c r="D998" s="5337"/>
      <c r="E998" s="5337"/>
      <c r="F998" s="5337"/>
      <c r="G998" s="5337"/>
      <c r="H998" s="5337"/>
      <c r="I998" s="5337"/>
      <c r="J998" s="5337"/>
      <c r="K998" s="5337"/>
      <c r="L998" s="5337"/>
      <c r="M998" s="5337"/>
      <c r="N998" s="5337"/>
      <c r="O998" s="5337"/>
      <c r="P998" s="5337"/>
      <c r="Q998" s="5345"/>
      <c r="R998" s="1110"/>
      <c r="S998" s="1111"/>
      <c r="T998" s="1111"/>
      <c r="U998" s="1711"/>
      <c r="V998" s="1112"/>
      <c r="W998" s="1719"/>
      <c r="X998" s="1113"/>
      <c r="Y998" s="1113"/>
      <c r="Z998" s="1113"/>
      <c r="AA998" s="1363"/>
      <c r="AB998" s="1719"/>
      <c r="AC998" s="410"/>
      <c r="AD998" s="410"/>
      <c r="AE998" s="1308"/>
    </row>
    <row r="999" spans="1:31" ht="18" customHeight="1">
      <c r="A999" s="5629"/>
      <c r="B999" s="5574"/>
      <c r="C999" s="5338"/>
      <c r="D999" s="5338"/>
      <c r="E999" s="5338"/>
      <c r="F999" s="5338"/>
      <c r="G999" s="5338"/>
      <c r="H999" s="5338"/>
      <c r="I999" s="5338"/>
      <c r="J999" s="5338"/>
      <c r="K999" s="5338"/>
      <c r="L999" s="5338"/>
      <c r="M999" s="5338"/>
      <c r="N999" s="5338"/>
      <c r="O999" s="5338"/>
      <c r="P999" s="5338"/>
      <c r="Q999" s="5346"/>
      <c r="R999" s="1110"/>
      <c r="S999" s="1111"/>
      <c r="T999" s="1111"/>
      <c r="U999" s="1711"/>
      <c r="V999" s="1112"/>
      <c r="W999" s="1719"/>
      <c r="X999" s="1113"/>
      <c r="Y999" s="1113"/>
      <c r="Z999" s="1113"/>
      <c r="AA999" s="1363"/>
      <c r="AB999" s="1719"/>
      <c r="AC999" s="410"/>
      <c r="AD999" s="410"/>
      <c r="AE999" s="1308"/>
    </row>
    <row r="1000" spans="1:31" ht="18" customHeight="1">
      <c r="A1000" s="5629"/>
      <c r="B1000" s="5627" t="s">
        <v>235</v>
      </c>
      <c r="C1000" s="5347" t="s">
        <v>236</v>
      </c>
      <c r="D1000" s="5347" t="s">
        <v>237</v>
      </c>
      <c r="E1000" s="5347" t="s">
        <v>255</v>
      </c>
      <c r="F1000" s="5353" t="s">
        <v>239</v>
      </c>
      <c r="G1000" s="5336" t="s">
        <v>240</v>
      </c>
      <c r="H1000" s="5336" t="s">
        <v>257</v>
      </c>
      <c r="I1000" s="5618" t="s">
        <v>3158</v>
      </c>
      <c r="J1000" s="5618" t="s">
        <v>3159</v>
      </c>
      <c r="K1000" s="5618" t="s">
        <v>3160</v>
      </c>
      <c r="L1000" s="5619">
        <v>1</v>
      </c>
      <c r="M1000" s="5619">
        <v>2</v>
      </c>
      <c r="N1000" s="5619">
        <v>2</v>
      </c>
      <c r="O1000" s="5618" t="s">
        <v>3161</v>
      </c>
      <c r="P1000" s="5618" t="s">
        <v>3162</v>
      </c>
      <c r="Q1000" s="5620" t="s">
        <v>3292</v>
      </c>
      <c r="R1000" s="1110"/>
      <c r="S1000" s="1111"/>
      <c r="T1000" s="1111"/>
      <c r="U1000" s="1711"/>
      <c r="V1000" s="1112"/>
      <c r="W1000" s="1719"/>
      <c r="X1000" s="1113"/>
      <c r="Y1000" s="1113"/>
      <c r="Z1000" s="1113"/>
      <c r="AA1000" s="1363"/>
      <c r="AB1000" s="1719"/>
      <c r="AC1000" s="410"/>
      <c r="AD1000" s="410"/>
      <c r="AE1000" s="1308"/>
    </row>
    <row r="1001" spans="1:31" ht="18" customHeight="1">
      <c r="A1001" s="5629"/>
      <c r="B1001" s="5573"/>
      <c r="C1001" s="5337"/>
      <c r="D1001" s="5337"/>
      <c r="E1001" s="5337"/>
      <c r="F1001" s="5337"/>
      <c r="G1001" s="5337"/>
      <c r="H1001" s="5337"/>
      <c r="I1001" s="5337"/>
      <c r="J1001" s="5337"/>
      <c r="K1001" s="5337"/>
      <c r="L1001" s="5337"/>
      <c r="M1001" s="5337"/>
      <c r="N1001" s="5337"/>
      <c r="O1001" s="5337"/>
      <c r="P1001" s="5337"/>
      <c r="Q1001" s="5345"/>
      <c r="R1001" s="1110"/>
      <c r="S1001" s="1111"/>
      <c r="T1001" s="1111"/>
      <c r="U1001" s="1711"/>
      <c r="V1001" s="1112"/>
      <c r="W1001" s="1719"/>
      <c r="X1001" s="1113"/>
      <c r="Y1001" s="1113"/>
      <c r="Z1001" s="1113"/>
      <c r="AA1001" s="1363"/>
      <c r="AB1001" s="1719"/>
      <c r="AC1001" s="410"/>
      <c r="AD1001" s="410"/>
      <c r="AE1001" s="1308"/>
    </row>
    <row r="1002" spans="1:31" ht="18" customHeight="1">
      <c r="A1002" s="5629"/>
      <c r="B1002" s="5573"/>
      <c r="C1002" s="5337"/>
      <c r="D1002" s="5337"/>
      <c r="E1002" s="5337"/>
      <c r="F1002" s="5337"/>
      <c r="G1002" s="5337"/>
      <c r="H1002" s="5337"/>
      <c r="I1002" s="5337"/>
      <c r="J1002" s="5337"/>
      <c r="K1002" s="5337"/>
      <c r="L1002" s="5337"/>
      <c r="M1002" s="5337"/>
      <c r="N1002" s="5337"/>
      <c r="O1002" s="5337"/>
      <c r="P1002" s="5337"/>
      <c r="Q1002" s="5345"/>
      <c r="R1002" s="1110"/>
      <c r="S1002" s="1111"/>
      <c r="T1002" s="1111"/>
      <c r="U1002" s="1711"/>
      <c r="V1002" s="1112"/>
      <c r="W1002" s="1719"/>
      <c r="X1002" s="1113"/>
      <c r="Y1002" s="1113"/>
      <c r="Z1002" s="1113"/>
      <c r="AA1002" s="1363"/>
      <c r="AB1002" s="1719"/>
      <c r="AC1002" s="410"/>
      <c r="AD1002" s="410"/>
      <c r="AE1002" s="1308"/>
    </row>
    <row r="1003" spans="1:31" ht="18" customHeight="1">
      <c r="A1003" s="5629"/>
      <c r="B1003" s="5573"/>
      <c r="C1003" s="5337"/>
      <c r="D1003" s="5337"/>
      <c r="E1003" s="5337"/>
      <c r="F1003" s="5337"/>
      <c r="G1003" s="5337"/>
      <c r="H1003" s="5337"/>
      <c r="I1003" s="5337"/>
      <c r="J1003" s="5337"/>
      <c r="K1003" s="5337"/>
      <c r="L1003" s="5337"/>
      <c r="M1003" s="5337"/>
      <c r="N1003" s="5337"/>
      <c r="O1003" s="5337"/>
      <c r="P1003" s="5337"/>
      <c r="Q1003" s="5345"/>
      <c r="R1003" s="1309"/>
      <c r="S1003" s="1310"/>
      <c r="T1003" s="1310"/>
      <c r="U1003" s="277"/>
      <c r="V1003" s="1311"/>
      <c r="W1003" s="416"/>
      <c r="X1003" s="1312"/>
      <c r="Y1003" s="1312"/>
      <c r="Z1003" s="1312"/>
      <c r="AA1003" s="1364"/>
      <c r="AB1003" s="416"/>
      <c r="AC1003" s="278"/>
      <c r="AD1003" s="278"/>
      <c r="AE1003" s="1314"/>
    </row>
    <row r="1004" spans="1:31" ht="18" customHeight="1">
      <c r="A1004" s="5629"/>
      <c r="B1004" s="5574"/>
      <c r="C1004" s="5338"/>
      <c r="D1004" s="5338"/>
      <c r="E1004" s="5338"/>
      <c r="F1004" s="5338"/>
      <c r="G1004" s="5338"/>
      <c r="H1004" s="5338"/>
      <c r="I1004" s="5337"/>
      <c r="J1004" s="5337"/>
      <c r="K1004" s="5337"/>
      <c r="L1004" s="5337"/>
      <c r="M1004" s="5337"/>
      <c r="N1004" s="5337"/>
      <c r="O1004" s="5337"/>
      <c r="P1004" s="5337"/>
      <c r="Q1004" s="5345"/>
      <c r="R1004" s="1110"/>
      <c r="S1004" s="1111"/>
      <c r="T1004" s="1111"/>
      <c r="U1004" s="1711"/>
      <c r="V1004" s="1112"/>
      <c r="W1004" s="1719"/>
      <c r="X1004" s="1113"/>
      <c r="Y1004" s="1113"/>
      <c r="Z1004" s="1113"/>
      <c r="AA1004" s="1363"/>
      <c r="AB1004" s="1719"/>
      <c r="AC1004" s="410"/>
      <c r="AD1004" s="410"/>
      <c r="AE1004" s="1308"/>
    </row>
    <row r="1005" spans="1:31" ht="18" customHeight="1">
      <c r="A1005" s="5629"/>
      <c r="B1005" s="5626" t="s">
        <v>272</v>
      </c>
      <c r="C1005" s="5624" t="s">
        <v>302</v>
      </c>
      <c r="D1005" s="5624" t="s">
        <v>303</v>
      </c>
      <c r="E1005" s="5624" t="s">
        <v>304</v>
      </c>
      <c r="F1005" s="5622" t="s">
        <v>305</v>
      </c>
      <c r="G1005" s="5624" t="s">
        <v>240</v>
      </c>
      <c r="H1005" s="5624" t="s">
        <v>257</v>
      </c>
      <c r="I1005" s="5618" t="s">
        <v>3163</v>
      </c>
      <c r="J1005" s="5618" t="s">
        <v>3164</v>
      </c>
      <c r="K1005" s="5618" t="s">
        <v>3146</v>
      </c>
      <c r="L1005" s="5619">
        <v>0</v>
      </c>
      <c r="M1005" s="5619">
        <v>1</v>
      </c>
      <c r="N1005" s="5619">
        <v>0</v>
      </c>
      <c r="O1005" s="5618" t="s">
        <v>3165</v>
      </c>
      <c r="P1005" s="5618" t="s">
        <v>3166</v>
      </c>
      <c r="Q1005" s="5620" t="s">
        <v>3292</v>
      </c>
      <c r="R1005" s="1110"/>
      <c r="S1005" s="1111"/>
      <c r="T1005" s="1111"/>
      <c r="U1005" s="1711"/>
      <c r="V1005" s="1112"/>
      <c r="W1005" s="1719"/>
      <c r="X1005" s="1113"/>
      <c r="Y1005" s="1113"/>
      <c r="Z1005" s="1113"/>
      <c r="AA1005" s="1363"/>
      <c r="AB1005" s="1719"/>
      <c r="AC1005" s="410"/>
      <c r="AD1005" s="410"/>
      <c r="AE1005" s="1308"/>
    </row>
    <row r="1006" spans="1:31" ht="18" customHeight="1">
      <c r="A1006" s="5629"/>
      <c r="B1006" s="5573"/>
      <c r="C1006" s="5337"/>
      <c r="D1006" s="5337"/>
      <c r="E1006" s="5337"/>
      <c r="F1006" s="5337"/>
      <c r="G1006" s="5337"/>
      <c r="H1006" s="5337"/>
      <c r="I1006" s="5337"/>
      <c r="J1006" s="5337"/>
      <c r="K1006" s="5337"/>
      <c r="L1006" s="5337"/>
      <c r="M1006" s="5337"/>
      <c r="N1006" s="5337"/>
      <c r="O1006" s="5337"/>
      <c r="P1006" s="5337"/>
      <c r="Q1006" s="5345"/>
      <c r="R1006" s="1110"/>
      <c r="S1006" s="1111"/>
      <c r="T1006" s="1111"/>
      <c r="U1006" s="1711"/>
      <c r="V1006" s="1112"/>
      <c r="W1006" s="1719"/>
      <c r="X1006" s="1113"/>
      <c r="Y1006" s="1113"/>
      <c r="Z1006" s="1113"/>
      <c r="AA1006" s="1363"/>
      <c r="AB1006" s="1719"/>
      <c r="AC1006" s="410"/>
      <c r="AD1006" s="410"/>
      <c r="AE1006" s="1308"/>
    </row>
    <row r="1007" spans="1:31" ht="18" customHeight="1">
      <c r="A1007" s="5629"/>
      <c r="B1007" s="5573"/>
      <c r="C1007" s="5337"/>
      <c r="D1007" s="5337"/>
      <c r="E1007" s="5337"/>
      <c r="F1007" s="5337"/>
      <c r="G1007" s="5337"/>
      <c r="H1007" s="5337"/>
      <c r="I1007" s="5337"/>
      <c r="J1007" s="5337"/>
      <c r="K1007" s="5337"/>
      <c r="L1007" s="5337"/>
      <c r="M1007" s="5337"/>
      <c r="N1007" s="5337"/>
      <c r="O1007" s="5337"/>
      <c r="P1007" s="5337"/>
      <c r="Q1007" s="5345"/>
      <c r="R1007" s="1110"/>
      <c r="S1007" s="1111"/>
      <c r="T1007" s="1111"/>
      <c r="U1007" s="1711"/>
      <c r="V1007" s="1112"/>
      <c r="W1007" s="1719"/>
      <c r="X1007" s="1113"/>
      <c r="Y1007" s="1113"/>
      <c r="Z1007" s="1113"/>
      <c r="AA1007" s="1363"/>
      <c r="AB1007" s="1719"/>
      <c r="AC1007" s="410"/>
      <c r="AD1007" s="410"/>
      <c r="AE1007" s="1308"/>
    </row>
    <row r="1008" spans="1:31" ht="18" customHeight="1">
      <c r="A1008" s="5629"/>
      <c r="B1008" s="5573"/>
      <c r="C1008" s="5337"/>
      <c r="D1008" s="5337"/>
      <c r="E1008" s="5337"/>
      <c r="F1008" s="5337"/>
      <c r="G1008" s="5337"/>
      <c r="H1008" s="5337"/>
      <c r="I1008" s="5337"/>
      <c r="J1008" s="5337"/>
      <c r="K1008" s="5337"/>
      <c r="L1008" s="5337"/>
      <c r="M1008" s="5337"/>
      <c r="N1008" s="5337"/>
      <c r="O1008" s="5337"/>
      <c r="P1008" s="5337"/>
      <c r="Q1008" s="5345"/>
      <c r="R1008" s="1110"/>
      <c r="S1008" s="1111"/>
      <c r="T1008" s="1111"/>
      <c r="U1008" s="1711"/>
      <c r="V1008" s="1112"/>
      <c r="W1008" s="1719"/>
      <c r="X1008" s="1113"/>
      <c r="Y1008" s="1113"/>
      <c r="Z1008" s="1113"/>
      <c r="AA1008" s="1363"/>
      <c r="AB1008" s="1719"/>
      <c r="AC1008" s="410"/>
      <c r="AD1008" s="410"/>
      <c r="AE1008" s="1308"/>
    </row>
    <row r="1009" spans="1:31" ht="18" customHeight="1">
      <c r="A1009" s="5629"/>
      <c r="B1009" s="5574"/>
      <c r="C1009" s="5338"/>
      <c r="D1009" s="5338"/>
      <c r="E1009" s="5338"/>
      <c r="F1009" s="5338"/>
      <c r="G1009" s="5338"/>
      <c r="H1009" s="5338"/>
      <c r="I1009" s="5338"/>
      <c r="J1009" s="5338"/>
      <c r="K1009" s="5338"/>
      <c r="L1009" s="5338"/>
      <c r="M1009" s="5338"/>
      <c r="N1009" s="5338"/>
      <c r="O1009" s="5338"/>
      <c r="P1009" s="5338"/>
      <c r="Q1009" s="5346"/>
      <c r="R1009" s="1309"/>
      <c r="S1009" s="1310"/>
      <c r="T1009" s="1310"/>
      <c r="U1009" s="277"/>
      <c r="V1009" s="1311"/>
      <c r="W1009" s="416"/>
      <c r="X1009" s="1312"/>
      <c r="Y1009" s="1312"/>
      <c r="Z1009" s="1312"/>
      <c r="AA1009" s="1364"/>
      <c r="AB1009" s="416"/>
      <c r="AC1009" s="278"/>
      <c r="AD1009" s="278"/>
      <c r="AE1009" s="1314"/>
    </row>
    <row r="1010" spans="1:31" ht="18" customHeight="1">
      <c r="A1010" s="5629"/>
      <c r="B1010" s="5626" t="s">
        <v>272</v>
      </c>
      <c r="C1010" s="5624" t="s">
        <v>302</v>
      </c>
      <c r="D1010" s="5624" t="s">
        <v>303</v>
      </c>
      <c r="E1010" s="5624" t="s">
        <v>304</v>
      </c>
      <c r="F1010" s="5622" t="s">
        <v>305</v>
      </c>
      <c r="G1010" s="5624" t="s">
        <v>240</v>
      </c>
      <c r="H1010" s="5624" t="s">
        <v>257</v>
      </c>
      <c r="I1010" s="5618" t="s">
        <v>3167</v>
      </c>
      <c r="J1010" s="5618" t="s">
        <v>3168</v>
      </c>
      <c r="K1010" s="5618" t="s">
        <v>3006</v>
      </c>
      <c r="L1010" s="5619">
        <v>2</v>
      </c>
      <c r="M1010" s="5619">
        <v>0</v>
      </c>
      <c r="N1010" s="5619">
        <v>2</v>
      </c>
      <c r="O1010" s="5618" t="s">
        <v>3169</v>
      </c>
      <c r="P1010" s="5618" t="s">
        <v>3170</v>
      </c>
      <c r="Q1010" s="5620" t="s">
        <v>3292</v>
      </c>
      <c r="R1010" s="1110"/>
      <c r="S1010" s="1111"/>
      <c r="T1010" s="1111"/>
      <c r="U1010" s="1711"/>
      <c r="V1010" s="1112"/>
      <c r="W1010" s="1719"/>
      <c r="X1010" s="1113"/>
      <c r="Y1010" s="1113"/>
      <c r="Z1010" s="1113"/>
      <c r="AA1010" s="1363"/>
      <c r="AB1010" s="1719"/>
      <c r="AC1010" s="410"/>
      <c r="AD1010" s="410"/>
      <c r="AE1010" s="1308"/>
    </row>
    <row r="1011" spans="1:31" ht="18" customHeight="1">
      <c r="A1011" s="5629"/>
      <c r="B1011" s="5573"/>
      <c r="C1011" s="5337"/>
      <c r="D1011" s="5337"/>
      <c r="E1011" s="5337"/>
      <c r="F1011" s="5337"/>
      <c r="G1011" s="5337"/>
      <c r="H1011" s="5337"/>
      <c r="I1011" s="5337"/>
      <c r="J1011" s="5337"/>
      <c r="K1011" s="5337"/>
      <c r="L1011" s="5337"/>
      <c r="M1011" s="5337"/>
      <c r="N1011" s="5337"/>
      <c r="O1011" s="5337"/>
      <c r="P1011" s="5337"/>
      <c r="Q1011" s="5345"/>
      <c r="R1011" s="1110"/>
      <c r="S1011" s="1111"/>
      <c r="T1011" s="1111"/>
      <c r="U1011" s="1711"/>
      <c r="V1011" s="1112"/>
      <c r="W1011" s="1719"/>
      <c r="X1011" s="1113"/>
      <c r="Y1011" s="1113"/>
      <c r="Z1011" s="1113"/>
      <c r="AA1011" s="1363"/>
      <c r="AB1011" s="1719"/>
      <c r="AC1011" s="410"/>
      <c r="AD1011" s="410"/>
      <c r="AE1011" s="1308"/>
    </row>
    <row r="1012" spans="1:31" ht="18" customHeight="1">
      <c r="A1012" s="5629"/>
      <c r="B1012" s="5573"/>
      <c r="C1012" s="5337"/>
      <c r="D1012" s="5337"/>
      <c r="E1012" s="5337"/>
      <c r="F1012" s="5337"/>
      <c r="G1012" s="5337"/>
      <c r="H1012" s="5337"/>
      <c r="I1012" s="5337"/>
      <c r="J1012" s="5337"/>
      <c r="K1012" s="5337"/>
      <c r="L1012" s="5337"/>
      <c r="M1012" s="5337"/>
      <c r="N1012" s="5337"/>
      <c r="O1012" s="5337"/>
      <c r="P1012" s="5337"/>
      <c r="Q1012" s="5345"/>
      <c r="R1012" s="1110"/>
      <c r="S1012" s="1111"/>
      <c r="T1012" s="1111"/>
      <c r="U1012" s="1711"/>
      <c r="V1012" s="1112"/>
      <c r="W1012" s="1719"/>
      <c r="X1012" s="1113"/>
      <c r="Y1012" s="1113"/>
      <c r="Z1012" s="1113"/>
      <c r="AA1012" s="1363"/>
      <c r="AB1012" s="1719"/>
      <c r="AC1012" s="410"/>
      <c r="AD1012" s="410"/>
      <c r="AE1012" s="1308"/>
    </row>
    <row r="1013" spans="1:31" ht="18" customHeight="1">
      <c r="A1013" s="5629"/>
      <c r="B1013" s="5573"/>
      <c r="C1013" s="5337"/>
      <c r="D1013" s="5337"/>
      <c r="E1013" s="5337"/>
      <c r="F1013" s="5337"/>
      <c r="G1013" s="5337"/>
      <c r="H1013" s="5337"/>
      <c r="I1013" s="5337"/>
      <c r="J1013" s="5337"/>
      <c r="K1013" s="5337"/>
      <c r="L1013" s="5337"/>
      <c r="M1013" s="5337"/>
      <c r="N1013" s="5337"/>
      <c r="O1013" s="5337"/>
      <c r="P1013" s="5337"/>
      <c r="Q1013" s="5345"/>
      <c r="R1013" s="1110"/>
      <c r="S1013" s="1111"/>
      <c r="T1013" s="1111"/>
      <c r="U1013" s="1711"/>
      <c r="V1013" s="1112"/>
      <c r="W1013" s="1719"/>
      <c r="X1013" s="1113"/>
      <c r="Y1013" s="1113"/>
      <c r="Z1013" s="1113"/>
      <c r="AA1013" s="1363"/>
      <c r="AB1013" s="1719"/>
      <c r="AC1013" s="410"/>
      <c r="AD1013" s="410"/>
      <c r="AE1013" s="1308"/>
    </row>
    <row r="1014" spans="1:31" ht="18" customHeight="1">
      <c r="A1014" s="5629"/>
      <c r="B1014" s="5574"/>
      <c r="C1014" s="5338"/>
      <c r="D1014" s="5338"/>
      <c r="E1014" s="5338"/>
      <c r="F1014" s="5338"/>
      <c r="G1014" s="5338"/>
      <c r="H1014" s="5338"/>
      <c r="I1014" s="5337"/>
      <c r="J1014" s="5337"/>
      <c r="K1014" s="5337"/>
      <c r="L1014" s="5337"/>
      <c r="M1014" s="5337"/>
      <c r="N1014" s="5337"/>
      <c r="O1014" s="5337"/>
      <c r="P1014" s="5337"/>
      <c r="Q1014" s="5345"/>
      <c r="R1014" s="1110"/>
      <c r="S1014" s="1111"/>
      <c r="T1014" s="1111"/>
      <c r="U1014" s="1711"/>
      <c r="V1014" s="1112"/>
      <c r="W1014" s="1719"/>
      <c r="X1014" s="1113"/>
      <c r="Y1014" s="1113"/>
      <c r="Z1014" s="1113"/>
      <c r="AA1014" s="1363"/>
      <c r="AB1014" s="1719"/>
      <c r="AC1014" s="410"/>
      <c r="AD1014" s="410"/>
      <c r="AE1014" s="1308"/>
    </row>
    <row r="1015" spans="1:31" ht="18" customHeight="1">
      <c r="A1015" s="5629"/>
      <c r="B1015" s="5626" t="s">
        <v>272</v>
      </c>
      <c r="C1015" s="5624" t="s">
        <v>302</v>
      </c>
      <c r="D1015" s="5624" t="s">
        <v>303</v>
      </c>
      <c r="E1015" s="5624" t="s">
        <v>304</v>
      </c>
      <c r="F1015" s="5622" t="s">
        <v>305</v>
      </c>
      <c r="G1015" s="5624" t="s">
        <v>240</v>
      </c>
      <c r="H1015" s="5624" t="s">
        <v>257</v>
      </c>
      <c r="I1015" s="5618" t="s">
        <v>3171</v>
      </c>
      <c r="J1015" s="5618" t="s">
        <v>3172</v>
      </c>
      <c r="K1015" s="5618" t="s">
        <v>3173</v>
      </c>
      <c r="L1015" s="5619">
        <v>4</v>
      </c>
      <c r="M1015" s="5619">
        <v>4</v>
      </c>
      <c r="N1015" s="5619">
        <v>4</v>
      </c>
      <c r="O1015" s="5618" t="s">
        <v>3174</v>
      </c>
      <c r="P1015" s="5618" t="s">
        <v>3175</v>
      </c>
      <c r="Q1015" s="5620" t="s">
        <v>3294</v>
      </c>
      <c r="R1015" s="1309"/>
      <c r="S1015" s="1310"/>
      <c r="T1015" s="1310"/>
      <c r="U1015" s="277"/>
      <c r="V1015" s="1311"/>
      <c r="W1015" s="416"/>
      <c r="X1015" s="1312"/>
      <c r="Y1015" s="1312"/>
      <c r="Z1015" s="1312"/>
      <c r="AA1015" s="1364"/>
      <c r="AB1015" s="416"/>
      <c r="AC1015" s="278"/>
      <c r="AD1015" s="278"/>
      <c r="AE1015" s="1314"/>
    </row>
    <row r="1016" spans="1:31" ht="18" customHeight="1">
      <c r="A1016" s="5629"/>
      <c r="B1016" s="5573"/>
      <c r="C1016" s="5337"/>
      <c r="D1016" s="5337"/>
      <c r="E1016" s="5337"/>
      <c r="F1016" s="5337"/>
      <c r="G1016" s="5337"/>
      <c r="H1016" s="5337"/>
      <c r="I1016" s="5337"/>
      <c r="J1016" s="5337"/>
      <c r="K1016" s="5337"/>
      <c r="L1016" s="5337"/>
      <c r="M1016" s="5337"/>
      <c r="N1016" s="5337"/>
      <c r="O1016" s="5337"/>
      <c r="P1016" s="5337"/>
      <c r="Q1016" s="5345"/>
      <c r="R1016" s="1110"/>
      <c r="S1016" s="1111"/>
      <c r="T1016" s="1111"/>
      <c r="U1016" s="1711"/>
      <c r="V1016" s="1112"/>
      <c r="W1016" s="1719"/>
      <c r="X1016" s="1113"/>
      <c r="Y1016" s="1113"/>
      <c r="Z1016" s="1113"/>
      <c r="AA1016" s="1363"/>
      <c r="AB1016" s="1719"/>
      <c r="AC1016" s="410"/>
      <c r="AD1016" s="410"/>
      <c r="AE1016" s="1308"/>
    </row>
    <row r="1017" spans="1:31" ht="18" customHeight="1">
      <c r="A1017" s="5629"/>
      <c r="B1017" s="5573"/>
      <c r="C1017" s="5337"/>
      <c r="D1017" s="5337"/>
      <c r="E1017" s="5337"/>
      <c r="F1017" s="5337"/>
      <c r="G1017" s="5337"/>
      <c r="H1017" s="5337"/>
      <c r="I1017" s="5337"/>
      <c r="J1017" s="5337"/>
      <c r="K1017" s="5337"/>
      <c r="L1017" s="5337"/>
      <c r="M1017" s="5337"/>
      <c r="N1017" s="5337"/>
      <c r="O1017" s="5337"/>
      <c r="P1017" s="5337"/>
      <c r="Q1017" s="5345"/>
      <c r="R1017" s="1110"/>
      <c r="S1017" s="1111"/>
      <c r="T1017" s="1111"/>
      <c r="U1017" s="1711"/>
      <c r="V1017" s="1112"/>
      <c r="W1017" s="1719"/>
      <c r="X1017" s="1113"/>
      <c r="Y1017" s="1113"/>
      <c r="Z1017" s="1113"/>
      <c r="AA1017" s="1363"/>
      <c r="AB1017" s="1719"/>
      <c r="AC1017" s="410"/>
      <c r="AD1017" s="410"/>
      <c r="AE1017" s="1308"/>
    </row>
    <row r="1018" spans="1:31" ht="18" customHeight="1">
      <c r="A1018" s="5629"/>
      <c r="B1018" s="5573"/>
      <c r="C1018" s="5337"/>
      <c r="D1018" s="5337"/>
      <c r="E1018" s="5337"/>
      <c r="F1018" s="5337"/>
      <c r="G1018" s="5337"/>
      <c r="H1018" s="5337"/>
      <c r="I1018" s="5337"/>
      <c r="J1018" s="5337"/>
      <c r="K1018" s="5337"/>
      <c r="L1018" s="5337"/>
      <c r="M1018" s="5337"/>
      <c r="N1018" s="5337"/>
      <c r="O1018" s="5337"/>
      <c r="P1018" s="5337"/>
      <c r="Q1018" s="5345"/>
      <c r="R1018" s="1110"/>
      <c r="S1018" s="1111"/>
      <c r="T1018" s="1111"/>
      <c r="U1018" s="1711"/>
      <c r="V1018" s="1112"/>
      <c r="W1018" s="1719"/>
      <c r="X1018" s="1113"/>
      <c r="Y1018" s="1113"/>
      <c r="Z1018" s="1113"/>
      <c r="AA1018" s="1363"/>
      <c r="AB1018" s="1719"/>
      <c r="AC1018" s="410"/>
      <c r="AD1018" s="410"/>
      <c r="AE1018" s="1308"/>
    </row>
    <row r="1019" spans="1:31" ht="18" customHeight="1">
      <c r="A1019" s="5629"/>
      <c r="B1019" s="5574"/>
      <c r="C1019" s="5338"/>
      <c r="D1019" s="5338"/>
      <c r="E1019" s="5338"/>
      <c r="F1019" s="5338"/>
      <c r="G1019" s="5338"/>
      <c r="H1019" s="5338"/>
      <c r="I1019" s="5338"/>
      <c r="J1019" s="5338"/>
      <c r="K1019" s="5338"/>
      <c r="L1019" s="5338"/>
      <c r="M1019" s="5338"/>
      <c r="N1019" s="5338"/>
      <c r="O1019" s="5338"/>
      <c r="P1019" s="5338"/>
      <c r="Q1019" s="5346"/>
      <c r="R1019" s="1110"/>
      <c r="S1019" s="1111"/>
      <c r="T1019" s="1111"/>
      <c r="U1019" s="1711"/>
      <c r="V1019" s="1112"/>
      <c r="W1019" s="1719"/>
      <c r="X1019" s="1113"/>
      <c r="Y1019" s="1113"/>
      <c r="Z1019" s="1113"/>
      <c r="AA1019" s="1363"/>
      <c r="AB1019" s="1719"/>
      <c r="AC1019" s="410"/>
      <c r="AD1019" s="410"/>
      <c r="AE1019" s="1308"/>
    </row>
    <row r="1020" spans="1:31" ht="18" customHeight="1">
      <c r="A1020" s="5629"/>
      <c r="B1020" s="5626" t="s">
        <v>272</v>
      </c>
      <c r="C1020" s="5624" t="s">
        <v>302</v>
      </c>
      <c r="D1020" s="5624" t="s">
        <v>303</v>
      </c>
      <c r="E1020" s="5624" t="s">
        <v>304</v>
      </c>
      <c r="F1020" s="5622" t="s">
        <v>305</v>
      </c>
      <c r="G1020" s="5624" t="s">
        <v>240</v>
      </c>
      <c r="H1020" s="5624" t="s">
        <v>257</v>
      </c>
      <c r="I1020" s="5618" t="s">
        <v>3177</v>
      </c>
      <c r="J1020" s="5618" t="s">
        <v>3178</v>
      </c>
      <c r="K1020" s="5618" t="s">
        <v>3146</v>
      </c>
      <c r="L1020" s="5619">
        <v>1</v>
      </c>
      <c r="M1020" s="5619">
        <v>1</v>
      </c>
      <c r="N1020" s="5619">
        <v>1</v>
      </c>
      <c r="O1020" s="5618" t="s">
        <v>3179</v>
      </c>
      <c r="P1020" s="5618" t="s">
        <v>3180</v>
      </c>
      <c r="Q1020" s="5620" t="s">
        <v>3294</v>
      </c>
      <c r="R1020" s="1110"/>
      <c r="S1020" s="1111"/>
      <c r="T1020" s="1111"/>
      <c r="U1020" s="1711"/>
      <c r="V1020" s="1112"/>
      <c r="W1020" s="1719"/>
      <c r="X1020" s="1113"/>
      <c r="Y1020" s="1113"/>
      <c r="Z1020" s="1113"/>
      <c r="AA1020" s="1363"/>
      <c r="AB1020" s="1719"/>
      <c r="AC1020" s="410"/>
      <c r="AD1020" s="410"/>
      <c r="AE1020" s="1308"/>
    </row>
    <row r="1021" spans="1:31" ht="18" customHeight="1">
      <c r="A1021" s="5629"/>
      <c r="B1021" s="5573"/>
      <c r="C1021" s="5337"/>
      <c r="D1021" s="5337"/>
      <c r="E1021" s="5337"/>
      <c r="F1021" s="5337"/>
      <c r="G1021" s="5337"/>
      <c r="H1021" s="5337"/>
      <c r="I1021" s="5337"/>
      <c r="J1021" s="5337"/>
      <c r="K1021" s="5337"/>
      <c r="L1021" s="5337"/>
      <c r="M1021" s="5337"/>
      <c r="N1021" s="5337"/>
      <c r="O1021" s="5337"/>
      <c r="P1021" s="5337"/>
      <c r="Q1021" s="5345"/>
      <c r="R1021" s="1309"/>
      <c r="S1021" s="1310"/>
      <c r="T1021" s="1310"/>
      <c r="U1021" s="277"/>
      <c r="V1021" s="1311"/>
      <c r="W1021" s="416"/>
      <c r="X1021" s="1312"/>
      <c r="Y1021" s="1312"/>
      <c r="Z1021" s="1312"/>
      <c r="AA1021" s="1364"/>
      <c r="AB1021" s="416"/>
      <c r="AC1021" s="278"/>
      <c r="AD1021" s="278"/>
      <c r="AE1021" s="1314"/>
    </row>
    <row r="1022" spans="1:31" ht="18" customHeight="1">
      <c r="A1022" s="5629"/>
      <c r="B1022" s="5573"/>
      <c r="C1022" s="5337"/>
      <c r="D1022" s="5337"/>
      <c r="E1022" s="5337"/>
      <c r="F1022" s="5337"/>
      <c r="G1022" s="5337"/>
      <c r="H1022" s="5337"/>
      <c r="I1022" s="5337"/>
      <c r="J1022" s="5337"/>
      <c r="K1022" s="5337"/>
      <c r="L1022" s="5337"/>
      <c r="M1022" s="5337"/>
      <c r="N1022" s="5337"/>
      <c r="O1022" s="5337"/>
      <c r="P1022" s="5337"/>
      <c r="Q1022" s="5345"/>
      <c r="R1022" s="1110"/>
      <c r="S1022" s="1111"/>
      <c r="T1022" s="1111"/>
      <c r="U1022" s="1711"/>
      <c r="V1022" s="1112"/>
      <c r="W1022" s="1719"/>
      <c r="X1022" s="1113"/>
      <c r="Y1022" s="1113"/>
      <c r="Z1022" s="1113"/>
      <c r="AA1022" s="1363"/>
      <c r="AB1022" s="1719"/>
      <c r="AC1022" s="410"/>
      <c r="AD1022" s="410"/>
      <c r="AE1022" s="1308"/>
    </row>
    <row r="1023" spans="1:31" ht="18" customHeight="1">
      <c r="A1023" s="5629"/>
      <c r="B1023" s="5573"/>
      <c r="C1023" s="5337"/>
      <c r="D1023" s="5337"/>
      <c r="E1023" s="5337"/>
      <c r="F1023" s="5337"/>
      <c r="G1023" s="5337"/>
      <c r="H1023" s="5337"/>
      <c r="I1023" s="5337"/>
      <c r="J1023" s="5337"/>
      <c r="K1023" s="5337"/>
      <c r="L1023" s="5337"/>
      <c r="M1023" s="5337"/>
      <c r="N1023" s="5337"/>
      <c r="O1023" s="5337"/>
      <c r="P1023" s="5337"/>
      <c r="Q1023" s="5345"/>
      <c r="R1023" s="1110"/>
      <c r="S1023" s="1111"/>
      <c r="T1023" s="1111"/>
      <c r="U1023" s="1711"/>
      <c r="V1023" s="1112"/>
      <c r="W1023" s="1719"/>
      <c r="X1023" s="1113"/>
      <c r="Y1023" s="1113"/>
      <c r="Z1023" s="1113"/>
      <c r="AA1023" s="1363"/>
      <c r="AB1023" s="1719"/>
      <c r="AC1023" s="410"/>
      <c r="AD1023" s="410"/>
      <c r="AE1023" s="1308"/>
    </row>
    <row r="1024" spans="1:31" ht="18" customHeight="1">
      <c r="A1024" s="5629"/>
      <c r="B1024" s="5574"/>
      <c r="C1024" s="5338"/>
      <c r="D1024" s="5338"/>
      <c r="E1024" s="5338"/>
      <c r="F1024" s="5338"/>
      <c r="G1024" s="5338"/>
      <c r="H1024" s="5338"/>
      <c r="I1024" s="5338"/>
      <c r="J1024" s="5338"/>
      <c r="K1024" s="5338"/>
      <c r="L1024" s="5338"/>
      <c r="M1024" s="5338"/>
      <c r="N1024" s="5338"/>
      <c r="O1024" s="5338"/>
      <c r="P1024" s="5338"/>
      <c r="Q1024" s="5346"/>
      <c r="R1024" s="1110"/>
      <c r="S1024" s="1111"/>
      <c r="T1024" s="1111"/>
      <c r="U1024" s="1711"/>
      <c r="V1024" s="1112"/>
      <c r="W1024" s="1719"/>
      <c r="X1024" s="1113"/>
      <c r="Y1024" s="1113"/>
      <c r="Z1024" s="1113"/>
      <c r="AA1024" s="1363"/>
      <c r="AB1024" s="1719"/>
      <c r="AC1024" s="410"/>
      <c r="AD1024" s="410"/>
      <c r="AE1024" s="1308"/>
    </row>
    <row r="1025" spans="1:31" ht="18" customHeight="1">
      <c r="A1025" s="5629"/>
      <c r="B1025" s="5626" t="s">
        <v>272</v>
      </c>
      <c r="C1025" s="5624" t="s">
        <v>302</v>
      </c>
      <c r="D1025" s="5624" t="s">
        <v>303</v>
      </c>
      <c r="E1025" s="5624" t="s">
        <v>304</v>
      </c>
      <c r="F1025" s="5622" t="s">
        <v>305</v>
      </c>
      <c r="G1025" s="5624" t="s">
        <v>240</v>
      </c>
      <c r="H1025" s="5624" t="s">
        <v>257</v>
      </c>
      <c r="I1025" s="5618" t="s">
        <v>3181</v>
      </c>
      <c r="J1025" s="5618" t="s">
        <v>3182</v>
      </c>
      <c r="K1025" s="5618" t="s">
        <v>3173</v>
      </c>
      <c r="L1025" s="5619">
        <v>0</v>
      </c>
      <c r="M1025" s="5619">
        <v>1</v>
      </c>
      <c r="N1025" s="5619">
        <v>1</v>
      </c>
      <c r="O1025" s="5618" t="s">
        <v>3183</v>
      </c>
      <c r="P1025" s="5618" t="s">
        <v>3184</v>
      </c>
      <c r="Q1025" s="5620" t="s">
        <v>3294</v>
      </c>
      <c r="R1025" s="1110"/>
      <c r="S1025" s="1111"/>
      <c r="T1025" s="1111"/>
      <c r="U1025" s="1711"/>
      <c r="V1025" s="1112"/>
      <c r="W1025" s="1719"/>
      <c r="X1025" s="1113"/>
      <c r="Y1025" s="1113"/>
      <c r="Z1025" s="1113"/>
      <c r="AA1025" s="1363"/>
      <c r="AB1025" s="1719"/>
      <c r="AC1025" s="410"/>
      <c r="AD1025" s="410"/>
      <c r="AE1025" s="1308"/>
    </row>
    <row r="1026" spans="1:31" ht="18" customHeight="1">
      <c r="A1026" s="5629"/>
      <c r="B1026" s="5573"/>
      <c r="C1026" s="5337"/>
      <c r="D1026" s="5337"/>
      <c r="E1026" s="5337"/>
      <c r="F1026" s="5337"/>
      <c r="G1026" s="5337"/>
      <c r="H1026" s="5337"/>
      <c r="I1026" s="5337"/>
      <c r="J1026" s="5337"/>
      <c r="K1026" s="5337"/>
      <c r="L1026" s="5337"/>
      <c r="M1026" s="5337"/>
      <c r="N1026" s="5337"/>
      <c r="O1026" s="5337"/>
      <c r="P1026" s="5337"/>
      <c r="Q1026" s="5345"/>
      <c r="R1026" s="1110"/>
      <c r="S1026" s="1111"/>
      <c r="T1026" s="1111"/>
      <c r="U1026" s="1711"/>
      <c r="V1026" s="1112"/>
      <c r="W1026" s="1719"/>
      <c r="X1026" s="1113"/>
      <c r="Y1026" s="1113"/>
      <c r="Z1026" s="1113"/>
      <c r="AA1026" s="1363"/>
      <c r="AB1026" s="1719"/>
      <c r="AC1026" s="410"/>
      <c r="AD1026" s="410"/>
      <c r="AE1026" s="1308"/>
    </row>
    <row r="1027" spans="1:31" ht="18" customHeight="1">
      <c r="A1027" s="5629"/>
      <c r="B1027" s="5573"/>
      <c r="C1027" s="5337"/>
      <c r="D1027" s="5337"/>
      <c r="E1027" s="5337"/>
      <c r="F1027" s="5337"/>
      <c r="G1027" s="5337"/>
      <c r="H1027" s="5337"/>
      <c r="I1027" s="5337"/>
      <c r="J1027" s="5337"/>
      <c r="K1027" s="5337"/>
      <c r="L1027" s="5337"/>
      <c r="M1027" s="5337"/>
      <c r="N1027" s="5337"/>
      <c r="O1027" s="5337"/>
      <c r="P1027" s="5337"/>
      <c r="Q1027" s="5345"/>
      <c r="R1027" s="1309"/>
      <c r="S1027" s="1310"/>
      <c r="T1027" s="1310"/>
      <c r="U1027" s="277"/>
      <c r="V1027" s="1311"/>
      <c r="W1027" s="416"/>
      <c r="X1027" s="1312"/>
      <c r="Y1027" s="1312"/>
      <c r="Z1027" s="1312"/>
      <c r="AA1027" s="1364"/>
      <c r="AB1027" s="416"/>
      <c r="AC1027" s="278"/>
      <c r="AD1027" s="278"/>
      <c r="AE1027" s="1314"/>
    </row>
    <row r="1028" spans="1:31" ht="18" customHeight="1">
      <c r="A1028" s="5629"/>
      <c r="B1028" s="5573"/>
      <c r="C1028" s="5337"/>
      <c r="D1028" s="5337"/>
      <c r="E1028" s="5337"/>
      <c r="F1028" s="5337"/>
      <c r="G1028" s="5337"/>
      <c r="H1028" s="5337"/>
      <c r="I1028" s="5337"/>
      <c r="J1028" s="5337"/>
      <c r="K1028" s="5337"/>
      <c r="L1028" s="5337"/>
      <c r="M1028" s="5337"/>
      <c r="N1028" s="5337"/>
      <c r="O1028" s="5337"/>
      <c r="P1028" s="5337"/>
      <c r="Q1028" s="5345"/>
      <c r="R1028" s="1110"/>
      <c r="S1028" s="1111"/>
      <c r="T1028" s="1111"/>
      <c r="U1028" s="1711"/>
      <c r="V1028" s="1112"/>
      <c r="W1028" s="1719"/>
      <c r="X1028" s="1113"/>
      <c r="Y1028" s="1113"/>
      <c r="Z1028" s="1113"/>
      <c r="AA1028" s="1363"/>
      <c r="AB1028" s="1719"/>
      <c r="AC1028" s="410"/>
      <c r="AD1028" s="410"/>
      <c r="AE1028" s="1308"/>
    </row>
    <row r="1029" spans="1:31" ht="18" customHeight="1">
      <c r="A1029" s="5629"/>
      <c r="B1029" s="5574"/>
      <c r="C1029" s="5338"/>
      <c r="D1029" s="5338"/>
      <c r="E1029" s="5338"/>
      <c r="F1029" s="5338"/>
      <c r="G1029" s="5338"/>
      <c r="H1029" s="5338"/>
      <c r="I1029" s="5338"/>
      <c r="J1029" s="5338"/>
      <c r="K1029" s="5338"/>
      <c r="L1029" s="5338"/>
      <c r="M1029" s="5338"/>
      <c r="N1029" s="5338"/>
      <c r="O1029" s="5338"/>
      <c r="P1029" s="5338"/>
      <c r="Q1029" s="5346"/>
      <c r="R1029" s="1110"/>
      <c r="S1029" s="1111"/>
      <c r="T1029" s="1111"/>
      <c r="U1029" s="1711"/>
      <c r="V1029" s="1112"/>
      <c r="W1029" s="1719"/>
      <c r="X1029" s="1113"/>
      <c r="Y1029" s="1113"/>
      <c r="Z1029" s="1113"/>
      <c r="AA1029" s="1363"/>
      <c r="AB1029" s="1719"/>
      <c r="AC1029" s="410"/>
      <c r="AD1029" s="410"/>
      <c r="AE1029" s="1308"/>
    </row>
    <row r="1030" spans="1:31" ht="18" customHeight="1">
      <c r="A1030" s="5629"/>
      <c r="B1030" s="5627" t="s">
        <v>235</v>
      </c>
      <c r="C1030" s="5347" t="s">
        <v>236</v>
      </c>
      <c r="D1030" s="5347" t="s">
        <v>237</v>
      </c>
      <c r="E1030" s="5347" t="s">
        <v>255</v>
      </c>
      <c r="F1030" s="5353" t="s">
        <v>239</v>
      </c>
      <c r="G1030" s="5336" t="s">
        <v>240</v>
      </c>
      <c r="H1030" s="5336" t="s">
        <v>257</v>
      </c>
      <c r="I1030" s="5618" t="s">
        <v>3185</v>
      </c>
      <c r="J1030" s="5618" t="s">
        <v>3186</v>
      </c>
      <c r="K1030" s="5618" t="s">
        <v>3187</v>
      </c>
      <c r="L1030" s="5619">
        <v>1</v>
      </c>
      <c r="M1030" s="5619">
        <v>1</v>
      </c>
      <c r="N1030" s="5619">
        <v>1</v>
      </c>
      <c r="O1030" s="5618" t="s">
        <v>3188</v>
      </c>
      <c r="P1030" s="5618" t="s">
        <v>3189</v>
      </c>
      <c r="Q1030" s="5620" t="s">
        <v>3292</v>
      </c>
      <c r="R1030" s="1110"/>
      <c r="S1030" s="1111"/>
      <c r="T1030" s="1111"/>
      <c r="U1030" s="1711"/>
      <c r="V1030" s="1112"/>
      <c r="W1030" s="1719"/>
      <c r="X1030" s="1113"/>
      <c r="Y1030" s="1113"/>
      <c r="Z1030" s="1113"/>
      <c r="AA1030" s="1363"/>
      <c r="AB1030" s="1719"/>
      <c r="AC1030" s="410"/>
      <c r="AD1030" s="410"/>
      <c r="AE1030" s="1308"/>
    </row>
    <row r="1031" spans="1:31" ht="18" customHeight="1">
      <c r="A1031" s="5629"/>
      <c r="B1031" s="5573"/>
      <c r="C1031" s="5337"/>
      <c r="D1031" s="5337"/>
      <c r="E1031" s="5337"/>
      <c r="F1031" s="5337"/>
      <c r="G1031" s="5337"/>
      <c r="H1031" s="5337"/>
      <c r="I1031" s="5337"/>
      <c r="J1031" s="5337"/>
      <c r="K1031" s="5337"/>
      <c r="L1031" s="5337"/>
      <c r="M1031" s="5337"/>
      <c r="N1031" s="5337"/>
      <c r="O1031" s="5337"/>
      <c r="P1031" s="5337"/>
      <c r="Q1031" s="5345"/>
      <c r="R1031" s="1110"/>
      <c r="S1031" s="1111"/>
      <c r="T1031" s="1111"/>
      <c r="U1031" s="1711"/>
      <c r="V1031" s="1112"/>
      <c r="W1031" s="1719"/>
      <c r="X1031" s="1113"/>
      <c r="Y1031" s="1113"/>
      <c r="Z1031" s="1113"/>
      <c r="AA1031" s="1363"/>
      <c r="AB1031" s="1719"/>
      <c r="AC1031" s="410"/>
      <c r="AD1031" s="410"/>
      <c r="AE1031" s="1308"/>
    </row>
    <row r="1032" spans="1:31" ht="18" customHeight="1">
      <c r="A1032" s="5629"/>
      <c r="B1032" s="5573"/>
      <c r="C1032" s="5337"/>
      <c r="D1032" s="5337"/>
      <c r="E1032" s="5337"/>
      <c r="F1032" s="5337"/>
      <c r="G1032" s="5337"/>
      <c r="H1032" s="5337"/>
      <c r="I1032" s="5337"/>
      <c r="J1032" s="5337"/>
      <c r="K1032" s="5337"/>
      <c r="L1032" s="5337"/>
      <c r="M1032" s="5337"/>
      <c r="N1032" s="5337"/>
      <c r="O1032" s="5337"/>
      <c r="P1032" s="5337"/>
      <c r="Q1032" s="5345"/>
      <c r="R1032" s="1110"/>
      <c r="S1032" s="1111"/>
      <c r="T1032" s="1111"/>
      <c r="U1032" s="1711"/>
      <c r="V1032" s="1112"/>
      <c r="W1032" s="1719"/>
      <c r="X1032" s="1113"/>
      <c r="Y1032" s="1113"/>
      <c r="Z1032" s="1113"/>
      <c r="AA1032" s="1363"/>
      <c r="AB1032" s="1719"/>
      <c r="AC1032" s="410"/>
      <c r="AD1032" s="410"/>
      <c r="AE1032" s="1308"/>
    </row>
    <row r="1033" spans="1:31" ht="18" customHeight="1">
      <c r="A1033" s="5629"/>
      <c r="B1033" s="5573"/>
      <c r="C1033" s="5337"/>
      <c r="D1033" s="5337"/>
      <c r="E1033" s="5337"/>
      <c r="F1033" s="5337"/>
      <c r="G1033" s="5337"/>
      <c r="H1033" s="5337"/>
      <c r="I1033" s="5337"/>
      <c r="J1033" s="5337"/>
      <c r="K1033" s="5337"/>
      <c r="L1033" s="5337"/>
      <c r="M1033" s="5337"/>
      <c r="N1033" s="5337"/>
      <c r="O1033" s="5337"/>
      <c r="P1033" s="5337"/>
      <c r="Q1033" s="5345"/>
      <c r="R1033" s="1309"/>
      <c r="S1033" s="1310"/>
      <c r="T1033" s="1310"/>
      <c r="U1033" s="277"/>
      <c r="V1033" s="1311"/>
      <c r="W1033" s="416"/>
      <c r="X1033" s="1312"/>
      <c r="Y1033" s="1312"/>
      <c r="Z1033" s="1312"/>
      <c r="AA1033" s="1364"/>
      <c r="AB1033" s="416"/>
      <c r="AC1033" s="278"/>
      <c r="AD1033" s="278"/>
      <c r="AE1033" s="1314"/>
    </row>
    <row r="1034" spans="1:31" ht="18" customHeight="1">
      <c r="A1034" s="5629"/>
      <c r="B1034" s="5574"/>
      <c r="C1034" s="5338"/>
      <c r="D1034" s="5338"/>
      <c r="E1034" s="5338"/>
      <c r="F1034" s="5338"/>
      <c r="G1034" s="5338"/>
      <c r="H1034" s="5338"/>
      <c r="I1034" s="5338"/>
      <c r="J1034" s="5338"/>
      <c r="K1034" s="5338"/>
      <c r="L1034" s="5338"/>
      <c r="M1034" s="5338"/>
      <c r="N1034" s="5338"/>
      <c r="O1034" s="5338"/>
      <c r="P1034" s="5338"/>
      <c r="Q1034" s="5346"/>
      <c r="R1034" s="1110"/>
      <c r="S1034" s="1111"/>
      <c r="T1034" s="1111"/>
      <c r="U1034" s="1711"/>
      <c r="V1034" s="1112"/>
      <c r="W1034" s="1719"/>
      <c r="X1034" s="1113"/>
      <c r="Y1034" s="1113"/>
      <c r="Z1034" s="1113"/>
      <c r="AA1034" s="1363"/>
      <c r="AB1034" s="1719"/>
      <c r="AC1034" s="410"/>
      <c r="AD1034" s="410"/>
      <c r="AE1034" s="1308"/>
    </row>
    <row r="1035" spans="1:31" ht="18" customHeight="1">
      <c r="A1035" s="5629"/>
      <c r="B1035" s="5626" t="s">
        <v>272</v>
      </c>
      <c r="C1035" s="5624" t="s">
        <v>302</v>
      </c>
      <c r="D1035" s="5624" t="s">
        <v>303</v>
      </c>
      <c r="E1035" s="5624" t="s">
        <v>304</v>
      </c>
      <c r="F1035" s="5622" t="s">
        <v>305</v>
      </c>
      <c r="G1035" s="5624" t="s">
        <v>240</v>
      </c>
      <c r="H1035" s="5624" t="s">
        <v>257</v>
      </c>
      <c r="I1035" s="5618" t="s">
        <v>3190</v>
      </c>
      <c r="J1035" s="5618" t="s">
        <v>3191</v>
      </c>
      <c r="K1035" s="5618" t="s">
        <v>2995</v>
      </c>
      <c r="L1035" s="5619">
        <v>0</v>
      </c>
      <c r="M1035" s="5619">
        <v>1</v>
      </c>
      <c r="N1035" s="5619">
        <v>0</v>
      </c>
      <c r="O1035" s="5618" t="s">
        <v>2996</v>
      </c>
      <c r="P1035" s="5618" t="s">
        <v>2997</v>
      </c>
      <c r="Q1035" s="5620" t="s">
        <v>3294</v>
      </c>
      <c r="R1035" s="1110"/>
      <c r="S1035" s="1111"/>
      <c r="T1035" s="1111"/>
      <c r="U1035" s="1711"/>
      <c r="V1035" s="1112"/>
      <c r="W1035" s="1719"/>
      <c r="X1035" s="1113"/>
      <c r="Y1035" s="1113"/>
      <c r="Z1035" s="1113"/>
      <c r="AA1035" s="1363"/>
      <c r="AB1035" s="1719"/>
      <c r="AC1035" s="410"/>
      <c r="AD1035" s="410"/>
      <c r="AE1035" s="1308"/>
    </row>
    <row r="1036" spans="1:31" ht="18" customHeight="1">
      <c r="A1036" s="5629"/>
      <c r="B1036" s="5573"/>
      <c r="C1036" s="5337"/>
      <c r="D1036" s="5337"/>
      <c r="E1036" s="5337"/>
      <c r="F1036" s="5337"/>
      <c r="G1036" s="5337"/>
      <c r="H1036" s="5337"/>
      <c r="I1036" s="5337"/>
      <c r="J1036" s="5337"/>
      <c r="K1036" s="5337"/>
      <c r="L1036" s="5337"/>
      <c r="M1036" s="5337"/>
      <c r="N1036" s="5337"/>
      <c r="O1036" s="5337"/>
      <c r="P1036" s="5337"/>
      <c r="Q1036" s="5345"/>
      <c r="R1036" s="1110"/>
      <c r="S1036" s="1111"/>
      <c r="T1036" s="1111"/>
      <c r="U1036" s="1711"/>
      <c r="V1036" s="1112"/>
      <c r="W1036" s="1719"/>
      <c r="X1036" s="1113"/>
      <c r="Y1036" s="1113"/>
      <c r="Z1036" s="1113"/>
      <c r="AA1036" s="1363"/>
      <c r="AB1036" s="1719"/>
      <c r="AC1036" s="410"/>
      <c r="AD1036" s="410"/>
      <c r="AE1036" s="1308"/>
    </row>
    <row r="1037" spans="1:31" ht="18" customHeight="1">
      <c r="A1037" s="5629"/>
      <c r="B1037" s="5573"/>
      <c r="C1037" s="5337"/>
      <c r="D1037" s="5337"/>
      <c r="E1037" s="5337"/>
      <c r="F1037" s="5337"/>
      <c r="G1037" s="5337"/>
      <c r="H1037" s="5337"/>
      <c r="I1037" s="5337"/>
      <c r="J1037" s="5337"/>
      <c r="K1037" s="5337"/>
      <c r="L1037" s="5337"/>
      <c r="M1037" s="5337"/>
      <c r="N1037" s="5337"/>
      <c r="O1037" s="5337"/>
      <c r="P1037" s="5337"/>
      <c r="Q1037" s="5345"/>
      <c r="R1037" s="1110"/>
      <c r="S1037" s="1111"/>
      <c r="T1037" s="1111"/>
      <c r="U1037" s="1711"/>
      <c r="V1037" s="1112"/>
      <c r="W1037" s="1719"/>
      <c r="X1037" s="1113"/>
      <c r="Y1037" s="1113"/>
      <c r="Z1037" s="1113"/>
      <c r="AA1037" s="1363"/>
      <c r="AB1037" s="1719"/>
      <c r="AC1037" s="410"/>
      <c r="AD1037" s="410"/>
      <c r="AE1037" s="1308"/>
    </row>
    <row r="1038" spans="1:31" ht="18" customHeight="1">
      <c r="A1038" s="5629"/>
      <c r="B1038" s="5573"/>
      <c r="C1038" s="5337"/>
      <c r="D1038" s="5337"/>
      <c r="E1038" s="5337"/>
      <c r="F1038" s="5337"/>
      <c r="G1038" s="5337"/>
      <c r="H1038" s="5337"/>
      <c r="I1038" s="5337"/>
      <c r="J1038" s="5337"/>
      <c r="K1038" s="5337"/>
      <c r="L1038" s="5337"/>
      <c r="M1038" s="5337"/>
      <c r="N1038" s="5337"/>
      <c r="O1038" s="5337"/>
      <c r="P1038" s="5337"/>
      <c r="Q1038" s="5345"/>
      <c r="R1038" s="1110"/>
      <c r="S1038" s="1111"/>
      <c r="T1038" s="1111"/>
      <c r="U1038" s="1711"/>
      <c r="V1038" s="1112"/>
      <c r="W1038" s="1719"/>
      <c r="X1038" s="1113"/>
      <c r="Y1038" s="1113"/>
      <c r="Z1038" s="1113"/>
      <c r="AA1038" s="1363"/>
      <c r="AB1038" s="1719"/>
      <c r="AC1038" s="410"/>
      <c r="AD1038" s="410"/>
      <c r="AE1038" s="1308"/>
    </row>
    <row r="1039" spans="1:31" ht="18" customHeight="1">
      <c r="A1039" s="5629"/>
      <c r="B1039" s="5574"/>
      <c r="C1039" s="5338"/>
      <c r="D1039" s="5338"/>
      <c r="E1039" s="5338"/>
      <c r="F1039" s="5338"/>
      <c r="G1039" s="5338"/>
      <c r="H1039" s="5338"/>
      <c r="I1039" s="5338"/>
      <c r="J1039" s="5338"/>
      <c r="K1039" s="5338"/>
      <c r="L1039" s="5338"/>
      <c r="M1039" s="5338"/>
      <c r="N1039" s="5338"/>
      <c r="O1039" s="5338"/>
      <c r="P1039" s="5338"/>
      <c r="Q1039" s="5346"/>
      <c r="R1039" s="1309"/>
      <c r="S1039" s="1310"/>
      <c r="T1039" s="1310"/>
      <c r="U1039" s="277"/>
      <c r="V1039" s="1311"/>
      <c r="W1039" s="416"/>
      <c r="X1039" s="1312"/>
      <c r="Y1039" s="1312"/>
      <c r="Z1039" s="1312"/>
      <c r="AA1039" s="1364"/>
      <c r="AB1039" s="416"/>
      <c r="AC1039" s="278"/>
      <c r="AD1039" s="278"/>
      <c r="AE1039" s="1314"/>
    </row>
    <row r="1040" spans="1:31" ht="18" customHeight="1">
      <c r="A1040" s="5629"/>
      <c r="B1040" s="5626" t="s">
        <v>272</v>
      </c>
      <c r="C1040" s="5624" t="s">
        <v>302</v>
      </c>
      <c r="D1040" s="5624" t="s">
        <v>303</v>
      </c>
      <c r="E1040" s="5624" t="s">
        <v>304</v>
      </c>
      <c r="F1040" s="5622" t="s">
        <v>305</v>
      </c>
      <c r="G1040" s="5336" t="s">
        <v>262</v>
      </c>
      <c r="H1040" s="5336" t="s">
        <v>241</v>
      </c>
      <c r="I1040" s="5336" t="s">
        <v>3192</v>
      </c>
      <c r="J1040" s="5623" t="s">
        <v>3193</v>
      </c>
      <c r="K1040" s="5336" t="s">
        <v>3146</v>
      </c>
      <c r="L1040" s="5343">
        <v>1</v>
      </c>
      <c r="M1040" s="5399">
        <v>1</v>
      </c>
      <c r="N1040" s="5343">
        <v>1</v>
      </c>
      <c r="O1040" s="5336" t="s">
        <v>3194</v>
      </c>
      <c r="P1040" s="5336" t="s">
        <v>3195</v>
      </c>
      <c r="Q1040" s="5370" t="s">
        <v>3295</v>
      </c>
      <c r="R1040" s="1110"/>
      <c r="S1040" s="1111"/>
      <c r="T1040" s="1111"/>
      <c r="U1040" s="1711"/>
      <c r="V1040" s="1112"/>
      <c r="W1040" s="1719"/>
      <c r="X1040" s="1113"/>
      <c r="Y1040" s="1113"/>
      <c r="Z1040" s="1113"/>
      <c r="AA1040" s="1363"/>
      <c r="AB1040" s="1719"/>
      <c r="AC1040" s="410"/>
      <c r="AD1040" s="410"/>
      <c r="AE1040" s="1308"/>
    </row>
    <row r="1041" spans="1:31" ht="18" customHeight="1">
      <c r="A1041" s="5629"/>
      <c r="B1041" s="5573"/>
      <c r="C1041" s="5337"/>
      <c r="D1041" s="5337"/>
      <c r="E1041" s="5337"/>
      <c r="F1041" s="5337"/>
      <c r="G1041" s="5337"/>
      <c r="H1041" s="5337"/>
      <c r="I1041" s="5337"/>
      <c r="J1041" s="5337"/>
      <c r="K1041" s="5337"/>
      <c r="L1041" s="5337"/>
      <c r="M1041" s="5337"/>
      <c r="N1041" s="5337"/>
      <c r="O1041" s="5337"/>
      <c r="P1041" s="5337"/>
      <c r="Q1041" s="5345"/>
      <c r="R1041" s="1110"/>
      <c r="S1041" s="1111"/>
      <c r="T1041" s="1111"/>
      <c r="U1041" s="1711"/>
      <c r="V1041" s="1112"/>
      <c r="W1041" s="1719"/>
      <c r="X1041" s="1113"/>
      <c r="Y1041" s="1113"/>
      <c r="Z1041" s="1113"/>
      <c r="AA1041" s="1363"/>
      <c r="AB1041" s="1719"/>
      <c r="AC1041" s="410"/>
      <c r="AD1041" s="410"/>
      <c r="AE1041" s="1308"/>
    </row>
    <row r="1042" spans="1:31" ht="18" customHeight="1">
      <c r="A1042" s="5629"/>
      <c r="B1042" s="5573"/>
      <c r="C1042" s="5337"/>
      <c r="D1042" s="5337"/>
      <c r="E1042" s="5337"/>
      <c r="F1042" s="5337"/>
      <c r="G1042" s="5337"/>
      <c r="H1042" s="5337"/>
      <c r="I1042" s="5337"/>
      <c r="J1042" s="5337"/>
      <c r="K1042" s="5337"/>
      <c r="L1042" s="5337"/>
      <c r="M1042" s="5337"/>
      <c r="N1042" s="5337"/>
      <c r="O1042" s="5337"/>
      <c r="P1042" s="5337"/>
      <c r="Q1042" s="5345"/>
      <c r="R1042" s="1110"/>
      <c r="S1042" s="1111"/>
      <c r="T1042" s="1111"/>
      <c r="U1042" s="1711"/>
      <c r="V1042" s="1112"/>
      <c r="W1042" s="1719"/>
      <c r="X1042" s="1113"/>
      <c r="Y1042" s="1113"/>
      <c r="Z1042" s="1113"/>
      <c r="AA1042" s="1363"/>
      <c r="AB1042" s="1719"/>
      <c r="AC1042" s="410"/>
      <c r="AD1042" s="410"/>
      <c r="AE1042" s="1308"/>
    </row>
    <row r="1043" spans="1:31" ht="18" customHeight="1">
      <c r="A1043" s="5629"/>
      <c r="B1043" s="5573"/>
      <c r="C1043" s="5337"/>
      <c r="D1043" s="5337"/>
      <c r="E1043" s="5337"/>
      <c r="F1043" s="5337"/>
      <c r="G1043" s="5337"/>
      <c r="H1043" s="5337"/>
      <c r="I1043" s="5337"/>
      <c r="J1043" s="5337"/>
      <c r="K1043" s="5337"/>
      <c r="L1043" s="5337"/>
      <c r="M1043" s="5337"/>
      <c r="N1043" s="5337"/>
      <c r="O1043" s="5337"/>
      <c r="P1043" s="5337"/>
      <c r="Q1043" s="5345"/>
      <c r="R1043" s="1110"/>
      <c r="S1043" s="1111"/>
      <c r="T1043" s="1111"/>
      <c r="U1043" s="1711"/>
      <c r="V1043" s="1112"/>
      <c r="W1043" s="1719"/>
      <c r="X1043" s="1113"/>
      <c r="Y1043" s="1113"/>
      <c r="Z1043" s="1113"/>
      <c r="AA1043" s="1363"/>
      <c r="AB1043" s="1719"/>
      <c r="AC1043" s="410"/>
      <c r="AD1043" s="410"/>
      <c r="AE1043" s="1308"/>
    </row>
    <row r="1044" spans="1:31" ht="18" customHeight="1">
      <c r="A1044" s="5629"/>
      <c r="B1044" s="5574"/>
      <c r="C1044" s="5338"/>
      <c r="D1044" s="5338"/>
      <c r="E1044" s="5338"/>
      <c r="F1044" s="5338"/>
      <c r="G1044" s="5338"/>
      <c r="H1044" s="5338"/>
      <c r="I1044" s="5338"/>
      <c r="J1044" s="5338"/>
      <c r="K1044" s="5338"/>
      <c r="L1044" s="5338"/>
      <c r="M1044" s="5338"/>
      <c r="N1044" s="5338"/>
      <c r="O1044" s="5338"/>
      <c r="P1044" s="5338"/>
      <c r="Q1044" s="5346"/>
      <c r="R1044" s="1110"/>
      <c r="S1044" s="1111"/>
      <c r="T1044" s="1111"/>
      <c r="U1044" s="1711"/>
      <c r="V1044" s="1112"/>
      <c r="W1044" s="1719"/>
      <c r="X1044" s="1113"/>
      <c r="Y1044" s="1113"/>
      <c r="Z1044" s="1113"/>
      <c r="AA1044" s="1363"/>
      <c r="AB1044" s="1719"/>
      <c r="AC1044" s="410"/>
      <c r="AD1044" s="410"/>
      <c r="AE1044" s="1308"/>
    </row>
    <row r="1045" spans="1:31" ht="18" customHeight="1">
      <c r="A1045" s="5629"/>
      <c r="B1045" s="5572" t="s">
        <v>235</v>
      </c>
      <c r="C1045" s="5336" t="s">
        <v>236</v>
      </c>
      <c r="D1045" s="5336" t="s">
        <v>237</v>
      </c>
      <c r="E1045" s="5336" t="s">
        <v>255</v>
      </c>
      <c r="F1045" s="5341" t="s">
        <v>239</v>
      </c>
      <c r="G1045" s="5336" t="s">
        <v>240</v>
      </c>
      <c r="H1045" s="5336" t="s">
        <v>257</v>
      </c>
      <c r="I1045" s="5336" t="s">
        <v>3197</v>
      </c>
      <c r="J1045" s="5623" t="s">
        <v>3198</v>
      </c>
      <c r="K1045" s="5336" t="s">
        <v>3012</v>
      </c>
      <c r="L1045" s="5399">
        <v>3</v>
      </c>
      <c r="M1045" s="5399">
        <v>4</v>
      </c>
      <c r="N1045" s="5399">
        <v>3</v>
      </c>
      <c r="O1045" s="5336" t="s">
        <v>3199</v>
      </c>
      <c r="P1045" s="5336" t="s">
        <v>3200</v>
      </c>
      <c r="Q1045" s="5370" t="s">
        <v>3292</v>
      </c>
      <c r="R1045" s="1309"/>
      <c r="S1045" s="1310"/>
      <c r="T1045" s="1310"/>
      <c r="U1045" s="277"/>
      <c r="V1045" s="1311"/>
      <c r="W1045" s="416"/>
      <c r="X1045" s="1312"/>
      <c r="Y1045" s="1312"/>
      <c r="Z1045" s="1312"/>
      <c r="AA1045" s="1364"/>
      <c r="AB1045" s="416"/>
      <c r="AC1045" s="278"/>
      <c r="AD1045" s="278"/>
      <c r="AE1045" s="1314"/>
    </row>
    <row r="1046" spans="1:31" ht="18" customHeight="1">
      <c r="A1046" s="5629"/>
      <c r="B1046" s="5573"/>
      <c r="C1046" s="5337"/>
      <c r="D1046" s="5337"/>
      <c r="E1046" s="5337"/>
      <c r="F1046" s="5337"/>
      <c r="G1046" s="5337"/>
      <c r="H1046" s="5337"/>
      <c r="I1046" s="5337"/>
      <c r="J1046" s="5337"/>
      <c r="K1046" s="5337"/>
      <c r="L1046" s="5337"/>
      <c r="M1046" s="5337"/>
      <c r="N1046" s="5337"/>
      <c r="O1046" s="5337"/>
      <c r="P1046" s="5337"/>
      <c r="Q1046" s="5345"/>
      <c r="R1046" s="1110"/>
      <c r="S1046" s="1111"/>
      <c r="T1046" s="1111"/>
      <c r="U1046" s="1711"/>
      <c r="V1046" s="1112"/>
      <c r="W1046" s="1719"/>
      <c r="X1046" s="1113"/>
      <c r="Y1046" s="1113"/>
      <c r="Z1046" s="1113"/>
      <c r="AA1046" s="1363"/>
      <c r="AB1046" s="1719"/>
      <c r="AC1046" s="410"/>
      <c r="AD1046" s="410"/>
      <c r="AE1046" s="1308"/>
    </row>
    <row r="1047" spans="1:31" ht="18" customHeight="1">
      <c r="A1047" s="5629"/>
      <c r="B1047" s="5573"/>
      <c r="C1047" s="5337"/>
      <c r="D1047" s="5337"/>
      <c r="E1047" s="5337"/>
      <c r="F1047" s="5337"/>
      <c r="G1047" s="5337"/>
      <c r="H1047" s="5337"/>
      <c r="I1047" s="5337"/>
      <c r="J1047" s="5337"/>
      <c r="K1047" s="5337"/>
      <c r="L1047" s="5337"/>
      <c r="M1047" s="5337"/>
      <c r="N1047" s="5337"/>
      <c r="O1047" s="5337"/>
      <c r="P1047" s="5337"/>
      <c r="Q1047" s="5345"/>
      <c r="R1047" s="1110"/>
      <c r="S1047" s="1111"/>
      <c r="T1047" s="1111"/>
      <c r="U1047" s="1711"/>
      <c r="V1047" s="1112"/>
      <c r="W1047" s="1719"/>
      <c r="X1047" s="1113"/>
      <c r="Y1047" s="1113"/>
      <c r="Z1047" s="1113"/>
      <c r="AA1047" s="1363"/>
      <c r="AB1047" s="1719"/>
      <c r="AC1047" s="410"/>
      <c r="AD1047" s="410"/>
      <c r="AE1047" s="1308"/>
    </row>
    <row r="1048" spans="1:31" ht="18" customHeight="1">
      <c r="A1048" s="5629"/>
      <c r="B1048" s="5573"/>
      <c r="C1048" s="5337"/>
      <c r="D1048" s="5337"/>
      <c r="E1048" s="5337"/>
      <c r="F1048" s="5337"/>
      <c r="G1048" s="5337"/>
      <c r="H1048" s="5337"/>
      <c r="I1048" s="5337"/>
      <c r="J1048" s="5337"/>
      <c r="K1048" s="5337"/>
      <c r="L1048" s="5337"/>
      <c r="M1048" s="5337"/>
      <c r="N1048" s="5337"/>
      <c r="O1048" s="5337"/>
      <c r="P1048" s="5337"/>
      <c r="Q1048" s="5345"/>
      <c r="R1048" s="1110"/>
      <c r="S1048" s="1111"/>
      <c r="T1048" s="1111"/>
      <c r="U1048" s="1711"/>
      <c r="V1048" s="1112"/>
      <c r="W1048" s="1719"/>
      <c r="X1048" s="1113"/>
      <c r="Y1048" s="1113"/>
      <c r="Z1048" s="1113"/>
      <c r="AA1048" s="1363"/>
      <c r="AB1048" s="1719"/>
      <c r="AC1048" s="410"/>
      <c r="AD1048" s="410"/>
      <c r="AE1048" s="1308"/>
    </row>
    <row r="1049" spans="1:31" ht="18" customHeight="1">
      <c r="A1049" s="5555"/>
      <c r="B1049" s="5574"/>
      <c r="C1049" s="5338"/>
      <c r="D1049" s="5338"/>
      <c r="E1049" s="5338"/>
      <c r="F1049" s="5338"/>
      <c r="G1049" s="5338"/>
      <c r="H1049" s="5338"/>
      <c r="I1049" s="5338"/>
      <c r="J1049" s="5338"/>
      <c r="K1049" s="5338"/>
      <c r="L1049" s="5338"/>
      <c r="M1049" s="5338"/>
      <c r="N1049" s="5338"/>
      <c r="O1049" s="5338"/>
      <c r="P1049" s="5338"/>
      <c r="Q1049" s="5346"/>
      <c r="R1049" s="1110"/>
      <c r="S1049" s="1111"/>
      <c r="T1049" s="1111"/>
      <c r="U1049" s="1711"/>
      <c r="V1049" s="1112"/>
      <c r="W1049" s="1719"/>
      <c r="X1049" s="1113"/>
      <c r="Y1049" s="1113"/>
      <c r="Z1049" s="1113"/>
      <c r="AA1049" s="1363"/>
      <c r="AB1049" s="1719"/>
      <c r="AC1049" s="410"/>
      <c r="AD1049" s="410"/>
      <c r="AE1049" s="1308"/>
    </row>
    <row r="1050" spans="1:31" ht="22.5" customHeight="1">
      <c r="A1050" s="2158"/>
      <c r="B1050" s="785"/>
      <c r="C1050" s="785"/>
      <c r="D1050" s="785"/>
      <c r="E1050" s="785"/>
      <c r="F1050" s="785"/>
      <c r="G1050" s="785"/>
      <c r="H1050" s="785"/>
      <c r="I1050" s="785"/>
      <c r="J1050" s="785"/>
      <c r="K1050" s="785"/>
      <c r="L1050" s="785"/>
      <c r="M1050" s="785"/>
      <c r="N1050" s="785"/>
      <c r="O1050" s="785"/>
      <c r="P1050" s="785"/>
      <c r="Q1050" s="786"/>
      <c r="R1050" s="5636" t="s">
        <v>3296</v>
      </c>
      <c r="S1050" s="5474"/>
      <c r="T1050" s="5474"/>
      <c r="U1050" s="5474"/>
      <c r="V1050" s="5474"/>
      <c r="W1050" s="5474"/>
      <c r="X1050" s="5474"/>
      <c r="Y1050" s="5475"/>
      <c r="Z1050" s="997" t="s">
        <v>340</v>
      </c>
      <c r="AA1050" s="998">
        <f>SUM(AA975:AA1049)</f>
        <v>0</v>
      </c>
      <c r="AB1050" s="5521"/>
      <c r="AC1050" s="5474"/>
      <c r="AD1050" s="5474"/>
      <c r="AE1050" s="5477"/>
    </row>
    <row r="1051" spans="1:31" ht="18" customHeight="1">
      <c r="A1051" s="5628" t="s">
        <v>3297</v>
      </c>
      <c r="B1051" s="5576" t="s">
        <v>272</v>
      </c>
      <c r="C1051" s="5355" t="s">
        <v>302</v>
      </c>
      <c r="D1051" s="5355" t="s">
        <v>303</v>
      </c>
      <c r="E1051" s="5355" t="s">
        <v>304</v>
      </c>
      <c r="F1051" s="5364" t="s">
        <v>305</v>
      </c>
      <c r="G1051" s="5355" t="s">
        <v>240</v>
      </c>
      <c r="H1051" s="5355" t="s">
        <v>257</v>
      </c>
      <c r="I1051" s="5360" t="s">
        <v>3298</v>
      </c>
      <c r="J1051" s="5625" t="s">
        <v>3135</v>
      </c>
      <c r="K1051" s="5355" t="s">
        <v>2846</v>
      </c>
      <c r="L1051" s="5363">
        <v>2</v>
      </c>
      <c r="M1051" s="5363">
        <v>1</v>
      </c>
      <c r="N1051" s="5363">
        <v>2</v>
      </c>
      <c r="O1051" s="5355" t="s">
        <v>3136</v>
      </c>
      <c r="P1051" s="5355" t="s">
        <v>3137</v>
      </c>
      <c r="Q1051" s="5392" t="s">
        <v>3138</v>
      </c>
      <c r="R1051" s="1102"/>
      <c r="S1051" s="1103"/>
      <c r="T1051" s="1103"/>
      <c r="U1051" s="154"/>
      <c r="V1051" s="1104"/>
      <c r="W1051" s="155"/>
      <c r="X1051" s="1105"/>
      <c r="Y1051" s="1105"/>
      <c r="Z1051" s="1105"/>
      <c r="AA1051" s="1106"/>
      <c r="AB1051" s="155"/>
      <c r="AC1051" s="156"/>
      <c r="AD1051" s="156"/>
      <c r="AE1051" s="5428"/>
    </row>
    <row r="1052" spans="1:31" ht="18" customHeight="1">
      <c r="A1052" s="5629"/>
      <c r="B1052" s="5573"/>
      <c r="C1052" s="5337"/>
      <c r="D1052" s="5337"/>
      <c r="E1052" s="5337"/>
      <c r="F1052" s="5337"/>
      <c r="G1052" s="5337"/>
      <c r="H1052" s="5337"/>
      <c r="I1052" s="5361"/>
      <c r="J1052" s="5337"/>
      <c r="K1052" s="5337"/>
      <c r="L1052" s="5337"/>
      <c r="M1052" s="5337"/>
      <c r="N1052" s="5337"/>
      <c r="O1052" s="5337"/>
      <c r="P1052" s="5337"/>
      <c r="Q1052" s="5345"/>
      <c r="R1052" s="982"/>
      <c r="S1052" s="983"/>
      <c r="T1052" s="983"/>
      <c r="U1052" s="169"/>
      <c r="V1052" s="984"/>
      <c r="W1052" s="170"/>
      <c r="X1052" s="974"/>
      <c r="Y1052" s="974">
        <f t="shared" ref="Y1052:Y1055" si="158">+V1052*X1052</f>
        <v>0</v>
      </c>
      <c r="Z1052" s="974">
        <f t="shared" ref="Z1052:Z1055" si="159">+Y1052*1.12</f>
        <v>0</v>
      </c>
      <c r="AA1052" s="969"/>
      <c r="AB1052" s="170"/>
      <c r="AC1052" s="282"/>
      <c r="AD1052" s="282"/>
      <c r="AE1052" s="5416"/>
    </row>
    <row r="1053" spans="1:31" ht="18" customHeight="1">
      <c r="A1053" s="5629"/>
      <c r="B1053" s="5573"/>
      <c r="C1053" s="5337"/>
      <c r="D1053" s="5337"/>
      <c r="E1053" s="5337"/>
      <c r="F1053" s="5337"/>
      <c r="G1053" s="5337"/>
      <c r="H1053" s="5337"/>
      <c r="I1053" s="5361"/>
      <c r="J1053" s="5337"/>
      <c r="K1053" s="5337"/>
      <c r="L1053" s="5337"/>
      <c r="M1053" s="5337"/>
      <c r="N1053" s="5337"/>
      <c r="O1053" s="5337"/>
      <c r="P1053" s="5337"/>
      <c r="Q1053" s="5345"/>
      <c r="R1053" s="971"/>
      <c r="S1053" s="972"/>
      <c r="T1053" s="972"/>
      <c r="U1053" s="1217"/>
      <c r="V1053" s="968"/>
      <c r="W1053" s="414"/>
      <c r="X1053" s="973"/>
      <c r="Y1053" s="974">
        <f t="shared" si="158"/>
        <v>0</v>
      </c>
      <c r="Z1053" s="974">
        <f t="shared" si="159"/>
        <v>0</v>
      </c>
      <c r="AA1053" s="969"/>
      <c r="AB1053" s="170"/>
      <c r="AC1053" s="282"/>
      <c r="AD1053" s="282"/>
      <c r="AE1053" s="5416"/>
    </row>
    <row r="1054" spans="1:31" ht="18" customHeight="1">
      <c r="A1054" s="5629"/>
      <c r="B1054" s="5573"/>
      <c r="C1054" s="5337"/>
      <c r="D1054" s="5337"/>
      <c r="E1054" s="5337"/>
      <c r="F1054" s="5337"/>
      <c r="G1054" s="5337"/>
      <c r="H1054" s="5337"/>
      <c r="I1054" s="5361"/>
      <c r="J1054" s="5337"/>
      <c r="K1054" s="5337"/>
      <c r="L1054" s="5337"/>
      <c r="M1054" s="5337"/>
      <c r="N1054" s="5337"/>
      <c r="O1054" s="5337"/>
      <c r="P1054" s="5337"/>
      <c r="Q1054" s="5345"/>
      <c r="R1054" s="970"/>
      <c r="S1054" s="967"/>
      <c r="T1054" s="967"/>
      <c r="U1054" s="1217"/>
      <c r="V1054" s="968"/>
      <c r="W1054" s="414"/>
      <c r="X1054" s="973"/>
      <c r="Y1054" s="974">
        <f t="shared" si="158"/>
        <v>0</v>
      </c>
      <c r="Z1054" s="974">
        <f t="shared" si="159"/>
        <v>0</v>
      </c>
      <c r="AA1054" s="969"/>
      <c r="AB1054" s="170"/>
      <c r="AC1054" s="282"/>
      <c r="AD1054" s="282"/>
      <c r="AE1054" s="5416"/>
    </row>
    <row r="1055" spans="1:31" ht="18" customHeight="1">
      <c r="A1055" s="5629"/>
      <c r="B1055" s="5574"/>
      <c r="C1055" s="5338"/>
      <c r="D1055" s="5338"/>
      <c r="E1055" s="5338"/>
      <c r="F1055" s="5338"/>
      <c r="G1055" s="5338"/>
      <c r="H1055" s="5338"/>
      <c r="I1055" s="5362"/>
      <c r="J1055" s="5338"/>
      <c r="K1055" s="5338"/>
      <c r="L1055" s="5338"/>
      <c r="M1055" s="5338"/>
      <c r="N1055" s="5338"/>
      <c r="O1055" s="5338"/>
      <c r="P1055" s="5338"/>
      <c r="Q1055" s="5346"/>
      <c r="R1055" s="975"/>
      <c r="S1055" s="976"/>
      <c r="T1055" s="976"/>
      <c r="U1055" s="411"/>
      <c r="V1055" s="977"/>
      <c r="W1055" s="165"/>
      <c r="X1055" s="978"/>
      <c r="Y1055" s="978">
        <f t="shared" si="158"/>
        <v>0</v>
      </c>
      <c r="Z1055" s="978">
        <f t="shared" si="159"/>
        <v>0</v>
      </c>
      <c r="AA1055" s="979"/>
      <c r="AB1055" s="165"/>
      <c r="AC1055" s="166"/>
      <c r="AD1055" s="166"/>
      <c r="AE1055" s="5417"/>
    </row>
    <row r="1056" spans="1:31" ht="18" customHeight="1">
      <c r="A1056" s="5629"/>
      <c r="B1056" s="5627" t="s">
        <v>235</v>
      </c>
      <c r="C1056" s="5347" t="s">
        <v>236</v>
      </c>
      <c r="D1056" s="5347" t="s">
        <v>237</v>
      </c>
      <c r="E1056" s="5347" t="s">
        <v>255</v>
      </c>
      <c r="F1056" s="5353" t="s">
        <v>239</v>
      </c>
      <c r="G1056" s="5336" t="s">
        <v>240</v>
      </c>
      <c r="H1056" s="5336" t="s">
        <v>257</v>
      </c>
      <c r="I1056" s="5621" t="s">
        <v>3139</v>
      </c>
      <c r="J1056" s="5621" t="s">
        <v>3140</v>
      </c>
      <c r="K1056" s="5618" t="s">
        <v>2846</v>
      </c>
      <c r="L1056" s="5619">
        <v>2</v>
      </c>
      <c r="M1056" s="5619">
        <v>0</v>
      </c>
      <c r="N1056" s="5619">
        <v>2</v>
      </c>
      <c r="O1056" s="5407" t="s">
        <v>3141</v>
      </c>
      <c r="P1056" s="5618" t="s">
        <v>3142</v>
      </c>
      <c r="Q1056" s="5620" t="s">
        <v>3299</v>
      </c>
      <c r="R1056" s="1110"/>
      <c r="S1056" s="1111"/>
      <c r="T1056" s="1111"/>
      <c r="U1056" s="1711"/>
      <c r="V1056" s="1112"/>
      <c r="W1056" s="1719"/>
      <c r="X1056" s="1113"/>
      <c r="Y1056" s="1113"/>
      <c r="Z1056" s="1113"/>
      <c r="AA1056" s="1114"/>
      <c r="AB1056" s="1719"/>
      <c r="AC1056" s="410"/>
      <c r="AD1056" s="410"/>
      <c r="AE1056" s="1308"/>
    </row>
    <row r="1057" spans="1:31" ht="18" customHeight="1">
      <c r="A1057" s="5629"/>
      <c r="B1057" s="5573"/>
      <c r="C1057" s="5337"/>
      <c r="D1057" s="5337"/>
      <c r="E1057" s="5337"/>
      <c r="F1057" s="5337"/>
      <c r="G1057" s="5337"/>
      <c r="H1057" s="5337"/>
      <c r="I1057" s="5337"/>
      <c r="J1057" s="5337"/>
      <c r="K1057" s="5337"/>
      <c r="L1057" s="5337"/>
      <c r="M1057" s="5337"/>
      <c r="N1057" s="5337"/>
      <c r="O1057" s="5337"/>
      <c r="P1057" s="5337"/>
      <c r="Q1057" s="5345"/>
      <c r="R1057" s="1110"/>
      <c r="S1057" s="1111"/>
      <c r="T1057" s="1111"/>
      <c r="U1057" s="1711"/>
      <c r="V1057" s="1112"/>
      <c r="W1057" s="1719"/>
      <c r="X1057" s="1113"/>
      <c r="Y1057" s="1113"/>
      <c r="Z1057" s="1113"/>
      <c r="AA1057" s="1114"/>
      <c r="AB1057" s="1719"/>
      <c r="AC1057" s="410"/>
      <c r="AD1057" s="410"/>
      <c r="AE1057" s="1308"/>
    </row>
    <row r="1058" spans="1:31" ht="18" customHeight="1">
      <c r="A1058" s="5629"/>
      <c r="B1058" s="5573"/>
      <c r="C1058" s="5337"/>
      <c r="D1058" s="5337"/>
      <c r="E1058" s="5337"/>
      <c r="F1058" s="5337"/>
      <c r="G1058" s="5337"/>
      <c r="H1058" s="5337"/>
      <c r="I1058" s="5337"/>
      <c r="J1058" s="5337"/>
      <c r="K1058" s="5337"/>
      <c r="L1058" s="5337"/>
      <c r="M1058" s="5337"/>
      <c r="N1058" s="5337"/>
      <c r="O1058" s="5337"/>
      <c r="P1058" s="5337"/>
      <c r="Q1058" s="5345"/>
      <c r="R1058" s="1110"/>
      <c r="S1058" s="1111"/>
      <c r="T1058" s="1111"/>
      <c r="U1058" s="1711"/>
      <c r="V1058" s="1112"/>
      <c r="W1058" s="1719"/>
      <c r="X1058" s="1113"/>
      <c r="Y1058" s="1113"/>
      <c r="Z1058" s="1113"/>
      <c r="AA1058" s="1114"/>
      <c r="AB1058" s="1719"/>
      <c r="AC1058" s="410"/>
      <c r="AD1058" s="410"/>
      <c r="AE1058" s="1308"/>
    </row>
    <row r="1059" spans="1:31" ht="18" customHeight="1">
      <c r="A1059" s="5629"/>
      <c r="B1059" s="5573"/>
      <c r="C1059" s="5337"/>
      <c r="D1059" s="5337"/>
      <c r="E1059" s="5337"/>
      <c r="F1059" s="5337"/>
      <c r="G1059" s="5337"/>
      <c r="H1059" s="5337"/>
      <c r="I1059" s="5337"/>
      <c r="J1059" s="5337"/>
      <c r="K1059" s="5337"/>
      <c r="L1059" s="5337"/>
      <c r="M1059" s="5337"/>
      <c r="N1059" s="5337"/>
      <c r="O1059" s="5337"/>
      <c r="P1059" s="5337"/>
      <c r="Q1059" s="5345"/>
      <c r="R1059" s="1110"/>
      <c r="S1059" s="1111"/>
      <c r="T1059" s="1111"/>
      <c r="U1059" s="1711"/>
      <c r="V1059" s="1112"/>
      <c r="W1059" s="1719"/>
      <c r="X1059" s="1113"/>
      <c r="Y1059" s="1113"/>
      <c r="Z1059" s="1113"/>
      <c r="AA1059" s="1114"/>
      <c r="AB1059" s="1719"/>
      <c r="AC1059" s="410"/>
      <c r="AD1059" s="410"/>
      <c r="AE1059" s="1308"/>
    </row>
    <row r="1060" spans="1:31" ht="18" customHeight="1">
      <c r="A1060" s="5629"/>
      <c r="B1060" s="5574"/>
      <c r="C1060" s="5338"/>
      <c r="D1060" s="5338"/>
      <c r="E1060" s="5338"/>
      <c r="F1060" s="5338"/>
      <c r="G1060" s="5338"/>
      <c r="H1060" s="5338"/>
      <c r="I1060" s="5338"/>
      <c r="J1060" s="5338"/>
      <c r="K1060" s="5338"/>
      <c r="L1060" s="5338"/>
      <c r="M1060" s="5338"/>
      <c r="N1060" s="5338"/>
      <c r="O1060" s="5338"/>
      <c r="P1060" s="5338"/>
      <c r="Q1060" s="5346"/>
      <c r="R1060" s="1309"/>
      <c r="S1060" s="1310"/>
      <c r="T1060" s="1310"/>
      <c r="U1060" s="277"/>
      <c r="V1060" s="1311"/>
      <c r="W1060" s="416"/>
      <c r="X1060" s="1312"/>
      <c r="Y1060" s="1312"/>
      <c r="Z1060" s="1312"/>
      <c r="AA1060" s="1313"/>
      <c r="AB1060" s="416"/>
      <c r="AC1060" s="278"/>
      <c r="AD1060" s="278"/>
      <c r="AE1060" s="1314"/>
    </row>
    <row r="1061" spans="1:31" ht="18" customHeight="1">
      <c r="A1061" s="5629"/>
      <c r="B1061" s="5627" t="s">
        <v>235</v>
      </c>
      <c r="C1061" s="5347" t="s">
        <v>236</v>
      </c>
      <c r="D1061" s="5347" t="s">
        <v>237</v>
      </c>
      <c r="E1061" s="5347" t="s">
        <v>255</v>
      </c>
      <c r="F1061" s="5353" t="s">
        <v>239</v>
      </c>
      <c r="G1061" s="5336" t="s">
        <v>240</v>
      </c>
      <c r="H1061" s="5336" t="s">
        <v>257</v>
      </c>
      <c r="I1061" s="5621" t="s">
        <v>3144</v>
      </c>
      <c r="J1061" s="5618" t="s">
        <v>3145</v>
      </c>
      <c r="K1061" s="5618" t="s">
        <v>3146</v>
      </c>
      <c r="L1061" s="5407">
        <v>0</v>
      </c>
      <c r="M1061" s="5407">
        <v>1</v>
      </c>
      <c r="N1061" s="5407">
        <v>0</v>
      </c>
      <c r="O1061" s="5618" t="s">
        <v>3147</v>
      </c>
      <c r="P1061" s="5618" t="s">
        <v>3148</v>
      </c>
      <c r="Q1061" s="5620" t="s">
        <v>3300</v>
      </c>
      <c r="R1061" s="1110"/>
      <c r="S1061" s="1111"/>
      <c r="T1061" s="1111"/>
      <c r="U1061" s="1711"/>
      <c r="V1061" s="1112"/>
      <c r="W1061" s="1719"/>
      <c r="X1061" s="1113"/>
      <c r="Y1061" s="1113"/>
      <c r="Z1061" s="1113"/>
      <c r="AA1061" s="1114"/>
      <c r="AB1061" s="1719"/>
      <c r="AC1061" s="410"/>
      <c r="AD1061" s="410"/>
      <c r="AE1061" s="1308"/>
    </row>
    <row r="1062" spans="1:31" ht="18" customHeight="1">
      <c r="A1062" s="5629"/>
      <c r="B1062" s="5573"/>
      <c r="C1062" s="5337"/>
      <c r="D1062" s="5337"/>
      <c r="E1062" s="5337"/>
      <c r="F1062" s="5337"/>
      <c r="G1062" s="5337"/>
      <c r="H1062" s="5337"/>
      <c r="I1062" s="5337"/>
      <c r="J1062" s="5337"/>
      <c r="K1062" s="5337"/>
      <c r="L1062" s="5337"/>
      <c r="M1062" s="5337"/>
      <c r="N1062" s="5337"/>
      <c r="O1062" s="5337"/>
      <c r="P1062" s="5337"/>
      <c r="Q1062" s="5345"/>
      <c r="R1062" s="1110"/>
      <c r="S1062" s="1111"/>
      <c r="T1062" s="1111"/>
      <c r="U1062" s="1711"/>
      <c r="V1062" s="1112"/>
      <c r="W1062" s="1719"/>
      <c r="X1062" s="1113"/>
      <c r="Y1062" s="1113"/>
      <c r="Z1062" s="1113"/>
      <c r="AA1062" s="1114"/>
      <c r="AB1062" s="1719"/>
      <c r="AC1062" s="410"/>
      <c r="AD1062" s="410"/>
      <c r="AE1062" s="1308"/>
    </row>
    <row r="1063" spans="1:31" ht="18" customHeight="1">
      <c r="A1063" s="5629"/>
      <c r="B1063" s="5573"/>
      <c r="C1063" s="5337"/>
      <c r="D1063" s="5337"/>
      <c r="E1063" s="5337"/>
      <c r="F1063" s="5337"/>
      <c r="G1063" s="5337"/>
      <c r="H1063" s="5337"/>
      <c r="I1063" s="5337"/>
      <c r="J1063" s="5337"/>
      <c r="K1063" s="5337"/>
      <c r="L1063" s="5337"/>
      <c r="M1063" s="5337"/>
      <c r="N1063" s="5337"/>
      <c r="O1063" s="5337"/>
      <c r="P1063" s="5337"/>
      <c r="Q1063" s="5345"/>
      <c r="R1063" s="1110"/>
      <c r="S1063" s="1111"/>
      <c r="T1063" s="1111"/>
      <c r="U1063" s="1711"/>
      <c r="V1063" s="1112"/>
      <c r="W1063" s="1719"/>
      <c r="X1063" s="1113"/>
      <c r="Y1063" s="1113"/>
      <c r="Z1063" s="1113"/>
      <c r="AA1063" s="1114"/>
      <c r="AB1063" s="1719"/>
      <c r="AC1063" s="410"/>
      <c r="AD1063" s="410"/>
      <c r="AE1063" s="1308"/>
    </row>
    <row r="1064" spans="1:31" ht="18" customHeight="1">
      <c r="A1064" s="5629"/>
      <c r="B1064" s="5573"/>
      <c r="C1064" s="5337"/>
      <c r="D1064" s="5337"/>
      <c r="E1064" s="5337"/>
      <c r="F1064" s="5337"/>
      <c r="G1064" s="5337"/>
      <c r="H1064" s="5337"/>
      <c r="I1064" s="5337"/>
      <c r="J1064" s="5337"/>
      <c r="K1064" s="5337"/>
      <c r="L1064" s="5337"/>
      <c r="M1064" s="5337"/>
      <c r="N1064" s="5337"/>
      <c r="O1064" s="5337"/>
      <c r="P1064" s="5337"/>
      <c r="Q1064" s="5345"/>
      <c r="R1064" s="1110"/>
      <c r="S1064" s="1111"/>
      <c r="T1064" s="1111"/>
      <c r="U1064" s="1711"/>
      <c r="V1064" s="1112"/>
      <c r="W1064" s="1719"/>
      <c r="X1064" s="1113"/>
      <c r="Y1064" s="1113"/>
      <c r="Z1064" s="1113"/>
      <c r="AA1064" s="1114"/>
      <c r="AB1064" s="1719"/>
      <c r="AC1064" s="410"/>
      <c r="AD1064" s="410"/>
      <c r="AE1064" s="1308"/>
    </row>
    <row r="1065" spans="1:31" ht="18" customHeight="1">
      <c r="A1065" s="5629"/>
      <c r="B1065" s="5574"/>
      <c r="C1065" s="5338"/>
      <c r="D1065" s="5338"/>
      <c r="E1065" s="5338"/>
      <c r="F1065" s="5338"/>
      <c r="G1065" s="5338"/>
      <c r="H1065" s="5338"/>
      <c r="I1065" s="5338"/>
      <c r="J1065" s="5338"/>
      <c r="K1065" s="5338"/>
      <c r="L1065" s="5338"/>
      <c r="M1065" s="5338"/>
      <c r="N1065" s="5338"/>
      <c r="O1065" s="5338"/>
      <c r="P1065" s="5338"/>
      <c r="Q1065" s="5346"/>
      <c r="R1065" s="1309"/>
      <c r="S1065" s="1310"/>
      <c r="T1065" s="1310"/>
      <c r="U1065" s="277"/>
      <c r="V1065" s="1311"/>
      <c r="W1065" s="416"/>
      <c r="X1065" s="1312"/>
      <c r="Y1065" s="1312"/>
      <c r="Z1065" s="1312"/>
      <c r="AA1065" s="1313"/>
      <c r="AB1065" s="416"/>
      <c r="AC1065" s="278"/>
      <c r="AD1065" s="278"/>
      <c r="AE1065" s="1314"/>
    </row>
    <row r="1066" spans="1:31" ht="18" customHeight="1">
      <c r="A1066" s="5629"/>
      <c r="B1066" s="5572" t="s">
        <v>272</v>
      </c>
      <c r="C1066" s="5336" t="s">
        <v>302</v>
      </c>
      <c r="D1066" s="5336" t="s">
        <v>303</v>
      </c>
      <c r="E1066" s="5336" t="s">
        <v>304</v>
      </c>
      <c r="F1066" s="5341" t="s">
        <v>305</v>
      </c>
      <c r="G1066" s="5336" t="s">
        <v>240</v>
      </c>
      <c r="H1066" s="5336" t="s">
        <v>257</v>
      </c>
      <c r="I1066" s="5618" t="s">
        <v>3150</v>
      </c>
      <c r="J1066" s="5618" t="s">
        <v>3151</v>
      </c>
      <c r="K1066" s="5618" t="s">
        <v>3146</v>
      </c>
      <c r="L1066" s="5407">
        <v>0</v>
      </c>
      <c r="M1066" s="5407">
        <v>1</v>
      </c>
      <c r="N1066" s="5407">
        <v>1</v>
      </c>
      <c r="O1066" s="5618" t="s">
        <v>3152</v>
      </c>
      <c r="P1066" s="5618" t="s">
        <v>3153</v>
      </c>
      <c r="Q1066" s="5620" t="s">
        <v>3300</v>
      </c>
      <c r="R1066" s="1110"/>
      <c r="S1066" s="1111"/>
      <c r="T1066" s="1111"/>
      <c r="U1066" s="1711"/>
      <c r="V1066" s="1112"/>
      <c r="W1066" s="1719"/>
      <c r="X1066" s="1113"/>
      <c r="Y1066" s="1113"/>
      <c r="Z1066" s="1113"/>
      <c r="AA1066" s="1114"/>
      <c r="AB1066" s="1719"/>
      <c r="AC1066" s="410"/>
      <c r="AD1066" s="410"/>
      <c r="AE1066" s="1308"/>
    </row>
    <row r="1067" spans="1:31" ht="18" customHeight="1">
      <c r="A1067" s="5629"/>
      <c r="B1067" s="5573"/>
      <c r="C1067" s="5337"/>
      <c r="D1067" s="5337"/>
      <c r="E1067" s="5337"/>
      <c r="F1067" s="5337"/>
      <c r="G1067" s="5337"/>
      <c r="H1067" s="5337"/>
      <c r="I1067" s="5337"/>
      <c r="J1067" s="5337"/>
      <c r="K1067" s="5337"/>
      <c r="L1067" s="5337"/>
      <c r="M1067" s="5337"/>
      <c r="N1067" s="5337"/>
      <c r="O1067" s="5337"/>
      <c r="P1067" s="5337"/>
      <c r="Q1067" s="5345"/>
      <c r="R1067" s="1110"/>
      <c r="S1067" s="1111"/>
      <c r="T1067" s="1111"/>
      <c r="U1067" s="1711"/>
      <c r="V1067" s="1112"/>
      <c r="W1067" s="1719"/>
      <c r="X1067" s="1113"/>
      <c r="Y1067" s="1113"/>
      <c r="Z1067" s="1113"/>
      <c r="AA1067" s="1114"/>
      <c r="AB1067" s="1719"/>
      <c r="AC1067" s="410"/>
      <c r="AD1067" s="410"/>
      <c r="AE1067" s="1308"/>
    </row>
    <row r="1068" spans="1:31" ht="18" customHeight="1">
      <c r="A1068" s="5629"/>
      <c r="B1068" s="5573"/>
      <c r="C1068" s="5337"/>
      <c r="D1068" s="5337"/>
      <c r="E1068" s="5337"/>
      <c r="F1068" s="5337"/>
      <c r="G1068" s="5337"/>
      <c r="H1068" s="5337"/>
      <c r="I1068" s="5337"/>
      <c r="J1068" s="5337"/>
      <c r="K1068" s="5337"/>
      <c r="L1068" s="5337"/>
      <c r="M1068" s="5337"/>
      <c r="N1068" s="5337"/>
      <c r="O1068" s="5337"/>
      <c r="P1068" s="5337"/>
      <c r="Q1068" s="5345"/>
      <c r="R1068" s="1110"/>
      <c r="S1068" s="1111"/>
      <c r="T1068" s="1111"/>
      <c r="U1068" s="1711"/>
      <c r="V1068" s="1112"/>
      <c r="W1068" s="1719"/>
      <c r="X1068" s="1113"/>
      <c r="Y1068" s="1113"/>
      <c r="Z1068" s="1113"/>
      <c r="AA1068" s="1114"/>
      <c r="AB1068" s="1719"/>
      <c r="AC1068" s="410"/>
      <c r="AD1068" s="410"/>
      <c r="AE1068" s="1308"/>
    </row>
    <row r="1069" spans="1:31" ht="18" customHeight="1">
      <c r="A1069" s="5629"/>
      <c r="B1069" s="5573"/>
      <c r="C1069" s="5337"/>
      <c r="D1069" s="5337"/>
      <c r="E1069" s="5337"/>
      <c r="F1069" s="5337"/>
      <c r="G1069" s="5337"/>
      <c r="H1069" s="5337"/>
      <c r="I1069" s="5337"/>
      <c r="J1069" s="5337"/>
      <c r="K1069" s="5337"/>
      <c r="L1069" s="5337"/>
      <c r="M1069" s="5337"/>
      <c r="N1069" s="5337"/>
      <c r="O1069" s="5337"/>
      <c r="P1069" s="5337"/>
      <c r="Q1069" s="5345"/>
      <c r="R1069" s="1110"/>
      <c r="S1069" s="1111"/>
      <c r="T1069" s="1111"/>
      <c r="U1069" s="1711"/>
      <c r="V1069" s="1112"/>
      <c r="W1069" s="1719"/>
      <c r="X1069" s="1113"/>
      <c r="Y1069" s="1113"/>
      <c r="Z1069" s="1113"/>
      <c r="AA1069" s="1114"/>
      <c r="AB1069" s="1719"/>
      <c r="AC1069" s="410"/>
      <c r="AD1069" s="410"/>
      <c r="AE1069" s="1308"/>
    </row>
    <row r="1070" spans="1:31" ht="18" customHeight="1">
      <c r="A1070" s="5629"/>
      <c r="B1070" s="5574"/>
      <c r="C1070" s="5338"/>
      <c r="D1070" s="5338"/>
      <c r="E1070" s="5338"/>
      <c r="F1070" s="5338"/>
      <c r="G1070" s="5338"/>
      <c r="H1070" s="5338"/>
      <c r="I1070" s="5338"/>
      <c r="J1070" s="5338"/>
      <c r="K1070" s="5338"/>
      <c r="L1070" s="5338"/>
      <c r="M1070" s="5338"/>
      <c r="N1070" s="5338"/>
      <c r="O1070" s="5338"/>
      <c r="P1070" s="5338"/>
      <c r="Q1070" s="5346"/>
      <c r="R1070" s="1309"/>
      <c r="S1070" s="1310"/>
      <c r="T1070" s="1310"/>
      <c r="U1070" s="277"/>
      <c r="V1070" s="1311"/>
      <c r="W1070" s="416"/>
      <c r="X1070" s="1312"/>
      <c r="Y1070" s="1312"/>
      <c r="Z1070" s="1312"/>
      <c r="AA1070" s="1313"/>
      <c r="AB1070" s="416"/>
      <c r="AC1070" s="278"/>
      <c r="AD1070" s="278"/>
      <c r="AE1070" s="1314"/>
    </row>
    <row r="1071" spans="1:31" ht="18" customHeight="1">
      <c r="A1071" s="5629"/>
      <c r="B1071" s="5572" t="s">
        <v>272</v>
      </c>
      <c r="C1071" s="5336" t="s">
        <v>302</v>
      </c>
      <c r="D1071" s="5336" t="s">
        <v>274</v>
      </c>
      <c r="E1071" s="5336" t="s">
        <v>885</v>
      </c>
      <c r="F1071" s="5341" t="s">
        <v>305</v>
      </c>
      <c r="G1071" s="5336" t="s">
        <v>262</v>
      </c>
      <c r="H1071" s="5336" t="s">
        <v>241</v>
      </c>
      <c r="I1071" s="5618" t="s">
        <v>3154</v>
      </c>
      <c r="J1071" s="5618" t="s">
        <v>3155</v>
      </c>
      <c r="K1071" s="5618" t="s">
        <v>3024</v>
      </c>
      <c r="L1071" s="5619">
        <v>1</v>
      </c>
      <c r="M1071" s="5619">
        <v>0</v>
      </c>
      <c r="N1071" s="5619">
        <v>1</v>
      </c>
      <c r="O1071" s="5618" t="s">
        <v>3156</v>
      </c>
      <c r="P1071" s="5618" t="s">
        <v>3026</v>
      </c>
      <c r="Q1071" s="5620" t="s">
        <v>3301</v>
      </c>
      <c r="R1071" s="1110"/>
      <c r="S1071" s="1111"/>
      <c r="T1071" s="1111"/>
      <c r="U1071" s="1711"/>
      <c r="V1071" s="1112"/>
      <c r="W1071" s="1719"/>
      <c r="X1071" s="1113"/>
      <c r="Y1071" s="1113"/>
      <c r="Z1071" s="1113"/>
      <c r="AA1071" s="1114"/>
      <c r="AB1071" s="1719"/>
      <c r="AC1071" s="410"/>
      <c r="AD1071" s="410"/>
      <c r="AE1071" s="1308"/>
    </row>
    <row r="1072" spans="1:31" ht="18" customHeight="1">
      <c r="A1072" s="5629"/>
      <c r="B1072" s="5573"/>
      <c r="C1072" s="5337"/>
      <c r="D1072" s="5337"/>
      <c r="E1072" s="5337"/>
      <c r="F1072" s="5337"/>
      <c r="G1072" s="5337"/>
      <c r="H1072" s="5337"/>
      <c r="I1072" s="5337"/>
      <c r="J1072" s="5337"/>
      <c r="K1072" s="5337"/>
      <c r="L1072" s="5337"/>
      <c r="M1072" s="5337"/>
      <c r="N1072" s="5337"/>
      <c r="O1072" s="5337"/>
      <c r="P1072" s="5337"/>
      <c r="Q1072" s="5345"/>
      <c r="R1072" s="1110"/>
      <c r="S1072" s="1111"/>
      <c r="T1072" s="1111"/>
      <c r="U1072" s="1711"/>
      <c r="V1072" s="1112"/>
      <c r="W1072" s="1719"/>
      <c r="X1072" s="1113"/>
      <c r="Y1072" s="1113"/>
      <c r="Z1072" s="1113"/>
      <c r="AA1072" s="1114"/>
      <c r="AB1072" s="1719"/>
      <c r="AC1072" s="410"/>
      <c r="AD1072" s="410"/>
      <c r="AE1072" s="1308"/>
    </row>
    <row r="1073" spans="1:31" ht="18" customHeight="1">
      <c r="A1073" s="5629"/>
      <c r="B1073" s="5573"/>
      <c r="C1073" s="5337"/>
      <c r="D1073" s="5337"/>
      <c r="E1073" s="5337"/>
      <c r="F1073" s="5337"/>
      <c r="G1073" s="5337"/>
      <c r="H1073" s="5337"/>
      <c r="I1073" s="5337"/>
      <c r="J1073" s="5337"/>
      <c r="K1073" s="5337"/>
      <c r="L1073" s="5337"/>
      <c r="M1073" s="5337"/>
      <c r="N1073" s="5337"/>
      <c r="O1073" s="5337"/>
      <c r="P1073" s="5337"/>
      <c r="Q1073" s="5345"/>
      <c r="R1073" s="1110"/>
      <c r="S1073" s="1111"/>
      <c r="T1073" s="1111"/>
      <c r="U1073" s="1711"/>
      <c r="V1073" s="1112"/>
      <c r="W1073" s="1719"/>
      <c r="X1073" s="1113"/>
      <c r="Y1073" s="1113"/>
      <c r="Z1073" s="1113"/>
      <c r="AA1073" s="1114"/>
      <c r="AB1073" s="1719"/>
      <c r="AC1073" s="410"/>
      <c r="AD1073" s="410"/>
      <c r="AE1073" s="1308"/>
    </row>
    <row r="1074" spans="1:31" ht="18" customHeight="1">
      <c r="A1074" s="5629"/>
      <c r="B1074" s="5573"/>
      <c r="C1074" s="5337"/>
      <c r="D1074" s="5337"/>
      <c r="E1074" s="5337"/>
      <c r="F1074" s="5337"/>
      <c r="G1074" s="5337"/>
      <c r="H1074" s="5337"/>
      <c r="I1074" s="5337"/>
      <c r="J1074" s="5337"/>
      <c r="K1074" s="5337"/>
      <c r="L1074" s="5337"/>
      <c r="M1074" s="5337"/>
      <c r="N1074" s="5337"/>
      <c r="O1074" s="5337"/>
      <c r="P1074" s="5337"/>
      <c r="Q1074" s="5345"/>
      <c r="R1074" s="1110"/>
      <c r="S1074" s="1111"/>
      <c r="T1074" s="1111"/>
      <c r="U1074" s="1711"/>
      <c r="V1074" s="1112"/>
      <c r="W1074" s="1719"/>
      <c r="X1074" s="1113"/>
      <c r="Y1074" s="1113"/>
      <c r="Z1074" s="1113"/>
      <c r="AA1074" s="1114"/>
      <c r="AB1074" s="1719"/>
      <c r="AC1074" s="410"/>
      <c r="AD1074" s="410"/>
      <c r="AE1074" s="1308"/>
    </row>
    <row r="1075" spans="1:31" ht="18" customHeight="1">
      <c r="A1075" s="5629"/>
      <c r="B1075" s="5574"/>
      <c r="C1075" s="5338"/>
      <c r="D1075" s="5338"/>
      <c r="E1075" s="5338"/>
      <c r="F1075" s="5338"/>
      <c r="G1075" s="5338"/>
      <c r="H1075" s="5338"/>
      <c r="I1075" s="5338"/>
      <c r="J1075" s="5338"/>
      <c r="K1075" s="5338"/>
      <c r="L1075" s="5338"/>
      <c r="M1075" s="5338"/>
      <c r="N1075" s="5338"/>
      <c r="O1075" s="5338"/>
      <c r="P1075" s="5338"/>
      <c r="Q1075" s="5346"/>
      <c r="R1075" s="1309"/>
      <c r="S1075" s="1310"/>
      <c r="T1075" s="1310"/>
      <c r="U1075" s="277"/>
      <c r="V1075" s="1311"/>
      <c r="W1075" s="416"/>
      <c r="X1075" s="1312"/>
      <c r="Y1075" s="1312"/>
      <c r="Z1075" s="1312"/>
      <c r="AA1075" s="1313"/>
      <c r="AB1075" s="416"/>
      <c r="AC1075" s="278"/>
      <c r="AD1075" s="278"/>
      <c r="AE1075" s="1314"/>
    </row>
    <row r="1076" spans="1:31" ht="18" customHeight="1">
      <c r="A1076" s="5629"/>
      <c r="B1076" s="5627" t="s">
        <v>235</v>
      </c>
      <c r="C1076" s="5347" t="s">
        <v>236</v>
      </c>
      <c r="D1076" s="5347" t="s">
        <v>237</v>
      </c>
      <c r="E1076" s="5347" t="s">
        <v>255</v>
      </c>
      <c r="F1076" s="5353" t="s">
        <v>239</v>
      </c>
      <c r="G1076" s="5336" t="s">
        <v>240</v>
      </c>
      <c r="H1076" s="5336" t="s">
        <v>257</v>
      </c>
      <c r="I1076" s="5618" t="s">
        <v>3158</v>
      </c>
      <c r="J1076" s="5618" t="s">
        <v>3159</v>
      </c>
      <c r="K1076" s="5618" t="s">
        <v>3160</v>
      </c>
      <c r="L1076" s="5619">
        <v>1</v>
      </c>
      <c r="M1076" s="5619">
        <v>2</v>
      </c>
      <c r="N1076" s="5619">
        <v>2</v>
      </c>
      <c r="O1076" s="5618" t="s">
        <v>3161</v>
      </c>
      <c r="P1076" s="5618" t="s">
        <v>3162</v>
      </c>
      <c r="Q1076" s="5620" t="s">
        <v>3300</v>
      </c>
      <c r="R1076" s="1110"/>
      <c r="S1076" s="1111"/>
      <c r="T1076" s="1111"/>
      <c r="U1076" s="1711"/>
      <c r="V1076" s="1112"/>
      <c r="W1076" s="1719"/>
      <c r="X1076" s="1113"/>
      <c r="Y1076" s="1113"/>
      <c r="Z1076" s="1113"/>
      <c r="AA1076" s="1114"/>
      <c r="AB1076" s="1719"/>
      <c r="AC1076" s="410"/>
      <c r="AD1076" s="410"/>
      <c r="AE1076" s="1308"/>
    </row>
    <row r="1077" spans="1:31" ht="18" customHeight="1">
      <c r="A1077" s="5629"/>
      <c r="B1077" s="5573"/>
      <c r="C1077" s="5337"/>
      <c r="D1077" s="5337"/>
      <c r="E1077" s="5337"/>
      <c r="F1077" s="5337"/>
      <c r="G1077" s="5337"/>
      <c r="H1077" s="5337"/>
      <c r="I1077" s="5337"/>
      <c r="J1077" s="5337"/>
      <c r="K1077" s="5337"/>
      <c r="L1077" s="5337"/>
      <c r="M1077" s="5337"/>
      <c r="N1077" s="5337"/>
      <c r="O1077" s="5337"/>
      <c r="P1077" s="5337"/>
      <c r="Q1077" s="5345"/>
      <c r="R1077" s="1110"/>
      <c r="S1077" s="1111"/>
      <c r="T1077" s="1111"/>
      <c r="U1077" s="1711"/>
      <c r="V1077" s="1112"/>
      <c r="W1077" s="1719"/>
      <c r="X1077" s="1113"/>
      <c r="Y1077" s="1113"/>
      <c r="Z1077" s="1113"/>
      <c r="AA1077" s="1114"/>
      <c r="AB1077" s="1719"/>
      <c r="AC1077" s="410"/>
      <c r="AD1077" s="410"/>
      <c r="AE1077" s="1308"/>
    </row>
    <row r="1078" spans="1:31" ht="18" customHeight="1">
      <c r="A1078" s="5629"/>
      <c r="B1078" s="5573"/>
      <c r="C1078" s="5337"/>
      <c r="D1078" s="5337"/>
      <c r="E1078" s="5337"/>
      <c r="F1078" s="5337"/>
      <c r="G1078" s="5337"/>
      <c r="H1078" s="5337"/>
      <c r="I1078" s="5337"/>
      <c r="J1078" s="5337"/>
      <c r="K1078" s="5337"/>
      <c r="L1078" s="5337"/>
      <c r="M1078" s="5337"/>
      <c r="N1078" s="5337"/>
      <c r="O1078" s="5337"/>
      <c r="P1078" s="5337"/>
      <c r="Q1078" s="5345"/>
      <c r="R1078" s="1110"/>
      <c r="S1078" s="1111"/>
      <c r="T1078" s="1111"/>
      <c r="U1078" s="1711"/>
      <c r="V1078" s="1112"/>
      <c r="W1078" s="1719"/>
      <c r="X1078" s="1113"/>
      <c r="Y1078" s="1113"/>
      <c r="Z1078" s="1113"/>
      <c r="AA1078" s="1114"/>
      <c r="AB1078" s="1719"/>
      <c r="AC1078" s="410"/>
      <c r="AD1078" s="410"/>
      <c r="AE1078" s="1308"/>
    </row>
    <row r="1079" spans="1:31" ht="18" customHeight="1">
      <c r="A1079" s="5629"/>
      <c r="B1079" s="5573"/>
      <c r="C1079" s="5337"/>
      <c r="D1079" s="5337"/>
      <c r="E1079" s="5337"/>
      <c r="F1079" s="5337"/>
      <c r="G1079" s="5337"/>
      <c r="H1079" s="5337"/>
      <c r="I1079" s="5337"/>
      <c r="J1079" s="5337"/>
      <c r="K1079" s="5337"/>
      <c r="L1079" s="5337"/>
      <c r="M1079" s="5337"/>
      <c r="N1079" s="5337"/>
      <c r="O1079" s="5337"/>
      <c r="P1079" s="5337"/>
      <c r="Q1079" s="5345"/>
      <c r="R1079" s="1110"/>
      <c r="S1079" s="1111"/>
      <c r="T1079" s="1111"/>
      <c r="U1079" s="1711"/>
      <c r="V1079" s="1112"/>
      <c r="W1079" s="1719"/>
      <c r="X1079" s="1113"/>
      <c r="Y1079" s="1113"/>
      <c r="Z1079" s="1113"/>
      <c r="AA1079" s="1114"/>
      <c r="AB1079" s="1719"/>
      <c r="AC1079" s="410"/>
      <c r="AD1079" s="410"/>
      <c r="AE1079" s="1308"/>
    </row>
    <row r="1080" spans="1:31" ht="18" customHeight="1">
      <c r="A1080" s="5629"/>
      <c r="B1080" s="5574"/>
      <c r="C1080" s="5338"/>
      <c r="D1080" s="5338"/>
      <c r="E1080" s="5338"/>
      <c r="F1080" s="5338"/>
      <c r="G1080" s="5338"/>
      <c r="H1080" s="5338"/>
      <c r="I1080" s="5337"/>
      <c r="J1080" s="5337"/>
      <c r="K1080" s="5337"/>
      <c r="L1080" s="5337"/>
      <c r="M1080" s="5337"/>
      <c r="N1080" s="5337"/>
      <c r="O1080" s="5337"/>
      <c r="P1080" s="5337"/>
      <c r="Q1080" s="5345"/>
      <c r="R1080" s="1309"/>
      <c r="S1080" s="1310"/>
      <c r="T1080" s="1310"/>
      <c r="U1080" s="277"/>
      <c r="V1080" s="1311"/>
      <c r="W1080" s="416"/>
      <c r="X1080" s="1312"/>
      <c r="Y1080" s="1312"/>
      <c r="Z1080" s="1312"/>
      <c r="AA1080" s="1313"/>
      <c r="AB1080" s="416"/>
      <c r="AC1080" s="278"/>
      <c r="AD1080" s="278"/>
      <c r="AE1080" s="1314"/>
    </row>
    <row r="1081" spans="1:31" ht="18" customHeight="1">
      <c r="A1081" s="5629"/>
      <c r="B1081" s="5626" t="s">
        <v>272</v>
      </c>
      <c r="C1081" s="5624" t="s">
        <v>302</v>
      </c>
      <c r="D1081" s="5624" t="s">
        <v>303</v>
      </c>
      <c r="E1081" s="5624" t="s">
        <v>304</v>
      </c>
      <c r="F1081" s="5622" t="s">
        <v>305</v>
      </c>
      <c r="G1081" s="5624" t="s">
        <v>240</v>
      </c>
      <c r="H1081" s="5624" t="s">
        <v>257</v>
      </c>
      <c r="I1081" s="5618" t="s">
        <v>3163</v>
      </c>
      <c r="J1081" s="5618" t="s">
        <v>3164</v>
      </c>
      <c r="K1081" s="5618" t="s">
        <v>3146</v>
      </c>
      <c r="L1081" s="5619">
        <v>0</v>
      </c>
      <c r="M1081" s="5619">
        <v>1</v>
      </c>
      <c r="N1081" s="5619">
        <v>0</v>
      </c>
      <c r="O1081" s="5618" t="s">
        <v>3165</v>
      </c>
      <c r="P1081" s="5618" t="s">
        <v>3166</v>
      </c>
      <c r="Q1081" s="5620" t="s">
        <v>3300</v>
      </c>
      <c r="R1081" s="1110"/>
      <c r="S1081" s="1111"/>
      <c r="T1081" s="1111"/>
      <c r="U1081" s="1711"/>
      <c r="V1081" s="1112"/>
      <c r="W1081" s="1719"/>
      <c r="X1081" s="1113"/>
      <c r="Y1081" s="1113"/>
      <c r="Z1081" s="1113"/>
      <c r="AA1081" s="1114"/>
      <c r="AB1081" s="1719"/>
      <c r="AC1081" s="410"/>
      <c r="AD1081" s="410"/>
      <c r="AE1081" s="1308"/>
    </row>
    <row r="1082" spans="1:31" ht="18" customHeight="1">
      <c r="A1082" s="5629"/>
      <c r="B1082" s="5573"/>
      <c r="C1082" s="5337"/>
      <c r="D1082" s="5337"/>
      <c r="E1082" s="5337"/>
      <c r="F1082" s="5337"/>
      <c r="G1082" s="5337"/>
      <c r="H1082" s="5337"/>
      <c r="I1082" s="5337"/>
      <c r="J1082" s="5337"/>
      <c r="K1082" s="5337"/>
      <c r="L1082" s="5337"/>
      <c r="M1082" s="5337"/>
      <c r="N1082" s="5337"/>
      <c r="O1082" s="5337"/>
      <c r="P1082" s="5337"/>
      <c r="Q1082" s="5345"/>
      <c r="R1082" s="1110"/>
      <c r="S1082" s="1111"/>
      <c r="T1082" s="1111"/>
      <c r="U1082" s="1711"/>
      <c r="V1082" s="1112"/>
      <c r="W1082" s="1719"/>
      <c r="X1082" s="1113"/>
      <c r="Y1082" s="1113"/>
      <c r="Z1082" s="1113"/>
      <c r="AA1082" s="1114"/>
      <c r="AB1082" s="1719"/>
      <c r="AC1082" s="410"/>
      <c r="AD1082" s="410"/>
      <c r="AE1082" s="1308"/>
    </row>
    <row r="1083" spans="1:31" ht="18" customHeight="1">
      <c r="A1083" s="5629"/>
      <c r="B1083" s="5573"/>
      <c r="C1083" s="5337"/>
      <c r="D1083" s="5337"/>
      <c r="E1083" s="5337"/>
      <c r="F1083" s="5337"/>
      <c r="G1083" s="5337"/>
      <c r="H1083" s="5337"/>
      <c r="I1083" s="5337"/>
      <c r="J1083" s="5337"/>
      <c r="K1083" s="5337"/>
      <c r="L1083" s="5337"/>
      <c r="M1083" s="5337"/>
      <c r="N1083" s="5337"/>
      <c r="O1083" s="5337"/>
      <c r="P1083" s="5337"/>
      <c r="Q1083" s="5345"/>
      <c r="R1083" s="1110"/>
      <c r="S1083" s="1111"/>
      <c r="T1083" s="1111"/>
      <c r="U1083" s="1711"/>
      <c r="V1083" s="1112"/>
      <c r="W1083" s="1719"/>
      <c r="X1083" s="1113"/>
      <c r="Y1083" s="1113"/>
      <c r="Z1083" s="1113"/>
      <c r="AA1083" s="1114"/>
      <c r="AB1083" s="1719"/>
      <c r="AC1083" s="410"/>
      <c r="AD1083" s="410"/>
      <c r="AE1083" s="1308"/>
    </row>
    <row r="1084" spans="1:31" ht="18" customHeight="1">
      <c r="A1084" s="5629"/>
      <c r="B1084" s="5573"/>
      <c r="C1084" s="5337"/>
      <c r="D1084" s="5337"/>
      <c r="E1084" s="5337"/>
      <c r="F1084" s="5337"/>
      <c r="G1084" s="5337"/>
      <c r="H1084" s="5337"/>
      <c r="I1084" s="5337"/>
      <c r="J1084" s="5337"/>
      <c r="K1084" s="5337"/>
      <c r="L1084" s="5337"/>
      <c r="M1084" s="5337"/>
      <c r="N1084" s="5337"/>
      <c r="O1084" s="5337"/>
      <c r="P1084" s="5337"/>
      <c r="Q1084" s="5345"/>
      <c r="R1084" s="1110"/>
      <c r="S1084" s="1111"/>
      <c r="T1084" s="1111"/>
      <c r="U1084" s="1711"/>
      <c r="V1084" s="1112"/>
      <c r="W1084" s="1719"/>
      <c r="X1084" s="1113"/>
      <c r="Y1084" s="1113"/>
      <c r="Z1084" s="1113"/>
      <c r="AA1084" s="1114"/>
      <c r="AB1084" s="1719"/>
      <c r="AC1084" s="410"/>
      <c r="AD1084" s="410"/>
      <c r="AE1084" s="1308"/>
    </row>
    <row r="1085" spans="1:31" ht="18" customHeight="1">
      <c r="A1085" s="5629"/>
      <c r="B1085" s="5574"/>
      <c r="C1085" s="5338"/>
      <c r="D1085" s="5338"/>
      <c r="E1085" s="5338"/>
      <c r="F1085" s="5338"/>
      <c r="G1085" s="5338"/>
      <c r="H1085" s="5338"/>
      <c r="I1085" s="5338"/>
      <c r="J1085" s="5338"/>
      <c r="K1085" s="5338"/>
      <c r="L1085" s="5338"/>
      <c r="M1085" s="5338"/>
      <c r="N1085" s="5338"/>
      <c r="O1085" s="5338"/>
      <c r="P1085" s="5338"/>
      <c r="Q1085" s="5346"/>
      <c r="R1085" s="1309"/>
      <c r="S1085" s="1310"/>
      <c r="T1085" s="1310"/>
      <c r="U1085" s="277"/>
      <c r="V1085" s="1311"/>
      <c r="W1085" s="416"/>
      <c r="X1085" s="1312"/>
      <c r="Y1085" s="1312"/>
      <c r="Z1085" s="1312"/>
      <c r="AA1085" s="1313"/>
      <c r="AB1085" s="416"/>
      <c r="AC1085" s="278"/>
      <c r="AD1085" s="278"/>
      <c r="AE1085" s="1314"/>
    </row>
    <row r="1086" spans="1:31" ht="18" customHeight="1">
      <c r="A1086" s="5629"/>
      <c r="B1086" s="5626" t="s">
        <v>272</v>
      </c>
      <c r="C1086" s="5624" t="s">
        <v>302</v>
      </c>
      <c r="D1086" s="5624" t="s">
        <v>303</v>
      </c>
      <c r="E1086" s="5624" t="s">
        <v>304</v>
      </c>
      <c r="F1086" s="5622" t="s">
        <v>305</v>
      </c>
      <c r="G1086" s="5624" t="s">
        <v>240</v>
      </c>
      <c r="H1086" s="5624" t="s">
        <v>257</v>
      </c>
      <c r="I1086" s="5618" t="s">
        <v>3167</v>
      </c>
      <c r="J1086" s="5618" t="s">
        <v>3168</v>
      </c>
      <c r="K1086" s="5618" t="s">
        <v>3006</v>
      </c>
      <c r="L1086" s="5619">
        <v>2</v>
      </c>
      <c r="M1086" s="5619">
        <v>0</v>
      </c>
      <c r="N1086" s="5619">
        <v>2</v>
      </c>
      <c r="O1086" s="5618" t="s">
        <v>3169</v>
      </c>
      <c r="P1086" s="5618" t="s">
        <v>3170</v>
      </c>
      <c r="Q1086" s="5620" t="s">
        <v>3300</v>
      </c>
      <c r="R1086" s="1110"/>
      <c r="S1086" s="1111"/>
      <c r="T1086" s="1111"/>
      <c r="U1086" s="1711"/>
      <c r="V1086" s="1112"/>
      <c r="W1086" s="1719"/>
      <c r="X1086" s="1113"/>
      <c r="Y1086" s="1113"/>
      <c r="Z1086" s="1113"/>
      <c r="AA1086" s="1114"/>
      <c r="AB1086" s="1719"/>
      <c r="AC1086" s="410"/>
      <c r="AD1086" s="410"/>
      <c r="AE1086" s="1308"/>
    </row>
    <row r="1087" spans="1:31" ht="18" customHeight="1">
      <c r="A1087" s="5629"/>
      <c r="B1087" s="5573"/>
      <c r="C1087" s="5337"/>
      <c r="D1087" s="5337"/>
      <c r="E1087" s="5337"/>
      <c r="F1087" s="5337"/>
      <c r="G1087" s="5337"/>
      <c r="H1087" s="5337"/>
      <c r="I1087" s="5337"/>
      <c r="J1087" s="5337"/>
      <c r="K1087" s="5337"/>
      <c r="L1087" s="5337"/>
      <c r="M1087" s="5337"/>
      <c r="N1087" s="5337"/>
      <c r="O1087" s="5337"/>
      <c r="P1087" s="5337"/>
      <c r="Q1087" s="5345"/>
      <c r="R1087" s="1110"/>
      <c r="S1087" s="1111"/>
      <c r="T1087" s="1111"/>
      <c r="U1087" s="1711"/>
      <c r="V1087" s="1112"/>
      <c r="W1087" s="1719"/>
      <c r="X1087" s="1113"/>
      <c r="Y1087" s="1113"/>
      <c r="Z1087" s="1113"/>
      <c r="AA1087" s="1114"/>
      <c r="AB1087" s="1719"/>
      <c r="AC1087" s="410"/>
      <c r="AD1087" s="410"/>
      <c r="AE1087" s="1308"/>
    </row>
    <row r="1088" spans="1:31" ht="18" customHeight="1">
      <c r="A1088" s="5629"/>
      <c r="B1088" s="5573"/>
      <c r="C1088" s="5337"/>
      <c r="D1088" s="5337"/>
      <c r="E1088" s="5337"/>
      <c r="F1088" s="5337"/>
      <c r="G1088" s="5337"/>
      <c r="H1088" s="5337"/>
      <c r="I1088" s="5337"/>
      <c r="J1088" s="5337"/>
      <c r="K1088" s="5337"/>
      <c r="L1088" s="5337"/>
      <c r="M1088" s="5337"/>
      <c r="N1088" s="5337"/>
      <c r="O1088" s="5337"/>
      <c r="P1088" s="5337"/>
      <c r="Q1088" s="5345"/>
      <c r="R1088" s="1110"/>
      <c r="S1088" s="1111"/>
      <c r="T1088" s="1111"/>
      <c r="U1088" s="1711"/>
      <c r="V1088" s="1112"/>
      <c r="W1088" s="1719"/>
      <c r="X1088" s="1113"/>
      <c r="Y1088" s="1113"/>
      <c r="Z1088" s="1113"/>
      <c r="AA1088" s="1114"/>
      <c r="AB1088" s="1719"/>
      <c r="AC1088" s="410"/>
      <c r="AD1088" s="410"/>
      <c r="AE1088" s="1308"/>
    </row>
    <row r="1089" spans="1:31" ht="18" customHeight="1">
      <c r="A1089" s="5629"/>
      <c r="B1089" s="5573"/>
      <c r="C1089" s="5337"/>
      <c r="D1089" s="5337"/>
      <c r="E1089" s="5337"/>
      <c r="F1089" s="5337"/>
      <c r="G1089" s="5337"/>
      <c r="H1089" s="5337"/>
      <c r="I1089" s="5337"/>
      <c r="J1089" s="5337"/>
      <c r="K1089" s="5337"/>
      <c r="L1089" s="5337"/>
      <c r="M1089" s="5337"/>
      <c r="N1089" s="5337"/>
      <c r="O1089" s="5337"/>
      <c r="P1089" s="5337"/>
      <c r="Q1089" s="5345"/>
      <c r="R1089" s="1110"/>
      <c r="S1089" s="1111"/>
      <c r="T1089" s="1111"/>
      <c r="U1089" s="1711"/>
      <c r="V1089" s="1112"/>
      <c r="W1089" s="1719"/>
      <c r="X1089" s="1113"/>
      <c r="Y1089" s="1113"/>
      <c r="Z1089" s="1113"/>
      <c r="AA1089" s="1114"/>
      <c r="AB1089" s="1719"/>
      <c r="AC1089" s="410"/>
      <c r="AD1089" s="410"/>
      <c r="AE1089" s="1308"/>
    </row>
    <row r="1090" spans="1:31" ht="18" customHeight="1">
      <c r="A1090" s="5629"/>
      <c r="B1090" s="5574"/>
      <c r="C1090" s="5338"/>
      <c r="D1090" s="5338"/>
      <c r="E1090" s="5338"/>
      <c r="F1090" s="5338"/>
      <c r="G1090" s="5338"/>
      <c r="H1090" s="5338"/>
      <c r="I1090" s="5337"/>
      <c r="J1090" s="5337"/>
      <c r="K1090" s="5337"/>
      <c r="L1090" s="5337"/>
      <c r="M1090" s="5337"/>
      <c r="N1090" s="5337"/>
      <c r="O1090" s="5337"/>
      <c r="P1090" s="5337"/>
      <c r="Q1090" s="5345"/>
      <c r="R1090" s="1309"/>
      <c r="S1090" s="1310"/>
      <c r="T1090" s="1310"/>
      <c r="U1090" s="277"/>
      <c r="V1090" s="1311"/>
      <c r="W1090" s="416"/>
      <c r="X1090" s="1312"/>
      <c r="Y1090" s="1312"/>
      <c r="Z1090" s="1312"/>
      <c r="AA1090" s="1313"/>
      <c r="AB1090" s="416"/>
      <c r="AC1090" s="278"/>
      <c r="AD1090" s="278"/>
      <c r="AE1090" s="1314"/>
    </row>
    <row r="1091" spans="1:31" ht="18" customHeight="1">
      <c r="A1091" s="5629"/>
      <c r="B1091" s="5626" t="s">
        <v>272</v>
      </c>
      <c r="C1091" s="5624" t="s">
        <v>302</v>
      </c>
      <c r="D1091" s="5624" t="s">
        <v>303</v>
      </c>
      <c r="E1091" s="5624" t="s">
        <v>304</v>
      </c>
      <c r="F1091" s="5622" t="s">
        <v>305</v>
      </c>
      <c r="G1091" s="5624" t="s">
        <v>240</v>
      </c>
      <c r="H1091" s="5624" t="s">
        <v>257</v>
      </c>
      <c r="I1091" s="5618" t="s">
        <v>3171</v>
      </c>
      <c r="J1091" s="5618" t="s">
        <v>3172</v>
      </c>
      <c r="K1091" s="5618" t="s">
        <v>3173</v>
      </c>
      <c r="L1091" s="5619">
        <v>4</v>
      </c>
      <c r="M1091" s="5619">
        <v>4</v>
      </c>
      <c r="N1091" s="5619">
        <v>4</v>
      </c>
      <c r="O1091" s="5618" t="s">
        <v>3174</v>
      </c>
      <c r="P1091" s="5618" t="s">
        <v>3175</v>
      </c>
      <c r="Q1091" s="5620" t="s">
        <v>3302</v>
      </c>
      <c r="R1091" s="1110"/>
      <c r="S1091" s="1111"/>
      <c r="T1091" s="1111"/>
      <c r="U1091" s="1711"/>
      <c r="V1091" s="1112"/>
      <c r="W1091" s="1719"/>
      <c r="X1091" s="1113"/>
      <c r="Y1091" s="1113"/>
      <c r="Z1091" s="1113"/>
      <c r="AA1091" s="1114"/>
      <c r="AB1091" s="1719"/>
      <c r="AC1091" s="410"/>
      <c r="AD1091" s="410"/>
      <c r="AE1091" s="1308"/>
    </row>
    <row r="1092" spans="1:31" ht="18" customHeight="1">
      <c r="A1092" s="5629"/>
      <c r="B1092" s="5573"/>
      <c r="C1092" s="5337"/>
      <c r="D1092" s="5337"/>
      <c r="E1092" s="5337"/>
      <c r="F1092" s="5337"/>
      <c r="G1092" s="5337"/>
      <c r="H1092" s="5337"/>
      <c r="I1092" s="5337"/>
      <c r="J1092" s="5337"/>
      <c r="K1092" s="5337"/>
      <c r="L1092" s="5337"/>
      <c r="M1092" s="5337"/>
      <c r="N1092" s="5337"/>
      <c r="O1092" s="5337"/>
      <c r="P1092" s="5337"/>
      <c r="Q1092" s="5345"/>
      <c r="R1092" s="1110"/>
      <c r="S1092" s="1111"/>
      <c r="T1092" s="1111"/>
      <c r="U1092" s="1711"/>
      <c r="V1092" s="1112"/>
      <c r="W1092" s="1719"/>
      <c r="X1092" s="1113"/>
      <c r="Y1092" s="1113"/>
      <c r="Z1092" s="1113"/>
      <c r="AA1092" s="1114"/>
      <c r="AB1092" s="1719"/>
      <c r="AC1092" s="410"/>
      <c r="AD1092" s="410"/>
      <c r="AE1092" s="1308"/>
    </row>
    <row r="1093" spans="1:31" ht="18" customHeight="1">
      <c r="A1093" s="5629"/>
      <c r="B1093" s="5573"/>
      <c r="C1093" s="5337"/>
      <c r="D1093" s="5337"/>
      <c r="E1093" s="5337"/>
      <c r="F1093" s="5337"/>
      <c r="G1093" s="5337"/>
      <c r="H1093" s="5337"/>
      <c r="I1093" s="5337"/>
      <c r="J1093" s="5337"/>
      <c r="K1093" s="5337"/>
      <c r="L1093" s="5337"/>
      <c r="M1093" s="5337"/>
      <c r="N1093" s="5337"/>
      <c r="O1093" s="5337"/>
      <c r="P1093" s="5337"/>
      <c r="Q1093" s="5345"/>
      <c r="R1093" s="1110"/>
      <c r="S1093" s="1111"/>
      <c r="T1093" s="1111"/>
      <c r="U1093" s="1711"/>
      <c r="V1093" s="1112"/>
      <c r="W1093" s="1719"/>
      <c r="X1093" s="1113"/>
      <c r="Y1093" s="1113"/>
      <c r="Z1093" s="1113"/>
      <c r="AA1093" s="1114"/>
      <c r="AB1093" s="1719"/>
      <c r="AC1093" s="410"/>
      <c r="AD1093" s="410"/>
      <c r="AE1093" s="1308"/>
    </row>
    <row r="1094" spans="1:31" ht="18" customHeight="1">
      <c r="A1094" s="5629"/>
      <c r="B1094" s="5573"/>
      <c r="C1094" s="5337"/>
      <c r="D1094" s="5337"/>
      <c r="E1094" s="5337"/>
      <c r="F1094" s="5337"/>
      <c r="G1094" s="5337"/>
      <c r="H1094" s="5337"/>
      <c r="I1094" s="5337"/>
      <c r="J1094" s="5337"/>
      <c r="K1094" s="5337"/>
      <c r="L1094" s="5337"/>
      <c r="M1094" s="5337"/>
      <c r="N1094" s="5337"/>
      <c r="O1094" s="5337"/>
      <c r="P1094" s="5337"/>
      <c r="Q1094" s="5345"/>
      <c r="R1094" s="1110"/>
      <c r="S1094" s="1111"/>
      <c r="T1094" s="1111"/>
      <c r="U1094" s="1711"/>
      <c r="V1094" s="1112"/>
      <c r="W1094" s="1719"/>
      <c r="X1094" s="1113"/>
      <c r="Y1094" s="1113"/>
      <c r="Z1094" s="1113"/>
      <c r="AA1094" s="1114"/>
      <c r="AB1094" s="1719"/>
      <c r="AC1094" s="410"/>
      <c r="AD1094" s="410"/>
      <c r="AE1094" s="1308"/>
    </row>
    <row r="1095" spans="1:31" ht="18" customHeight="1">
      <c r="A1095" s="5629"/>
      <c r="B1095" s="5574"/>
      <c r="C1095" s="5338"/>
      <c r="D1095" s="5338"/>
      <c r="E1095" s="5338"/>
      <c r="F1095" s="5338"/>
      <c r="G1095" s="5338"/>
      <c r="H1095" s="5338"/>
      <c r="I1095" s="5338"/>
      <c r="J1095" s="5338"/>
      <c r="K1095" s="5338"/>
      <c r="L1095" s="5338"/>
      <c r="M1095" s="5338"/>
      <c r="N1095" s="5338"/>
      <c r="O1095" s="5338"/>
      <c r="P1095" s="5338"/>
      <c r="Q1095" s="5346"/>
      <c r="R1095" s="1309"/>
      <c r="S1095" s="1310"/>
      <c r="T1095" s="1310"/>
      <c r="U1095" s="277"/>
      <c r="V1095" s="1311"/>
      <c r="W1095" s="416"/>
      <c r="X1095" s="1312"/>
      <c r="Y1095" s="1312"/>
      <c r="Z1095" s="1312"/>
      <c r="AA1095" s="1313"/>
      <c r="AB1095" s="416"/>
      <c r="AC1095" s="278"/>
      <c r="AD1095" s="278"/>
      <c r="AE1095" s="1314"/>
    </row>
    <row r="1096" spans="1:31" ht="18" customHeight="1">
      <c r="A1096" s="5629"/>
      <c r="B1096" s="5626" t="s">
        <v>272</v>
      </c>
      <c r="C1096" s="5624" t="s">
        <v>302</v>
      </c>
      <c r="D1096" s="5624" t="s">
        <v>303</v>
      </c>
      <c r="E1096" s="5624" t="s">
        <v>304</v>
      </c>
      <c r="F1096" s="5622" t="s">
        <v>305</v>
      </c>
      <c r="G1096" s="5624" t="s">
        <v>240</v>
      </c>
      <c r="H1096" s="5624" t="s">
        <v>257</v>
      </c>
      <c r="I1096" s="5618" t="s">
        <v>3177</v>
      </c>
      <c r="J1096" s="5618" t="s">
        <v>3178</v>
      </c>
      <c r="K1096" s="5618" t="s">
        <v>3146</v>
      </c>
      <c r="L1096" s="5619">
        <v>1</v>
      </c>
      <c r="M1096" s="5619">
        <v>1</v>
      </c>
      <c r="N1096" s="5619">
        <v>1</v>
      </c>
      <c r="O1096" s="5618" t="s">
        <v>3179</v>
      </c>
      <c r="P1096" s="5618" t="s">
        <v>3180</v>
      </c>
      <c r="Q1096" s="5620" t="s">
        <v>3302</v>
      </c>
      <c r="R1096" s="1110"/>
      <c r="S1096" s="1111"/>
      <c r="T1096" s="1111"/>
      <c r="U1096" s="1711"/>
      <c r="V1096" s="1112"/>
      <c r="W1096" s="1719"/>
      <c r="X1096" s="1113"/>
      <c r="Y1096" s="1113"/>
      <c r="Z1096" s="1113"/>
      <c r="AA1096" s="1114"/>
      <c r="AB1096" s="1719"/>
      <c r="AC1096" s="410"/>
      <c r="AD1096" s="410"/>
      <c r="AE1096" s="1308"/>
    </row>
    <row r="1097" spans="1:31" ht="18" customHeight="1">
      <c r="A1097" s="5629"/>
      <c r="B1097" s="5573"/>
      <c r="C1097" s="5337"/>
      <c r="D1097" s="5337"/>
      <c r="E1097" s="5337"/>
      <c r="F1097" s="5337"/>
      <c r="G1097" s="5337"/>
      <c r="H1097" s="5337"/>
      <c r="I1097" s="5337"/>
      <c r="J1097" s="5337"/>
      <c r="K1097" s="5337"/>
      <c r="L1097" s="5337"/>
      <c r="M1097" s="5337"/>
      <c r="N1097" s="5337"/>
      <c r="O1097" s="5337"/>
      <c r="P1097" s="5337"/>
      <c r="Q1097" s="5345"/>
      <c r="R1097" s="1110"/>
      <c r="S1097" s="1111"/>
      <c r="T1097" s="1111"/>
      <c r="U1097" s="1711"/>
      <c r="V1097" s="1112"/>
      <c r="W1097" s="1719"/>
      <c r="X1097" s="1113"/>
      <c r="Y1097" s="1113"/>
      <c r="Z1097" s="1113"/>
      <c r="AA1097" s="1114"/>
      <c r="AB1097" s="1719"/>
      <c r="AC1097" s="410"/>
      <c r="AD1097" s="410"/>
      <c r="AE1097" s="1308"/>
    </row>
    <row r="1098" spans="1:31" ht="18" customHeight="1">
      <c r="A1098" s="5629"/>
      <c r="B1098" s="5573"/>
      <c r="C1098" s="5337"/>
      <c r="D1098" s="5337"/>
      <c r="E1098" s="5337"/>
      <c r="F1098" s="5337"/>
      <c r="G1098" s="5337"/>
      <c r="H1098" s="5337"/>
      <c r="I1098" s="5337"/>
      <c r="J1098" s="5337"/>
      <c r="K1098" s="5337"/>
      <c r="L1098" s="5337"/>
      <c r="M1098" s="5337"/>
      <c r="N1098" s="5337"/>
      <c r="O1098" s="5337"/>
      <c r="P1098" s="5337"/>
      <c r="Q1098" s="5345"/>
      <c r="R1098" s="1110"/>
      <c r="S1098" s="1111"/>
      <c r="T1098" s="1111"/>
      <c r="U1098" s="1711"/>
      <c r="V1098" s="1112"/>
      <c r="W1098" s="1719"/>
      <c r="X1098" s="1113"/>
      <c r="Y1098" s="1113"/>
      <c r="Z1098" s="1113"/>
      <c r="AA1098" s="1114"/>
      <c r="AB1098" s="1719"/>
      <c r="AC1098" s="410"/>
      <c r="AD1098" s="410"/>
      <c r="AE1098" s="1308"/>
    </row>
    <row r="1099" spans="1:31" ht="18" customHeight="1">
      <c r="A1099" s="5629"/>
      <c r="B1099" s="5573"/>
      <c r="C1099" s="5337"/>
      <c r="D1099" s="5337"/>
      <c r="E1099" s="5337"/>
      <c r="F1099" s="5337"/>
      <c r="G1099" s="5337"/>
      <c r="H1099" s="5337"/>
      <c r="I1099" s="5337"/>
      <c r="J1099" s="5337"/>
      <c r="K1099" s="5337"/>
      <c r="L1099" s="5337"/>
      <c r="M1099" s="5337"/>
      <c r="N1099" s="5337"/>
      <c r="O1099" s="5337"/>
      <c r="P1099" s="5337"/>
      <c r="Q1099" s="5345"/>
      <c r="R1099" s="1110"/>
      <c r="S1099" s="1111"/>
      <c r="T1099" s="1111"/>
      <c r="U1099" s="1711"/>
      <c r="V1099" s="1112"/>
      <c r="W1099" s="1719"/>
      <c r="X1099" s="1113"/>
      <c r="Y1099" s="1113"/>
      <c r="Z1099" s="1113"/>
      <c r="AA1099" s="1114"/>
      <c r="AB1099" s="1719"/>
      <c r="AC1099" s="410"/>
      <c r="AD1099" s="410"/>
      <c r="AE1099" s="1308"/>
    </row>
    <row r="1100" spans="1:31" ht="18" customHeight="1">
      <c r="A1100" s="5629"/>
      <c r="B1100" s="5574"/>
      <c r="C1100" s="5338"/>
      <c r="D1100" s="5338"/>
      <c r="E1100" s="5338"/>
      <c r="F1100" s="5338"/>
      <c r="G1100" s="5338"/>
      <c r="H1100" s="5338"/>
      <c r="I1100" s="5338"/>
      <c r="J1100" s="5338"/>
      <c r="K1100" s="5338"/>
      <c r="L1100" s="5338"/>
      <c r="M1100" s="5338"/>
      <c r="N1100" s="5338"/>
      <c r="O1100" s="5338"/>
      <c r="P1100" s="5338"/>
      <c r="Q1100" s="5346"/>
      <c r="R1100" s="1309"/>
      <c r="S1100" s="1310"/>
      <c r="T1100" s="1310"/>
      <c r="U1100" s="277"/>
      <c r="V1100" s="1311"/>
      <c r="W1100" s="416"/>
      <c r="X1100" s="1312"/>
      <c r="Y1100" s="1312"/>
      <c r="Z1100" s="1312"/>
      <c r="AA1100" s="1313"/>
      <c r="AB1100" s="416"/>
      <c r="AC1100" s="278"/>
      <c r="AD1100" s="278"/>
      <c r="AE1100" s="1314"/>
    </row>
    <row r="1101" spans="1:31" ht="18" customHeight="1">
      <c r="A1101" s="5629"/>
      <c r="B1101" s="5626" t="s">
        <v>272</v>
      </c>
      <c r="C1101" s="5624" t="s">
        <v>302</v>
      </c>
      <c r="D1101" s="5624" t="s">
        <v>303</v>
      </c>
      <c r="E1101" s="5624" t="s">
        <v>304</v>
      </c>
      <c r="F1101" s="5622" t="s">
        <v>305</v>
      </c>
      <c r="G1101" s="5624" t="s">
        <v>240</v>
      </c>
      <c r="H1101" s="5624" t="s">
        <v>257</v>
      </c>
      <c r="I1101" s="5618" t="s">
        <v>3181</v>
      </c>
      <c r="J1101" s="5618" t="s">
        <v>3182</v>
      </c>
      <c r="K1101" s="5618" t="s">
        <v>3173</v>
      </c>
      <c r="L1101" s="5619">
        <v>0</v>
      </c>
      <c r="M1101" s="5619">
        <v>1</v>
      </c>
      <c r="N1101" s="5619">
        <v>1</v>
      </c>
      <c r="O1101" s="5618" t="s">
        <v>3183</v>
      </c>
      <c r="P1101" s="5618" t="s">
        <v>3184</v>
      </c>
      <c r="Q1101" s="5620" t="s">
        <v>3302</v>
      </c>
      <c r="R1101" s="1110"/>
      <c r="S1101" s="1111"/>
      <c r="T1101" s="1111"/>
      <c r="U1101" s="1711"/>
      <c r="V1101" s="1112"/>
      <c r="W1101" s="1719"/>
      <c r="X1101" s="1113"/>
      <c r="Y1101" s="1113"/>
      <c r="Z1101" s="1113"/>
      <c r="AA1101" s="1114"/>
      <c r="AB1101" s="1719"/>
      <c r="AC1101" s="410"/>
      <c r="AD1101" s="410"/>
      <c r="AE1101" s="1308"/>
    </row>
    <row r="1102" spans="1:31" ht="18" customHeight="1">
      <c r="A1102" s="5629"/>
      <c r="B1102" s="5573"/>
      <c r="C1102" s="5337"/>
      <c r="D1102" s="5337"/>
      <c r="E1102" s="5337"/>
      <c r="F1102" s="5337"/>
      <c r="G1102" s="5337"/>
      <c r="H1102" s="5337"/>
      <c r="I1102" s="5337"/>
      <c r="J1102" s="5337"/>
      <c r="K1102" s="5337"/>
      <c r="L1102" s="5337"/>
      <c r="M1102" s="5337"/>
      <c r="N1102" s="5337"/>
      <c r="O1102" s="5337"/>
      <c r="P1102" s="5337"/>
      <c r="Q1102" s="5345"/>
      <c r="R1102" s="1110"/>
      <c r="S1102" s="1111"/>
      <c r="T1102" s="1111"/>
      <c r="U1102" s="1711"/>
      <c r="V1102" s="1112"/>
      <c r="W1102" s="1719"/>
      <c r="X1102" s="1113"/>
      <c r="Y1102" s="1113"/>
      <c r="Z1102" s="1113"/>
      <c r="AA1102" s="1114"/>
      <c r="AB1102" s="1719"/>
      <c r="AC1102" s="410"/>
      <c r="AD1102" s="410"/>
      <c r="AE1102" s="1308"/>
    </row>
    <row r="1103" spans="1:31" ht="18" customHeight="1">
      <c r="A1103" s="5629"/>
      <c r="B1103" s="5573"/>
      <c r="C1103" s="5337"/>
      <c r="D1103" s="5337"/>
      <c r="E1103" s="5337"/>
      <c r="F1103" s="5337"/>
      <c r="G1103" s="5337"/>
      <c r="H1103" s="5337"/>
      <c r="I1103" s="5337"/>
      <c r="J1103" s="5337"/>
      <c r="K1103" s="5337"/>
      <c r="L1103" s="5337"/>
      <c r="M1103" s="5337"/>
      <c r="N1103" s="5337"/>
      <c r="O1103" s="5337"/>
      <c r="P1103" s="5337"/>
      <c r="Q1103" s="5345"/>
      <c r="R1103" s="1110"/>
      <c r="S1103" s="1111"/>
      <c r="T1103" s="1111"/>
      <c r="U1103" s="1711"/>
      <c r="V1103" s="1112"/>
      <c r="W1103" s="1719"/>
      <c r="X1103" s="1113"/>
      <c r="Y1103" s="1113"/>
      <c r="Z1103" s="1113"/>
      <c r="AA1103" s="1114"/>
      <c r="AB1103" s="1719"/>
      <c r="AC1103" s="410"/>
      <c r="AD1103" s="410"/>
      <c r="AE1103" s="1308"/>
    </row>
    <row r="1104" spans="1:31" ht="18" customHeight="1">
      <c r="A1104" s="5629"/>
      <c r="B1104" s="5573"/>
      <c r="C1104" s="5337"/>
      <c r="D1104" s="5337"/>
      <c r="E1104" s="5337"/>
      <c r="F1104" s="5337"/>
      <c r="G1104" s="5337"/>
      <c r="H1104" s="5337"/>
      <c r="I1104" s="5337"/>
      <c r="J1104" s="5337"/>
      <c r="K1104" s="5337"/>
      <c r="L1104" s="5337"/>
      <c r="M1104" s="5337"/>
      <c r="N1104" s="5337"/>
      <c r="O1104" s="5337"/>
      <c r="P1104" s="5337"/>
      <c r="Q1104" s="5345"/>
      <c r="R1104" s="1110"/>
      <c r="S1104" s="1111"/>
      <c r="T1104" s="1111"/>
      <c r="U1104" s="1711"/>
      <c r="V1104" s="1112"/>
      <c r="W1104" s="1719"/>
      <c r="X1104" s="1113"/>
      <c r="Y1104" s="1113"/>
      <c r="Z1104" s="1113"/>
      <c r="AA1104" s="1114"/>
      <c r="AB1104" s="1719"/>
      <c r="AC1104" s="410"/>
      <c r="AD1104" s="410"/>
      <c r="AE1104" s="1308"/>
    </row>
    <row r="1105" spans="1:31" ht="18" customHeight="1">
      <c r="A1105" s="5629"/>
      <c r="B1105" s="5574"/>
      <c r="C1105" s="5338"/>
      <c r="D1105" s="5338"/>
      <c r="E1105" s="5338"/>
      <c r="F1105" s="5338"/>
      <c r="G1105" s="5338"/>
      <c r="H1105" s="5338"/>
      <c r="I1105" s="5338"/>
      <c r="J1105" s="5338"/>
      <c r="K1105" s="5338"/>
      <c r="L1105" s="5338"/>
      <c r="M1105" s="5338"/>
      <c r="N1105" s="5338"/>
      <c r="O1105" s="5338"/>
      <c r="P1105" s="5338"/>
      <c r="Q1105" s="5346"/>
      <c r="R1105" s="1309"/>
      <c r="S1105" s="1310"/>
      <c r="T1105" s="1310"/>
      <c r="U1105" s="277"/>
      <c r="V1105" s="1311"/>
      <c r="W1105" s="416"/>
      <c r="X1105" s="1312"/>
      <c r="Y1105" s="1312"/>
      <c r="Z1105" s="1312"/>
      <c r="AA1105" s="1313"/>
      <c r="AB1105" s="416"/>
      <c r="AC1105" s="278"/>
      <c r="AD1105" s="278"/>
      <c r="AE1105" s="1314"/>
    </row>
    <row r="1106" spans="1:31" ht="18" customHeight="1">
      <c r="A1106" s="5629"/>
      <c r="B1106" s="5627" t="s">
        <v>235</v>
      </c>
      <c r="C1106" s="5347" t="s">
        <v>236</v>
      </c>
      <c r="D1106" s="5347" t="s">
        <v>237</v>
      </c>
      <c r="E1106" s="5347" t="s">
        <v>255</v>
      </c>
      <c r="F1106" s="5353" t="s">
        <v>239</v>
      </c>
      <c r="G1106" s="5336" t="s">
        <v>240</v>
      </c>
      <c r="H1106" s="5336" t="s">
        <v>257</v>
      </c>
      <c r="I1106" s="5618" t="s">
        <v>3185</v>
      </c>
      <c r="J1106" s="5618" t="s">
        <v>3186</v>
      </c>
      <c r="K1106" s="5618" t="s">
        <v>3187</v>
      </c>
      <c r="L1106" s="5619">
        <v>1</v>
      </c>
      <c r="M1106" s="5619">
        <v>1</v>
      </c>
      <c r="N1106" s="5619">
        <v>1</v>
      </c>
      <c r="O1106" s="5618" t="s">
        <v>3188</v>
      </c>
      <c r="P1106" s="5618" t="s">
        <v>3189</v>
      </c>
      <c r="Q1106" s="5620" t="s">
        <v>3300</v>
      </c>
      <c r="R1106" s="1110"/>
      <c r="S1106" s="1111"/>
      <c r="T1106" s="1111"/>
      <c r="U1106" s="1711"/>
      <c r="V1106" s="1112"/>
      <c r="W1106" s="1719"/>
      <c r="X1106" s="1113"/>
      <c r="Y1106" s="1113"/>
      <c r="Z1106" s="1113"/>
      <c r="AA1106" s="1114"/>
      <c r="AB1106" s="1719"/>
      <c r="AC1106" s="410"/>
      <c r="AD1106" s="410"/>
      <c r="AE1106" s="1308"/>
    </row>
    <row r="1107" spans="1:31" ht="18" customHeight="1">
      <c r="A1107" s="5629"/>
      <c r="B1107" s="5573"/>
      <c r="C1107" s="5337"/>
      <c r="D1107" s="5337"/>
      <c r="E1107" s="5337"/>
      <c r="F1107" s="5337"/>
      <c r="G1107" s="5337"/>
      <c r="H1107" s="5337"/>
      <c r="I1107" s="5337"/>
      <c r="J1107" s="5337"/>
      <c r="K1107" s="5337"/>
      <c r="L1107" s="5337"/>
      <c r="M1107" s="5337"/>
      <c r="N1107" s="5337"/>
      <c r="O1107" s="5337"/>
      <c r="P1107" s="5337"/>
      <c r="Q1107" s="5345"/>
      <c r="R1107" s="1110"/>
      <c r="S1107" s="1111"/>
      <c r="T1107" s="1111"/>
      <c r="U1107" s="1711"/>
      <c r="V1107" s="1112"/>
      <c r="W1107" s="1719"/>
      <c r="X1107" s="1113"/>
      <c r="Y1107" s="1113"/>
      <c r="Z1107" s="1113"/>
      <c r="AA1107" s="1114"/>
      <c r="AB1107" s="1719"/>
      <c r="AC1107" s="410"/>
      <c r="AD1107" s="410"/>
      <c r="AE1107" s="1308"/>
    </row>
    <row r="1108" spans="1:31" ht="18" customHeight="1">
      <c r="A1108" s="5629"/>
      <c r="B1108" s="5573"/>
      <c r="C1108" s="5337"/>
      <c r="D1108" s="5337"/>
      <c r="E1108" s="5337"/>
      <c r="F1108" s="5337"/>
      <c r="G1108" s="5337"/>
      <c r="H1108" s="5337"/>
      <c r="I1108" s="5337"/>
      <c r="J1108" s="5337"/>
      <c r="K1108" s="5337"/>
      <c r="L1108" s="5337"/>
      <c r="M1108" s="5337"/>
      <c r="N1108" s="5337"/>
      <c r="O1108" s="5337"/>
      <c r="P1108" s="5337"/>
      <c r="Q1108" s="5345"/>
      <c r="R1108" s="1110"/>
      <c r="S1108" s="1111"/>
      <c r="T1108" s="1111"/>
      <c r="U1108" s="1711"/>
      <c r="V1108" s="1112"/>
      <c r="W1108" s="1719"/>
      <c r="X1108" s="1113"/>
      <c r="Y1108" s="1113"/>
      <c r="Z1108" s="1113"/>
      <c r="AA1108" s="1114"/>
      <c r="AB1108" s="1719"/>
      <c r="AC1108" s="410"/>
      <c r="AD1108" s="410"/>
      <c r="AE1108" s="1308"/>
    </row>
    <row r="1109" spans="1:31" ht="18" customHeight="1">
      <c r="A1109" s="5629"/>
      <c r="B1109" s="5573"/>
      <c r="C1109" s="5337"/>
      <c r="D1109" s="5337"/>
      <c r="E1109" s="5337"/>
      <c r="F1109" s="5337"/>
      <c r="G1109" s="5337"/>
      <c r="H1109" s="5337"/>
      <c r="I1109" s="5337"/>
      <c r="J1109" s="5337"/>
      <c r="K1109" s="5337"/>
      <c r="L1109" s="5337"/>
      <c r="M1109" s="5337"/>
      <c r="N1109" s="5337"/>
      <c r="O1109" s="5337"/>
      <c r="P1109" s="5337"/>
      <c r="Q1109" s="5345"/>
      <c r="R1109" s="1110"/>
      <c r="S1109" s="1111"/>
      <c r="T1109" s="1111"/>
      <c r="U1109" s="1711"/>
      <c r="V1109" s="1112"/>
      <c r="W1109" s="1719"/>
      <c r="X1109" s="1113"/>
      <c r="Y1109" s="1113"/>
      <c r="Z1109" s="1113"/>
      <c r="AA1109" s="1114"/>
      <c r="AB1109" s="1719"/>
      <c r="AC1109" s="410"/>
      <c r="AD1109" s="410"/>
      <c r="AE1109" s="1308"/>
    </row>
    <row r="1110" spans="1:31" ht="18" customHeight="1">
      <c r="A1110" s="5629"/>
      <c r="B1110" s="5574"/>
      <c r="C1110" s="5338"/>
      <c r="D1110" s="5338"/>
      <c r="E1110" s="5338"/>
      <c r="F1110" s="5338"/>
      <c r="G1110" s="5338"/>
      <c r="H1110" s="5338"/>
      <c r="I1110" s="5338"/>
      <c r="J1110" s="5338"/>
      <c r="K1110" s="5338"/>
      <c r="L1110" s="5338"/>
      <c r="M1110" s="5338"/>
      <c r="N1110" s="5338"/>
      <c r="O1110" s="5338"/>
      <c r="P1110" s="5338"/>
      <c r="Q1110" s="5346"/>
      <c r="R1110" s="1309"/>
      <c r="S1110" s="1310"/>
      <c r="T1110" s="1310"/>
      <c r="U1110" s="277"/>
      <c r="V1110" s="1311"/>
      <c r="W1110" s="416"/>
      <c r="X1110" s="1312"/>
      <c r="Y1110" s="1312"/>
      <c r="Z1110" s="1312"/>
      <c r="AA1110" s="1313"/>
      <c r="AB1110" s="416"/>
      <c r="AC1110" s="278"/>
      <c r="AD1110" s="278"/>
      <c r="AE1110" s="1314"/>
    </row>
    <row r="1111" spans="1:31" ht="18" customHeight="1">
      <c r="A1111" s="5629"/>
      <c r="B1111" s="5626" t="s">
        <v>272</v>
      </c>
      <c r="C1111" s="5624" t="s">
        <v>302</v>
      </c>
      <c r="D1111" s="5624" t="s">
        <v>303</v>
      </c>
      <c r="E1111" s="5624" t="s">
        <v>304</v>
      </c>
      <c r="F1111" s="5622" t="s">
        <v>305</v>
      </c>
      <c r="G1111" s="5624" t="s">
        <v>240</v>
      </c>
      <c r="H1111" s="5624" t="s">
        <v>257</v>
      </c>
      <c r="I1111" s="5618" t="s">
        <v>3190</v>
      </c>
      <c r="J1111" s="5618" t="s">
        <v>3191</v>
      </c>
      <c r="K1111" s="5618" t="s">
        <v>2995</v>
      </c>
      <c r="L1111" s="5619">
        <v>0</v>
      </c>
      <c r="M1111" s="5619">
        <v>1</v>
      </c>
      <c r="N1111" s="5619">
        <v>0</v>
      </c>
      <c r="O1111" s="5618" t="s">
        <v>2996</v>
      </c>
      <c r="P1111" s="5618" t="s">
        <v>2997</v>
      </c>
      <c r="Q1111" s="5620" t="s">
        <v>3302</v>
      </c>
      <c r="R1111" s="1110"/>
      <c r="S1111" s="1111"/>
      <c r="T1111" s="1111"/>
      <c r="U1111" s="1711"/>
      <c r="V1111" s="1112"/>
      <c r="W1111" s="1719"/>
      <c r="X1111" s="1113"/>
      <c r="Y1111" s="1113"/>
      <c r="Z1111" s="1113"/>
      <c r="AA1111" s="1114"/>
      <c r="AB1111" s="1719"/>
      <c r="AC1111" s="410"/>
      <c r="AD1111" s="410"/>
      <c r="AE1111" s="1308"/>
    </row>
    <row r="1112" spans="1:31" ht="18" customHeight="1">
      <c r="A1112" s="5629"/>
      <c r="B1112" s="5573"/>
      <c r="C1112" s="5337"/>
      <c r="D1112" s="5337"/>
      <c r="E1112" s="5337"/>
      <c r="F1112" s="5337"/>
      <c r="G1112" s="5337"/>
      <c r="H1112" s="5337"/>
      <c r="I1112" s="5337"/>
      <c r="J1112" s="5337"/>
      <c r="K1112" s="5337"/>
      <c r="L1112" s="5337"/>
      <c r="M1112" s="5337"/>
      <c r="N1112" s="5337"/>
      <c r="O1112" s="5337"/>
      <c r="P1112" s="5337"/>
      <c r="Q1112" s="5345"/>
      <c r="R1112" s="1110"/>
      <c r="S1112" s="1111"/>
      <c r="T1112" s="1111"/>
      <c r="U1112" s="1711"/>
      <c r="V1112" s="1112"/>
      <c r="W1112" s="1719"/>
      <c r="X1112" s="1113"/>
      <c r="Y1112" s="1113"/>
      <c r="Z1112" s="1113"/>
      <c r="AA1112" s="1114"/>
      <c r="AB1112" s="1719"/>
      <c r="AC1112" s="410"/>
      <c r="AD1112" s="410"/>
      <c r="AE1112" s="1308"/>
    </row>
    <row r="1113" spans="1:31" ht="18" customHeight="1">
      <c r="A1113" s="5629"/>
      <c r="B1113" s="5573"/>
      <c r="C1113" s="5337"/>
      <c r="D1113" s="5337"/>
      <c r="E1113" s="5337"/>
      <c r="F1113" s="5337"/>
      <c r="G1113" s="5337"/>
      <c r="H1113" s="5337"/>
      <c r="I1113" s="5337"/>
      <c r="J1113" s="5337"/>
      <c r="K1113" s="5337"/>
      <c r="L1113" s="5337"/>
      <c r="M1113" s="5337"/>
      <c r="N1113" s="5337"/>
      <c r="O1113" s="5337"/>
      <c r="P1113" s="5337"/>
      <c r="Q1113" s="5345"/>
      <c r="R1113" s="1110"/>
      <c r="S1113" s="1111"/>
      <c r="T1113" s="1111"/>
      <c r="U1113" s="1711"/>
      <c r="V1113" s="1112"/>
      <c r="W1113" s="1719"/>
      <c r="X1113" s="1113"/>
      <c r="Y1113" s="1113"/>
      <c r="Z1113" s="1113"/>
      <c r="AA1113" s="1114"/>
      <c r="AB1113" s="1719"/>
      <c r="AC1113" s="410"/>
      <c r="AD1113" s="410"/>
      <c r="AE1113" s="1308"/>
    </row>
    <row r="1114" spans="1:31" ht="18" customHeight="1">
      <c r="A1114" s="5629"/>
      <c r="B1114" s="5573"/>
      <c r="C1114" s="5337"/>
      <c r="D1114" s="5337"/>
      <c r="E1114" s="5337"/>
      <c r="F1114" s="5337"/>
      <c r="G1114" s="5337"/>
      <c r="H1114" s="5337"/>
      <c r="I1114" s="5337"/>
      <c r="J1114" s="5337"/>
      <c r="K1114" s="5337"/>
      <c r="L1114" s="5337"/>
      <c r="M1114" s="5337"/>
      <c r="N1114" s="5337"/>
      <c r="O1114" s="5337"/>
      <c r="P1114" s="5337"/>
      <c r="Q1114" s="5345"/>
      <c r="R1114" s="1110"/>
      <c r="S1114" s="1111"/>
      <c r="T1114" s="1111"/>
      <c r="U1114" s="1711"/>
      <c r="V1114" s="1112"/>
      <c r="W1114" s="1719"/>
      <c r="X1114" s="1113"/>
      <c r="Y1114" s="1113"/>
      <c r="Z1114" s="1113"/>
      <c r="AA1114" s="1114"/>
      <c r="AB1114" s="1719"/>
      <c r="AC1114" s="410"/>
      <c r="AD1114" s="410"/>
      <c r="AE1114" s="1308"/>
    </row>
    <row r="1115" spans="1:31" ht="18" customHeight="1">
      <c r="A1115" s="5629"/>
      <c r="B1115" s="5574"/>
      <c r="C1115" s="5338"/>
      <c r="D1115" s="5338"/>
      <c r="E1115" s="5338"/>
      <c r="F1115" s="5338"/>
      <c r="G1115" s="5338"/>
      <c r="H1115" s="5338"/>
      <c r="I1115" s="5338"/>
      <c r="J1115" s="5338"/>
      <c r="K1115" s="5338"/>
      <c r="L1115" s="5338"/>
      <c r="M1115" s="5338"/>
      <c r="N1115" s="5338"/>
      <c r="O1115" s="5338"/>
      <c r="P1115" s="5338"/>
      <c r="Q1115" s="5346"/>
      <c r="R1115" s="1309"/>
      <c r="S1115" s="1310"/>
      <c r="T1115" s="1310"/>
      <c r="U1115" s="277"/>
      <c r="V1115" s="1311"/>
      <c r="W1115" s="416"/>
      <c r="X1115" s="1312"/>
      <c r="Y1115" s="1312"/>
      <c r="Z1115" s="1312"/>
      <c r="AA1115" s="1313"/>
      <c r="AB1115" s="416"/>
      <c r="AC1115" s="278"/>
      <c r="AD1115" s="278"/>
      <c r="AE1115" s="1314"/>
    </row>
    <row r="1116" spans="1:31" ht="18" customHeight="1">
      <c r="A1116" s="5629"/>
      <c r="B1116" s="5626" t="s">
        <v>272</v>
      </c>
      <c r="C1116" s="5624" t="s">
        <v>302</v>
      </c>
      <c r="D1116" s="5624" t="s">
        <v>303</v>
      </c>
      <c r="E1116" s="5624" t="s">
        <v>304</v>
      </c>
      <c r="F1116" s="5622" t="s">
        <v>305</v>
      </c>
      <c r="G1116" s="5336" t="s">
        <v>262</v>
      </c>
      <c r="H1116" s="5336" t="s">
        <v>241</v>
      </c>
      <c r="I1116" s="5336" t="s">
        <v>3192</v>
      </c>
      <c r="J1116" s="5623" t="s">
        <v>3193</v>
      </c>
      <c r="K1116" s="5336" t="s">
        <v>3146</v>
      </c>
      <c r="L1116" s="5343">
        <v>1</v>
      </c>
      <c r="M1116" s="5399">
        <v>1</v>
      </c>
      <c r="N1116" s="5343">
        <v>1</v>
      </c>
      <c r="O1116" s="5336" t="s">
        <v>3194</v>
      </c>
      <c r="P1116" s="5336" t="s">
        <v>3195</v>
      </c>
      <c r="Q1116" s="5370" t="s">
        <v>3303</v>
      </c>
      <c r="R1116" s="970"/>
      <c r="S1116" s="967"/>
      <c r="T1116" s="967"/>
      <c r="U1116" s="176"/>
      <c r="V1116" s="968"/>
      <c r="W1116" s="414"/>
      <c r="X1116" s="973"/>
      <c r="Y1116" s="973"/>
      <c r="Z1116" s="973"/>
      <c r="AA1116" s="981"/>
      <c r="AB1116" s="414"/>
      <c r="AC1116" s="174"/>
      <c r="AD1116" s="174"/>
      <c r="AE1116" s="5415"/>
    </row>
    <row r="1117" spans="1:31" ht="18" customHeight="1">
      <c r="A1117" s="5629"/>
      <c r="B1117" s="5573"/>
      <c r="C1117" s="5337"/>
      <c r="D1117" s="5337"/>
      <c r="E1117" s="5337"/>
      <c r="F1117" s="5337"/>
      <c r="G1117" s="5337"/>
      <c r="H1117" s="5337"/>
      <c r="I1117" s="5337"/>
      <c r="J1117" s="5337"/>
      <c r="K1117" s="5337"/>
      <c r="L1117" s="5337"/>
      <c r="M1117" s="5337"/>
      <c r="N1117" s="5337"/>
      <c r="O1117" s="5337"/>
      <c r="P1117" s="5337"/>
      <c r="Q1117" s="5345"/>
      <c r="R1117" s="982"/>
      <c r="S1117" s="983"/>
      <c r="T1117" s="983"/>
      <c r="U1117" s="169"/>
      <c r="V1117" s="984"/>
      <c r="W1117" s="170"/>
      <c r="X1117" s="974"/>
      <c r="Y1117" s="974">
        <f t="shared" ref="Y1117:Y1120" si="160">+V1117*X1117</f>
        <v>0</v>
      </c>
      <c r="Z1117" s="974">
        <f t="shared" ref="Z1117:Z1120" si="161">+Y1117*1.12</f>
        <v>0</v>
      </c>
      <c r="AA1117" s="969"/>
      <c r="AB1117" s="170"/>
      <c r="AC1117" s="282"/>
      <c r="AD1117" s="282"/>
      <c r="AE1117" s="5416"/>
    </row>
    <row r="1118" spans="1:31" ht="18" customHeight="1">
      <c r="A1118" s="5629"/>
      <c r="B1118" s="5573"/>
      <c r="C1118" s="5337"/>
      <c r="D1118" s="5337"/>
      <c r="E1118" s="5337"/>
      <c r="F1118" s="5337"/>
      <c r="G1118" s="5337"/>
      <c r="H1118" s="5337"/>
      <c r="I1118" s="5337"/>
      <c r="J1118" s="5337"/>
      <c r="K1118" s="5337"/>
      <c r="L1118" s="5337"/>
      <c r="M1118" s="5337"/>
      <c r="N1118" s="5337"/>
      <c r="O1118" s="5337"/>
      <c r="P1118" s="5337"/>
      <c r="Q1118" s="5345"/>
      <c r="R1118" s="971"/>
      <c r="S1118" s="972"/>
      <c r="T1118" s="972"/>
      <c r="U1118" s="1217"/>
      <c r="V1118" s="968"/>
      <c r="W1118" s="414"/>
      <c r="X1118" s="973"/>
      <c r="Y1118" s="974">
        <f t="shared" si="160"/>
        <v>0</v>
      </c>
      <c r="Z1118" s="974">
        <f t="shared" si="161"/>
        <v>0</v>
      </c>
      <c r="AA1118" s="969"/>
      <c r="AB1118" s="170"/>
      <c r="AC1118" s="282"/>
      <c r="AD1118" s="282"/>
      <c r="AE1118" s="5416"/>
    </row>
    <row r="1119" spans="1:31" ht="18" customHeight="1">
      <c r="A1119" s="5629"/>
      <c r="B1119" s="5573"/>
      <c r="C1119" s="5337"/>
      <c r="D1119" s="5337"/>
      <c r="E1119" s="5337"/>
      <c r="F1119" s="5337"/>
      <c r="G1119" s="5337"/>
      <c r="H1119" s="5337"/>
      <c r="I1119" s="5337"/>
      <c r="J1119" s="5337"/>
      <c r="K1119" s="5337"/>
      <c r="L1119" s="5337"/>
      <c r="M1119" s="5337"/>
      <c r="N1119" s="5337"/>
      <c r="O1119" s="5337"/>
      <c r="P1119" s="5337"/>
      <c r="Q1119" s="5345"/>
      <c r="R1119" s="970"/>
      <c r="S1119" s="967"/>
      <c r="T1119" s="967"/>
      <c r="U1119" s="1217"/>
      <c r="V1119" s="968"/>
      <c r="W1119" s="414"/>
      <c r="X1119" s="973"/>
      <c r="Y1119" s="974">
        <f t="shared" si="160"/>
        <v>0</v>
      </c>
      <c r="Z1119" s="974">
        <f t="shared" si="161"/>
        <v>0</v>
      </c>
      <c r="AA1119" s="969"/>
      <c r="AB1119" s="170"/>
      <c r="AC1119" s="282"/>
      <c r="AD1119" s="282"/>
      <c r="AE1119" s="5416"/>
    </row>
    <row r="1120" spans="1:31" ht="18" customHeight="1">
      <c r="A1120" s="5629"/>
      <c r="B1120" s="5574"/>
      <c r="C1120" s="5338"/>
      <c r="D1120" s="5338"/>
      <c r="E1120" s="5338"/>
      <c r="F1120" s="5338"/>
      <c r="G1120" s="5338"/>
      <c r="H1120" s="5338"/>
      <c r="I1120" s="5338"/>
      <c r="J1120" s="5338"/>
      <c r="K1120" s="5338"/>
      <c r="L1120" s="5338"/>
      <c r="M1120" s="5338"/>
      <c r="N1120" s="5338"/>
      <c r="O1120" s="5338"/>
      <c r="P1120" s="5338"/>
      <c r="Q1120" s="5346"/>
      <c r="R1120" s="975"/>
      <c r="S1120" s="976"/>
      <c r="T1120" s="976"/>
      <c r="U1120" s="411"/>
      <c r="V1120" s="977"/>
      <c r="W1120" s="165"/>
      <c r="X1120" s="978"/>
      <c r="Y1120" s="978">
        <f t="shared" si="160"/>
        <v>0</v>
      </c>
      <c r="Z1120" s="978">
        <f t="shared" si="161"/>
        <v>0</v>
      </c>
      <c r="AA1120" s="979"/>
      <c r="AB1120" s="165"/>
      <c r="AC1120" s="166"/>
      <c r="AD1120" s="166"/>
      <c r="AE1120" s="5417"/>
    </row>
    <row r="1121" spans="1:31" ht="18" customHeight="1">
      <c r="A1121" s="5629"/>
      <c r="B1121" s="5572" t="s">
        <v>235</v>
      </c>
      <c r="C1121" s="5336" t="s">
        <v>236</v>
      </c>
      <c r="D1121" s="5336" t="s">
        <v>237</v>
      </c>
      <c r="E1121" s="5336" t="s">
        <v>255</v>
      </c>
      <c r="F1121" s="5341" t="s">
        <v>239</v>
      </c>
      <c r="G1121" s="5336" t="s">
        <v>240</v>
      </c>
      <c r="H1121" s="5336" t="s">
        <v>257</v>
      </c>
      <c r="I1121" s="5336" t="s">
        <v>3197</v>
      </c>
      <c r="J1121" s="5623" t="s">
        <v>3198</v>
      </c>
      <c r="K1121" s="5336" t="s">
        <v>3012</v>
      </c>
      <c r="L1121" s="5399">
        <v>3</v>
      </c>
      <c r="M1121" s="5399">
        <v>4</v>
      </c>
      <c r="N1121" s="5399">
        <v>3</v>
      </c>
      <c r="O1121" s="5336" t="s">
        <v>3199</v>
      </c>
      <c r="P1121" s="5336" t="s">
        <v>3200</v>
      </c>
      <c r="Q1121" s="5370" t="s">
        <v>3300</v>
      </c>
      <c r="R1121" s="970"/>
      <c r="S1121" s="967"/>
      <c r="T1121" s="967"/>
      <c r="U1121" s="176"/>
      <c r="V1121" s="968"/>
      <c r="W1121" s="414"/>
      <c r="X1121" s="973"/>
      <c r="Y1121" s="973"/>
      <c r="Z1121" s="973"/>
      <c r="AA1121" s="981"/>
      <c r="AB1121" s="414"/>
      <c r="AC1121" s="174"/>
      <c r="AD1121" s="174"/>
      <c r="AE1121" s="5415"/>
    </row>
    <row r="1122" spans="1:31" ht="18" customHeight="1">
      <c r="A1122" s="5629"/>
      <c r="B1122" s="5573"/>
      <c r="C1122" s="5337"/>
      <c r="D1122" s="5337"/>
      <c r="E1122" s="5337"/>
      <c r="F1122" s="5337"/>
      <c r="G1122" s="5337"/>
      <c r="H1122" s="5337"/>
      <c r="I1122" s="5337"/>
      <c r="J1122" s="5337"/>
      <c r="K1122" s="5337"/>
      <c r="L1122" s="5337"/>
      <c r="M1122" s="5337"/>
      <c r="N1122" s="5337"/>
      <c r="O1122" s="5337"/>
      <c r="P1122" s="5337"/>
      <c r="Q1122" s="5345"/>
      <c r="R1122" s="982"/>
      <c r="S1122" s="983"/>
      <c r="T1122" s="983"/>
      <c r="U1122" s="169"/>
      <c r="V1122" s="984"/>
      <c r="W1122" s="170"/>
      <c r="X1122" s="974"/>
      <c r="Y1122" s="974">
        <f t="shared" ref="Y1122:Y1125" si="162">+V1122*X1122</f>
        <v>0</v>
      </c>
      <c r="Z1122" s="974">
        <f t="shared" ref="Z1122:Z1125" si="163">+Y1122*1.12</f>
        <v>0</v>
      </c>
      <c r="AA1122" s="969"/>
      <c r="AB1122" s="170"/>
      <c r="AC1122" s="282"/>
      <c r="AD1122" s="282"/>
      <c r="AE1122" s="5416"/>
    </row>
    <row r="1123" spans="1:31" ht="18" customHeight="1">
      <c r="A1123" s="5629"/>
      <c r="B1123" s="5573"/>
      <c r="C1123" s="5337"/>
      <c r="D1123" s="5337"/>
      <c r="E1123" s="5337"/>
      <c r="F1123" s="5337"/>
      <c r="G1123" s="5337"/>
      <c r="H1123" s="5337"/>
      <c r="I1123" s="5337"/>
      <c r="J1123" s="5337"/>
      <c r="K1123" s="5337"/>
      <c r="L1123" s="5337"/>
      <c r="M1123" s="5337"/>
      <c r="N1123" s="5337"/>
      <c r="O1123" s="5337"/>
      <c r="P1123" s="5337"/>
      <c r="Q1123" s="5345"/>
      <c r="R1123" s="971"/>
      <c r="S1123" s="972"/>
      <c r="T1123" s="972"/>
      <c r="U1123" s="1217"/>
      <c r="V1123" s="968"/>
      <c r="W1123" s="414"/>
      <c r="X1123" s="973"/>
      <c r="Y1123" s="974">
        <f t="shared" si="162"/>
        <v>0</v>
      </c>
      <c r="Z1123" s="974">
        <f t="shared" si="163"/>
        <v>0</v>
      </c>
      <c r="AA1123" s="969"/>
      <c r="AB1123" s="170"/>
      <c r="AC1123" s="282"/>
      <c r="AD1123" s="282"/>
      <c r="AE1123" s="5416"/>
    </row>
    <row r="1124" spans="1:31" ht="18" customHeight="1">
      <c r="A1124" s="5629"/>
      <c r="B1124" s="5573"/>
      <c r="C1124" s="5337"/>
      <c r="D1124" s="5337"/>
      <c r="E1124" s="5337"/>
      <c r="F1124" s="5337"/>
      <c r="G1124" s="5337"/>
      <c r="H1124" s="5337"/>
      <c r="I1124" s="5337"/>
      <c r="J1124" s="5337"/>
      <c r="K1124" s="5337"/>
      <c r="L1124" s="5337"/>
      <c r="M1124" s="5337"/>
      <c r="N1124" s="5337"/>
      <c r="O1124" s="5337"/>
      <c r="P1124" s="5337"/>
      <c r="Q1124" s="5345"/>
      <c r="R1124" s="970"/>
      <c r="S1124" s="967"/>
      <c r="T1124" s="967"/>
      <c r="U1124" s="1217"/>
      <c r="V1124" s="968"/>
      <c r="W1124" s="414"/>
      <c r="X1124" s="973"/>
      <c r="Y1124" s="974">
        <f t="shared" si="162"/>
        <v>0</v>
      </c>
      <c r="Z1124" s="974">
        <f t="shared" si="163"/>
        <v>0</v>
      </c>
      <c r="AA1124" s="969"/>
      <c r="AB1124" s="170"/>
      <c r="AC1124" s="282"/>
      <c r="AD1124" s="282"/>
      <c r="AE1124" s="5416"/>
    </row>
    <row r="1125" spans="1:31" ht="18" customHeight="1">
      <c r="A1125" s="5555"/>
      <c r="B1125" s="5574"/>
      <c r="C1125" s="5338"/>
      <c r="D1125" s="5338"/>
      <c r="E1125" s="5338"/>
      <c r="F1125" s="5338"/>
      <c r="G1125" s="5338"/>
      <c r="H1125" s="5338"/>
      <c r="I1125" s="5338"/>
      <c r="J1125" s="5338"/>
      <c r="K1125" s="5338"/>
      <c r="L1125" s="5338"/>
      <c r="M1125" s="5338"/>
      <c r="N1125" s="5338"/>
      <c r="O1125" s="5338"/>
      <c r="P1125" s="5338"/>
      <c r="Q1125" s="5346"/>
      <c r="R1125" s="975"/>
      <c r="S1125" s="976"/>
      <c r="T1125" s="976"/>
      <c r="U1125" s="411"/>
      <c r="V1125" s="977"/>
      <c r="W1125" s="165"/>
      <c r="X1125" s="978"/>
      <c r="Y1125" s="978">
        <f t="shared" si="162"/>
        <v>0</v>
      </c>
      <c r="Z1125" s="978">
        <f t="shared" si="163"/>
        <v>0</v>
      </c>
      <c r="AA1125" s="979"/>
      <c r="AB1125" s="165"/>
      <c r="AC1125" s="166"/>
      <c r="AD1125" s="166"/>
      <c r="AE1125" s="5417"/>
    </row>
    <row r="1126" spans="1:31" ht="22.5" customHeight="1">
      <c r="A1126" s="2158"/>
      <c r="B1126" s="785"/>
      <c r="C1126" s="785"/>
      <c r="D1126" s="785"/>
      <c r="E1126" s="785"/>
      <c r="F1126" s="785"/>
      <c r="G1126" s="785"/>
      <c r="H1126" s="785"/>
      <c r="I1126" s="785"/>
      <c r="J1126" s="785"/>
      <c r="K1126" s="785"/>
      <c r="L1126" s="785"/>
      <c r="M1126" s="785"/>
      <c r="N1126" s="785"/>
      <c r="O1126" s="785"/>
      <c r="P1126" s="785"/>
      <c r="Q1126" s="786"/>
      <c r="R1126" s="5636" t="s">
        <v>3304</v>
      </c>
      <c r="S1126" s="5474"/>
      <c r="T1126" s="5474"/>
      <c r="U1126" s="5474"/>
      <c r="V1126" s="5474"/>
      <c r="W1126" s="5474"/>
      <c r="X1126" s="5474"/>
      <c r="Y1126" s="5475"/>
      <c r="Z1126" s="997" t="s">
        <v>340</v>
      </c>
      <c r="AA1126" s="998">
        <f>SUM(AA1051:AA1125)</f>
        <v>0</v>
      </c>
      <c r="AB1126" s="5521"/>
      <c r="AC1126" s="5474"/>
      <c r="AD1126" s="5474"/>
      <c r="AE1126" s="5477"/>
    </row>
    <row r="1127" spans="1:31" ht="18" customHeight="1">
      <c r="A1127" s="5628" t="s">
        <v>3305</v>
      </c>
      <c r="B1127" s="5576" t="s">
        <v>272</v>
      </c>
      <c r="C1127" s="5355" t="s">
        <v>302</v>
      </c>
      <c r="D1127" s="5355" t="s">
        <v>303</v>
      </c>
      <c r="E1127" s="5355" t="s">
        <v>304</v>
      </c>
      <c r="F1127" s="5364" t="s">
        <v>305</v>
      </c>
      <c r="G1127" s="5355" t="s">
        <v>240</v>
      </c>
      <c r="H1127" s="5355" t="s">
        <v>257</v>
      </c>
      <c r="I1127" s="5360" t="s">
        <v>3306</v>
      </c>
      <c r="J1127" s="5625" t="s">
        <v>3135</v>
      </c>
      <c r="K1127" s="5355" t="s">
        <v>2846</v>
      </c>
      <c r="L1127" s="5363">
        <v>2</v>
      </c>
      <c r="M1127" s="5363">
        <v>1</v>
      </c>
      <c r="N1127" s="5363">
        <v>2</v>
      </c>
      <c r="O1127" s="5355" t="s">
        <v>3136</v>
      </c>
      <c r="P1127" s="5355" t="s">
        <v>3137</v>
      </c>
      <c r="Q1127" s="5392" t="s">
        <v>3138</v>
      </c>
      <c r="R1127" s="1102"/>
      <c r="S1127" s="1103"/>
      <c r="T1127" s="1103"/>
      <c r="U1127" s="154"/>
      <c r="V1127" s="1104"/>
      <c r="W1127" s="155"/>
      <c r="X1127" s="1105"/>
      <c r="Y1127" s="1105"/>
      <c r="Z1127" s="1105"/>
      <c r="AA1127" s="1106"/>
      <c r="AB1127" s="155"/>
      <c r="AC1127" s="156"/>
      <c r="AD1127" s="156"/>
      <c r="AE1127" s="5428"/>
    </row>
    <row r="1128" spans="1:31" ht="18" customHeight="1">
      <c r="A1128" s="5629"/>
      <c r="B1128" s="5573"/>
      <c r="C1128" s="5337"/>
      <c r="D1128" s="5337"/>
      <c r="E1128" s="5337"/>
      <c r="F1128" s="5337"/>
      <c r="G1128" s="5337"/>
      <c r="H1128" s="5337"/>
      <c r="I1128" s="5361"/>
      <c r="J1128" s="5337"/>
      <c r="K1128" s="5337"/>
      <c r="L1128" s="5337"/>
      <c r="M1128" s="5337"/>
      <c r="N1128" s="5337"/>
      <c r="O1128" s="5337"/>
      <c r="P1128" s="5337"/>
      <c r="Q1128" s="5345"/>
      <c r="R1128" s="982"/>
      <c r="S1128" s="983"/>
      <c r="T1128" s="983"/>
      <c r="U1128" s="169"/>
      <c r="V1128" s="984"/>
      <c r="W1128" s="170"/>
      <c r="X1128" s="974"/>
      <c r="Y1128" s="974">
        <f t="shared" ref="Y1128:Y1131" si="164">+V1128*X1128</f>
        <v>0</v>
      </c>
      <c r="Z1128" s="974">
        <f t="shared" ref="Z1128:Z1131" si="165">+Y1128*1.12</f>
        <v>0</v>
      </c>
      <c r="AA1128" s="969"/>
      <c r="AB1128" s="170"/>
      <c r="AC1128" s="282"/>
      <c r="AD1128" s="282"/>
      <c r="AE1128" s="5416"/>
    </row>
    <row r="1129" spans="1:31" ht="18" customHeight="1">
      <c r="A1129" s="5629"/>
      <c r="B1129" s="5573"/>
      <c r="C1129" s="5337"/>
      <c r="D1129" s="5337"/>
      <c r="E1129" s="5337"/>
      <c r="F1129" s="5337"/>
      <c r="G1129" s="5337"/>
      <c r="H1129" s="5337"/>
      <c r="I1129" s="5361"/>
      <c r="J1129" s="5337"/>
      <c r="K1129" s="5337"/>
      <c r="L1129" s="5337"/>
      <c r="M1129" s="5337"/>
      <c r="N1129" s="5337"/>
      <c r="O1129" s="5337"/>
      <c r="P1129" s="5337"/>
      <c r="Q1129" s="5345"/>
      <c r="R1129" s="971"/>
      <c r="S1129" s="972"/>
      <c r="T1129" s="972"/>
      <c r="U1129" s="1217"/>
      <c r="V1129" s="968"/>
      <c r="W1129" s="414"/>
      <c r="X1129" s="973"/>
      <c r="Y1129" s="974">
        <f t="shared" si="164"/>
        <v>0</v>
      </c>
      <c r="Z1129" s="974">
        <f t="shared" si="165"/>
        <v>0</v>
      </c>
      <c r="AA1129" s="969"/>
      <c r="AB1129" s="170"/>
      <c r="AC1129" s="282"/>
      <c r="AD1129" s="282"/>
      <c r="AE1129" s="5416"/>
    </row>
    <row r="1130" spans="1:31" ht="18" customHeight="1">
      <c r="A1130" s="5629"/>
      <c r="B1130" s="5573"/>
      <c r="C1130" s="5337"/>
      <c r="D1130" s="5337"/>
      <c r="E1130" s="5337"/>
      <c r="F1130" s="5337"/>
      <c r="G1130" s="5337"/>
      <c r="H1130" s="5337"/>
      <c r="I1130" s="5361"/>
      <c r="J1130" s="5337"/>
      <c r="K1130" s="5337"/>
      <c r="L1130" s="5337"/>
      <c r="M1130" s="5337"/>
      <c r="N1130" s="5337"/>
      <c r="O1130" s="5337"/>
      <c r="P1130" s="5337"/>
      <c r="Q1130" s="5345"/>
      <c r="R1130" s="970"/>
      <c r="S1130" s="967"/>
      <c r="T1130" s="967"/>
      <c r="U1130" s="1217"/>
      <c r="V1130" s="968"/>
      <c r="W1130" s="414"/>
      <c r="X1130" s="973"/>
      <c r="Y1130" s="974">
        <f t="shared" si="164"/>
        <v>0</v>
      </c>
      <c r="Z1130" s="974">
        <f t="shared" si="165"/>
        <v>0</v>
      </c>
      <c r="AA1130" s="969"/>
      <c r="AB1130" s="170"/>
      <c r="AC1130" s="282"/>
      <c r="AD1130" s="282"/>
      <c r="AE1130" s="5416"/>
    </row>
    <row r="1131" spans="1:31" ht="18" customHeight="1">
      <c r="A1131" s="5629"/>
      <c r="B1131" s="5574"/>
      <c r="C1131" s="5338"/>
      <c r="D1131" s="5338"/>
      <c r="E1131" s="5338"/>
      <c r="F1131" s="5338"/>
      <c r="G1131" s="5338"/>
      <c r="H1131" s="5338"/>
      <c r="I1131" s="5362"/>
      <c r="J1131" s="5338"/>
      <c r="K1131" s="5338"/>
      <c r="L1131" s="5338"/>
      <c r="M1131" s="5338"/>
      <c r="N1131" s="5338"/>
      <c r="O1131" s="5338"/>
      <c r="P1131" s="5338"/>
      <c r="Q1131" s="5346"/>
      <c r="R1131" s="975"/>
      <c r="S1131" s="976"/>
      <c r="T1131" s="976"/>
      <c r="U1131" s="411"/>
      <c r="V1131" s="977"/>
      <c r="W1131" s="165"/>
      <c r="X1131" s="978"/>
      <c r="Y1131" s="978">
        <f t="shared" si="164"/>
        <v>0</v>
      </c>
      <c r="Z1131" s="978">
        <f t="shared" si="165"/>
        <v>0</v>
      </c>
      <c r="AA1131" s="979"/>
      <c r="AB1131" s="165"/>
      <c r="AC1131" s="166"/>
      <c r="AD1131" s="166"/>
      <c r="AE1131" s="5417"/>
    </row>
    <row r="1132" spans="1:31" ht="18" customHeight="1">
      <c r="A1132" s="5629"/>
      <c r="B1132" s="5627" t="s">
        <v>235</v>
      </c>
      <c r="C1132" s="5347" t="s">
        <v>236</v>
      </c>
      <c r="D1132" s="5347" t="s">
        <v>237</v>
      </c>
      <c r="E1132" s="5347" t="s">
        <v>255</v>
      </c>
      <c r="F1132" s="5353" t="s">
        <v>239</v>
      </c>
      <c r="G1132" s="5336" t="s">
        <v>240</v>
      </c>
      <c r="H1132" s="5336" t="s">
        <v>257</v>
      </c>
      <c r="I1132" s="5621" t="s">
        <v>3139</v>
      </c>
      <c r="J1132" s="5621" t="s">
        <v>3140</v>
      </c>
      <c r="K1132" s="5618" t="s">
        <v>2846</v>
      </c>
      <c r="L1132" s="5619">
        <v>2</v>
      </c>
      <c r="M1132" s="5619">
        <v>0</v>
      </c>
      <c r="N1132" s="5619">
        <v>2</v>
      </c>
      <c r="O1132" s="5407" t="s">
        <v>3141</v>
      </c>
      <c r="P1132" s="5618" t="s">
        <v>3142</v>
      </c>
      <c r="Q1132" s="5620" t="s">
        <v>3307</v>
      </c>
      <c r="R1132" s="1110"/>
      <c r="S1132" s="1111"/>
      <c r="T1132" s="1111"/>
      <c r="U1132" s="1711"/>
      <c r="V1132" s="1112"/>
      <c r="W1132" s="1719"/>
      <c r="X1132" s="1113"/>
      <c r="Y1132" s="1113"/>
      <c r="Z1132" s="1113"/>
      <c r="AA1132" s="1114"/>
      <c r="AB1132" s="1719"/>
      <c r="AC1132" s="410"/>
      <c r="AD1132" s="410"/>
      <c r="AE1132" s="1308"/>
    </row>
    <row r="1133" spans="1:31" ht="18" customHeight="1">
      <c r="A1133" s="5629"/>
      <c r="B1133" s="5573"/>
      <c r="C1133" s="5337"/>
      <c r="D1133" s="5337"/>
      <c r="E1133" s="5337"/>
      <c r="F1133" s="5337"/>
      <c r="G1133" s="5337"/>
      <c r="H1133" s="5337"/>
      <c r="I1133" s="5337"/>
      <c r="J1133" s="5337"/>
      <c r="K1133" s="5337"/>
      <c r="L1133" s="5337"/>
      <c r="M1133" s="5337"/>
      <c r="N1133" s="5337"/>
      <c r="O1133" s="5337"/>
      <c r="P1133" s="5337"/>
      <c r="Q1133" s="5345"/>
      <c r="R1133" s="1110"/>
      <c r="S1133" s="1111"/>
      <c r="T1133" s="1111"/>
      <c r="U1133" s="1711"/>
      <c r="V1133" s="1112"/>
      <c r="W1133" s="1719"/>
      <c r="X1133" s="1113"/>
      <c r="Y1133" s="1113"/>
      <c r="Z1133" s="1113"/>
      <c r="AA1133" s="1114"/>
      <c r="AB1133" s="1719"/>
      <c r="AC1133" s="410"/>
      <c r="AD1133" s="410"/>
      <c r="AE1133" s="1308"/>
    </row>
    <row r="1134" spans="1:31" ht="18" customHeight="1">
      <c r="A1134" s="5629"/>
      <c r="B1134" s="5573"/>
      <c r="C1134" s="5337"/>
      <c r="D1134" s="5337"/>
      <c r="E1134" s="5337"/>
      <c r="F1134" s="5337"/>
      <c r="G1134" s="5337"/>
      <c r="H1134" s="5337"/>
      <c r="I1134" s="5337"/>
      <c r="J1134" s="5337"/>
      <c r="K1134" s="5337"/>
      <c r="L1134" s="5337"/>
      <c r="M1134" s="5337"/>
      <c r="N1134" s="5337"/>
      <c r="O1134" s="5337"/>
      <c r="P1134" s="5337"/>
      <c r="Q1134" s="5345"/>
      <c r="R1134" s="1110"/>
      <c r="S1134" s="1111"/>
      <c r="T1134" s="1111"/>
      <c r="U1134" s="1711"/>
      <c r="V1134" s="1112"/>
      <c r="W1134" s="1719"/>
      <c r="X1134" s="1113"/>
      <c r="Y1134" s="1113"/>
      <c r="Z1134" s="1113"/>
      <c r="AA1134" s="1114"/>
      <c r="AB1134" s="1719"/>
      <c r="AC1134" s="410"/>
      <c r="AD1134" s="410"/>
      <c r="AE1134" s="1308"/>
    </row>
    <row r="1135" spans="1:31" ht="18" customHeight="1">
      <c r="A1135" s="5629"/>
      <c r="B1135" s="5573"/>
      <c r="C1135" s="5337"/>
      <c r="D1135" s="5337"/>
      <c r="E1135" s="5337"/>
      <c r="F1135" s="5337"/>
      <c r="G1135" s="5337"/>
      <c r="H1135" s="5337"/>
      <c r="I1135" s="5337"/>
      <c r="J1135" s="5337"/>
      <c r="K1135" s="5337"/>
      <c r="L1135" s="5337"/>
      <c r="M1135" s="5337"/>
      <c r="N1135" s="5337"/>
      <c r="O1135" s="5337"/>
      <c r="P1135" s="5337"/>
      <c r="Q1135" s="5345"/>
      <c r="R1135" s="1110"/>
      <c r="S1135" s="1111"/>
      <c r="T1135" s="1111"/>
      <c r="U1135" s="1711"/>
      <c r="V1135" s="1112"/>
      <c r="W1135" s="1719"/>
      <c r="X1135" s="1113"/>
      <c r="Y1135" s="1113"/>
      <c r="Z1135" s="1113"/>
      <c r="AA1135" s="1114"/>
      <c r="AB1135" s="1719"/>
      <c r="AC1135" s="410"/>
      <c r="AD1135" s="410"/>
      <c r="AE1135" s="1308"/>
    </row>
    <row r="1136" spans="1:31" ht="18" customHeight="1">
      <c r="A1136" s="5629"/>
      <c r="B1136" s="5574"/>
      <c r="C1136" s="5338"/>
      <c r="D1136" s="5338"/>
      <c r="E1136" s="5338"/>
      <c r="F1136" s="5338"/>
      <c r="G1136" s="5338"/>
      <c r="H1136" s="5338"/>
      <c r="I1136" s="5338"/>
      <c r="J1136" s="5338"/>
      <c r="K1136" s="5338"/>
      <c r="L1136" s="5338"/>
      <c r="M1136" s="5338"/>
      <c r="N1136" s="5338"/>
      <c r="O1136" s="5338"/>
      <c r="P1136" s="5338"/>
      <c r="Q1136" s="5346"/>
      <c r="R1136" s="1309"/>
      <c r="S1136" s="1310"/>
      <c r="T1136" s="1310"/>
      <c r="U1136" s="277"/>
      <c r="V1136" s="1311"/>
      <c r="W1136" s="416"/>
      <c r="X1136" s="1312"/>
      <c r="Y1136" s="1312"/>
      <c r="Z1136" s="1312"/>
      <c r="AA1136" s="1313"/>
      <c r="AB1136" s="416"/>
      <c r="AC1136" s="278"/>
      <c r="AD1136" s="278"/>
      <c r="AE1136" s="1314"/>
    </row>
    <row r="1137" spans="1:31" ht="18" customHeight="1">
      <c r="A1137" s="5629"/>
      <c r="B1137" s="5627" t="s">
        <v>235</v>
      </c>
      <c r="C1137" s="5347" t="s">
        <v>236</v>
      </c>
      <c r="D1137" s="5347" t="s">
        <v>237</v>
      </c>
      <c r="E1137" s="5347" t="s">
        <v>255</v>
      </c>
      <c r="F1137" s="5353" t="s">
        <v>239</v>
      </c>
      <c r="G1137" s="5336" t="s">
        <v>240</v>
      </c>
      <c r="H1137" s="5336" t="s">
        <v>257</v>
      </c>
      <c r="I1137" s="5621" t="s">
        <v>3144</v>
      </c>
      <c r="J1137" s="5618" t="s">
        <v>3145</v>
      </c>
      <c r="K1137" s="5618" t="s">
        <v>3146</v>
      </c>
      <c r="L1137" s="5407">
        <v>0</v>
      </c>
      <c r="M1137" s="5407">
        <v>1</v>
      </c>
      <c r="N1137" s="5407">
        <v>0</v>
      </c>
      <c r="O1137" s="5618" t="s">
        <v>3147</v>
      </c>
      <c r="P1137" s="5618" t="s">
        <v>3148</v>
      </c>
      <c r="Q1137" s="5620" t="s">
        <v>3308</v>
      </c>
      <c r="R1137" s="1110"/>
      <c r="S1137" s="1111"/>
      <c r="T1137" s="1111"/>
      <c r="U1137" s="1711"/>
      <c r="V1137" s="1112"/>
      <c r="W1137" s="1719"/>
      <c r="X1137" s="1113"/>
      <c r="Y1137" s="1113"/>
      <c r="Z1137" s="1113"/>
      <c r="AA1137" s="1114"/>
      <c r="AB1137" s="1719"/>
      <c r="AC1137" s="410"/>
      <c r="AD1137" s="410"/>
      <c r="AE1137" s="1308"/>
    </row>
    <row r="1138" spans="1:31" ht="18" customHeight="1">
      <c r="A1138" s="5629"/>
      <c r="B1138" s="5573"/>
      <c r="C1138" s="5337"/>
      <c r="D1138" s="5337"/>
      <c r="E1138" s="5337"/>
      <c r="F1138" s="5337"/>
      <c r="G1138" s="5337"/>
      <c r="H1138" s="5337"/>
      <c r="I1138" s="5337"/>
      <c r="J1138" s="5337"/>
      <c r="K1138" s="5337"/>
      <c r="L1138" s="5337"/>
      <c r="M1138" s="5337"/>
      <c r="N1138" s="5337"/>
      <c r="O1138" s="5337"/>
      <c r="P1138" s="5337"/>
      <c r="Q1138" s="5345"/>
      <c r="R1138" s="1110"/>
      <c r="S1138" s="1111"/>
      <c r="T1138" s="1111"/>
      <c r="U1138" s="1711"/>
      <c r="V1138" s="1112"/>
      <c r="W1138" s="1719"/>
      <c r="X1138" s="1113"/>
      <c r="Y1138" s="1113"/>
      <c r="Z1138" s="1113"/>
      <c r="AA1138" s="1114"/>
      <c r="AB1138" s="1719"/>
      <c r="AC1138" s="410"/>
      <c r="AD1138" s="410"/>
      <c r="AE1138" s="1308"/>
    </row>
    <row r="1139" spans="1:31" ht="18" customHeight="1">
      <c r="A1139" s="5629"/>
      <c r="B1139" s="5573"/>
      <c r="C1139" s="5337"/>
      <c r="D1139" s="5337"/>
      <c r="E1139" s="5337"/>
      <c r="F1139" s="5337"/>
      <c r="G1139" s="5337"/>
      <c r="H1139" s="5337"/>
      <c r="I1139" s="5337"/>
      <c r="J1139" s="5337"/>
      <c r="K1139" s="5337"/>
      <c r="L1139" s="5337"/>
      <c r="M1139" s="5337"/>
      <c r="N1139" s="5337"/>
      <c r="O1139" s="5337"/>
      <c r="P1139" s="5337"/>
      <c r="Q1139" s="5345"/>
      <c r="R1139" s="1110"/>
      <c r="S1139" s="1111"/>
      <c r="T1139" s="1111"/>
      <c r="U1139" s="1711"/>
      <c r="V1139" s="1112"/>
      <c r="W1139" s="1719"/>
      <c r="X1139" s="1113"/>
      <c r="Y1139" s="1113"/>
      <c r="Z1139" s="1113"/>
      <c r="AA1139" s="1114"/>
      <c r="AB1139" s="1719"/>
      <c r="AC1139" s="410"/>
      <c r="AD1139" s="410"/>
      <c r="AE1139" s="1308"/>
    </row>
    <row r="1140" spans="1:31" ht="18" customHeight="1">
      <c r="A1140" s="5629"/>
      <c r="B1140" s="5573"/>
      <c r="C1140" s="5337"/>
      <c r="D1140" s="5337"/>
      <c r="E1140" s="5337"/>
      <c r="F1140" s="5337"/>
      <c r="G1140" s="5337"/>
      <c r="H1140" s="5337"/>
      <c r="I1140" s="5337"/>
      <c r="J1140" s="5337"/>
      <c r="K1140" s="5337"/>
      <c r="L1140" s="5337"/>
      <c r="M1140" s="5337"/>
      <c r="N1140" s="5337"/>
      <c r="O1140" s="5337"/>
      <c r="P1140" s="5337"/>
      <c r="Q1140" s="5345"/>
      <c r="R1140" s="1110"/>
      <c r="S1140" s="1111"/>
      <c r="T1140" s="1111"/>
      <c r="U1140" s="1711"/>
      <c r="V1140" s="1112"/>
      <c r="W1140" s="1719"/>
      <c r="X1140" s="1113"/>
      <c r="Y1140" s="1113"/>
      <c r="Z1140" s="1113"/>
      <c r="AA1140" s="1114"/>
      <c r="AB1140" s="1719"/>
      <c r="AC1140" s="410"/>
      <c r="AD1140" s="410"/>
      <c r="AE1140" s="1308"/>
    </row>
    <row r="1141" spans="1:31" ht="18" customHeight="1">
      <c r="A1141" s="5629"/>
      <c r="B1141" s="5574"/>
      <c r="C1141" s="5338"/>
      <c r="D1141" s="5338"/>
      <c r="E1141" s="5338"/>
      <c r="F1141" s="5338"/>
      <c r="G1141" s="5338"/>
      <c r="H1141" s="5338"/>
      <c r="I1141" s="5338"/>
      <c r="J1141" s="5338"/>
      <c r="K1141" s="5338"/>
      <c r="L1141" s="5338"/>
      <c r="M1141" s="5338"/>
      <c r="N1141" s="5338"/>
      <c r="O1141" s="5338"/>
      <c r="P1141" s="5338"/>
      <c r="Q1141" s="5346"/>
      <c r="R1141" s="1309"/>
      <c r="S1141" s="1310"/>
      <c r="T1141" s="1310"/>
      <c r="U1141" s="277"/>
      <c r="V1141" s="1311"/>
      <c r="W1141" s="416"/>
      <c r="X1141" s="1312"/>
      <c r="Y1141" s="1312"/>
      <c r="Z1141" s="1312"/>
      <c r="AA1141" s="1313"/>
      <c r="AB1141" s="416"/>
      <c r="AC1141" s="278"/>
      <c r="AD1141" s="278"/>
      <c r="AE1141" s="1314"/>
    </row>
    <row r="1142" spans="1:31" ht="18" customHeight="1">
      <c r="A1142" s="5629"/>
      <c r="B1142" s="5572" t="s">
        <v>272</v>
      </c>
      <c r="C1142" s="5336" t="s">
        <v>302</v>
      </c>
      <c r="D1142" s="5336" t="s">
        <v>303</v>
      </c>
      <c r="E1142" s="5336" t="s">
        <v>304</v>
      </c>
      <c r="F1142" s="5341" t="s">
        <v>305</v>
      </c>
      <c r="G1142" s="5336" t="s">
        <v>240</v>
      </c>
      <c r="H1142" s="5336" t="s">
        <v>257</v>
      </c>
      <c r="I1142" s="5618" t="s">
        <v>3150</v>
      </c>
      <c r="J1142" s="5618" t="s">
        <v>3151</v>
      </c>
      <c r="K1142" s="5618" t="s">
        <v>3146</v>
      </c>
      <c r="L1142" s="5407">
        <v>0</v>
      </c>
      <c r="M1142" s="5407">
        <v>1</v>
      </c>
      <c r="N1142" s="5407">
        <v>1</v>
      </c>
      <c r="O1142" s="5618" t="s">
        <v>3152</v>
      </c>
      <c r="P1142" s="5618" t="s">
        <v>3153</v>
      </c>
      <c r="Q1142" s="5620" t="s">
        <v>3308</v>
      </c>
      <c r="R1142" s="1110"/>
      <c r="S1142" s="1111"/>
      <c r="T1142" s="1111"/>
      <c r="U1142" s="1711"/>
      <c r="V1142" s="1112"/>
      <c r="W1142" s="1719"/>
      <c r="X1142" s="1113"/>
      <c r="Y1142" s="1113"/>
      <c r="Z1142" s="1113"/>
      <c r="AA1142" s="1114"/>
      <c r="AB1142" s="1719"/>
      <c r="AC1142" s="410"/>
      <c r="AD1142" s="410"/>
      <c r="AE1142" s="1308"/>
    </row>
    <row r="1143" spans="1:31" ht="18" customHeight="1">
      <c r="A1143" s="5629"/>
      <c r="B1143" s="5573"/>
      <c r="C1143" s="5337"/>
      <c r="D1143" s="5337"/>
      <c r="E1143" s="5337"/>
      <c r="F1143" s="5337"/>
      <c r="G1143" s="5337"/>
      <c r="H1143" s="5337"/>
      <c r="I1143" s="5337"/>
      <c r="J1143" s="5337"/>
      <c r="K1143" s="5337"/>
      <c r="L1143" s="5337"/>
      <c r="M1143" s="5337"/>
      <c r="N1143" s="5337"/>
      <c r="O1143" s="5337"/>
      <c r="P1143" s="5337"/>
      <c r="Q1143" s="5345"/>
      <c r="R1143" s="1110"/>
      <c r="S1143" s="1111"/>
      <c r="T1143" s="1111"/>
      <c r="U1143" s="1711"/>
      <c r="V1143" s="1112"/>
      <c r="W1143" s="1719"/>
      <c r="X1143" s="1113"/>
      <c r="Y1143" s="1113"/>
      <c r="Z1143" s="1113"/>
      <c r="AA1143" s="1114"/>
      <c r="AB1143" s="1719"/>
      <c r="AC1143" s="410"/>
      <c r="AD1143" s="410"/>
      <c r="AE1143" s="1308"/>
    </row>
    <row r="1144" spans="1:31" ht="18" customHeight="1">
      <c r="A1144" s="5629"/>
      <c r="B1144" s="5573"/>
      <c r="C1144" s="5337"/>
      <c r="D1144" s="5337"/>
      <c r="E1144" s="5337"/>
      <c r="F1144" s="5337"/>
      <c r="G1144" s="5337"/>
      <c r="H1144" s="5337"/>
      <c r="I1144" s="5337"/>
      <c r="J1144" s="5337"/>
      <c r="K1144" s="5337"/>
      <c r="L1144" s="5337"/>
      <c r="M1144" s="5337"/>
      <c r="N1144" s="5337"/>
      <c r="O1144" s="5337"/>
      <c r="P1144" s="5337"/>
      <c r="Q1144" s="5345"/>
      <c r="R1144" s="1110"/>
      <c r="S1144" s="1111"/>
      <c r="T1144" s="1111"/>
      <c r="U1144" s="1711"/>
      <c r="V1144" s="1112"/>
      <c r="W1144" s="1719"/>
      <c r="X1144" s="1113"/>
      <c r="Y1144" s="1113"/>
      <c r="Z1144" s="1113"/>
      <c r="AA1144" s="1114"/>
      <c r="AB1144" s="1719"/>
      <c r="AC1144" s="410"/>
      <c r="AD1144" s="410"/>
      <c r="AE1144" s="1308"/>
    </row>
    <row r="1145" spans="1:31" ht="18" customHeight="1">
      <c r="A1145" s="5629"/>
      <c r="B1145" s="5573"/>
      <c r="C1145" s="5337"/>
      <c r="D1145" s="5337"/>
      <c r="E1145" s="5337"/>
      <c r="F1145" s="5337"/>
      <c r="G1145" s="5337"/>
      <c r="H1145" s="5337"/>
      <c r="I1145" s="5337"/>
      <c r="J1145" s="5337"/>
      <c r="K1145" s="5337"/>
      <c r="L1145" s="5337"/>
      <c r="M1145" s="5337"/>
      <c r="N1145" s="5337"/>
      <c r="O1145" s="5337"/>
      <c r="P1145" s="5337"/>
      <c r="Q1145" s="5345"/>
      <c r="R1145" s="1110"/>
      <c r="S1145" s="1111"/>
      <c r="T1145" s="1111"/>
      <c r="U1145" s="1711"/>
      <c r="V1145" s="1112"/>
      <c r="W1145" s="1719"/>
      <c r="X1145" s="1113"/>
      <c r="Y1145" s="1113"/>
      <c r="Z1145" s="1113"/>
      <c r="AA1145" s="1114"/>
      <c r="AB1145" s="1719"/>
      <c r="AC1145" s="410"/>
      <c r="AD1145" s="410"/>
      <c r="AE1145" s="1308"/>
    </row>
    <row r="1146" spans="1:31" ht="18" customHeight="1">
      <c r="A1146" s="5629"/>
      <c r="B1146" s="5574"/>
      <c r="C1146" s="5338"/>
      <c r="D1146" s="5338"/>
      <c r="E1146" s="5338"/>
      <c r="F1146" s="5338"/>
      <c r="G1146" s="5338"/>
      <c r="H1146" s="5338"/>
      <c r="I1146" s="5338"/>
      <c r="J1146" s="5338"/>
      <c r="K1146" s="5338"/>
      <c r="L1146" s="5338"/>
      <c r="M1146" s="5338"/>
      <c r="N1146" s="5338"/>
      <c r="O1146" s="5338"/>
      <c r="P1146" s="5338"/>
      <c r="Q1146" s="5346"/>
      <c r="R1146" s="1309"/>
      <c r="S1146" s="1310"/>
      <c r="T1146" s="1310"/>
      <c r="U1146" s="277"/>
      <c r="V1146" s="1311"/>
      <c r="W1146" s="416"/>
      <c r="X1146" s="1312"/>
      <c r="Y1146" s="1312"/>
      <c r="Z1146" s="1312"/>
      <c r="AA1146" s="1313"/>
      <c r="AB1146" s="416"/>
      <c r="AC1146" s="278"/>
      <c r="AD1146" s="278"/>
      <c r="AE1146" s="1314"/>
    </row>
    <row r="1147" spans="1:31" ht="18" customHeight="1">
      <c r="A1147" s="5629"/>
      <c r="B1147" s="5572" t="s">
        <v>272</v>
      </c>
      <c r="C1147" s="5336" t="s">
        <v>302</v>
      </c>
      <c r="D1147" s="5336" t="s">
        <v>274</v>
      </c>
      <c r="E1147" s="5336" t="s">
        <v>885</v>
      </c>
      <c r="F1147" s="5341" t="s">
        <v>305</v>
      </c>
      <c r="G1147" s="5336" t="s">
        <v>262</v>
      </c>
      <c r="H1147" s="5336" t="s">
        <v>241</v>
      </c>
      <c r="I1147" s="5618" t="s">
        <v>3154</v>
      </c>
      <c r="J1147" s="5618" t="s">
        <v>3155</v>
      </c>
      <c r="K1147" s="5618" t="s">
        <v>3024</v>
      </c>
      <c r="L1147" s="5619">
        <v>1</v>
      </c>
      <c r="M1147" s="5619">
        <v>0</v>
      </c>
      <c r="N1147" s="5619">
        <v>1</v>
      </c>
      <c r="O1147" s="5618" t="s">
        <v>3156</v>
      </c>
      <c r="P1147" s="5618" t="s">
        <v>3026</v>
      </c>
      <c r="Q1147" s="5620" t="s">
        <v>3309</v>
      </c>
      <c r="R1147" s="1110"/>
      <c r="S1147" s="1111"/>
      <c r="T1147" s="1111"/>
      <c r="U1147" s="1711"/>
      <c r="V1147" s="1112"/>
      <c r="W1147" s="1719"/>
      <c r="X1147" s="1113"/>
      <c r="Y1147" s="1113"/>
      <c r="Z1147" s="1113"/>
      <c r="AA1147" s="1114"/>
      <c r="AB1147" s="1719"/>
      <c r="AC1147" s="410"/>
      <c r="AD1147" s="410"/>
      <c r="AE1147" s="1308"/>
    </row>
    <row r="1148" spans="1:31" ht="18" customHeight="1">
      <c r="A1148" s="5629"/>
      <c r="B1148" s="5573"/>
      <c r="C1148" s="5337"/>
      <c r="D1148" s="5337"/>
      <c r="E1148" s="5337"/>
      <c r="F1148" s="5337"/>
      <c r="G1148" s="5337"/>
      <c r="H1148" s="5337"/>
      <c r="I1148" s="5337"/>
      <c r="J1148" s="5337"/>
      <c r="K1148" s="5337"/>
      <c r="L1148" s="5337"/>
      <c r="M1148" s="5337"/>
      <c r="N1148" s="5337"/>
      <c r="O1148" s="5337"/>
      <c r="P1148" s="5337"/>
      <c r="Q1148" s="5345"/>
      <c r="R1148" s="1110"/>
      <c r="S1148" s="1111"/>
      <c r="T1148" s="1111"/>
      <c r="U1148" s="1711"/>
      <c r="V1148" s="1112"/>
      <c r="W1148" s="1719"/>
      <c r="X1148" s="1113"/>
      <c r="Y1148" s="1113"/>
      <c r="Z1148" s="1113"/>
      <c r="AA1148" s="1114"/>
      <c r="AB1148" s="1719"/>
      <c r="AC1148" s="410"/>
      <c r="AD1148" s="410"/>
      <c r="AE1148" s="1308"/>
    </row>
    <row r="1149" spans="1:31" ht="18" customHeight="1">
      <c r="A1149" s="5629"/>
      <c r="B1149" s="5573"/>
      <c r="C1149" s="5337"/>
      <c r="D1149" s="5337"/>
      <c r="E1149" s="5337"/>
      <c r="F1149" s="5337"/>
      <c r="G1149" s="5337"/>
      <c r="H1149" s="5337"/>
      <c r="I1149" s="5337"/>
      <c r="J1149" s="5337"/>
      <c r="K1149" s="5337"/>
      <c r="L1149" s="5337"/>
      <c r="M1149" s="5337"/>
      <c r="N1149" s="5337"/>
      <c r="O1149" s="5337"/>
      <c r="P1149" s="5337"/>
      <c r="Q1149" s="5345"/>
      <c r="R1149" s="1110"/>
      <c r="S1149" s="1111"/>
      <c r="T1149" s="1111"/>
      <c r="U1149" s="1711"/>
      <c r="V1149" s="1112"/>
      <c r="W1149" s="1719"/>
      <c r="X1149" s="1113"/>
      <c r="Y1149" s="1113"/>
      <c r="Z1149" s="1113"/>
      <c r="AA1149" s="1114"/>
      <c r="AB1149" s="1719"/>
      <c r="AC1149" s="410"/>
      <c r="AD1149" s="410"/>
      <c r="AE1149" s="1308"/>
    </row>
    <row r="1150" spans="1:31" ht="18" customHeight="1">
      <c r="A1150" s="5629"/>
      <c r="B1150" s="5573"/>
      <c r="C1150" s="5337"/>
      <c r="D1150" s="5337"/>
      <c r="E1150" s="5337"/>
      <c r="F1150" s="5337"/>
      <c r="G1150" s="5337"/>
      <c r="H1150" s="5337"/>
      <c r="I1150" s="5337"/>
      <c r="J1150" s="5337"/>
      <c r="K1150" s="5337"/>
      <c r="L1150" s="5337"/>
      <c r="M1150" s="5337"/>
      <c r="N1150" s="5337"/>
      <c r="O1150" s="5337"/>
      <c r="P1150" s="5337"/>
      <c r="Q1150" s="5345"/>
      <c r="R1150" s="1110"/>
      <c r="S1150" s="1111"/>
      <c r="T1150" s="1111"/>
      <c r="U1150" s="1711"/>
      <c r="V1150" s="1112"/>
      <c r="W1150" s="1719"/>
      <c r="X1150" s="1113"/>
      <c r="Y1150" s="1113"/>
      <c r="Z1150" s="1113"/>
      <c r="AA1150" s="1114"/>
      <c r="AB1150" s="1719"/>
      <c r="AC1150" s="410"/>
      <c r="AD1150" s="410"/>
      <c r="AE1150" s="1308"/>
    </row>
    <row r="1151" spans="1:31" ht="18" customHeight="1">
      <c r="A1151" s="5629"/>
      <c r="B1151" s="5574"/>
      <c r="C1151" s="5338"/>
      <c r="D1151" s="5338"/>
      <c r="E1151" s="5338"/>
      <c r="F1151" s="5338"/>
      <c r="G1151" s="5338"/>
      <c r="H1151" s="5338"/>
      <c r="I1151" s="5338"/>
      <c r="J1151" s="5338"/>
      <c r="K1151" s="5338"/>
      <c r="L1151" s="5338"/>
      <c r="M1151" s="5338"/>
      <c r="N1151" s="5338"/>
      <c r="O1151" s="5338"/>
      <c r="P1151" s="5338"/>
      <c r="Q1151" s="5346"/>
      <c r="R1151" s="1309"/>
      <c r="S1151" s="1310"/>
      <c r="T1151" s="1310"/>
      <c r="U1151" s="277"/>
      <c r="V1151" s="1311"/>
      <c r="W1151" s="416"/>
      <c r="X1151" s="1312"/>
      <c r="Y1151" s="1312"/>
      <c r="Z1151" s="1312"/>
      <c r="AA1151" s="1313"/>
      <c r="AB1151" s="416"/>
      <c r="AC1151" s="278"/>
      <c r="AD1151" s="278"/>
      <c r="AE1151" s="1314"/>
    </row>
    <row r="1152" spans="1:31" ht="18" customHeight="1">
      <c r="A1152" s="5629"/>
      <c r="B1152" s="5627" t="s">
        <v>235</v>
      </c>
      <c r="C1152" s="5347" t="s">
        <v>236</v>
      </c>
      <c r="D1152" s="5347" t="s">
        <v>237</v>
      </c>
      <c r="E1152" s="5347" t="s">
        <v>255</v>
      </c>
      <c r="F1152" s="5353" t="s">
        <v>239</v>
      </c>
      <c r="G1152" s="5336" t="s">
        <v>240</v>
      </c>
      <c r="H1152" s="5336" t="s">
        <v>257</v>
      </c>
      <c r="I1152" s="5618" t="s">
        <v>3158</v>
      </c>
      <c r="J1152" s="5618" t="s">
        <v>3159</v>
      </c>
      <c r="K1152" s="5618" t="s">
        <v>3160</v>
      </c>
      <c r="L1152" s="5619">
        <v>1</v>
      </c>
      <c r="M1152" s="5619">
        <v>2</v>
      </c>
      <c r="N1152" s="5619">
        <v>2</v>
      </c>
      <c r="O1152" s="5618" t="s">
        <v>3161</v>
      </c>
      <c r="P1152" s="5618" t="s">
        <v>3162</v>
      </c>
      <c r="Q1152" s="5620" t="s">
        <v>3308</v>
      </c>
      <c r="R1152" s="1110"/>
      <c r="S1152" s="1111"/>
      <c r="T1152" s="1111"/>
      <c r="U1152" s="1711"/>
      <c r="V1152" s="1112"/>
      <c r="W1152" s="1719"/>
      <c r="X1152" s="1113"/>
      <c r="Y1152" s="1113"/>
      <c r="Z1152" s="1113"/>
      <c r="AA1152" s="1114"/>
      <c r="AB1152" s="1719"/>
      <c r="AC1152" s="410"/>
      <c r="AD1152" s="410"/>
      <c r="AE1152" s="1308"/>
    </row>
    <row r="1153" spans="1:31" ht="18" customHeight="1">
      <c r="A1153" s="5629"/>
      <c r="B1153" s="5573"/>
      <c r="C1153" s="5337"/>
      <c r="D1153" s="5337"/>
      <c r="E1153" s="5337"/>
      <c r="F1153" s="5337"/>
      <c r="G1153" s="5337"/>
      <c r="H1153" s="5337"/>
      <c r="I1153" s="5337"/>
      <c r="J1153" s="5337"/>
      <c r="K1153" s="5337"/>
      <c r="L1153" s="5337"/>
      <c r="M1153" s="5337"/>
      <c r="N1153" s="5337"/>
      <c r="O1153" s="5337"/>
      <c r="P1153" s="5337"/>
      <c r="Q1153" s="5345"/>
      <c r="R1153" s="1110"/>
      <c r="S1153" s="1111"/>
      <c r="T1153" s="1111"/>
      <c r="U1153" s="1711"/>
      <c r="V1153" s="1112"/>
      <c r="W1153" s="1719"/>
      <c r="X1153" s="1113"/>
      <c r="Y1153" s="1113"/>
      <c r="Z1153" s="1113"/>
      <c r="AA1153" s="1114"/>
      <c r="AB1153" s="1719"/>
      <c r="AC1153" s="410"/>
      <c r="AD1153" s="410"/>
      <c r="AE1153" s="1308"/>
    </row>
    <row r="1154" spans="1:31" ht="18" customHeight="1">
      <c r="A1154" s="5629"/>
      <c r="B1154" s="5573"/>
      <c r="C1154" s="5337"/>
      <c r="D1154" s="5337"/>
      <c r="E1154" s="5337"/>
      <c r="F1154" s="5337"/>
      <c r="G1154" s="5337"/>
      <c r="H1154" s="5337"/>
      <c r="I1154" s="5337"/>
      <c r="J1154" s="5337"/>
      <c r="K1154" s="5337"/>
      <c r="L1154" s="5337"/>
      <c r="M1154" s="5337"/>
      <c r="N1154" s="5337"/>
      <c r="O1154" s="5337"/>
      <c r="P1154" s="5337"/>
      <c r="Q1154" s="5345"/>
      <c r="R1154" s="1110"/>
      <c r="S1154" s="1111"/>
      <c r="T1154" s="1111"/>
      <c r="U1154" s="1711"/>
      <c r="V1154" s="1112"/>
      <c r="W1154" s="1719"/>
      <c r="X1154" s="1113"/>
      <c r="Y1154" s="1113"/>
      <c r="Z1154" s="1113"/>
      <c r="AA1154" s="1114"/>
      <c r="AB1154" s="1719"/>
      <c r="AC1154" s="410"/>
      <c r="AD1154" s="410"/>
      <c r="AE1154" s="1308"/>
    </row>
    <row r="1155" spans="1:31" ht="18" customHeight="1">
      <c r="A1155" s="5629"/>
      <c r="B1155" s="5573"/>
      <c r="C1155" s="5337"/>
      <c r="D1155" s="5337"/>
      <c r="E1155" s="5337"/>
      <c r="F1155" s="5337"/>
      <c r="G1155" s="5337"/>
      <c r="H1155" s="5337"/>
      <c r="I1155" s="5337"/>
      <c r="J1155" s="5337"/>
      <c r="K1155" s="5337"/>
      <c r="L1155" s="5337"/>
      <c r="M1155" s="5337"/>
      <c r="N1155" s="5337"/>
      <c r="O1155" s="5337"/>
      <c r="P1155" s="5337"/>
      <c r="Q1155" s="5345"/>
      <c r="R1155" s="1110"/>
      <c r="S1155" s="1111"/>
      <c r="T1155" s="1111"/>
      <c r="U1155" s="1711"/>
      <c r="V1155" s="1112"/>
      <c r="W1155" s="1719"/>
      <c r="X1155" s="1113"/>
      <c r="Y1155" s="1113"/>
      <c r="Z1155" s="1113"/>
      <c r="AA1155" s="1114"/>
      <c r="AB1155" s="1719"/>
      <c r="AC1155" s="410"/>
      <c r="AD1155" s="410"/>
      <c r="AE1155" s="1308"/>
    </row>
    <row r="1156" spans="1:31" ht="18" customHeight="1">
      <c r="A1156" s="5629"/>
      <c r="B1156" s="5574"/>
      <c r="C1156" s="5338"/>
      <c r="D1156" s="5338"/>
      <c r="E1156" s="5338"/>
      <c r="F1156" s="5338"/>
      <c r="G1156" s="5338"/>
      <c r="H1156" s="5338"/>
      <c r="I1156" s="5337"/>
      <c r="J1156" s="5337"/>
      <c r="K1156" s="5337"/>
      <c r="L1156" s="5337"/>
      <c r="M1156" s="5337"/>
      <c r="N1156" s="5337"/>
      <c r="O1156" s="5337"/>
      <c r="P1156" s="5337"/>
      <c r="Q1156" s="5345"/>
      <c r="R1156" s="1309"/>
      <c r="S1156" s="1310"/>
      <c r="T1156" s="1310"/>
      <c r="U1156" s="277"/>
      <c r="V1156" s="1311"/>
      <c r="W1156" s="416"/>
      <c r="X1156" s="1312"/>
      <c r="Y1156" s="1312"/>
      <c r="Z1156" s="1312"/>
      <c r="AA1156" s="1313"/>
      <c r="AB1156" s="416"/>
      <c r="AC1156" s="278"/>
      <c r="AD1156" s="278"/>
      <c r="AE1156" s="1314"/>
    </row>
    <row r="1157" spans="1:31" ht="18" customHeight="1">
      <c r="A1157" s="5629"/>
      <c r="B1157" s="5626" t="s">
        <v>272</v>
      </c>
      <c r="C1157" s="5624" t="s">
        <v>302</v>
      </c>
      <c r="D1157" s="5624" t="s">
        <v>303</v>
      </c>
      <c r="E1157" s="5624" t="s">
        <v>304</v>
      </c>
      <c r="F1157" s="5622" t="s">
        <v>305</v>
      </c>
      <c r="G1157" s="5624" t="s">
        <v>240</v>
      </c>
      <c r="H1157" s="5624" t="s">
        <v>257</v>
      </c>
      <c r="I1157" s="5618" t="s">
        <v>3163</v>
      </c>
      <c r="J1157" s="5618" t="s">
        <v>3164</v>
      </c>
      <c r="K1157" s="5618" t="s">
        <v>3146</v>
      </c>
      <c r="L1157" s="5619">
        <v>0</v>
      </c>
      <c r="M1157" s="5619">
        <v>1</v>
      </c>
      <c r="N1157" s="5619">
        <v>0</v>
      </c>
      <c r="O1157" s="5618" t="s">
        <v>3165</v>
      </c>
      <c r="P1157" s="5618" t="s">
        <v>3166</v>
      </c>
      <c r="Q1157" s="5620" t="s">
        <v>3308</v>
      </c>
      <c r="R1157" s="1110"/>
      <c r="S1157" s="1111"/>
      <c r="T1157" s="1111"/>
      <c r="U1157" s="1711"/>
      <c r="V1157" s="1112"/>
      <c r="W1157" s="1719"/>
      <c r="X1157" s="1113"/>
      <c r="Y1157" s="1113"/>
      <c r="Z1157" s="1113"/>
      <c r="AA1157" s="1114"/>
      <c r="AB1157" s="1719"/>
      <c r="AC1157" s="410"/>
      <c r="AD1157" s="410"/>
      <c r="AE1157" s="1308"/>
    </row>
    <row r="1158" spans="1:31" ht="18" customHeight="1">
      <c r="A1158" s="5629"/>
      <c r="B1158" s="5573"/>
      <c r="C1158" s="5337"/>
      <c r="D1158" s="5337"/>
      <c r="E1158" s="5337"/>
      <c r="F1158" s="5337"/>
      <c r="G1158" s="5337"/>
      <c r="H1158" s="5337"/>
      <c r="I1158" s="5337"/>
      <c r="J1158" s="5337"/>
      <c r="K1158" s="5337"/>
      <c r="L1158" s="5337"/>
      <c r="M1158" s="5337"/>
      <c r="N1158" s="5337"/>
      <c r="O1158" s="5337"/>
      <c r="P1158" s="5337"/>
      <c r="Q1158" s="5345"/>
      <c r="R1158" s="1110"/>
      <c r="S1158" s="1111"/>
      <c r="T1158" s="1111"/>
      <c r="U1158" s="1711"/>
      <c r="V1158" s="1112"/>
      <c r="W1158" s="1719"/>
      <c r="X1158" s="1113"/>
      <c r="Y1158" s="1113"/>
      <c r="Z1158" s="1113"/>
      <c r="AA1158" s="1114"/>
      <c r="AB1158" s="1719"/>
      <c r="AC1158" s="410"/>
      <c r="AD1158" s="410"/>
      <c r="AE1158" s="1308"/>
    </row>
    <row r="1159" spans="1:31" ht="18" customHeight="1">
      <c r="A1159" s="5629"/>
      <c r="B1159" s="5573"/>
      <c r="C1159" s="5337"/>
      <c r="D1159" s="5337"/>
      <c r="E1159" s="5337"/>
      <c r="F1159" s="5337"/>
      <c r="G1159" s="5337"/>
      <c r="H1159" s="5337"/>
      <c r="I1159" s="5337"/>
      <c r="J1159" s="5337"/>
      <c r="K1159" s="5337"/>
      <c r="L1159" s="5337"/>
      <c r="M1159" s="5337"/>
      <c r="N1159" s="5337"/>
      <c r="O1159" s="5337"/>
      <c r="P1159" s="5337"/>
      <c r="Q1159" s="5345"/>
      <c r="R1159" s="1110"/>
      <c r="S1159" s="1111"/>
      <c r="T1159" s="1111"/>
      <c r="U1159" s="1711"/>
      <c r="V1159" s="1112"/>
      <c r="W1159" s="1719"/>
      <c r="X1159" s="1113"/>
      <c r="Y1159" s="1113"/>
      <c r="Z1159" s="1113"/>
      <c r="AA1159" s="1114"/>
      <c r="AB1159" s="1719"/>
      <c r="AC1159" s="410"/>
      <c r="AD1159" s="410"/>
      <c r="AE1159" s="1308"/>
    </row>
    <row r="1160" spans="1:31" ht="18" customHeight="1">
      <c r="A1160" s="5629"/>
      <c r="B1160" s="5573"/>
      <c r="C1160" s="5337"/>
      <c r="D1160" s="5337"/>
      <c r="E1160" s="5337"/>
      <c r="F1160" s="5337"/>
      <c r="G1160" s="5337"/>
      <c r="H1160" s="5337"/>
      <c r="I1160" s="5337"/>
      <c r="J1160" s="5337"/>
      <c r="K1160" s="5337"/>
      <c r="L1160" s="5337"/>
      <c r="M1160" s="5337"/>
      <c r="N1160" s="5337"/>
      <c r="O1160" s="5337"/>
      <c r="P1160" s="5337"/>
      <c r="Q1160" s="5345"/>
      <c r="R1160" s="1110"/>
      <c r="S1160" s="1111"/>
      <c r="T1160" s="1111"/>
      <c r="U1160" s="1711"/>
      <c r="V1160" s="1112"/>
      <c r="W1160" s="1719"/>
      <c r="X1160" s="1113"/>
      <c r="Y1160" s="1113"/>
      <c r="Z1160" s="1113"/>
      <c r="AA1160" s="1114"/>
      <c r="AB1160" s="1719"/>
      <c r="AC1160" s="410"/>
      <c r="AD1160" s="410"/>
      <c r="AE1160" s="1308"/>
    </row>
    <row r="1161" spans="1:31" ht="18" customHeight="1">
      <c r="A1161" s="5629"/>
      <c r="B1161" s="5574"/>
      <c r="C1161" s="5338"/>
      <c r="D1161" s="5338"/>
      <c r="E1161" s="5338"/>
      <c r="F1161" s="5338"/>
      <c r="G1161" s="5338"/>
      <c r="H1161" s="5338"/>
      <c r="I1161" s="5338"/>
      <c r="J1161" s="5338"/>
      <c r="K1161" s="5338"/>
      <c r="L1161" s="5338"/>
      <c r="M1161" s="5338"/>
      <c r="N1161" s="5338"/>
      <c r="O1161" s="5338"/>
      <c r="P1161" s="5338"/>
      <c r="Q1161" s="5346"/>
      <c r="R1161" s="1309"/>
      <c r="S1161" s="1310"/>
      <c r="T1161" s="1310"/>
      <c r="U1161" s="277"/>
      <c r="V1161" s="1311"/>
      <c r="W1161" s="416"/>
      <c r="X1161" s="1312"/>
      <c r="Y1161" s="1312"/>
      <c r="Z1161" s="1312"/>
      <c r="AA1161" s="1313"/>
      <c r="AB1161" s="416"/>
      <c r="AC1161" s="278"/>
      <c r="AD1161" s="278"/>
      <c r="AE1161" s="1314"/>
    </row>
    <row r="1162" spans="1:31" ht="18" customHeight="1">
      <c r="A1162" s="5629"/>
      <c r="B1162" s="5626" t="s">
        <v>272</v>
      </c>
      <c r="C1162" s="5624" t="s">
        <v>302</v>
      </c>
      <c r="D1162" s="5624" t="s">
        <v>303</v>
      </c>
      <c r="E1162" s="5624" t="s">
        <v>304</v>
      </c>
      <c r="F1162" s="5622" t="s">
        <v>305</v>
      </c>
      <c r="G1162" s="5624" t="s">
        <v>240</v>
      </c>
      <c r="H1162" s="5624" t="s">
        <v>257</v>
      </c>
      <c r="I1162" s="5618" t="s">
        <v>3167</v>
      </c>
      <c r="J1162" s="5618" t="s">
        <v>3168</v>
      </c>
      <c r="K1162" s="5618" t="s">
        <v>3006</v>
      </c>
      <c r="L1162" s="5619">
        <v>2</v>
      </c>
      <c r="M1162" s="5619">
        <v>0</v>
      </c>
      <c r="N1162" s="5619">
        <v>2</v>
      </c>
      <c r="O1162" s="5618" t="s">
        <v>3169</v>
      </c>
      <c r="P1162" s="5618" t="s">
        <v>3170</v>
      </c>
      <c r="Q1162" s="5620" t="s">
        <v>3308</v>
      </c>
      <c r="R1162" s="1110"/>
      <c r="S1162" s="1111"/>
      <c r="T1162" s="1111"/>
      <c r="U1162" s="1711"/>
      <c r="V1162" s="1112"/>
      <c r="W1162" s="1719"/>
      <c r="X1162" s="1113"/>
      <c r="Y1162" s="1113"/>
      <c r="Z1162" s="1113"/>
      <c r="AA1162" s="1114"/>
      <c r="AB1162" s="1719"/>
      <c r="AC1162" s="410"/>
      <c r="AD1162" s="410"/>
      <c r="AE1162" s="1308"/>
    </row>
    <row r="1163" spans="1:31" ht="18" customHeight="1">
      <c r="A1163" s="5629"/>
      <c r="B1163" s="5573"/>
      <c r="C1163" s="5337"/>
      <c r="D1163" s="5337"/>
      <c r="E1163" s="5337"/>
      <c r="F1163" s="5337"/>
      <c r="G1163" s="5337"/>
      <c r="H1163" s="5337"/>
      <c r="I1163" s="5337"/>
      <c r="J1163" s="5337"/>
      <c r="K1163" s="5337"/>
      <c r="L1163" s="5337"/>
      <c r="M1163" s="5337"/>
      <c r="N1163" s="5337"/>
      <c r="O1163" s="5337"/>
      <c r="P1163" s="5337"/>
      <c r="Q1163" s="5345"/>
      <c r="R1163" s="1110"/>
      <c r="S1163" s="1111"/>
      <c r="T1163" s="1111"/>
      <c r="U1163" s="1711"/>
      <c r="V1163" s="1112"/>
      <c r="W1163" s="1719"/>
      <c r="X1163" s="1113"/>
      <c r="Y1163" s="1113"/>
      <c r="Z1163" s="1113"/>
      <c r="AA1163" s="1114"/>
      <c r="AB1163" s="1719"/>
      <c r="AC1163" s="410"/>
      <c r="AD1163" s="410"/>
      <c r="AE1163" s="1308"/>
    </row>
    <row r="1164" spans="1:31" ht="18" customHeight="1">
      <c r="A1164" s="5629"/>
      <c r="B1164" s="5573"/>
      <c r="C1164" s="5337"/>
      <c r="D1164" s="5337"/>
      <c r="E1164" s="5337"/>
      <c r="F1164" s="5337"/>
      <c r="G1164" s="5337"/>
      <c r="H1164" s="5337"/>
      <c r="I1164" s="5337"/>
      <c r="J1164" s="5337"/>
      <c r="K1164" s="5337"/>
      <c r="L1164" s="5337"/>
      <c r="M1164" s="5337"/>
      <c r="N1164" s="5337"/>
      <c r="O1164" s="5337"/>
      <c r="P1164" s="5337"/>
      <c r="Q1164" s="5345"/>
      <c r="R1164" s="1110"/>
      <c r="S1164" s="1111"/>
      <c r="T1164" s="1111"/>
      <c r="U1164" s="1711"/>
      <c r="V1164" s="1112"/>
      <c r="W1164" s="1719"/>
      <c r="X1164" s="1113"/>
      <c r="Y1164" s="1113"/>
      <c r="Z1164" s="1113"/>
      <c r="AA1164" s="1114"/>
      <c r="AB1164" s="1719"/>
      <c r="AC1164" s="410"/>
      <c r="AD1164" s="410"/>
      <c r="AE1164" s="1308"/>
    </row>
    <row r="1165" spans="1:31" ht="18" customHeight="1">
      <c r="A1165" s="5629"/>
      <c r="B1165" s="5573"/>
      <c r="C1165" s="5337"/>
      <c r="D1165" s="5337"/>
      <c r="E1165" s="5337"/>
      <c r="F1165" s="5337"/>
      <c r="G1165" s="5337"/>
      <c r="H1165" s="5337"/>
      <c r="I1165" s="5337"/>
      <c r="J1165" s="5337"/>
      <c r="K1165" s="5337"/>
      <c r="L1165" s="5337"/>
      <c r="M1165" s="5337"/>
      <c r="N1165" s="5337"/>
      <c r="O1165" s="5337"/>
      <c r="P1165" s="5337"/>
      <c r="Q1165" s="5345"/>
      <c r="R1165" s="1110"/>
      <c r="S1165" s="1111"/>
      <c r="T1165" s="1111"/>
      <c r="U1165" s="1711"/>
      <c r="V1165" s="1112"/>
      <c r="W1165" s="1719"/>
      <c r="X1165" s="1113"/>
      <c r="Y1165" s="1113"/>
      <c r="Z1165" s="1113"/>
      <c r="AA1165" s="1114"/>
      <c r="AB1165" s="1719"/>
      <c r="AC1165" s="410"/>
      <c r="AD1165" s="410"/>
      <c r="AE1165" s="1308"/>
    </row>
    <row r="1166" spans="1:31" ht="18" customHeight="1">
      <c r="A1166" s="5629"/>
      <c r="B1166" s="5574"/>
      <c r="C1166" s="5338"/>
      <c r="D1166" s="5338"/>
      <c r="E1166" s="5338"/>
      <c r="F1166" s="5338"/>
      <c r="G1166" s="5338"/>
      <c r="H1166" s="5338"/>
      <c r="I1166" s="5337"/>
      <c r="J1166" s="5337"/>
      <c r="K1166" s="5337"/>
      <c r="L1166" s="5337"/>
      <c r="M1166" s="5337"/>
      <c r="N1166" s="5337"/>
      <c r="O1166" s="5337"/>
      <c r="P1166" s="5337"/>
      <c r="Q1166" s="5345"/>
      <c r="R1166" s="1309"/>
      <c r="S1166" s="1310"/>
      <c r="T1166" s="1310"/>
      <c r="U1166" s="277"/>
      <c r="V1166" s="1311"/>
      <c r="W1166" s="416"/>
      <c r="X1166" s="1312"/>
      <c r="Y1166" s="1312"/>
      <c r="Z1166" s="1312"/>
      <c r="AA1166" s="1313"/>
      <c r="AB1166" s="416"/>
      <c r="AC1166" s="278"/>
      <c r="AD1166" s="278"/>
      <c r="AE1166" s="1314"/>
    </row>
    <row r="1167" spans="1:31" ht="18" customHeight="1">
      <c r="A1167" s="5629"/>
      <c r="B1167" s="5626" t="s">
        <v>272</v>
      </c>
      <c r="C1167" s="5624" t="s">
        <v>302</v>
      </c>
      <c r="D1167" s="5624" t="s">
        <v>303</v>
      </c>
      <c r="E1167" s="5624" t="s">
        <v>304</v>
      </c>
      <c r="F1167" s="5622" t="s">
        <v>305</v>
      </c>
      <c r="G1167" s="5624" t="s">
        <v>240</v>
      </c>
      <c r="H1167" s="5624" t="s">
        <v>257</v>
      </c>
      <c r="I1167" s="5618" t="s">
        <v>3171</v>
      </c>
      <c r="J1167" s="5618" t="s">
        <v>3172</v>
      </c>
      <c r="K1167" s="5618" t="s">
        <v>3173</v>
      </c>
      <c r="L1167" s="5619">
        <v>4</v>
      </c>
      <c r="M1167" s="5619">
        <v>4</v>
      </c>
      <c r="N1167" s="5619">
        <v>4</v>
      </c>
      <c r="O1167" s="5618" t="s">
        <v>3174</v>
      </c>
      <c r="P1167" s="5618" t="s">
        <v>3175</v>
      </c>
      <c r="Q1167" s="5620" t="s">
        <v>3310</v>
      </c>
      <c r="R1167" s="1110"/>
      <c r="S1167" s="1111"/>
      <c r="T1167" s="1111"/>
      <c r="U1167" s="1711"/>
      <c r="V1167" s="1112"/>
      <c r="W1167" s="1719"/>
      <c r="X1167" s="1113"/>
      <c r="Y1167" s="1113"/>
      <c r="Z1167" s="1113"/>
      <c r="AA1167" s="1114"/>
      <c r="AB1167" s="1719"/>
      <c r="AC1167" s="410"/>
      <c r="AD1167" s="410"/>
      <c r="AE1167" s="1308"/>
    </row>
    <row r="1168" spans="1:31" ht="18" customHeight="1">
      <c r="A1168" s="5629"/>
      <c r="B1168" s="5573"/>
      <c r="C1168" s="5337"/>
      <c r="D1168" s="5337"/>
      <c r="E1168" s="5337"/>
      <c r="F1168" s="5337"/>
      <c r="G1168" s="5337"/>
      <c r="H1168" s="5337"/>
      <c r="I1168" s="5337"/>
      <c r="J1168" s="5337"/>
      <c r="K1168" s="5337"/>
      <c r="L1168" s="5337"/>
      <c r="M1168" s="5337"/>
      <c r="N1168" s="5337"/>
      <c r="O1168" s="5337"/>
      <c r="P1168" s="5337"/>
      <c r="Q1168" s="5345"/>
      <c r="R1168" s="1110"/>
      <c r="S1168" s="1111"/>
      <c r="T1168" s="1111"/>
      <c r="U1168" s="1711"/>
      <c r="V1168" s="1112"/>
      <c r="W1168" s="1719"/>
      <c r="X1168" s="1113"/>
      <c r="Y1168" s="1113"/>
      <c r="Z1168" s="1113"/>
      <c r="AA1168" s="1114"/>
      <c r="AB1168" s="1719"/>
      <c r="AC1168" s="410"/>
      <c r="AD1168" s="410"/>
      <c r="AE1168" s="1308"/>
    </row>
    <row r="1169" spans="1:31" ht="18" customHeight="1">
      <c r="A1169" s="5629"/>
      <c r="B1169" s="5573"/>
      <c r="C1169" s="5337"/>
      <c r="D1169" s="5337"/>
      <c r="E1169" s="5337"/>
      <c r="F1169" s="5337"/>
      <c r="G1169" s="5337"/>
      <c r="H1169" s="5337"/>
      <c r="I1169" s="5337"/>
      <c r="J1169" s="5337"/>
      <c r="K1169" s="5337"/>
      <c r="L1169" s="5337"/>
      <c r="M1169" s="5337"/>
      <c r="N1169" s="5337"/>
      <c r="O1169" s="5337"/>
      <c r="P1169" s="5337"/>
      <c r="Q1169" s="5345"/>
      <c r="R1169" s="1110"/>
      <c r="S1169" s="1111"/>
      <c r="T1169" s="1111"/>
      <c r="U1169" s="1711"/>
      <c r="V1169" s="1112"/>
      <c r="W1169" s="1719"/>
      <c r="X1169" s="1113"/>
      <c r="Y1169" s="1113"/>
      <c r="Z1169" s="1113"/>
      <c r="AA1169" s="1114"/>
      <c r="AB1169" s="1719"/>
      <c r="AC1169" s="410"/>
      <c r="AD1169" s="410"/>
      <c r="AE1169" s="1308"/>
    </row>
    <row r="1170" spans="1:31" ht="18" customHeight="1">
      <c r="A1170" s="5629"/>
      <c r="B1170" s="5573"/>
      <c r="C1170" s="5337"/>
      <c r="D1170" s="5337"/>
      <c r="E1170" s="5337"/>
      <c r="F1170" s="5337"/>
      <c r="G1170" s="5337"/>
      <c r="H1170" s="5337"/>
      <c r="I1170" s="5337"/>
      <c r="J1170" s="5337"/>
      <c r="K1170" s="5337"/>
      <c r="L1170" s="5337"/>
      <c r="M1170" s="5337"/>
      <c r="N1170" s="5337"/>
      <c r="O1170" s="5337"/>
      <c r="P1170" s="5337"/>
      <c r="Q1170" s="5345"/>
      <c r="R1170" s="1110"/>
      <c r="S1170" s="1111"/>
      <c r="T1170" s="1111"/>
      <c r="U1170" s="1711"/>
      <c r="V1170" s="1112"/>
      <c r="W1170" s="1719"/>
      <c r="X1170" s="1113"/>
      <c r="Y1170" s="1113"/>
      <c r="Z1170" s="1113"/>
      <c r="AA1170" s="1114"/>
      <c r="AB1170" s="1719"/>
      <c r="AC1170" s="410"/>
      <c r="AD1170" s="410"/>
      <c r="AE1170" s="1308"/>
    </row>
    <row r="1171" spans="1:31" ht="18" customHeight="1">
      <c r="A1171" s="5629"/>
      <c r="B1171" s="5574"/>
      <c r="C1171" s="5338"/>
      <c r="D1171" s="5338"/>
      <c r="E1171" s="5338"/>
      <c r="F1171" s="5338"/>
      <c r="G1171" s="5338"/>
      <c r="H1171" s="5338"/>
      <c r="I1171" s="5338"/>
      <c r="J1171" s="5338"/>
      <c r="K1171" s="5338"/>
      <c r="L1171" s="5338"/>
      <c r="M1171" s="5338"/>
      <c r="N1171" s="5338"/>
      <c r="O1171" s="5338"/>
      <c r="P1171" s="5338"/>
      <c r="Q1171" s="5346"/>
      <c r="R1171" s="1309"/>
      <c r="S1171" s="1310"/>
      <c r="T1171" s="1310"/>
      <c r="U1171" s="277"/>
      <c r="V1171" s="1311"/>
      <c r="W1171" s="416"/>
      <c r="X1171" s="1312"/>
      <c r="Y1171" s="1312"/>
      <c r="Z1171" s="1312"/>
      <c r="AA1171" s="1313"/>
      <c r="AB1171" s="416"/>
      <c r="AC1171" s="278"/>
      <c r="AD1171" s="278"/>
      <c r="AE1171" s="1314"/>
    </row>
    <row r="1172" spans="1:31" ht="18" customHeight="1">
      <c r="A1172" s="5629"/>
      <c r="B1172" s="5626" t="s">
        <v>272</v>
      </c>
      <c r="C1172" s="5624" t="s">
        <v>302</v>
      </c>
      <c r="D1172" s="5624" t="s">
        <v>303</v>
      </c>
      <c r="E1172" s="5624" t="s">
        <v>304</v>
      </c>
      <c r="F1172" s="5622" t="s">
        <v>305</v>
      </c>
      <c r="G1172" s="5624" t="s">
        <v>240</v>
      </c>
      <c r="H1172" s="5624" t="s">
        <v>257</v>
      </c>
      <c r="I1172" s="5618" t="s">
        <v>3177</v>
      </c>
      <c r="J1172" s="5618" t="s">
        <v>3178</v>
      </c>
      <c r="K1172" s="5618" t="s">
        <v>3146</v>
      </c>
      <c r="L1172" s="5619">
        <v>1</v>
      </c>
      <c r="M1172" s="5619">
        <v>1</v>
      </c>
      <c r="N1172" s="5619">
        <v>1</v>
      </c>
      <c r="O1172" s="5618" t="s">
        <v>3179</v>
      </c>
      <c r="P1172" s="5618" t="s">
        <v>3180</v>
      </c>
      <c r="Q1172" s="5620" t="s">
        <v>3310</v>
      </c>
      <c r="R1172" s="1110"/>
      <c r="S1172" s="1111"/>
      <c r="T1172" s="1111"/>
      <c r="U1172" s="1711"/>
      <c r="V1172" s="1112"/>
      <c r="W1172" s="1719"/>
      <c r="X1172" s="1113"/>
      <c r="Y1172" s="1113"/>
      <c r="Z1172" s="1113"/>
      <c r="AA1172" s="1114"/>
      <c r="AB1172" s="1719"/>
      <c r="AC1172" s="410"/>
      <c r="AD1172" s="410"/>
      <c r="AE1172" s="1308"/>
    </row>
    <row r="1173" spans="1:31" ht="18" customHeight="1">
      <c r="A1173" s="5629"/>
      <c r="B1173" s="5573"/>
      <c r="C1173" s="5337"/>
      <c r="D1173" s="5337"/>
      <c r="E1173" s="5337"/>
      <c r="F1173" s="5337"/>
      <c r="G1173" s="5337"/>
      <c r="H1173" s="5337"/>
      <c r="I1173" s="5337"/>
      <c r="J1173" s="5337"/>
      <c r="K1173" s="5337"/>
      <c r="L1173" s="5337"/>
      <c r="M1173" s="5337"/>
      <c r="N1173" s="5337"/>
      <c r="O1173" s="5337"/>
      <c r="P1173" s="5337"/>
      <c r="Q1173" s="5345"/>
      <c r="R1173" s="1110"/>
      <c r="S1173" s="1111"/>
      <c r="T1173" s="1111"/>
      <c r="U1173" s="1711"/>
      <c r="V1173" s="1112"/>
      <c r="W1173" s="1719"/>
      <c r="X1173" s="1113"/>
      <c r="Y1173" s="1113"/>
      <c r="Z1173" s="1113"/>
      <c r="AA1173" s="1114"/>
      <c r="AB1173" s="1719"/>
      <c r="AC1173" s="410"/>
      <c r="AD1173" s="410"/>
      <c r="AE1173" s="1308"/>
    </row>
    <row r="1174" spans="1:31" ht="18" customHeight="1">
      <c r="A1174" s="5629"/>
      <c r="B1174" s="5573"/>
      <c r="C1174" s="5337"/>
      <c r="D1174" s="5337"/>
      <c r="E1174" s="5337"/>
      <c r="F1174" s="5337"/>
      <c r="G1174" s="5337"/>
      <c r="H1174" s="5337"/>
      <c r="I1174" s="5337"/>
      <c r="J1174" s="5337"/>
      <c r="K1174" s="5337"/>
      <c r="L1174" s="5337"/>
      <c r="M1174" s="5337"/>
      <c r="N1174" s="5337"/>
      <c r="O1174" s="5337"/>
      <c r="P1174" s="5337"/>
      <c r="Q1174" s="5345"/>
      <c r="R1174" s="1110"/>
      <c r="S1174" s="1111"/>
      <c r="T1174" s="1111"/>
      <c r="U1174" s="1711"/>
      <c r="V1174" s="1112"/>
      <c r="W1174" s="1719"/>
      <c r="X1174" s="1113"/>
      <c r="Y1174" s="1113"/>
      <c r="Z1174" s="1113"/>
      <c r="AA1174" s="1114"/>
      <c r="AB1174" s="1719"/>
      <c r="AC1174" s="410"/>
      <c r="AD1174" s="410"/>
      <c r="AE1174" s="1308"/>
    </row>
    <row r="1175" spans="1:31" ht="18" customHeight="1">
      <c r="A1175" s="5629"/>
      <c r="B1175" s="5573"/>
      <c r="C1175" s="5337"/>
      <c r="D1175" s="5337"/>
      <c r="E1175" s="5337"/>
      <c r="F1175" s="5337"/>
      <c r="G1175" s="5337"/>
      <c r="H1175" s="5337"/>
      <c r="I1175" s="5337"/>
      <c r="J1175" s="5337"/>
      <c r="K1175" s="5337"/>
      <c r="L1175" s="5337"/>
      <c r="M1175" s="5337"/>
      <c r="N1175" s="5337"/>
      <c r="O1175" s="5337"/>
      <c r="P1175" s="5337"/>
      <c r="Q1175" s="5345"/>
      <c r="R1175" s="1110"/>
      <c r="S1175" s="1111"/>
      <c r="T1175" s="1111"/>
      <c r="U1175" s="1711"/>
      <c r="V1175" s="1112"/>
      <c r="W1175" s="1719"/>
      <c r="X1175" s="1113"/>
      <c r="Y1175" s="1113"/>
      <c r="Z1175" s="1113"/>
      <c r="AA1175" s="1114"/>
      <c r="AB1175" s="1719"/>
      <c r="AC1175" s="410"/>
      <c r="AD1175" s="410"/>
      <c r="AE1175" s="1308"/>
    </row>
    <row r="1176" spans="1:31" ht="18" customHeight="1">
      <c r="A1176" s="5629"/>
      <c r="B1176" s="5574"/>
      <c r="C1176" s="5338"/>
      <c r="D1176" s="5338"/>
      <c r="E1176" s="5338"/>
      <c r="F1176" s="5338"/>
      <c r="G1176" s="5338"/>
      <c r="H1176" s="5338"/>
      <c r="I1176" s="5338"/>
      <c r="J1176" s="5338"/>
      <c r="K1176" s="5338"/>
      <c r="L1176" s="5338"/>
      <c r="M1176" s="5338"/>
      <c r="N1176" s="5338"/>
      <c r="O1176" s="5338"/>
      <c r="P1176" s="5338"/>
      <c r="Q1176" s="5346"/>
      <c r="R1176" s="1309"/>
      <c r="S1176" s="1310"/>
      <c r="T1176" s="1310"/>
      <c r="U1176" s="277"/>
      <c r="V1176" s="1311"/>
      <c r="W1176" s="416"/>
      <c r="X1176" s="1312"/>
      <c r="Y1176" s="1312"/>
      <c r="Z1176" s="1312"/>
      <c r="AA1176" s="1313"/>
      <c r="AB1176" s="416"/>
      <c r="AC1176" s="278"/>
      <c r="AD1176" s="278"/>
      <c r="AE1176" s="1314"/>
    </row>
    <row r="1177" spans="1:31" ht="18" customHeight="1">
      <c r="A1177" s="5629"/>
      <c r="B1177" s="5626" t="s">
        <v>272</v>
      </c>
      <c r="C1177" s="5624" t="s">
        <v>302</v>
      </c>
      <c r="D1177" s="5624" t="s">
        <v>303</v>
      </c>
      <c r="E1177" s="5624" t="s">
        <v>304</v>
      </c>
      <c r="F1177" s="5622" t="s">
        <v>305</v>
      </c>
      <c r="G1177" s="5624" t="s">
        <v>240</v>
      </c>
      <c r="H1177" s="5624" t="s">
        <v>257</v>
      </c>
      <c r="I1177" s="5618" t="s">
        <v>3181</v>
      </c>
      <c r="J1177" s="5618" t="s">
        <v>3182</v>
      </c>
      <c r="K1177" s="5618" t="s">
        <v>3173</v>
      </c>
      <c r="L1177" s="5619">
        <v>0</v>
      </c>
      <c r="M1177" s="5619">
        <v>1</v>
      </c>
      <c r="N1177" s="5619">
        <v>1</v>
      </c>
      <c r="O1177" s="5618" t="s">
        <v>3183</v>
      </c>
      <c r="P1177" s="5618" t="s">
        <v>3184</v>
      </c>
      <c r="Q1177" s="5620" t="s">
        <v>3310</v>
      </c>
      <c r="R1177" s="1110"/>
      <c r="S1177" s="1111"/>
      <c r="T1177" s="1111"/>
      <c r="U1177" s="1711"/>
      <c r="V1177" s="1112"/>
      <c r="W1177" s="1719"/>
      <c r="X1177" s="1113"/>
      <c r="Y1177" s="1113"/>
      <c r="Z1177" s="1113"/>
      <c r="AA1177" s="1114"/>
      <c r="AB1177" s="1719"/>
      <c r="AC1177" s="410"/>
      <c r="AD1177" s="410"/>
      <c r="AE1177" s="1308"/>
    </row>
    <row r="1178" spans="1:31" ht="18" customHeight="1">
      <c r="A1178" s="5629"/>
      <c r="B1178" s="5573"/>
      <c r="C1178" s="5337"/>
      <c r="D1178" s="5337"/>
      <c r="E1178" s="5337"/>
      <c r="F1178" s="5337"/>
      <c r="G1178" s="5337"/>
      <c r="H1178" s="5337"/>
      <c r="I1178" s="5337"/>
      <c r="J1178" s="5337"/>
      <c r="K1178" s="5337"/>
      <c r="L1178" s="5337"/>
      <c r="M1178" s="5337"/>
      <c r="N1178" s="5337"/>
      <c r="O1178" s="5337"/>
      <c r="P1178" s="5337"/>
      <c r="Q1178" s="5345"/>
      <c r="R1178" s="1110"/>
      <c r="S1178" s="1111"/>
      <c r="T1178" s="1111"/>
      <c r="U1178" s="1711"/>
      <c r="V1178" s="1112"/>
      <c r="W1178" s="1719"/>
      <c r="X1178" s="1113"/>
      <c r="Y1178" s="1113"/>
      <c r="Z1178" s="1113"/>
      <c r="AA1178" s="1114"/>
      <c r="AB1178" s="1719"/>
      <c r="AC1178" s="410"/>
      <c r="AD1178" s="410"/>
      <c r="AE1178" s="1308"/>
    </row>
    <row r="1179" spans="1:31" ht="18" customHeight="1">
      <c r="A1179" s="5629"/>
      <c r="B1179" s="5573"/>
      <c r="C1179" s="5337"/>
      <c r="D1179" s="5337"/>
      <c r="E1179" s="5337"/>
      <c r="F1179" s="5337"/>
      <c r="G1179" s="5337"/>
      <c r="H1179" s="5337"/>
      <c r="I1179" s="5337"/>
      <c r="J1179" s="5337"/>
      <c r="K1179" s="5337"/>
      <c r="L1179" s="5337"/>
      <c r="M1179" s="5337"/>
      <c r="N1179" s="5337"/>
      <c r="O1179" s="5337"/>
      <c r="P1179" s="5337"/>
      <c r="Q1179" s="5345"/>
      <c r="R1179" s="1110"/>
      <c r="S1179" s="1111"/>
      <c r="T1179" s="1111"/>
      <c r="U1179" s="1711"/>
      <c r="V1179" s="1112"/>
      <c r="W1179" s="1719"/>
      <c r="X1179" s="1113"/>
      <c r="Y1179" s="1113"/>
      <c r="Z1179" s="1113"/>
      <c r="AA1179" s="1114"/>
      <c r="AB1179" s="1719"/>
      <c r="AC1179" s="410"/>
      <c r="AD1179" s="410"/>
      <c r="AE1179" s="1308"/>
    </row>
    <row r="1180" spans="1:31" ht="18" customHeight="1">
      <c r="A1180" s="5629"/>
      <c r="B1180" s="5573"/>
      <c r="C1180" s="5337"/>
      <c r="D1180" s="5337"/>
      <c r="E1180" s="5337"/>
      <c r="F1180" s="5337"/>
      <c r="G1180" s="5337"/>
      <c r="H1180" s="5337"/>
      <c r="I1180" s="5337"/>
      <c r="J1180" s="5337"/>
      <c r="K1180" s="5337"/>
      <c r="L1180" s="5337"/>
      <c r="M1180" s="5337"/>
      <c r="N1180" s="5337"/>
      <c r="O1180" s="5337"/>
      <c r="P1180" s="5337"/>
      <c r="Q1180" s="5345"/>
      <c r="R1180" s="1110"/>
      <c r="S1180" s="1111"/>
      <c r="T1180" s="1111"/>
      <c r="U1180" s="1711"/>
      <c r="V1180" s="1112"/>
      <c r="W1180" s="1719"/>
      <c r="X1180" s="1113"/>
      <c r="Y1180" s="1113"/>
      <c r="Z1180" s="1113"/>
      <c r="AA1180" s="1114"/>
      <c r="AB1180" s="1719"/>
      <c r="AC1180" s="410"/>
      <c r="AD1180" s="410"/>
      <c r="AE1180" s="1308"/>
    </row>
    <row r="1181" spans="1:31" ht="18" customHeight="1">
      <c r="A1181" s="5629"/>
      <c r="B1181" s="5574"/>
      <c r="C1181" s="5338"/>
      <c r="D1181" s="5338"/>
      <c r="E1181" s="5338"/>
      <c r="F1181" s="5338"/>
      <c r="G1181" s="5338"/>
      <c r="H1181" s="5338"/>
      <c r="I1181" s="5338"/>
      <c r="J1181" s="5338"/>
      <c r="K1181" s="5338"/>
      <c r="L1181" s="5338"/>
      <c r="M1181" s="5338"/>
      <c r="N1181" s="5338"/>
      <c r="O1181" s="5338"/>
      <c r="P1181" s="5338"/>
      <c r="Q1181" s="5346"/>
      <c r="R1181" s="1309"/>
      <c r="S1181" s="1310"/>
      <c r="T1181" s="1310"/>
      <c r="U1181" s="277"/>
      <c r="V1181" s="1311"/>
      <c r="W1181" s="416"/>
      <c r="X1181" s="1312"/>
      <c r="Y1181" s="1312"/>
      <c r="Z1181" s="1312"/>
      <c r="AA1181" s="1313"/>
      <c r="AB1181" s="416"/>
      <c r="AC1181" s="278"/>
      <c r="AD1181" s="278"/>
      <c r="AE1181" s="1314"/>
    </row>
    <row r="1182" spans="1:31" ht="18" customHeight="1">
      <c r="A1182" s="5629"/>
      <c r="B1182" s="5627" t="s">
        <v>235</v>
      </c>
      <c r="C1182" s="5347" t="s">
        <v>236</v>
      </c>
      <c r="D1182" s="5347" t="s">
        <v>237</v>
      </c>
      <c r="E1182" s="5347" t="s">
        <v>255</v>
      </c>
      <c r="F1182" s="5353" t="s">
        <v>239</v>
      </c>
      <c r="G1182" s="5336" t="s">
        <v>240</v>
      </c>
      <c r="H1182" s="5336" t="s">
        <v>257</v>
      </c>
      <c r="I1182" s="5618" t="s">
        <v>3185</v>
      </c>
      <c r="J1182" s="5618" t="s">
        <v>3186</v>
      </c>
      <c r="K1182" s="5618" t="s">
        <v>3187</v>
      </c>
      <c r="L1182" s="5619">
        <v>1</v>
      </c>
      <c r="M1182" s="5619">
        <v>1</v>
      </c>
      <c r="N1182" s="5619">
        <v>1</v>
      </c>
      <c r="O1182" s="5618" t="s">
        <v>3188</v>
      </c>
      <c r="P1182" s="5618" t="s">
        <v>3189</v>
      </c>
      <c r="Q1182" s="5620" t="s">
        <v>3308</v>
      </c>
      <c r="R1182" s="1110"/>
      <c r="S1182" s="1111"/>
      <c r="T1182" s="1111"/>
      <c r="U1182" s="1711"/>
      <c r="V1182" s="1112"/>
      <c r="W1182" s="1719"/>
      <c r="X1182" s="1113"/>
      <c r="Y1182" s="1113"/>
      <c r="Z1182" s="1113"/>
      <c r="AA1182" s="1114"/>
      <c r="AB1182" s="1719"/>
      <c r="AC1182" s="410"/>
      <c r="AD1182" s="410"/>
      <c r="AE1182" s="1308"/>
    </row>
    <row r="1183" spans="1:31" ht="18" customHeight="1">
      <c r="A1183" s="5629"/>
      <c r="B1183" s="5573"/>
      <c r="C1183" s="5337"/>
      <c r="D1183" s="5337"/>
      <c r="E1183" s="5337"/>
      <c r="F1183" s="5337"/>
      <c r="G1183" s="5337"/>
      <c r="H1183" s="5337"/>
      <c r="I1183" s="5337"/>
      <c r="J1183" s="5337"/>
      <c r="K1183" s="5337"/>
      <c r="L1183" s="5337"/>
      <c r="M1183" s="5337"/>
      <c r="N1183" s="5337"/>
      <c r="O1183" s="5337"/>
      <c r="P1183" s="5337"/>
      <c r="Q1183" s="5345"/>
      <c r="R1183" s="1110"/>
      <c r="S1183" s="1111"/>
      <c r="T1183" s="1111"/>
      <c r="U1183" s="1711"/>
      <c r="V1183" s="1112"/>
      <c r="W1183" s="1719"/>
      <c r="X1183" s="1113"/>
      <c r="Y1183" s="1113"/>
      <c r="Z1183" s="1113"/>
      <c r="AA1183" s="1114"/>
      <c r="AB1183" s="1719"/>
      <c r="AC1183" s="410"/>
      <c r="AD1183" s="410"/>
      <c r="AE1183" s="1308"/>
    </row>
    <row r="1184" spans="1:31" ht="18" customHeight="1">
      <c r="A1184" s="5629"/>
      <c r="B1184" s="5573"/>
      <c r="C1184" s="5337"/>
      <c r="D1184" s="5337"/>
      <c r="E1184" s="5337"/>
      <c r="F1184" s="5337"/>
      <c r="G1184" s="5337"/>
      <c r="H1184" s="5337"/>
      <c r="I1184" s="5337"/>
      <c r="J1184" s="5337"/>
      <c r="K1184" s="5337"/>
      <c r="L1184" s="5337"/>
      <c r="M1184" s="5337"/>
      <c r="N1184" s="5337"/>
      <c r="O1184" s="5337"/>
      <c r="P1184" s="5337"/>
      <c r="Q1184" s="5345"/>
      <c r="R1184" s="1110"/>
      <c r="S1184" s="1111"/>
      <c r="T1184" s="1111"/>
      <c r="U1184" s="1711"/>
      <c r="V1184" s="1112"/>
      <c r="W1184" s="1719"/>
      <c r="X1184" s="1113"/>
      <c r="Y1184" s="1113"/>
      <c r="Z1184" s="1113"/>
      <c r="AA1184" s="1114"/>
      <c r="AB1184" s="1719"/>
      <c r="AC1184" s="410"/>
      <c r="AD1184" s="410"/>
      <c r="AE1184" s="1308"/>
    </row>
    <row r="1185" spans="1:31" ht="18" customHeight="1">
      <c r="A1185" s="5629"/>
      <c r="B1185" s="5573"/>
      <c r="C1185" s="5337"/>
      <c r="D1185" s="5337"/>
      <c r="E1185" s="5337"/>
      <c r="F1185" s="5337"/>
      <c r="G1185" s="5337"/>
      <c r="H1185" s="5337"/>
      <c r="I1185" s="5337"/>
      <c r="J1185" s="5337"/>
      <c r="K1185" s="5337"/>
      <c r="L1185" s="5337"/>
      <c r="M1185" s="5337"/>
      <c r="N1185" s="5337"/>
      <c r="O1185" s="5337"/>
      <c r="P1185" s="5337"/>
      <c r="Q1185" s="5345"/>
      <c r="R1185" s="1110"/>
      <c r="S1185" s="1111"/>
      <c r="T1185" s="1111"/>
      <c r="U1185" s="1711"/>
      <c r="V1185" s="1112"/>
      <c r="W1185" s="1719"/>
      <c r="X1185" s="1113"/>
      <c r="Y1185" s="1113"/>
      <c r="Z1185" s="1113"/>
      <c r="AA1185" s="1114"/>
      <c r="AB1185" s="1719"/>
      <c r="AC1185" s="410"/>
      <c r="AD1185" s="410"/>
      <c r="AE1185" s="1308"/>
    </row>
    <row r="1186" spans="1:31" ht="18" customHeight="1">
      <c r="A1186" s="5629"/>
      <c r="B1186" s="5574"/>
      <c r="C1186" s="5338"/>
      <c r="D1186" s="5338"/>
      <c r="E1186" s="5338"/>
      <c r="F1186" s="5338"/>
      <c r="G1186" s="5338"/>
      <c r="H1186" s="5338"/>
      <c r="I1186" s="5338"/>
      <c r="J1186" s="5338"/>
      <c r="K1186" s="5338"/>
      <c r="L1186" s="5338"/>
      <c r="M1186" s="5338"/>
      <c r="N1186" s="5338"/>
      <c r="O1186" s="5338"/>
      <c r="P1186" s="5338"/>
      <c r="Q1186" s="5346"/>
      <c r="R1186" s="1309"/>
      <c r="S1186" s="1310"/>
      <c r="T1186" s="1310"/>
      <c r="U1186" s="277"/>
      <c r="V1186" s="1311"/>
      <c r="W1186" s="416"/>
      <c r="X1186" s="1312"/>
      <c r="Y1186" s="1312"/>
      <c r="Z1186" s="1312"/>
      <c r="AA1186" s="1313"/>
      <c r="AB1186" s="416"/>
      <c r="AC1186" s="278"/>
      <c r="AD1186" s="278"/>
      <c r="AE1186" s="1314"/>
    </row>
    <row r="1187" spans="1:31" ht="18" customHeight="1">
      <c r="A1187" s="5629"/>
      <c r="B1187" s="5626" t="s">
        <v>272</v>
      </c>
      <c r="C1187" s="5624" t="s">
        <v>302</v>
      </c>
      <c r="D1187" s="5624" t="s">
        <v>303</v>
      </c>
      <c r="E1187" s="5624" t="s">
        <v>304</v>
      </c>
      <c r="F1187" s="5622" t="s">
        <v>305</v>
      </c>
      <c r="G1187" s="5624" t="s">
        <v>240</v>
      </c>
      <c r="H1187" s="5624" t="s">
        <v>257</v>
      </c>
      <c r="I1187" s="5618" t="s">
        <v>3190</v>
      </c>
      <c r="J1187" s="5618" t="s">
        <v>3191</v>
      </c>
      <c r="K1187" s="5618" t="s">
        <v>2995</v>
      </c>
      <c r="L1187" s="5619">
        <v>0</v>
      </c>
      <c r="M1187" s="5619">
        <v>1</v>
      </c>
      <c r="N1187" s="5619">
        <v>0</v>
      </c>
      <c r="O1187" s="5618" t="s">
        <v>2996</v>
      </c>
      <c r="P1187" s="5618" t="s">
        <v>2997</v>
      </c>
      <c r="Q1187" s="5620" t="s">
        <v>3310</v>
      </c>
      <c r="R1187" s="1110"/>
      <c r="S1187" s="1111"/>
      <c r="T1187" s="1111"/>
      <c r="U1187" s="1711"/>
      <c r="V1187" s="1112"/>
      <c r="W1187" s="1719"/>
      <c r="X1187" s="1113"/>
      <c r="Y1187" s="1113"/>
      <c r="Z1187" s="1113"/>
      <c r="AA1187" s="1114"/>
      <c r="AB1187" s="1719"/>
      <c r="AC1187" s="410"/>
      <c r="AD1187" s="410"/>
      <c r="AE1187" s="1308"/>
    </row>
    <row r="1188" spans="1:31" ht="18" customHeight="1">
      <c r="A1188" s="5629"/>
      <c r="B1188" s="5573"/>
      <c r="C1188" s="5337"/>
      <c r="D1188" s="5337"/>
      <c r="E1188" s="5337"/>
      <c r="F1188" s="5337"/>
      <c r="G1188" s="5337"/>
      <c r="H1188" s="5337"/>
      <c r="I1188" s="5337"/>
      <c r="J1188" s="5337"/>
      <c r="K1188" s="5337"/>
      <c r="L1188" s="5337"/>
      <c r="M1188" s="5337"/>
      <c r="N1188" s="5337"/>
      <c r="O1188" s="5337"/>
      <c r="P1188" s="5337"/>
      <c r="Q1188" s="5345"/>
      <c r="R1188" s="1110"/>
      <c r="S1188" s="1111"/>
      <c r="T1188" s="1111"/>
      <c r="U1188" s="1711"/>
      <c r="V1188" s="1112"/>
      <c r="W1188" s="1719"/>
      <c r="X1188" s="1113"/>
      <c r="Y1188" s="1113"/>
      <c r="Z1188" s="1113"/>
      <c r="AA1188" s="1114"/>
      <c r="AB1188" s="1719"/>
      <c r="AC1188" s="410"/>
      <c r="AD1188" s="410"/>
      <c r="AE1188" s="1308"/>
    </row>
    <row r="1189" spans="1:31" ht="18" customHeight="1">
      <c r="A1189" s="5629"/>
      <c r="B1189" s="5573"/>
      <c r="C1189" s="5337"/>
      <c r="D1189" s="5337"/>
      <c r="E1189" s="5337"/>
      <c r="F1189" s="5337"/>
      <c r="G1189" s="5337"/>
      <c r="H1189" s="5337"/>
      <c r="I1189" s="5337"/>
      <c r="J1189" s="5337"/>
      <c r="K1189" s="5337"/>
      <c r="L1189" s="5337"/>
      <c r="M1189" s="5337"/>
      <c r="N1189" s="5337"/>
      <c r="O1189" s="5337"/>
      <c r="P1189" s="5337"/>
      <c r="Q1189" s="5345"/>
      <c r="R1189" s="1110"/>
      <c r="S1189" s="1111"/>
      <c r="T1189" s="1111"/>
      <c r="U1189" s="1711"/>
      <c r="V1189" s="1112"/>
      <c r="W1189" s="1719"/>
      <c r="X1189" s="1113"/>
      <c r="Y1189" s="1113"/>
      <c r="Z1189" s="1113"/>
      <c r="AA1189" s="1114"/>
      <c r="AB1189" s="1719"/>
      <c r="AC1189" s="410"/>
      <c r="AD1189" s="410"/>
      <c r="AE1189" s="1308"/>
    </row>
    <row r="1190" spans="1:31" ht="18" customHeight="1">
      <c r="A1190" s="5629"/>
      <c r="B1190" s="5573"/>
      <c r="C1190" s="5337"/>
      <c r="D1190" s="5337"/>
      <c r="E1190" s="5337"/>
      <c r="F1190" s="5337"/>
      <c r="G1190" s="5337"/>
      <c r="H1190" s="5337"/>
      <c r="I1190" s="5337"/>
      <c r="J1190" s="5337"/>
      <c r="K1190" s="5337"/>
      <c r="L1190" s="5337"/>
      <c r="M1190" s="5337"/>
      <c r="N1190" s="5337"/>
      <c r="O1190" s="5337"/>
      <c r="P1190" s="5337"/>
      <c r="Q1190" s="5345"/>
      <c r="R1190" s="1110"/>
      <c r="S1190" s="1111"/>
      <c r="T1190" s="1111"/>
      <c r="U1190" s="1711"/>
      <c r="V1190" s="1112"/>
      <c r="W1190" s="1719"/>
      <c r="X1190" s="1113"/>
      <c r="Y1190" s="1113"/>
      <c r="Z1190" s="1113"/>
      <c r="AA1190" s="1114"/>
      <c r="AB1190" s="1719"/>
      <c r="AC1190" s="410"/>
      <c r="AD1190" s="410"/>
      <c r="AE1190" s="1308"/>
    </row>
    <row r="1191" spans="1:31" ht="18" customHeight="1">
      <c r="A1191" s="5629"/>
      <c r="B1191" s="5574"/>
      <c r="C1191" s="5338"/>
      <c r="D1191" s="5338"/>
      <c r="E1191" s="5338"/>
      <c r="F1191" s="5338"/>
      <c r="G1191" s="5338"/>
      <c r="H1191" s="5338"/>
      <c r="I1191" s="5338"/>
      <c r="J1191" s="5338"/>
      <c r="K1191" s="5338"/>
      <c r="L1191" s="5338"/>
      <c r="M1191" s="5338"/>
      <c r="N1191" s="5338"/>
      <c r="O1191" s="5338"/>
      <c r="P1191" s="5338"/>
      <c r="Q1191" s="5346"/>
      <c r="R1191" s="1309"/>
      <c r="S1191" s="1310"/>
      <c r="T1191" s="1310"/>
      <c r="U1191" s="277"/>
      <c r="V1191" s="1311"/>
      <c r="W1191" s="416"/>
      <c r="X1191" s="1312"/>
      <c r="Y1191" s="1312"/>
      <c r="Z1191" s="1312"/>
      <c r="AA1191" s="1313"/>
      <c r="AB1191" s="416"/>
      <c r="AC1191" s="278"/>
      <c r="AD1191" s="278"/>
      <c r="AE1191" s="1314"/>
    </row>
    <row r="1192" spans="1:31" ht="18" customHeight="1">
      <c r="A1192" s="5629"/>
      <c r="B1192" s="5626" t="s">
        <v>272</v>
      </c>
      <c r="C1192" s="5624" t="s">
        <v>302</v>
      </c>
      <c r="D1192" s="5624" t="s">
        <v>303</v>
      </c>
      <c r="E1192" s="5624" t="s">
        <v>304</v>
      </c>
      <c r="F1192" s="5622" t="s">
        <v>305</v>
      </c>
      <c r="G1192" s="5336" t="s">
        <v>262</v>
      </c>
      <c r="H1192" s="5336" t="s">
        <v>241</v>
      </c>
      <c r="I1192" s="5336" t="s">
        <v>3192</v>
      </c>
      <c r="J1192" s="5623" t="s">
        <v>3193</v>
      </c>
      <c r="K1192" s="5336" t="s">
        <v>3146</v>
      </c>
      <c r="L1192" s="5343">
        <v>1</v>
      </c>
      <c r="M1192" s="5399">
        <v>1</v>
      </c>
      <c r="N1192" s="5343">
        <v>1</v>
      </c>
      <c r="O1192" s="5336" t="s">
        <v>3194</v>
      </c>
      <c r="P1192" s="5336" t="s">
        <v>3195</v>
      </c>
      <c r="Q1192" s="5370" t="s">
        <v>3311</v>
      </c>
      <c r="R1192" s="970"/>
      <c r="S1192" s="967"/>
      <c r="T1192" s="967"/>
      <c r="U1192" s="176"/>
      <c r="V1192" s="968"/>
      <c r="W1192" s="414"/>
      <c r="X1192" s="973"/>
      <c r="Y1192" s="973"/>
      <c r="Z1192" s="973"/>
      <c r="AA1192" s="981"/>
      <c r="AB1192" s="414"/>
      <c r="AC1192" s="174"/>
      <c r="AD1192" s="174"/>
      <c r="AE1192" s="5415"/>
    </row>
    <row r="1193" spans="1:31" ht="18" customHeight="1">
      <c r="A1193" s="5629"/>
      <c r="B1193" s="5573"/>
      <c r="C1193" s="5337"/>
      <c r="D1193" s="5337"/>
      <c r="E1193" s="5337"/>
      <c r="F1193" s="5337"/>
      <c r="G1193" s="5337"/>
      <c r="H1193" s="5337"/>
      <c r="I1193" s="5337"/>
      <c r="J1193" s="5337"/>
      <c r="K1193" s="5337"/>
      <c r="L1193" s="5337"/>
      <c r="M1193" s="5337"/>
      <c r="N1193" s="5337"/>
      <c r="O1193" s="5337"/>
      <c r="P1193" s="5337"/>
      <c r="Q1193" s="5345"/>
      <c r="R1193" s="982"/>
      <c r="S1193" s="983"/>
      <c r="T1193" s="983"/>
      <c r="U1193" s="169"/>
      <c r="V1193" s="984"/>
      <c r="W1193" s="170"/>
      <c r="X1193" s="974"/>
      <c r="Y1193" s="974">
        <f t="shared" ref="Y1193:Y1196" si="166">+V1193*X1193</f>
        <v>0</v>
      </c>
      <c r="Z1193" s="974">
        <f t="shared" ref="Z1193:Z1196" si="167">+Y1193*1.12</f>
        <v>0</v>
      </c>
      <c r="AA1193" s="969"/>
      <c r="AB1193" s="170"/>
      <c r="AC1193" s="282"/>
      <c r="AD1193" s="282"/>
      <c r="AE1193" s="5416"/>
    </row>
    <row r="1194" spans="1:31" ht="18" customHeight="1">
      <c r="A1194" s="5629"/>
      <c r="B1194" s="5573"/>
      <c r="C1194" s="5337"/>
      <c r="D1194" s="5337"/>
      <c r="E1194" s="5337"/>
      <c r="F1194" s="5337"/>
      <c r="G1194" s="5337"/>
      <c r="H1194" s="5337"/>
      <c r="I1194" s="5337"/>
      <c r="J1194" s="5337"/>
      <c r="K1194" s="5337"/>
      <c r="L1194" s="5337"/>
      <c r="M1194" s="5337"/>
      <c r="N1194" s="5337"/>
      <c r="O1194" s="5337"/>
      <c r="P1194" s="5337"/>
      <c r="Q1194" s="5345"/>
      <c r="R1194" s="971"/>
      <c r="S1194" s="972"/>
      <c r="T1194" s="972"/>
      <c r="U1194" s="1217"/>
      <c r="V1194" s="968"/>
      <c r="W1194" s="414"/>
      <c r="X1194" s="973"/>
      <c r="Y1194" s="974">
        <f t="shared" si="166"/>
        <v>0</v>
      </c>
      <c r="Z1194" s="974">
        <f t="shared" si="167"/>
        <v>0</v>
      </c>
      <c r="AA1194" s="969"/>
      <c r="AB1194" s="170"/>
      <c r="AC1194" s="282"/>
      <c r="AD1194" s="282"/>
      <c r="AE1194" s="5416"/>
    </row>
    <row r="1195" spans="1:31" ht="18" customHeight="1">
      <c r="A1195" s="5629"/>
      <c r="B1195" s="5573"/>
      <c r="C1195" s="5337"/>
      <c r="D1195" s="5337"/>
      <c r="E1195" s="5337"/>
      <c r="F1195" s="5337"/>
      <c r="G1195" s="5337"/>
      <c r="H1195" s="5337"/>
      <c r="I1195" s="5337"/>
      <c r="J1195" s="5337"/>
      <c r="K1195" s="5337"/>
      <c r="L1195" s="5337"/>
      <c r="M1195" s="5337"/>
      <c r="N1195" s="5337"/>
      <c r="O1195" s="5337"/>
      <c r="P1195" s="5337"/>
      <c r="Q1195" s="5345"/>
      <c r="R1195" s="970"/>
      <c r="S1195" s="967"/>
      <c r="T1195" s="967"/>
      <c r="U1195" s="1217"/>
      <c r="V1195" s="968"/>
      <c r="W1195" s="414"/>
      <c r="X1195" s="973"/>
      <c r="Y1195" s="974">
        <f t="shared" si="166"/>
        <v>0</v>
      </c>
      <c r="Z1195" s="974">
        <f t="shared" si="167"/>
        <v>0</v>
      </c>
      <c r="AA1195" s="969"/>
      <c r="AB1195" s="170"/>
      <c r="AC1195" s="282"/>
      <c r="AD1195" s="282"/>
      <c r="AE1195" s="5416"/>
    </row>
    <row r="1196" spans="1:31" ht="18" customHeight="1">
      <c r="A1196" s="5629"/>
      <c r="B1196" s="5574"/>
      <c r="C1196" s="5338"/>
      <c r="D1196" s="5338"/>
      <c r="E1196" s="5338"/>
      <c r="F1196" s="5338"/>
      <c r="G1196" s="5338"/>
      <c r="H1196" s="5338"/>
      <c r="I1196" s="5338"/>
      <c r="J1196" s="5338"/>
      <c r="K1196" s="5338"/>
      <c r="L1196" s="5338"/>
      <c r="M1196" s="5338"/>
      <c r="N1196" s="5338"/>
      <c r="O1196" s="5338"/>
      <c r="P1196" s="5338"/>
      <c r="Q1196" s="5346"/>
      <c r="R1196" s="975"/>
      <c r="S1196" s="976"/>
      <c r="T1196" s="976"/>
      <c r="U1196" s="411"/>
      <c r="V1196" s="977"/>
      <c r="W1196" s="165"/>
      <c r="X1196" s="978"/>
      <c r="Y1196" s="978">
        <f t="shared" si="166"/>
        <v>0</v>
      </c>
      <c r="Z1196" s="978">
        <f t="shared" si="167"/>
        <v>0</v>
      </c>
      <c r="AA1196" s="979"/>
      <c r="AB1196" s="165"/>
      <c r="AC1196" s="166"/>
      <c r="AD1196" s="166"/>
      <c r="AE1196" s="5417"/>
    </row>
    <row r="1197" spans="1:31" ht="18" customHeight="1">
      <c r="A1197" s="5629"/>
      <c r="B1197" s="5572" t="s">
        <v>235</v>
      </c>
      <c r="C1197" s="5336" t="s">
        <v>236</v>
      </c>
      <c r="D1197" s="5336" t="s">
        <v>237</v>
      </c>
      <c r="E1197" s="5336" t="s">
        <v>255</v>
      </c>
      <c r="F1197" s="5341" t="s">
        <v>239</v>
      </c>
      <c r="G1197" s="5336" t="s">
        <v>240</v>
      </c>
      <c r="H1197" s="5336" t="s">
        <v>257</v>
      </c>
      <c r="I1197" s="5336" t="s">
        <v>3197</v>
      </c>
      <c r="J1197" s="5623" t="s">
        <v>3198</v>
      </c>
      <c r="K1197" s="5336" t="s">
        <v>3012</v>
      </c>
      <c r="L1197" s="5399">
        <v>3</v>
      </c>
      <c r="M1197" s="5399">
        <v>4</v>
      </c>
      <c r="N1197" s="5399">
        <v>3</v>
      </c>
      <c r="O1197" s="5336" t="s">
        <v>3199</v>
      </c>
      <c r="P1197" s="5336" t="s">
        <v>3200</v>
      </c>
      <c r="Q1197" s="5370" t="s">
        <v>3308</v>
      </c>
      <c r="R1197" s="970"/>
      <c r="S1197" s="967"/>
      <c r="T1197" s="967"/>
      <c r="U1197" s="176"/>
      <c r="V1197" s="968"/>
      <c r="W1197" s="414"/>
      <c r="X1197" s="973"/>
      <c r="Y1197" s="973"/>
      <c r="Z1197" s="973"/>
      <c r="AA1197" s="981"/>
      <c r="AB1197" s="414"/>
      <c r="AC1197" s="174"/>
      <c r="AD1197" s="174"/>
      <c r="AE1197" s="5415"/>
    </row>
    <row r="1198" spans="1:31" ht="18" customHeight="1">
      <c r="A1198" s="5629"/>
      <c r="B1198" s="5573"/>
      <c r="C1198" s="5337"/>
      <c r="D1198" s="5337"/>
      <c r="E1198" s="5337"/>
      <c r="F1198" s="5337"/>
      <c r="G1198" s="5337"/>
      <c r="H1198" s="5337"/>
      <c r="I1198" s="5337"/>
      <c r="J1198" s="5337"/>
      <c r="K1198" s="5337"/>
      <c r="L1198" s="5337"/>
      <c r="M1198" s="5337"/>
      <c r="N1198" s="5337"/>
      <c r="O1198" s="5337"/>
      <c r="P1198" s="5337"/>
      <c r="Q1198" s="5345"/>
      <c r="R1198" s="982"/>
      <c r="S1198" s="983"/>
      <c r="T1198" s="983"/>
      <c r="U1198" s="169"/>
      <c r="V1198" s="984"/>
      <c r="W1198" s="170"/>
      <c r="X1198" s="974"/>
      <c r="Y1198" s="974">
        <f t="shared" ref="Y1198:Y1201" si="168">+V1198*X1198</f>
        <v>0</v>
      </c>
      <c r="Z1198" s="974">
        <f t="shared" ref="Z1198:Z1201" si="169">+Y1198*1.12</f>
        <v>0</v>
      </c>
      <c r="AA1198" s="969"/>
      <c r="AB1198" s="170"/>
      <c r="AC1198" s="282"/>
      <c r="AD1198" s="282"/>
      <c r="AE1198" s="5416"/>
    </row>
    <row r="1199" spans="1:31" ht="18" customHeight="1">
      <c r="A1199" s="5629"/>
      <c r="B1199" s="5573"/>
      <c r="C1199" s="5337"/>
      <c r="D1199" s="5337"/>
      <c r="E1199" s="5337"/>
      <c r="F1199" s="5337"/>
      <c r="G1199" s="5337"/>
      <c r="H1199" s="5337"/>
      <c r="I1199" s="5337"/>
      <c r="J1199" s="5337"/>
      <c r="K1199" s="5337"/>
      <c r="L1199" s="5337"/>
      <c r="M1199" s="5337"/>
      <c r="N1199" s="5337"/>
      <c r="O1199" s="5337"/>
      <c r="P1199" s="5337"/>
      <c r="Q1199" s="5345"/>
      <c r="R1199" s="971"/>
      <c r="S1199" s="972"/>
      <c r="T1199" s="972"/>
      <c r="U1199" s="1217"/>
      <c r="V1199" s="968"/>
      <c r="W1199" s="414"/>
      <c r="X1199" s="973"/>
      <c r="Y1199" s="974">
        <f t="shared" si="168"/>
        <v>0</v>
      </c>
      <c r="Z1199" s="974">
        <f t="shared" si="169"/>
        <v>0</v>
      </c>
      <c r="AA1199" s="969"/>
      <c r="AB1199" s="170"/>
      <c r="AC1199" s="282"/>
      <c r="AD1199" s="282"/>
      <c r="AE1199" s="5416"/>
    </row>
    <row r="1200" spans="1:31" ht="18" customHeight="1">
      <c r="A1200" s="5629"/>
      <c r="B1200" s="5573"/>
      <c r="C1200" s="5337"/>
      <c r="D1200" s="5337"/>
      <c r="E1200" s="5337"/>
      <c r="F1200" s="5337"/>
      <c r="G1200" s="5337"/>
      <c r="H1200" s="5337"/>
      <c r="I1200" s="5337"/>
      <c r="J1200" s="5337"/>
      <c r="K1200" s="5337"/>
      <c r="L1200" s="5337"/>
      <c r="M1200" s="5337"/>
      <c r="N1200" s="5337"/>
      <c r="O1200" s="5337"/>
      <c r="P1200" s="5337"/>
      <c r="Q1200" s="5345"/>
      <c r="R1200" s="970"/>
      <c r="S1200" s="967"/>
      <c r="T1200" s="967"/>
      <c r="U1200" s="1217"/>
      <c r="V1200" s="968"/>
      <c r="W1200" s="414"/>
      <c r="X1200" s="973"/>
      <c r="Y1200" s="974">
        <f t="shared" si="168"/>
        <v>0</v>
      </c>
      <c r="Z1200" s="974">
        <f t="shared" si="169"/>
        <v>0</v>
      </c>
      <c r="AA1200" s="969"/>
      <c r="AB1200" s="170"/>
      <c r="AC1200" s="282"/>
      <c r="AD1200" s="282"/>
      <c r="AE1200" s="5416"/>
    </row>
    <row r="1201" spans="1:31" ht="18" customHeight="1">
      <c r="A1201" s="5555"/>
      <c r="B1201" s="5574"/>
      <c r="C1201" s="5338"/>
      <c r="D1201" s="5338"/>
      <c r="E1201" s="5338"/>
      <c r="F1201" s="5338"/>
      <c r="G1201" s="5338"/>
      <c r="H1201" s="5338"/>
      <c r="I1201" s="5338"/>
      <c r="J1201" s="5338"/>
      <c r="K1201" s="5338"/>
      <c r="L1201" s="5338"/>
      <c r="M1201" s="5338"/>
      <c r="N1201" s="5338"/>
      <c r="O1201" s="5338"/>
      <c r="P1201" s="5338"/>
      <c r="Q1201" s="5346"/>
      <c r="R1201" s="975"/>
      <c r="S1201" s="976"/>
      <c r="T1201" s="976"/>
      <c r="U1201" s="411"/>
      <c r="V1201" s="977"/>
      <c r="W1201" s="165"/>
      <c r="X1201" s="978"/>
      <c r="Y1201" s="978">
        <f t="shared" si="168"/>
        <v>0</v>
      </c>
      <c r="Z1201" s="978">
        <f t="shared" si="169"/>
        <v>0</v>
      </c>
      <c r="AA1201" s="979"/>
      <c r="AB1201" s="165"/>
      <c r="AC1201" s="166"/>
      <c r="AD1201" s="166"/>
      <c r="AE1201" s="5417"/>
    </row>
    <row r="1202" spans="1:31" ht="22.5" customHeight="1">
      <c r="A1202" s="2158"/>
      <c r="B1202" s="785"/>
      <c r="C1202" s="785"/>
      <c r="D1202" s="785"/>
      <c r="E1202" s="785"/>
      <c r="F1202" s="785"/>
      <c r="G1202" s="785"/>
      <c r="H1202" s="785"/>
      <c r="I1202" s="785"/>
      <c r="J1202" s="785"/>
      <c r="K1202" s="785"/>
      <c r="L1202" s="785"/>
      <c r="M1202" s="785"/>
      <c r="N1202" s="785"/>
      <c r="O1202" s="785"/>
      <c r="P1202" s="785"/>
      <c r="Q1202" s="786"/>
      <c r="R1202" s="5636" t="s">
        <v>3312</v>
      </c>
      <c r="S1202" s="5474"/>
      <c r="T1202" s="5474"/>
      <c r="U1202" s="5474"/>
      <c r="V1202" s="5474"/>
      <c r="W1202" s="5474"/>
      <c r="X1202" s="5474"/>
      <c r="Y1202" s="5475"/>
      <c r="Z1202" s="997" t="s">
        <v>340</v>
      </c>
      <c r="AA1202" s="998">
        <v>0</v>
      </c>
      <c r="AB1202" s="5521"/>
      <c r="AC1202" s="5474"/>
      <c r="AD1202" s="5474"/>
      <c r="AE1202" s="5477"/>
    </row>
    <row r="1203" spans="1:31" ht="18" customHeight="1">
      <c r="A1203" s="5628" t="s">
        <v>3313</v>
      </c>
      <c r="B1203" s="5576" t="s">
        <v>272</v>
      </c>
      <c r="C1203" s="5355" t="s">
        <v>302</v>
      </c>
      <c r="D1203" s="5355" t="s">
        <v>303</v>
      </c>
      <c r="E1203" s="5355" t="s">
        <v>304</v>
      </c>
      <c r="F1203" s="5364" t="s">
        <v>305</v>
      </c>
      <c r="G1203" s="5355" t="s">
        <v>240</v>
      </c>
      <c r="H1203" s="5355" t="s">
        <v>257</v>
      </c>
      <c r="I1203" s="5360" t="s">
        <v>3314</v>
      </c>
      <c r="J1203" s="5625" t="s">
        <v>3135</v>
      </c>
      <c r="K1203" s="5355" t="s">
        <v>2846</v>
      </c>
      <c r="L1203" s="5363">
        <v>2</v>
      </c>
      <c r="M1203" s="5363">
        <v>1</v>
      </c>
      <c r="N1203" s="5363">
        <v>2</v>
      </c>
      <c r="O1203" s="5355" t="s">
        <v>3136</v>
      </c>
      <c r="P1203" s="5355" t="s">
        <v>3137</v>
      </c>
      <c r="Q1203" s="5392" t="s">
        <v>3138</v>
      </c>
      <c r="R1203" s="1102"/>
      <c r="S1203" s="1103"/>
      <c r="T1203" s="1103"/>
      <c r="U1203" s="154"/>
      <c r="V1203" s="1104"/>
      <c r="W1203" s="155"/>
      <c r="X1203" s="1105"/>
      <c r="Y1203" s="1105"/>
      <c r="Z1203" s="1105"/>
      <c r="AA1203" s="1106"/>
      <c r="AB1203" s="155"/>
      <c r="AC1203" s="156"/>
      <c r="AD1203" s="156"/>
      <c r="AE1203" s="5428"/>
    </row>
    <row r="1204" spans="1:31" ht="18" customHeight="1">
      <c r="A1204" s="5629"/>
      <c r="B1204" s="5573"/>
      <c r="C1204" s="5337"/>
      <c r="D1204" s="5337"/>
      <c r="E1204" s="5337"/>
      <c r="F1204" s="5337"/>
      <c r="G1204" s="5337"/>
      <c r="H1204" s="5337"/>
      <c r="I1204" s="5361"/>
      <c r="J1204" s="5337"/>
      <c r="K1204" s="5337"/>
      <c r="L1204" s="5337"/>
      <c r="M1204" s="5337"/>
      <c r="N1204" s="5337"/>
      <c r="O1204" s="5337"/>
      <c r="P1204" s="5337"/>
      <c r="Q1204" s="5345"/>
      <c r="R1204" s="970"/>
      <c r="S1204" s="967"/>
      <c r="T1204" s="967"/>
      <c r="U1204" s="176"/>
      <c r="V1204" s="968"/>
      <c r="W1204" s="414"/>
      <c r="X1204" s="973"/>
      <c r="Y1204" s="973"/>
      <c r="Z1204" s="973"/>
      <c r="AA1204" s="981"/>
      <c r="AB1204" s="414"/>
      <c r="AC1204" s="174"/>
      <c r="AD1204" s="174"/>
      <c r="AE1204" s="5416"/>
    </row>
    <row r="1205" spans="1:31" ht="18" customHeight="1">
      <c r="A1205" s="5629"/>
      <c r="B1205" s="5573"/>
      <c r="C1205" s="5337"/>
      <c r="D1205" s="5337"/>
      <c r="E1205" s="5337"/>
      <c r="F1205" s="5337"/>
      <c r="G1205" s="5337"/>
      <c r="H1205" s="5337"/>
      <c r="I1205" s="5361"/>
      <c r="J1205" s="5337"/>
      <c r="K1205" s="5337"/>
      <c r="L1205" s="5337"/>
      <c r="M1205" s="5337"/>
      <c r="N1205" s="5337"/>
      <c r="O1205" s="5337"/>
      <c r="P1205" s="5337"/>
      <c r="Q1205" s="5345"/>
      <c r="R1205" s="971"/>
      <c r="S1205" s="972"/>
      <c r="T1205" s="972"/>
      <c r="U1205" s="1217"/>
      <c r="V1205" s="968"/>
      <c r="W1205" s="414"/>
      <c r="X1205" s="973"/>
      <c r="Y1205" s="974">
        <f t="shared" ref="Y1205:Y1207" si="170">+V1205*X1205</f>
        <v>0</v>
      </c>
      <c r="Z1205" s="974">
        <f t="shared" ref="Z1205:Z1207" si="171">+Y1205*1.12</f>
        <v>0</v>
      </c>
      <c r="AA1205" s="969"/>
      <c r="AB1205" s="170"/>
      <c r="AC1205" s="282"/>
      <c r="AD1205" s="282"/>
      <c r="AE1205" s="5416"/>
    </row>
    <row r="1206" spans="1:31" ht="18" customHeight="1">
      <c r="A1206" s="5629"/>
      <c r="B1206" s="5573"/>
      <c r="C1206" s="5337"/>
      <c r="D1206" s="5337"/>
      <c r="E1206" s="5337"/>
      <c r="F1206" s="5337"/>
      <c r="G1206" s="5337"/>
      <c r="H1206" s="5337"/>
      <c r="I1206" s="5361"/>
      <c r="J1206" s="5337"/>
      <c r="K1206" s="5337"/>
      <c r="L1206" s="5337"/>
      <c r="M1206" s="5337"/>
      <c r="N1206" s="5337"/>
      <c r="O1206" s="5337"/>
      <c r="P1206" s="5337"/>
      <c r="Q1206" s="5345"/>
      <c r="R1206" s="970"/>
      <c r="S1206" s="967"/>
      <c r="T1206" s="967"/>
      <c r="U1206" s="1217"/>
      <c r="V1206" s="968"/>
      <c r="W1206" s="414"/>
      <c r="X1206" s="973"/>
      <c r="Y1206" s="974">
        <f t="shared" si="170"/>
        <v>0</v>
      </c>
      <c r="Z1206" s="974">
        <f t="shared" si="171"/>
        <v>0</v>
      </c>
      <c r="AA1206" s="969"/>
      <c r="AB1206" s="170"/>
      <c r="AC1206" s="282"/>
      <c r="AD1206" s="282"/>
      <c r="AE1206" s="5416"/>
    </row>
    <row r="1207" spans="1:31" ht="18" customHeight="1">
      <c r="A1207" s="5629"/>
      <c r="B1207" s="5574"/>
      <c r="C1207" s="5338"/>
      <c r="D1207" s="5338"/>
      <c r="E1207" s="5338"/>
      <c r="F1207" s="5338"/>
      <c r="G1207" s="5338"/>
      <c r="H1207" s="5338"/>
      <c r="I1207" s="5362"/>
      <c r="J1207" s="5338"/>
      <c r="K1207" s="5338"/>
      <c r="L1207" s="5338"/>
      <c r="M1207" s="5338"/>
      <c r="N1207" s="5338"/>
      <c r="O1207" s="5338"/>
      <c r="P1207" s="5338"/>
      <c r="Q1207" s="5346"/>
      <c r="R1207" s="975"/>
      <c r="S1207" s="976"/>
      <c r="T1207" s="976"/>
      <c r="U1207" s="411"/>
      <c r="V1207" s="977"/>
      <c r="W1207" s="165"/>
      <c r="X1207" s="978"/>
      <c r="Y1207" s="978">
        <f t="shared" si="170"/>
        <v>0</v>
      </c>
      <c r="Z1207" s="978">
        <f t="shared" si="171"/>
        <v>0</v>
      </c>
      <c r="AA1207" s="979"/>
      <c r="AB1207" s="165"/>
      <c r="AC1207" s="166"/>
      <c r="AD1207" s="166"/>
      <c r="AE1207" s="5417"/>
    </row>
    <row r="1208" spans="1:31" ht="18" customHeight="1">
      <c r="A1208" s="5629"/>
      <c r="B1208" s="5627" t="s">
        <v>235</v>
      </c>
      <c r="C1208" s="5347" t="s">
        <v>236</v>
      </c>
      <c r="D1208" s="5347" t="s">
        <v>237</v>
      </c>
      <c r="E1208" s="5347" t="s">
        <v>255</v>
      </c>
      <c r="F1208" s="5353" t="s">
        <v>239</v>
      </c>
      <c r="G1208" s="5336" t="s">
        <v>240</v>
      </c>
      <c r="H1208" s="5336" t="s">
        <v>257</v>
      </c>
      <c r="I1208" s="5621" t="s">
        <v>3139</v>
      </c>
      <c r="J1208" s="5621" t="s">
        <v>3140</v>
      </c>
      <c r="K1208" s="5618" t="s">
        <v>2846</v>
      </c>
      <c r="L1208" s="5619">
        <v>2</v>
      </c>
      <c r="M1208" s="5619">
        <v>0</v>
      </c>
      <c r="N1208" s="5619">
        <v>2</v>
      </c>
      <c r="O1208" s="5407" t="s">
        <v>3141</v>
      </c>
      <c r="P1208" s="5618" t="s">
        <v>3142</v>
      </c>
      <c r="Q1208" s="5620" t="s">
        <v>3315</v>
      </c>
      <c r="R1208" s="1110"/>
      <c r="S1208" s="1111"/>
      <c r="T1208" s="1111"/>
      <c r="U1208" s="1711"/>
      <c r="V1208" s="1112"/>
      <c r="W1208" s="1719"/>
      <c r="X1208" s="1113"/>
      <c r="Y1208" s="1113"/>
      <c r="Z1208" s="1113"/>
      <c r="AA1208" s="1114"/>
      <c r="AB1208" s="1719"/>
      <c r="AC1208" s="410"/>
      <c r="AD1208" s="410"/>
      <c r="AE1208" s="1308"/>
    </row>
    <row r="1209" spans="1:31" ht="18" customHeight="1">
      <c r="A1209" s="5629"/>
      <c r="B1209" s="5573"/>
      <c r="C1209" s="5337"/>
      <c r="D1209" s="5337"/>
      <c r="E1209" s="5337"/>
      <c r="F1209" s="5337"/>
      <c r="G1209" s="5337"/>
      <c r="H1209" s="5337"/>
      <c r="I1209" s="5337"/>
      <c r="J1209" s="5337"/>
      <c r="K1209" s="5337"/>
      <c r="L1209" s="5337"/>
      <c r="M1209" s="5337"/>
      <c r="N1209" s="5337"/>
      <c r="O1209" s="5337"/>
      <c r="P1209" s="5337"/>
      <c r="Q1209" s="5345"/>
      <c r="R1209" s="1110"/>
      <c r="S1209" s="1111"/>
      <c r="T1209" s="1111"/>
      <c r="U1209" s="1711"/>
      <c r="V1209" s="1112"/>
      <c r="W1209" s="1719"/>
      <c r="X1209" s="1113"/>
      <c r="Y1209" s="1113"/>
      <c r="Z1209" s="1113"/>
      <c r="AA1209" s="1114"/>
      <c r="AB1209" s="1719"/>
      <c r="AC1209" s="410"/>
      <c r="AD1209" s="410"/>
      <c r="AE1209" s="1308"/>
    </row>
    <row r="1210" spans="1:31" ht="18" customHeight="1">
      <c r="A1210" s="5629"/>
      <c r="B1210" s="5573"/>
      <c r="C1210" s="5337"/>
      <c r="D1210" s="5337"/>
      <c r="E1210" s="5337"/>
      <c r="F1210" s="5337"/>
      <c r="G1210" s="5337"/>
      <c r="H1210" s="5337"/>
      <c r="I1210" s="5337"/>
      <c r="J1210" s="5337"/>
      <c r="K1210" s="5337"/>
      <c r="L1210" s="5337"/>
      <c r="M1210" s="5337"/>
      <c r="N1210" s="5337"/>
      <c r="O1210" s="5337"/>
      <c r="P1210" s="5337"/>
      <c r="Q1210" s="5345"/>
      <c r="R1210" s="1110"/>
      <c r="S1210" s="1111"/>
      <c r="T1210" s="1111"/>
      <c r="U1210" s="1711"/>
      <c r="V1210" s="1112"/>
      <c r="W1210" s="1719"/>
      <c r="X1210" s="1113"/>
      <c r="Y1210" s="1113"/>
      <c r="Z1210" s="1113"/>
      <c r="AA1210" s="1114"/>
      <c r="AB1210" s="1719"/>
      <c r="AC1210" s="410"/>
      <c r="AD1210" s="410"/>
      <c r="AE1210" s="1308"/>
    </row>
    <row r="1211" spans="1:31" ht="18" customHeight="1">
      <c r="A1211" s="5629"/>
      <c r="B1211" s="5573"/>
      <c r="C1211" s="5337"/>
      <c r="D1211" s="5337"/>
      <c r="E1211" s="5337"/>
      <c r="F1211" s="5337"/>
      <c r="G1211" s="5337"/>
      <c r="H1211" s="5337"/>
      <c r="I1211" s="5337"/>
      <c r="J1211" s="5337"/>
      <c r="K1211" s="5337"/>
      <c r="L1211" s="5337"/>
      <c r="M1211" s="5337"/>
      <c r="N1211" s="5337"/>
      <c r="O1211" s="5337"/>
      <c r="P1211" s="5337"/>
      <c r="Q1211" s="5345"/>
      <c r="R1211" s="1110"/>
      <c r="S1211" s="1111"/>
      <c r="T1211" s="1111"/>
      <c r="U1211" s="1711"/>
      <c r="V1211" s="1112"/>
      <c r="W1211" s="1719"/>
      <c r="X1211" s="1113"/>
      <c r="Y1211" s="1113"/>
      <c r="Z1211" s="1113"/>
      <c r="AA1211" s="1114"/>
      <c r="AB1211" s="1719"/>
      <c r="AC1211" s="410"/>
      <c r="AD1211" s="410"/>
      <c r="AE1211" s="1308"/>
    </row>
    <row r="1212" spans="1:31" ht="18" customHeight="1">
      <c r="A1212" s="5629"/>
      <c r="B1212" s="5574"/>
      <c r="C1212" s="5338"/>
      <c r="D1212" s="5338"/>
      <c r="E1212" s="5338"/>
      <c r="F1212" s="5338"/>
      <c r="G1212" s="5338"/>
      <c r="H1212" s="5338"/>
      <c r="I1212" s="5338"/>
      <c r="J1212" s="5338"/>
      <c r="K1212" s="5338"/>
      <c r="L1212" s="5338"/>
      <c r="M1212" s="5338"/>
      <c r="N1212" s="5338"/>
      <c r="O1212" s="5338"/>
      <c r="P1212" s="5338"/>
      <c r="Q1212" s="5346"/>
      <c r="R1212" s="1110"/>
      <c r="S1212" s="1111"/>
      <c r="T1212" s="1111"/>
      <c r="U1212" s="1711"/>
      <c r="V1212" s="1112"/>
      <c r="W1212" s="1719"/>
      <c r="X1212" s="1113"/>
      <c r="Y1212" s="1113"/>
      <c r="Z1212" s="1113"/>
      <c r="AA1212" s="1114"/>
      <c r="AB1212" s="1719"/>
      <c r="AC1212" s="410"/>
      <c r="AD1212" s="410"/>
      <c r="AE1212" s="1308"/>
    </row>
    <row r="1213" spans="1:31" ht="18" customHeight="1">
      <c r="A1213" s="5629"/>
      <c r="B1213" s="5627" t="s">
        <v>235</v>
      </c>
      <c r="C1213" s="5347" t="s">
        <v>236</v>
      </c>
      <c r="D1213" s="5347" t="s">
        <v>237</v>
      </c>
      <c r="E1213" s="5347" t="s">
        <v>255</v>
      </c>
      <c r="F1213" s="5353" t="s">
        <v>239</v>
      </c>
      <c r="G1213" s="5336" t="s">
        <v>240</v>
      </c>
      <c r="H1213" s="5336" t="s">
        <v>257</v>
      </c>
      <c r="I1213" s="5621" t="s">
        <v>3144</v>
      </c>
      <c r="J1213" s="5618" t="s">
        <v>3145</v>
      </c>
      <c r="K1213" s="5618" t="s">
        <v>3146</v>
      </c>
      <c r="L1213" s="5407">
        <v>0</v>
      </c>
      <c r="M1213" s="5407">
        <v>1</v>
      </c>
      <c r="N1213" s="5407">
        <v>0</v>
      </c>
      <c r="O1213" s="5618" t="s">
        <v>3147</v>
      </c>
      <c r="P1213" s="5618" t="s">
        <v>3148</v>
      </c>
      <c r="Q1213" s="5620" t="s">
        <v>3316</v>
      </c>
      <c r="R1213" s="1110"/>
      <c r="S1213" s="1111"/>
      <c r="T1213" s="1111"/>
      <c r="U1213" s="1711"/>
      <c r="V1213" s="1112"/>
      <c r="W1213" s="1719"/>
      <c r="X1213" s="1113"/>
      <c r="Y1213" s="1113"/>
      <c r="Z1213" s="1113"/>
      <c r="AA1213" s="1114"/>
      <c r="AB1213" s="1719"/>
      <c r="AC1213" s="410"/>
      <c r="AD1213" s="410"/>
      <c r="AE1213" s="1308"/>
    </row>
    <row r="1214" spans="1:31" ht="18" customHeight="1">
      <c r="A1214" s="5629"/>
      <c r="B1214" s="5573"/>
      <c r="C1214" s="5337"/>
      <c r="D1214" s="5337"/>
      <c r="E1214" s="5337"/>
      <c r="F1214" s="5337"/>
      <c r="G1214" s="5337"/>
      <c r="H1214" s="5337"/>
      <c r="I1214" s="5337"/>
      <c r="J1214" s="5337"/>
      <c r="K1214" s="5337"/>
      <c r="L1214" s="5337"/>
      <c r="M1214" s="5337"/>
      <c r="N1214" s="5337"/>
      <c r="O1214" s="5337"/>
      <c r="P1214" s="5337"/>
      <c r="Q1214" s="5345"/>
      <c r="R1214" s="1110"/>
      <c r="S1214" s="1111"/>
      <c r="T1214" s="1111"/>
      <c r="U1214" s="1711"/>
      <c r="V1214" s="1112"/>
      <c r="W1214" s="1719"/>
      <c r="X1214" s="1113"/>
      <c r="Y1214" s="1113"/>
      <c r="Z1214" s="1113"/>
      <c r="AA1214" s="1114"/>
      <c r="AB1214" s="1719"/>
      <c r="AC1214" s="410"/>
      <c r="AD1214" s="410"/>
      <c r="AE1214" s="1308"/>
    </row>
    <row r="1215" spans="1:31" ht="18" customHeight="1">
      <c r="A1215" s="5629"/>
      <c r="B1215" s="5573"/>
      <c r="C1215" s="5337"/>
      <c r="D1215" s="5337"/>
      <c r="E1215" s="5337"/>
      <c r="F1215" s="5337"/>
      <c r="G1215" s="5337"/>
      <c r="H1215" s="5337"/>
      <c r="I1215" s="5337"/>
      <c r="J1215" s="5337"/>
      <c r="K1215" s="5337"/>
      <c r="L1215" s="5337"/>
      <c r="M1215" s="5337"/>
      <c r="N1215" s="5337"/>
      <c r="O1215" s="5337"/>
      <c r="P1215" s="5337"/>
      <c r="Q1215" s="5345"/>
      <c r="R1215" s="1110"/>
      <c r="S1215" s="1111"/>
      <c r="T1215" s="1111"/>
      <c r="U1215" s="1711"/>
      <c r="V1215" s="1112"/>
      <c r="W1215" s="1719"/>
      <c r="X1215" s="1113"/>
      <c r="Y1215" s="1113"/>
      <c r="Z1215" s="1113"/>
      <c r="AA1215" s="1114"/>
      <c r="AB1215" s="1719"/>
      <c r="AC1215" s="410"/>
      <c r="AD1215" s="410"/>
      <c r="AE1215" s="1308"/>
    </row>
    <row r="1216" spans="1:31" ht="18" customHeight="1">
      <c r="A1216" s="5629"/>
      <c r="B1216" s="5573"/>
      <c r="C1216" s="5337"/>
      <c r="D1216" s="5337"/>
      <c r="E1216" s="5337"/>
      <c r="F1216" s="5337"/>
      <c r="G1216" s="5337"/>
      <c r="H1216" s="5337"/>
      <c r="I1216" s="5337"/>
      <c r="J1216" s="5337"/>
      <c r="K1216" s="5337"/>
      <c r="L1216" s="5337"/>
      <c r="M1216" s="5337"/>
      <c r="N1216" s="5337"/>
      <c r="O1216" s="5337"/>
      <c r="P1216" s="5337"/>
      <c r="Q1216" s="5345"/>
      <c r="R1216" s="1110"/>
      <c r="S1216" s="1111"/>
      <c r="T1216" s="1111"/>
      <c r="U1216" s="1711"/>
      <c r="V1216" s="1112"/>
      <c r="W1216" s="1719"/>
      <c r="X1216" s="1113"/>
      <c r="Y1216" s="1113"/>
      <c r="Z1216" s="1113"/>
      <c r="AA1216" s="1114"/>
      <c r="AB1216" s="1719"/>
      <c r="AC1216" s="410"/>
      <c r="AD1216" s="410"/>
      <c r="AE1216" s="1308"/>
    </row>
    <row r="1217" spans="1:31" ht="18" customHeight="1">
      <c r="A1217" s="5629"/>
      <c r="B1217" s="5574"/>
      <c r="C1217" s="5338"/>
      <c r="D1217" s="5338"/>
      <c r="E1217" s="5338"/>
      <c r="F1217" s="5338"/>
      <c r="G1217" s="5338"/>
      <c r="H1217" s="5338"/>
      <c r="I1217" s="5338"/>
      <c r="J1217" s="5338"/>
      <c r="K1217" s="5338"/>
      <c r="L1217" s="5338"/>
      <c r="M1217" s="5338"/>
      <c r="N1217" s="5338"/>
      <c r="O1217" s="5338"/>
      <c r="P1217" s="5338"/>
      <c r="Q1217" s="5346"/>
      <c r="R1217" s="1110"/>
      <c r="S1217" s="1111"/>
      <c r="T1217" s="1111"/>
      <c r="U1217" s="1711"/>
      <c r="V1217" s="1112"/>
      <c r="W1217" s="1719"/>
      <c r="X1217" s="1113"/>
      <c r="Y1217" s="1113"/>
      <c r="Z1217" s="1113"/>
      <c r="AA1217" s="1114"/>
      <c r="AB1217" s="1719"/>
      <c r="AC1217" s="410"/>
      <c r="AD1217" s="410"/>
      <c r="AE1217" s="1308"/>
    </row>
    <row r="1218" spans="1:31" ht="18" customHeight="1">
      <c r="A1218" s="5629"/>
      <c r="B1218" s="5572" t="s">
        <v>272</v>
      </c>
      <c r="C1218" s="5336" t="s">
        <v>302</v>
      </c>
      <c r="D1218" s="5336" t="s">
        <v>303</v>
      </c>
      <c r="E1218" s="5336" t="s">
        <v>304</v>
      </c>
      <c r="F1218" s="5341" t="s">
        <v>305</v>
      </c>
      <c r="G1218" s="5336" t="s">
        <v>240</v>
      </c>
      <c r="H1218" s="5336" t="s">
        <v>257</v>
      </c>
      <c r="I1218" s="5618" t="s">
        <v>3150</v>
      </c>
      <c r="J1218" s="5618" t="s">
        <v>3151</v>
      </c>
      <c r="K1218" s="5618" t="s">
        <v>3146</v>
      </c>
      <c r="L1218" s="5407">
        <v>0</v>
      </c>
      <c r="M1218" s="5407">
        <v>1</v>
      </c>
      <c r="N1218" s="5407">
        <v>1</v>
      </c>
      <c r="O1218" s="5618" t="s">
        <v>3152</v>
      </c>
      <c r="P1218" s="5618" t="s">
        <v>3153</v>
      </c>
      <c r="Q1218" s="5620" t="s">
        <v>3316</v>
      </c>
      <c r="R1218" s="1110"/>
      <c r="S1218" s="1111"/>
      <c r="T1218" s="1111"/>
      <c r="U1218" s="1711"/>
      <c r="V1218" s="1112"/>
      <c r="W1218" s="1719"/>
      <c r="X1218" s="1113"/>
      <c r="Y1218" s="1113"/>
      <c r="Z1218" s="1113"/>
      <c r="AA1218" s="1114"/>
      <c r="AB1218" s="1719"/>
      <c r="AC1218" s="410"/>
      <c r="AD1218" s="410"/>
      <c r="AE1218" s="1308"/>
    </row>
    <row r="1219" spans="1:31" ht="18" customHeight="1">
      <c r="A1219" s="5629"/>
      <c r="B1219" s="5573"/>
      <c r="C1219" s="5337"/>
      <c r="D1219" s="5337"/>
      <c r="E1219" s="5337"/>
      <c r="F1219" s="5337"/>
      <c r="G1219" s="5337"/>
      <c r="H1219" s="5337"/>
      <c r="I1219" s="5337"/>
      <c r="J1219" s="5337"/>
      <c r="K1219" s="5337"/>
      <c r="L1219" s="5337"/>
      <c r="M1219" s="5337"/>
      <c r="N1219" s="5337"/>
      <c r="O1219" s="5337"/>
      <c r="P1219" s="5337"/>
      <c r="Q1219" s="5345"/>
      <c r="R1219" s="1110"/>
      <c r="S1219" s="1111"/>
      <c r="T1219" s="1111"/>
      <c r="U1219" s="1711"/>
      <c r="V1219" s="1112"/>
      <c r="W1219" s="1719"/>
      <c r="X1219" s="1113"/>
      <c r="Y1219" s="1113"/>
      <c r="Z1219" s="1113"/>
      <c r="AA1219" s="1114"/>
      <c r="AB1219" s="1719"/>
      <c r="AC1219" s="410"/>
      <c r="AD1219" s="410"/>
      <c r="AE1219" s="1308"/>
    </row>
    <row r="1220" spans="1:31" ht="18" customHeight="1">
      <c r="A1220" s="5629"/>
      <c r="B1220" s="5573"/>
      <c r="C1220" s="5337"/>
      <c r="D1220" s="5337"/>
      <c r="E1220" s="5337"/>
      <c r="F1220" s="5337"/>
      <c r="G1220" s="5337"/>
      <c r="H1220" s="5337"/>
      <c r="I1220" s="5337"/>
      <c r="J1220" s="5337"/>
      <c r="K1220" s="5337"/>
      <c r="L1220" s="5337"/>
      <c r="M1220" s="5337"/>
      <c r="N1220" s="5337"/>
      <c r="O1220" s="5337"/>
      <c r="P1220" s="5337"/>
      <c r="Q1220" s="5345"/>
      <c r="R1220" s="1110"/>
      <c r="S1220" s="1111"/>
      <c r="T1220" s="1111"/>
      <c r="U1220" s="1711"/>
      <c r="V1220" s="1112"/>
      <c r="W1220" s="1719"/>
      <c r="X1220" s="1113"/>
      <c r="Y1220" s="1113"/>
      <c r="Z1220" s="1113"/>
      <c r="AA1220" s="1114"/>
      <c r="AB1220" s="1719"/>
      <c r="AC1220" s="410"/>
      <c r="AD1220" s="410"/>
      <c r="AE1220" s="1308"/>
    </row>
    <row r="1221" spans="1:31" ht="18" customHeight="1">
      <c r="A1221" s="5629"/>
      <c r="B1221" s="5573"/>
      <c r="C1221" s="5337"/>
      <c r="D1221" s="5337"/>
      <c r="E1221" s="5337"/>
      <c r="F1221" s="5337"/>
      <c r="G1221" s="5337"/>
      <c r="H1221" s="5337"/>
      <c r="I1221" s="5337"/>
      <c r="J1221" s="5337"/>
      <c r="K1221" s="5337"/>
      <c r="L1221" s="5337"/>
      <c r="M1221" s="5337"/>
      <c r="N1221" s="5337"/>
      <c r="O1221" s="5337"/>
      <c r="P1221" s="5337"/>
      <c r="Q1221" s="5345"/>
      <c r="R1221" s="1110"/>
      <c r="S1221" s="1111"/>
      <c r="T1221" s="1111"/>
      <c r="U1221" s="1711"/>
      <c r="V1221" s="1112"/>
      <c r="W1221" s="1719"/>
      <c r="X1221" s="1113"/>
      <c r="Y1221" s="1113"/>
      <c r="Z1221" s="1113"/>
      <c r="AA1221" s="1114"/>
      <c r="AB1221" s="1719"/>
      <c r="AC1221" s="410"/>
      <c r="AD1221" s="410"/>
      <c r="AE1221" s="1308"/>
    </row>
    <row r="1222" spans="1:31" ht="18" customHeight="1">
      <c r="A1222" s="5629"/>
      <c r="B1222" s="5574"/>
      <c r="C1222" s="5338"/>
      <c r="D1222" s="5338"/>
      <c r="E1222" s="5338"/>
      <c r="F1222" s="5338"/>
      <c r="G1222" s="5338"/>
      <c r="H1222" s="5338"/>
      <c r="I1222" s="5338"/>
      <c r="J1222" s="5338"/>
      <c r="K1222" s="5338"/>
      <c r="L1222" s="5338"/>
      <c r="M1222" s="5338"/>
      <c r="N1222" s="5338"/>
      <c r="O1222" s="5338"/>
      <c r="P1222" s="5338"/>
      <c r="Q1222" s="5346"/>
      <c r="R1222" s="1309"/>
      <c r="S1222" s="1310"/>
      <c r="T1222" s="1310"/>
      <c r="U1222" s="277"/>
      <c r="V1222" s="1311"/>
      <c r="W1222" s="416"/>
      <c r="X1222" s="1312"/>
      <c r="Y1222" s="1312"/>
      <c r="Z1222" s="1312"/>
      <c r="AA1222" s="1313"/>
      <c r="AB1222" s="416"/>
      <c r="AC1222" s="278"/>
      <c r="AD1222" s="278"/>
      <c r="AE1222" s="1314"/>
    </row>
    <row r="1223" spans="1:31" ht="18" customHeight="1">
      <c r="A1223" s="5629"/>
      <c r="B1223" s="5572" t="s">
        <v>272</v>
      </c>
      <c r="C1223" s="5336" t="s">
        <v>302</v>
      </c>
      <c r="D1223" s="5336" t="s">
        <v>274</v>
      </c>
      <c r="E1223" s="5336" t="s">
        <v>885</v>
      </c>
      <c r="F1223" s="5341" t="s">
        <v>305</v>
      </c>
      <c r="G1223" s="5336" t="s">
        <v>262</v>
      </c>
      <c r="H1223" s="5336" t="s">
        <v>241</v>
      </c>
      <c r="I1223" s="5618" t="s">
        <v>3154</v>
      </c>
      <c r="J1223" s="5618" t="s">
        <v>3155</v>
      </c>
      <c r="K1223" s="5618" t="s">
        <v>3024</v>
      </c>
      <c r="L1223" s="5619">
        <v>1</v>
      </c>
      <c r="M1223" s="5619">
        <v>0</v>
      </c>
      <c r="N1223" s="5619">
        <v>1</v>
      </c>
      <c r="O1223" s="5618" t="s">
        <v>3156</v>
      </c>
      <c r="P1223" s="5618" t="s">
        <v>3026</v>
      </c>
      <c r="Q1223" s="5620" t="s">
        <v>3317</v>
      </c>
      <c r="R1223" s="1110"/>
      <c r="S1223" s="1111"/>
      <c r="T1223" s="1111"/>
      <c r="U1223" s="1711"/>
      <c r="V1223" s="1112"/>
      <c r="W1223" s="1719"/>
      <c r="X1223" s="1113"/>
      <c r="Y1223" s="1113"/>
      <c r="Z1223" s="1113"/>
      <c r="AA1223" s="1114"/>
      <c r="AB1223" s="1719"/>
      <c r="AC1223" s="410"/>
      <c r="AD1223" s="410"/>
      <c r="AE1223" s="1308"/>
    </row>
    <row r="1224" spans="1:31" ht="26.25" customHeight="1">
      <c r="A1224" s="5629"/>
      <c r="B1224" s="5573"/>
      <c r="C1224" s="5337"/>
      <c r="D1224" s="5337"/>
      <c r="E1224" s="5337"/>
      <c r="F1224" s="5337"/>
      <c r="G1224" s="5337"/>
      <c r="H1224" s="5337"/>
      <c r="I1224" s="5337"/>
      <c r="J1224" s="5337"/>
      <c r="K1224" s="5337"/>
      <c r="L1224" s="5337"/>
      <c r="M1224" s="5337"/>
      <c r="N1224" s="5337"/>
      <c r="O1224" s="5337"/>
      <c r="P1224" s="5337"/>
      <c r="Q1224" s="5345"/>
      <c r="R1224" s="1110"/>
      <c r="S1224" s="1111"/>
      <c r="T1224" s="1111"/>
      <c r="U1224" s="1711"/>
      <c r="V1224" s="1112"/>
      <c r="W1224" s="1719"/>
      <c r="X1224" s="1113"/>
      <c r="Y1224" s="1113"/>
      <c r="Z1224" s="1113"/>
      <c r="AA1224" s="1114"/>
      <c r="AB1224" s="1719"/>
      <c r="AC1224" s="410"/>
      <c r="AD1224" s="410"/>
      <c r="AE1224" s="1308"/>
    </row>
    <row r="1225" spans="1:31" ht="18" customHeight="1">
      <c r="A1225" s="5629"/>
      <c r="B1225" s="5573"/>
      <c r="C1225" s="5337"/>
      <c r="D1225" s="5337"/>
      <c r="E1225" s="5337"/>
      <c r="F1225" s="5337"/>
      <c r="G1225" s="5337"/>
      <c r="H1225" s="5337"/>
      <c r="I1225" s="5337"/>
      <c r="J1225" s="5337"/>
      <c r="K1225" s="5337"/>
      <c r="L1225" s="5337"/>
      <c r="M1225" s="5337"/>
      <c r="N1225" s="5337"/>
      <c r="O1225" s="5337"/>
      <c r="P1225" s="5337"/>
      <c r="Q1225" s="5345"/>
      <c r="R1225" s="1110"/>
      <c r="S1225" s="1111"/>
      <c r="T1225" s="1111"/>
      <c r="U1225" s="1711"/>
      <c r="V1225" s="1112"/>
      <c r="W1225" s="1719"/>
      <c r="X1225" s="1113"/>
      <c r="Y1225" s="1113"/>
      <c r="Z1225" s="1113"/>
      <c r="AA1225" s="1114"/>
      <c r="AB1225" s="1719"/>
      <c r="AC1225" s="410"/>
      <c r="AD1225" s="410"/>
      <c r="AE1225" s="1308"/>
    </row>
    <row r="1226" spans="1:31" ht="18" customHeight="1">
      <c r="A1226" s="5629"/>
      <c r="B1226" s="5573"/>
      <c r="C1226" s="5337"/>
      <c r="D1226" s="5337"/>
      <c r="E1226" s="5337"/>
      <c r="F1226" s="5337"/>
      <c r="G1226" s="5337"/>
      <c r="H1226" s="5337"/>
      <c r="I1226" s="5337"/>
      <c r="J1226" s="5337"/>
      <c r="K1226" s="5337"/>
      <c r="L1226" s="5337"/>
      <c r="M1226" s="5337"/>
      <c r="N1226" s="5337"/>
      <c r="O1226" s="5337"/>
      <c r="P1226" s="5337"/>
      <c r="Q1226" s="5345"/>
      <c r="R1226" s="1110"/>
      <c r="S1226" s="1111"/>
      <c r="T1226" s="1111"/>
      <c r="U1226" s="1711"/>
      <c r="V1226" s="1112"/>
      <c r="W1226" s="1719"/>
      <c r="X1226" s="1113"/>
      <c r="Y1226" s="1113"/>
      <c r="Z1226" s="1113"/>
      <c r="AA1226" s="1114"/>
      <c r="AB1226" s="1719"/>
      <c r="AC1226" s="410"/>
      <c r="AD1226" s="410"/>
      <c r="AE1226" s="1308"/>
    </row>
    <row r="1227" spans="1:31" ht="18" customHeight="1">
      <c r="A1227" s="5629"/>
      <c r="B1227" s="5574"/>
      <c r="C1227" s="5338"/>
      <c r="D1227" s="5338"/>
      <c r="E1227" s="5338"/>
      <c r="F1227" s="5338"/>
      <c r="G1227" s="5338"/>
      <c r="H1227" s="5338"/>
      <c r="I1227" s="5338"/>
      <c r="J1227" s="5338"/>
      <c r="K1227" s="5338"/>
      <c r="L1227" s="5338"/>
      <c r="M1227" s="5338"/>
      <c r="N1227" s="5338"/>
      <c r="O1227" s="5338"/>
      <c r="P1227" s="5338"/>
      <c r="Q1227" s="5346"/>
      <c r="R1227" s="1110"/>
      <c r="S1227" s="1111"/>
      <c r="T1227" s="1111"/>
      <c r="U1227" s="1711"/>
      <c r="V1227" s="1112"/>
      <c r="W1227" s="1719"/>
      <c r="X1227" s="1113"/>
      <c r="Y1227" s="1113"/>
      <c r="Z1227" s="1113"/>
      <c r="AA1227" s="1114"/>
      <c r="AB1227" s="1719"/>
      <c r="AC1227" s="410"/>
      <c r="AD1227" s="410"/>
      <c r="AE1227" s="1308"/>
    </row>
    <row r="1228" spans="1:31" ht="18" customHeight="1">
      <c r="A1228" s="5629"/>
      <c r="B1228" s="5627" t="s">
        <v>235</v>
      </c>
      <c r="C1228" s="5347" t="s">
        <v>236</v>
      </c>
      <c r="D1228" s="5347" t="s">
        <v>237</v>
      </c>
      <c r="E1228" s="5347" t="s">
        <v>255</v>
      </c>
      <c r="F1228" s="5353" t="s">
        <v>239</v>
      </c>
      <c r="G1228" s="5336" t="s">
        <v>240</v>
      </c>
      <c r="H1228" s="5336" t="s">
        <v>257</v>
      </c>
      <c r="I1228" s="5618" t="s">
        <v>3158</v>
      </c>
      <c r="J1228" s="5618" t="s">
        <v>3159</v>
      </c>
      <c r="K1228" s="5618" t="s">
        <v>3160</v>
      </c>
      <c r="L1228" s="5619">
        <v>1</v>
      </c>
      <c r="M1228" s="5619">
        <v>2</v>
      </c>
      <c r="N1228" s="5619">
        <v>2</v>
      </c>
      <c r="O1228" s="5618" t="s">
        <v>3161</v>
      </c>
      <c r="P1228" s="5618" t="s">
        <v>3162</v>
      </c>
      <c r="Q1228" s="5620" t="s">
        <v>3316</v>
      </c>
      <c r="R1228" s="1110"/>
      <c r="S1228" s="1111"/>
      <c r="T1228" s="1111"/>
      <c r="U1228" s="1711"/>
      <c r="V1228" s="1112"/>
      <c r="W1228" s="1719"/>
      <c r="X1228" s="1113"/>
      <c r="Y1228" s="1113"/>
      <c r="Z1228" s="1113"/>
      <c r="AA1228" s="1114"/>
      <c r="AB1228" s="1719"/>
      <c r="AC1228" s="410"/>
      <c r="AD1228" s="410"/>
      <c r="AE1228" s="1308"/>
    </row>
    <row r="1229" spans="1:31" ht="18" customHeight="1">
      <c r="A1229" s="5629"/>
      <c r="B1229" s="5573"/>
      <c r="C1229" s="5337"/>
      <c r="D1229" s="5337"/>
      <c r="E1229" s="5337"/>
      <c r="F1229" s="5337"/>
      <c r="G1229" s="5337"/>
      <c r="H1229" s="5337"/>
      <c r="I1229" s="5337"/>
      <c r="J1229" s="5337"/>
      <c r="K1229" s="5337"/>
      <c r="L1229" s="5337"/>
      <c r="M1229" s="5337"/>
      <c r="N1229" s="5337"/>
      <c r="O1229" s="5337"/>
      <c r="P1229" s="5337"/>
      <c r="Q1229" s="5345"/>
      <c r="R1229" s="1110"/>
      <c r="S1229" s="1111"/>
      <c r="T1229" s="1111"/>
      <c r="U1229" s="1711"/>
      <c r="V1229" s="1112"/>
      <c r="W1229" s="1719"/>
      <c r="X1229" s="1113"/>
      <c r="Y1229" s="1113"/>
      <c r="Z1229" s="1113"/>
      <c r="AA1229" s="1114"/>
      <c r="AB1229" s="1719"/>
      <c r="AC1229" s="410"/>
      <c r="AD1229" s="410"/>
      <c r="AE1229" s="1308"/>
    </row>
    <row r="1230" spans="1:31" ht="18" customHeight="1">
      <c r="A1230" s="5629"/>
      <c r="B1230" s="5573"/>
      <c r="C1230" s="5337"/>
      <c r="D1230" s="5337"/>
      <c r="E1230" s="5337"/>
      <c r="F1230" s="5337"/>
      <c r="G1230" s="5337"/>
      <c r="H1230" s="5337"/>
      <c r="I1230" s="5337"/>
      <c r="J1230" s="5337"/>
      <c r="K1230" s="5337"/>
      <c r="L1230" s="5337"/>
      <c r="M1230" s="5337"/>
      <c r="N1230" s="5337"/>
      <c r="O1230" s="5337"/>
      <c r="P1230" s="5337"/>
      <c r="Q1230" s="5345"/>
      <c r="R1230" s="1110"/>
      <c r="S1230" s="1111"/>
      <c r="T1230" s="1111"/>
      <c r="U1230" s="1711"/>
      <c r="V1230" s="1112"/>
      <c r="W1230" s="1719"/>
      <c r="X1230" s="1113"/>
      <c r="Y1230" s="1113"/>
      <c r="Z1230" s="1113"/>
      <c r="AA1230" s="1114"/>
      <c r="AB1230" s="1719"/>
      <c r="AC1230" s="410"/>
      <c r="AD1230" s="410"/>
      <c r="AE1230" s="1308"/>
    </row>
    <row r="1231" spans="1:31" ht="18" customHeight="1">
      <c r="A1231" s="5629"/>
      <c r="B1231" s="5573"/>
      <c r="C1231" s="5337"/>
      <c r="D1231" s="5337"/>
      <c r="E1231" s="5337"/>
      <c r="F1231" s="5337"/>
      <c r="G1231" s="5337"/>
      <c r="H1231" s="5337"/>
      <c r="I1231" s="5337"/>
      <c r="J1231" s="5337"/>
      <c r="K1231" s="5337"/>
      <c r="L1231" s="5337"/>
      <c r="M1231" s="5337"/>
      <c r="N1231" s="5337"/>
      <c r="O1231" s="5337"/>
      <c r="P1231" s="5337"/>
      <c r="Q1231" s="5345"/>
      <c r="R1231" s="1110"/>
      <c r="S1231" s="1111"/>
      <c r="T1231" s="1111"/>
      <c r="U1231" s="1711"/>
      <c r="V1231" s="1112"/>
      <c r="W1231" s="1719"/>
      <c r="X1231" s="1113"/>
      <c r="Y1231" s="1113"/>
      <c r="Z1231" s="1113"/>
      <c r="AA1231" s="1114"/>
      <c r="AB1231" s="1719"/>
      <c r="AC1231" s="410"/>
      <c r="AD1231" s="410"/>
      <c r="AE1231" s="1308"/>
    </row>
    <row r="1232" spans="1:31" ht="18" customHeight="1">
      <c r="A1232" s="5629"/>
      <c r="B1232" s="5574"/>
      <c r="C1232" s="5338"/>
      <c r="D1232" s="5338"/>
      <c r="E1232" s="5338"/>
      <c r="F1232" s="5338"/>
      <c r="G1232" s="5338"/>
      <c r="H1232" s="5338"/>
      <c r="I1232" s="5337"/>
      <c r="J1232" s="5337"/>
      <c r="K1232" s="5337"/>
      <c r="L1232" s="5337"/>
      <c r="M1232" s="5337"/>
      <c r="N1232" s="5337"/>
      <c r="O1232" s="5337"/>
      <c r="P1232" s="5337"/>
      <c r="Q1232" s="5345"/>
      <c r="R1232" s="1110"/>
      <c r="S1232" s="1111"/>
      <c r="T1232" s="1111"/>
      <c r="U1232" s="1711"/>
      <c r="V1232" s="1112"/>
      <c r="W1232" s="1719"/>
      <c r="X1232" s="1113"/>
      <c r="Y1232" s="1113"/>
      <c r="Z1232" s="1113"/>
      <c r="AA1232" s="1114"/>
      <c r="AB1232" s="1719"/>
      <c r="AC1232" s="410"/>
      <c r="AD1232" s="410"/>
      <c r="AE1232" s="1308"/>
    </row>
    <row r="1233" spans="1:31" ht="18" customHeight="1">
      <c r="A1233" s="5629"/>
      <c r="B1233" s="5626" t="s">
        <v>272</v>
      </c>
      <c r="C1233" s="5624" t="s">
        <v>302</v>
      </c>
      <c r="D1233" s="5624" t="s">
        <v>303</v>
      </c>
      <c r="E1233" s="5624" t="s">
        <v>304</v>
      </c>
      <c r="F1233" s="5622" t="s">
        <v>305</v>
      </c>
      <c r="G1233" s="5624" t="s">
        <v>240</v>
      </c>
      <c r="H1233" s="5624" t="s">
        <v>257</v>
      </c>
      <c r="I1233" s="5618" t="s">
        <v>3163</v>
      </c>
      <c r="J1233" s="5618" t="s">
        <v>3164</v>
      </c>
      <c r="K1233" s="5618" t="s">
        <v>3146</v>
      </c>
      <c r="L1233" s="5619">
        <v>0</v>
      </c>
      <c r="M1233" s="5619">
        <v>1</v>
      </c>
      <c r="N1233" s="5619">
        <v>0</v>
      </c>
      <c r="O1233" s="5618" t="s">
        <v>3165</v>
      </c>
      <c r="P1233" s="5618" t="s">
        <v>3166</v>
      </c>
      <c r="Q1233" s="5620" t="s">
        <v>3316</v>
      </c>
      <c r="R1233" s="1110"/>
      <c r="S1233" s="1111"/>
      <c r="T1233" s="1111"/>
      <c r="U1233" s="1711"/>
      <c r="V1233" s="1112"/>
      <c r="W1233" s="1719"/>
      <c r="X1233" s="1113"/>
      <c r="Y1233" s="1113"/>
      <c r="Z1233" s="1113"/>
      <c r="AA1233" s="1114"/>
      <c r="AB1233" s="1719"/>
      <c r="AC1233" s="410"/>
      <c r="AD1233" s="410"/>
      <c r="AE1233" s="1308"/>
    </row>
    <row r="1234" spans="1:31" ht="18" customHeight="1">
      <c r="A1234" s="5629"/>
      <c r="B1234" s="5573"/>
      <c r="C1234" s="5337"/>
      <c r="D1234" s="5337"/>
      <c r="E1234" s="5337"/>
      <c r="F1234" s="5337"/>
      <c r="G1234" s="5337"/>
      <c r="H1234" s="5337"/>
      <c r="I1234" s="5337"/>
      <c r="J1234" s="5337"/>
      <c r="K1234" s="5337"/>
      <c r="L1234" s="5337"/>
      <c r="M1234" s="5337"/>
      <c r="N1234" s="5337"/>
      <c r="O1234" s="5337"/>
      <c r="P1234" s="5337"/>
      <c r="Q1234" s="5345"/>
      <c r="R1234" s="1110"/>
      <c r="S1234" s="1111"/>
      <c r="T1234" s="1111"/>
      <c r="U1234" s="1711"/>
      <c r="V1234" s="1112"/>
      <c r="W1234" s="1719"/>
      <c r="X1234" s="1113"/>
      <c r="Y1234" s="1113"/>
      <c r="Z1234" s="1113"/>
      <c r="AA1234" s="1114"/>
      <c r="AB1234" s="1719"/>
      <c r="AC1234" s="410"/>
      <c r="AD1234" s="410"/>
      <c r="AE1234" s="1308"/>
    </row>
    <row r="1235" spans="1:31" ht="18" customHeight="1">
      <c r="A1235" s="5629"/>
      <c r="B1235" s="5573"/>
      <c r="C1235" s="5337"/>
      <c r="D1235" s="5337"/>
      <c r="E1235" s="5337"/>
      <c r="F1235" s="5337"/>
      <c r="G1235" s="5337"/>
      <c r="H1235" s="5337"/>
      <c r="I1235" s="5337"/>
      <c r="J1235" s="5337"/>
      <c r="K1235" s="5337"/>
      <c r="L1235" s="5337"/>
      <c r="M1235" s="5337"/>
      <c r="N1235" s="5337"/>
      <c r="O1235" s="5337"/>
      <c r="P1235" s="5337"/>
      <c r="Q1235" s="5345"/>
      <c r="R1235" s="1110"/>
      <c r="S1235" s="1111"/>
      <c r="T1235" s="1111"/>
      <c r="U1235" s="1711"/>
      <c r="V1235" s="1112"/>
      <c r="W1235" s="1719"/>
      <c r="X1235" s="1113"/>
      <c r="Y1235" s="1113"/>
      <c r="Z1235" s="1113"/>
      <c r="AA1235" s="1114"/>
      <c r="AB1235" s="1719"/>
      <c r="AC1235" s="410"/>
      <c r="AD1235" s="410"/>
      <c r="AE1235" s="1308"/>
    </row>
    <row r="1236" spans="1:31" ht="18" customHeight="1">
      <c r="A1236" s="5629"/>
      <c r="B1236" s="5573"/>
      <c r="C1236" s="5337"/>
      <c r="D1236" s="5337"/>
      <c r="E1236" s="5337"/>
      <c r="F1236" s="5337"/>
      <c r="G1236" s="5337"/>
      <c r="H1236" s="5337"/>
      <c r="I1236" s="5337"/>
      <c r="J1236" s="5337"/>
      <c r="K1236" s="5337"/>
      <c r="L1236" s="5337"/>
      <c r="M1236" s="5337"/>
      <c r="N1236" s="5337"/>
      <c r="O1236" s="5337"/>
      <c r="P1236" s="5337"/>
      <c r="Q1236" s="5345"/>
      <c r="R1236" s="1110"/>
      <c r="S1236" s="1111"/>
      <c r="T1236" s="1111"/>
      <c r="U1236" s="1711"/>
      <c r="V1236" s="1112"/>
      <c r="W1236" s="1719"/>
      <c r="X1236" s="1113"/>
      <c r="Y1236" s="1113"/>
      <c r="Z1236" s="1113"/>
      <c r="AA1236" s="1114"/>
      <c r="AB1236" s="1719"/>
      <c r="AC1236" s="410"/>
      <c r="AD1236" s="410"/>
      <c r="AE1236" s="1308"/>
    </row>
    <row r="1237" spans="1:31" ht="18" customHeight="1">
      <c r="A1237" s="5629"/>
      <c r="B1237" s="5574"/>
      <c r="C1237" s="5338"/>
      <c r="D1237" s="5338"/>
      <c r="E1237" s="5338"/>
      <c r="F1237" s="5338"/>
      <c r="G1237" s="5338"/>
      <c r="H1237" s="5338"/>
      <c r="I1237" s="5338"/>
      <c r="J1237" s="5338"/>
      <c r="K1237" s="5338"/>
      <c r="L1237" s="5338"/>
      <c r="M1237" s="5338"/>
      <c r="N1237" s="5338"/>
      <c r="O1237" s="5338"/>
      <c r="P1237" s="5338"/>
      <c r="Q1237" s="5346"/>
      <c r="R1237" s="1309"/>
      <c r="S1237" s="1310"/>
      <c r="T1237" s="1310"/>
      <c r="U1237" s="277"/>
      <c r="V1237" s="1311"/>
      <c r="W1237" s="416"/>
      <c r="X1237" s="1312"/>
      <c r="Y1237" s="1312"/>
      <c r="Z1237" s="1312"/>
      <c r="AA1237" s="1313"/>
      <c r="AB1237" s="416"/>
      <c r="AC1237" s="278"/>
      <c r="AD1237" s="278"/>
      <c r="AE1237" s="1314"/>
    </row>
    <row r="1238" spans="1:31" ht="18" customHeight="1">
      <c r="A1238" s="5629"/>
      <c r="B1238" s="5626" t="s">
        <v>272</v>
      </c>
      <c r="C1238" s="5624" t="s">
        <v>302</v>
      </c>
      <c r="D1238" s="5624" t="s">
        <v>303</v>
      </c>
      <c r="E1238" s="5624" t="s">
        <v>304</v>
      </c>
      <c r="F1238" s="5622" t="s">
        <v>305</v>
      </c>
      <c r="G1238" s="5624" t="s">
        <v>240</v>
      </c>
      <c r="H1238" s="5624" t="s">
        <v>257</v>
      </c>
      <c r="I1238" s="5618" t="s">
        <v>3167</v>
      </c>
      <c r="J1238" s="5618" t="s">
        <v>3168</v>
      </c>
      <c r="K1238" s="5618" t="s">
        <v>3006</v>
      </c>
      <c r="L1238" s="5619">
        <v>2</v>
      </c>
      <c r="M1238" s="5619">
        <v>0</v>
      </c>
      <c r="N1238" s="5619">
        <v>2</v>
      </c>
      <c r="O1238" s="5618" t="s">
        <v>3169</v>
      </c>
      <c r="P1238" s="5618" t="s">
        <v>3170</v>
      </c>
      <c r="Q1238" s="5620" t="s">
        <v>3316</v>
      </c>
      <c r="R1238" s="1110"/>
      <c r="S1238" s="1111"/>
      <c r="T1238" s="1111"/>
      <c r="U1238" s="1711"/>
      <c r="V1238" s="1112"/>
      <c r="W1238" s="1719"/>
      <c r="X1238" s="1113"/>
      <c r="Y1238" s="1113"/>
      <c r="Z1238" s="1113"/>
      <c r="AA1238" s="1114"/>
      <c r="AB1238" s="1719"/>
      <c r="AC1238" s="410"/>
      <c r="AD1238" s="410"/>
      <c r="AE1238" s="1308"/>
    </row>
    <row r="1239" spans="1:31" ht="18" customHeight="1">
      <c r="A1239" s="5629"/>
      <c r="B1239" s="5573"/>
      <c r="C1239" s="5337"/>
      <c r="D1239" s="5337"/>
      <c r="E1239" s="5337"/>
      <c r="F1239" s="5337"/>
      <c r="G1239" s="5337"/>
      <c r="H1239" s="5337"/>
      <c r="I1239" s="5337"/>
      <c r="J1239" s="5337"/>
      <c r="K1239" s="5337"/>
      <c r="L1239" s="5337"/>
      <c r="M1239" s="5337"/>
      <c r="N1239" s="5337"/>
      <c r="O1239" s="5337"/>
      <c r="P1239" s="5337"/>
      <c r="Q1239" s="5345"/>
      <c r="R1239" s="1110"/>
      <c r="S1239" s="1111"/>
      <c r="T1239" s="1111"/>
      <c r="U1239" s="1711"/>
      <c r="V1239" s="1112"/>
      <c r="W1239" s="1719"/>
      <c r="X1239" s="1113"/>
      <c r="Y1239" s="1113"/>
      <c r="Z1239" s="1113"/>
      <c r="AA1239" s="1114"/>
      <c r="AB1239" s="1719"/>
      <c r="AC1239" s="410"/>
      <c r="AD1239" s="410"/>
      <c r="AE1239" s="1308"/>
    </row>
    <row r="1240" spans="1:31" ht="18" customHeight="1">
      <c r="A1240" s="5629"/>
      <c r="B1240" s="5573"/>
      <c r="C1240" s="5337"/>
      <c r="D1240" s="5337"/>
      <c r="E1240" s="5337"/>
      <c r="F1240" s="5337"/>
      <c r="G1240" s="5337"/>
      <c r="H1240" s="5337"/>
      <c r="I1240" s="5337"/>
      <c r="J1240" s="5337"/>
      <c r="K1240" s="5337"/>
      <c r="L1240" s="5337"/>
      <c r="M1240" s="5337"/>
      <c r="N1240" s="5337"/>
      <c r="O1240" s="5337"/>
      <c r="P1240" s="5337"/>
      <c r="Q1240" s="5345"/>
      <c r="R1240" s="1110"/>
      <c r="S1240" s="1111"/>
      <c r="T1240" s="1111"/>
      <c r="U1240" s="1711"/>
      <c r="V1240" s="1112"/>
      <c r="W1240" s="1719"/>
      <c r="X1240" s="1113"/>
      <c r="Y1240" s="1113"/>
      <c r="Z1240" s="1113"/>
      <c r="AA1240" s="1114"/>
      <c r="AB1240" s="1719"/>
      <c r="AC1240" s="410"/>
      <c r="AD1240" s="410"/>
      <c r="AE1240" s="1308"/>
    </row>
    <row r="1241" spans="1:31" ht="18" customHeight="1">
      <c r="A1241" s="5629"/>
      <c r="B1241" s="5573"/>
      <c r="C1241" s="5337"/>
      <c r="D1241" s="5337"/>
      <c r="E1241" s="5337"/>
      <c r="F1241" s="5337"/>
      <c r="G1241" s="5337"/>
      <c r="H1241" s="5337"/>
      <c r="I1241" s="5337"/>
      <c r="J1241" s="5337"/>
      <c r="K1241" s="5337"/>
      <c r="L1241" s="5337"/>
      <c r="M1241" s="5337"/>
      <c r="N1241" s="5337"/>
      <c r="O1241" s="5337"/>
      <c r="P1241" s="5337"/>
      <c r="Q1241" s="5345"/>
      <c r="R1241" s="1110"/>
      <c r="S1241" s="1111"/>
      <c r="T1241" s="1111"/>
      <c r="U1241" s="1711"/>
      <c r="V1241" s="1112"/>
      <c r="W1241" s="1719"/>
      <c r="X1241" s="1113"/>
      <c r="Y1241" s="1113"/>
      <c r="Z1241" s="1113"/>
      <c r="AA1241" s="1114"/>
      <c r="AB1241" s="1719"/>
      <c r="AC1241" s="410"/>
      <c r="AD1241" s="410"/>
      <c r="AE1241" s="1308"/>
    </row>
    <row r="1242" spans="1:31" ht="18" customHeight="1">
      <c r="A1242" s="5629"/>
      <c r="B1242" s="5574"/>
      <c r="C1242" s="5338"/>
      <c r="D1242" s="5338"/>
      <c r="E1242" s="5338"/>
      <c r="F1242" s="5338"/>
      <c r="G1242" s="5338"/>
      <c r="H1242" s="5338"/>
      <c r="I1242" s="5337"/>
      <c r="J1242" s="5337"/>
      <c r="K1242" s="5337"/>
      <c r="L1242" s="5337"/>
      <c r="M1242" s="5337"/>
      <c r="N1242" s="5337"/>
      <c r="O1242" s="5337"/>
      <c r="P1242" s="5337"/>
      <c r="Q1242" s="5345"/>
      <c r="R1242" s="1110"/>
      <c r="S1242" s="1111"/>
      <c r="T1242" s="1111"/>
      <c r="U1242" s="1711"/>
      <c r="V1242" s="1112"/>
      <c r="W1242" s="1719"/>
      <c r="X1242" s="1113"/>
      <c r="Y1242" s="1113"/>
      <c r="Z1242" s="1113"/>
      <c r="AA1242" s="1114"/>
      <c r="AB1242" s="1719"/>
      <c r="AC1242" s="410"/>
      <c r="AD1242" s="410"/>
      <c r="AE1242" s="1308"/>
    </row>
    <row r="1243" spans="1:31" ht="18" customHeight="1">
      <c r="A1243" s="5629"/>
      <c r="B1243" s="5626" t="s">
        <v>272</v>
      </c>
      <c r="C1243" s="5624" t="s">
        <v>302</v>
      </c>
      <c r="D1243" s="5624" t="s">
        <v>303</v>
      </c>
      <c r="E1243" s="5624" t="s">
        <v>304</v>
      </c>
      <c r="F1243" s="5622" t="s">
        <v>305</v>
      </c>
      <c r="G1243" s="5624" t="s">
        <v>240</v>
      </c>
      <c r="H1243" s="5624" t="s">
        <v>257</v>
      </c>
      <c r="I1243" s="5618" t="s">
        <v>3171</v>
      </c>
      <c r="J1243" s="5618" t="s">
        <v>3172</v>
      </c>
      <c r="K1243" s="5618" t="s">
        <v>3173</v>
      </c>
      <c r="L1243" s="5619">
        <v>4</v>
      </c>
      <c r="M1243" s="5619">
        <v>4</v>
      </c>
      <c r="N1243" s="5619">
        <v>4</v>
      </c>
      <c r="O1243" s="5618" t="s">
        <v>3174</v>
      </c>
      <c r="P1243" s="5618" t="s">
        <v>3175</v>
      </c>
      <c r="Q1243" s="5620" t="s">
        <v>3318</v>
      </c>
      <c r="R1243" s="1110"/>
      <c r="S1243" s="1111"/>
      <c r="T1243" s="1111"/>
      <c r="U1243" s="1711"/>
      <c r="V1243" s="1112"/>
      <c r="W1243" s="1719"/>
      <c r="X1243" s="1113"/>
      <c r="Y1243" s="1113"/>
      <c r="Z1243" s="1113"/>
      <c r="AA1243" s="1114"/>
      <c r="AB1243" s="1719"/>
      <c r="AC1243" s="410"/>
      <c r="AD1243" s="410"/>
      <c r="AE1243" s="1308"/>
    </row>
    <row r="1244" spans="1:31" ht="18" customHeight="1">
      <c r="A1244" s="5629"/>
      <c r="B1244" s="5573"/>
      <c r="C1244" s="5337"/>
      <c r="D1244" s="5337"/>
      <c r="E1244" s="5337"/>
      <c r="F1244" s="5337"/>
      <c r="G1244" s="5337"/>
      <c r="H1244" s="5337"/>
      <c r="I1244" s="5337"/>
      <c r="J1244" s="5337"/>
      <c r="K1244" s="5337"/>
      <c r="L1244" s="5337"/>
      <c r="M1244" s="5337"/>
      <c r="N1244" s="5337"/>
      <c r="O1244" s="5337"/>
      <c r="P1244" s="5337"/>
      <c r="Q1244" s="5345"/>
      <c r="R1244" s="1110"/>
      <c r="S1244" s="1111"/>
      <c r="T1244" s="1111"/>
      <c r="U1244" s="1711"/>
      <c r="V1244" s="1112"/>
      <c r="W1244" s="1719"/>
      <c r="X1244" s="1113"/>
      <c r="Y1244" s="1113"/>
      <c r="Z1244" s="1113"/>
      <c r="AA1244" s="1114"/>
      <c r="AB1244" s="1719"/>
      <c r="AC1244" s="410"/>
      <c r="AD1244" s="410"/>
      <c r="AE1244" s="1308"/>
    </row>
    <row r="1245" spans="1:31" ht="18" customHeight="1">
      <c r="A1245" s="5629"/>
      <c r="B1245" s="5573"/>
      <c r="C1245" s="5337"/>
      <c r="D1245" s="5337"/>
      <c r="E1245" s="5337"/>
      <c r="F1245" s="5337"/>
      <c r="G1245" s="5337"/>
      <c r="H1245" s="5337"/>
      <c r="I1245" s="5337"/>
      <c r="J1245" s="5337"/>
      <c r="K1245" s="5337"/>
      <c r="L1245" s="5337"/>
      <c r="M1245" s="5337"/>
      <c r="N1245" s="5337"/>
      <c r="O1245" s="5337"/>
      <c r="P1245" s="5337"/>
      <c r="Q1245" s="5345"/>
      <c r="R1245" s="1110"/>
      <c r="S1245" s="1111"/>
      <c r="T1245" s="1111"/>
      <c r="U1245" s="1711"/>
      <c r="V1245" s="1112"/>
      <c r="W1245" s="1719"/>
      <c r="X1245" s="1113"/>
      <c r="Y1245" s="1113"/>
      <c r="Z1245" s="1113"/>
      <c r="AA1245" s="1114"/>
      <c r="AB1245" s="1719"/>
      <c r="AC1245" s="410"/>
      <c r="AD1245" s="410"/>
      <c r="AE1245" s="1308"/>
    </row>
    <row r="1246" spans="1:31" ht="18" customHeight="1">
      <c r="A1246" s="5629"/>
      <c r="B1246" s="5573"/>
      <c r="C1246" s="5337"/>
      <c r="D1246" s="5337"/>
      <c r="E1246" s="5337"/>
      <c r="F1246" s="5337"/>
      <c r="G1246" s="5337"/>
      <c r="H1246" s="5337"/>
      <c r="I1246" s="5337"/>
      <c r="J1246" s="5337"/>
      <c r="K1246" s="5337"/>
      <c r="L1246" s="5337"/>
      <c r="M1246" s="5337"/>
      <c r="N1246" s="5337"/>
      <c r="O1246" s="5337"/>
      <c r="P1246" s="5337"/>
      <c r="Q1246" s="5345"/>
      <c r="R1246" s="1110"/>
      <c r="S1246" s="1111"/>
      <c r="T1246" s="1111"/>
      <c r="U1246" s="1711"/>
      <c r="V1246" s="1112"/>
      <c r="W1246" s="1719"/>
      <c r="X1246" s="1113"/>
      <c r="Y1246" s="1113"/>
      <c r="Z1246" s="1113"/>
      <c r="AA1246" s="1114"/>
      <c r="AB1246" s="1719"/>
      <c r="AC1246" s="410"/>
      <c r="AD1246" s="410"/>
      <c r="AE1246" s="1308"/>
    </row>
    <row r="1247" spans="1:31" ht="18" customHeight="1">
      <c r="A1247" s="5629"/>
      <c r="B1247" s="5574"/>
      <c r="C1247" s="5338"/>
      <c r="D1247" s="5338"/>
      <c r="E1247" s="5338"/>
      <c r="F1247" s="5338"/>
      <c r="G1247" s="5338"/>
      <c r="H1247" s="5338"/>
      <c r="I1247" s="5338"/>
      <c r="J1247" s="5338"/>
      <c r="K1247" s="5338"/>
      <c r="L1247" s="5338"/>
      <c r="M1247" s="5338"/>
      <c r="N1247" s="5338"/>
      <c r="O1247" s="5338"/>
      <c r="P1247" s="5338"/>
      <c r="Q1247" s="5346"/>
      <c r="R1247" s="1110"/>
      <c r="S1247" s="1111"/>
      <c r="T1247" s="1111"/>
      <c r="U1247" s="1711"/>
      <c r="V1247" s="1112"/>
      <c r="W1247" s="1719"/>
      <c r="X1247" s="1113"/>
      <c r="Y1247" s="1113"/>
      <c r="Z1247" s="1113"/>
      <c r="AA1247" s="1114"/>
      <c r="AB1247" s="1719"/>
      <c r="AC1247" s="410"/>
      <c r="AD1247" s="410"/>
      <c r="AE1247" s="1308"/>
    </row>
    <row r="1248" spans="1:31" ht="18" customHeight="1">
      <c r="A1248" s="5629"/>
      <c r="B1248" s="5626" t="s">
        <v>272</v>
      </c>
      <c r="C1248" s="5624" t="s">
        <v>302</v>
      </c>
      <c r="D1248" s="5624" t="s">
        <v>303</v>
      </c>
      <c r="E1248" s="5624" t="s">
        <v>304</v>
      </c>
      <c r="F1248" s="5622" t="s">
        <v>305</v>
      </c>
      <c r="G1248" s="5624" t="s">
        <v>240</v>
      </c>
      <c r="H1248" s="5624" t="s">
        <v>257</v>
      </c>
      <c r="I1248" s="5618" t="s">
        <v>3177</v>
      </c>
      <c r="J1248" s="5618" t="s">
        <v>3178</v>
      </c>
      <c r="K1248" s="5618" t="s">
        <v>3146</v>
      </c>
      <c r="L1248" s="5619">
        <v>1</v>
      </c>
      <c r="M1248" s="5619">
        <v>1</v>
      </c>
      <c r="N1248" s="5619">
        <v>1</v>
      </c>
      <c r="O1248" s="5618" t="s">
        <v>3179</v>
      </c>
      <c r="P1248" s="5618" t="s">
        <v>3180</v>
      </c>
      <c r="Q1248" s="5620" t="s">
        <v>3318</v>
      </c>
      <c r="R1248" s="1110"/>
      <c r="S1248" s="1111"/>
      <c r="T1248" s="1111"/>
      <c r="U1248" s="1711"/>
      <c r="V1248" s="1112"/>
      <c r="W1248" s="1719"/>
      <c r="X1248" s="1113"/>
      <c r="Y1248" s="1113"/>
      <c r="Z1248" s="1113"/>
      <c r="AA1248" s="1114"/>
      <c r="AB1248" s="1719"/>
      <c r="AC1248" s="410"/>
      <c r="AD1248" s="410"/>
      <c r="AE1248" s="1308"/>
    </row>
    <row r="1249" spans="1:31" ht="18" customHeight="1">
      <c r="A1249" s="5629"/>
      <c r="B1249" s="5573"/>
      <c r="C1249" s="5337"/>
      <c r="D1249" s="5337"/>
      <c r="E1249" s="5337"/>
      <c r="F1249" s="5337"/>
      <c r="G1249" s="5337"/>
      <c r="H1249" s="5337"/>
      <c r="I1249" s="5337"/>
      <c r="J1249" s="5337"/>
      <c r="K1249" s="5337"/>
      <c r="L1249" s="5337"/>
      <c r="M1249" s="5337"/>
      <c r="N1249" s="5337"/>
      <c r="O1249" s="5337"/>
      <c r="P1249" s="5337"/>
      <c r="Q1249" s="5345"/>
      <c r="R1249" s="1110"/>
      <c r="S1249" s="1111"/>
      <c r="T1249" s="1111"/>
      <c r="U1249" s="1711"/>
      <c r="V1249" s="1112"/>
      <c r="W1249" s="1719"/>
      <c r="X1249" s="1113"/>
      <c r="Y1249" s="1113"/>
      <c r="Z1249" s="1113"/>
      <c r="AA1249" s="1114"/>
      <c r="AB1249" s="1719"/>
      <c r="AC1249" s="410"/>
      <c r="AD1249" s="410"/>
      <c r="AE1249" s="1308"/>
    </row>
    <row r="1250" spans="1:31" ht="18" customHeight="1">
      <c r="A1250" s="5629"/>
      <c r="B1250" s="5573"/>
      <c r="C1250" s="5337"/>
      <c r="D1250" s="5337"/>
      <c r="E1250" s="5337"/>
      <c r="F1250" s="5337"/>
      <c r="G1250" s="5337"/>
      <c r="H1250" s="5337"/>
      <c r="I1250" s="5337"/>
      <c r="J1250" s="5337"/>
      <c r="K1250" s="5337"/>
      <c r="L1250" s="5337"/>
      <c r="M1250" s="5337"/>
      <c r="N1250" s="5337"/>
      <c r="O1250" s="5337"/>
      <c r="P1250" s="5337"/>
      <c r="Q1250" s="5345"/>
      <c r="R1250" s="1110"/>
      <c r="S1250" s="1111"/>
      <c r="T1250" s="1111"/>
      <c r="U1250" s="1711"/>
      <c r="V1250" s="1112"/>
      <c r="W1250" s="1719"/>
      <c r="X1250" s="1113"/>
      <c r="Y1250" s="1113"/>
      <c r="Z1250" s="1113"/>
      <c r="AA1250" s="1114"/>
      <c r="AB1250" s="1719"/>
      <c r="AC1250" s="410"/>
      <c r="AD1250" s="410"/>
      <c r="AE1250" s="1308"/>
    </row>
    <row r="1251" spans="1:31" ht="18" customHeight="1">
      <c r="A1251" s="5629"/>
      <c r="B1251" s="5573"/>
      <c r="C1251" s="5337"/>
      <c r="D1251" s="5337"/>
      <c r="E1251" s="5337"/>
      <c r="F1251" s="5337"/>
      <c r="G1251" s="5337"/>
      <c r="H1251" s="5337"/>
      <c r="I1251" s="5337"/>
      <c r="J1251" s="5337"/>
      <c r="K1251" s="5337"/>
      <c r="L1251" s="5337"/>
      <c r="M1251" s="5337"/>
      <c r="N1251" s="5337"/>
      <c r="O1251" s="5337"/>
      <c r="P1251" s="5337"/>
      <c r="Q1251" s="5345"/>
      <c r="R1251" s="1110"/>
      <c r="S1251" s="1111"/>
      <c r="T1251" s="1111"/>
      <c r="U1251" s="1711"/>
      <c r="V1251" s="1112"/>
      <c r="W1251" s="1719"/>
      <c r="X1251" s="1113"/>
      <c r="Y1251" s="1113"/>
      <c r="Z1251" s="1113"/>
      <c r="AA1251" s="1114"/>
      <c r="AB1251" s="1719"/>
      <c r="AC1251" s="410"/>
      <c r="AD1251" s="410"/>
      <c r="AE1251" s="1308"/>
    </row>
    <row r="1252" spans="1:31" ht="18" customHeight="1">
      <c r="A1252" s="5629"/>
      <c r="B1252" s="5574"/>
      <c r="C1252" s="5338"/>
      <c r="D1252" s="5338"/>
      <c r="E1252" s="5338"/>
      <c r="F1252" s="5338"/>
      <c r="G1252" s="5338"/>
      <c r="H1252" s="5338"/>
      <c r="I1252" s="5338"/>
      <c r="J1252" s="5338"/>
      <c r="K1252" s="5338"/>
      <c r="L1252" s="5338"/>
      <c r="M1252" s="5338"/>
      <c r="N1252" s="5338"/>
      <c r="O1252" s="5338"/>
      <c r="P1252" s="5338"/>
      <c r="Q1252" s="5346"/>
      <c r="R1252" s="1309"/>
      <c r="S1252" s="1310"/>
      <c r="T1252" s="1310"/>
      <c r="U1252" s="277"/>
      <c r="V1252" s="1311"/>
      <c r="W1252" s="416"/>
      <c r="X1252" s="1312"/>
      <c r="Y1252" s="1312"/>
      <c r="Z1252" s="1312"/>
      <c r="AA1252" s="1313"/>
      <c r="AB1252" s="416"/>
      <c r="AC1252" s="278"/>
      <c r="AD1252" s="278"/>
      <c r="AE1252" s="1314"/>
    </row>
    <row r="1253" spans="1:31" ht="18" customHeight="1">
      <c r="A1253" s="5629"/>
      <c r="B1253" s="5626" t="s">
        <v>272</v>
      </c>
      <c r="C1253" s="5624" t="s">
        <v>302</v>
      </c>
      <c r="D1253" s="5624" t="s">
        <v>303</v>
      </c>
      <c r="E1253" s="5624" t="s">
        <v>304</v>
      </c>
      <c r="F1253" s="5622" t="s">
        <v>305</v>
      </c>
      <c r="G1253" s="5624" t="s">
        <v>240</v>
      </c>
      <c r="H1253" s="5624" t="s">
        <v>257</v>
      </c>
      <c r="I1253" s="5618" t="s">
        <v>3181</v>
      </c>
      <c r="J1253" s="5618" t="s">
        <v>3182</v>
      </c>
      <c r="K1253" s="5618" t="s">
        <v>3173</v>
      </c>
      <c r="L1253" s="5619">
        <v>0</v>
      </c>
      <c r="M1253" s="5619">
        <v>1</v>
      </c>
      <c r="N1253" s="5619">
        <v>1</v>
      </c>
      <c r="O1253" s="5618" t="s">
        <v>3183</v>
      </c>
      <c r="P1253" s="5618" t="s">
        <v>3184</v>
      </c>
      <c r="Q1253" s="5620" t="s">
        <v>3318</v>
      </c>
      <c r="R1253" s="1110"/>
      <c r="S1253" s="1111"/>
      <c r="T1253" s="1111"/>
      <c r="U1253" s="1711"/>
      <c r="V1253" s="1112"/>
      <c r="W1253" s="1719"/>
      <c r="X1253" s="1113"/>
      <c r="Y1253" s="1113"/>
      <c r="Z1253" s="1113"/>
      <c r="AA1253" s="1114"/>
      <c r="AB1253" s="1719"/>
      <c r="AC1253" s="410"/>
      <c r="AD1253" s="410"/>
      <c r="AE1253" s="1308"/>
    </row>
    <row r="1254" spans="1:31" ht="18" customHeight="1">
      <c r="A1254" s="5629"/>
      <c r="B1254" s="5573"/>
      <c r="C1254" s="5337"/>
      <c r="D1254" s="5337"/>
      <c r="E1254" s="5337"/>
      <c r="F1254" s="5337"/>
      <c r="G1254" s="5337"/>
      <c r="H1254" s="5337"/>
      <c r="I1254" s="5337"/>
      <c r="J1254" s="5337"/>
      <c r="K1254" s="5337"/>
      <c r="L1254" s="5337"/>
      <c r="M1254" s="5337"/>
      <c r="N1254" s="5337"/>
      <c r="O1254" s="5337"/>
      <c r="P1254" s="5337"/>
      <c r="Q1254" s="5345"/>
      <c r="R1254" s="1110"/>
      <c r="S1254" s="1111"/>
      <c r="T1254" s="1111"/>
      <c r="U1254" s="1711"/>
      <c r="V1254" s="1112"/>
      <c r="W1254" s="1719"/>
      <c r="X1254" s="1113"/>
      <c r="Y1254" s="1113"/>
      <c r="Z1254" s="1113"/>
      <c r="AA1254" s="1114"/>
      <c r="AB1254" s="1719"/>
      <c r="AC1254" s="410"/>
      <c r="AD1254" s="410"/>
      <c r="AE1254" s="1308"/>
    </row>
    <row r="1255" spans="1:31" ht="18" customHeight="1">
      <c r="A1255" s="5629"/>
      <c r="B1255" s="5573"/>
      <c r="C1255" s="5337"/>
      <c r="D1255" s="5337"/>
      <c r="E1255" s="5337"/>
      <c r="F1255" s="5337"/>
      <c r="G1255" s="5337"/>
      <c r="H1255" s="5337"/>
      <c r="I1255" s="5337"/>
      <c r="J1255" s="5337"/>
      <c r="K1255" s="5337"/>
      <c r="L1255" s="5337"/>
      <c r="M1255" s="5337"/>
      <c r="N1255" s="5337"/>
      <c r="O1255" s="5337"/>
      <c r="P1255" s="5337"/>
      <c r="Q1255" s="5345"/>
      <c r="R1255" s="1110"/>
      <c r="S1255" s="1111"/>
      <c r="T1255" s="1111"/>
      <c r="U1255" s="1711"/>
      <c r="V1255" s="1112"/>
      <c r="W1255" s="1719"/>
      <c r="X1255" s="1113"/>
      <c r="Y1255" s="1113"/>
      <c r="Z1255" s="1113"/>
      <c r="AA1255" s="1114"/>
      <c r="AB1255" s="1719"/>
      <c r="AC1255" s="410"/>
      <c r="AD1255" s="410"/>
      <c r="AE1255" s="1308"/>
    </row>
    <row r="1256" spans="1:31" ht="18" customHeight="1">
      <c r="A1256" s="5629"/>
      <c r="B1256" s="5573"/>
      <c r="C1256" s="5337"/>
      <c r="D1256" s="5337"/>
      <c r="E1256" s="5337"/>
      <c r="F1256" s="5337"/>
      <c r="G1256" s="5337"/>
      <c r="H1256" s="5337"/>
      <c r="I1256" s="5337"/>
      <c r="J1256" s="5337"/>
      <c r="K1256" s="5337"/>
      <c r="L1256" s="5337"/>
      <c r="M1256" s="5337"/>
      <c r="N1256" s="5337"/>
      <c r="O1256" s="5337"/>
      <c r="P1256" s="5337"/>
      <c r="Q1256" s="5345"/>
      <c r="R1256" s="1110"/>
      <c r="S1256" s="1111"/>
      <c r="T1256" s="1111"/>
      <c r="U1256" s="1711"/>
      <c r="V1256" s="1112"/>
      <c r="W1256" s="1719"/>
      <c r="X1256" s="1113"/>
      <c r="Y1256" s="1113"/>
      <c r="Z1256" s="1113"/>
      <c r="AA1256" s="1114"/>
      <c r="AB1256" s="1719"/>
      <c r="AC1256" s="410"/>
      <c r="AD1256" s="410"/>
      <c r="AE1256" s="1308"/>
    </row>
    <row r="1257" spans="1:31" ht="18" customHeight="1">
      <c r="A1257" s="5629"/>
      <c r="B1257" s="5574"/>
      <c r="C1257" s="5338"/>
      <c r="D1257" s="5338"/>
      <c r="E1257" s="5338"/>
      <c r="F1257" s="5338"/>
      <c r="G1257" s="5338"/>
      <c r="H1257" s="5338"/>
      <c r="I1257" s="5338"/>
      <c r="J1257" s="5338"/>
      <c r="K1257" s="5338"/>
      <c r="L1257" s="5338"/>
      <c r="M1257" s="5338"/>
      <c r="N1257" s="5338"/>
      <c r="O1257" s="5338"/>
      <c r="P1257" s="5338"/>
      <c r="Q1257" s="5346"/>
      <c r="R1257" s="1309"/>
      <c r="S1257" s="1310"/>
      <c r="T1257" s="1310"/>
      <c r="U1257" s="277"/>
      <c r="V1257" s="1311"/>
      <c r="W1257" s="416"/>
      <c r="X1257" s="1312"/>
      <c r="Y1257" s="1312"/>
      <c r="Z1257" s="1312"/>
      <c r="AA1257" s="1313"/>
      <c r="AB1257" s="416"/>
      <c r="AC1257" s="278"/>
      <c r="AD1257" s="278"/>
      <c r="AE1257" s="1314"/>
    </row>
    <row r="1258" spans="1:31" ht="18" customHeight="1">
      <c r="A1258" s="5629"/>
      <c r="B1258" s="5627" t="s">
        <v>235</v>
      </c>
      <c r="C1258" s="5347" t="s">
        <v>236</v>
      </c>
      <c r="D1258" s="5347" t="s">
        <v>237</v>
      </c>
      <c r="E1258" s="5347" t="s">
        <v>255</v>
      </c>
      <c r="F1258" s="5353" t="s">
        <v>239</v>
      </c>
      <c r="G1258" s="5336" t="s">
        <v>240</v>
      </c>
      <c r="H1258" s="5336" t="s">
        <v>257</v>
      </c>
      <c r="I1258" s="5618" t="s">
        <v>3185</v>
      </c>
      <c r="J1258" s="5618" t="s">
        <v>3186</v>
      </c>
      <c r="K1258" s="5618" t="s">
        <v>3187</v>
      </c>
      <c r="L1258" s="5619">
        <v>1</v>
      </c>
      <c r="M1258" s="5619">
        <v>1</v>
      </c>
      <c r="N1258" s="5619">
        <v>1</v>
      </c>
      <c r="O1258" s="5618" t="s">
        <v>3188</v>
      </c>
      <c r="P1258" s="5618" t="s">
        <v>3189</v>
      </c>
      <c r="Q1258" s="5620" t="s">
        <v>3316</v>
      </c>
      <c r="R1258" s="1110"/>
      <c r="S1258" s="1111"/>
      <c r="T1258" s="1111"/>
      <c r="U1258" s="1711"/>
      <c r="V1258" s="1112"/>
      <c r="W1258" s="1719"/>
      <c r="X1258" s="1113"/>
      <c r="Y1258" s="1113"/>
      <c r="Z1258" s="1113"/>
      <c r="AA1258" s="1114"/>
      <c r="AB1258" s="1719"/>
      <c r="AC1258" s="410"/>
      <c r="AD1258" s="410"/>
      <c r="AE1258" s="1308"/>
    </row>
    <row r="1259" spans="1:31" ht="18" customHeight="1">
      <c r="A1259" s="5629"/>
      <c r="B1259" s="5573"/>
      <c r="C1259" s="5337"/>
      <c r="D1259" s="5337"/>
      <c r="E1259" s="5337"/>
      <c r="F1259" s="5337"/>
      <c r="G1259" s="5337"/>
      <c r="H1259" s="5337"/>
      <c r="I1259" s="5337"/>
      <c r="J1259" s="5337"/>
      <c r="K1259" s="5337"/>
      <c r="L1259" s="5337"/>
      <c r="M1259" s="5337"/>
      <c r="N1259" s="5337"/>
      <c r="O1259" s="5337"/>
      <c r="P1259" s="5337"/>
      <c r="Q1259" s="5345"/>
      <c r="R1259" s="1110"/>
      <c r="S1259" s="1111"/>
      <c r="T1259" s="1111"/>
      <c r="U1259" s="1711"/>
      <c r="V1259" s="1112"/>
      <c r="W1259" s="1719"/>
      <c r="X1259" s="1113"/>
      <c r="Y1259" s="1113"/>
      <c r="Z1259" s="1113"/>
      <c r="AA1259" s="1114"/>
      <c r="AB1259" s="1719"/>
      <c r="AC1259" s="410"/>
      <c r="AD1259" s="410"/>
      <c r="AE1259" s="1308"/>
    </row>
    <row r="1260" spans="1:31" ht="18" customHeight="1">
      <c r="A1260" s="5629"/>
      <c r="B1260" s="5573"/>
      <c r="C1260" s="5337"/>
      <c r="D1260" s="5337"/>
      <c r="E1260" s="5337"/>
      <c r="F1260" s="5337"/>
      <c r="G1260" s="5337"/>
      <c r="H1260" s="5337"/>
      <c r="I1260" s="5337"/>
      <c r="J1260" s="5337"/>
      <c r="K1260" s="5337"/>
      <c r="L1260" s="5337"/>
      <c r="M1260" s="5337"/>
      <c r="N1260" s="5337"/>
      <c r="O1260" s="5337"/>
      <c r="P1260" s="5337"/>
      <c r="Q1260" s="5345"/>
      <c r="R1260" s="1110"/>
      <c r="S1260" s="1111"/>
      <c r="T1260" s="1111"/>
      <c r="U1260" s="1711"/>
      <c r="V1260" s="1112"/>
      <c r="W1260" s="1719"/>
      <c r="X1260" s="1113"/>
      <c r="Y1260" s="1113"/>
      <c r="Z1260" s="1113"/>
      <c r="AA1260" s="1114"/>
      <c r="AB1260" s="1719"/>
      <c r="AC1260" s="410"/>
      <c r="AD1260" s="410"/>
      <c r="AE1260" s="1308"/>
    </row>
    <row r="1261" spans="1:31" ht="18" customHeight="1">
      <c r="A1261" s="5629"/>
      <c r="B1261" s="5573"/>
      <c r="C1261" s="5337"/>
      <c r="D1261" s="5337"/>
      <c r="E1261" s="5337"/>
      <c r="F1261" s="5337"/>
      <c r="G1261" s="5337"/>
      <c r="H1261" s="5337"/>
      <c r="I1261" s="5337"/>
      <c r="J1261" s="5337"/>
      <c r="K1261" s="5337"/>
      <c r="L1261" s="5337"/>
      <c r="M1261" s="5337"/>
      <c r="N1261" s="5337"/>
      <c r="O1261" s="5337"/>
      <c r="P1261" s="5337"/>
      <c r="Q1261" s="5345"/>
      <c r="R1261" s="1110"/>
      <c r="S1261" s="1111"/>
      <c r="T1261" s="1111"/>
      <c r="U1261" s="1711"/>
      <c r="V1261" s="1112"/>
      <c r="W1261" s="1719"/>
      <c r="X1261" s="1113"/>
      <c r="Y1261" s="1113"/>
      <c r="Z1261" s="1113"/>
      <c r="AA1261" s="1114"/>
      <c r="AB1261" s="1719"/>
      <c r="AC1261" s="410"/>
      <c r="AD1261" s="410"/>
      <c r="AE1261" s="1308"/>
    </row>
    <row r="1262" spans="1:31" ht="18" customHeight="1">
      <c r="A1262" s="5629"/>
      <c r="B1262" s="5574"/>
      <c r="C1262" s="5338"/>
      <c r="D1262" s="5338"/>
      <c r="E1262" s="5338"/>
      <c r="F1262" s="5338"/>
      <c r="G1262" s="5338"/>
      <c r="H1262" s="5338"/>
      <c r="I1262" s="5338"/>
      <c r="J1262" s="5338"/>
      <c r="K1262" s="5338"/>
      <c r="L1262" s="5338"/>
      <c r="M1262" s="5338"/>
      <c r="N1262" s="5338"/>
      <c r="O1262" s="5338"/>
      <c r="P1262" s="5338"/>
      <c r="Q1262" s="5346"/>
      <c r="R1262" s="1309"/>
      <c r="S1262" s="1310"/>
      <c r="T1262" s="1310"/>
      <c r="U1262" s="277"/>
      <c r="V1262" s="1311"/>
      <c r="W1262" s="416"/>
      <c r="X1262" s="1312"/>
      <c r="Y1262" s="1312"/>
      <c r="Z1262" s="1312"/>
      <c r="AA1262" s="1313"/>
      <c r="AB1262" s="416"/>
      <c r="AC1262" s="278"/>
      <c r="AD1262" s="278"/>
      <c r="AE1262" s="1314"/>
    </row>
    <row r="1263" spans="1:31" ht="18" customHeight="1">
      <c r="A1263" s="5629"/>
      <c r="B1263" s="5626" t="s">
        <v>272</v>
      </c>
      <c r="C1263" s="5624" t="s">
        <v>302</v>
      </c>
      <c r="D1263" s="5624" t="s">
        <v>303</v>
      </c>
      <c r="E1263" s="5624" t="s">
        <v>304</v>
      </c>
      <c r="F1263" s="5622" t="s">
        <v>305</v>
      </c>
      <c r="G1263" s="5624" t="s">
        <v>240</v>
      </c>
      <c r="H1263" s="5624" t="s">
        <v>257</v>
      </c>
      <c r="I1263" s="5618" t="s">
        <v>3190</v>
      </c>
      <c r="J1263" s="5618" t="s">
        <v>3191</v>
      </c>
      <c r="K1263" s="5618" t="s">
        <v>2995</v>
      </c>
      <c r="L1263" s="5619">
        <v>0</v>
      </c>
      <c r="M1263" s="5619">
        <v>1</v>
      </c>
      <c r="N1263" s="5619">
        <v>0</v>
      </c>
      <c r="O1263" s="5618" t="s">
        <v>2996</v>
      </c>
      <c r="P1263" s="5618" t="s">
        <v>2997</v>
      </c>
      <c r="Q1263" s="5620" t="s">
        <v>3318</v>
      </c>
      <c r="R1263" s="1110"/>
      <c r="S1263" s="1111"/>
      <c r="T1263" s="1111"/>
      <c r="U1263" s="1711"/>
      <c r="V1263" s="1112"/>
      <c r="W1263" s="1719"/>
      <c r="X1263" s="1113"/>
      <c r="Y1263" s="1113"/>
      <c r="Z1263" s="1113"/>
      <c r="AA1263" s="1114"/>
      <c r="AB1263" s="1719"/>
      <c r="AC1263" s="410"/>
      <c r="AD1263" s="410"/>
      <c r="AE1263" s="1308"/>
    </row>
    <row r="1264" spans="1:31" ht="18" customHeight="1">
      <c r="A1264" s="5629"/>
      <c r="B1264" s="5573"/>
      <c r="C1264" s="5337"/>
      <c r="D1264" s="5337"/>
      <c r="E1264" s="5337"/>
      <c r="F1264" s="5337"/>
      <c r="G1264" s="5337"/>
      <c r="H1264" s="5337"/>
      <c r="I1264" s="5337"/>
      <c r="J1264" s="5337"/>
      <c r="K1264" s="5337"/>
      <c r="L1264" s="5337"/>
      <c r="M1264" s="5337"/>
      <c r="N1264" s="5337"/>
      <c r="O1264" s="5337"/>
      <c r="P1264" s="5337"/>
      <c r="Q1264" s="5345"/>
      <c r="R1264" s="1110"/>
      <c r="S1264" s="1111"/>
      <c r="T1264" s="1111"/>
      <c r="U1264" s="1711"/>
      <c r="V1264" s="1112"/>
      <c r="W1264" s="1719"/>
      <c r="X1264" s="1113"/>
      <c r="Y1264" s="1113"/>
      <c r="Z1264" s="1113"/>
      <c r="AA1264" s="1114"/>
      <c r="AB1264" s="1719"/>
      <c r="AC1264" s="410"/>
      <c r="AD1264" s="410"/>
      <c r="AE1264" s="1308"/>
    </row>
    <row r="1265" spans="1:31" ht="18" customHeight="1">
      <c r="A1265" s="5629"/>
      <c r="B1265" s="5573"/>
      <c r="C1265" s="5337"/>
      <c r="D1265" s="5337"/>
      <c r="E1265" s="5337"/>
      <c r="F1265" s="5337"/>
      <c r="G1265" s="5337"/>
      <c r="H1265" s="5337"/>
      <c r="I1265" s="5337"/>
      <c r="J1265" s="5337"/>
      <c r="K1265" s="5337"/>
      <c r="L1265" s="5337"/>
      <c r="M1265" s="5337"/>
      <c r="N1265" s="5337"/>
      <c r="O1265" s="5337"/>
      <c r="P1265" s="5337"/>
      <c r="Q1265" s="5345"/>
      <c r="R1265" s="1110"/>
      <c r="S1265" s="1111"/>
      <c r="T1265" s="1111"/>
      <c r="U1265" s="1711"/>
      <c r="V1265" s="1112"/>
      <c r="W1265" s="1719"/>
      <c r="X1265" s="1113"/>
      <c r="Y1265" s="1113"/>
      <c r="Z1265" s="1113"/>
      <c r="AA1265" s="1114"/>
      <c r="AB1265" s="1719"/>
      <c r="AC1265" s="410"/>
      <c r="AD1265" s="410"/>
      <c r="AE1265" s="1308"/>
    </row>
    <row r="1266" spans="1:31" ht="18" customHeight="1">
      <c r="A1266" s="5629"/>
      <c r="B1266" s="5573"/>
      <c r="C1266" s="5337"/>
      <c r="D1266" s="5337"/>
      <c r="E1266" s="5337"/>
      <c r="F1266" s="5337"/>
      <c r="G1266" s="5337"/>
      <c r="H1266" s="5337"/>
      <c r="I1266" s="5337"/>
      <c r="J1266" s="5337"/>
      <c r="K1266" s="5337"/>
      <c r="L1266" s="5337"/>
      <c r="M1266" s="5337"/>
      <c r="N1266" s="5337"/>
      <c r="O1266" s="5337"/>
      <c r="P1266" s="5337"/>
      <c r="Q1266" s="5345"/>
      <c r="R1266" s="1110"/>
      <c r="S1266" s="1111"/>
      <c r="T1266" s="1111"/>
      <c r="U1266" s="1711"/>
      <c r="V1266" s="1112"/>
      <c r="W1266" s="1719"/>
      <c r="X1266" s="1113"/>
      <c r="Y1266" s="1113"/>
      <c r="Z1266" s="1113"/>
      <c r="AA1266" s="1114"/>
      <c r="AB1266" s="1719"/>
      <c r="AC1266" s="410"/>
      <c r="AD1266" s="410"/>
      <c r="AE1266" s="1308"/>
    </row>
    <row r="1267" spans="1:31" ht="18" customHeight="1">
      <c r="A1267" s="5629"/>
      <c r="B1267" s="5574"/>
      <c r="C1267" s="5338"/>
      <c r="D1267" s="5338"/>
      <c r="E1267" s="5338"/>
      <c r="F1267" s="5338"/>
      <c r="G1267" s="5338"/>
      <c r="H1267" s="5338"/>
      <c r="I1267" s="5338"/>
      <c r="J1267" s="5338"/>
      <c r="K1267" s="5338"/>
      <c r="L1267" s="5338"/>
      <c r="M1267" s="5338"/>
      <c r="N1267" s="5338"/>
      <c r="O1267" s="5338"/>
      <c r="P1267" s="5338"/>
      <c r="Q1267" s="5346"/>
      <c r="R1267" s="1309"/>
      <c r="S1267" s="1310"/>
      <c r="T1267" s="1310"/>
      <c r="U1267" s="277"/>
      <c r="V1267" s="1311"/>
      <c r="W1267" s="416"/>
      <c r="X1267" s="1312"/>
      <c r="Y1267" s="1312"/>
      <c r="Z1267" s="1312"/>
      <c r="AA1267" s="1313"/>
      <c r="AB1267" s="416"/>
      <c r="AC1267" s="278"/>
      <c r="AD1267" s="278"/>
      <c r="AE1267" s="1314"/>
    </row>
    <row r="1268" spans="1:31" ht="18" customHeight="1">
      <c r="A1268" s="5629"/>
      <c r="B1268" s="5626" t="s">
        <v>272</v>
      </c>
      <c r="C1268" s="5624" t="s">
        <v>302</v>
      </c>
      <c r="D1268" s="5624" t="s">
        <v>303</v>
      </c>
      <c r="E1268" s="5624" t="s">
        <v>304</v>
      </c>
      <c r="F1268" s="5622" t="s">
        <v>305</v>
      </c>
      <c r="G1268" s="5336" t="s">
        <v>262</v>
      </c>
      <c r="H1268" s="5336" t="s">
        <v>241</v>
      </c>
      <c r="I1268" s="5336" t="s">
        <v>3192</v>
      </c>
      <c r="J1268" s="5623" t="s">
        <v>3193</v>
      </c>
      <c r="K1268" s="5336" t="s">
        <v>3146</v>
      </c>
      <c r="L1268" s="5343">
        <v>1</v>
      </c>
      <c r="M1268" s="5399">
        <v>1</v>
      </c>
      <c r="N1268" s="5343">
        <v>1</v>
      </c>
      <c r="O1268" s="5336" t="s">
        <v>3194</v>
      </c>
      <c r="P1268" s="5336" t="s">
        <v>3195</v>
      </c>
      <c r="Q1268" s="5370" t="s">
        <v>3319</v>
      </c>
      <c r="R1268" s="970"/>
      <c r="S1268" s="967"/>
      <c r="T1268" s="967"/>
      <c r="U1268" s="176"/>
      <c r="V1268" s="968"/>
      <c r="W1268" s="414"/>
      <c r="X1268" s="973"/>
      <c r="Y1268" s="973"/>
      <c r="Z1268" s="973"/>
      <c r="AA1268" s="981"/>
      <c r="AB1268" s="414"/>
      <c r="AC1268" s="174"/>
      <c r="AD1268" s="174"/>
      <c r="AE1268" s="5415"/>
    </row>
    <row r="1269" spans="1:31" ht="18" customHeight="1">
      <c r="A1269" s="5629"/>
      <c r="B1269" s="5573"/>
      <c r="C1269" s="5337"/>
      <c r="D1269" s="5337"/>
      <c r="E1269" s="5337"/>
      <c r="F1269" s="5337"/>
      <c r="G1269" s="5337"/>
      <c r="H1269" s="5337"/>
      <c r="I1269" s="5337"/>
      <c r="J1269" s="5337"/>
      <c r="K1269" s="5337"/>
      <c r="L1269" s="5337"/>
      <c r="M1269" s="5337"/>
      <c r="N1269" s="5337"/>
      <c r="O1269" s="5337"/>
      <c r="P1269" s="5337"/>
      <c r="Q1269" s="5345"/>
      <c r="R1269" s="970"/>
      <c r="S1269" s="967"/>
      <c r="T1269" s="967"/>
      <c r="U1269" s="176"/>
      <c r="V1269" s="968"/>
      <c r="W1269" s="414"/>
      <c r="X1269" s="973"/>
      <c r="Y1269" s="973"/>
      <c r="Z1269" s="973"/>
      <c r="AA1269" s="981"/>
      <c r="AB1269" s="414"/>
      <c r="AC1269" s="174"/>
      <c r="AD1269" s="174"/>
      <c r="AE1269" s="5416"/>
    </row>
    <row r="1270" spans="1:31" ht="18" customHeight="1">
      <c r="A1270" s="5629"/>
      <c r="B1270" s="5573"/>
      <c r="C1270" s="5337"/>
      <c r="D1270" s="5337"/>
      <c r="E1270" s="5337"/>
      <c r="F1270" s="5337"/>
      <c r="G1270" s="5337"/>
      <c r="H1270" s="5337"/>
      <c r="I1270" s="5337"/>
      <c r="J1270" s="5337"/>
      <c r="K1270" s="5337"/>
      <c r="L1270" s="5337"/>
      <c r="M1270" s="5337"/>
      <c r="N1270" s="5337"/>
      <c r="O1270" s="5337"/>
      <c r="P1270" s="5337"/>
      <c r="Q1270" s="5345"/>
      <c r="R1270" s="971"/>
      <c r="S1270" s="972"/>
      <c r="T1270" s="972"/>
      <c r="U1270" s="1217"/>
      <c r="V1270" s="968"/>
      <c r="W1270" s="414"/>
      <c r="X1270" s="973"/>
      <c r="Y1270" s="974">
        <f t="shared" ref="Y1270:Y1272" si="172">+V1270*X1270</f>
        <v>0</v>
      </c>
      <c r="Z1270" s="974">
        <f t="shared" ref="Z1270:Z1272" si="173">+Y1270*1.12</f>
        <v>0</v>
      </c>
      <c r="AA1270" s="969"/>
      <c r="AB1270" s="170"/>
      <c r="AC1270" s="282"/>
      <c r="AD1270" s="282"/>
      <c r="AE1270" s="5416"/>
    </row>
    <row r="1271" spans="1:31" ht="18" customHeight="1">
      <c r="A1271" s="5629"/>
      <c r="B1271" s="5573"/>
      <c r="C1271" s="5337"/>
      <c r="D1271" s="5337"/>
      <c r="E1271" s="5337"/>
      <c r="F1271" s="5337"/>
      <c r="G1271" s="5337"/>
      <c r="H1271" s="5337"/>
      <c r="I1271" s="5337"/>
      <c r="J1271" s="5337"/>
      <c r="K1271" s="5337"/>
      <c r="L1271" s="5337"/>
      <c r="M1271" s="5337"/>
      <c r="N1271" s="5337"/>
      <c r="O1271" s="5337"/>
      <c r="P1271" s="5337"/>
      <c r="Q1271" s="5345"/>
      <c r="R1271" s="970"/>
      <c r="S1271" s="967"/>
      <c r="T1271" s="967"/>
      <c r="U1271" s="1217"/>
      <c r="V1271" s="968"/>
      <c r="W1271" s="414"/>
      <c r="X1271" s="973"/>
      <c r="Y1271" s="974">
        <f t="shared" si="172"/>
        <v>0</v>
      </c>
      <c r="Z1271" s="974">
        <f t="shared" si="173"/>
        <v>0</v>
      </c>
      <c r="AA1271" s="969"/>
      <c r="AB1271" s="170"/>
      <c r="AC1271" s="282"/>
      <c r="AD1271" s="282"/>
      <c r="AE1271" s="5416"/>
    </row>
    <row r="1272" spans="1:31" ht="18" customHeight="1">
      <c r="A1272" s="5629"/>
      <c r="B1272" s="5574"/>
      <c r="C1272" s="5338"/>
      <c r="D1272" s="5338"/>
      <c r="E1272" s="5338"/>
      <c r="F1272" s="5338"/>
      <c r="G1272" s="5338"/>
      <c r="H1272" s="5338"/>
      <c r="I1272" s="5338"/>
      <c r="J1272" s="5338"/>
      <c r="K1272" s="5338"/>
      <c r="L1272" s="5338"/>
      <c r="M1272" s="5338"/>
      <c r="N1272" s="5338"/>
      <c r="O1272" s="5338"/>
      <c r="P1272" s="5338"/>
      <c r="Q1272" s="5346"/>
      <c r="R1272" s="975"/>
      <c r="S1272" s="976"/>
      <c r="T1272" s="976"/>
      <c r="U1272" s="411"/>
      <c r="V1272" s="977"/>
      <c r="W1272" s="165"/>
      <c r="X1272" s="978"/>
      <c r="Y1272" s="978">
        <f t="shared" si="172"/>
        <v>0</v>
      </c>
      <c r="Z1272" s="978">
        <f t="shared" si="173"/>
        <v>0</v>
      </c>
      <c r="AA1272" s="979"/>
      <c r="AB1272" s="165"/>
      <c r="AC1272" s="166"/>
      <c r="AD1272" s="166"/>
      <c r="AE1272" s="5417"/>
    </row>
    <row r="1273" spans="1:31" ht="18" customHeight="1">
      <c r="A1273" s="5629"/>
      <c r="B1273" s="5572" t="s">
        <v>235</v>
      </c>
      <c r="C1273" s="5336" t="s">
        <v>236</v>
      </c>
      <c r="D1273" s="5336" t="s">
        <v>237</v>
      </c>
      <c r="E1273" s="5336" t="s">
        <v>255</v>
      </c>
      <c r="F1273" s="5341" t="s">
        <v>239</v>
      </c>
      <c r="G1273" s="5336" t="s">
        <v>240</v>
      </c>
      <c r="H1273" s="5336" t="s">
        <v>257</v>
      </c>
      <c r="I1273" s="5336" t="s">
        <v>3197</v>
      </c>
      <c r="J1273" s="5623" t="s">
        <v>3198</v>
      </c>
      <c r="K1273" s="5336" t="s">
        <v>3012</v>
      </c>
      <c r="L1273" s="5399">
        <v>3</v>
      </c>
      <c r="M1273" s="5399">
        <v>4</v>
      </c>
      <c r="N1273" s="5399">
        <v>3</v>
      </c>
      <c r="O1273" s="5336" t="s">
        <v>3199</v>
      </c>
      <c r="P1273" s="5336" t="s">
        <v>3200</v>
      </c>
      <c r="Q1273" s="5370" t="s">
        <v>3316</v>
      </c>
      <c r="R1273" s="970"/>
      <c r="S1273" s="967"/>
      <c r="T1273" s="967"/>
      <c r="U1273" s="176"/>
      <c r="V1273" s="968"/>
      <c r="W1273" s="414"/>
      <c r="X1273" s="973"/>
      <c r="Y1273" s="973"/>
      <c r="Z1273" s="973"/>
      <c r="AA1273" s="981"/>
      <c r="AB1273" s="414"/>
      <c r="AC1273" s="174"/>
      <c r="AD1273" s="174"/>
      <c r="AE1273" s="5415"/>
    </row>
    <row r="1274" spans="1:31" ht="18" customHeight="1">
      <c r="A1274" s="5629"/>
      <c r="B1274" s="5573"/>
      <c r="C1274" s="5337"/>
      <c r="D1274" s="5337"/>
      <c r="E1274" s="5337"/>
      <c r="F1274" s="5337"/>
      <c r="G1274" s="5337"/>
      <c r="H1274" s="5337"/>
      <c r="I1274" s="5337"/>
      <c r="J1274" s="5337"/>
      <c r="K1274" s="5337"/>
      <c r="L1274" s="5337"/>
      <c r="M1274" s="5337"/>
      <c r="N1274" s="5337"/>
      <c r="O1274" s="5337"/>
      <c r="P1274" s="5337"/>
      <c r="Q1274" s="5345"/>
      <c r="R1274" s="970"/>
      <c r="S1274" s="967"/>
      <c r="T1274" s="967"/>
      <c r="U1274" s="176"/>
      <c r="V1274" s="968"/>
      <c r="W1274" s="414"/>
      <c r="X1274" s="973"/>
      <c r="Y1274" s="973"/>
      <c r="Z1274" s="973"/>
      <c r="AA1274" s="981"/>
      <c r="AB1274" s="414"/>
      <c r="AC1274" s="174"/>
      <c r="AD1274" s="174"/>
      <c r="AE1274" s="5416"/>
    </row>
    <row r="1275" spans="1:31" ht="18" customHeight="1">
      <c r="A1275" s="5629"/>
      <c r="B1275" s="5573"/>
      <c r="C1275" s="5337"/>
      <c r="D1275" s="5337"/>
      <c r="E1275" s="5337"/>
      <c r="F1275" s="5337"/>
      <c r="G1275" s="5337"/>
      <c r="H1275" s="5337"/>
      <c r="I1275" s="5337"/>
      <c r="J1275" s="5337"/>
      <c r="K1275" s="5337"/>
      <c r="L1275" s="5337"/>
      <c r="M1275" s="5337"/>
      <c r="N1275" s="5337"/>
      <c r="O1275" s="5337"/>
      <c r="P1275" s="5337"/>
      <c r="Q1275" s="5345"/>
      <c r="R1275" s="971"/>
      <c r="S1275" s="972"/>
      <c r="T1275" s="972"/>
      <c r="U1275" s="1217"/>
      <c r="V1275" s="968"/>
      <c r="W1275" s="414"/>
      <c r="X1275" s="973"/>
      <c r="Y1275" s="974">
        <f t="shared" ref="Y1275:Y1277" si="174">+V1275*X1275</f>
        <v>0</v>
      </c>
      <c r="Z1275" s="974">
        <f t="shared" ref="Z1275:Z1277" si="175">+Y1275*1.12</f>
        <v>0</v>
      </c>
      <c r="AA1275" s="969"/>
      <c r="AB1275" s="170"/>
      <c r="AC1275" s="282"/>
      <c r="AD1275" s="282"/>
      <c r="AE1275" s="5416"/>
    </row>
    <row r="1276" spans="1:31" ht="18" customHeight="1">
      <c r="A1276" s="5629"/>
      <c r="B1276" s="5573"/>
      <c r="C1276" s="5337"/>
      <c r="D1276" s="5337"/>
      <c r="E1276" s="5337"/>
      <c r="F1276" s="5337"/>
      <c r="G1276" s="5337"/>
      <c r="H1276" s="5337"/>
      <c r="I1276" s="5337"/>
      <c r="J1276" s="5337"/>
      <c r="K1276" s="5337"/>
      <c r="L1276" s="5337"/>
      <c r="M1276" s="5337"/>
      <c r="N1276" s="5337"/>
      <c r="O1276" s="5337"/>
      <c r="P1276" s="5337"/>
      <c r="Q1276" s="5345"/>
      <c r="R1276" s="970"/>
      <c r="S1276" s="967"/>
      <c r="T1276" s="967"/>
      <c r="U1276" s="1217"/>
      <c r="V1276" s="968"/>
      <c r="W1276" s="414"/>
      <c r="X1276" s="973"/>
      <c r="Y1276" s="974">
        <f t="shared" si="174"/>
        <v>0</v>
      </c>
      <c r="Z1276" s="974">
        <f t="shared" si="175"/>
        <v>0</v>
      </c>
      <c r="AA1276" s="969"/>
      <c r="AB1276" s="170"/>
      <c r="AC1276" s="282"/>
      <c r="AD1276" s="282"/>
      <c r="AE1276" s="5416"/>
    </row>
    <row r="1277" spans="1:31" ht="18" customHeight="1">
      <c r="A1277" s="5555"/>
      <c r="B1277" s="5574"/>
      <c r="C1277" s="5338"/>
      <c r="D1277" s="5338"/>
      <c r="E1277" s="5338"/>
      <c r="F1277" s="5338"/>
      <c r="G1277" s="5338"/>
      <c r="H1277" s="5338"/>
      <c r="I1277" s="5338"/>
      <c r="J1277" s="5338"/>
      <c r="K1277" s="5338"/>
      <c r="L1277" s="5338"/>
      <c r="M1277" s="5338"/>
      <c r="N1277" s="5338"/>
      <c r="O1277" s="5338"/>
      <c r="P1277" s="5338"/>
      <c r="Q1277" s="5346"/>
      <c r="R1277" s="975"/>
      <c r="S1277" s="976"/>
      <c r="T1277" s="976"/>
      <c r="U1277" s="411"/>
      <c r="V1277" s="977"/>
      <c r="W1277" s="165"/>
      <c r="X1277" s="978"/>
      <c r="Y1277" s="978">
        <f t="shared" si="174"/>
        <v>0</v>
      </c>
      <c r="Z1277" s="978">
        <f t="shared" si="175"/>
        <v>0</v>
      </c>
      <c r="AA1277" s="979"/>
      <c r="AB1277" s="165"/>
      <c r="AC1277" s="166"/>
      <c r="AD1277" s="166"/>
      <c r="AE1277" s="5417"/>
    </row>
    <row r="1278" spans="1:31" ht="22.5" customHeight="1">
      <c r="A1278" s="784"/>
      <c r="B1278" s="785"/>
      <c r="C1278" s="785"/>
      <c r="D1278" s="785"/>
      <c r="E1278" s="785"/>
      <c r="F1278" s="785"/>
      <c r="G1278" s="785"/>
      <c r="H1278" s="785"/>
      <c r="I1278" s="785"/>
      <c r="J1278" s="785"/>
      <c r="K1278" s="785"/>
      <c r="L1278" s="785"/>
      <c r="M1278" s="785"/>
      <c r="N1278" s="785"/>
      <c r="O1278" s="785"/>
      <c r="P1278" s="785"/>
      <c r="Q1278" s="786"/>
      <c r="R1278" s="5643" t="s">
        <v>3320</v>
      </c>
      <c r="S1278" s="5644"/>
      <c r="T1278" s="5644"/>
      <c r="U1278" s="5644"/>
      <c r="V1278" s="5644"/>
      <c r="W1278" s="5644"/>
      <c r="X1278" s="5644"/>
      <c r="Y1278" s="5645"/>
      <c r="Z1278" s="2391" t="s">
        <v>340</v>
      </c>
      <c r="AA1278" s="2392">
        <f>SUM(AA1203:AA1277)</f>
        <v>0</v>
      </c>
      <c r="AB1278" s="5521"/>
      <c r="AC1278" s="5474"/>
      <c r="AD1278" s="5474"/>
      <c r="AE1278" s="5477"/>
    </row>
    <row r="1279" spans="1:31" ht="22.5" customHeight="1">
      <c r="A1279" s="953"/>
      <c r="B1279" s="954"/>
      <c r="C1279" s="954"/>
      <c r="D1279" s="954"/>
      <c r="E1279" s="954"/>
      <c r="F1279" s="954"/>
      <c r="G1279" s="954"/>
      <c r="H1279" s="954"/>
      <c r="I1279" s="954"/>
      <c r="J1279" s="954"/>
      <c r="K1279" s="954"/>
      <c r="L1279" s="954"/>
      <c r="M1279" s="954"/>
      <c r="N1279" s="954"/>
      <c r="O1279" s="954"/>
      <c r="P1279" s="954"/>
      <c r="Q1279" s="955"/>
      <c r="R1279" s="5445" t="s">
        <v>3321</v>
      </c>
      <c r="S1279" s="5446"/>
      <c r="T1279" s="5446"/>
      <c r="U1279" s="5446"/>
      <c r="V1279" s="5446"/>
      <c r="W1279" s="5446"/>
      <c r="X1279" s="5446"/>
      <c r="Y1279" s="5447"/>
      <c r="Z1279" s="2393" t="s">
        <v>340</v>
      </c>
      <c r="AA1279" s="2394">
        <f>SUM(AA1278,AA1202,AA1126,AA1050,AA974,AA898,AA822,AA740,AA664,AA588,AA502,AA425,AA349,AA308,AA247,AA166)</f>
        <v>182559.78720000002</v>
      </c>
      <c r="AB1279" s="5646"/>
      <c r="AC1279" s="5449"/>
      <c r="AD1279" s="5449"/>
      <c r="AE1279" s="5450"/>
    </row>
    <row r="1280" spans="1:31" ht="16.5">
      <c r="A1280" s="1"/>
      <c r="B1280" s="12" t="s">
        <v>442</v>
      </c>
      <c r="C1280" s="221"/>
      <c r="D1280" s="221"/>
      <c r="E1280" s="221"/>
      <c r="F1280" s="221"/>
      <c r="G1280" s="221"/>
      <c r="H1280" s="221"/>
      <c r="I1280" s="221"/>
      <c r="J1280" s="221"/>
      <c r="K1280" s="221"/>
      <c r="L1280" s="221"/>
      <c r="M1280" s="221"/>
      <c r="N1280" s="221"/>
      <c r="O1280" s="221"/>
      <c r="P1280" s="221"/>
      <c r="Q1280" s="221"/>
      <c r="R1280" s="4388" t="s">
        <v>3322</v>
      </c>
      <c r="S1280" s="4150"/>
      <c r="T1280" s="4150"/>
      <c r="U1280" s="4150"/>
      <c r="V1280" s="4150"/>
      <c r="W1280" s="4150"/>
      <c r="X1280" s="4150"/>
      <c r="Y1280" s="4150"/>
      <c r="Z1280" s="4150"/>
      <c r="AA1280" s="4150"/>
      <c r="AB1280" s="4150"/>
      <c r="AC1280" s="4150"/>
      <c r="AD1280" s="4150"/>
      <c r="AE1280" s="4150"/>
    </row>
    <row r="1281" spans="1:30" ht="16.5" customHeight="1">
      <c r="A1281" s="1"/>
      <c r="B1281" s="12" t="s">
        <v>444</v>
      </c>
      <c r="C1281" s="221"/>
      <c r="D1281" s="221"/>
      <c r="E1281" s="221"/>
      <c r="F1281" s="221"/>
      <c r="G1281" s="221"/>
      <c r="H1281" s="221"/>
      <c r="I1281" s="221"/>
      <c r="J1281" s="221"/>
      <c r="K1281" s="221"/>
      <c r="L1281" s="221"/>
      <c r="M1281" s="221"/>
      <c r="N1281" s="221"/>
      <c r="O1281" s="221"/>
      <c r="P1281" s="221"/>
      <c r="Q1281" s="221"/>
      <c r="R1281" s="3"/>
      <c r="S1281" s="3"/>
      <c r="T1281" s="1884"/>
      <c r="U1281" s="1884"/>
      <c r="V1281" s="1884"/>
      <c r="W1281" s="1884"/>
      <c r="X1281" s="1884"/>
      <c r="Y1281" s="1884"/>
      <c r="Z1281" s="2194"/>
      <c r="AA1281" s="5310"/>
      <c r="AB1281" s="5311"/>
      <c r="AC1281" s="1"/>
      <c r="AD1281" s="1"/>
    </row>
    <row r="1282" spans="1:30" ht="18">
      <c r="A1282" s="1"/>
      <c r="B1282" s="221"/>
      <c r="C1282" s="221"/>
      <c r="D1282" s="221"/>
      <c r="E1282" s="221"/>
      <c r="F1282" s="221"/>
      <c r="G1282" s="221"/>
      <c r="H1282" s="221"/>
      <c r="I1282" s="221"/>
      <c r="J1282" s="221"/>
      <c r="K1282" s="221"/>
      <c r="L1282" s="221"/>
      <c r="M1282" s="221"/>
      <c r="N1282" s="221"/>
      <c r="O1282" s="221"/>
      <c r="P1282" s="221"/>
      <c r="Q1282" s="221"/>
      <c r="R1282" s="3"/>
      <c r="S1282" s="488"/>
      <c r="T1282" s="5308" t="s">
        <v>1242</v>
      </c>
      <c r="U1282" s="5309"/>
      <c r="V1282" s="5309"/>
      <c r="W1282" s="5309"/>
      <c r="X1282" s="5309"/>
      <c r="Y1282" s="5309"/>
      <c r="Z1282" s="2194"/>
      <c r="AA1282" s="2199"/>
      <c r="AB1282" s="2199"/>
      <c r="AC1282" s="1"/>
      <c r="AD1282" s="1"/>
    </row>
    <row r="1283" spans="1:30" ht="16.5" customHeight="1" thickBot="1">
      <c r="A1283" s="1"/>
      <c r="B1283" s="221"/>
      <c r="C1283" s="221"/>
      <c r="D1283" s="221"/>
      <c r="E1283" s="221"/>
      <c r="F1283" s="221"/>
      <c r="G1283" s="221"/>
      <c r="H1283" s="221"/>
      <c r="I1283" s="221"/>
      <c r="J1283" s="221"/>
      <c r="K1283" s="221"/>
      <c r="L1283" s="221"/>
      <c r="M1283" s="221"/>
      <c r="N1283" s="221"/>
      <c r="O1283" s="221"/>
      <c r="P1283" s="221"/>
      <c r="Q1283" s="221"/>
      <c r="R1283" s="3"/>
      <c r="S1283" s="3"/>
      <c r="T1283" s="2196"/>
      <c r="U1283" s="2196"/>
      <c r="V1283" s="2197"/>
      <c r="W1283" s="2198"/>
      <c r="X1283" s="2196"/>
      <c r="Y1283" s="2196"/>
      <c r="Z1283" s="2194"/>
      <c r="AA1283" s="2201"/>
      <c r="AB1283" s="2201"/>
      <c r="AC1283" s="1"/>
      <c r="AD1283" s="1"/>
    </row>
    <row r="1284" spans="1:30" ht="16.5" customHeight="1" thickTop="1" thickBot="1">
      <c r="A1284" s="1"/>
      <c r="B1284" s="221"/>
      <c r="C1284" s="221"/>
      <c r="D1284" s="221"/>
      <c r="E1284" s="221"/>
      <c r="F1284" s="221"/>
      <c r="G1284" s="221"/>
      <c r="H1284" s="221"/>
      <c r="I1284" s="221"/>
      <c r="J1284" s="221"/>
      <c r="K1284" s="221"/>
      <c r="L1284" s="221"/>
      <c r="M1284" s="221"/>
      <c r="N1284" s="221"/>
      <c r="O1284" s="221"/>
      <c r="P1284" s="221"/>
      <c r="Q1284" s="221"/>
      <c r="R1284" s="3"/>
      <c r="S1284" s="3"/>
      <c r="T1284" s="2330" t="s">
        <v>4</v>
      </c>
      <c r="U1284" s="2331" t="s">
        <v>344</v>
      </c>
      <c r="V1284" s="2332" t="s">
        <v>6</v>
      </c>
      <c r="W1284" s="2333" t="s">
        <v>345</v>
      </c>
      <c r="X1284" s="2333" t="s">
        <v>8</v>
      </c>
      <c r="Y1284" s="2334" t="s">
        <v>346</v>
      </c>
      <c r="Z1284" s="2194"/>
      <c r="AA1284" s="2203"/>
      <c r="AB1284" s="2204"/>
      <c r="AC1284" s="1"/>
      <c r="AD1284" s="1"/>
    </row>
    <row r="1285" spans="1:30" ht="30.75" customHeight="1">
      <c r="A1285" s="1"/>
      <c r="B1285" s="221"/>
      <c r="C1285" s="221"/>
      <c r="D1285" s="221"/>
      <c r="E1285" s="221"/>
      <c r="F1285" s="221"/>
      <c r="G1285" s="221"/>
      <c r="H1285" s="221"/>
      <c r="I1285" s="221"/>
      <c r="J1285" s="221"/>
      <c r="K1285" s="221"/>
      <c r="L1285" s="221"/>
      <c r="M1285" s="221"/>
      <c r="N1285" s="221"/>
      <c r="O1285" s="135"/>
      <c r="P1285" s="135"/>
      <c r="Q1285" s="135"/>
      <c r="R1285" s="135"/>
      <c r="S1285" s="3"/>
      <c r="T1285" s="2335" t="s">
        <v>29</v>
      </c>
      <c r="U1285" s="2336" t="s">
        <v>16</v>
      </c>
      <c r="V1285" s="2320">
        <v>530402</v>
      </c>
      <c r="W1285" s="2321" t="s">
        <v>13</v>
      </c>
      <c r="X1285" s="2321" t="s">
        <v>30</v>
      </c>
      <c r="Y1285" s="2324">
        <f>$Z$98</f>
        <v>5756.8</v>
      </c>
      <c r="Z1285" s="2194"/>
      <c r="AA1285" s="2203"/>
      <c r="AB1285" s="2204"/>
      <c r="AC1285" s="1"/>
      <c r="AD1285" s="1"/>
    </row>
    <row r="1286" spans="1:30" ht="33">
      <c r="A1286" s="1"/>
      <c r="B1286" s="221"/>
      <c r="C1286" s="221"/>
      <c r="D1286" s="221"/>
      <c r="E1286" s="221"/>
      <c r="F1286" s="221"/>
      <c r="G1286" s="221"/>
      <c r="H1286" s="221"/>
      <c r="I1286" s="221"/>
      <c r="J1286" s="221"/>
      <c r="K1286" s="221"/>
      <c r="L1286" s="221"/>
      <c r="M1286" s="221"/>
      <c r="N1286" s="221"/>
      <c r="O1286" s="135"/>
      <c r="P1286" s="135"/>
      <c r="Q1286" s="135"/>
      <c r="R1286" s="135"/>
      <c r="S1286" s="3"/>
      <c r="T1286" s="2337" t="s">
        <v>17</v>
      </c>
      <c r="U1286" s="2338" t="s">
        <v>16</v>
      </c>
      <c r="V1286" s="2315">
        <v>530402</v>
      </c>
      <c r="W1286" s="2316" t="s">
        <v>13</v>
      </c>
      <c r="X1286" s="2316" t="s">
        <v>18</v>
      </c>
      <c r="Y1286" s="2325">
        <f>$Z$125</f>
        <v>64512.000000000007</v>
      </c>
      <c r="Z1286" s="2194"/>
      <c r="AA1286" s="2203"/>
      <c r="AB1286" s="2204"/>
      <c r="AC1286" s="1"/>
      <c r="AD1286" s="1"/>
    </row>
    <row r="1287" spans="1:30" ht="16.5">
      <c r="A1287" s="1"/>
      <c r="B1287" s="221"/>
      <c r="C1287" s="221"/>
      <c r="D1287" s="221"/>
      <c r="E1287" s="221"/>
      <c r="F1287" s="221"/>
      <c r="G1287" s="221"/>
      <c r="H1287" s="221"/>
      <c r="I1287" s="221"/>
      <c r="J1287" s="221"/>
      <c r="K1287" s="221"/>
      <c r="L1287" s="221"/>
      <c r="M1287" s="221"/>
      <c r="N1287" s="221"/>
      <c r="O1287" s="135"/>
      <c r="P1287" s="135"/>
      <c r="Q1287" s="135"/>
      <c r="R1287" s="135"/>
      <c r="S1287" s="3"/>
      <c r="T1287" s="2337" t="s">
        <v>29</v>
      </c>
      <c r="U1287" s="2338" t="s">
        <v>67</v>
      </c>
      <c r="V1287" s="2315">
        <v>530702</v>
      </c>
      <c r="W1287" s="2316" t="s">
        <v>13</v>
      </c>
      <c r="X1287" s="2316" t="s">
        <v>18</v>
      </c>
      <c r="Y1287" s="2325">
        <f>$Z$105</f>
        <v>249.98400000000001</v>
      </c>
      <c r="Z1287" s="2194"/>
      <c r="AA1287" s="2203"/>
      <c r="AB1287" s="2204"/>
      <c r="AC1287" s="1"/>
      <c r="AD1287" s="1"/>
    </row>
    <row r="1288" spans="1:30" ht="16.5">
      <c r="A1288" s="1"/>
      <c r="B1288" s="221"/>
      <c r="C1288" s="221"/>
      <c r="D1288" s="221"/>
      <c r="E1288" s="221"/>
      <c r="F1288" s="221"/>
      <c r="G1288" s="221"/>
      <c r="H1288" s="221"/>
      <c r="I1288" s="221"/>
      <c r="J1288" s="221"/>
      <c r="K1288" s="221"/>
      <c r="L1288" s="221"/>
      <c r="M1288" s="221"/>
      <c r="N1288" s="221"/>
      <c r="O1288" s="135"/>
      <c r="P1288" s="135"/>
      <c r="Q1288" s="135"/>
      <c r="R1288" s="135"/>
      <c r="S1288" s="3"/>
      <c r="T1288" s="2337" t="s">
        <v>17</v>
      </c>
      <c r="U1288" s="2338" t="s">
        <v>67</v>
      </c>
      <c r="V1288" s="2315">
        <v>530702</v>
      </c>
      <c r="W1288" s="2316" t="s">
        <v>13</v>
      </c>
      <c r="X1288" s="2316" t="s">
        <v>30</v>
      </c>
      <c r="Y1288" s="2325">
        <f>$Z$107</f>
        <v>11200.000000000002</v>
      </c>
      <c r="Z1288" s="2194"/>
      <c r="AA1288" s="2203"/>
      <c r="AB1288" s="2204"/>
      <c r="AC1288" s="1"/>
      <c r="AD1288" s="1"/>
    </row>
    <row r="1289" spans="1:30" ht="16.5">
      <c r="A1289" s="1"/>
      <c r="B1289" s="221"/>
      <c r="C1289" s="221"/>
      <c r="D1289" s="221"/>
      <c r="E1289" s="221"/>
      <c r="F1289" s="221"/>
      <c r="G1289" s="221"/>
      <c r="H1289" s="221"/>
      <c r="I1289" s="221"/>
      <c r="J1289" s="221"/>
      <c r="K1289" s="221"/>
      <c r="L1289" s="221"/>
      <c r="M1289" s="221"/>
      <c r="N1289" s="221"/>
      <c r="O1289" s="135"/>
      <c r="P1289" s="135"/>
      <c r="Q1289" s="135"/>
      <c r="R1289" s="135"/>
      <c r="S1289" s="3"/>
      <c r="T1289" s="2337" t="s">
        <v>29</v>
      </c>
      <c r="U1289" s="2338" t="s">
        <v>152</v>
      </c>
      <c r="V1289" s="2315">
        <v>530804</v>
      </c>
      <c r="W1289" s="2316" t="s">
        <v>13</v>
      </c>
      <c r="X1289" s="2316" t="s">
        <v>30</v>
      </c>
      <c r="Y1289" s="2325">
        <f>SUM($Z$41:$Z$54)</f>
        <v>287.20159999999998</v>
      </c>
      <c r="Z1289" s="2194"/>
      <c r="AA1289" s="2203"/>
      <c r="AB1289" s="2204"/>
      <c r="AC1289" s="1"/>
      <c r="AD1289" s="1"/>
    </row>
    <row r="1290" spans="1:30" ht="16.5">
      <c r="A1290" s="1"/>
      <c r="B1290" s="221"/>
      <c r="C1290" s="221"/>
      <c r="D1290" s="221"/>
      <c r="E1290" s="221"/>
      <c r="F1290" s="221"/>
      <c r="G1290" s="221"/>
      <c r="H1290" s="221"/>
      <c r="I1290" s="221"/>
      <c r="J1290" s="221"/>
      <c r="K1290" s="221"/>
      <c r="L1290" s="221"/>
      <c r="M1290" s="221"/>
      <c r="N1290" s="221"/>
      <c r="O1290" s="135"/>
      <c r="P1290" s="135"/>
      <c r="Q1290" s="135"/>
      <c r="R1290" s="135"/>
      <c r="S1290" s="3"/>
      <c r="T1290" s="2337" t="s">
        <v>29</v>
      </c>
      <c r="U1290" s="2338" t="s">
        <v>152</v>
      </c>
      <c r="V1290" s="2315">
        <v>530804</v>
      </c>
      <c r="W1290" s="2316" t="s">
        <v>13</v>
      </c>
      <c r="X1290" s="2316" t="s">
        <v>30</v>
      </c>
      <c r="Y1290" s="2325">
        <f>$Z$534</f>
        <v>109.20000000000002</v>
      </c>
      <c r="Z1290" s="2194"/>
      <c r="AA1290" s="2203"/>
      <c r="AB1290" s="2204"/>
      <c r="AC1290" s="1"/>
      <c r="AD1290" s="1"/>
    </row>
    <row r="1291" spans="1:30" ht="33">
      <c r="A1291" s="1"/>
      <c r="B1291" s="221"/>
      <c r="C1291" s="221"/>
      <c r="D1291" s="221"/>
      <c r="E1291" s="221"/>
      <c r="F1291" s="221"/>
      <c r="G1291" s="221"/>
      <c r="H1291" s="221"/>
      <c r="I1291" s="221"/>
      <c r="J1291" s="221"/>
      <c r="K1291" s="221"/>
      <c r="L1291" s="221"/>
      <c r="M1291" s="221"/>
      <c r="N1291" s="221"/>
      <c r="O1291" s="135"/>
      <c r="P1291" s="135"/>
      <c r="Q1291" s="135"/>
      <c r="R1291" s="135"/>
      <c r="S1291" s="3"/>
      <c r="T1291" s="2337" t="s">
        <v>29</v>
      </c>
      <c r="U1291" s="2338" t="s">
        <v>44</v>
      </c>
      <c r="V1291" s="2315">
        <v>530807</v>
      </c>
      <c r="W1291" s="2316" t="s">
        <v>13</v>
      </c>
      <c r="X1291" s="2316" t="s">
        <v>30</v>
      </c>
      <c r="Y1291" s="2325">
        <f>SUM($Z$528:$Z$531)</f>
        <v>332.64000000000004</v>
      </c>
      <c r="Z1291" s="2194"/>
      <c r="AA1291" s="2203"/>
      <c r="AB1291" s="2204"/>
      <c r="AC1291" s="1"/>
      <c r="AD1291" s="1"/>
    </row>
    <row r="1292" spans="1:30" ht="49.5">
      <c r="A1292" s="1"/>
      <c r="B1292" s="221"/>
      <c r="C1292" s="221"/>
      <c r="D1292" s="221"/>
      <c r="E1292" s="221"/>
      <c r="F1292" s="221"/>
      <c r="G1292" s="221"/>
      <c r="H1292" s="221"/>
      <c r="I1292" s="221"/>
      <c r="J1292" s="221"/>
      <c r="K1292" s="221"/>
      <c r="L1292" s="221"/>
      <c r="M1292" s="221"/>
      <c r="N1292" s="221"/>
      <c r="O1292" s="135"/>
      <c r="P1292" s="135"/>
      <c r="Q1292" s="135"/>
      <c r="R1292" s="135"/>
      <c r="S1292" s="3"/>
      <c r="T1292" s="2337" t="s">
        <v>39</v>
      </c>
      <c r="U1292" s="2338" t="s">
        <v>83</v>
      </c>
      <c r="V1292" s="2315">
        <v>530811</v>
      </c>
      <c r="W1292" s="2316" t="s">
        <v>13</v>
      </c>
      <c r="X1292" s="2316" t="s">
        <v>18</v>
      </c>
      <c r="Y1292" s="2325">
        <f>+SUM($Z$15:$Z$26)</f>
        <v>7260.9600000000009</v>
      </c>
      <c r="Z1292" s="2194"/>
      <c r="AA1292" s="2203"/>
      <c r="AB1292" s="2204"/>
      <c r="AC1292" s="1"/>
      <c r="AD1292" s="1"/>
    </row>
    <row r="1293" spans="1:30" ht="16.5">
      <c r="A1293" s="1"/>
      <c r="B1293" s="221"/>
      <c r="C1293" s="221"/>
      <c r="D1293" s="221"/>
      <c r="E1293" s="221"/>
      <c r="F1293" s="221"/>
      <c r="G1293" s="221"/>
      <c r="H1293" s="221"/>
      <c r="I1293" s="221"/>
      <c r="J1293" s="221"/>
      <c r="K1293" s="221"/>
      <c r="L1293" s="221"/>
      <c r="M1293" s="221"/>
      <c r="N1293" s="221"/>
      <c r="O1293" s="135"/>
      <c r="P1293" s="135"/>
      <c r="Q1293" s="135"/>
      <c r="R1293" s="135"/>
      <c r="S1293" s="3"/>
      <c r="T1293" s="2337" t="s">
        <v>17</v>
      </c>
      <c r="U1293" s="2360" t="s">
        <v>45</v>
      </c>
      <c r="V1293" s="2315">
        <v>530812</v>
      </c>
      <c r="W1293" s="2316" t="s">
        <v>13</v>
      </c>
      <c r="X1293" s="2316" t="s">
        <v>14</v>
      </c>
      <c r="Y1293" s="2325">
        <f>SUM($Z$57:$Z$79)</f>
        <v>2779.4591999999998</v>
      </c>
      <c r="Z1293" s="2194"/>
      <c r="AA1293" s="2203"/>
      <c r="AB1293" s="2204"/>
      <c r="AC1293" s="1"/>
      <c r="AD1293" s="1"/>
    </row>
    <row r="1294" spans="1:30" ht="16.5">
      <c r="A1294" s="1"/>
      <c r="B1294" s="221"/>
      <c r="C1294" s="221"/>
      <c r="D1294" s="221"/>
      <c r="E1294" s="221"/>
      <c r="F1294" s="221"/>
      <c r="G1294" s="221"/>
      <c r="H1294" s="221"/>
      <c r="I1294" s="221"/>
      <c r="J1294" s="221"/>
      <c r="K1294" s="221"/>
      <c r="L1294" s="221"/>
      <c r="M1294" s="221"/>
      <c r="N1294" s="221"/>
      <c r="O1294" s="135"/>
      <c r="P1294" s="135"/>
      <c r="Q1294" s="135"/>
      <c r="R1294" s="135"/>
      <c r="S1294" s="3"/>
      <c r="T1294" s="2337" t="s">
        <v>17</v>
      </c>
      <c r="U1294" s="2338" t="s">
        <v>73</v>
      </c>
      <c r="V1294" s="2315">
        <v>530829</v>
      </c>
      <c r="W1294" s="2316" t="s">
        <v>13</v>
      </c>
      <c r="X1294" s="2316" t="s">
        <v>30</v>
      </c>
      <c r="Y1294" s="2325">
        <f>$Z$101</f>
        <v>16800</v>
      </c>
      <c r="Z1294" s="2194"/>
      <c r="AA1294" s="2203"/>
      <c r="AB1294" s="2204"/>
      <c r="AC1294" s="1"/>
      <c r="AD1294" s="1"/>
    </row>
    <row r="1295" spans="1:30" ht="16.5">
      <c r="A1295" s="1"/>
      <c r="B1295" s="221"/>
      <c r="C1295" s="221"/>
      <c r="D1295" s="221"/>
      <c r="E1295" s="221"/>
      <c r="F1295" s="221"/>
      <c r="G1295" s="221"/>
      <c r="H1295" s="221"/>
      <c r="I1295" s="221"/>
      <c r="J1295" s="221"/>
      <c r="K1295" s="221"/>
      <c r="L1295" s="221"/>
      <c r="M1295" s="221"/>
      <c r="N1295" s="221"/>
      <c r="O1295" s="135"/>
      <c r="P1295" s="135"/>
      <c r="Q1295" s="135"/>
      <c r="R1295" s="135"/>
      <c r="S1295" s="3"/>
      <c r="T1295" s="2337" t="s">
        <v>29</v>
      </c>
      <c r="U1295" s="2360" t="s">
        <v>171</v>
      </c>
      <c r="V1295" s="2315">
        <v>531403</v>
      </c>
      <c r="W1295" s="2316" t="s">
        <v>13</v>
      </c>
      <c r="X1295" s="2316" t="s">
        <v>30</v>
      </c>
      <c r="Y1295" s="2325">
        <f>SUM($Z$88:$Z$94)</f>
        <v>993.18240000000014</v>
      </c>
      <c r="Z1295" s="2194"/>
      <c r="AA1295" s="2203"/>
      <c r="AB1295" s="2204"/>
      <c r="AC1295" s="1"/>
      <c r="AD1295" s="1"/>
    </row>
    <row r="1296" spans="1:30" ht="16.5">
      <c r="A1296" s="1"/>
      <c r="B1296" s="221"/>
      <c r="C1296" s="221"/>
      <c r="D1296" s="221"/>
      <c r="E1296" s="221"/>
      <c r="F1296" s="221"/>
      <c r="G1296" s="221"/>
      <c r="H1296" s="221"/>
      <c r="I1296" s="221"/>
      <c r="J1296" s="221"/>
      <c r="K1296" s="221"/>
      <c r="L1296" s="221"/>
      <c r="M1296" s="221"/>
      <c r="N1296" s="221"/>
      <c r="O1296" s="135"/>
      <c r="P1296" s="135"/>
      <c r="Q1296" s="135"/>
      <c r="R1296" s="135"/>
      <c r="S1296" s="3"/>
      <c r="T1296" s="2337" t="s">
        <v>39</v>
      </c>
      <c r="U1296" s="2360" t="s">
        <v>47</v>
      </c>
      <c r="V1296" s="2315">
        <v>531408</v>
      </c>
      <c r="W1296" s="2316" t="s">
        <v>13</v>
      </c>
      <c r="X1296" s="2316" t="s">
        <v>18</v>
      </c>
      <c r="Y1296" s="2325">
        <f>SUM($Z$742:$Z$751)</f>
        <v>3935.0640000000003</v>
      </c>
      <c r="Z1296" s="2205"/>
      <c r="AA1296" s="2203"/>
      <c r="AB1296" s="2204"/>
      <c r="AC1296" s="1"/>
      <c r="AD1296" s="1"/>
    </row>
    <row r="1297" spans="1:30" ht="16.5">
      <c r="A1297" s="1"/>
      <c r="B1297" s="221"/>
      <c r="C1297" s="221"/>
      <c r="D1297" s="221"/>
      <c r="E1297" s="221"/>
      <c r="F1297" s="221"/>
      <c r="G1297" s="221"/>
      <c r="H1297" s="221"/>
      <c r="I1297" s="221"/>
      <c r="J1297" s="221"/>
      <c r="K1297" s="221"/>
      <c r="L1297" s="221"/>
      <c r="M1297" s="221"/>
      <c r="N1297" s="221"/>
      <c r="O1297" s="135"/>
      <c r="P1297" s="135"/>
      <c r="Q1297" s="135"/>
      <c r="R1297" s="135"/>
      <c r="S1297" s="3"/>
      <c r="T1297" s="2339" t="s">
        <v>29</v>
      </c>
      <c r="U1297" s="2361" t="s">
        <v>22</v>
      </c>
      <c r="V1297" s="2319">
        <v>840103</v>
      </c>
      <c r="W1297" s="2318" t="s">
        <v>13</v>
      </c>
      <c r="X1297" s="2318" t="s">
        <v>14</v>
      </c>
      <c r="Y1297" s="2326">
        <f>SUM($Z$82:$Z$85)</f>
        <v>1436.5567999999998</v>
      </c>
      <c r="Z1297" s="2205"/>
      <c r="AA1297" s="2203"/>
      <c r="AB1297" s="2204"/>
      <c r="AC1297" s="1"/>
      <c r="AD1297" s="1"/>
    </row>
    <row r="1298" spans="1:30" ht="16.5">
      <c r="A1298" s="1"/>
      <c r="B1298" s="221"/>
      <c r="C1298" s="221"/>
      <c r="D1298" s="221"/>
      <c r="E1298" s="221"/>
      <c r="F1298" s="221"/>
      <c r="G1298" s="221"/>
      <c r="H1298" s="221"/>
      <c r="I1298" s="221"/>
      <c r="J1298" s="221"/>
      <c r="K1298" s="221"/>
      <c r="L1298" s="221"/>
      <c r="M1298" s="221"/>
      <c r="N1298" s="221"/>
      <c r="O1298" s="135"/>
      <c r="P1298" s="135"/>
      <c r="Q1298" s="135"/>
      <c r="R1298" s="135"/>
      <c r="S1298" s="3"/>
      <c r="T1298" s="2339" t="s">
        <v>39</v>
      </c>
      <c r="U1298" s="2362" t="s">
        <v>24</v>
      </c>
      <c r="V1298" s="2319">
        <v>840104</v>
      </c>
      <c r="W1298" s="2318" t="s">
        <v>13</v>
      </c>
      <c r="X1298" s="2318" t="s">
        <v>14</v>
      </c>
      <c r="Y1298" s="2327">
        <f>$Z$28</f>
        <v>4009.6000000000004</v>
      </c>
      <c r="Z1298" s="2205"/>
      <c r="AA1298" s="2203"/>
      <c r="AB1298" s="2204"/>
      <c r="AC1298" s="1"/>
      <c r="AD1298" s="1"/>
    </row>
    <row r="1299" spans="1:30" ht="16.5">
      <c r="A1299" s="1"/>
      <c r="B1299" s="221"/>
      <c r="C1299" s="221"/>
      <c r="D1299" s="221"/>
      <c r="E1299" s="221"/>
      <c r="F1299" s="221"/>
      <c r="G1299" s="221"/>
      <c r="H1299" s="221"/>
      <c r="I1299" s="221"/>
      <c r="J1299" s="221"/>
      <c r="K1299" s="221"/>
      <c r="L1299" s="221"/>
      <c r="M1299" s="221"/>
      <c r="N1299" s="221"/>
      <c r="O1299" s="135"/>
      <c r="P1299" s="135"/>
      <c r="Q1299" s="135"/>
      <c r="R1299" s="135"/>
      <c r="S1299" s="3"/>
      <c r="T1299" s="2339" t="s">
        <v>17</v>
      </c>
      <c r="U1299" s="2340" t="s">
        <v>24</v>
      </c>
      <c r="V1299" s="2317">
        <v>840104</v>
      </c>
      <c r="W1299" s="2318" t="s">
        <v>13</v>
      </c>
      <c r="X1299" s="2318" t="s">
        <v>14</v>
      </c>
      <c r="Y1299" s="2326">
        <f>$Z$103</f>
        <v>4009.6000000000004</v>
      </c>
      <c r="Z1299" s="2205"/>
      <c r="AA1299" s="2203"/>
      <c r="AB1299" s="2204"/>
      <c r="AC1299" s="1"/>
      <c r="AD1299" s="1"/>
    </row>
    <row r="1300" spans="1:30" ht="16.5">
      <c r="A1300" s="1"/>
      <c r="B1300" s="221"/>
      <c r="C1300" s="221"/>
      <c r="D1300" s="221"/>
      <c r="E1300" s="221"/>
      <c r="F1300" s="221"/>
      <c r="G1300" s="221"/>
      <c r="H1300" s="221"/>
      <c r="I1300" s="221"/>
      <c r="J1300" s="221"/>
      <c r="K1300" s="221"/>
      <c r="L1300" s="221"/>
      <c r="M1300" s="221"/>
      <c r="N1300" s="221"/>
      <c r="O1300" s="135"/>
      <c r="P1300" s="135"/>
      <c r="Q1300" s="135"/>
      <c r="R1300" s="135"/>
      <c r="S1300" s="3"/>
      <c r="T1300" s="2339" t="s">
        <v>17</v>
      </c>
      <c r="U1300" s="2340" t="s">
        <v>24</v>
      </c>
      <c r="V1300" s="2319">
        <v>840104</v>
      </c>
      <c r="W1300" s="2318" t="s">
        <v>13</v>
      </c>
      <c r="X1300" s="2318" t="s">
        <v>14</v>
      </c>
      <c r="Y1300" s="2326">
        <f>$Z$116</f>
        <v>11200.000000000002</v>
      </c>
      <c r="Z1300" s="2205"/>
      <c r="AA1300" s="2203"/>
      <c r="AB1300" s="2204"/>
      <c r="AC1300" s="1"/>
      <c r="AD1300" s="1"/>
    </row>
    <row r="1301" spans="1:30" ht="16.5">
      <c r="A1301" s="1"/>
      <c r="B1301" s="221"/>
      <c r="C1301" s="221"/>
      <c r="D1301" s="221"/>
      <c r="E1301" s="221"/>
      <c r="F1301" s="221"/>
      <c r="G1301" s="221"/>
      <c r="H1301" s="221"/>
      <c r="I1301" s="221"/>
      <c r="J1301" s="221"/>
      <c r="K1301" s="221"/>
      <c r="L1301" s="221"/>
      <c r="M1301" s="221"/>
      <c r="N1301" s="221"/>
      <c r="O1301" s="135"/>
      <c r="P1301" s="135"/>
      <c r="Q1301" s="135"/>
      <c r="R1301" s="135"/>
      <c r="S1301" s="3"/>
      <c r="T1301" s="2339" t="s">
        <v>29</v>
      </c>
      <c r="U1301" s="2340" t="s">
        <v>24</v>
      </c>
      <c r="V1301" s="2319">
        <v>840104</v>
      </c>
      <c r="W1301" s="2318" t="s">
        <v>13</v>
      </c>
      <c r="X1301" s="2318" t="s">
        <v>14</v>
      </c>
      <c r="Y1301" s="2326">
        <f>SUM($Z$118:$Z$121)</f>
        <v>5292.0000000000009</v>
      </c>
      <c r="Z1301" s="2205"/>
      <c r="AA1301" s="2203"/>
      <c r="AB1301" s="2204"/>
      <c r="AC1301" s="1"/>
      <c r="AD1301" s="1"/>
    </row>
    <row r="1302" spans="1:30" ht="16.5">
      <c r="A1302" s="1"/>
      <c r="B1302" s="221"/>
      <c r="C1302" s="221"/>
      <c r="D1302" s="221"/>
      <c r="E1302" s="221"/>
      <c r="F1302" s="221"/>
      <c r="G1302" s="221"/>
      <c r="H1302" s="221"/>
      <c r="I1302" s="221"/>
      <c r="J1302" s="221"/>
      <c r="K1302" s="221"/>
      <c r="L1302" s="221"/>
      <c r="M1302" s="221"/>
      <c r="N1302" s="221"/>
      <c r="O1302" s="135"/>
      <c r="P1302" s="135"/>
      <c r="Q1302" s="135"/>
      <c r="R1302" s="135"/>
      <c r="S1302" s="3"/>
      <c r="T1302" s="2339" t="s">
        <v>17</v>
      </c>
      <c r="U1302" s="2340" t="s">
        <v>24</v>
      </c>
      <c r="V1302" s="2319">
        <v>840104</v>
      </c>
      <c r="W1302" s="2318" t="s">
        <v>13</v>
      </c>
      <c r="X1302" s="2318" t="s">
        <v>14</v>
      </c>
      <c r="Y1302" s="2326">
        <f>$Z$123</f>
        <v>12028.800000000001</v>
      </c>
      <c r="Z1302" s="2205"/>
      <c r="AA1302" s="2203"/>
      <c r="AB1302" s="2204"/>
      <c r="AC1302" s="1"/>
      <c r="AD1302" s="1"/>
    </row>
    <row r="1303" spans="1:30" ht="16.5">
      <c r="A1303" s="1"/>
      <c r="B1303" s="221"/>
      <c r="C1303" s="221"/>
      <c r="D1303" s="221"/>
      <c r="E1303" s="221"/>
      <c r="F1303" s="221"/>
      <c r="G1303" s="221"/>
      <c r="H1303" s="221"/>
      <c r="I1303" s="221"/>
      <c r="J1303" s="221"/>
      <c r="K1303" s="221"/>
      <c r="L1303" s="221"/>
      <c r="M1303" s="221"/>
      <c r="N1303" s="221"/>
      <c r="O1303" s="135"/>
      <c r="P1303" s="135"/>
      <c r="Q1303" s="135"/>
      <c r="R1303" s="135"/>
      <c r="S1303" s="3"/>
      <c r="T1303" s="2339" t="s">
        <v>17</v>
      </c>
      <c r="U1303" s="2340" t="s">
        <v>24</v>
      </c>
      <c r="V1303" s="2317">
        <v>840104</v>
      </c>
      <c r="W1303" s="2318" t="s">
        <v>13</v>
      </c>
      <c r="X1303" s="2318" t="s">
        <v>14</v>
      </c>
      <c r="Y1303" s="2363">
        <f>$Z$450</f>
        <v>6014.4000000000005</v>
      </c>
      <c r="Z1303" s="2205"/>
      <c r="AA1303" s="2203"/>
      <c r="AB1303" s="2204"/>
      <c r="AC1303" s="1"/>
      <c r="AD1303" s="1"/>
    </row>
    <row r="1304" spans="1:30" ht="16.5">
      <c r="A1304" s="1"/>
      <c r="B1304" s="221"/>
      <c r="C1304" s="221"/>
      <c r="D1304" s="221"/>
      <c r="E1304" s="221"/>
      <c r="F1304" s="221"/>
      <c r="G1304" s="221"/>
      <c r="H1304" s="221"/>
      <c r="I1304" s="221"/>
      <c r="J1304" s="221"/>
      <c r="K1304" s="221"/>
      <c r="L1304" s="221"/>
      <c r="M1304" s="221"/>
      <c r="N1304" s="221"/>
      <c r="O1304" s="135"/>
      <c r="P1304" s="135"/>
      <c r="Q1304" s="135"/>
      <c r="R1304" s="135"/>
      <c r="S1304" s="3"/>
      <c r="T1304" s="2339" t="s">
        <v>29</v>
      </c>
      <c r="U1304" s="2340" t="s">
        <v>24</v>
      </c>
      <c r="V1304" s="2319">
        <v>840104</v>
      </c>
      <c r="W1304" s="2318" t="s">
        <v>13</v>
      </c>
      <c r="X1304" s="2318" t="s">
        <v>14</v>
      </c>
      <c r="Y1304" s="2326">
        <f>$Z$537</f>
        <v>4009.6000000000004</v>
      </c>
      <c r="Z1304" s="2205"/>
      <c r="AA1304" s="2203"/>
      <c r="AB1304" s="2204"/>
      <c r="AC1304" s="1"/>
      <c r="AD1304" s="1"/>
    </row>
    <row r="1305" spans="1:30" ht="16.5">
      <c r="A1305" s="1"/>
      <c r="B1305" s="221"/>
      <c r="C1305" s="221"/>
      <c r="D1305" s="221"/>
      <c r="E1305" s="221"/>
      <c r="F1305" s="221"/>
      <c r="G1305" s="221"/>
      <c r="H1305" s="221"/>
      <c r="I1305" s="221"/>
      <c r="J1305" s="221"/>
      <c r="K1305" s="221"/>
      <c r="L1305" s="221"/>
      <c r="M1305" s="221"/>
      <c r="N1305" s="221"/>
      <c r="O1305" s="135"/>
      <c r="P1305" s="135"/>
      <c r="Q1305" s="135"/>
      <c r="R1305" s="135"/>
      <c r="S1305" s="3"/>
      <c r="T1305" s="2339" t="s">
        <v>29</v>
      </c>
      <c r="U1305" s="2340" t="s">
        <v>20</v>
      </c>
      <c r="V1305" s="3777">
        <v>840107</v>
      </c>
      <c r="W1305" s="2318" t="s">
        <v>13</v>
      </c>
      <c r="X1305" s="2318" t="s">
        <v>14</v>
      </c>
      <c r="Y1305" s="2326">
        <f>SUM($Z$109:$Z$112)</f>
        <v>5328.0192000000006</v>
      </c>
      <c r="Z1305" s="2205"/>
      <c r="AA1305" s="2203"/>
      <c r="AB1305" s="2204"/>
      <c r="AC1305" s="1"/>
      <c r="AD1305" s="1"/>
    </row>
    <row r="1306" spans="1:30" ht="16.5">
      <c r="A1306" s="1"/>
      <c r="B1306" s="221"/>
      <c r="C1306" s="221"/>
      <c r="D1306" s="221"/>
      <c r="E1306" s="221"/>
      <c r="F1306" s="221"/>
      <c r="G1306" s="221"/>
      <c r="H1306" s="221"/>
      <c r="I1306" s="221"/>
      <c r="J1306" s="221"/>
      <c r="K1306" s="221"/>
      <c r="L1306" s="221"/>
      <c r="M1306" s="221"/>
      <c r="N1306" s="221"/>
      <c r="O1306" s="135"/>
      <c r="P1306" s="135"/>
      <c r="Q1306" s="135"/>
      <c r="R1306" s="135"/>
      <c r="S1306" s="3"/>
      <c r="T1306" s="2339" t="s">
        <v>17</v>
      </c>
      <c r="U1306" s="2340" t="s">
        <v>20</v>
      </c>
      <c r="V1306" s="3777">
        <v>840107</v>
      </c>
      <c r="W1306" s="2318" t="s">
        <v>13</v>
      </c>
      <c r="X1306" s="2318" t="s">
        <v>14</v>
      </c>
      <c r="Y1306" s="2326">
        <f>$Z$114</f>
        <v>7781.7600000000011</v>
      </c>
      <c r="Z1306" s="2205"/>
      <c r="AA1306" s="2203"/>
      <c r="AB1306" s="2204"/>
      <c r="AC1306" s="1"/>
      <c r="AD1306" s="1"/>
    </row>
    <row r="1307" spans="1:30" ht="16.5">
      <c r="A1307" s="1"/>
      <c r="B1307" s="221"/>
      <c r="C1307" s="221"/>
      <c r="D1307" s="221"/>
      <c r="E1307" s="221"/>
      <c r="F1307" s="221"/>
      <c r="G1307" s="221"/>
      <c r="H1307" s="221"/>
      <c r="I1307" s="221"/>
      <c r="J1307" s="221"/>
      <c r="K1307" s="221"/>
      <c r="L1307" s="221"/>
      <c r="M1307" s="221"/>
      <c r="N1307" s="221"/>
      <c r="O1307" s="135"/>
      <c r="P1307" s="135"/>
      <c r="Q1307" s="135"/>
      <c r="R1307" s="135"/>
      <c r="S1307" s="3"/>
      <c r="T1307" s="2339" t="s">
        <v>17</v>
      </c>
      <c r="U1307" s="2361" t="s">
        <v>20</v>
      </c>
      <c r="V1307" s="3777">
        <v>840107</v>
      </c>
      <c r="W1307" s="2318" t="s">
        <v>13</v>
      </c>
      <c r="X1307" s="2318" t="s">
        <v>14</v>
      </c>
      <c r="Y1307" s="2363">
        <f>SUM($Z$447:$Z$448)</f>
        <v>2024.96</v>
      </c>
      <c r="Z1307" s="2205"/>
      <c r="AA1307" s="2203"/>
      <c r="AB1307" s="2204"/>
      <c r="AC1307" s="1"/>
      <c r="AD1307" s="1"/>
    </row>
    <row r="1308" spans="1:30" ht="16.5">
      <c r="A1308" s="1"/>
      <c r="B1308" s="221"/>
      <c r="C1308" s="221"/>
      <c r="D1308" s="221"/>
      <c r="E1308" s="221"/>
      <c r="F1308" s="221"/>
      <c r="G1308" s="221"/>
      <c r="H1308" s="221"/>
      <c r="I1308" s="221"/>
      <c r="J1308" s="221"/>
      <c r="K1308" s="221"/>
      <c r="L1308" s="221"/>
      <c r="M1308" s="221"/>
      <c r="N1308" s="221"/>
      <c r="O1308" s="135"/>
      <c r="P1308" s="135"/>
      <c r="Q1308" s="135"/>
      <c r="R1308" s="135"/>
      <c r="S1308" s="3"/>
      <c r="T1308" s="2339" t="s">
        <v>29</v>
      </c>
      <c r="U1308" s="2361" t="s">
        <v>20</v>
      </c>
      <c r="V1308" s="3777">
        <v>840107</v>
      </c>
      <c r="W1308" s="2318" t="s">
        <v>13</v>
      </c>
      <c r="X1308" s="2318" t="s">
        <v>14</v>
      </c>
      <c r="Y1308" s="2326">
        <f>SUM($Z$524:$Z$525)</f>
        <v>3864.0000000000005</v>
      </c>
      <c r="Z1308" s="2205"/>
      <c r="AA1308" s="2203"/>
      <c r="AB1308" s="2204"/>
      <c r="AC1308" s="1"/>
      <c r="AD1308" s="1"/>
    </row>
    <row r="1309" spans="1:30" ht="17.25" thickBot="1">
      <c r="A1309" s="1"/>
      <c r="B1309" s="221"/>
      <c r="C1309" s="221"/>
      <c r="D1309" s="221"/>
      <c r="E1309" s="221"/>
      <c r="F1309" s="221"/>
      <c r="G1309" s="221"/>
      <c r="H1309" s="221"/>
      <c r="I1309" s="221"/>
      <c r="J1309" s="221"/>
      <c r="K1309" s="221"/>
      <c r="L1309" s="221"/>
      <c r="M1309" s="221"/>
      <c r="N1309" s="221"/>
      <c r="O1309" s="135"/>
      <c r="P1309" s="135"/>
      <c r="Q1309" s="135"/>
      <c r="R1309" s="135"/>
      <c r="S1309" s="3"/>
      <c r="T1309" s="2343" t="s">
        <v>17</v>
      </c>
      <c r="U1309" s="2344" t="s">
        <v>20</v>
      </c>
      <c r="V1309" s="3778">
        <v>840107</v>
      </c>
      <c r="W1309" s="2323" t="s">
        <v>13</v>
      </c>
      <c r="X1309" s="2323" t="s">
        <v>14</v>
      </c>
      <c r="Y1309" s="2328">
        <f>$Z$610</f>
        <v>1344.0000000000002</v>
      </c>
      <c r="Z1309" s="2194"/>
      <c r="AA1309" s="2199"/>
      <c r="AB1309" s="2199"/>
      <c r="AC1309" s="1"/>
      <c r="AD1309" s="1"/>
    </row>
    <row r="1310" spans="1:30" ht="17.25" thickBot="1">
      <c r="A1310" s="1"/>
      <c r="B1310" s="221"/>
      <c r="C1310" s="221"/>
      <c r="D1310" s="221"/>
      <c r="E1310" s="221"/>
      <c r="F1310" s="221"/>
      <c r="G1310" s="221"/>
      <c r="H1310" s="221"/>
      <c r="I1310" s="221"/>
      <c r="J1310" s="221"/>
      <c r="K1310" s="221"/>
      <c r="L1310" s="221"/>
      <c r="M1310" s="221"/>
      <c r="N1310" s="221"/>
      <c r="O1310" s="135"/>
      <c r="P1310" s="135"/>
      <c r="Q1310" s="135"/>
      <c r="R1310" s="135"/>
      <c r="S1310" s="3"/>
      <c r="T1310" s="2377"/>
      <c r="U1310" s="2346" t="s">
        <v>183</v>
      </c>
      <c r="V1310" s="2378"/>
      <c r="W1310" s="2378"/>
      <c r="X1310" s="2246" t="s">
        <v>340</v>
      </c>
      <c r="Y1310" s="2329">
        <f>SUM(Y1285:Y1309)</f>
        <v>182559.78720000002</v>
      </c>
      <c r="Z1310" s="2196"/>
      <c r="AA1310" s="2199"/>
      <c r="AB1310" s="2207"/>
      <c r="AC1310" s="1"/>
      <c r="AD1310" s="1"/>
    </row>
    <row r="1311" spans="1:30" ht="17.25" thickTop="1">
      <c r="A1311" s="1"/>
      <c r="B1311" s="221"/>
      <c r="C1311" s="221"/>
      <c r="D1311" s="221"/>
      <c r="E1311" s="221"/>
      <c r="F1311" s="221"/>
      <c r="G1311" s="221"/>
      <c r="H1311" s="221"/>
      <c r="I1311" s="221"/>
      <c r="J1311" s="221"/>
      <c r="K1311" s="221"/>
      <c r="L1311" s="221"/>
      <c r="M1311" s="221"/>
      <c r="N1311" s="221"/>
      <c r="O1311" s="135"/>
      <c r="P1311" s="135"/>
      <c r="Q1311" s="135"/>
      <c r="R1311" s="135"/>
      <c r="S1311" s="3"/>
      <c r="T1311" s="2196"/>
      <c r="U1311" s="2196"/>
      <c r="V1311" s="2206" t="s">
        <v>347</v>
      </c>
      <c r="W1311" s="2197"/>
      <c r="X1311" s="2198"/>
      <c r="Y1311" s="2196"/>
      <c r="Z1311" s="2196"/>
      <c r="AA1311" s="2199"/>
      <c r="AB1311" s="2207"/>
      <c r="AC1311" s="1"/>
      <c r="AD1311" s="1"/>
    </row>
    <row r="1312" spans="1:30" ht="17.25" thickBot="1">
      <c r="A1312" s="1"/>
      <c r="B1312" s="221"/>
      <c r="C1312" s="221"/>
      <c r="D1312" s="221"/>
      <c r="E1312" s="221"/>
      <c r="F1312" s="221"/>
      <c r="G1312" s="221"/>
      <c r="H1312" s="221"/>
      <c r="I1312" s="221"/>
      <c r="J1312" s="221"/>
      <c r="K1312" s="221"/>
      <c r="L1312" s="221"/>
      <c r="M1312" s="221"/>
      <c r="N1312" s="221"/>
      <c r="O1312" s="135"/>
      <c r="P1312" s="135"/>
      <c r="Q1312" s="135"/>
      <c r="R1312" s="135"/>
      <c r="S1312" s="3"/>
      <c r="T1312" s="2196"/>
      <c r="U1312" s="2196"/>
      <c r="V1312" s="2196"/>
      <c r="W1312" s="2197"/>
      <c r="X1312" s="2198"/>
      <c r="Y1312" s="2196"/>
      <c r="Z1312" s="2196"/>
      <c r="AA1312" s="2210"/>
      <c r="AB1312" s="2199"/>
      <c r="AC1312" s="1"/>
      <c r="AD1312" s="1"/>
    </row>
    <row r="1313" spans="1:30" ht="17.25" thickTop="1">
      <c r="A1313" s="1"/>
      <c r="B1313" s="221"/>
      <c r="C1313" s="221"/>
      <c r="D1313" s="221"/>
      <c r="E1313" s="221"/>
      <c r="F1313" s="221"/>
      <c r="G1313" s="221"/>
      <c r="H1313" s="221"/>
      <c r="I1313" s="221"/>
      <c r="J1313" s="221"/>
      <c r="K1313" s="221"/>
      <c r="L1313" s="221"/>
      <c r="M1313" s="221"/>
      <c r="N1313" s="221"/>
      <c r="O1313" s="135"/>
      <c r="P1313" s="135"/>
      <c r="Q1313" s="135"/>
      <c r="R1313" s="135"/>
      <c r="S1313" s="3"/>
      <c r="T1313" s="5312" t="s">
        <v>348</v>
      </c>
      <c r="U1313" s="5313"/>
      <c r="V1313" s="5314"/>
      <c r="W1313" s="2197"/>
      <c r="X1313" s="2208" t="s">
        <v>349</v>
      </c>
      <c r="Y1313" s="2209" t="str">
        <f>IF(Y1310=AA1279,"OK","NO")</f>
        <v>OK</v>
      </c>
      <c r="Z1313" s="2196"/>
      <c r="AA1313" s="2210"/>
      <c r="AB1313" s="2199"/>
      <c r="AC1313" s="1"/>
      <c r="AD1313" s="1"/>
    </row>
    <row r="1314" spans="1:30" ht="16.5" customHeight="1">
      <c r="A1314" s="1"/>
      <c r="B1314" s="221"/>
      <c r="C1314" s="221"/>
      <c r="D1314" s="221"/>
      <c r="E1314" s="221"/>
      <c r="F1314" s="221"/>
      <c r="G1314" s="221"/>
      <c r="H1314" s="221"/>
      <c r="I1314" s="221"/>
      <c r="J1314" s="221"/>
      <c r="K1314" s="221"/>
      <c r="L1314" s="221"/>
      <c r="M1314" s="221"/>
      <c r="N1314" s="221"/>
      <c r="O1314" s="135"/>
      <c r="P1314" s="135"/>
      <c r="Q1314" s="135"/>
      <c r="R1314" s="135"/>
      <c r="S1314" s="3"/>
      <c r="T1314" s="5315" t="s">
        <v>3942</v>
      </c>
      <c r="U1314" s="4636"/>
      <c r="V1314" s="2384">
        <f>+Y1286+Y1287+Y1292+Y1296</f>
        <v>75958.008000000002</v>
      </c>
      <c r="W1314" s="2197"/>
      <c r="X1314" s="2198"/>
      <c r="Y1314" s="2209" t="str">
        <f>IF(V1318=AA1279,"OK","NO")</f>
        <v>OK</v>
      </c>
      <c r="Z1314" s="2196"/>
      <c r="AA1314" s="2210"/>
      <c r="AB1314" s="2199"/>
      <c r="AC1314" s="1"/>
      <c r="AD1314" s="1"/>
    </row>
    <row r="1315" spans="1:30" ht="16.5" customHeight="1">
      <c r="A1315" s="1"/>
      <c r="B1315" s="221"/>
      <c r="C1315" s="221"/>
      <c r="D1315" s="221"/>
      <c r="E1315" s="221"/>
      <c r="F1315" s="221"/>
      <c r="G1315" s="221"/>
      <c r="H1315" s="221"/>
      <c r="I1315" s="221"/>
      <c r="J1315" s="221"/>
      <c r="K1315" s="221"/>
      <c r="L1315" s="221"/>
      <c r="M1315" s="221"/>
      <c r="N1315" s="221"/>
      <c r="O1315" s="135"/>
      <c r="P1315" s="135"/>
      <c r="Q1315" s="135"/>
      <c r="R1315" s="135"/>
      <c r="S1315" s="3"/>
      <c r="T1315" s="5316" t="s">
        <v>3943</v>
      </c>
      <c r="U1315" s="4638"/>
      <c r="V1315" s="2385">
        <f>+Y1285+Y1288+Y1289+Y1290+Y1291+Y1294+Y1295</f>
        <v>35479.023999999998</v>
      </c>
      <c r="W1315" s="2197"/>
      <c r="X1315" s="2198"/>
      <c r="Y1315" s="2209" t="str">
        <f>IF(V1328=AA1279,"OK","NO")</f>
        <v>OK</v>
      </c>
      <c r="Z1315" s="2196"/>
      <c r="AA1315" s="2210"/>
      <c r="AB1315" s="2199"/>
      <c r="AC1315" s="1"/>
      <c r="AD1315" s="1"/>
    </row>
    <row r="1316" spans="1:30" ht="16.5" customHeight="1">
      <c r="A1316" s="1"/>
      <c r="B1316" s="221"/>
      <c r="C1316" s="221"/>
      <c r="D1316" s="221"/>
      <c r="E1316" s="221"/>
      <c r="F1316" s="221"/>
      <c r="G1316" s="221"/>
      <c r="H1316" s="221"/>
      <c r="I1316" s="221"/>
      <c r="J1316" s="221"/>
      <c r="K1316" s="221"/>
      <c r="L1316" s="221"/>
      <c r="M1316" s="221"/>
      <c r="N1316" s="221"/>
      <c r="O1316" s="221"/>
      <c r="P1316" s="221"/>
      <c r="Q1316" s="221"/>
      <c r="R1316" s="3"/>
      <c r="S1316" s="3"/>
      <c r="T1316" s="5316" t="s">
        <v>3944</v>
      </c>
      <c r="U1316" s="4638"/>
      <c r="V1316" s="2385">
        <f>+Y1293+Y1297+Y1298+Y1299+Y1300+Y1301+Y1302+Y1303+Y1304+Y1305+Y1306+Y1307+Y1308+Y1309</f>
        <v>71122.755200000014</v>
      </c>
      <c r="W1316" s="2197"/>
      <c r="X1316" s="2211"/>
      <c r="Y1316" s="145" t="str">
        <f>IF(Resumen!C368=AA1279,"OK","NO")</f>
        <v>OK</v>
      </c>
      <c r="Z1316" s="2196"/>
      <c r="AA1316" s="2210"/>
      <c r="AB1316" s="2199"/>
      <c r="AC1316" s="1"/>
      <c r="AD1316" s="1"/>
    </row>
    <row r="1317" spans="1:30" ht="16.5" customHeight="1">
      <c r="A1317" s="1"/>
      <c r="B1317" s="221"/>
      <c r="C1317" s="221"/>
      <c r="D1317" s="221"/>
      <c r="E1317" s="221"/>
      <c r="F1317" s="221"/>
      <c r="G1317" s="221"/>
      <c r="H1317" s="221"/>
      <c r="I1317" s="221"/>
      <c r="J1317" s="221"/>
      <c r="K1317" s="221"/>
      <c r="L1317" s="221"/>
      <c r="M1317" s="221"/>
      <c r="N1317" s="221"/>
      <c r="O1317" s="221"/>
      <c r="P1317" s="221"/>
      <c r="Q1317" s="221"/>
      <c r="R1317" s="3"/>
      <c r="S1317" s="3"/>
      <c r="T1317" s="5316" t="s">
        <v>3945</v>
      </c>
      <c r="U1317" s="4638"/>
      <c r="V1317" s="2386">
        <v>0</v>
      </c>
      <c r="W1317" s="2197"/>
      <c r="X1317" s="2211"/>
      <c r="Y1317" s="2196"/>
      <c r="Z1317" s="2196"/>
      <c r="AA1317" s="2210"/>
      <c r="AB1317" s="2199"/>
      <c r="AC1317" s="1"/>
      <c r="AD1317" s="1"/>
    </row>
    <row r="1318" spans="1:30" ht="16.5" customHeight="1">
      <c r="A1318" s="1"/>
      <c r="B1318" s="221"/>
      <c r="C1318" s="221"/>
      <c r="D1318" s="221"/>
      <c r="E1318" s="221"/>
      <c r="F1318" s="221"/>
      <c r="G1318" s="221"/>
      <c r="H1318" s="221"/>
      <c r="I1318" s="221"/>
      <c r="J1318" s="221"/>
      <c r="K1318" s="221"/>
      <c r="L1318" s="221"/>
      <c r="M1318" s="221"/>
      <c r="N1318" s="221"/>
      <c r="O1318" s="221"/>
      <c r="P1318" s="221"/>
      <c r="Q1318" s="221"/>
      <c r="R1318" s="3"/>
      <c r="S1318" s="3"/>
      <c r="T1318" s="5296" t="s">
        <v>183</v>
      </c>
      <c r="U1318" s="5221"/>
      <c r="V1318" s="2348">
        <f>SUM(V1314:V1317)</f>
        <v>182559.78720000002</v>
      </c>
      <c r="W1318" s="2197"/>
      <c r="X1318" s="2211"/>
      <c r="Y1318" s="2196"/>
      <c r="Z1318" s="2196"/>
      <c r="AA1318" s="2210"/>
      <c r="AB1318" s="2199"/>
      <c r="AC1318" s="1"/>
      <c r="AD1318" s="1"/>
    </row>
    <row r="1319" spans="1:30" ht="16.5" customHeight="1">
      <c r="A1319" s="1"/>
      <c r="B1319" s="221"/>
      <c r="C1319" s="221"/>
      <c r="D1319" s="221"/>
      <c r="E1319" s="221"/>
      <c r="F1319" s="221"/>
      <c r="G1319" s="221"/>
      <c r="H1319" s="221"/>
      <c r="I1319" s="221"/>
      <c r="J1319" s="221"/>
      <c r="K1319" s="221"/>
      <c r="L1319" s="221"/>
      <c r="M1319" s="221"/>
      <c r="N1319" s="221"/>
      <c r="O1319" s="221"/>
      <c r="P1319" s="221"/>
      <c r="Q1319" s="221"/>
      <c r="R1319" s="3"/>
      <c r="S1319" s="3"/>
      <c r="T1319" s="5317" t="s">
        <v>350</v>
      </c>
      <c r="U1319" s="5318"/>
      <c r="V1319" s="5319"/>
      <c r="W1319" s="2197"/>
      <c r="X1319" s="2212"/>
      <c r="Y1319" s="2196"/>
      <c r="Z1319" s="2196"/>
      <c r="AA1319" s="2210"/>
      <c r="AB1319" s="2199"/>
      <c r="AC1319" s="1"/>
      <c r="AD1319" s="1"/>
    </row>
    <row r="1320" spans="1:30" ht="16.5" customHeight="1">
      <c r="A1320" s="1"/>
      <c r="B1320" s="221"/>
      <c r="C1320" s="221"/>
      <c r="D1320" s="221"/>
      <c r="E1320" s="221"/>
      <c r="F1320" s="221"/>
      <c r="G1320" s="221"/>
      <c r="H1320" s="221"/>
      <c r="I1320" s="221"/>
      <c r="J1320" s="221"/>
      <c r="K1320" s="221"/>
      <c r="L1320" s="221"/>
      <c r="M1320" s="221"/>
      <c r="N1320" s="221"/>
      <c r="O1320" s="221"/>
      <c r="P1320" s="221"/>
      <c r="Q1320" s="221"/>
      <c r="R1320" s="1"/>
      <c r="S1320" s="1"/>
      <c r="T1320" s="5297" t="s">
        <v>3946</v>
      </c>
      <c r="U1320" s="4636"/>
      <c r="V1320" s="2384">
        <v>0</v>
      </c>
      <c r="W1320" s="2197"/>
      <c r="X1320" s="2212"/>
      <c r="Y1320" s="2196"/>
      <c r="Z1320" s="2196"/>
      <c r="AA1320" s="2210"/>
      <c r="AB1320" s="2199"/>
      <c r="AC1320" s="1"/>
      <c r="AD1320" s="1"/>
    </row>
    <row r="1321" spans="1:30" ht="16.5" customHeight="1">
      <c r="A1321" s="1"/>
      <c r="B1321" s="221"/>
      <c r="C1321" s="221"/>
      <c r="D1321" s="221"/>
      <c r="E1321" s="221"/>
      <c r="F1321" s="221"/>
      <c r="G1321" s="221"/>
      <c r="H1321" s="221"/>
      <c r="I1321" s="221"/>
      <c r="J1321" s="221"/>
      <c r="K1321" s="221"/>
      <c r="L1321" s="221"/>
      <c r="M1321" s="221"/>
      <c r="N1321" s="221"/>
      <c r="O1321" s="221"/>
      <c r="P1321" s="221"/>
      <c r="Q1321" s="221"/>
      <c r="R1321" s="1"/>
      <c r="S1321" s="1"/>
      <c r="T1321" s="5298" t="s">
        <v>3947</v>
      </c>
      <c r="U1321" s="4638"/>
      <c r="V1321" s="2385">
        <f>+SUM(Y1285:Y1296)</f>
        <v>114216.4912</v>
      </c>
      <c r="W1321" s="2197"/>
      <c r="X1321" s="2212"/>
      <c r="Y1321" s="2196"/>
      <c r="Z1321" s="2196"/>
      <c r="AA1321" s="2210"/>
      <c r="AB1321" s="2199"/>
      <c r="AC1321" s="1"/>
      <c r="AD1321" s="1"/>
    </row>
    <row r="1322" spans="1:30" ht="16.5" customHeight="1">
      <c r="A1322" s="1"/>
      <c r="B1322" s="221"/>
      <c r="C1322" s="221"/>
      <c r="D1322" s="221"/>
      <c r="E1322" s="221"/>
      <c r="F1322" s="221"/>
      <c r="G1322" s="221"/>
      <c r="H1322" s="221"/>
      <c r="I1322" s="221"/>
      <c r="J1322" s="221"/>
      <c r="K1322" s="221"/>
      <c r="L1322" s="221"/>
      <c r="M1322" s="221"/>
      <c r="N1322" s="221"/>
      <c r="O1322" s="221"/>
      <c r="P1322" s="221"/>
      <c r="Q1322" s="221"/>
      <c r="R1322" s="1"/>
      <c r="S1322" s="1"/>
      <c r="T1322" s="5298" t="s">
        <v>3948</v>
      </c>
      <c r="U1322" s="4638"/>
      <c r="V1322" s="2385">
        <v>0</v>
      </c>
      <c r="W1322" s="2197"/>
      <c r="X1322" s="2213"/>
      <c r="Y1322" s="2196"/>
      <c r="Z1322" s="2196"/>
      <c r="AA1322" s="2210"/>
      <c r="AB1322" s="2199"/>
      <c r="AC1322" s="1"/>
      <c r="AD1322" s="1"/>
    </row>
    <row r="1323" spans="1:30" ht="16.5" customHeight="1">
      <c r="A1323" s="1"/>
      <c r="B1323" s="221"/>
      <c r="C1323" s="221"/>
      <c r="D1323" s="221"/>
      <c r="E1323" s="221"/>
      <c r="F1323" s="221"/>
      <c r="G1323" s="221"/>
      <c r="H1323" s="221"/>
      <c r="I1323" s="221"/>
      <c r="J1323" s="221"/>
      <c r="K1323" s="221"/>
      <c r="L1323" s="221"/>
      <c r="M1323" s="221"/>
      <c r="N1323" s="221"/>
      <c r="O1323" s="221"/>
      <c r="P1323" s="221"/>
      <c r="Q1323" s="221"/>
      <c r="R1323" s="1"/>
      <c r="S1323" s="1"/>
      <c r="T1323" s="5298" t="s">
        <v>3949</v>
      </c>
      <c r="U1323" s="4638"/>
      <c r="V1323" s="2385">
        <v>0</v>
      </c>
      <c r="W1323" s="2197"/>
      <c r="X1323" s="2211"/>
      <c r="Y1323" s="2196"/>
      <c r="Z1323" s="2195"/>
      <c r="AA1323" s="2195"/>
      <c r="AB1323" s="2199"/>
      <c r="AC1323" s="1"/>
      <c r="AD1323" s="1"/>
    </row>
    <row r="1324" spans="1:30" ht="16.5" customHeight="1">
      <c r="A1324" s="1"/>
      <c r="B1324" s="221"/>
      <c r="C1324" s="221"/>
      <c r="D1324" s="221"/>
      <c r="E1324" s="221"/>
      <c r="F1324" s="221"/>
      <c r="G1324" s="221"/>
      <c r="H1324" s="221"/>
      <c r="I1324" s="221"/>
      <c r="J1324" s="221"/>
      <c r="K1324" s="221"/>
      <c r="L1324" s="221"/>
      <c r="M1324" s="221"/>
      <c r="N1324" s="221"/>
      <c r="O1324" s="221"/>
      <c r="P1324" s="221"/>
      <c r="Q1324" s="221"/>
      <c r="R1324" s="1"/>
      <c r="S1324" s="1"/>
      <c r="T1324" s="5298" t="s">
        <v>3954</v>
      </c>
      <c r="U1324" s="4638"/>
      <c r="V1324" s="2385">
        <v>0</v>
      </c>
      <c r="W1324" s="2197"/>
      <c r="X1324" s="2214"/>
      <c r="Y1324" s="2215"/>
      <c r="Z1324" s="2215"/>
      <c r="AA1324" s="2215"/>
      <c r="AB1324" s="2199"/>
      <c r="AC1324" s="1"/>
      <c r="AD1324" s="1"/>
    </row>
    <row r="1325" spans="1:30" ht="16.5" customHeight="1">
      <c r="A1325" s="1"/>
      <c r="B1325" s="221"/>
      <c r="C1325" s="221"/>
      <c r="D1325" s="221"/>
      <c r="E1325" s="221"/>
      <c r="F1325" s="221"/>
      <c r="G1325" s="221"/>
      <c r="H1325" s="221"/>
      <c r="I1325" s="221"/>
      <c r="J1325" s="221"/>
      <c r="K1325" s="221"/>
      <c r="L1325" s="221"/>
      <c r="M1325" s="221"/>
      <c r="N1325" s="221"/>
      <c r="O1325" s="221"/>
      <c r="P1325" s="221"/>
      <c r="Q1325" s="221"/>
      <c r="R1325" s="1"/>
      <c r="S1325" s="1"/>
      <c r="T1325" s="5298" t="s">
        <v>3951</v>
      </c>
      <c r="U1325" s="4638"/>
      <c r="V1325" s="2385">
        <v>0</v>
      </c>
      <c r="W1325" s="2197"/>
      <c r="X1325" s="2214"/>
      <c r="Y1325" s="2215"/>
      <c r="Z1325" s="2198"/>
      <c r="AA1325" s="2217"/>
      <c r="AB1325" s="2199"/>
      <c r="AC1325" s="1"/>
      <c r="AD1325" s="1"/>
    </row>
    <row r="1326" spans="1:30" ht="16.5" customHeight="1">
      <c r="A1326" s="1"/>
      <c r="B1326" s="221"/>
      <c r="C1326" s="221"/>
      <c r="D1326" s="221"/>
      <c r="E1326" s="221"/>
      <c r="F1326" s="221"/>
      <c r="G1326" s="221"/>
      <c r="H1326" s="221"/>
      <c r="I1326" s="221"/>
      <c r="J1326" s="221"/>
      <c r="K1326" s="221"/>
      <c r="L1326" s="221"/>
      <c r="M1326" s="221"/>
      <c r="N1326" s="221"/>
      <c r="O1326" s="221"/>
      <c r="P1326" s="221"/>
      <c r="Q1326" s="221"/>
      <c r="R1326" s="1"/>
      <c r="S1326" s="1"/>
      <c r="T1326" s="5298" t="s">
        <v>3952</v>
      </c>
      <c r="U1326" s="4638"/>
      <c r="V1326" s="2385">
        <f>+SUM(Y1297:Y1309)</f>
        <v>68343.296000000017</v>
      </c>
      <c r="W1326" s="2197"/>
      <c r="X1326" s="2214"/>
      <c r="Y1326" s="2216"/>
      <c r="Z1326" s="2194"/>
      <c r="AA1326" s="2210"/>
      <c r="AB1326" s="2199"/>
      <c r="AC1326" s="1"/>
      <c r="AD1326" s="1"/>
    </row>
    <row r="1327" spans="1:30" ht="16.5" customHeight="1">
      <c r="A1327" s="1"/>
      <c r="B1327" s="221"/>
      <c r="C1327" s="221"/>
      <c r="D1327" s="221"/>
      <c r="E1327" s="221"/>
      <c r="F1327" s="221"/>
      <c r="G1327" s="221"/>
      <c r="H1327" s="221"/>
      <c r="I1327" s="221"/>
      <c r="J1327" s="221"/>
      <c r="K1327" s="221"/>
      <c r="L1327" s="221"/>
      <c r="M1327" s="221"/>
      <c r="N1327" s="221"/>
      <c r="O1327" s="221"/>
      <c r="P1327" s="221"/>
      <c r="Q1327" s="221"/>
      <c r="R1327" s="1"/>
      <c r="S1327" s="1"/>
      <c r="T1327" s="5298" t="s">
        <v>3953</v>
      </c>
      <c r="U1327" s="4638"/>
      <c r="V1327" s="2386">
        <v>0</v>
      </c>
      <c r="W1327" s="2197"/>
      <c r="X1327" s="2218"/>
      <c r="Y1327" s="2194"/>
      <c r="Z1327" s="2196"/>
      <c r="AA1327" s="2210"/>
      <c r="AB1327" s="2199"/>
      <c r="AC1327" s="1"/>
      <c r="AD1327" s="1"/>
    </row>
    <row r="1328" spans="1:30" ht="16.5" customHeight="1" thickBot="1">
      <c r="A1328" s="1"/>
      <c r="B1328" s="221"/>
      <c r="C1328" s="221"/>
      <c r="D1328" s="221"/>
      <c r="E1328" s="221"/>
      <c r="F1328" s="221"/>
      <c r="G1328" s="221"/>
      <c r="H1328" s="221"/>
      <c r="I1328" s="221"/>
      <c r="J1328" s="221"/>
      <c r="K1328" s="221"/>
      <c r="L1328" s="221"/>
      <c r="M1328" s="221"/>
      <c r="N1328" s="221"/>
      <c r="O1328" s="221"/>
      <c r="P1328" s="221"/>
      <c r="Q1328" s="221"/>
      <c r="R1328" s="1"/>
      <c r="S1328" s="1"/>
      <c r="T1328" s="5299" t="s">
        <v>183</v>
      </c>
      <c r="U1328" s="5300"/>
      <c r="V1328" s="2349">
        <f>SUM(V1320:V1327)</f>
        <v>182559.78720000002</v>
      </c>
      <c r="W1328" s="2197"/>
      <c r="X1328" s="2213"/>
      <c r="Y1328" s="2196"/>
      <c r="Z1328" s="2196"/>
      <c r="AA1328" s="2210"/>
      <c r="AB1328" s="2199"/>
      <c r="AC1328" s="1"/>
      <c r="AD1328" s="1"/>
    </row>
    <row r="1329" spans="1:30" ht="16.5" customHeight="1" thickTop="1">
      <c r="A1329" s="1"/>
      <c r="B1329" s="221"/>
      <c r="C1329" s="221"/>
      <c r="D1329" s="221"/>
      <c r="E1329" s="221"/>
      <c r="F1329" s="221"/>
      <c r="G1329" s="221"/>
      <c r="H1329" s="221"/>
      <c r="I1329" s="221"/>
      <c r="J1329" s="221"/>
      <c r="K1329" s="221"/>
      <c r="L1329" s="221"/>
      <c r="M1329" s="221"/>
      <c r="N1329" s="221"/>
      <c r="O1329" s="221"/>
      <c r="P1329" s="221"/>
      <c r="Q1329" s="221"/>
      <c r="R1329" s="1"/>
      <c r="S1329" s="1"/>
      <c r="T1329" s="2196"/>
      <c r="U1329" s="2196"/>
      <c r="V1329" s="2219"/>
      <c r="W1329" s="2197"/>
      <c r="X1329" s="2198"/>
      <c r="Y1329" s="2196"/>
      <c r="Z1329" s="2196"/>
      <c r="AA1329" s="2210"/>
      <c r="AB1329" s="2199"/>
      <c r="AC1329" s="1"/>
      <c r="AD1329" s="1"/>
    </row>
    <row r="1330" spans="1:30" ht="16.5" customHeight="1">
      <c r="A1330" s="1"/>
      <c r="B1330" s="221"/>
      <c r="C1330" s="221"/>
      <c r="D1330" s="221"/>
      <c r="E1330" s="221"/>
      <c r="F1330" s="221"/>
      <c r="G1330" s="221"/>
      <c r="H1330" s="221"/>
      <c r="I1330" s="221"/>
      <c r="J1330" s="221"/>
      <c r="K1330" s="221"/>
      <c r="L1330" s="221"/>
      <c r="M1330" s="221"/>
      <c r="N1330" s="221"/>
      <c r="O1330" s="221"/>
      <c r="P1330" s="221"/>
      <c r="Q1330" s="221"/>
      <c r="R1330" s="1"/>
      <c r="S1330" s="1"/>
      <c r="T1330" s="2196"/>
      <c r="U1330" s="2196"/>
      <c r="V1330" s="2219"/>
      <c r="W1330" s="2197"/>
      <c r="X1330" s="2198"/>
      <c r="Y1330" s="2196"/>
      <c r="Z1330" s="2223"/>
      <c r="AA1330" s="2223"/>
      <c r="AB1330" s="2220"/>
      <c r="AC1330" s="1"/>
      <c r="AD1330" s="1"/>
    </row>
    <row r="1331" spans="1:30" ht="15.75" customHeight="1">
      <c r="T1331" s="2223"/>
      <c r="U1331" s="2223"/>
      <c r="V1331" s="2223"/>
      <c r="W1331" s="2223"/>
      <c r="X1331" s="2223"/>
      <c r="Y1331" s="2223"/>
      <c r="Z1331" s="2195"/>
      <c r="AA1331" s="2195"/>
      <c r="AB1331" s="2195"/>
    </row>
    <row r="1332" spans="1:30" ht="15.75" customHeight="1">
      <c r="T1332" s="2195"/>
      <c r="U1332" s="2195"/>
      <c r="V1332" s="2195"/>
      <c r="W1332" s="2195"/>
      <c r="X1332" s="2195"/>
      <c r="Y1332" s="2195"/>
      <c r="Z1332" s="2195"/>
      <c r="AA1332" s="2195"/>
      <c r="AB1332" s="2195"/>
    </row>
    <row r="1333" spans="1:30" ht="15.75" customHeight="1">
      <c r="T1333" s="2195"/>
      <c r="U1333" s="2195"/>
      <c r="V1333" s="2195"/>
      <c r="W1333" s="2195"/>
      <c r="X1333" s="2195"/>
      <c r="Y1333" s="2195"/>
      <c r="Z1333" s="2195"/>
      <c r="AA1333" s="2195"/>
      <c r="AB1333" s="2195"/>
    </row>
    <row r="1334" spans="1:30" ht="15.75" customHeight="1">
      <c r="T1334" s="2195"/>
      <c r="U1334" s="2195"/>
      <c r="V1334" s="2195"/>
      <c r="W1334" s="2195"/>
      <c r="X1334" s="2195"/>
      <c r="Y1334" s="2195"/>
      <c r="Z1334" s="2195"/>
      <c r="AA1334" s="2195"/>
      <c r="AB1334" s="2195"/>
    </row>
    <row r="1335" spans="1:30" ht="15.75" customHeight="1">
      <c r="T1335" s="2195"/>
      <c r="U1335" s="2195"/>
      <c r="V1335" s="2195"/>
      <c r="W1335" s="2195"/>
      <c r="X1335" s="2195"/>
      <c r="Y1335" s="2195"/>
      <c r="Z1335" s="2195"/>
      <c r="AA1335" s="2195"/>
      <c r="AB1335" s="2195"/>
    </row>
    <row r="1336" spans="1:30" ht="15.75" customHeight="1">
      <c r="T1336" s="2195"/>
      <c r="U1336" s="2195"/>
      <c r="V1336" s="2195"/>
      <c r="W1336" s="2195"/>
      <c r="X1336" s="2195"/>
      <c r="Y1336" s="2195"/>
      <c r="Z1336" s="2195"/>
      <c r="AA1336" s="2195"/>
      <c r="AB1336" s="2195"/>
    </row>
    <row r="1337" spans="1:30" ht="15.75" customHeight="1">
      <c r="U1337" s="2195"/>
      <c r="V1337" s="2195"/>
      <c r="W1337" s="2195"/>
      <c r="X1337" s="2195"/>
      <c r="Y1337" s="2195"/>
      <c r="Z1337" s="2195"/>
      <c r="AA1337" s="2195"/>
      <c r="AB1337" s="2195"/>
      <c r="AC1337" s="2195"/>
    </row>
    <row r="1338" spans="1:30" ht="15.75" customHeight="1">
      <c r="U1338" s="2195"/>
      <c r="V1338" s="2195"/>
      <c r="W1338" s="2195"/>
      <c r="X1338" s="2195"/>
      <c r="Y1338" s="2195"/>
      <c r="Z1338" s="2195"/>
      <c r="AA1338" s="2195"/>
      <c r="AB1338" s="2195"/>
      <c r="AC1338" s="2195"/>
    </row>
    <row r="1339" spans="1:30" ht="15.75" customHeight="1">
      <c r="U1339" s="2195"/>
      <c r="V1339" s="2195"/>
      <c r="W1339" s="2195"/>
      <c r="X1339" s="2195"/>
      <c r="Y1339" s="2195"/>
      <c r="Z1339" s="2195"/>
      <c r="AA1339" s="2195"/>
      <c r="AB1339" s="2195"/>
      <c r="AC1339" s="2195"/>
    </row>
    <row r="1340" spans="1:30" ht="15.75" customHeight="1">
      <c r="U1340" s="2195"/>
      <c r="V1340" s="2195"/>
      <c r="W1340" s="2195"/>
      <c r="X1340" s="2195"/>
      <c r="Y1340" s="2195"/>
      <c r="Z1340" s="2195"/>
      <c r="AA1340" s="2195"/>
      <c r="AB1340" s="2195"/>
      <c r="AC1340" s="2195"/>
    </row>
    <row r="1341" spans="1:30" ht="15.75" customHeight="1">
      <c r="U1341" s="2195"/>
      <c r="V1341" s="2195"/>
      <c r="W1341" s="2195"/>
      <c r="X1341" s="2195"/>
      <c r="Y1341" s="2195"/>
      <c r="Z1341" s="2195"/>
      <c r="AA1341" s="2195"/>
      <c r="AB1341" s="2195"/>
      <c r="AC1341" s="2195"/>
    </row>
    <row r="1342" spans="1:30" ht="15.75" customHeight="1">
      <c r="U1342" s="2195"/>
      <c r="V1342" s="2195"/>
      <c r="W1342" s="2195"/>
      <c r="X1342" s="2195"/>
      <c r="Y1342" s="2195"/>
      <c r="Z1342" s="2195"/>
      <c r="AA1342" s="2195"/>
      <c r="AB1342" s="2195"/>
      <c r="AC1342" s="2195"/>
    </row>
    <row r="1343" spans="1:30" ht="15.75" customHeight="1">
      <c r="U1343" s="2195"/>
      <c r="V1343" s="2195"/>
      <c r="W1343" s="2195"/>
      <c r="X1343" s="2195"/>
      <c r="Y1343" s="2195"/>
      <c r="Z1343" s="2195"/>
      <c r="AA1343" s="2195"/>
      <c r="AB1343" s="2195"/>
      <c r="AC1343" s="2195"/>
    </row>
    <row r="1344" spans="1:30" ht="15.75" customHeight="1">
      <c r="U1344" s="2195"/>
      <c r="V1344" s="2195"/>
      <c r="W1344" s="2195"/>
      <c r="X1344" s="2195"/>
      <c r="Y1344" s="2195"/>
      <c r="Z1344" s="2195"/>
      <c r="AA1344" s="2195"/>
      <c r="AB1344" s="2195"/>
      <c r="AC1344" s="2195"/>
    </row>
    <row r="1345" spans="21:29" ht="15.75" customHeight="1">
      <c r="U1345" s="2195"/>
      <c r="V1345" s="2195"/>
      <c r="W1345" s="2195"/>
      <c r="X1345" s="2195"/>
      <c r="Y1345" s="2195"/>
      <c r="Z1345" s="2195"/>
      <c r="AA1345" s="2195"/>
      <c r="AB1345" s="2195"/>
      <c r="AC1345" s="2195"/>
    </row>
    <row r="1346" spans="21:29" ht="15.75" customHeight="1">
      <c r="U1346" s="2195"/>
      <c r="V1346" s="2195"/>
      <c r="W1346" s="2195"/>
      <c r="X1346" s="2195"/>
      <c r="Y1346" s="2195"/>
      <c r="Z1346" s="2195"/>
    </row>
  </sheetData>
  <mergeCells count="3836">
    <mergeCell ref="I6:Q6"/>
    <mergeCell ref="R6:AE6"/>
    <mergeCell ref="R7:X7"/>
    <mergeCell ref="Y7:AA7"/>
    <mergeCell ref="AB7:AD7"/>
    <mergeCell ref="AE7:AE8"/>
    <mergeCell ref="AE9:AE13"/>
    <mergeCell ref="AE14:AE29"/>
    <mergeCell ref="A1:AE1"/>
    <mergeCell ref="A2:AE2"/>
    <mergeCell ref="A3:AE3"/>
    <mergeCell ref="A4:AE4"/>
    <mergeCell ref="A6:A8"/>
    <mergeCell ref="B6:C6"/>
    <mergeCell ref="D6:H6"/>
    <mergeCell ref="F7:F8"/>
    <mergeCell ref="G7:G8"/>
    <mergeCell ref="D7:D8"/>
    <mergeCell ref="E7:E8"/>
    <mergeCell ref="D9:D13"/>
    <mergeCell ref="E9:E13"/>
    <mergeCell ref="F9:F13"/>
    <mergeCell ref="G9:G13"/>
    <mergeCell ref="H9:H13"/>
    <mergeCell ref="E14:E29"/>
    <mergeCell ref="F14:F29"/>
    <mergeCell ref="G14:G29"/>
    <mergeCell ref="H14:H29"/>
    <mergeCell ref="I14:I29"/>
    <mergeCell ref="J14:J29"/>
    <mergeCell ref="L30:L34"/>
    <mergeCell ref="N30:N34"/>
    <mergeCell ref="O30:O34"/>
    <mergeCell ref="P30:P34"/>
    <mergeCell ref="Q30:Q34"/>
    <mergeCell ref="AE30:AE34"/>
    <mergeCell ref="AE35:AE39"/>
    <mergeCell ref="D30:D34"/>
    <mergeCell ref="E30:E34"/>
    <mergeCell ref="F30:F34"/>
    <mergeCell ref="G30:G34"/>
    <mergeCell ref="H30:H34"/>
    <mergeCell ref="I30:I34"/>
    <mergeCell ref="J30:J34"/>
    <mergeCell ref="H7:H8"/>
    <mergeCell ref="I7:I8"/>
    <mergeCell ref="J7:J8"/>
    <mergeCell ref="K7:K8"/>
    <mergeCell ref="L7:N7"/>
    <mergeCell ref="O7:O8"/>
    <mergeCell ref="P7:P8"/>
    <mergeCell ref="Q7:Q8"/>
    <mergeCell ref="I9:I13"/>
    <mergeCell ref="J9:J13"/>
    <mergeCell ref="K9:K13"/>
    <mergeCell ref="L9:L13"/>
    <mergeCell ref="N9:N13"/>
    <mergeCell ref="O9:O13"/>
    <mergeCell ref="P9:P13"/>
    <mergeCell ref="Q9:Q13"/>
    <mergeCell ref="D14:D29"/>
    <mergeCell ref="N35:N39"/>
    <mergeCell ref="O35:O39"/>
    <mergeCell ref="P35:P39"/>
    <mergeCell ref="Q35:Q39"/>
    <mergeCell ref="K14:K29"/>
    <mergeCell ref="L14:L29"/>
    <mergeCell ref="M14:M29"/>
    <mergeCell ref="N14:N29"/>
    <mergeCell ref="O14:O29"/>
    <mergeCell ref="P14:P29"/>
    <mergeCell ref="Q14:Q29"/>
    <mergeCell ref="B30:B34"/>
    <mergeCell ref="C30:C34"/>
    <mergeCell ref="B7:B8"/>
    <mergeCell ref="C7:C8"/>
    <mergeCell ref="A9:A125"/>
    <mergeCell ref="B9:B13"/>
    <mergeCell ref="C9:C13"/>
    <mergeCell ref="B14:B29"/>
    <mergeCell ref="C14:C29"/>
    <mergeCell ref="I35:I39"/>
    <mergeCell ref="J35:J39"/>
    <mergeCell ref="K35:K39"/>
    <mergeCell ref="L35:L39"/>
    <mergeCell ref="B35:B39"/>
    <mergeCell ref="C35:C39"/>
    <mergeCell ref="D35:D39"/>
    <mergeCell ref="E35:E39"/>
    <mergeCell ref="F35:F39"/>
    <mergeCell ref="G35:G39"/>
    <mergeCell ref="H35:H39"/>
    <mergeCell ref="K30:K34"/>
    <mergeCell ref="B40:B125"/>
    <mergeCell ref="AE131:AE135"/>
    <mergeCell ref="I131:I135"/>
    <mergeCell ref="J131:J135"/>
    <mergeCell ref="K131:K135"/>
    <mergeCell ref="L131:L135"/>
    <mergeCell ref="N131:N135"/>
    <mergeCell ref="O131:O135"/>
    <mergeCell ref="P131:P135"/>
    <mergeCell ref="J136:J140"/>
    <mergeCell ref="K136:K140"/>
    <mergeCell ref="N151:N155"/>
    <mergeCell ref="C136:C140"/>
    <mergeCell ref="D136:D140"/>
    <mergeCell ref="E136:E140"/>
    <mergeCell ref="F136:F140"/>
    <mergeCell ref="G136:G140"/>
    <mergeCell ref="H136:H140"/>
    <mergeCell ref="I136:I140"/>
    <mergeCell ref="C131:C135"/>
    <mergeCell ref="D131:D135"/>
    <mergeCell ref="E131:E135"/>
    <mergeCell ref="F131:F135"/>
    <mergeCell ref="G131:G135"/>
    <mergeCell ref="H131:H135"/>
    <mergeCell ref="P136:P140"/>
    <mergeCell ref="Q136:Q140"/>
    <mergeCell ref="AE136:AE140"/>
    <mergeCell ref="P141:P145"/>
    <mergeCell ref="Q141:Q145"/>
    <mergeCell ref="E141:E145"/>
    <mergeCell ref="C151:C155"/>
    <mergeCell ref="D151:D155"/>
    <mergeCell ref="K161:K165"/>
    <mergeCell ref="L161:L165"/>
    <mergeCell ref="J161:J165"/>
    <mergeCell ref="N161:N165"/>
    <mergeCell ref="F141:F145"/>
    <mergeCell ref="G141:G145"/>
    <mergeCell ref="H141:H145"/>
    <mergeCell ref="I141:I145"/>
    <mergeCell ref="J141:J145"/>
    <mergeCell ref="K141:K145"/>
    <mergeCell ref="J146:J150"/>
    <mergeCell ref="K146:K150"/>
    <mergeCell ref="L146:L150"/>
    <mergeCell ref="N146:N150"/>
    <mergeCell ref="I156:I160"/>
    <mergeCell ref="J156:J160"/>
    <mergeCell ref="K156:K160"/>
    <mergeCell ref="L156:L160"/>
    <mergeCell ref="N156:N160"/>
    <mergeCell ref="Q177:Q181"/>
    <mergeCell ref="O172:O176"/>
    <mergeCell ref="P172:P176"/>
    <mergeCell ref="Q172:Q176"/>
    <mergeCell ref="O192:O196"/>
    <mergeCell ref="P187:P191"/>
    <mergeCell ref="Q187:Q191"/>
    <mergeCell ref="I187:I191"/>
    <mergeCell ref="J187:J191"/>
    <mergeCell ref="K187:K191"/>
    <mergeCell ref="L187:L191"/>
    <mergeCell ref="M187:M191"/>
    <mergeCell ref="N187:N191"/>
    <mergeCell ref="O187:O191"/>
    <mergeCell ref="M192:M196"/>
    <mergeCell ref="N192:N196"/>
    <mergeCell ref="K172:K176"/>
    <mergeCell ref="L172:L176"/>
    <mergeCell ref="M172:M176"/>
    <mergeCell ref="N172:N176"/>
    <mergeCell ref="K182:K186"/>
    <mergeCell ref="K192:K196"/>
    <mergeCell ref="O161:O165"/>
    <mergeCell ref="H167:H171"/>
    <mergeCell ref="I167:I171"/>
    <mergeCell ref="P197:P201"/>
    <mergeCell ref="Q197:Q201"/>
    <mergeCell ref="I197:I201"/>
    <mergeCell ref="J197:J201"/>
    <mergeCell ref="K197:K201"/>
    <mergeCell ref="L197:L201"/>
    <mergeCell ref="M197:M201"/>
    <mergeCell ref="N197:N201"/>
    <mergeCell ref="O197:O201"/>
    <mergeCell ref="F192:F196"/>
    <mergeCell ref="G192:G196"/>
    <mergeCell ref="L182:L186"/>
    <mergeCell ref="M182:M186"/>
    <mergeCell ref="N182:N186"/>
    <mergeCell ref="O182:O186"/>
    <mergeCell ref="P182:P186"/>
    <mergeCell ref="Q182:Q186"/>
    <mergeCell ref="L192:L196"/>
    <mergeCell ref="P192:P196"/>
    <mergeCell ref="Q192:Q196"/>
    <mergeCell ref="H192:H196"/>
    <mergeCell ref="I192:I196"/>
    <mergeCell ref="J192:J196"/>
    <mergeCell ref="P167:P171"/>
    <mergeCell ref="Q167:Q171"/>
    <mergeCell ref="I161:I165"/>
    <mergeCell ref="I172:I176"/>
    <mergeCell ref="J172:J176"/>
    <mergeCell ref="P177:P181"/>
    <mergeCell ref="B207:B211"/>
    <mergeCell ref="C207:C211"/>
    <mergeCell ref="D207:D211"/>
    <mergeCell ref="D212:D216"/>
    <mergeCell ref="N167:N171"/>
    <mergeCell ref="O167:O171"/>
    <mergeCell ref="F167:F171"/>
    <mergeCell ref="G167:G171"/>
    <mergeCell ref="E187:E191"/>
    <mergeCell ref="F187:F191"/>
    <mergeCell ref="G187:G191"/>
    <mergeCell ref="H187:H191"/>
    <mergeCell ref="B182:B186"/>
    <mergeCell ref="C182:C186"/>
    <mergeCell ref="D182:D186"/>
    <mergeCell ref="E182:E186"/>
    <mergeCell ref="F182:F186"/>
    <mergeCell ref="G182:G186"/>
    <mergeCell ref="H182:H186"/>
    <mergeCell ref="B177:B181"/>
    <mergeCell ref="C177:C181"/>
    <mergeCell ref="D177:D181"/>
    <mergeCell ref="E177:E181"/>
    <mergeCell ref="F177:F181"/>
    <mergeCell ref="G177:G181"/>
    <mergeCell ref="H177:H181"/>
    <mergeCell ref="K167:K171"/>
    <mergeCell ref="L167:L171"/>
    <mergeCell ref="M167:M171"/>
    <mergeCell ref="J232:J236"/>
    <mergeCell ref="B232:B236"/>
    <mergeCell ref="B237:B241"/>
    <mergeCell ref="D237:D241"/>
    <mergeCell ref="A126:A160"/>
    <mergeCell ref="A161:A165"/>
    <mergeCell ref="A167:A195"/>
    <mergeCell ref="B192:B196"/>
    <mergeCell ref="C192:C196"/>
    <mergeCell ref="D192:D196"/>
    <mergeCell ref="E192:E196"/>
    <mergeCell ref="C161:C165"/>
    <mergeCell ref="D161:D165"/>
    <mergeCell ref="E161:E165"/>
    <mergeCell ref="F161:F165"/>
    <mergeCell ref="G161:G165"/>
    <mergeCell ref="H161:H165"/>
    <mergeCell ref="B156:B160"/>
    <mergeCell ref="C156:C160"/>
    <mergeCell ref="B202:B206"/>
    <mergeCell ref="C202:C206"/>
    <mergeCell ref="D202:D206"/>
    <mergeCell ref="E202:E206"/>
    <mergeCell ref="D187:D191"/>
    <mergeCell ref="H202:H206"/>
    <mergeCell ref="H197:H201"/>
    <mergeCell ref="B146:B150"/>
    <mergeCell ref="C146:C150"/>
    <mergeCell ref="A196:A246"/>
    <mergeCell ref="B187:B191"/>
    <mergeCell ref="B197:B201"/>
    <mergeCell ref="C187:C191"/>
    <mergeCell ref="L232:L236"/>
    <mergeCell ref="D232:D236"/>
    <mergeCell ref="E232:E236"/>
    <mergeCell ref="F232:F236"/>
    <mergeCell ref="M258:M262"/>
    <mergeCell ref="N258:N262"/>
    <mergeCell ref="O258:O262"/>
    <mergeCell ref="P258:P262"/>
    <mergeCell ref="Q258:Q262"/>
    <mergeCell ref="L258:L262"/>
    <mergeCell ref="B227:B231"/>
    <mergeCell ref="B248:B252"/>
    <mergeCell ref="C253:C257"/>
    <mergeCell ref="B258:B262"/>
    <mergeCell ref="C258:C262"/>
    <mergeCell ref="D258:D262"/>
    <mergeCell ref="E258:E262"/>
    <mergeCell ref="L227:L231"/>
    <mergeCell ref="M227:M231"/>
    <mergeCell ref="N227:N231"/>
    <mergeCell ref="O227:O231"/>
    <mergeCell ref="P227:P231"/>
    <mergeCell ref="Q227:Q231"/>
    <mergeCell ref="K258:K262"/>
    <mergeCell ref="M232:M236"/>
    <mergeCell ref="N232:N236"/>
    <mergeCell ref="O232:O236"/>
    <mergeCell ref="P232:P236"/>
    <mergeCell ref="Q232:Q236"/>
    <mergeCell ref="G232:G236"/>
    <mergeCell ref="H232:H236"/>
    <mergeCell ref="I232:I236"/>
    <mergeCell ref="N263:N267"/>
    <mergeCell ref="O263:O267"/>
    <mergeCell ref="P263:P267"/>
    <mergeCell ref="Q263:Q267"/>
    <mergeCell ref="F263:F267"/>
    <mergeCell ref="G263:G267"/>
    <mergeCell ref="H263:H267"/>
    <mergeCell ref="I263:I267"/>
    <mergeCell ref="J263:J267"/>
    <mergeCell ref="K263:K267"/>
    <mergeCell ref="L263:L267"/>
    <mergeCell ref="C222:C226"/>
    <mergeCell ref="D222:D226"/>
    <mergeCell ref="B212:B216"/>
    <mergeCell ref="B217:B221"/>
    <mergeCell ref="B222:B226"/>
    <mergeCell ref="C197:C201"/>
    <mergeCell ref="D197:D201"/>
    <mergeCell ref="E197:E201"/>
    <mergeCell ref="F197:F201"/>
    <mergeCell ref="G197:G201"/>
    <mergeCell ref="F207:F211"/>
    <mergeCell ref="G207:G211"/>
    <mergeCell ref="D217:D221"/>
    <mergeCell ref="E217:E221"/>
    <mergeCell ref="H207:H211"/>
    <mergeCell ref="C212:C216"/>
    <mergeCell ref="I207:I211"/>
    <mergeCell ref="J207:J211"/>
    <mergeCell ref="K207:K211"/>
    <mergeCell ref="L207:L211"/>
    <mergeCell ref="L222:L226"/>
    <mergeCell ref="B344:B348"/>
    <mergeCell ref="B370:B374"/>
    <mergeCell ref="B375:B379"/>
    <mergeCell ref="E375:E379"/>
    <mergeCell ref="C380:C384"/>
    <mergeCell ref="B380:B384"/>
    <mergeCell ref="B385:B389"/>
    <mergeCell ref="B390:B394"/>
    <mergeCell ref="B395:B399"/>
    <mergeCell ref="B400:B404"/>
    <mergeCell ref="B405:B409"/>
    <mergeCell ref="B410:B414"/>
    <mergeCell ref="B415:B419"/>
    <mergeCell ref="B319:B323"/>
    <mergeCell ref="B324:B328"/>
    <mergeCell ref="D293:D297"/>
    <mergeCell ref="E293:E297"/>
    <mergeCell ref="C293:C297"/>
    <mergeCell ref="D309:D313"/>
    <mergeCell ref="E309:E313"/>
    <mergeCell ref="C298:C302"/>
    <mergeCell ref="D298:D302"/>
    <mergeCell ref="E298:E302"/>
    <mergeCell ref="C303:C307"/>
    <mergeCell ref="D303:D307"/>
    <mergeCell ref="E303:E307"/>
    <mergeCell ref="C309:C313"/>
    <mergeCell ref="B329:B333"/>
    <mergeCell ref="B334:B338"/>
    <mergeCell ref="B339:B343"/>
    <mergeCell ref="C339:C343"/>
    <mergeCell ref="C385:C389"/>
    <mergeCell ref="D385:D389"/>
    <mergeCell ref="E385:E389"/>
    <mergeCell ref="C390:C394"/>
    <mergeCell ref="D390:D394"/>
    <mergeCell ref="E390:E394"/>
    <mergeCell ref="C395:C399"/>
    <mergeCell ref="C319:C323"/>
    <mergeCell ref="C324:C328"/>
    <mergeCell ref="D324:D328"/>
    <mergeCell ref="E324:E328"/>
    <mergeCell ref="C329:C333"/>
    <mergeCell ref="D329:D333"/>
    <mergeCell ref="E329:E333"/>
    <mergeCell ref="C344:C348"/>
    <mergeCell ref="D344:D348"/>
    <mergeCell ref="E344:E348"/>
    <mergeCell ref="C334:C338"/>
    <mergeCell ref="D334:D338"/>
    <mergeCell ref="E334:E338"/>
    <mergeCell ref="D339:D343"/>
    <mergeCell ref="E339:E343"/>
    <mergeCell ref="C350:C354"/>
    <mergeCell ref="D350:D354"/>
    <mergeCell ref="E350:E354"/>
    <mergeCell ref="D395:D399"/>
    <mergeCell ref="E395:E399"/>
    <mergeCell ref="A248:A270"/>
    <mergeCell ref="B268:B272"/>
    <mergeCell ref="C268:C272"/>
    <mergeCell ref="D268:D272"/>
    <mergeCell ref="E268:E272"/>
    <mergeCell ref="C273:C277"/>
    <mergeCell ref="D273:D277"/>
    <mergeCell ref="E273:E277"/>
    <mergeCell ref="A271:A307"/>
    <mergeCell ref="K227:K231"/>
    <mergeCell ref="D227:D231"/>
    <mergeCell ref="E227:E231"/>
    <mergeCell ref="F227:F231"/>
    <mergeCell ref="G227:G231"/>
    <mergeCell ref="H227:H231"/>
    <mergeCell ref="I227:I231"/>
    <mergeCell ref="J227:J231"/>
    <mergeCell ref="K232:K236"/>
    <mergeCell ref="F242:F246"/>
    <mergeCell ref="G242:G246"/>
    <mergeCell ref="D248:D252"/>
    <mergeCell ref="H298:H302"/>
    <mergeCell ref="I298:I302"/>
    <mergeCell ref="J298:J302"/>
    <mergeCell ref="K298:K302"/>
    <mergeCell ref="B273:B277"/>
    <mergeCell ref="B278:B282"/>
    <mergeCell ref="B283:B287"/>
    <mergeCell ref="B288:B292"/>
    <mergeCell ref="B293:B297"/>
    <mergeCell ref="B298:B302"/>
    <mergeCell ref="B303:B307"/>
    <mergeCell ref="A309:A348"/>
    <mergeCell ref="C355:C359"/>
    <mergeCell ref="C360:C364"/>
    <mergeCell ref="D360:D364"/>
    <mergeCell ref="E360:E364"/>
    <mergeCell ref="C365:C369"/>
    <mergeCell ref="D365:D369"/>
    <mergeCell ref="E365:E369"/>
    <mergeCell ref="A350:A424"/>
    <mergeCell ref="B350:B354"/>
    <mergeCell ref="B355:B359"/>
    <mergeCell ref="B360:B364"/>
    <mergeCell ref="B365:B369"/>
    <mergeCell ref="B420:B424"/>
    <mergeCell ref="B309:B313"/>
    <mergeCell ref="B314:B318"/>
    <mergeCell ref="C314:C318"/>
    <mergeCell ref="D314:D318"/>
    <mergeCell ref="E314:E318"/>
    <mergeCell ref="D319:D323"/>
    <mergeCell ref="E319:E323"/>
    <mergeCell ref="D410:D414"/>
    <mergeCell ref="E410:E414"/>
    <mergeCell ref="D355:D359"/>
    <mergeCell ref="E355:E359"/>
    <mergeCell ref="D380:D384"/>
    <mergeCell ref="E380:E384"/>
    <mergeCell ref="C370:C374"/>
    <mergeCell ref="D370:D374"/>
    <mergeCell ref="E370:E374"/>
    <mergeCell ref="C375:C379"/>
    <mergeCell ref="D375:D379"/>
    <mergeCell ref="M222:M226"/>
    <mergeCell ref="N222:N226"/>
    <mergeCell ref="O222:O226"/>
    <mergeCell ref="P222:P226"/>
    <mergeCell ref="Q222:Q226"/>
    <mergeCell ref="E222:E226"/>
    <mergeCell ref="F222:F226"/>
    <mergeCell ref="G222:G226"/>
    <mergeCell ref="H222:H226"/>
    <mergeCell ref="I222:I226"/>
    <mergeCell ref="M212:M216"/>
    <mergeCell ref="J222:J226"/>
    <mergeCell ref="E207:E211"/>
    <mergeCell ref="N212:N216"/>
    <mergeCell ref="O212:O216"/>
    <mergeCell ref="E212:E216"/>
    <mergeCell ref="F212:F216"/>
    <mergeCell ref="G212:G216"/>
    <mergeCell ref="H212:H216"/>
    <mergeCell ref="I212:I216"/>
    <mergeCell ref="J212:J216"/>
    <mergeCell ref="P217:P221"/>
    <mergeCell ref="Q217:Q221"/>
    <mergeCell ref="N207:N211"/>
    <mergeCell ref="O207:O211"/>
    <mergeCell ref="P207:P211"/>
    <mergeCell ref="Q207:Q211"/>
    <mergeCell ref="M217:M221"/>
    <mergeCell ref="N217:N221"/>
    <mergeCell ref="O217:O221"/>
    <mergeCell ref="K222:K226"/>
    <mergeCell ref="P202:P206"/>
    <mergeCell ref="Q202:Q206"/>
    <mergeCell ref="F202:F206"/>
    <mergeCell ref="G202:G206"/>
    <mergeCell ref="I202:I206"/>
    <mergeCell ref="J202:J206"/>
    <mergeCell ref="K202:K206"/>
    <mergeCell ref="L202:L206"/>
    <mergeCell ref="M202:M206"/>
    <mergeCell ref="K217:K221"/>
    <mergeCell ref="L217:L221"/>
    <mergeCell ref="F217:F221"/>
    <mergeCell ref="G217:G221"/>
    <mergeCell ref="H217:H221"/>
    <mergeCell ref="I217:I221"/>
    <mergeCell ref="J217:J221"/>
    <mergeCell ref="N202:N206"/>
    <mergeCell ref="O202:O206"/>
    <mergeCell ref="P212:P216"/>
    <mergeCell ref="Q212:Q216"/>
    <mergeCell ref="K212:K216"/>
    <mergeCell ref="L212:L216"/>
    <mergeCell ref="M207:M211"/>
    <mergeCell ref="E237:E241"/>
    <mergeCell ref="F237:F241"/>
    <mergeCell ref="G237:G241"/>
    <mergeCell ref="H237:H241"/>
    <mergeCell ref="C237:C241"/>
    <mergeCell ref="P237:P241"/>
    <mergeCell ref="Q237:Q241"/>
    <mergeCell ref="I237:I241"/>
    <mergeCell ref="J237:J241"/>
    <mergeCell ref="K237:K241"/>
    <mergeCell ref="L237:L241"/>
    <mergeCell ref="M237:M241"/>
    <mergeCell ref="N237:N241"/>
    <mergeCell ref="O237:O241"/>
    <mergeCell ref="C232:C236"/>
    <mergeCell ref="K283:K287"/>
    <mergeCell ref="L283:L287"/>
    <mergeCell ref="I253:I257"/>
    <mergeCell ref="J253:J257"/>
    <mergeCell ref="K253:K257"/>
    <mergeCell ref="L253:L257"/>
    <mergeCell ref="C283:C287"/>
    <mergeCell ref="O242:O246"/>
    <mergeCell ref="P242:P246"/>
    <mergeCell ref="Q242:Q246"/>
    <mergeCell ref="H242:H246"/>
    <mergeCell ref="I242:I246"/>
    <mergeCell ref="J242:J246"/>
    <mergeCell ref="K242:K246"/>
    <mergeCell ref="L242:L246"/>
    <mergeCell ref="M242:M246"/>
    <mergeCell ref="N242:N246"/>
    <mergeCell ref="K248:K252"/>
    <mergeCell ref="L248:L252"/>
    <mergeCell ref="M248:M252"/>
    <mergeCell ref="N248:N252"/>
    <mergeCell ref="O248:O252"/>
    <mergeCell ref="P248:P252"/>
    <mergeCell ref="Q248:Q252"/>
    <mergeCell ref="M273:M277"/>
    <mergeCell ref="N273:N277"/>
    <mergeCell ref="O273:O277"/>
    <mergeCell ref="P273:P277"/>
    <mergeCell ref="Q273:Q277"/>
    <mergeCell ref="F273:F277"/>
    <mergeCell ref="G273:G277"/>
    <mergeCell ref="H273:H277"/>
    <mergeCell ref="J248:J252"/>
    <mergeCell ref="C248:C252"/>
    <mergeCell ref="K273:K277"/>
    <mergeCell ref="L273:L277"/>
    <mergeCell ref="M268:M272"/>
    <mergeCell ref="N268:N272"/>
    <mergeCell ref="O268:O272"/>
    <mergeCell ref="P268:P272"/>
    <mergeCell ref="Q268:Q272"/>
    <mergeCell ref="F268:F272"/>
    <mergeCell ref="G268:G272"/>
    <mergeCell ref="H268:H272"/>
    <mergeCell ref="I268:I272"/>
    <mergeCell ref="J268:J272"/>
    <mergeCell ref="K268:K272"/>
    <mergeCell ref="L268:L272"/>
    <mergeCell ref="M263:M267"/>
    <mergeCell ref="B253:B257"/>
    <mergeCell ref="D253:D257"/>
    <mergeCell ref="E253:E257"/>
    <mergeCell ref="F253:F257"/>
    <mergeCell ref="G253:G257"/>
    <mergeCell ref="H253:H257"/>
    <mergeCell ref="B263:B267"/>
    <mergeCell ref="C263:C267"/>
    <mergeCell ref="D263:D267"/>
    <mergeCell ref="E263:E267"/>
    <mergeCell ref="E278:E282"/>
    <mergeCell ref="F278:F282"/>
    <mergeCell ref="H278:H282"/>
    <mergeCell ref="F283:F287"/>
    <mergeCell ref="G283:G287"/>
    <mergeCell ref="H283:H287"/>
    <mergeCell ref="J283:J287"/>
    <mergeCell ref="I273:I277"/>
    <mergeCell ref="J273:J277"/>
    <mergeCell ref="F258:F262"/>
    <mergeCell ref="G258:G262"/>
    <mergeCell ref="H258:H262"/>
    <mergeCell ref="I258:I262"/>
    <mergeCell ref="J258:J262"/>
    <mergeCell ref="J278:J282"/>
    <mergeCell ref="F293:F297"/>
    <mergeCell ref="G293:G297"/>
    <mergeCell ref="H293:H297"/>
    <mergeCell ref="I293:I297"/>
    <mergeCell ref="J293:J297"/>
    <mergeCell ref="K293:K297"/>
    <mergeCell ref="L293:L297"/>
    <mergeCell ref="M298:M302"/>
    <mergeCell ref="N298:N302"/>
    <mergeCell ref="O298:O302"/>
    <mergeCell ref="P298:P302"/>
    <mergeCell ref="Q298:Q302"/>
    <mergeCell ref="F298:F302"/>
    <mergeCell ref="G298:G302"/>
    <mergeCell ref="L298:L302"/>
    <mergeCell ref="F303:F307"/>
    <mergeCell ref="G303:G307"/>
    <mergeCell ref="H303:H307"/>
    <mergeCell ref="I303:I307"/>
    <mergeCell ref="AE654:AE658"/>
    <mergeCell ref="AE665:AE669"/>
    <mergeCell ref="AE730:AE734"/>
    <mergeCell ref="AE735:AE739"/>
    <mergeCell ref="R740:Y740"/>
    <mergeCell ref="J314:J318"/>
    <mergeCell ref="K314:K318"/>
    <mergeCell ref="L314:L318"/>
    <mergeCell ref="M319:M323"/>
    <mergeCell ref="N319:N323"/>
    <mergeCell ref="O319:O323"/>
    <mergeCell ref="P319:P323"/>
    <mergeCell ref="Q319:Q323"/>
    <mergeCell ref="F319:F323"/>
    <mergeCell ref="G319:G323"/>
    <mergeCell ref="H319:H323"/>
    <mergeCell ref="I319:I323"/>
    <mergeCell ref="J319:J323"/>
    <mergeCell ref="K319:K323"/>
    <mergeCell ref="L319:L323"/>
    <mergeCell ref="AB740:AE740"/>
    <mergeCell ref="M334:M338"/>
    <mergeCell ref="N334:N338"/>
    <mergeCell ref="O334:O338"/>
    <mergeCell ref="P334:P338"/>
    <mergeCell ref="Q334:Q338"/>
    <mergeCell ref="M350:M354"/>
    <mergeCell ref="N350:N354"/>
    <mergeCell ref="O350:O354"/>
    <mergeCell ref="P350:P354"/>
    <mergeCell ref="R349:Y349"/>
    <mergeCell ref="N380:N384"/>
    <mergeCell ref="AE1116:AE1120"/>
    <mergeCell ref="AE1121:AE1125"/>
    <mergeCell ref="AE1127:AE1131"/>
    <mergeCell ref="AE1192:AE1196"/>
    <mergeCell ref="AE1197:AE1201"/>
    <mergeCell ref="J324:J328"/>
    <mergeCell ref="K324:K328"/>
    <mergeCell ref="L324:L328"/>
    <mergeCell ref="AE741:AE751"/>
    <mergeCell ref="AE812:AE816"/>
    <mergeCell ref="AE817:AE821"/>
    <mergeCell ref="R822:Y822"/>
    <mergeCell ref="AB822:AE822"/>
    <mergeCell ref="F329:F333"/>
    <mergeCell ref="G329:G333"/>
    <mergeCell ref="H329:H333"/>
    <mergeCell ref="I329:I333"/>
    <mergeCell ref="J329:J333"/>
    <mergeCell ref="K329:K333"/>
    <mergeCell ref="L329:L333"/>
    <mergeCell ref="F420:F424"/>
    <mergeCell ref="G420:G424"/>
    <mergeCell ref="H420:H424"/>
    <mergeCell ref="I420:I424"/>
    <mergeCell ref="J420:J424"/>
    <mergeCell ref="K420:K424"/>
    <mergeCell ref="L420:L424"/>
    <mergeCell ref="AE523:AE537"/>
    <mergeCell ref="AE578:AE587"/>
    <mergeCell ref="R588:Y588"/>
    <mergeCell ref="AB588:AE588"/>
    <mergeCell ref="AE589:AE593"/>
    <mergeCell ref="AE1268:AE1272"/>
    <mergeCell ref="AE1273:AE1277"/>
    <mergeCell ref="R1278:Y1278"/>
    <mergeCell ref="AB1278:AE1278"/>
    <mergeCell ref="R1279:Y1279"/>
    <mergeCell ref="AB1279:AE1279"/>
    <mergeCell ref="R1280:AE1280"/>
    <mergeCell ref="T1282:Y1282"/>
    <mergeCell ref="AA1281:AB1281"/>
    <mergeCell ref="T1313:V1313"/>
    <mergeCell ref="T1314:U1314"/>
    <mergeCell ref="T1315:U1315"/>
    <mergeCell ref="T1323:U1323"/>
    <mergeCell ref="T1324:U1324"/>
    <mergeCell ref="AE823:AE827"/>
    <mergeCell ref="AE888:AE892"/>
    <mergeCell ref="R1050:Y1050"/>
    <mergeCell ref="AB1050:AE1050"/>
    <mergeCell ref="AE1051:AE1055"/>
    <mergeCell ref="R1126:Y1126"/>
    <mergeCell ref="AB1126:AE1126"/>
    <mergeCell ref="R1202:Y1202"/>
    <mergeCell ref="AB1202:AE1202"/>
    <mergeCell ref="AE893:AE897"/>
    <mergeCell ref="R898:Y898"/>
    <mergeCell ref="AB898:AE898"/>
    <mergeCell ref="AE899:AE903"/>
    <mergeCell ref="AE964:AE968"/>
    <mergeCell ref="R974:Y974"/>
    <mergeCell ref="AB974:AE974"/>
    <mergeCell ref="AE969:AE973"/>
    <mergeCell ref="AE975:AE979"/>
    <mergeCell ref="T1326:U1326"/>
    <mergeCell ref="T1327:U1327"/>
    <mergeCell ref="T1328:U1328"/>
    <mergeCell ref="T1316:U1316"/>
    <mergeCell ref="T1317:U1317"/>
    <mergeCell ref="T1318:U1318"/>
    <mergeCell ref="T1319:V1319"/>
    <mergeCell ref="T1320:U1320"/>
    <mergeCell ref="T1321:U1321"/>
    <mergeCell ref="T1322:U1322"/>
    <mergeCell ref="M329:M333"/>
    <mergeCell ref="N329:N333"/>
    <mergeCell ref="O329:O333"/>
    <mergeCell ref="P329:P333"/>
    <mergeCell ref="Q329:Q333"/>
    <mergeCell ref="AE350:AE354"/>
    <mergeCell ref="AE415:AE419"/>
    <mergeCell ref="M420:M424"/>
    <mergeCell ref="N420:N424"/>
    <mergeCell ref="O420:O424"/>
    <mergeCell ref="P420:P424"/>
    <mergeCell ref="Q420:Q424"/>
    <mergeCell ref="R425:Y425"/>
    <mergeCell ref="AB425:AE425"/>
    <mergeCell ref="AE420:AE424"/>
    <mergeCell ref="AE441:AE445"/>
    <mergeCell ref="AE446:AE451"/>
    <mergeCell ref="AE497:AE501"/>
    <mergeCell ref="R502:Y502"/>
    <mergeCell ref="AB502:AE502"/>
    <mergeCell ref="AE503:AE522"/>
    <mergeCell ref="AE1203:AE1207"/>
    <mergeCell ref="T1325:U1325"/>
    <mergeCell ref="K355:K359"/>
    <mergeCell ref="L355:L359"/>
    <mergeCell ref="M380:M384"/>
    <mergeCell ref="K390:K394"/>
    <mergeCell ref="L390:L394"/>
    <mergeCell ref="L482:L486"/>
    <mergeCell ref="K487:K491"/>
    <mergeCell ref="L487:L491"/>
    <mergeCell ref="K644:K648"/>
    <mergeCell ref="L644:L648"/>
    <mergeCell ref="K680:K684"/>
    <mergeCell ref="L680:L684"/>
    <mergeCell ref="K619:K623"/>
    <mergeCell ref="L619:L623"/>
    <mergeCell ref="Q924:Q928"/>
    <mergeCell ref="Q919:Q923"/>
    <mergeCell ref="K929:K933"/>
    <mergeCell ref="Q695:Q699"/>
    <mergeCell ref="P619:P623"/>
    <mergeCell ref="Q619:Q623"/>
    <mergeCell ref="Q390:Q394"/>
    <mergeCell ref="O395:O399"/>
    <mergeCell ref="M599:M603"/>
    <mergeCell ref="N599:N603"/>
    <mergeCell ref="M487:M491"/>
    <mergeCell ref="N487:N491"/>
    <mergeCell ref="M644:M648"/>
    <mergeCell ref="N644:N648"/>
    <mergeCell ref="O644:O648"/>
    <mergeCell ref="M680:M684"/>
    <mergeCell ref="M375:M379"/>
    <mergeCell ref="M508:M512"/>
    <mergeCell ref="N508:N512"/>
    <mergeCell ref="Q508:Q512"/>
    <mergeCell ref="P639:P643"/>
    <mergeCell ref="P415:P419"/>
    <mergeCell ref="P405:P409"/>
    <mergeCell ref="N410:N414"/>
    <mergeCell ref="P380:P384"/>
    <mergeCell ref="O446:O451"/>
    <mergeCell ref="P446:P451"/>
    <mergeCell ref="Q446:Q451"/>
    <mergeCell ref="O441:O445"/>
    <mergeCell ref="O410:O414"/>
    <mergeCell ref="O415:O419"/>
    <mergeCell ref="N405:N409"/>
    <mergeCell ref="O405:O409"/>
    <mergeCell ref="P467:P471"/>
    <mergeCell ref="Q467:Q471"/>
    <mergeCell ref="P508:P512"/>
    <mergeCell ref="O523:O537"/>
    <mergeCell ref="Q503:Q507"/>
    <mergeCell ref="P624:P628"/>
    <mergeCell ref="P629:P633"/>
    <mergeCell ref="Q634:Q638"/>
    <mergeCell ref="M446:M451"/>
    <mergeCell ref="O568:O572"/>
    <mergeCell ref="P568:P572"/>
    <mergeCell ref="Q568:Q572"/>
    <mergeCell ref="O563:O567"/>
    <mergeCell ref="Q431:Q435"/>
    <mergeCell ref="P614:P618"/>
    <mergeCell ref="Q614:Q618"/>
    <mergeCell ref="AB349:AE349"/>
    <mergeCell ref="AE659:AE663"/>
    <mergeCell ref="R664:Y664"/>
    <mergeCell ref="AB664:AE664"/>
    <mergeCell ref="O365:O369"/>
    <mergeCell ref="P365:P369"/>
    <mergeCell ref="Q365:Q369"/>
    <mergeCell ref="F365:F369"/>
    <mergeCell ref="G365:G369"/>
    <mergeCell ref="H365:H369"/>
    <mergeCell ref="I365:I369"/>
    <mergeCell ref="J365:J369"/>
    <mergeCell ref="K365:K369"/>
    <mergeCell ref="L365:L369"/>
    <mergeCell ref="F350:F354"/>
    <mergeCell ref="G350:G354"/>
    <mergeCell ref="H350:H354"/>
    <mergeCell ref="I350:I354"/>
    <mergeCell ref="L350:L354"/>
    <mergeCell ref="M355:M359"/>
    <mergeCell ref="N355:N359"/>
    <mergeCell ref="O355:O359"/>
    <mergeCell ref="P355:P359"/>
    <mergeCell ref="Q355:Q359"/>
    <mergeCell ref="F355:F359"/>
    <mergeCell ref="G355:G359"/>
    <mergeCell ref="H355:H359"/>
    <mergeCell ref="I355:I359"/>
    <mergeCell ref="J355:J359"/>
    <mergeCell ref="N395:N399"/>
    <mergeCell ref="O380:O384"/>
    <mergeCell ref="Q492:Q496"/>
    <mergeCell ref="C420:C424"/>
    <mergeCell ref="B472:B476"/>
    <mergeCell ref="C472:C476"/>
    <mergeCell ref="Q370:Q374"/>
    <mergeCell ref="F370:F374"/>
    <mergeCell ref="G370:G374"/>
    <mergeCell ref="H370:H374"/>
    <mergeCell ref="I370:I374"/>
    <mergeCell ref="J370:J374"/>
    <mergeCell ref="K370:K374"/>
    <mergeCell ref="L370:L374"/>
    <mergeCell ref="F446:F451"/>
    <mergeCell ref="G446:G451"/>
    <mergeCell ref="C415:C419"/>
    <mergeCell ref="P395:P399"/>
    <mergeCell ref="Q395:Q399"/>
    <mergeCell ref="F395:F399"/>
    <mergeCell ref="G395:G399"/>
    <mergeCell ref="D415:D419"/>
    <mergeCell ref="E415:E419"/>
    <mergeCell ref="Q375:Q379"/>
    <mergeCell ref="F375:F379"/>
    <mergeCell ref="G375:G379"/>
    <mergeCell ref="H375:H379"/>
    <mergeCell ref="I375:I379"/>
    <mergeCell ref="J375:J379"/>
    <mergeCell ref="K375:K379"/>
    <mergeCell ref="L375:L379"/>
    <mergeCell ref="O390:O394"/>
    <mergeCell ref="P390:P394"/>
    <mergeCell ref="I390:I394"/>
    <mergeCell ref="J390:J394"/>
    <mergeCell ref="A503:A587"/>
    <mergeCell ref="B503:B507"/>
    <mergeCell ref="C503:C507"/>
    <mergeCell ref="B508:B512"/>
    <mergeCell ref="C508:C512"/>
    <mergeCell ref="F467:F471"/>
    <mergeCell ref="F492:F496"/>
    <mergeCell ref="G492:G496"/>
    <mergeCell ref="H492:H496"/>
    <mergeCell ref="I492:I496"/>
    <mergeCell ref="J492:J496"/>
    <mergeCell ref="K492:K496"/>
    <mergeCell ref="L492:L496"/>
    <mergeCell ref="A426:A500"/>
    <mergeCell ref="B426:B430"/>
    <mergeCell ref="B497:B501"/>
    <mergeCell ref="E503:E507"/>
    <mergeCell ref="C426:C430"/>
    <mergeCell ref="D426:D430"/>
    <mergeCell ref="E426:E430"/>
    <mergeCell ref="F426:F430"/>
    <mergeCell ref="G426:G430"/>
    <mergeCell ref="C497:C501"/>
    <mergeCell ref="D497:D501"/>
    <mergeCell ref="E497:E501"/>
    <mergeCell ref="F497:F501"/>
    <mergeCell ref="G497:G501"/>
    <mergeCell ref="H497:H501"/>
    <mergeCell ref="D492:D496"/>
    <mergeCell ref="E492:E496"/>
    <mergeCell ref="D503:D507"/>
    <mergeCell ref="D472:D476"/>
    <mergeCell ref="D420:D424"/>
    <mergeCell ref="E420:E424"/>
    <mergeCell ref="C400:C404"/>
    <mergeCell ref="D400:D404"/>
    <mergeCell ref="E400:E404"/>
    <mergeCell ref="C405:C409"/>
    <mergeCell ref="D405:D409"/>
    <mergeCell ref="E405:E409"/>
    <mergeCell ref="C410:C414"/>
    <mergeCell ref="H395:H399"/>
    <mergeCell ref="I395:I399"/>
    <mergeCell ref="J385:J389"/>
    <mergeCell ref="K385:K389"/>
    <mergeCell ref="L385:L389"/>
    <mergeCell ref="O599:O603"/>
    <mergeCell ref="P599:P603"/>
    <mergeCell ref="Q599:Q603"/>
    <mergeCell ref="D599:D603"/>
    <mergeCell ref="E599:E603"/>
    <mergeCell ref="F599:F603"/>
    <mergeCell ref="G599:G603"/>
    <mergeCell ref="H599:H603"/>
    <mergeCell ref="I599:I603"/>
    <mergeCell ref="C599:C603"/>
    <mergeCell ref="O400:O404"/>
    <mergeCell ref="Q487:Q491"/>
    <mergeCell ref="I487:I491"/>
    <mergeCell ref="J487:J491"/>
    <mergeCell ref="M472:M476"/>
    <mergeCell ref="N472:N476"/>
    <mergeCell ref="O472:O476"/>
    <mergeCell ref="P472:P476"/>
    <mergeCell ref="B467:B471"/>
    <mergeCell ref="C467:C471"/>
    <mergeCell ref="B482:B486"/>
    <mergeCell ref="C482:C486"/>
    <mergeCell ref="B487:B491"/>
    <mergeCell ref="C487:C491"/>
    <mergeCell ref="E457:E461"/>
    <mergeCell ref="H457:H461"/>
    <mergeCell ref="K604:K608"/>
    <mergeCell ref="L604:L608"/>
    <mergeCell ref="D604:D608"/>
    <mergeCell ref="E604:E608"/>
    <mergeCell ref="F604:F608"/>
    <mergeCell ref="G604:G608"/>
    <mergeCell ref="H604:H608"/>
    <mergeCell ref="I604:I608"/>
    <mergeCell ref="J604:J608"/>
    <mergeCell ref="K599:K603"/>
    <mergeCell ref="L599:L603"/>
    <mergeCell ref="L477:L481"/>
    <mergeCell ref="F477:F481"/>
    <mergeCell ref="G477:G481"/>
    <mergeCell ref="J472:J476"/>
    <mergeCell ref="K472:K476"/>
    <mergeCell ref="L472:L476"/>
    <mergeCell ref="G523:G537"/>
    <mergeCell ref="H523:H537"/>
    <mergeCell ref="B513:B517"/>
    <mergeCell ref="C513:C517"/>
    <mergeCell ref="B518:B522"/>
    <mergeCell ref="C518:C522"/>
    <mergeCell ref="K513:K517"/>
    <mergeCell ref="I614:I618"/>
    <mergeCell ref="J614:J618"/>
    <mergeCell ref="K614:K618"/>
    <mergeCell ref="L614:L618"/>
    <mergeCell ref="M614:M618"/>
    <mergeCell ref="N614:N618"/>
    <mergeCell ref="O614:O618"/>
    <mergeCell ref="M604:M608"/>
    <mergeCell ref="N604:N608"/>
    <mergeCell ref="O604:O608"/>
    <mergeCell ref="P604:P608"/>
    <mergeCell ref="Q604:Q608"/>
    <mergeCell ref="K609:K613"/>
    <mergeCell ref="L609:L613"/>
    <mergeCell ref="M609:M613"/>
    <mergeCell ref="N609:N613"/>
    <mergeCell ref="O609:O613"/>
    <mergeCell ref="P609:P613"/>
    <mergeCell ref="Q609:Q613"/>
    <mergeCell ref="I609:I613"/>
    <mergeCell ref="B523:B537"/>
    <mergeCell ref="C523:C537"/>
    <mergeCell ref="D523:D537"/>
    <mergeCell ref="E523:E537"/>
    <mergeCell ref="F523:F537"/>
    <mergeCell ref="B538:B542"/>
    <mergeCell ref="C538:C542"/>
    <mergeCell ref="B680:B684"/>
    <mergeCell ref="C680:C684"/>
    <mergeCell ref="B685:B689"/>
    <mergeCell ref="C685:C689"/>
    <mergeCell ref="B690:B694"/>
    <mergeCell ref="C690:C694"/>
    <mergeCell ref="J599:J603"/>
    <mergeCell ref="B614:B618"/>
    <mergeCell ref="C614:C618"/>
    <mergeCell ref="D614:D618"/>
    <mergeCell ref="E614:E618"/>
    <mergeCell ref="F614:F618"/>
    <mergeCell ref="G614:G618"/>
    <mergeCell ref="H614:H618"/>
    <mergeCell ref="G609:G613"/>
    <mergeCell ref="H609:H613"/>
    <mergeCell ref="D609:D613"/>
    <mergeCell ref="E609:E613"/>
    <mergeCell ref="F609:F613"/>
    <mergeCell ref="C604:C608"/>
    <mergeCell ref="J690:J694"/>
    <mergeCell ref="C659:C663"/>
    <mergeCell ref="I624:I628"/>
    <mergeCell ref="J624:J628"/>
    <mergeCell ref="B624:B628"/>
    <mergeCell ref="C624:C628"/>
    <mergeCell ref="B619:B623"/>
    <mergeCell ref="C619:C623"/>
    <mergeCell ref="D619:D623"/>
    <mergeCell ref="E619:E623"/>
    <mergeCell ref="B675:B679"/>
    <mergeCell ref="C675:C679"/>
    <mergeCell ref="C639:C643"/>
    <mergeCell ref="D639:D643"/>
    <mergeCell ref="E639:E643"/>
    <mergeCell ref="F639:F643"/>
    <mergeCell ref="G639:G643"/>
    <mergeCell ref="H639:H643"/>
    <mergeCell ref="B649:B653"/>
    <mergeCell ref="C649:C653"/>
    <mergeCell ref="D649:D653"/>
    <mergeCell ref="E649:E653"/>
    <mergeCell ref="F649:F653"/>
    <mergeCell ref="D624:D628"/>
    <mergeCell ref="E624:E628"/>
    <mergeCell ref="F624:F628"/>
    <mergeCell ref="G624:G628"/>
    <mergeCell ref="B629:B633"/>
    <mergeCell ref="C629:C633"/>
    <mergeCell ref="D634:D638"/>
    <mergeCell ref="B659:B663"/>
    <mergeCell ref="O899:O903"/>
    <mergeCell ref="O909:O913"/>
    <mergeCell ref="P909:P913"/>
    <mergeCell ref="M919:M923"/>
    <mergeCell ref="N919:N923"/>
    <mergeCell ref="D919:D923"/>
    <mergeCell ref="E919:E923"/>
    <mergeCell ref="F919:F923"/>
    <mergeCell ref="K858:K862"/>
    <mergeCell ref="L858:L862"/>
    <mergeCell ref="M858:M862"/>
    <mergeCell ref="F858:F862"/>
    <mergeCell ref="F619:F623"/>
    <mergeCell ref="G619:G623"/>
    <mergeCell ref="H619:H623"/>
    <mergeCell ref="E670:E674"/>
    <mergeCell ref="F670:F674"/>
    <mergeCell ref="G670:G674"/>
    <mergeCell ref="H670:H674"/>
    <mergeCell ref="I670:I674"/>
    <mergeCell ref="J670:J674"/>
    <mergeCell ref="G858:G862"/>
    <mergeCell ref="H858:H862"/>
    <mergeCell ref="I858:I862"/>
    <mergeCell ref="J858:J862"/>
    <mergeCell ref="D629:D633"/>
    <mergeCell ref="E629:E633"/>
    <mergeCell ref="F629:F633"/>
    <mergeCell ref="G629:G633"/>
    <mergeCell ref="H629:H633"/>
    <mergeCell ref="I629:I633"/>
    <mergeCell ref="J629:J633"/>
    <mergeCell ref="G878:G882"/>
    <mergeCell ref="K878:K882"/>
    <mergeCell ref="L878:L882"/>
    <mergeCell ref="M878:M882"/>
    <mergeCell ref="N878:N882"/>
    <mergeCell ref="H878:H882"/>
    <mergeCell ref="I878:I882"/>
    <mergeCell ref="J878:J882"/>
    <mergeCell ref="F899:F903"/>
    <mergeCell ref="G899:G903"/>
    <mergeCell ref="H899:H903"/>
    <mergeCell ref="I899:I903"/>
    <mergeCell ref="J899:J903"/>
    <mergeCell ref="M899:M903"/>
    <mergeCell ref="K909:K913"/>
    <mergeCell ref="L909:L913"/>
    <mergeCell ref="M909:M913"/>
    <mergeCell ref="N909:N913"/>
    <mergeCell ref="N899:N903"/>
    <mergeCell ref="L929:L933"/>
    <mergeCell ref="M929:M933"/>
    <mergeCell ref="N929:N933"/>
    <mergeCell ref="O929:O933"/>
    <mergeCell ref="P929:P933"/>
    <mergeCell ref="Q929:Q933"/>
    <mergeCell ref="D929:D933"/>
    <mergeCell ref="E929:E933"/>
    <mergeCell ref="F929:F933"/>
    <mergeCell ref="G929:G933"/>
    <mergeCell ref="H929:H933"/>
    <mergeCell ref="I929:I933"/>
    <mergeCell ref="J929:J933"/>
    <mergeCell ref="K924:K928"/>
    <mergeCell ref="L924:L928"/>
    <mergeCell ref="M924:M928"/>
    <mergeCell ref="N924:N928"/>
    <mergeCell ref="O924:O928"/>
    <mergeCell ref="P924:P928"/>
    <mergeCell ref="D924:D928"/>
    <mergeCell ref="E924:E928"/>
    <mergeCell ref="F924:F928"/>
    <mergeCell ref="G924:G928"/>
    <mergeCell ref="H924:H928"/>
    <mergeCell ref="I924:I928"/>
    <mergeCell ref="J924:J928"/>
    <mergeCell ref="B695:B699"/>
    <mergeCell ref="C695:C699"/>
    <mergeCell ref="B700:B704"/>
    <mergeCell ref="C700:C704"/>
    <mergeCell ref="B705:B709"/>
    <mergeCell ref="C705:C709"/>
    <mergeCell ref="B710:B714"/>
    <mergeCell ref="C710:C714"/>
    <mergeCell ref="B715:B719"/>
    <mergeCell ref="C715:C719"/>
    <mergeCell ref="B720:B724"/>
    <mergeCell ref="C720:C724"/>
    <mergeCell ref="B725:B729"/>
    <mergeCell ref="C725:C729"/>
    <mergeCell ref="B730:B734"/>
    <mergeCell ref="C730:C734"/>
    <mergeCell ref="B735:B739"/>
    <mergeCell ref="C735:C739"/>
    <mergeCell ref="C863:C867"/>
    <mergeCell ref="C868:C872"/>
    <mergeCell ref="C888:C892"/>
    <mergeCell ref="B772:B776"/>
    <mergeCell ref="C772:C776"/>
    <mergeCell ref="B777:B781"/>
    <mergeCell ref="C777:C781"/>
    <mergeCell ref="B782:B786"/>
    <mergeCell ref="C782:C786"/>
    <mergeCell ref="B787:B791"/>
    <mergeCell ref="C787:C791"/>
    <mergeCell ref="B792:B796"/>
    <mergeCell ref="C792:C796"/>
    <mergeCell ref="B797:B801"/>
    <mergeCell ref="C797:C801"/>
    <mergeCell ref="B802:B806"/>
    <mergeCell ref="C802:C806"/>
    <mergeCell ref="B807:B811"/>
    <mergeCell ref="Q863:Q867"/>
    <mergeCell ref="O817:O821"/>
    <mergeCell ref="P817:P821"/>
    <mergeCell ref="Q817:Q821"/>
    <mergeCell ref="P868:P872"/>
    <mergeCell ref="C904:C908"/>
    <mergeCell ref="N858:N862"/>
    <mergeCell ref="O858:O862"/>
    <mergeCell ref="P858:P862"/>
    <mergeCell ref="Q858:Q862"/>
    <mergeCell ref="D858:D862"/>
    <mergeCell ref="E858:E862"/>
    <mergeCell ref="M883:M887"/>
    <mergeCell ref="N883:N887"/>
    <mergeCell ref="O883:O887"/>
    <mergeCell ref="P883:P887"/>
    <mergeCell ref="Q883:Q887"/>
    <mergeCell ref="D883:D887"/>
    <mergeCell ref="E883:E887"/>
    <mergeCell ref="F883:F887"/>
    <mergeCell ref="G883:G887"/>
    <mergeCell ref="H883:H887"/>
    <mergeCell ref="I883:I887"/>
    <mergeCell ref="J883:J887"/>
    <mergeCell ref="F873:F877"/>
    <mergeCell ref="G873:G877"/>
    <mergeCell ref="O873:O877"/>
    <mergeCell ref="O904:O908"/>
    <mergeCell ref="H893:H897"/>
    <mergeCell ref="K899:K903"/>
    <mergeCell ref="L899:L903"/>
    <mergeCell ref="H873:H877"/>
    <mergeCell ref="C893:C897"/>
    <mergeCell ref="C741:C751"/>
    <mergeCell ref="B752:B756"/>
    <mergeCell ref="C752:C756"/>
    <mergeCell ref="B757:B761"/>
    <mergeCell ref="C757:C761"/>
    <mergeCell ref="B762:B766"/>
    <mergeCell ref="C762:C766"/>
    <mergeCell ref="B767:B771"/>
    <mergeCell ref="C767:C771"/>
    <mergeCell ref="B863:B867"/>
    <mergeCell ref="B868:B872"/>
    <mergeCell ref="C873:C877"/>
    <mergeCell ref="C878:C882"/>
    <mergeCell ref="C883:C887"/>
    <mergeCell ref="O853:O857"/>
    <mergeCell ref="K812:K816"/>
    <mergeCell ref="L812:L816"/>
    <mergeCell ref="M812:M816"/>
    <mergeCell ref="N812:N816"/>
    <mergeCell ref="O812:O816"/>
    <mergeCell ref="K883:K887"/>
    <mergeCell ref="L883:L887"/>
    <mergeCell ref="K823:K827"/>
    <mergeCell ref="L823:L827"/>
    <mergeCell ref="M823:M827"/>
    <mergeCell ref="N823:N827"/>
    <mergeCell ref="O878:O882"/>
    <mergeCell ref="D878:D882"/>
    <mergeCell ref="E878:E882"/>
    <mergeCell ref="F878:F882"/>
    <mergeCell ref="G828:G832"/>
    <mergeCell ref="A665:A739"/>
    <mergeCell ref="B665:B669"/>
    <mergeCell ref="C665:C669"/>
    <mergeCell ref="C670:C674"/>
    <mergeCell ref="A741:A821"/>
    <mergeCell ref="B853:B857"/>
    <mergeCell ref="B858:B862"/>
    <mergeCell ref="C823:C827"/>
    <mergeCell ref="C828:C832"/>
    <mergeCell ref="C833:C837"/>
    <mergeCell ref="C838:C842"/>
    <mergeCell ref="C843:C847"/>
    <mergeCell ref="C848:C852"/>
    <mergeCell ref="C853:C857"/>
    <mergeCell ref="C858:C862"/>
    <mergeCell ref="C899:C903"/>
    <mergeCell ref="B634:B638"/>
    <mergeCell ref="C634:C638"/>
    <mergeCell ref="A823:A897"/>
    <mergeCell ref="B823:B827"/>
    <mergeCell ref="B828:B832"/>
    <mergeCell ref="B833:B837"/>
    <mergeCell ref="B838:B842"/>
    <mergeCell ref="B843:B847"/>
    <mergeCell ref="B848:B852"/>
    <mergeCell ref="B893:B897"/>
    <mergeCell ref="B654:B658"/>
    <mergeCell ref="C654:C658"/>
    <mergeCell ref="B873:B877"/>
    <mergeCell ref="B883:B887"/>
    <mergeCell ref="B888:B892"/>
    <mergeCell ref="B639:B643"/>
    <mergeCell ref="P934:P938"/>
    <mergeCell ref="Q934:Q938"/>
    <mergeCell ref="B670:B674"/>
    <mergeCell ref="B741:B751"/>
    <mergeCell ref="B817:B821"/>
    <mergeCell ref="C807:C811"/>
    <mergeCell ref="B812:B816"/>
    <mergeCell ref="C812:C816"/>
    <mergeCell ref="C817:C821"/>
    <mergeCell ref="D863:D867"/>
    <mergeCell ref="E863:E867"/>
    <mergeCell ref="F863:F867"/>
    <mergeCell ref="G863:G867"/>
    <mergeCell ref="H863:H867"/>
    <mergeCell ref="K904:K908"/>
    <mergeCell ref="L904:L908"/>
    <mergeCell ref="M904:M908"/>
    <mergeCell ref="N904:N908"/>
    <mergeCell ref="Q904:Q908"/>
    <mergeCell ref="Q823:Q827"/>
    <mergeCell ref="Q833:Q837"/>
    <mergeCell ref="P843:P847"/>
    <mergeCell ref="Q843:Q847"/>
    <mergeCell ref="P853:P857"/>
    <mergeCell ref="Q853:Q857"/>
    <mergeCell ref="P812:P816"/>
    <mergeCell ref="Q812:Q816"/>
    <mergeCell ref="P873:P877"/>
    <mergeCell ref="Q873:Q877"/>
    <mergeCell ref="P878:P882"/>
    <mergeCell ref="Q878:Q882"/>
    <mergeCell ref="P863:P867"/>
    <mergeCell ref="N959:N963"/>
    <mergeCell ref="O959:O963"/>
    <mergeCell ref="O964:O968"/>
    <mergeCell ref="P959:P963"/>
    <mergeCell ref="C909:C913"/>
    <mergeCell ref="C914:C918"/>
    <mergeCell ref="C919:C923"/>
    <mergeCell ref="C924:C928"/>
    <mergeCell ref="O944:O948"/>
    <mergeCell ref="P944:P948"/>
    <mergeCell ref="Q944:Q948"/>
    <mergeCell ref="H944:H948"/>
    <mergeCell ref="I944:I948"/>
    <mergeCell ref="J944:J948"/>
    <mergeCell ref="K944:K948"/>
    <mergeCell ref="L944:L948"/>
    <mergeCell ref="M944:M948"/>
    <mergeCell ref="N944:N948"/>
    <mergeCell ref="K919:K923"/>
    <mergeCell ref="L919:L923"/>
    <mergeCell ref="L914:L918"/>
    <mergeCell ref="O919:O923"/>
    <mergeCell ref="P919:P923"/>
    <mergeCell ref="G919:G923"/>
    <mergeCell ref="H919:H923"/>
    <mergeCell ref="I919:I923"/>
    <mergeCell ref="J919:J923"/>
    <mergeCell ref="Q959:Q963"/>
    <mergeCell ref="G959:G963"/>
    <mergeCell ref="H959:H963"/>
    <mergeCell ref="I959:I963"/>
    <mergeCell ref="D914:D918"/>
    <mergeCell ref="Q964:Q968"/>
    <mergeCell ref="G964:G968"/>
    <mergeCell ref="N969:N973"/>
    <mergeCell ref="O969:O973"/>
    <mergeCell ref="P969:P973"/>
    <mergeCell ref="Q969:Q973"/>
    <mergeCell ref="P964:P968"/>
    <mergeCell ref="Q949:Q953"/>
    <mergeCell ref="M949:M953"/>
    <mergeCell ref="N949:N953"/>
    <mergeCell ref="Q985:Q989"/>
    <mergeCell ref="K990:K994"/>
    <mergeCell ref="L990:L994"/>
    <mergeCell ref="M990:M994"/>
    <mergeCell ref="H990:H994"/>
    <mergeCell ref="I990:I994"/>
    <mergeCell ref="G975:G979"/>
    <mergeCell ref="H975:H979"/>
    <mergeCell ref="I975:I979"/>
    <mergeCell ref="K985:K989"/>
    <mergeCell ref="L985:L989"/>
    <mergeCell ref="M985:M989"/>
    <mergeCell ref="J980:J984"/>
    <mergeCell ref="K980:K984"/>
    <mergeCell ref="L980:L984"/>
    <mergeCell ref="M980:M984"/>
    <mergeCell ref="N980:N984"/>
    <mergeCell ref="P980:P984"/>
    <mergeCell ref="Q980:Q984"/>
    <mergeCell ref="G980:G984"/>
    <mergeCell ref="K954:K958"/>
    <mergeCell ref="Q954:Q958"/>
    <mergeCell ref="P995:P999"/>
    <mergeCell ref="Q995:Q999"/>
    <mergeCell ref="C985:C989"/>
    <mergeCell ref="D985:D989"/>
    <mergeCell ref="E985:E989"/>
    <mergeCell ref="F985:F989"/>
    <mergeCell ref="G985:G989"/>
    <mergeCell ref="H985:H989"/>
    <mergeCell ref="I985:I989"/>
    <mergeCell ref="H939:H943"/>
    <mergeCell ref="I939:I943"/>
    <mergeCell ref="J975:J979"/>
    <mergeCell ref="K975:K979"/>
    <mergeCell ref="L975:L979"/>
    <mergeCell ref="M975:M979"/>
    <mergeCell ref="N975:N979"/>
    <mergeCell ref="O975:O979"/>
    <mergeCell ref="P975:P979"/>
    <mergeCell ref="L949:L953"/>
    <mergeCell ref="O949:O953"/>
    <mergeCell ref="P949:P953"/>
    <mergeCell ref="L954:L958"/>
    <mergeCell ref="M954:M958"/>
    <mergeCell ref="N954:N958"/>
    <mergeCell ref="O954:O958"/>
    <mergeCell ref="P954:P958"/>
    <mergeCell ref="Q975:Q979"/>
    <mergeCell ref="L959:L963"/>
    <mergeCell ref="N990:N994"/>
    <mergeCell ref="O990:O994"/>
    <mergeCell ref="P990:P994"/>
    <mergeCell ref="Q990:Q994"/>
    <mergeCell ref="O980:O984"/>
    <mergeCell ref="D990:D994"/>
    <mergeCell ref="E990:E994"/>
    <mergeCell ref="J964:J968"/>
    <mergeCell ref="C980:C984"/>
    <mergeCell ref="D980:D984"/>
    <mergeCell ref="E980:E984"/>
    <mergeCell ref="F980:F984"/>
    <mergeCell ref="B990:B994"/>
    <mergeCell ref="B995:B999"/>
    <mergeCell ref="B1000:B1004"/>
    <mergeCell ref="C995:C999"/>
    <mergeCell ref="C1000:C1004"/>
    <mergeCell ref="C975:C979"/>
    <mergeCell ref="D975:D979"/>
    <mergeCell ref="G990:G994"/>
    <mergeCell ref="H1000:H1004"/>
    <mergeCell ref="I1000:I1004"/>
    <mergeCell ref="J1000:J1004"/>
    <mergeCell ref="I995:I999"/>
    <mergeCell ref="K969:K973"/>
    <mergeCell ref="L969:L973"/>
    <mergeCell ref="M969:M973"/>
    <mergeCell ref="K1000:K1004"/>
    <mergeCell ref="L1000:L1004"/>
    <mergeCell ref="M1000:M1004"/>
    <mergeCell ref="C969:C973"/>
    <mergeCell ref="D969:D973"/>
    <mergeCell ref="E969:E973"/>
    <mergeCell ref="F969:F973"/>
    <mergeCell ref="C964:C968"/>
    <mergeCell ref="D964:D968"/>
    <mergeCell ref="K964:K968"/>
    <mergeCell ref="L964:L968"/>
    <mergeCell ref="M964:M968"/>
    <mergeCell ref="C954:C958"/>
    <mergeCell ref="D954:D958"/>
    <mergeCell ref="E954:E958"/>
    <mergeCell ref="F954:F958"/>
    <mergeCell ref="G954:G958"/>
    <mergeCell ref="H954:H958"/>
    <mergeCell ref="F995:F999"/>
    <mergeCell ref="G995:G999"/>
    <mergeCell ref="B959:B963"/>
    <mergeCell ref="D1000:D1004"/>
    <mergeCell ref="F1000:F1004"/>
    <mergeCell ref="G1000:G1004"/>
    <mergeCell ref="E975:E979"/>
    <mergeCell ref="J949:J953"/>
    <mergeCell ref="K949:K953"/>
    <mergeCell ref="F975:F979"/>
    <mergeCell ref="I954:I958"/>
    <mergeCell ref="J959:J963"/>
    <mergeCell ref="K959:K963"/>
    <mergeCell ref="D959:D963"/>
    <mergeCell ref="E959:E963"/>
    <mergeCell ref="F959:F963"/>
    <mergeCell ref="E964:E968"/>
    <mergeCell ref="F964:F968"/>
    <mergeCell ref="M959:M963"/>
    <mergeCell ref="K995:K999"/>
    <mergeCell ref="L995:L999"/>
    <mergeCell ref="B1106:B1110"/>
    <mergeCell ref="B1111:B1115"/>
    <mergeCell ref="B1116:B1120"/>
    <mergeCell ref="C1056:C1060"/>
    <mergeCell ref="C1061:C1065"/>
    <mergeCell ref="D1061:D1065"/>
    <mergeCell ref="E1061:E1065"/>
    <mergeCell ref="C1066:C1070"/>
    <mergeCell ref="B1005:B1009"/>
    <mergeCell ref="B1015:B1019"/>
    <mergeCell ref="B1045:B1049"/>
    <mergeCell ref="B944:B948"/>
    <mergeCell ref="C944:C948"/>
    <mergeCell ref="D944:D948"/>
    <mergeCell ref="E944:E948"/>
    <mergeCell ref="E1000:E1004"/>
    <mergeCell ref="C959:C963"/>
    <mergeCell ref="D1076:D1080"/>
    <mergeCell ref="E1076:E1080"/>
    <mergeCell ref="C1081:C1085"/>
    <mergeCell ref="D1081:D1085"/>
    <mergeCell ref="B1020:B1024"/>
    <mergeCell ref="B1081:B1085"/>
    <mergeCell ref="B1086:B1090"/>
    <mergeCell ref="E1101:E1105"/>
    <mergeCell ref="C1005:C1009"/>
    <mergeCell ref="D1005:D1009"/>
    <mergeCell ref="E1010:E1014"/>
    <mergeCell ref="E995:E999"/>
    <mergeCell ref="B949:B953"/>
    <mergeCell ref="B954:B958"/>
    <mergeCell ref="B964:B968"/>
    <mergeCell ref="C1263:C1267"/>
    <mergeCell ref="D1263:D1267"/>
    <mergeCell ref="E1263:E1267"/>
    <mergeCell ref="C1268:C1272"/>
    <mergeCell ref="D1268:D1272"/>
    <mergeCell ref="E1268:E1272"/>
    <mergeCell ref="C1172:C1176"/>
    <mergeCell ref="E1223:E1227"/>
    <mergeCell ref="C1218:C1222"/>
    <mergeCell ref="C1273:C1277"/>
    <mergeCell ref="D1273:D1277"/>
    <mergeCell ref="E1273:E1277"/>
    <mergeCell ref="D1233:D1237"/>
    <mergeCell ref="E1233:E1237"/>
    <mergeCell ref="C1238:C1242"/>
    <mergeCell ref="D1218:D1222"/>
    <mergeCell ref="E1238:E1242"/>
    <mergeCell ref="D1248:D1252"/>
    <mergeCell ref="E1248:E1252"/>
    <mergeCell ref="C1253:C1257"/>
    <mergeCell ref="D1172:D1176"/>
    <mergeCell ref="E1172:E1176"/>
    <mergeCell ref="C1177:C1181"/>
    <mergeCell ref="C1182:C1186"/>
    <mergeCell ref="D1182:D1186"/>
    <mergeCell ref="C1197:C1201"/>
    <mergeCell ref="D1258:D1262"/>
    <mergeCell ref="E1258:E1262"/>
    <mergeCell ref="D1238:D1242"/>
    <mergeCell ref="B1268:B1272"/>
    <mergeCell ref="B1273:B1277"/>
    <mergeCell ref="B1162:B1166"/>
    <mergeCell ref="B1167:B1171"/>
    <mergeCell ref="B1172:B1176"/>
    <mergeCell ref="B1177:B1181"/>
    <mergeCell ref="B1182:B1186"/>
    <mergeCell ref="B1187:B1191"/>
    <mergeCell ref="B1192:B1196"/>
    <mergeCell ref="B1233:B1237"/>
    <mergeCell ref="B1238:B1242"/>
    <mergeCell ref="B1197:B1201"/>
    <mergeCell ref="B1203:B1207"/>
    <mergeCell ref="B1208:B1212"/>
    <mergeCell ref="B1213:B1217"/>
    <mergeCell ref="B1218:B1222"/>
    <mergeCell ref="B1223:B1227"/>
    <mergeCell ref="B1228:B1232"/>
    <mergeCell ref="F1197:F1201"/>
    <mergeCell ref="E1137:E1141"/>
    <mergeCell ref="D1203:D1207"/>
    <mergeCell ref="D1132:D1136"/>
    <mergeCell ref="E1132:E1136"/>
    <mergeCell ref="E1182:E1186"/>
    <mergeCell ref="C1187:C1191"/>
    <mergeCell ref="D1187:D1191"/>
    <mergeCell ref="E1187:E1191"/>
    <mergeCell ref="C1192:C1196"/>
    <mergeCell ref="A1127:A1201"/>
    <mergeCell ref="A1203:A1277"/>
    <mergeCell ref="B1051:B1055"/>
    <mergeCell ref="B1056:B1060"/>
    <mergeCell ref="B1061:B1065"/>
    <mergeCell ref="B1066:B1070"/>
    <mergeCell ref="B1121:B1125"/>
    <mergeCell ref="B1127:B1131"/>
    <mergeCell ref="B1132:B1136"/>
    <mergeCell ref="B1137:B1141"/>
    <mergeCell ref="B1142:B1146"/>
    <mergeCell ref="B1147:B1151"/>
    <mergeCell ref="B1152:B1156"/>
    <mergeCell ref="B1157:B1161"/>
    <mergeCell ref="B1243:B1247"/>
    <mergeCell ref="B1248:B1252"/>
    <mergeCell ref="B1253:B1257"/>
    <mergeCell ref="B1258:B1262"/>
    <mergeCell ref="B1263:B1267"/>
    <mergeCell ref="B1071:B1075"/>
    <mergeCell ref="B1076:B1080"/>
    <mergeCell ref="F1071:F1075"/>
    <mergeCell ref="L1258:L1262"/>
    <mergeCell ref="Q1253:Q1257"/>
    <mergeCell ref="J1253:J1257"/>
    <mergeCell ref="K1253:K1257"/>
    <mergeCell ref="L1253:L1257"/>
    <mergeCell ref="M1238:M1242"/>
    <mergeCell ref="N1238:N1242"/>
    <mergeCell ref="M1243:M1247"/>
    <mergeCell ref="I1228:I1232"/>
    <mergeCell ref="K1238:K1242"/>
    <mergeCell ref="L1238:L1242"/>
    <mergeCell ref="F1233:F1237"/>
    <mergeCell ref="D1253:D1257"/>
    <mergeCell ref="E1253:E1257"/>
    <mergeCell ref="C1243:C1247"/>
    <mergeCell ref="D1243:D1247"/>
    <mergeCell ref="E1243:E1247"/>
    <mergeCell ref="C1248:C1252"/>
    <mergeCell ref="K1228:K1232"/>
    <mergeCell ref="N1243:N1247"/>
    <mergeCell ref="O1243:O1247"/>
    <mergeCell ref="P1243:P1247"/>
    <mergeCell ref="Q1243:Q1247"/>
    <mergeCell ref="F1243:F1247"/>
    <mergeCell ref="G1243:G1247"/>
    <mergeCell ref="H1243:H1247"/>
    <mergeCell ref="I1243:I1247"/>
    <mergeCell ref="J1243:J1247"/>
    <mergeCell ref="K1243:K1247"/>
    <mergeCell ref="P1253:P1257"/>
    <mergeCell ref="M1248:M1252"/>
    <mergeCell ref="N1248:N1252"/>
    <mergeCell ref="Q1228:Q1232"/>
    <mergeCell ref="F1228:F1232"/>
    <mergeCell ref="G1228:G1232"/>
    <mergeCell ref="H1228:H1232"/>
    <mergeCell ref="N1096:N1100"/>
    <mergeCell ref="O1096:O1100"/>
    <mergeCell ref="P1096:P1100"/>
    <mergeCell ref="D1197:D1201"/>
    <mergeCell ref="E1197:E1201"/>
    <mergeCell ref="D1192:D1196"/>
    <mergeCell ref="C1213:C1217"/>
    <mergeCell ref="D1213:D1217"/>
    <mergeCell ref="E1213:E1217"/>
    <mergeCell ref="E1192:E1196"/>
    <mergeCell ref="E1121:E1125"/>
    <mergeCell ref="C1127:C1131"/>
    <mergeCell ref="D1127:D1131"/>
    <mergeCell ref="E1127:E1131"/>
    <mergeCell ref="C1132:C1136"/>
    <mergeCell ref="D1162:D1166"/>
    <mergeCell ref="E1162:E1166"/>
    <mergeCell ref="C1121:C1125"/>
    <mergeCell ref="D1121:D1125"/>
    <mergeCell ref="E1218:E1222"/>
    <mergeCell ref="C1223:C1227"/>
    <mergeCell ref="C1147:C1151"/>
    <mergeCell ref="C1152:C1156"/>
    <mergeCell ref="D1152:D1156"/>
    <mergeCell ref="E1152:E1156"/>
    <mergeCell ref="C1157:C1161"/>
    <mergeCell ref="D1157:D1161"/>
    <mergeCell ref="E1157:E1161"/>
    <mergeCell ref="A899:A973"/>
    <mergeCell ref="A975:A1049"/>
    <mergeCell ref="C1030:C1034"/>
    <mergeCell ref="D1030:D1034"/>
    <mergeCell ref="E1030:E1034"/>
    <mergeCell ref="E1035:E1039"/>
    <mergeCell ref="E1040:E1044"/>
    <mergeCell ref="E1045:E1049"/>
    <mergeCell ref="C1045:C1049"/>
    <mergeCell ref="D1045:D1049"/>
    <mergeCell ref="C1051:C1055"/>
    <mergeCell ref="D1051:D1055"/>
    <mergeCell ref="E1051:E1055"/>
    <mergeCell ref="D1056:D1060"/>
    <mergeCell ref="E1056:E1060"/>
    <mergeCell ref="C1071:C1075"/>
    <mergeCell ref="D1071:D1075"/>
    <mergeCell ref="E1071:E1075"/>
    <mergeCell ref="C1010:C1014"/>
    <mergeCell ref="B975:B979"/>
    <mergeCell ref="B980:B984"/>
    <mergeCell ref="B1025:B1029"/>
    <mergeCell ref="B1035:B1039"/>
    <mergeCell ref="B1030:B1034"/>
    <mergeCell ref="A1051:A1125"/>
    <mergeCell ref="E1066:E1070"/>
    <mergeCell ref="C1076:C1080"/>
    <mergeCell ref="B1040:B1044"/>
    <mergeCell ref="D1116:D1120"/>
    <mergeCell ref="E1116:E1120"/>
    <mergeCell ref="C1106:C1110"/>
    <mergeCell ref="D1106:D1110"/>
    <mergeCell ref="G1071:G1075"/>
    <mergeCell ref="H1071:H1075"/>
    <mergeCell ref="I1071:I1075"/>
    <mergeCell ref="F1137:F1141"/>
    <mergeCell ref="G1137:G1141"/>
    <mergeCell ref="H1137:H1141"/>
    <mergeCell ref="I1137:I1141"/>
    <mergeCell ref="F1116:F1120"/>
    <mergeCell ref="G1116:G1120"/>
    <mergeCell ref="H1116:H1120"/>
    <mergeCell ref="F1177:F1181"/>
    <mergeCell ref="G1177:G1181"/>
    <mergeCell ref="H1177:H1181"/>
    <mergeCell ref="I1177:I1181"/>
    <mergeCell ref="C1086:C1090"/>
    <mergeCell ref="D1086:D1090"/>
    <mergeCell ref="E1086:E1090"/>
    <mergeCell ref="D1091:D1095"/>
    <mergeCell ref="E1091:E1095"/>
    <mergeCell ref="C1091:C1095"/>
    <mergeCell ref="C1096:C1100"/>
    <mergeCell ref="D1096:D1100"/>
    <mergeCell ref="E1096:E1100"/>
    <mergeCell ref="C1101:C1105"/>
    <mergeCell ref="D1101:D1105"/>
    <mergeCell ref="C1162:C1166"/>
    <mergeCell ref="D1177:D1181"/>
    <mergeCell ref="E1177:E1181"/>
    <mergeCell ref="C1167:C1171"/>
    <mergeCell ref="D1066:D1070"/>
    <mergeCell ref="D1223:D1227"/>
    <mergeCell ref="C1228:C1232"/>
    <mergeCell ref="D1228:D1232"/>
    <mergeCell ref="E1228:E1232"/>
    <mergeCell ref="C1233:C1237"/>
    <mergeCell ref="F1248:F1252"/>
    <mergeCell ref="G1248:G1252"/>
    <mergeCell ref="H1248:H1252"/>
    <mergeCell ref="I1248:I1252"/>
    <mergeCell ref="J1248:J1252"/>
    <mergeCell ref="I1238:I1242"/>
    <mergeCell ref="J1238:J1242"/>
    <mergeCell ref="C1142:C1146"/>
    <mergeCell ref="D1142:D1146"/>
    <mergeCell ref="E1142:E1146"/>
    <mergeCell ref="C1258:C1262"/>
    <mergeCell ref="J1228:J1232"/>
    <mergeCell ref="E1106:E1110"/>
    <mergeCell ref="C1111:C1115"/>
    <mergeCell ref="D1111:D1115"/>
    <mergeCell ref="E1111:E1115"/>
    <mergeCell ref="C1116:C1120"/>
    <mergeCell ref="E1081:E1085"/>
    <mergeCell ref="J1076:J1080"/>
    <mergeCell ref="F1096:F1100"/>
    <mergeCell ref="H1096:H1100"/>
    <mergeCell ref="I1096:I1100"/>
    <mergeCell ref="F1081:F1085"/>
    <mergeCell ref="H1203:H1207"/>
    <mergeCell ref="I1203:I1207"/>
    <mergeCell ref="J1203:J1207"/>
    <mergeCell ref="O1248:O1252"/>
    <mergeCell ref="P1248:P1252"/>
    <mergeCell ref="O1253:O1257"/>
    <mergeCell ref="M1253:M1257"/>
    <mergeCell ref="N1253:N1257"/>
    <mergeCell ref="K1248:K1252"/>
    <mergeCell ref="L1243:L1247"/>
    <mergeCell ref="L1248:L1252"/>
    <mergeCell ref="F1253:F1257"/>
    <mergeCell ref="G1253:G1257"/>
    <mergeCell ref="H1253:H1257"/>
    <mergeCell ref="I1253:I1257"/>
    <mergeCell ref="K446:K451"/>
    <mergeCell ref="L446:L451"/>
    <mergeCell ref="L426:L430"/>
    <mergeCell ref="O1238:O1242"/>
    <mergeCell ref="P1238:P1242"/>
    <mergeCell ref="N426:N430"/>
    <mergeCell ref="H446:H451"/>
    <mergeCell ref="I446:I451"/>
    <mergeCell ref="J446:J451"/>
    <mergeCell ref="N431:N435"/>
    <mergeCell ref="F431:F435"/>
    <mergeCell ref="I467:I471"/>
    <mergeCell ref="J467:J471"/>
    <mergeCell ref="K467:K471"/>
    <mergeCell ref="L467:L471"/>
    <mergeCell ref="P497:P501"/>
    <mergeCell ref="F503:F507"/>
    <mergeCell ref="G503:G507"/>
    <mergeCell ref="H503:H507"/>
    <mergeCell ref="L508:L512"/>
    <mergeCell ref="Q1238:Q1242"/>
    <mergeCell ref="F1238:F1242"/>
    <mergeCell ref="G1238:G1242"/>
    <mergeCell ref="H1238:H1242"/>
    <mergeCell ref="Q1258:Q1262"/>
    <mergeCell ref="F1258:F1262"/>
    <mergeCell ref="G1258:G1262"/>
    <mergeCell ref="H1258:H1262"/>
    <mergeCell ref="I1258:I1262"/>
    <mergeCell ref="J1258:J1262"/>
    <mergeCell ref="K1258:K1262"/>
    <mergeCell ref="Q339:Q343"/>
    <mergeCell ref="F339:F343"/>
    <mergeCell ref="G339:G343"/>
    <mergeCell ref="H339:H343"/>
    <mergeCell ref="L1228:L1232"/>
    <mergeCell ref="M1233:M1237"/>
    <mergeCell ref="N1233:N1237"/>
    <mergeCell ref="O1233:O1237"/>
    <mergeCell ref="P1233:P1237"/>
    <mergeCell ref="G1233:G1237"/>
    <mergeCell ref="H1233:H1237"/>
    <mergeCell ref="I1233:I1237"/>
    <mergeCell ref="J1233:J1237"/>
    <mergeCell ref="K1233:K1237"/>
    <mergeCell ref="L1233:L1237"/>
    <mergeCell ref="I1010:I1014"/>
    <mergeCell ref="L339:L343"/>
    <mergeCell ref="O385:O389"/>
    <mergeCell ref="P385:P389"/>
    <mergeCell ref="G344:G348"/>
    <mergeCell ref="H344:H348"/>
    <mergeCell ref="AE293:AE297"/>
    <mergeCell ref="AE298:AE302"/>
    <mergeCell ref="AE303:AE307"/>
    <mergeCell ref="R308:Y308"/>
    <mergeCell ref="AE309:AE313"/>
    <mergeCell ref="AE314:AE318"/>
    <mergeCell ref="J334:J338"/>
    <mergeCell ref="K334:K338"/>
    <mergeCell ref="L334:L338"/>
    <mergeCell ref="M339:M343"/>
    <mergeCell ref="N344:N348"/>
    <mergeCell ref="P375:P379"/>
    <mergeCell ref="M395:M399"/>
    <mergeCell ref="Q350:Q354"/>
    <mergeCell ref="M360:M364"/>
    <mergeCell ref="N360:N364"/>
    <mergeCell ref="O360:O364"/>
    <mergeCell ref="P360:P364"/>
    <mergeCell ref="Q360:Q364"/>
    <mergeCell ref="M370:M374"/>
    <mergeCell ref="N370:N374"/>
    <mergeCell ref="O370:O374"/>
    <mergeCell ref="P370:P374"/>
    <mergeCell ref="L303:L307"/>
    <mergeCell ref="M309:M313"/>
    <mergeCell ref="N309:N313"/>
    <mergeCell ref="O309:O313"/>
    <mergeCell ref="P309:P313"/>
    <mergeCell ref="N375:N379"/>
    <mergeCell ref="M365:M369"/>
    <mergeCell ref="N365:N369"/>
    <mergeCell ref="O375:O379"/>
    <mergeCell ref="AE324:AE328"/>
    <mergeCell ref="AE329:AE333"/>
    <mergeCell ref="AE334:AE338"/>
    <mergeCell ref="AE339:AE348"/>
    <mergeCell ref="AB308:AE308"/>
    <mergeCell ref="M1228:M1232"/>
    <mergeCell ref="N1228:N1232"/>
    <mergeCell ref="O1228:O1232"/>
    <mergeCell ref="P1228:P1232"/>
    <mergeCell ref="F324:F328"/>
    <mergeCell ref="G324:G328"/>
    <mergeCell ref="H324:H328"/>
    <mergeCell ref="I324:I328"/>
    <mergeCell ref="M324:M328"/>
    <mergeCell ref="N324:N328"/>
    <mergeCell ref="O324:O328"/>
    <mergeCell ref="Q324:Q328"/>
    <mergeCell ref="I314:I318"/>
    <mergeCell ref="F385:F389"/>
    <mergeCell ref="G385:G389"/>
    <mergeCell ref="H385:H389"/>
    <mergeCell ref="I385:I389"/>
    <mergeCell ref="K344:K348"/>
    <mergeCell ref="L344:L348"/>
    <mergeCell ref="O344:O348"/>
    <mergeCell ref="P344:P348"/>
    <mergeCell ref="M344:M348"/>
    <mergeCell ref="P1000:P1004"/>
    <mergeCell ref="AE319:AE323"/>
    <mergeCell ref="J1213:J1217"/>
    <mergeCell ref="I1208:I1212"/>
    <mergeCell ref="J1208:J1212"/>
    <mergeCell ref="F1273:F1277"/>
    <mergeCell ref="G1273:G1277"/>
    <mergeCell ref="H1273:H1277"/>
    <mergeCell ref="I1273:I1277"/>
    <mergeCell ref="J1273:J1277"/>
    <mergeCell ref="K1273:K1277"/>
    <mergeCell ref="L1273:L1277"/>
    <mergeCell ref="M1263:M1267"/>
    <mergeCell ref="N1263:N1267"/>
    <mergeCell ref="O1263:O1267"/>
    <mergeCell ref="P1263:P1267"/>
    <mergeCell ref="Q1263:Q1267"/>
    <mergeCell ref="F1263:F1267"/>
    <mergeCell ref="G1263:G1267"/>
    <mergeCell ref="H1263:H1267"/>
    <mergeCell ref="J1268:J1272"/>
    <mergeCell ref="J1263:J1267"/>
    <mergeCell ref="K1263:K1267"/>
    <mergeCell ref="L1263:L1267"/>
    <mergeCell ref="M1268:M1272"/>
    <mergeCell ref="N1268:N1272"/>
    <mergeCell ref="O1268:O1272"/>
    <mergeCell ref="P1268:P1272"/>
    <mergeCell ref="Q1268:Q1272"/>
    <mergeCell ref="F1268:F1272"/>
    <mergeCell ref="G1268:G1272"/>
    <mergeCell ref="H1268:H1272"/>
    <mergeCell ref="I1268:I1272"/>
    <mergeCell ref="L1268:L1272"/>
    <mergeCell ref="I1263:I1267"/>
    <mergeCell ref="K1268:K1272"/>
    <mergeCell ref="AE202:AE206"/>
    <mergeCell ref="AE242:AE246"/>
    <mergeCell ref="R247:Y247"/>
    <mergeCell ref="AB247:AE247"/>
    <mergeCell ref="AE207:AE211"/>
    <mergeCell ref="AE212:AE216"/>
    <mergeCell ref="AE217:AE221"/>
    <mergeCell ref="AE222:AE226"/>
    <mergeCell ref="AE227:AE231"/>
    <mergeCell ref="AE232:AE236"/>
    <mergeCell ref="AE237:AE241"/>
    <mergeCell ref="AE283:AE287"/>
    <mergeCell ref="AE288:AE292"/>
    <mergeCell ref="M1273:M1277"/>
    <mergeCell ref="N1273:N1277"/>
    <mergeCell ref="O1273:O1277"/>
    <mergeCell ref="P1273:P1277"/>
    <mergeCell ref="Q1273:Q1277"/>
    <mergeCell ref="Q1233:Q1237"/>
    <mergeCell ref="Q1000:Q1004"/>
    <mergeCell ref="N985:N989"/>
    <mergeCell ref="O985:O989"/>
    <mergeCell ref="P985:P989"/>
    <mergeCell ref="Q415:Q419"/>
    <mergeCell ref="P441:P445"/>
    <mergeCell ref="Q441:Q445"/>
    <mergeCell ref="Q1248:Q1252"/>
    <mergeCell ref="M1258:M1262"/>
    <mergeCell ref="N1258:N1262"/>
    <mergeCell ref="O1258:O1262"/>
    <mergeCell ref="P1258:P1262"/>
    <mergeCell ref="N1000:N1004"/>
    <mergeCell ref="AE273:AE277"/>
    <mergeCell ref="AE278:AE282"/>
    <mergeCell ref="C40:C125"/>
    <mergeCell ref="D40:D125"/>
    <mergeCell ref="E40:E125"/>
    <mergeCell ref="F40:F125"/>
    <mergeCell ref="G40:G125"/>
    <mergeCell ref="H40:H125"/>
    <mergeCell ref="P40:P125"/>
    <mergeCell ref="Q40:Q125"/>
    <mergeCell ref="AE40:AE123"/>
    <mergeCell ref="AE124:AE125"/>
    <mergeCell ref="K126:K130"/>
    <mergeCell ref="L126:L130"/>
    <mergeCell ref="N126:N130"/>
    <mergeCell ref="O126:O130"/>
    <mergeCell ref="P126:P130"/>
    <mergeCell ref="Q126:Q130"/>
    <mergeCell ref="AE126:AE130"/>
    <mergeCell ref="D126:D130"/>
    <mergeCell ref="E126:E130"/>
    <mergeCell ref="F126:F130"/>
    <mergeCell ref="G126:G130"/>
    <mergeCell ref="H126:H130"/>
    <mergeCell ref="I126:I130"/>
    <mergeCell ref="J126:J130"/>
    <mergeCell ref="C126:C130"/>
    <mergeCell ref="I40:I125"/>
    <mergeCell ref="AE182:AE186"/>
    <mergeCell ref="AE187:AE191"/>
    <mergeCell ref="AE192:AE196"/>
    <mergeCell ref="AE197:AE201"/>
    <mergeCell ref="J40:J125"/>
    <mergeCell ref="K40:K125"/>
    <mergeCell ref="L40:L125"/>
    <mergeCell ref="M40:M125"/>
    <mergeCell ref="N40:N125"/>
    <mergeCell ref="O40:O125"/>
    <mergeCell ref="Q131:Q135"/>
    <mergeCell ref="AE172:AE176"/>
    <mergeCell ref="B172:B176"/>
    <mergeCell ref="C172:C176"/>
    <mergeCell ref="D172:D176"/>
    <mergeCell ref="E172:E176"/>
    <mergeCell ref="F172:F176"/>
    <mergeCell ref="G172:G176"/>
    <mergeCell ref="H172:H176"/>
    <mergeCell ref="P288:P292"/>
    <mergeCell ref="Q288:Q292"/>
    <mergeCell ref="F288:F292"/>
    <mergeCell ref="G288:G292"/>
    <mergeCell ref="H288:H292"/>
    <mergeCell ref="I288:I292"/>
    <mergeCell ref="J288:J292"/>
    <mergeCell ref="G278:G282"/>
    <mergeCell ref="N288:N292"/>
    <mergeCell ref="I182:I186"/>
    <mergeCell ref="J182:J186"/>
    <mergeCell ref="AE248:AE252"/>
    <mergeCell ref="AE253:AE257"/>
    <mergeCell ref="AE258:AE262"/>
    <mergeCell ref="P278:P282"/>
    <mergeCell ref="Q278:Q282"/>
    <mergeCell ref="C278:C282"/>
    <mergeCell ref="C288:C292"/>
    <mergeCell ref="D288:D292"/>
    <mergeCell ref="E288:E292"/>
    <mergeCell ref="D278:D282"/>
    <mergeCell ref="C217:C221"/>
    <mergeCell ref="L136:L140"/>
    <mergeCell ref="N136:N140"/>
    <mergeCell ref="O136:O140"/>
    <mergeCell ref="AE146:AE150"/>
    <mergeCell ref="AE151:AE155"/>
    <mergeCell ref="AE156:AE160"/>
    <mergeCell ref="AE161:AE165"/>
    <mergeCell ref="R166:Y166"/>
    <mergeCell ref="J167:J171"/>
    <mergeCell ref="E146:E150"/>
    <mergeCell ref="F146:F150"/>
    <mergeCell ref="G146:G150"/>
    <mergeCell ref="H146:H150"/>
    <mergeCell ref="I146:I150"/>
    <mergeCell ref="J151:J155"/>
    <mergeCell ref="K151:K155"/>
    <mergeCell ref="L151:L155"/>
    <mergeCell ref="O146:O150"/>
    <mergeCell ref="P146:P150"/>
    <mergeCell ref="Q146:Q150"/>
    <mergeCell ref="O156:O160"/>
    <mergeCell ref="P156:P160"/>
    <mergeCell ref="Q156:Q160"/>
    <mergeCell ref="O151:O155"/>
    <mergeCell ref="P161:P165"/>
    <mergeCell ref="E151:E155"/>
    <mergeCell ref="F151:F155"/>
    <mergeCell ref="B126:B130"/>
    <mergeCell ref="B131:B135"/>
    <mergeCell ref="B136:B140"/>
    <mergeCell ref="C141:C145"/>
    <mergeCell ref="D141:D145"/>
    <mergeCell ref="D146:D150"/>
    <mergeCell ref="D156:D160"/>
    <mergeCell ref="B141:B145"/>
    <mergeCell ref="B151:B155"/>
    <mergeCell ref="B161:B165"/>
    <mergeCell ref="B167:B171"/>
    <mergeCell ref="C167:C171"/>
    <mergeCell ref="D167:D171"/>
    <mergeCell ref="E167:E171"/>
    <mergeCell ref="I283:I287"/>
    <mergeCell ref="C227:C231"/>
    <mergeCell ref="B242:B246"/>
    <mergeCell ref="C242:C246"/>
    <mergeCell ref="D242:D246"/>
    <mergeCell ref="E242:E246"/>
    <mergeCell ref="D283:D287"/>
    <mergeCell ref="E283:E287"/>
    <mergeCell ref="G151:G155"/>
    <mergeCell ref="H151:H155"/>
    <mergeCell ref="I151:I155"/>
    <mergeCell ref="E156:E160"/>
    <mergeCell ref="F156:F160"/>
    <mergeCell ref="E248:E252"/>
    <mergeCell ref="F248:F252"/>
    <mergeCell ref="G248:G252"/>
    <mergeCell ref="H248:H252"/>
    <mergeCell ref="I248:I252"/>
    <mergeCell ref="M288:M292"/>
    <mergeCell ref="M314:M318"/>
    <mergeCell ref="N314:N318"/>
    <mergeCell ref="O314:O318"/>
    <mergeCell ref="P314:P318"/>
    <mergeCell ref="Q314:Q318"/>
    <mergeCell ref="K288:K292"/>
    <mergeCell ref="L288:L292"/>
    <mergeCell ref="M303:M307"/>
    <mergeCell ref="N303:N307"/>
    <mergeCell ref="O303:O307"/>
    <mergeCell ref="P303:P307"/>
    <mergeCell ref="Q303:Q307"/>
    <mergeCell ref="N283:N287"/>
    <mergeCell ref="O283:O287"/>
    <mergeCell ref="P283:P287"/>
    <mergeCell ref="Q283:Q287"/>
    <mergeCell ref="Q309:Q313"/>
    <mergeCell ref="K309:K313"/>
    <mergeCell ref="L309:L313"/>
    <mergeCell ref="M293:M297"/>
    <mergeCell ref="N293:N297"/>
    <mergeCell ref="O293:O297"/>
    <mergeCell ref="P293:P297"/>
    <mergeCell ref="Q293:Q297"/>
    <mergeCell ref="AE141:AE145"/>
    <mergeCell ref="G156:G160"/>
    <mergeCell ref="H156:H160"/>
    <mergeCell ref="AE177:AE181"/>
    <mergeCell ref="I177:I181"/>
    <mergeCell ref="J177:J181"/>
    <mergeCell ref="K177:K181"/>
    <mergeCell ref="L177:L181"/>
    <mergeCell ref="M177:M181"/>
    <mergeCell ref="N177:N181"/>
    <mergeCell ref="O177:O181"/>
    <mergeCell ref="I344:I348"/>
    <mergeCell ref="J344:J348"/>
    <mergeCell ref="P151:P155"/>
    <mergeCell ref="Q151:Q155"/>
    <mergeCell ref="L141:L145"/>
    <mergeCell ref="N141:N145"/>
    <mergeCell ref="O141:O145"/>
    <mergeCell ref="AB166:AE166"/>
    <mergeCell ref="O339:O343"/>
    <mergeCell ref="P339:P343"/>
    <mergeCell ref="Q161:Q165"/>
    <mergeCell ref="P253:P257"/>
    <mergeCell ref="Q253:Q257"/>
    <mergeCell ref="M253:M257"/>
    <mergeCell ref="N253:N257"/>
    <mergeCell ref="K278:K282"/>
    <mergeCell ref="L278:L282"/>
    <mergeCell ref="M278:M282"/>
    <mergeCell ref="N278:N282"/>
    <mergeCell ref="O278:O282"/>
    <mergeCell ref="O288:O292"/>
    <mergeCell ref="I400:I404"/>
    <mergeCell ref="Q410:Q414"/>
    <mergeCell ref="F410:F414"/>
    <mergeCell ref="G410:G414"/>
    <mergeCell ref="H410:H414"/>
    <mergeCell ref="I410:I414"/>
    <mergeCell ref="P410:P414"/>
    <mergeCell ref="Q405:Q409"/>
    <mergeCell ref="M426:M430"/>
    <mergeCell ref="I339:I343"/>
    <mergeCell ref="J339:J343"/>
    <mergeCell ref="J303:J307"/>
    <mergeCell ref="K303:K307"/>
    <mergeCell ref="K339:K343"/>
    <mergeCell ref="F344:F348"/>
    <mergeCell ref="P324:P328"/>
    <mergeCell ref="F314:F318"/>
    <mergeCell ref="G314:G318"/>
    <mergeCell ref="H314:H318"/>
    <mergeCell ref="F390:F394"/>
    <mergeCell ref="G390:G394"/>
    <mergeCell ref="F309:F313"/>
    <mergeCell ref="G309:G313"/>
    <mergeCell ref="H309:H313"/>
    <mergeCell ref="I309:I313"/>
    <mergeCell ref="J309:J313"/>
    <mergeCell ref="F380:F384"/>
    <mergeCell ref="B446:B451"/>
    <mergeCell ref="C446:C451"/>
    <mergeCell ref="D446:D451"/>
    <mergeCell ref="E446:E451"/>
    <mergeCell ref="B441:B445"/>
    <mergeCell ref="C441:C445"/>
    <mergeCell ref="D441:D445"/>
    <mergeCell ref="E441:E445"/>
    <mergeCell ref="O253:O257"/>
    <mergeCell ref="AE167:AE171"/>
    <mergeCell ref="I278:I282"/>
    <mergeCell ref="M283:M287"/>
    <mergeCell ref="AE263:AE267"/>
    <mergeCell ref="AE268:AE272"/>
    <mergeCell ref="F415:F419"/>
    <mergeCell ref="G415:G419"/>
    <mergeCell ref="H415:H419"/>
    <mergeCell ref="I415:I419"/>
    <mergeCell ref="J415:J419"/>
    <mergeCell ref="K415:K419"/>
    <mergeCell ref="L415:L419"/>
    <mergeCell ref="H436:H440"/>
    <mergeCell ref="I436:I440"/>
    <mergeCell ref="J436:J440"/>
    <mergeCell ref="K436:K440"/>
    <mergeCell ref="L436:L440"/>
    <mergeCell ref="M441:M445"/>
    <mergeCell ref="P400:P404"/>
    <mergeCell ref="Q400:Q404"/>
    <mergeCell ref="F400:F404"/>
    <mergeCell ref="G400:G404"/>
    <mergeCell ref="H400:H404"/>
    <mergeCell ref="N441:N445"/>
    <mergeCell ref="F441:F445"/>
    <mergeCell ref="G441:G445"/>
    <mergeCell ref="H441:H445"/>
    <mergeCell ref="I441:I445"/>
    <mergeCell ref="L431:L435"/>
    <mergeCell ref="M415:M419"/>
    <mergeCell ref="N415:N419"/>
    <mergeCell ref="F405:F409"/>
    <mergeCell ref="G405:G409"/>
    <mergeCell ref="H405:H409"/>
    <mergeCell ref="N446:N451"/>
    <mergeCell ref="M405:M409"/>
    <mergeCell ref="J441:J445"/>
    <mergeCell ref="K441:K445"/>
    <mergeCell ref="L441:L445"/>
    <mergeCell ref="M431:M435"/>
    <mergeCell ref="H426:H430"/>
    <mergeCell ref="I426:I430"/>
    <mergeCell ref="J426:J430"/>
    <mergeCell ref="K426:K430"/>
    <mergeCell ref="G431:G435"/>
    <mergeCell ref="H431:H435"/>
    <mergeCell ref="I431:I435"/>
    <mergeCell ref="J431:J435"/>
    <mergeCell ref="K431:K435"/>
    <mergeCell ref="F334:F338"/>
    <mergeCell ref="G334:G338"/>
    <mergeCell ref="H334:H338"/>
    <mergeCell ref="I334:I338"/>
    <mergeCell ref="I405:I409"/>
    <mergeCell ref="J405:J409"/>
    <mergeCell ref="K405:K409"/>
    <mergeCell ref="L405:L409"/>
    <mergeCell ref="N400:N404"/>
    <mergeCell ref="J350:J354"/>
    <mergeCell ref="K350:K354"/>
    <mergeCell ref="J395:J399"/>
    <mergeCell ref="K395:K399"/>
    <mergeCell ref="L395:L399"/>
    <mergeCell ref="J410:J414"/>
    <mergeCell ref="K410:K414"/>
    <mergeCell ref="L410:L414"/>
    <mergeCell ref="M410:M414"/>
    <mergeCell ref="N339:N343"/>
    <mergeCell ref="G380:G384"/>
    <mergeCell ref="H380:H384"/>
    <mergeCell ref="I380:I384"/>
    <mergeCell ref="J380:J384"/>
    <mergeCell ref="K380:K384"/>
    <mergeCell ref="L380:L384"/>
    <mergeCell ref="M385:M389"/>
    <mergeCell ref="N385:N389"/>
    <mergeCell ref="J400:J404"/>
    <mergeCell ref="K400:K404"/>
    <mergeCell ref="L400:L404"/>
    <mergeCell ref="M400:M404"/>
    <mergeCell ref="H390:H394"/>
    <mergeCell ref="Q380:Q384"/>
    <mergeCell ref="Q385:Q389"/>
    <mergeCell ref="Q344:Q348"/>
    <mergeCell ref="B431:B435"/>
    <mergeCell ref="C431:C435"/>
    <mergeCell ref="D431:D435"/>
    <mergeCell ref="E431:E435"/>
    <mergeCell ref="M436:M440"/>
    <mergeCell ref="N436:N440"/>
    <mergeCell ref="O436:O440"/>
    <mergeCell ref="P436:P440"/>
    <mergeCell ref="Q436:Q440"/>
    <mergeCell ref="B436:B440"/>
    <mergeCell ref="C436:C440"/>
    <mergeCell ref="O426:O430"/>
    <mergeCell ref="P426:P430"/>
    <mergeCell ref="Q426:Q430"/>
    <mergeCell ref="O431:O435"/>
    <mergeCell ref="P431:P435"/>
    <mergeCell ref="M390:M394"/>
    <mergeCell ref="N390:N394"/>
    <mergeCell ref="F360:F364"/>
    <mergeCell ref="G360:G364"/>
    <mergeCell ref="H360:H364"/>
    <mergeCell ref="I360:I364"/>
    <mergeCell ref="J360:J364"/>
    <mergeCell ref="K360:K364"/>
    <mergeCell ref="L360:L364"/>
    <mergeCell ref="D436:D440"/>
    <mergeCell ref="E436:E440"/>
    <mergeCell ref="F436:F440"/>
    <mergeCell ref="G436:G440"/>
    <mergeCell ref="Q482:Q486"/>
    <mergeCell ref="B462:B466"/>
    <mergeCell ref="C462:C466"/>
    <mergeCell ref="D462:D466"/>
    <mergeCell ref="E462:E466"/>
    <mergeCell ref="M462:M466"/>
    <mergeCell ref="N462:N466"/>
    <mergeCell ref="O462:O466"/>
    <mergeCell ref="P462:P466"/>
    <mergeCell ref="Q462:Q466"/>
    <mergeCell ref="F462:F466"/>
    <mergeCell ref="G462:G466"/>
    <mergeCell ref="H462:H466"/>
    <mergeCell ref="I462:I466"/>
    <mergeCell ref="J462:J466"/>
    <mergeCell ref="K462:K466"/>
    <mergeCell ref="L462:L466"/>
    <mergeCell ref="F482:F486"/>
    <mergeCell ref="G482:G486"/>
    <mergeCell ref="M477:M481"/>
    <mergeCell ref="Q477:Q481"/>
    <mergeCell ref="M467:M471"/>
    <mergeCell ref="N467:N471"/>
    <mergeCell ref="O467:O471"/>
    <mergeCell ref="D467:D471"/>
    <mergeCell ref="E467:E471"/>
    <mergeCell ref="H467:H471"/>
    <mergeCell ref="O477:O481"/>
    <mergeCell ref="P477:P481"/>
    <mergeCell ref="B477:B481"/>
    <mergeCell ref="C477:C481"/>
    <mergeCell ref="G467:G471"/>
    <mergeCell ref="Q497:Q501"/>
    <mergeCell ref="I497:I501"/>
    <mergeCell ref="J497:J501"/>
    <mergeCell ref="Q472:Q476"/>
    <mergeCell ref="F472:F476"/>
    <mergeCell ref="G472:G476"/>
    <mergeCell ref="H472:H476"/>
    <mergeCell ref="I472:I476"/>
    <mergeCell ref="D482:D486"/>
    <mergeCell ref="E482:E486"/>
    <mergeCell ref="M482:M486"/>
    <mergeCell ref="N482:N486"/>
    <mergeCell ref="O482:O486"/>
    <mergeCell ref="P482:P486"/>
    <mergeCell ref="I477:I481"/>
    <mergeCell ref="M492:M496"/>
    <mergeCell ref="N492:N496"/>
    <mergeCell ref="O492:O496"/>
    <mergeCell ref="P492:P496"/>
    <mergeCell ref="D477:D481"/>
    <mergeCell ref="E477:E481"/>
    <mergeCell ref="E472:E476"/>
    <mergeCell ref="K497:K501"/>
    <mergeCell ref="L497:L501"/>
    <mergeCell ref="M497:M501"/>
    <mergeCell ref="N497:N501"/>
    <mergeCell ref="O497:O501"/>
    <mergeCell ref="J477:J481"/>
    <mergeCell ref="K477:K481"/>
    <mergeCell ref="O487:O491"/>
    <mergeCell ref="P487:P491"/>
    <mergeCell ref="N477:N481"/>
    <mergeCell ref="I503:I507"/>
    <mergeCell ref="J503:J507"/>
    <mergeCell ref="K503:K507"/>
    <mergeCell ref="L503:L507"/>
    <mergeCell ref="M503:M507"/>
    <mergeCell ref="N503:N507"/>
    <mergeCell ref="O503:O507"/>
    <mergeCell ref="K508:K512"/>
    <mergeCell ref="H482:H486"/>
    <mergeCell ref="I482:I486"/>
    <mergeCell ref="J482:J486"/>
    <mergeCell ref="K482:K486"/>
    <mergeCell ref="H477:H481"/>
    <mergeCell ref="D508:D512"/>
    <mergeCell ref="O508:O512"/>
    <mergeCell ref="Q538:Q542"/>
    <mergeCell ref="I538:I542"/>
    <mergeCell ref="J538:J542"/>
    <mergeCell ref="K538:K542"/>
    <mergeCell ref="L538:L542"/>
    <mergeCell ref="M538:M542"/>
    <mergeCell ref="N538:N542"/>
    <mergeCell ref="O538:O542"/>
    <mergeCell ref="D538:D542"/>
    <mergeCell ref="E538:E542"/>
    <mergeCell ref="F538:F542"/>
    <mergeCell ref="G538:G542"/>
    <mergeCell ref="H538:H542"/>
    <mergeCell ref="M518:M522"/>
    <mergeCell ref="N518:N522"/>
    <mergeCell ref="O518:O522"/>
    <mergeCell ref="P518:P522"/>
    <mergeCell ref="B492:B496"/>
    <mergeCell ref="C492:C496"/>
    <mergeCell ref="D487:D491"/>
    <mergeCell ref="E487:E491"/>
    <mergeCell ref="F487:F491"/>
    <mergeCell ref="G487:G491"/>
    <mergeCell ref="H487:H491"/>
    <mergeCell ref="E508:E512"/>
    <mergeCell ref="F508:F512"/>
    <mergeCell ref="G508:G512"/>
    <mergeCell ref="H508:H512"/>
    <mergeCell ref="I508:I512"/>
    <mergeCell ref="J508:J512"/>
    <mergeCell ref="P503:P507"/>
    <mergeCell ref="P523:P537"/>
    <mergeCell ref="Q523:Q537"/>
    <mergeCell ref="I523:I537"/>
    <mergeCell ref="J523:J537"/>
    <mergeCell ref="K523:K537"/>
    <mergeCell ref="L523:L537"/>
    <mergeCell ref="M523:M537"/>
    <mergeCell ref="N523:N537"/>
    <mergeCell ref="Q513:Q517"/>
    <mergeCell ref="D513:D517"/>
    <mergeCell ref="E513:E517"/>
    <mergeCell ref="F513:F517"/>
    <mergeCell ref="G513:G517"/>
    <mergeCell ref="H513:H517"/>
    <mergeCell ref="I513:I517"/>
    <mergeCell ref="J513:J517"/>
    <mergeCell ref="K518:K522"/>
    <mergeCell ref="L518:L522"/>
    <mergeCell ref="I543:I547"/>
    <mergeCell ref="J543:J547"/>
    <mergeCell ref="B543:B547"/>
    <mergeCell ref="C543:C547"/>
    <mergeCell ref="D543:D547"/>
    <mergeCell ref="E543:E547"/>
    <mergeCell ref="F543:F547"/>
    <mergeCell ref="G543:G547"/>
    <mergeCell ref="H543:H547"/>
    <mergeCell ref="P538:P542"/>
    <mergeCell ref="B548:B552"/>
    <mergeCell ref="C548:C552"/>
    <mergeCell ref="H548:H552"/>
    <mergeCell ref="I548:I552"/>
    <mergeCell ref="J548:J552"/>
    <mergeCell ref="Q553:Q557"/>
    <mergeCell ref="D553:D557"/>
    <mergeCell ref="E553:E557"/>
    <mergeCell ref="F553:F557"/>
    <mergeCell ref="G553:G557"/>
    <mergeCell ref="H553:H557"/>
    <mergeCell ref="I553:I557"/>
    <mergeCell ref="J553:J557"/>
    <mergeCell ref="K543:K547"/>
    <mergeCell ref="L543:L547"/>
    <mergeCell ref="M543:M547"/>
    <mergeCell ref="N543:N547"/>
    <mergeCell ref="O543:O547"/>
    <mergeCell ref="P543:P547"/>
    <mergeCell ref="Q543:Q547"/>
    <mergeCell ref="B553:B557"/>
    <mergeCell ref="C553:C557"/>
    <mergeCell ref="M553:M557"/>
    <mergeCell ref="N553:N557"/>
    <mergeCell ref="O553:O557"/>
    <mergeCell ref="K548:K552"/>
    <mergeCell ref="L548:L552"/>
    <mergeCell ref="M548:M552"/>
    <mergeCell ref="N548:N552"/>
    <mergeCell ref="O548:O552"/>
    <mergeCell ref="P548:P552"/>
    <mergeCell ref="Q548:Q552"/>
    <mergeCell ref="D548:D552"/>
    <mergeCell ref="E548:E552"/>
    <mergeCell ref="F548:F552"/>
    <mergeCell ref="G548:G552"/>
    <mergeCell ref="M558:M562"/>
    <mergeCell ref="N558:N562"/>
    <mergeCell ref="O558:O562"/>
    <mergeCell ref="K553:K557"/>
    <mergeCell ref="L553:L557"/>
    <mergeCell ref="Q558:Q562"/>
    <mergeCell ref="P553:P557"/>
    <mergeCell ref="K594:K598"/>
    <mergeCell ref="L594:L598"/>
    <mergeCell ref="M594:M598"/>
    <mergeCell ref="N594:N598"/>
    <mergeCell ref="O594:O598"/>
    <mergeCell ref="H624:H628"/>
    <mergeCell ref="M619:M623"/>
    <mergeCell ref="N619:N623"/>
    <mergeCell ref="O619:O623"/>
    <mergeCell ref="K624:K628"/>
    <mergeCell ref="L624:L628"/>
    <mergeCell ref="M624:M628"/>
    <mergeCell ref="N624:N628"/>
    <mergeCell ref="O624:O628"/>
    <mergeCell ref="I619:I623"/>
    <mergeCell ref="J619:J623"/>
    <mergeCell ref="C568:C572"/>
    <mergeCell ref="C573:C577"/>
    <mergeCell ref="D573:D577"/>
    <mergeCell ref="E573:E577"/>
    <mergeCell ref="F573:F577"/>
    <mergeCell ref="G573:G577"/>
    <mergeCell ref="H573:H577"/>
    <mergeCell ref="G568:G572"/>
    <mergeCell ref="H568:H572"/>
    <mergeCell ref="L568:L572"/>
    <mergeCell ref="M568:M572"/>
    <mergeCell ref="N568:N572"/>
    <mergeCell ref="M573:M577"/>
    <mergeCell ref="N573:N577"/>
    <mergeCell ref="D568:D572"/>
    <mergeCell ref="E568:E572"/>
    <mergeCell ref="Q629:Q633"/>
    <mergeCell ref="O583:O587"/>
    <mergeCell ref="E644:E648"/>
    <mergeCell ref="F644:F648"/>
    <mergeCell ref="G644:G648"/>
    <mergeCell ref="H644:H648"/>
    <mergeCell ref="P644:P648"/>
    <mergeCell ref="K654:K658"/>
    <mergeCell ref="L654:L658"/>
    <mergeCell ref="M654:M658"/>
    <mergeCell ref="N654:N658"/>
    <mergeCell ref="O654:O658"/>
    <mergeCell ref="P654:P658"/>
    <mergeCell ref="I654:I658"/>
    <mergeCell ref="J654:J658"/>
    <mergeCell ref="Q644:Q648"/>
    <mergeCell ref="I644:I648"/>
    <mergeCell ref="J644:J648"/>
    <mergeCell ref="E634:E638"/>
    <mergeCell ref="F634:F638"/>
    <mergeCell ref="G634:G638"/>
    <mergeCell ref="H634:H638"/>
    <mergeCell ref="P634:P638"/>
    <mergeCell ref="I634:I638"/>
    <mergeCell ref="Q624:Q628"/>
    <mergeCell ref="I594:I598"/>
    <mergeCell ref="J594:J598"/>
    <mergeCell ref="K629:K633"/>
    <mergeCell ref="L629:L633"/>
    <mergeCell ref="M629:M633"/>
    <mergeCell ref="N629:N633"/>
    <mergeCell ref="O629:O633"/>
    <mergeCell ref="M634:M638"/>
    <mergeCell ref="N634:N638"/>
    <mergeCell ref="O634:O638"/>
    <mergeCell ref="H675:H679"/>
    <mergeCell ref="I675:I679"/>
    <mergeCell ref="J675:J679"/>
    <mergeCell ref="H665:H669"/>
    <mergeCell ref="I665:I669"/>
    <mergeCell ref="J665:J669"/>
    <mergeCell ref="K670:K674"/>
    <mergeCell ref="L670:L674"/>
    <mergeCell ref="M670:M674"/>
    <mergeCell ref="N670:N674"/>
    <mergeCell ref="O670:O674"/>
    <mergeCell ref="N675:N679"/>
    <mergeCell ref="O675:O679"/>
    <mergeCell ref="P649:P653"/>
    <mergeCell ref="J634:J638"/>
    <mergeCell ref="K634:K638"/>
    <mergeCell ref="L634:L638"/>
    <mergeCell ref="Q639:Q643"/>
    <mergeCell ref="I639:I643"/>
    <mergeCell ref="J639:J643"/>
    <mergeCell ref="K639:K643"/>
    <mergeCell ref="L639:L643"/>
    <mergeCell ref="M639:M643"/>
    <mergeCell ref="N639:N643"/>
    <mergeCell ref="O639:O643"/>
    <mergeCell ref="G654:G658"/>
    <mergeCell ref="H654:H658"/>
    <mergeCell ref="Q685:Q689"/>
    <mergeCell ref="D685:D689"/>
    <mergeCell ref="D700:D704"/>
    <mergeCell ref="E700:E704"/>
    <mergeCell ref="F700:F704"/>
    <mergeCell ref="G700:G704"/>
    <mergeCell ref="H700:H704"/>
    <mergeCell ref="I700:I704"/>
    <mergeCell ref="J700:J704"/>
    <mergeCell ref="L695:L699"/>
    <mergeCell ref="M695:M699"/>
    <mergeCell ref="N695:N699"/>
    <mergeCell ref="O695:O699"/>
    <mergeCell ref="P695:P699"/>
    <mergeCell ref="K700:K704"/>
    <mergeCell ref="I685:I689"/>
    <mergeCell ref="J685:J689"/>
    <mergeCell ref="K690:K694"/>
    <mergeCell ref="N680:N684"/>
    <mergeCell ref="O680:O684"/>
    <mergeCell ref="Q670:Q674"/>
    <mergeCell ref="L690:L694"/>
    <mergeCell ref="M690:M694"/>
    <mergeCell ref="N690:N694"/>
    <mergeCell ref="O690:O694"/>
    <mergeCell ref="P690:P694"/>
    <mergeCell ref="Q690:Q694"/>
    <mergeCell ref="D690:D694"/>
    <mergeCell ref="K695:K699"/>
    <mergeCell ref="G695:G699"/>
    <mergeCell ref="H695:H699"/>
    <mergeCell ref="I695:I699"/>
    <mergeCell ref="J695:J699"/>
    <mergeCell ref="O700:O704"/>
    <mergeCell ref="P700:P704"/>
    <mergeCell ref="L700:L704"/>
    <mergeCell ref="M700:M704"/>
    <mergeCell ref="N700:N704"/>
    <mergeCell ref="G690:G694"/>
    <mergeCell ref="H690:H694"/>
    <mergeCell ref="I690:I694"/>
    <mergeCell ref="D695:D699"/>
    <mergeCell ref="E695:E699"/>
    <mergeCell ref="F695:F699"/>
    <mergeCell ref="K710:K714"/>
    <mergeCell ref="L710:L714"/>
    <mergeCell ref="M710:M714"/>
    <mergeCell ref="N710:N714"/>
    <mergeCell ref="O710:O714"/>
    <mergeCell ref="P710:P714"/>
    <mergeCell ref="Q710:Q714"/>
    <mergeCell ref="D710:D714"/>
    <mergeCell ref="E710:E714"/>
    <mergeCell ref="F710:F714"/>
    <mergeCell ref="Q700:Q704"/>
    <mergeCell ref="K741:K751"/>
    <mergeCell ref="M715:M719"/>
    <mergeCell ref="N715:N719"/>
    <mergeCell ref="O705:O709"/>
    <mergeCell ref="P705:P709"/>
    <mergeCell ref="Q705:Q709"/>
    <mergeCell ref="D705:D709"/>
    <mergeCell ref="E705:E709"/>
    <mergeCell ref="F705:F709"/>
    <mergeCell ref="G705:G709"/>
    <mergeCell ref="H705:H709"/>
    <mergeCell ref="I705:I709"/>
    <mergeCell ref="J705:J709"/>
    <mergeCell ref="H725:H729"/>
    <mergeCell ref="I725:I729"/>
    <mergeCell ref="J725:J729"/>
    <mergeCell ref="K730:K734"/>
    <mergeCell ref="L730:L734"/>
    <mergeCell ref="K705:K709"/>
    <mergeCell ref="L705:L709"/>
    <mergeCell ref="M705:M709"/>
    <mergeCell ref="H828:H832"/>
    <mergeCell ref="I828:I832"/>
    <mergeCell ref="J828:J832"/>
    <mergeCell ref="O823:O827"/>
    <mergeCell ref="P823:P827"/>
    <mergeCell ref="G710:G714"/>
    <mergeCell ref="H710:H714"/>
    <mergeCell ref="I710:I714"/>
    <mergeCell ref="J710:J714"/>
    <mergeCell ref="K715:K719"/>
    <mergeCell ref="L715:L719"/>
    <mergeCell ref="P741:P751"/>
    <mergeCell ref="Q741:Q751"/>
    <mergeCell ref="D741:D751"/>
    <mergeCell ref="E741:E751"/>
    <mergeCell ref="F741:F751"/>
    <mergeCell ref="G741:G751"/>
    <mergeCell ref="H741:H751"/>
    <mergeCell ref="I741:I751"/>
    <mergeCell ref="J741:J751"/>
    <mergeCell ref="K725:K729"/>
    <mergeCell ref="L725:L729"/>
    <mergeCell ref="M725:M729"/>
    <mergeCell ref="N725:N729"/>
    <mergeCell ref="O725:O729"/>
    <mergeCell ref="P725:P729"/>
    <mergeCell ref="Q725:Q729"/>
    <mergeCell ref="D725:D729"/>
    <mergeCell ref="E725:E729"/>
    <mergeCell ref="F725:F729"/>
    <mergeCell ref="G725:G729"/>
    <mergeCell ref="Q715:Q719"/>
    <mergeCell ref="P838:P842"/>
    <mergeCell ref="Q838:Q842"/>
    <mergeCell ref="D838:D842"/>
    <mergeCell ref="E838:E842"/>
    <mergeCell ref="F838:F842"/>
    <mergeCell ref="G838:G842"/>
    <mergeCell ref="H838:H842"/>
    <mergeCell ref="I838:I842"/>
    <mergeCell ref="J838:J842"/>
    <mergeCell ref="K833:K837"/>
    <mergeCell ref="L833:L837"/>
    <mergeCell ref="M833:M837"/>
    <mergeCell ref="N833:N837"/>
    <mergeCell ref="O833:O837"/>
    <mergeCell ref="P833:P837"/>
    <mergeCell ref="D823:D827"/>
    <mergeCell ref="E823:E827"/>
    <mergeCell ref="F823:F827"/>
    <mergeCell ref="G823:G827"/>
    <mergeCell ref="H823:H827"/>
    <mergeCell ref="I823:I827"/>
    <mergeCell ref="J823:J827"/>
    <mergeCell ref="K828:K832"/>
    <mergeCell ref="L828:L832"/>
    <mergeCell ref="M828:M832"/>
    <mergeCell ref="N828:N832"/>
    <mergeCell ref="O828:O832"/>
    <mergeCell ref="P828:P832"/>
    <mergeCell ref="Q828:Q832"/>
    <mergeCell ref="D828:D832"/>
    <mergeCell ref="E828:E832"/>
    <mergeCell ref="F828:F832"/>
    <mergeCell ref="D848:D852"/>
    <mergeCell ref="E848:E852"/>
    <mergeCell ref="F848:F852"/>
    <mergeCell ref="G848:G852"/>
    <mergeCell ref="H848:H852"/>
    <mergeCell ref="I848:I852"/>
    <mergeCell ref="J848:J852"/>
    <mergeCell ref="K843:K847"/>
    <mergeCell ref="L843:L847"/>
    <mergeCell ref="M843:M847"/>
    <mergeCell ref="N843:N847"/>
    <mergeCell ref="O843:O847"/>
    <mergeCell ref="D833:D837"/>
    <mergeCell ref="E833:E837"/>
    <mergeCell ref="F833:F837"/>
    <mergeCell ref="G833:G837"/>
    <mergeCell ref="H833:H837"/>
    <mergeCell ref="I833:I837"/>
    <mergeCell ref="J833:J837"/>
    <mergeCell ref="K838:K842"/>
    <mergeCell ref="L838:L842"/>
    <mergeCell ref="M838:M842"/>
    <mergeCell ref="N838:N842"/>
    <mergeCell ref="O838:O842"/>
    <mergeCell ref="B452:B456"/>
    <mergeCell ref="C452:C456"/>
    <mergeCell ref="D452:D456"/>
    <mergeCell ref="E452:E456"/>
    <mergeCell ref="M452:M456"/>
    <mergeCell ref="N452:N456"/>
    <mergeCell ref="O452:O456"/>
    <mergeCell ref="P452:P456"/>
    <mergeCell ref="Q452:Q456"/>
    <mergeCell ref="F452:F456"/>
    <mergeCell ref="G452:G456"/>
    <mergeCell ref="H452:H456"/>
    <mergeCell ref="I452:I456"/>
    <mergeCell ref="J452:J456"/>
    <mergeCell ref="K452:K456"/>
    <mergeCell ref="L452:L456"/>
    <mergeCell ref="B457:B461"/>
    <mergeCell ref="C457:C461"/>
    <mergeCell ref="M457:M461"/>
    <mergeCell ref="N457:N461"/>
    <mergeCell ref="O457:O461"/>
    <mergeCell ref="P457:P461"/>
    <mergeCell ref="Q457:Q461"/>
    <mergeCell ref="D457:D461"/>
    <mergeCell ref="I457:I461"/>
    <mergeCell ref="J457:J461"/>
    <mergeCell ref="K457:K461"/>
    <mergeCell ref="L457:L461"/>
    <mergeCell ref="F457:F461"/>
    <mergeCell ref="G457:G461"/>
    <mergeCell ref="Q518:Q522"/>
    <mergeCell ref="D518:D522"/>
    <mergeCell ref="E518:E522"/>
    <mergeCell ref="F518:F522"/>
    <mergeCell ref="G518:G522"/>
    <mergeCell ref="H518:H522"/>
    <mergeCell ref="I518:I522"/>
    <mergeCell ref="L513:L517"/>
    <mergeCell ref="M513:M517"/>
    <mergeCell ref="N513:N517"/>
    <mergeCell ref="O513:O517"/>
    <mergeCell ref="P513:P517"/>
    <mergeCell ref="J518:J522"/>
    <mergeCell ref="B583:B587"/>
    <mergeCell ref="C583:C587"/>
    <mergeCell ref="D583:D587"/>
    <mergeCell ref="E583:E587"/>
    <mergeCell ref="F583:F587"/>
    <mergeCell ref="G583:G587"/>
    <mergeCell ref="H583:H587"/>
    <mergeCell ref="E563:E567"/>
    <mergeCell ref="F563:F567"/>
    <mergeCell ref="G563:G567"/>
    <mergeCell ref="H563:H567"/>
    <mergeCell ref="I563:I567"/>
    <mergeCell ref="J563:J567"/>
    <mergeCell ref="D563:D567"/>
    <mergeCell ref="J573:J577"/>
    <mergeCell ref="K573:K577"/>
    <mergeCell ref="I558:I562"/>
    <mergeCell ref="J558:J562"/>
    <mergeCell ref="K563:K567"/>
    <mergeCell ref="B578:B582"/>
    <mergeCell ref="C578:C582"/>
    <mergeCell ref="D578:D582"/>
    <mergeCell ref="E578:E582"/>
    <mergeCell ref="F578:F582"/>
    <mergeCell ref="G578:G582"/>
    <mergeCell ref="K568:K572"/>
    <mergeCell ref="K558:K562"/>
    <mergeCell ref="B558:B562"/>
    <mergeCell ref="C558:C562"/>
    <mergeCell ref="B563:B567"/>
    <mergeCell ref="C563:C567"/>
    <mergeCell ref="B568:B572"/>
    <mergeCell ref="H578:H582"/>
    <mergeCell ref="P578:P582"/>
    <mergeCell ref="Q578:Q582"/>
    <mergeCell ref="I578:I582"/>
    <mergeCell ref="J578:J582"/>
    <mergeCell ref="K578:K582"/>
    <mergeCell ref="L578:L582"/>
    <mergeCell ref="M578:M582"/>
    <mergeCell ref="N578:N582"/>
    <mergeCell ref="O578:O582"/>
    <mergeCell ref="O573:O577"/>
    <mergeCell ref="L573:L577"/>
    <mergeCell ref="B573:B577"/>
    <mergeCell ref="D558:D562"/>
    <mergeCell ref="E558:E562"/>
    <mergeCell ref="F558:F562"/>
    <mergeCell ref="G558:G562"/>
    <mergeCell ref="F568:F572"/>
    <mergeCell ref="L563:L567"/>
    <mergeCell ref="P583:P587"/>
    <mergeCell ref="Q583:Q587"/>
    <mergeCell ref="I583:I587"/>
    <mergeCell ref="H558:H562"/>
    <mergeCell ref="L558:L562"/>
    <mergeCell ref="P589:P593"/>
    <mergeCell ref="Q589:Q593"/>
    <mergeCell ref="J589:J593"/>
    <mergeCell ref="P558:P562"/>
    <mergeCell ref="I568:I572"/>
    <mergeCell ref="J568:J572"/>
    <mergeCell ref="P573:P577"/>
    <mergeCell ref="Q573:Q577"/>
    <mergeCell ref="I573:I577"/>
    <mergeCell ref="J583:J587"/>
    <mergeCell ref="K583:K587"/>
    <mergeCell ref="L583:L587"/>
    <mergeCell ref="M583:M587"/>
    <mergeCell ref="N583:N587"/>
    <mergeCell ref="P563:P567"/>
    <mergeCell ref="Q563:Q567"/>
    <mergeCell ref="H589:H593"/>
    <mergeCell ref="I589:I593"/>
    <mergeCell ref="K589:K593"/>
    <mergeCell ref="L589:L593"/>
    <mergeCell ref="M589:M593"/>
    <mergeCell ref="N589:N593"/>
    <mergeCell ref="O589:O593"/>
    <mergeCell ref="M563:M567"/>
    <mergeCell ref="N563:N567"/>
    <mergeCell ref="A589:A663"/>
    <mergeCell ref="B589:B593"/>
    <mergeCell ref="B594:B598"/>
    <mergeCell ref="B599:B603"/>
    <mergeCell ref="B604:B608"/>
    <mergeCell ref="B609:B613"/>
    <mergeCell ref="C609:C613"/>
    <mergeCell ref="P659:P663"/>
    <mergeCell ref="Q659:Q663"/>
    <mergeCell ref="I659:I663"/>
    <mergeCell ref="J659:J663"/>
    <mergeCell ref="K659:K663"/>
    <mergeCell ref="L659:L663"/>
    <mergeCell ref="M659:M663"/>
    <mergeCell ref="N659:N663"/>
    <mergeCell ref="O659:O663"/>
    <mergeCell ref="C594:C598"/>
    <mergeCell ref="D594:D598"/>
    <mergeCell ref="E594:E598"/>
    <mergeCell ref="F594:F598"/>
    <mergeCell ref="G594:G598"/>
    <mergeCell ref="Q654:Q658"/>
    <mergeCell ref="I649:I653"/>
    <mergeCell ref="H594:H598"/>
    <mergeCell ref="P594:P598"/>
    <mergeCell ref="Q594:Q598"/>
    <mergeCell ref="D654:D658"/>
    <mergeCell ref="E654:E658"/>
    <mergeCell ref="F654:F658"/>
    <mergeCell ref="B644:B648"/>
    <mergeCell ref="C644:C648"/>
    <mergeCell ref="D644:D648"/>
    <mergeCell ref="Q675:Q679"/>
    <mergeCell ref="D675:D679"/>
    <mergeCell ref="E675:E679"/>
    <mergeCell ref="F675:F679"/>
    <mergeCell ref="D659:D663"/>
    <mergeCell ref="E659:E663"/>
    <mergeCell ref="F659:F663"/>
    <mergeCell ref="G659:G663"/>
    <mergeCell ref="H659:H663"/>
    <mergeCell ref="D670:D674"/>
    <mergeCell ref="J649:J653"/>
    <mergeCell ref="C589:C593"/>
    <mergeCell ref="D589:D593"/>
    <mergeCell ref="E589:E593"/>
    <mergeCell ref="F589:F593"/>
    <mergeCell ref="G589:G593"/>
    <mergeCell ref="J609:J613"/>
    <mergeCell ref="K665:K669"/>
    <mergeCell ref="L665:L669"/>
    <mergeCell ref="M665:M669"/>
    <mergeCell ref="N665:N669"/>
    <mergeCell ref="O665:O669"/>
    <mergeCell ref="P665:P669"/>
    <mergeCell ref="Q665:Q669"/>
    <mergeCell ref="D665:D669"/>
    <mergeCell ref="E665:E669"/>
    <mergeCell ref="F665:F669"/>
    <mergeCell ref="G665:G669"/>
    <mergeCell ref="G675:G679"/>
    <mergeCell ref="P670:P674"/>
    <mergeCell ref="G649:G653"/>
    <mergeCell ref="H649:H653"/>
    <mergeCell ref="N705:N709"/>
    <mergeCell ref="K685:K689"/>
    <mergeCell ref="L685:L689"/>
    <mergeCell ref="M685:M689"/>
    <mergeCell ref="N685:N689"/>
    <mergeCell ref="Q649:Q653"/>
    <mergeCell ref="K649:K653"/>
    <mergeCell ref="P680:P684"/>
    <mergeCell ref="Q680:Q684"/>
    <mergeCell ref="D680:D684"/>
    <mergeCell ref="E680:E684"/>
    <mergeCell ref="F680:F684"/>
    <mergeCell ref="G680:G684"/>
    <mergeCell ref="H680:H684"/>
    <mergeCell ref="I680:I684"/>
    <mergeCell ref="J680:J684"/>
    <mergeCell ref="L649:L653"/>
    <mergeCell ref="M649:M653"/>
    <mergeCell ref="N649:N653"/>
    <mergeCell ref="O649:O653"/>
    <mergeCell ref="K675:K679"/>
    <mergeCell ref="L675:L679"/>
    <mergeCell ref="M675:M679"/>
    <mergeCell ref="O685:O689"/>
    <mergeCell ref="P685:P689"/>
    <mergeCell ref="E685:E689"/>
    <mergeCell ref="F685:F689"/>
    <mergeCell ref="G685:G689"/>
    <mergeCell ref="H685:H689"/>
    <mergeCell ref="E690:E694"/>
    <mergeCell ref="F690:F694"/>
    <mergeCell ref="P675:P679"/>
    <mergeCell ref="D715:D719"/>
    <mergeCell ref="E715:E719"/>
    <mergeCell ref="F715:F719"/>
    <mergeCell ref="G715:G719"/>
    <mergeCell ref="H715:H719"/>
    <mergeCell ref="I715:I719"/>
    <mergeCell ref="J715:J719"/>
    <mergeCell ref="K720:K724"/>
    <mergeCell ref="L720:L724"/>
    <mergeCell ref="M720:M724"/>
    <mergeCell ref="N720:N724"/>
    <mergeCell ref="O720:O724"/>
    <mergeCell ref="P720:P724"/>
    <mergeCell ref="Q720:Q724"/>
    <mergeCell ref="D720:D724"/>
    <mergeCell ref="E720:E724"/>
    <mergeCell ref="F720:F724"/>
    <mergeCell ref="G720:G724"/>
    <mergeCell ref="H720:H724"/>
    <mergeCell ref="I720:I724"/>
    <mergeCell ref="J720:J724"/>
    <mergeCell ref="O715:O719"/>
    <mergeCell ref="P715:P719"/>
    <mergeCell ref="M730:M734"/>
    <mergeCell ref="N730:N734"/>
    <mergeCell ref="O730:O734"/>
    <mergeCell ref="P730:P734"/>
    <mergeCell ref="Q730:Q734"/>
    <mergeCell ref="D730:D734"/>
    <mergeCell ref="E730:E734"/>
    <mergeCell ref="F730:F734"/>
    <mergeCell ref="G730:G734"/>
    <mergeCell ref="H730:H734"/>
    <mergeCell ref="I730:I734"/>
    <mergeCell ref="J730:J734"/>
    <mergeCell ref="K735:K739"/>
    <mergeCell ref="L735:L739"/>
    <mergeCell ref="M735:M739"/>
    <mergeCell ref="N735:N739"/>
    <mergeCell ref="O735:O739"/>
    <mergeCell ref="P735:P739"/>
    <mergeCell ref="Q735:Q739"/>
    <mergeCell ref="D735:D739"/>
    <mergeCell ref="E735:E739"/>
    <mergeCell ref="F735:F739"/>
    <mergeCell ref="G735:G739"/>
    <mergeCell ref="H735:H739"/>
    <mergeCell ref="I735:I739"/>
    <mergeCell ref="J735:J739"/>
    <mergeCell ref="K752:K756"/>
    <mergeCell ref="L752:L756"/>
    <mergeCell ref="M752:M756"/>
    <mergeCell ref="N752:N756"/>
    <mergeCell ref="O752:O756"/>
    <mergeCell ref="P752:P756"/>
    <mergeCell ref="Q752:Q756"/>
    <mergeCell ref="D752:D756"/>
    <mergeCell ref="E752:E756"/>
    <mergeCell ref="F752:F756"/>
    <mergeCell ref="G752:G756"/>
    <mergeCell ref="H752:H756"/>
    <mergeCell ref="I752:I756"/>
    <mergeCell ref="J752:J756"/>
    <mergeCell ref="L741:L751"/>
    <mergeCell ref="M741:M751"/>
    <mergeCell ref="N741:N751"/>
    <mergeCell ref="O741:O751"/>
    <mergeCell ref="K757:K761"/>
    <mergeCell ref="L757:L761"/>
    <mergeCell ref="M757:M761"/>
    <mergeCell ref="N757:N761"/>
    <mergeCell ref="O757:O761"/>
    <mergeCell ref="P757:P761"/>
    <mergeCell ref="Q757:Q761"/>
    <mergeCell ref="D757:D761"/>
    <mergeCell ref="E757:E761"/>
    <mergeCell ref="F757:F761"/>
    <mergeCell ref="G757:G761"/>
    <mergeCell ref="H757:H761"/>
    <mergeCell ref="I757:I761"/>
    <mergeCell ref="J757:J761"/>
    <mergeCell ref="K762:K766"/>
    <mergeCell ref="L762:L766"/>
    <mergeCell ref="M762:M766"/>
    <mergeCell ref="N762:N766"/>
    <mergeCell ref="O762:O766"/>
    <mergeCell ref="P762:P766"/>
    <mergeCell ref="Q762:Q766"/>
    <mergeCell ref="D762:D766"/>
    <mergeCell ref="E762:E766"/>
    <mergeCell ref="F762:F766"/>
    <mergeCell ref="G762:G766"/>
    <mergeCell ref="H762:H766"/>
    <mergeCell ref="I762:I766"/>
    <mergeCell ref="J762:J766"/>
    <mergeCell ref="K767:K771"/>
    <mergeCell ref="L767:L771"/>
    <mergeCell ref="M767:M771"/>
    <mergeCell ref="N767:N771"/>
    <mergeCell ref="O767:O771"/>
    <mergeCell ref="P767:P771"/>
    <mergeCell ref="Q767:Q771"/>
    <mergeCell ref="D767:D771"/>
    <mergeCell ref="E767:E771"/>
    <mergeCell ref="F767:F771"/>
    <mergeCell ref="G767:G771"/>
    <mergeCell ref="H767:H771"/>
    <mergeCell ref="I767:I771"/>
    <mergeCell ref="J767:J771"/>
    <mergeCell ref="K772:K776"/>
    <mergeCell ref="L772:L776"/>
    <mergeCell ref="M772:M776"/>
    <mergeCell ref="N772:N776"/>
    <mergeCell ref="O772:O776"/>
    <mergeCell ref="P772:P776"/>
    <mergeCell ref="Q772:Q776"/>
    <mergeCell ref="D772:D776"/>
    <mergeCell ref="E772:E776"/>
    <mergeCell ref="F772:F776"/>
    <mergeCell ref="G772:G776"/>
    <mergeCell ref="H772:H776"/>
    <mergeCell ref="I772:I776"/>
    <mergeCell ref="J772:J776"/>
    <mergeCell ref="K777:K781"/>
    <mergeCell ref="L777:L781"/>
    <mergeCell ref="M777:M781"/>
    <mergeCell ref="N777:N781"/>
    <mergeCell ref="O777:O781"/>
    <mergeCell ref="P777:P781"/>
    <mergeCell ref="Q777:Q781"/>
    <mergeCell ref="D777:D781"/>
    <mergeCell ref="E777:E781"/>
    <mergeCell ref="F777:F781"/>
    <mergeCell ref="G777:G781"/>
    <mergeCell ref="H777:H781"/>
    <mergeCell ref="I777:I781"/>
    <mergeCell ref="J777:J781"/>
    <mergeCell ref="K782:K786"/>
    <mergeCell ref="L782:L786"/>
    <mergeCell ref="M782:M786"/>
    <mergeCell ref="N782:N786"/>
    <mergeCell ref="O782:O786"/>
    <mergeCell ref="P782:P786"/>
    <mergeCell ref="Q782:Q786"/>
    <mergeCell ref="D782:D786"/>
    <mergeCell ref="E782:E786"/>
    <mergeCell ref="F782:F786"/>
    <mergeCell ref="G782:G786"/>
    <mergeCell ref="H782:H786"/>
    <mergeCell ref="I782:I786"/>
    <mergeCell ref="J782:J786"/>
    <mergeCell ref="K787:K791"/>
    <mergeCell ref="L787:L791"/>
    <mergeCell ref="M787:M791"/>
    <mergeCell ref="N787:N791"/>
    <mergeCell ref="O787:O791"/>
    <mergeCell ref="P787:P791"/>
    <mergeCell ref="Q787:Q791"/>
    <mergeCell ref="D787:D791"/>
    <mergeCell ref="E787:E791"/>
    <mergeCell ref="F787:F791"/>
    <mergeCell ref="G787:G791"/>
    <mergeCell ref="H787:H791"/>
    <mergeCell ref="I787:I791"/>
    <mergeCell ref="J787:J791"/>
    <mergeCell ref="K792:K796"/>
    <mergeCell ref="L792:L796"/>
    <mergeCell ref="M792:M796"/>
    <mergeCell ref="N792:N796"/>
    <mergeCell ref="O792:O796"/>
    <mergeCell ref="P792:P796"/>
    <mergeCell ref="Q792:Q796"/>
    <mergeCell ref="D792:D796"/>
    <mergeCell ref="E792:E796"/>
    <mergeCell ref="F792:F796"/>
    <mergeCell ref="G792:G796"/>
    <mergeCell ref="H792:H796"/>
    <mergeCell ref="I792:I796"/>
    <mergeCell ref="J792:J796"/>
    <mergeCell ref="K797:K801"/>
    <mergeCell ref="L797:L801"/>
    <mergeCell ref="M797:M801"/>
    <mergeCell ref="N797:N801"/>
    <mergeCell ref="O797:O801"/>
    <mergeCell ref="P797:P801"/>
    <mergeCell ref="Q797:Q801"/>
    <mergeCell ref="D797:D801"/>
    <mergeCell ref="E797:E801"/>
    <mergeCell ref="F797:F801"/>
    <mergeCell ref="G797:G801"/>
    <mergeCell ref="H797:H801"/>
    <mergeCell ref="I797:I801"/>
    <mergeCell ref="J797:J801"/>
    <mergeCell ref="K802:K806"/>
    <mergeCell ref="L802:L806"/>
    <mergeCell ref="M802:M806"/>
    <mergeCell ref="N802:N806"/>
    <mergeCell ref="O802:O806"/>
    <mergeCell ref="P802:P806"/>
    <mergeCell ref="Q802:Q806"/>
    <mergeCell ref="D802:D806"/>
    <mergeCell ref="E802:E806"/>
    <mergeCell ref="F802:F806"/>
    <mergeCell ref="G802:G806"/>
    <mergeCell ref="H802:H806"/>
    <mergeCell ref="I802:I806"/>
    <mergeCell ref="J802:J806"/>
    <mergeCell ref="K807:K811"/>
    <mergeCell ref="L807:L811"/>
    <mergeCell ref="M807:M811"/>
    <mergeCell ref="N807:N811"/>
    <mergeCell ref="O807:O811"/>
    <mergeCell ref="P807:P811"/>
    <mergeCell ref="Q807:Q811"/>
    <mergeCell ref="D807:D811"/>
    <mergeCell ref="E807:E811"/>
    <mergeCell ref="F807:F811"/>
    <mergeCell ref="G807:G811"/>
    <mergeCell ref="H807:H811"/>
    <mergeCell ref="I807:I811"/>
    <mergeCell ref="J807:J811"/>
    <mergeCell ref="D812:D816"/>
    <mergeCell ref="E812:E816"/>
    <mergeCell ref="F812:F816"/>
    <mergeCell ref="G812:G816"/>
    <mergeCell ref="H812:H816"/>
    <mergeCell ref="I812:I816"/>
    <mergeCell ref="J812:J816"/>
    <mergeCell ref="D817:D821"/>
    <mergeCell ref="E817:E821"/>
    <mergeCell ref="F817:F821"/>
    <mergeCell ref="G817:G821"/>
    <mergeCell ref="H817:H821"/>
    <mergeCell ref="I817:I821"/>
    <mergeCell ref="J817:J821"/>
    <mergeCell ref="M873:M877"/>
    <mergeCell ref="N873:N877"/>
    <mergeCell ref="D868:D872"/>
    <mergeCell ref="E868:E872"/>
    <mergeCell ref="F868:F872"/>
    <mergeCell ref="G868:G872"/>
    <mergeCell ref="H868:H872"/>
    <mergeCell ref="D873:D877"/>
    <mergeCell ref="E873:E877"/>
    <mergeCell ref="O863:O867"/>
    <mergeCell ref="I873:I877"/>
    <mergeCell ref="J873:J877"/>
    <mergeCell ref="K873:K877"/>
    <mergeCell ref="L873:L877"/>
    <mergeCell ref="K817:K821"/>
    <mergeCell ref="L817:L821"/>
    <mergeCell ref="M817:M821"/>
    <mergeCell ref="N817:N821"/>
    <mergeCell ref="F843:F847"/>
    <mergeCell ref="G843:G847"/>
    <mergeCell ref="H843:H847"/>
    <mergeCell ref="I843:I847"/>
    <mergeCell ref="J843:J847"/>
    <mergeCell ref="K848:K852"/>
    <mergeCell ref="L848:L852"/>
    <mergeCell ref="Q868:Q872"/>
    <mergeCell ref="O868:O872"/>
    <mergeCell ref="D853:D857"/>
    <mergeCell ref="E853:E857"/>
    <mergeCell ref="F853:F857"/>
    <mergeCell ref="G853:G857"/>
    <mergeCell ref="H853:H857"/>
    <mergeCell ref="I853:I857"/>
    <mergeCell ref="J853:J857"/>
    <mergeCell ref="D843:D847"/>
    <mergeCell ref="E843:E847"/>
    <mergeCell ref="I863:I867"/>
    <mergeCell ref="J863:J867"/>
    <mergeCell ref="K863:K867"/>
    <mergeCell ref="L863:L867"/>
    <mergeCell ref="M863:M867"/>
    <mergeCell ref="N863:N867"/>
    <mergeCell ref="I868:I872"/>
    <mergeCell ref="J868:J872"/>
    <mergeCell ref="K868:K872"/>
    <mergeCell ref="L868:L872"/>
    <mergeCell ref="M868:M872"/>
    <mergeCell ref="N868:N872"/>
    <mergeCell ref="K853:K857"/>
    <mergeCell ref="L853:L857"/>
    <mergeCell ref="M853:M857"/>
    <mergeCell ref="N853:N857"/>
    <mergeCell ref="M848:M852"/>
    <mergeCell ref="N848:N852"/>
    <mergeCell ref="O848:O852"/>
    <mergeCell ref="P848:P852"/>
    <mergeCell ref="Q848:Q852"/>
    <mergeCell ref="L939:L943"/>
    <mergeCell ref="M939:M943"/>
    <mergeCell ref="N939:N943"/>
    <mergeCell ref="D888:D892"/>
    <mergeCell ref="E888:E892"/>
    <mergeCell ref="F888:F892"/>
    <mergeCell ref="G888:G892"/>
    <mergeCell ref="H888:H892"/>
    <mergeCell ref="I888:I892"/>
    <mergeCell ref="J888:J892"/>
    <mergeCell ref="P893:P897"/>
    <mergeCell ref="Q893:Q897"/>
    <mergeCell ref="I893:I897"/>
    <mergeCell ref="J893:J897"/>
    <mergeCell ref="K893:K897"/>
    <mergeCell ref="L893:L897"/>
    <mergeCell ref="M893:M897"/>
    <mergeCell ref="N893:N897"/>
    <mergeCell ref="O893:O897"/>
    <mergeCell ref="D893:D897"/>
    <mergeCell ref="E893:E897"/>
    <mergeCell ref="F893:F897"/>
    <mergeCell ref="G893:G897"/>
    <mergeCell ref="K888:K892"/>
    <mergeCell ref="L888:L892"/>
    <mergeCell ref="M888:M892"/>
    <mergeCell ref="N888:N892"/>
    <mergeCell ref="O888:O892"/>
    <mergeCell ref="P888:P892"/>
    <mergeCell ref="Q888:Q892"/>
    <mergeCell ref="P899:P903"/>
    <mergeCell ref="Q899:Q903"/>
    <mergeCell ref="Q909:Q913"/>
    <mergeCell ref="D909:D913"/>
    <mergeCell ref="E909:E913"/>
    <mergeCell ref="F909:F913"/>
    <mergeCell ref="G909:G913"/>
    <mergeCell ref="H909:H913"/>
    <mergeCell ref="I909:I913"/>
    <mergeCell ref="J909:J913"/>
    <mergeCell ref="M914:M918"/>
    <mergeCell ref="N914:N918"/>
    <mergeCell ref="O914:O918"/>
    <mergeCell ref="P914:P918"/>
    <mergeCell ref="Q914:Q918"/>
    <mergeCell ref="H904:H908"/>
    <mergeCell ref="I904:I908"/>
    <mergeCell ref="J904:J908"/>
    <mergeCell ref="D904:D908"/>
    <mergeCell ref="E904:E908"/>
    <mergeCell ref="F904:F908"/>
    <mergeCell ref="G904:G908"/>
    <mergeCell ref="E914:E918"/>
    <mergeCell ref="P904:P908"/>
    <mergeCell ref="F914:F918"/>
    <mergeCell ref="G914:G918"/>
    <mergeCell ref="H914:H918"/>
    <mergeCell ref="I914:I918"/>
    <mergeCell ref="J914:J918"/>
    <mergeCell ref="K914:K918"/>
    <mergeCell ref="D899:D903"/>
    <mergeCell ref="E899:E903"/>
    <mergeCell ref="B878:B882"/>
    <mergeCell ref="B899:B903"/>
    <mergeCell ref="B904:B908"/>
    <mergeCell ref="B909:B913"/>
    <mergeCell ref="B914:B918"/>
    <mergeCell ref="B969:B973"/>
    <mergeCell ref="J1020:J1024"/>
    <mergeCell ref="D995:D999"/>
    <mergeCell ref="I1005:I1009"/>
    <mergeCell ref="J1005:J1009"/>
    <mergeCell ref="J995:J999"/>
    <mergeCell ref="H964:H968"/>
    <mergeCell ref="I964:I968"/>
    <mergeCell ref="J990:J994"/>
    <mergeCell ref="J954:J958"/>
    <mergeCell ref="H980:H984"/>
    <mergeCell ref="I980:I984"/>
    <mergeCell ref="J985:J989"/>
    <mergeCell ref="C1020:C1024"/>
    <mergeCell ref="D1020:D1024"/>
    <mergeCell ref="E1020:E1024"/>
    <mergeCell ref="C990:C994"/>
    <mergeCell ref="E1005:E1009"/>
    <mergeCell ref="C1015:C1019"/>
    <mergeCell ref="F1020:F1024"/>
    <mergeCell ref="G1020:G1024"/>
    <mergeCell ref="H1020:H1024"/>
    <mergeCell ref="I1020:I1024"/>
    <mergeCell ref="H949:H953"/>
    <mergeCell ref="D1015:D1019"/>
    <mergeCell ref="E1015:E1019"/>
    <mergeCell ref="I949:I953"/>
    <mergeCell ref="B919:B923"/>
    <mergeCell ref="B924:B928"/>
    <mergeCell ref="C949:C953"/>
    <mergeCell ref="D949:D953"/>
    <mergeCell ref="E949:E953"/>
    <mergeCell ref="F949:F953"/>
    <mergeCell ref="G949:G953"/>
    <mergeCell ref="H1015:H1019"/>
    <mergeCell ref="I1015:I1019"/>
    <mergeCell ref="J1015:J1019"/>
    <mergeCell ref="K1015:K1019"/>
    <mergeCell ref="K1010:K1014"/>
    <mergeCell ref="D934:D938"/>
    <mergeCell ref="E934:E938"/>
    <mergeCell ref="F934:F938"/>
    <mergeCell ref="G934:G938"/>
    <mergeCell ref="H934:H938"/>
    <mergeCell ref="J939:J943"/>
    <mergeCell ref="K939:K943"/>
    <mergeCell ref="D1010:D1014"/>
    <mergeCell ref="B1010:B1014"/>
    <mergeCell ref="H1010:H1014"/>
    <mergeCell ref="B985:B989"/>
    <mergeCell ref="F990:F994"/>
    <mergeCell ref="J1010:J1014"/>
    <mergeCell ref="G1005:G1009"/>
    <mergeCell ref="F944:F948"/>
    <mergeCell ref="G944:G948"/>
    <mergeCell ref="J969:J973"/>
    <mergeCell ref="H995:H999"/>
    <mergeCell ref="F1010:F1014"/>
    <mergeCell ref="G1010:G1014"/>
    <mergeCell ref="O939:O943"/>
    <mergeCell ref="F1025:F1029"/>
    <mergeCell ref="G1025:G1029"/>
    <mergeCell ref="H1025:H1029"/>
    <mergeCell ref="I1025:I1029"/>
    <mergeCell ref="J1025:J1029"/>
    <mergeCell ref="K1025:K1029"/>
    <mergeCell ref="L1025:L1029"/>
    <mergeCell ref="M1025:M1029"/>
    <mergeCell ref="N1025:N1029"/>
    <mergeCell ref="O1025:O1029"/>
    <mergeCell ref="L1020:L1024"/>
    <mergeCell ref="M1020:M1024"/>
    <mergeCell ref="N1020:N1024"/>
    <mergeCell ref="O1020:O1024"/>
    <mergeCell ref="H1005:H1009"/>
    <mergeCell ref="F1015:F1019"/>
    <mergeCell ref="G1015:G1019"/>
    <mergeCell ref="O1000:O1004"/>
    <mergeCell ref="N964:N968"/>
    <mergeCell ref="M1015:M1019"/>
    <mergeCell ref="N1015:N1019"/>
    <mergeCell ref="K1020:K1024"/>
    <mergeCell ref="G969:G973"/>
    <mergeCell ref="H969:H973"/>
    <mergeCell ref="I969:I973"/>
    <mergeCell ref="M995:M999"/>
    <mergeCell ref="N995:N999"/>
    <mergeCell ref="O995:O999"/>
    <mergeCell ref="F1005:F1009"/>
    <mergeCell ref="P939:P943"/>
    <mergeCell ref="Q939:Q943"/>
    <mergeCell ref="B939:B943"/>
    <mergeCell ref="C929:C933"/>
    <mergeCell ref="C934:C938"/>
    <mergeCell ref="C939:C943"/>
    <mergeCell ref="D939:D943"/>
    <mergeCell ref="E939:E943"/>
    <mergeCell ref="F939:F943"/>
    <mergeCell ref="G939:G943"/>
    <mergeCell ref="M1010:M1014"/>
    <mergeCell ref="N1010:N1014"/>
    <mergeCell ref="O1010:O1014"/>
    <mergeCell ref="P1010:P1014"/>
    <mergeCell ref="Q1010:Q1014"/>
    <mergeCell ref="K1005:K1009"/>
    <mergeCell ref="L1005:L1009"/>
    <mergeCell ref="M1005:M1009"/>
    <mergeCell ref="N1005:N1009"/>
    <mergeCell ref="O1005:O1009"/>
    <mergeCell ref="P1005:P1009"/>
    <mergeCell ref="L1010:L1014"/>
    <mergeCell ref="Q1005:Q1009"/>
    <mergeCell ref="I934:I938"/>
    <mergeCell ref="J934:J938"/>
    <mergeCell ref="K934:K938"/>
    <mergeCell ref="L934:L938"/>
    <mergeCell ref="M934:M938"/>
    <mergeCell ref="N934:N938"/>
    <mergeCell ref="O934:O938"/>
    <mergeCell ref="B929:B933"/>
    <mergeCell ref="B934:B938"/>
    <mergeCell ref="N1035:N1039"/>
    <mergeCell ref="O1035:O1039"/>
    <mergeCell ref="K1040:K1044"/>
    <mergeCell ref="L1040:L1044"/>
    <mergeCell ref="M1040:M1044"/>
    <mergeCell ref="N1040:N1044"/>
    <mergeCell ref="O1040:O1044"/>
    <mergeCell ref="P1040:P1044"/>
    <mergeCell ref="Q1040:Q1044"/>
    <mergeCell ref="K1030:K1034"/>
    <mergeCell ref="L1030:L1034"/>
    <mergeCell ref="K1035:K1039"/>
    <mergeCell ref="L1035:L1039"/>
    <mergeCell ref="P1035:P1039"/>
    <mergeCell ref="Q1035:Q1039"/>
    <mergeCell ref="L1015:L1019"/>
    <mergeCell ref="P1025:P1029"/>
    <mergeCell ref="P1020:P1024"/>
    <mergeCell ref="O1015:O1019"/>
    <mergeCell ref="P1015:P1019"/>
    <mergeCell ref="Q1015:Q1019"/>
    <mergeCell ref="O1030:O1034"/>
    <mergeCell ref="P1030:P1034"/>
    <mergeCell ref="Q1030:Q1034"/>
    <mergeCell ref="M1035:M1039"/>
    <mergeCell ref="Q1020:Q1024"/>
    <mergeCell ref="Q1025:Q1029"/>
    <mergeCell ref="M1030:M1034"/>
    <mergeCell ref="N1030:N1034"/>
    <mergeCell ref="F1030:F1034"/>
    <mergeCell ref="G1030:G1034"/>
    <mergeCell ref="H1030:H1034"/>
    <mergeCell ref="I1030:I1034"/>
    <mergeCell ref="J1030:J1034"/>
    <mergeCell ref="C1035:C1039"/>
    <mergeCell ref="D1035:D1039"/>
    <mergeCell ref="F1035:F1039"/>
    <mergeCell ref="G1035:G1039"/>
    <mergeCell ref="H1035:H1039"/>
    <mergeCell ref="I1035:I1039"/>
    <mergeCell ref="J1035:J1039"/>
    <mergeCell ref="C1025:C1029"/>
    <mergeCell ref="D1025:D1029"/>
    <mergeCell ref="E1025:E1029"/>
    <mergeCell ref="J1040:J1044"/>
    <mergeCell ref="C1040:C1044"/>
    <mergeCell ref="D1040:D1044"/>
    <mergeCell ref="F1040:F1044"/>
    <mergeCell ref="G1040:G1044"/>
    <mergeCell ref="H1040:H1044"/>
    <mergeCell ref="I1040:I1044"/>
    <mergeCell ref="M1045:M1049"/>
    <mergeCell ref="N1045:N1049"/>
    <mergeCell ref="O1045:O1049"/>
    <mergeCell ref="P1045:P1049"/>
    <mergeCell ref="Q1045:Q1049"/>
    <mergeCell ref="F1045:F1049"/>
    <mergeCell ref="G1045:G1049"/>
    <mergeCell ref="H1045:H1049"/>
    <mergeCell ref="I1045:I1049"/>
    <mergeCell ref="J1045:J1049"/>
    <mergeCell ref="K1045:K1049"/>
    <mergeCell ref="L1045:L1049"/>
    <mergeCell ref="M1051:M1055"/>
    <mergeCell ref="N1051:N1055"/>
    <mergeCell ref="O1051:O1055"/>
    <mergeCell ref="P1051:P1055"/>
    <mergeCell ref="Q1051:Q1055"/>
    <mergeCell ref="F1051:F1055"/>
    <mergeCell ref="G1051:G1055"/>
    <mergeCell ref="H1051:H1055"/>
    <mergeCell ref="I1051:I1055"/>
    <mergeCell ref="J1051:J1055"/>
    <mergeCell ref="K1051:K1055"/>
    <mergeCell ref="L1051:L1055"/>
    <mergeCell ref="M1056:M1060"/>
    <mergeCell ref="N1056:N1060"/>
    <mergeCell ref="O1056:O1060"/>
    <mergeCell ref="P1056:P1060"/>
    <mergeCell ref="Q1056:Q1060"/>
    <mergeCell ref="F1056:F1060"/>
    <mergeCell ref="G1056:G1060"/>
    <mergeCell ref="H1056:H1060"/>
    <mergeCell ref="I1056:I1060"/>
    <mergeCell ref="J1056:J1060"/>
    <mergeCell ref="K1056:K1060"/>
    <mergeCell ref="L1056:L1060"/>
    <mergeCell ref="M1076:M1080"/>
    <mergeCell ref="N1076:N1080"/>
    <mergeCell ref="O1076:O1080"/>
    <mergeCell ref="P1076:P1080"/>
    <mergeCell ref="Q1076:Q1080"/>
    <mergeCell ref="F1076:F1080"/>
    <mergeCell ref="G1076:G1080"/>
    <mergeCell ref="H1076:H1080"/>
    <mergeCell ref="I1076:I1080"/>
    <mergeCell ref="K1076:K1080"/>
    <mergeCell ref="L1076:L1080"/>
    <mergeCell ref="I1066:I1070"/>
    <mergeCell ref="J1066:J1070"/>
    <mergeCell ref="K1066:K1070"/>
    <mergeCell ref="L1066:L1070"/>
    <mergeCell ref="M1071:M1075"/>
    <mergeCell ref="N1071:N1075"/>
    <mergeCell ref="O1071:O1075"/>
    <mergeCell ref="P1071:P1075"/>
    <mergeCell ref="Q1071:Q1075"/>
    <mergeCell ref="O1086:O1090"/>
    <mergeCell ref="N1081:N1085"/>
    <mergeCell ref="O1081:O1085"/>
    <mergeCell ref="P1081:P1085"/>
    <mergeCell ref="Q1081:Q1085"/>
    <mergeCell ref="G1081:G1085"/>
    <mergeCell ref="H1081:H1085"/>
    <mergeCell ref="I1081:I1085"/>
    <mergeCell ref="J1081:J1085"/>
    <mergeCell ref="K1081:K1085"/>
    <mergeCell ref="L1081:L1085"/>
    <mergeCell ref="O1091:O1095"/>
    <mergeCell ref="P1091:P1095"/>
    <mergeCell ref="Q1096:Q1100"/>
    <mergeCell ref="P1086:P1090"/>
    <mergeCell ref="Q1086:Q1090"/>
    <mergeCell ref="Q1091:Q1095"/>
    <mergeCell ref="G1091:G1095"/>
    <mergeCell ref="H1091:H1095"/>
    <mergeCell ref="I1091:I1095"/>
    <mergeCell ref="J1091:J1095"/>
    <mergeCell ref="K1091:K1095"/>
    <mergeCell ref="L1091:L1095"/>
    <mergeCell ref="M1086:M1090"/>
    <mergeCell ref="M1096:M1100"/>
    <mergeCell ref="J1096:J1100"/>
    <mergeCell ref="K1096:K1100"/>
    <mergeCell ref="L1096:L1100"/>
    <mergeCell ref="G1086:G1090"/>
    <mergeCell ref="H1086:H1090"/>
    <mergeCell ref="I1086:I1090"/>
    <mergeCell ref="J1086:J1090"/>
    <mergeCell ref="K1086:K1090"/>
    <mergeCell ref="L1086:L1090"/>
    <mergeCell ref="M1091:M1095"/>
    <mergeCell ref="F1086:F1090"/>
    <mergeCell ref="F1091:F1095"/>
    <mergeCell ref="B1091:B1095"/>
    <mergeCell ref="B1096:B1100"/>
    <mergeCell ref="B1101:B1105"/>
    <mergeCell ref="N1167:N1171"/>
    <mergeCell ref="K1137:K1141"/>
    <mergeCell ref="L1137:L1141"/>
    <mergeCell ref="M1142:M1146"/>
    <mergeCell ref="N1142:N1146"/>
    <mergeCell ref="M1152:M1156"/>
    <mergeCell ref="N1152:N1156"/>
    <mergeCell ref="M1162:M1166"/>
    <mergeCell ref="N1162:N1166"/>
    <mergeCell ref="N1101:N1105"/>
    <mergeCell ref="K1116:K1120"/>
    <mergeCell ref="L1116:L1120"/>
    <mergeCell ref="M1121:M1125"/>
    <mergeCell ref="N1121:N1125"/>
    <mergeCell ref="D1167:D1171"/>
    <mergeCell ref="E1167:E1171"/>
    <mergeCell ref="N1091:N1095"/>
    <mergeCell ref="M1167:M1171"/>
    <mergeCell ref="N1086:N1090"/>
    <mergeCell ref="D1147:D1151"/>
    <mergeCell ref="E1147:E1151"/>
    <mergeCell ref="C1137:C1141"/>
    <mergeCell ref="D1137:D1141"/>
    <mergeCell ref="G1096:G1100"/>
    <mergeCell ref="P1167:P1171"/>
    <mergeCell ref="Q1167:Q1171"/>
    <mergeCell ref="F1167:F1171"/>
    <mergeCell ref="G1167:G1171"/>
    <mergeCell ref="H1167:H1171"/>
    <mergeCell ref="I1167:I1171"/>
    <mergeCell ref="J1167:J1171"/>
    <mergeCell ref="K1167:K1171"/>
    <mergeCell ref="L1167:L1171"/>
    <mergeCell ref="M1061:M1065"/>
    <mergeCell ref="N1061:N1065"/>
    <mergeCell ref="O1061:O1065"/>
    <mergeCell ref="P1061:P1065"/>
    <mergeCell ref="Q1061:Q1065"/>
    <mergeCell ref="F1061:F1065"/>
    <mergeCell ref="G1061:G1065"/>
    <mergeCell ref="H1061:H1065"/>
    <mergeCell ref="I1061:I1065"/>
    <mergeCell ref="J1061:J1065"/>
    <mergeCell ref="K1061:K1065"/>
    <mergeCell ref="L1061:L1065"/>
    <mergeCell ref="M1066:M1070"/>
    <mergeCell ref="N1066:N1070"/>
    <mergeCell ref="O1066:O1070"/>
    <mergeCell ref="P1066:P1070"/>
    <mergeCell ref="Q1066:Q1070"/>
    <mergeCell ref="F1066:F1070"/>
    <mergeCell ref="G1066:G1070"/>
    <mergeCell ref="H1066:H1070"/>
    <mergeCell ref="M1081:M1085"/>
    <mergeCell ref="J1071:J1075"/>
    <mergeCell ref="M1101:M1105"/>
    <mergeCell ref="K1071:K1075"/>
    <mergeCell ref="L1071:L1075"/>
    <mergeCell ref="M1172:M1176"/>
    <mergeCell ref="N1172:N1176"/>
    <mergeCell ref="O1172:O1176"/>
    <mergeCell ref="P1172:P1176"/>
    <mergeCell ref="Q1172:Q1176"/>
    <mergeCell ref="F1172:F1176"/>
    <mergeCell ref="G1172:G1176"/>
    <mergeCell ref="H1172:H1176"/>
    <mergeCell ref="I1172:I1176"/>
    <mergeCell ref="J1172:J1176"/>
    <mergeCell ref="K1172:K1176"/>
    <mergeCell ref="L1172:L1176"/>
    <mergeCell ref="M1132:M1136"/>
    <mergeCell ref="N1132:N1136"/>
    <mergeCell ref="O1132:O1136"/>
    <mergeCell ref="P1132:P1136"/>
    <mergeCell ref="Q1132:Q1136"/>
    <mergeCell ref="F1132:F1136"/>
    <mergeCell ref="G1132:G1136"/>
    <mergeCell ref="H1132:H1136"/>
    <mergeCell ref="I1132:I1136"/>
    <mergeCell ref="J1132:J1136"/>
    <mergeCell ref="K1132:K1136"/>
    <mergeCell ref="L1132:L1136"/>
    <mergeCell ref="M1137:M1141"/>
    <mergeCell ref="N1137:N1141"/>
    <mergeCell ref="O1137:O1141"/>
    <mergeCell ref="P1137:P1141"/>
    <mergeCell ref="Q1137:Q1141"/>
    <mergeCell ref="J1137:J1141"/>
    <mergeCell ref="O1142:O1146"/>
    <mergeCell ref="P1142:P1146"/>
    <mergeCell ref="Q1142:Q1146"/>
    <mergeCell ref="F1142:F1146"/>
    <mergeCell ref="G1142:G1146"/>
    <mergeCell ref="H1142:H1146"/>
    <mergeCell ref="I1142:I1146"/>
    <mergeCell ref="J1142:J1146"/>
    <mergeCell ref="K1142:K1146"/>
    <mergeCell ref="L1142:L1146"/>
    <mergeCell ref="M1147:M1151"/>
    <mergeCell ref="N1147:N1151"/>
    <mergeCell ref="O1147:O1151"/>
    <mergeCell ref="P1147:P1151"/>
    <mergeCell ref="Q1147:Q1151"/>
    <mergeCell ref="F1147:F1151"/>
    <mergeCell ref="G1147:G1151"/>
    <mergeCell ref="H1147:H1151"/>
    <mergeCell ref="I1147:I1151"/>
    <mergeCell ref="J1147:J1151"/>
    <mergeCell ref="K1147:K1151"/>
    <mergeCell ref="L1147:L1151"/>
    <mergeCell ref="O1152:O1156"/>
    <mergeCell ref="P1152:P1156"/>
    <mergeCell ref="Q1152:Q1156"/>
    <mergeCell ref="F1152:F1156"/>
    <mergeCell ref="G1152:G1156"/>
    <mergeCell ref="H1152:H1156"/>
    <mergeCell ref="I1152:I1156"/>
    <mergeCell ref="J1152:J1156"/>
    <mergeCell ref="K1152:K1156"/>
    <mergeCell ref="L1152:L1156"/>
    <mergeCell ref="P1157:P1161"/>
    <mergeCell ref="Q1157:Q1161"/>
    <mergeCell ref="F1157:F1161"/>
    <mergeCell ref="G1157:G1161"/>
    <mergeCell ref="H1157:H1161"/>
    <mergeCell ref="I1157:I1161"/>
    <mergeCell ref="J1157:J1161"/>
    <mergeCell ref="K1157:K1161"/>
    <mergeCell ref="L1157:L1161"/>
    <mergeCell ref="O1162:O1166"/>
    <mergeCell ref="P1162:P1166"/>
    <mergeCell ref="Q1162:Q1166"/>
    <mergeCell ref="F1162:F1166"/>
    <mergeCell ref="G1162:G1166"/>
    <mergeCell ref="H1162:H1166"/>
    <mergeCell ref="I1162:I1166"/>
    <mergeCell ref="J1162:J1166"/>
    <mergeCell ref="K1162:K1166"/>
    <mergeCell ref="L1162:L1166"/>
    <mergeCell ref="M1157:M1161"/>
    <mergeCell ref="N1157:N1161"/>
    <mergeCell ref="O1157:O1161"/>
    <mergeCell ref="M1106:M1110"/>
    <mergeCell ref="N1106:N1110"/>
    <mergeCell ref="O1106:O1110"/>
    <mergeCell ref="P1106:P1110"/>
    <mergeCell ref="Q1106:Q1110"/>
    <mergeCell ref="F1106:F1110"/>
    <mergeCell ref="G1106:G1110"/>
    <mergeCell ref="H1106:H1110"/>
    <mergeCell ref="I1106:I1110"/>
    <mergeCell ref="J1106:J1110"/>
    <mergeCell ref="K1106:K1110"/>
    <mergeCell ref="L1106:L1110"/>
    <mergeCell ref="M1116:M1120"/>
    <mergeCell ref="N1116:N1120"/>
    <mergeCell ref="O1116:O1120"/>
    <mergeCell ref="P1116:P1120"/>
    <mergeCell ref="Q1116:Q1120"/>
    <mergeCell ref="I1116:I1120"/>
    <mergeCell ref="J1116:J1120"/>
    <mergeCell ref="O1101:O1105"/>
    <mergeCell ref="P1101:P1105"/>
    <mergeCell ref="Q1101:Q1105"/>
    <mergeCell ref="F1101:F1105"/>
    <mergeCell ref="G1101:G1105"/>
    <mergeCell ref="H1101:H1105"/>
    <mergeCell ref="I1101:I1105"/>
    <mergeCell ref="J1101:J1105"/>
    <mergeCell ref="M1111:M1115"/>
    <mergeCell ref="N1111:N1115"/>
    <mergeCell ref="O1111:O1115"/>
    <mergeCell ref="P1111:P1115"/>
    <mergeCell ref="Q1111:Q1115"/>
    <mergeCell ref="F1111:F1115"/>
    <mergeCell ref="G1111:G1115"/>
    <mergeCell ref="H1111:H1115"/>
    <mergeCell ref="I1111:I1115"/>
    <mergeCell ref="J1111:J1115"/>
    <mergeCell ref="K1111:K1115"/>
    <mergeCell ref="L1111:L1115"/>
    <mergeCell ref="K1101:K1105"/>
    <mergeCell ref="L1101:L1105"/>
    <mergeCell ref="O1121:O1125"/>
    <mergeCell ref="P1121:P1125"/>
    <mergeCell ref="Q1121:Q1125"/>
    <mergeCell ref="F1121:F1125"/>
    <mergeCell ref="G1121:G1125"/>
    <mergeCell ref="H1121:H1125"/>
    <mergeCell ref="I1121:I1125"/>
    <mergeCell ref="J1121:J1125"/>
    <mergeCell ref="K1121:K1125"/>
    <mergeCell ref="L1121:L1125"/>
    <mergeCell ref="M1127:M1131"/>
    <mergeCell ref="N1127:N1131"/>
    <mergeCell ref="O1127:O1131"/>
    <mergeCell ref="P1127:P1131"/>
    <mergeCell ref="Q1127:Q1131"/>
    <mergeCell ref="F1127:F1131"/>
    <mergeCell ref="G1127:G1131"/>
    <mergeCell ref="H1127:H1131"/>
    <mergeCell ref="I1127:I1131"/>
    <mergeCell ref="J1127:J1131"/>
    <mergeCell ref="K1127:K1131"/>
    <mergeCell ref="L1127:L1131"/>
    <mergeCell ref="N1182:N1186"/>
    <mergeCell ref="O1182:O1186"/>
    <mergeCell ref="P1182:P1186"/>
    <mergeCell ref="Q1182:Q1186"/>
    <mergeCell ref="K1192:K1196"/>
    <mergeCell ref="L1192:L1196"/>
    <mergeCell ref="F1182:F1186"/>
    <mergeCell ref="G1182:G1186"/>
    <mergeCell ref="H1182:H1186"/>
    <mergeCell ref="I1182:I1186"/>
    <mergeCell ref="J1182:J1186"/>
    <mergeCell ref="M1187:M1191"/>
    <mergeCell ref="N1187:N1191"/>
    <mergeCell ref="O1187:O1191"/>
    <mergeCell ref="P1187:P1191"/>
    <mergeCell ref="Q1187:Q1191"/>
    <mergeCell ref="F1187:F1191"/>
    <mergeCell ref="G1187:G1191"/>
    <mergeCell ref="H1187:H1191"/>
    <mergeCell ref="K1203:K1207"/>
    <mergeCell ref="L1203:L1207"/>
    <mergeCell ref="M1192:M1196"/>
    <mergeCell ref="N1192:N1196"/>
    <mergeCell ref="O1192:O1196"/>
    <mergeCell ref="P1192:P1196"/>
    <mergeCell ref="Q1192:Q1196"/>
    <mergeCell ref="F1192:F1196"/>
    <mergeCell ref="G1192:G1196"/>
    <mergeCell ref="H1192:H1196"/>
    <mergeCell ref="I1192:I1196"/>
    <mergeCell ref="J1192:J1196"/>
    <mergeCell ref="M1177:M1181"/>
    <mergeCell ref="N1177:N1181"/>
    <mergeCell ref="O1177:O1181"/>
    <mergeCell ref="P1177:P1181"/>
    <mergeCell ref="Q1177:Q1181"/>
    <mergeCell ref="K1177:K1181"/>
    <mergeCell ref="I1187:I1191"/>
    <mergeCell ref="J1187:J1191"/>
    <mergeCell ref="K1187:K1191"/>
    <mergeCell ref="L1187:L1191"/>
    <mergeCell ref="L1177:L1181"/>
    <mergeCell ref="G1197:G1201"/>
    <mergeCell ref="H1197:H1201"/>
    <mergeCell ref="I1197:I1201"/>
    <mergeCell ref="J1197:J1201"/>
    <mergeCell ref="G1203:G1207"/>
    <mergeCell ref="J1177:J1181"/>
    <mergeCell ref="K1182:K1186"/>
    <mergeCell ref="L1182:L1186"/>
    <mergeCell ref="M1182:M1186"/>
    <mergeCell ref="O1167:O1171"/>
    <mergeCell ref="H1218:H1222"/>
    <mergeCell ref="I1218:I1222"/>
    <mergeCell ref="J1218:J1222"/>
    <mergeCell ref="K1218:K1222"/>
    <mergeCell ref="L1218:L1222"/>
    <mergeCell ref="E1203:E1207"/>
    <mergeCell ref="C1208:C1212"/>
    <mergeCell ref="K1197:K1201"/>
    <mergeCell ref="L1197:L1201"/>
    <mergeCell ref="M1197:M1201"/>
    <mergeCell ref="N1197:N1201"/>
    <mergeCell ref="O1197:O1201"/>
    <mergeCell ref="P1197:P1201"/>
    <mergeCell ref="Q1197:Q1201"/>
    <mergeCell ref="D1208:D1212"/>
    <mergeCell ref="E1208:E1212"/>
    <mergeCell ref="M1208:M1212"/>
    <mergeCell ref="N1208:N1212"/>
    <mergeCell ref="O1208:O1212"/>
    <mergeCell ref="C1203:C1207"/>
    <mergeCell ref="P1208:P1212"/>
    <mergeCell ref="Q1208:Q1212"/>
    <mergeCell ref="F1208:F1212"/>
    <mergeCell ref="G1208:G1212"/>
    <mergeCell ref="H1208:H1212"/>
    <mergeCell ref="M1203:M1207"/>
    <mergeCell ref="N1203:N1207"/>
    <mergeCell ref="O1203:O1207"/>
    <mergeCell ref="P1203:P1207"/>
    <mergeCell ref="Q1203:Q1207"/>
    <mergeCell ref="F1203:F1207"/>
    <mergeCell ref="K1208:K1212"/>
    <mergeCell ref="L1208:L1212"/>
    <mergeCell ref="M1223:M1227"/>
    <mergeCell ref="N1223:N1227"/>
    <mergeCell ref="O1223:O1227"/>
    <mergeCell ref="P1223:P1227"/>
    <mergeCell ref="Q1223:Q1227"/>
    <mergeCell ref="F1223:F1227"/>
    <mergeCell ref="G1223:G1227"/>
    <mergeCell ref="H1223:H1227"/>
    <mergeCell ref="I1223:I1227"/>
    <mergeCell ref="J1223:J1227"/>
    <mergeCell ref="K1223:K1227"/>
    <mergeCell ref="L1223:L1227"/>
    <mergeCell ref="K1213:K1217"/>
    <mergeCell ref="L1213:L1217"/>
    <mergeCell ref="M1213:M1217"/>
    <mergeCell ref="N1213:N1217"/>
    <mergeCell ref="O1213:O1217"/>
    <mergeCell ref="P1213:P1217"/>
    <mergeCell ref="Q1213:Q1217"/>
    <mergeCell ref="F1213:F1217"/>
    <mergeCell ref="G1213:G1217"/>
    <mergeCell ref="H1213:H1217"/>
    <mergeCell ref="I1213:I1217"/>
    <mergeCell ref="M1218:M1222"/>
    <mergeCell ref="N1218:N1222"/>
    <mergeCell ref="O1218:O1222"/>
    <mergeCell ref="P1218:P1222"/>
    <mergeCell ref="Q1218:Q1222"/>
    <mergeCell ref="F1218:F1222"/>
    <mergeCell ref="G1218:G1222"/>
  </mergeCells>
  <dataValidations count="5">
    <dataValidation type="list" allowBlank="1" showErrorMessage="1" sqref="E14 E30 E35 E40 E126 E131 E136 E141 E146 E151 E156 E161 E172 E177 E182 E187 E192 E197 E202 E207 E212 E217 E222 E227 E232 E237 E242 E253 E258 E263 E268 E273 E278 E283 E288 E293 E298 E303 E314 E319 E324 E329 E334 E339 E355 E360 E370 E375 E405 E420 E431 E436 E446 E452 E482 E497 E508 E513 E538 E568 E583 E594 E599 E609 E614 E644 E659 E670 E675 E685 E690 E720 E735 E752 E757 E767 E772 E802 E817 E828 E833 E843 E848 E878 E893 E904 E909 E919 E924 E954 E969 E980 E985 E995 E1000 E1030 E1045 E1056 E1061 E1071 E1076 E1106 E1121 E1132 E1137 E1147 E1152 E1182 E1197 E1208 E1213 E1223 E1228 E1258 E1273">
      <formula1>INDIRECT($D14)</formula1>
    </dataValidation>
    <dataValidation type="list" allowBlank="1" showInputMessage="1" showErrorMessage="1" prompt="Orientación: - Escoja un Lineamiento Estratégico de la lista despegable." sqref="E9 E167 E248 E309 E350 E365 E380 E385 E390 E395 E400 E410 E415 E426 E441 E457 E462 E467 E472 E477 E487 E492 E503 E518 E523 E543 E548 E553 E558 E563 E573 E578 E589 E604 E619 E624 E629 E634 E639 E649 E654 E665 E680 E695 E700 E705 E710 E715 E725 E730 E741 E762 E777 E782 E787 E792 E797 E807 E812 E823 E838 E853 E858 E863 E868 E873 E883 E888 E899 E914 E929 E934 E939 E944 E949 E959 E964 E975 E990 E1005 E1010 E1015 E1020 E1025 E1035 E1040 E1051 E1066 E1081 E1086 E1091 E1096 E1101 E1111 E1116 E1127 E1142 E1157 E1162 E1167 E1172 E1177 E1187 E1192 E1203 E1218 E1233 E1238 E1243 E1248 E1253 E1263 E1268">
      <formula1>INDIRECT($D9)</formula1>
    </dataValidation>
    <dataValidation type="list" allowBlank="1" showInputMessage="1" showErrorMessage="1" prompt="Orientación: - Escoja un Eje Estratégico de la lista despegable." sqref="D9 D167 D248 D309 D350 D365 D380 D385 D390 D395 D400 D410 D415 D426 D441 D457 D462 D467 D472 D477 D487 D492 D503 D518 D523 D543 D548 D553 D558 D563 D573 D578 D589 D604 D619 D624 D629 D634 D639 D649 D654 D665 D680 D695 D700 D705 D710 D715 D725 D730 D741 D762 D777 D782 D787 D792 D797 D807 D812 D823 D838 D853 D858 D863 D868 D873 D883 D888 D899 D914 D929 D934 D939 D944 D949 D959 D964 D975 D990 D1005 D1010 D1015 D1020 D1025 D1035 D1040 D1051 D1066 D1081 D1086 D1091 D1096 D1101 D1111 D1116 D1127 D1142 D1157 D1162 D1167 D1172 D1177 D1187 D1192 D1203 D1218 D1233 D1238 D1243 D1248 D1253 D1263 D1268">
      <formula1>INDIRECT($F9)</formula1>
    </dataValidation>
    <dataValidation type="list" allowBlank="1" showErrorMessage="1" sqref="D14 D30 D35 D40 D126 D131 D136 D141 D146 D151 D156 D161 D172 D177 D182 D187 D192 D197 D202 D207 D212 D217 D222 D227 D232 D237 D242 D253 D258 D263 D268 D273 D278 D283 D288 D293 D298 D303 D314 D319 D324 D329 D334 D339 D344 D355 D360 D370 D375 D405 D420 D431 D436 D446 D452 D482 D497 D508 D513 D538 D568 D583 D594 D599 D609 D614 D644 D659 D670 D675 D685 D690 D720 D735 D752 D757 D767 D772 D802 D817 D828 D833 D843 D848 D878 D893 D904 D909 D919 D924 D954 D969 D980 D985 D995 D1000 D1030 D1045 D1056 D1061 D1071 D1076 D1106 D1121 D1132 D1137 D1147 D1152 D1182 D1197 D1208 D1213 D1223 D1228 D1258 D1273">
      <formula1>INDIRECT($F14)</formula1>
    </dataValidation>
    <dataValidation type="decimal" allowBlank="1" showInputMessage="1" showErrorMessage="1" prompt="DPLAN - Sólo debe ingresar valores, NO porcentajes." sqref="L9:N9 M10:M13 L40:N40 L126:N126 M127:M130 L136:N136 M137:M140 L141:N141 M142:M145 L151:N151 M152:M155 L156:N156 M157:M160 L161:N161 M162:M165 L167:N167 L187:N187 L192:N192 L197:N197 L207:N207 L212:N212 L222:N222 L227:N227 L232:N232 L237:N237 L242:N242 L248:N248 L268:N268 L273:N273 L283:N283 L298:N298 L303:N303 L329:N329 L334:N334 L350:N350 L426:N426 L503:N503 L523:N523 L589:N589 L665:N665 L741:N741 L823:N823 L899:N899 L975:N975 L1051:N1051 L1127:N1127 L1203:N1203">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&amp;"Cambria,Cursiva"&amp;12&amp;K0070C0Facultad de Ciencias Sociales&amp;C&amp;"Century Schoolbook,Normal"&amp;12&amp;K002060&amp;P</oddHeader>
  </headerFooter>
  <drawing r:id="rId2"/>
  <extLst>
    <ext xmlns:x14="http://schemas.microsoft.com/office/spreadsheetml/2009/9/main" uri="{CCE6A557-97BC-4b89-ADB6-D9C93CAAB3DF}">
      <x14:dataValidations xmlns:xm="http://schemas.microsoft.com/office/excel/2006/main" count="9">
        <x14:dataValidation type="list" allowBlank="1" showInputMessage="1" showErrorMessage="1" prompt="Orientación: - Escoja un OEI de la lista despegable.">
          <x14:formula1>
            <xm:f>PEDI!#REF!</xm:f>
          </x14:formula1>
          <xm:sqref>F9 F167 F248 F309 F350 F365 F380 F385 F390 F395 F400 F410 F415 F426 F441 F457 F462 F467 F472 F477 F487 F492 F503 F518 F523 F543 F548 F553 F558 F563 F573 F578 F589 F604 F619 F624 F629 F634 F639 F649 F654 F665 F680 F695 F700 F705 F710 F715 F725 F730 F741 F762 F777 F782 F787 F792 F797 F807 F812 F823 F838 F853 F858 F863 F868 F873 F883 F888 F899 F914 F929 F934 F939 F944 F949 F959 F964 F975 F990 F1005 F1010 F1015 F1020 F1025 F1035 F1040 F1051 F1066 F1081 F1086 F1091 F1096 F1101 F1111 F1116 F1127 F1142 F1157 F1162 F1167 F1172 F1177 F1187 F1192 F1203 F1218 F1233 F1238 F1243 F1248 F1253 F1263 F1268</xm:sqref>
        </x14:dataValidation>
        <x14:dataValidation type="list" allowBlank="1" showInputMessage="1" showErrorMessage="1" prompt="Orientación: - Escoja una Estrategia DAFO de la lista despegable.">
          <x14:formula1>
            <xm:f>INDIRECT('Estrategias DAFO'!#REF!)</xm:f>
          </x14:formula1>
          <xm:sqref>H9 H167 H248 H309 H350 H365 H380 H385 H390 H395 H400 H410 H426 H441 H457 H462 H467 H472 H477 H487 H503 H518 H523 H543 H548 H553 H558 H563 H573 H589 H604 H619 H624 H629 H634 H639 H649 H665 H680 H695 H700 H705 H710 H715 H725 H741 H762 H777 H782 H787 H792 H797 H807 H823 H838 H853 H858 H863 H868 H873 H883 H899 H914 H929 H934 H939 H944 H949 H959 H975 H990 H1005 H1010 H1015 H1020 H1025 H1035 H1051 H1066 H1081 H1086 H1091 H1096 H1101 H1111 H1127 H1142 H1157 H1162 H1167 H1172 H1177 H1187 H1203 H1218 H1233 H1238 H1243 H1248 H1253 H1263</xm:sqref>
        </x14:dataValidation>
        <x14:dataValidation type="list" allowBlank="1" showInputMessage="1" showErrorMessage="1" prompt="Orientación: - Escoja una Política Pública/Meta Nacional de la lista despegable.">
          <x14:formula1>
            <xm:f>PND!#REF!</xm:f>
          </x14:formula1>
          <xm:sqref>C9 C167 C248 C309 C350 C365 C380 C385 C390 C395 C400 C410 C415 C426 C441 C457 C462 C467 C472 C477 C487 C492 C503 C518 C523 C543 C548 C553 C558 C563 C573 C578 C589 C604 C619 C624 C629 C634 C639 C649 C654 C665 C680 C695 C700 C705 C710 C715 C725 C730 C741 C762 C777 C782 C787 C792 C797 C807 C812 C823 C838 C853 C858 C863 C868 C873 C883 C888 C899 C914 C929 C934 C939 C944 C949 C959 C964 C975 C990 C1005 C1010 C1015 C1020 C1025 C1035 C1040 C1051 C1066 C1081 C1086 C1091 C1096 C1101 C1111 C1116 C1127 C1142 C1157 C1162 C1167 C1172 C1177 C1187 C1192 C1203 C1218 C1233 C1238 C1243 C1248 C1253 C1263 C1268</xm:sqref>
        </x14:dataValidation>
        <x14:dataValidation type="list" allowBlank="1" showErrorMessage="1">
          <x14:formula1>
            <xm:f>INDIRECT('Estrategias DAFO'!#REF!)</xm:f>
          </x14:formula1>
          <xm:sqref>H14 H30 H35 H40 H126 H131 H136 H141 H146 H151 H156 H161 H172 H177 H182 H187 H192 H197 H202 H207 H212 H217 H222 H227 H232 H237 H242 H253 H258 H263 H268 H273 H278 H283 H288 H293 H298 H303 H314 H319 H324 H329 H334 H339 H344 H355 H360 H370 H375 H405 H415 H420 H431 H436 H446 H452 H482 H492 H497 H508 H513 H538 H568 H578 H583 H594 H599 H609 H614 H644 H654 H659 H670 H675 H685 H690 H720 H730 H735 H752 H757 H767 H772 H802 H812 H817 H828 H833 H843 H848 H878 H888 H893 H904 H909 H919 H924 H954 H964 H969 H980 H985 H995 H1000 H1030 H1040 H1045 H1056 H1061 H1071 H1076 H1106 H1116 H1121 H1132 H1137 H1147 H1152 H1182 H1192 H1197 H1208 H1213 H1223 H1228 H1258 H1268 H1273</xm:sqref>
        </x14:dataValidation>
        <x14:dataValidation type="list" allowBlank="1" showErrorMessage="1">
          <x14:formula1>
            <xm:f>PND!#REF!</xm:f>
          </x14:formula1>
          <xm:sqref>B14:C14 B30:C30 B35:C35 B40:C40 B126:C126 B131:C131 B136:C136 B141:C141 B146:C146 B151:C151 B156:C156 B161:C161 B172:C172 B177:C177 B182:C182 B187:C187 B192:C192 B197:C197 B202:C202 B207:C207 B212:C212 B217:C217 B222:C222 B227:C227 B232:C232 B237:C237 B242:C242 B253:C253 B258:C258 B263:C263 B268:C268 B273:C273 B278:C278 B283:C283 B288:C288 B293:C293 B298:C298 B303:C303 B314:C314 B319:C319 B324:C324 B329:C329 B334:C334 B339:C339 B344:C344 B355:C355 B360:C360 B370:C370 B375:C375 B405:C405 B420:C420 B431:C431 B436:C436 B446:C446 B452:C452 B482:C482 B497:C497 B508:C508 B513:C513 B538:C538 B568:C568 B583:C583 B594:C594 B599:C599 B609:C609 B614:C614 B644:C644 B659:C659 B670:C670 B675:C675 B685:C685 B690:C690 B720:C720 B735:C735 B752:C752 B757:C757 B767:C767 B772:C772 B802:C802 B817:C817 B828:C828 B833:C833 B843:C843 B848:C848 B878:C878 B893:C893 B904:C904 B909:C909 B919:C919 B924:C924 B954:C954 B969:C969 B980:C980 B985:C985 B995:C995 B1000:C1000 B1030:C1030 B1045:C1045 B1056:C1056 B1061:C1061 B1071:C1071 B1076:C1076 B1106:C1106 B1121:C1121 B1132:C1132 B1137:C1137 B1147:C1147 B1152:C1152 B1182:C1182 B1197:C1197 B1208:C1208 B1213:C1213 B1223:C1223 B1228:C1228 B1258:C1258 B1273:C1273</xm:sqref>
        </x14:dataValidation>
        <x14:dataValidation type="list" allowBlank="1" showErrorMessage="1">
          <x14:formula1>
            <xm:f>(PEDI!#REF!)</xm:f>
          </x14:formula1>
          <xm:sqref>G14 G30 G35 G40 G126 G131 G136 G141 G146 G151 G156 G161 G172 G177 G182 G187 G192 G197 G202 G207 G212 G217 G222 G227 G232 G237 G242 G253 G258 G263 G268 G273 G278 G283 G288 G293 G298 G303 G314 G319 G324 G329 G334 G339 G344 G355 G360 G370 G375 G405 G415 G420 G431 G436 G446 G452 G482 G492 G497 G508 G513 G538 G568 G578 G583 G594 G599 G609 G614 G644 G654 G659 G670 G675 G685 G690 G720 G730 G735 G752 G757 G767 G772 G802 G812 G817 G828 G833 G843 G848 G878 G888 G893 G904 G909 G919 G924 G954 G964 G969 G980 G985 G995 G1000 G1030 G1040 G1045 G1056 G1061 G1071 G1076 G1106 G1116 G1121 G1132 G1137 G1147 G1152 G1182 G1192 G1197 G1208 G1213 G1223 G1228 G1258 G1268 G1273</xm:sqref>
        </x14:dataValidation>
        <x14:dataValidation type="list" allowBlank="1" showInputMessage="1" showErrorMessage="1" prompt="Orientación: - Escoja un Objetivo Nacional de la lista despegable.">
          <x14:formula1>
            <xm:f>PND!#REF!</xm:f>
          </x14:formula1>
          <xm:sqref>B9 B167 B248 B309 B350 B365 B380 B385 B390 B395 B400 B410 B415 B426 B441 B457 B462 B467 B472 B477 B487 B492 B503 B518 B523 B543 B548 B553 B558 B563 B573 B578 B589 B604 B619 B624 B629 B634 B639 B649 B654 B665 B680 B695 B700 B705 B710 B715 B725 B730 B741 B762 B777 B782 B787 B792 B797 B807 B812 B823 B838 B853 B858 B863 B868 B873 B883 B888 B899 B914 B929 B934 B939 B944 B949 B959 B964 B975 B990 B1005 B1010 B1015 B1020 B1025 B1035 B1040 B1051 B1066 B1081 B1086 B1091 B1096 B1101 B1111 B1116 B1127 B1142 B1157 B1162 B1167 B1172 B1177 B1187 B1192 B1203 B1218 B1233 B1238 B1243 B1248 B1253 B1263 B1268</xm:sqref>
        </x14:dataValidation>
        <x14:dataValidation type="list" allowBlank="1" showErrorMessage="1">
          <x14:formula1>
            <xm:f>PEDI!#REF!</xm:f>
          </x14:formula1>
          <xm:sqref>F14 F30 F35 F40 F126 F131 F136 F141 F146 F151 F156 F161 F172 F177 F182 F187 F192 F197 F202 F207 F212 F217 F222 F227 F232 F237 F242 F253 F258 F263 F268 F273 F278 F283 F288 F293 F298 F303 F314 F319 F324 F329 F334 F339 F344 F355 F360 F370 F375 F405 F420 F431 F436 F446 F452 F482 F497 F508 F513 F538 F568 F583 F594 F599 F609 F614 F644 F659 F670 F675 F685 F690 F720 F735 F752 F757 F767 F772 F802 F817 F828 F833 F843 F848 F878 F893 F904 F909 F919 F924 F954 F969 F980 F985 F995 F1000 F1030 F1045 F1056 F1061 F1071 F1076 F1106 F1121 F1132 F1137 F1147 F1152 F1182 F1197 F1208 F1213 F1223 F1228 F1258 F1273</xm:sqref>
        </x14:dataValidation>
        <x14:dataValidation type="list" allowBlank="1" showInputMessage="1" showErrorMessage="1" prompt="Orientación: - Escoja un Producto Institucional de la lista despegable.">
          <x14:formula1>
            <xm:f>(PEDI!#REF!)</xm:f>
          </x14:formula1>
          <xm:sqref>G9 G167 G248 G309 G350 G365 G380 G385 G390 G395 G400 G410 G426 G441 G457 G462 G467 G472 G477 G487 G503 G518 G523 G543 G548 G553 G558 G563 G573 G589 G604 G619 G624 G629 G634 G639 G649 G665 G680 G695 G700 G705 G710 G715 G725 G741 G762 G777 G782 G787 G792 G797 G807 G823 G838 G853 G858 G863 G868 G873 G883 G899 G914 G929 G934 G939 G944 G949 G959 G975 G990 G1005 G1010 G1015 G1020 G1025 G1035 G1051 G1066 G1081 G1086 G1091 G1096 G1101 G1111 G1127 G1142 G1157 G1162 G1167 G1172 G1177 G1187 G1203 G1218 G1233 G1238 G1243 G1248 G1253 G1263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455"/>
  <sheetViews>
    <sheetView showGridLines="0" topLeftCell="S420" workbookViewId="0">
      <selection activeCell="AB426" sqref="AB426"/>
    </sheetView>
  </sheetViews>
  <sheetFormatPr baseColWidth="10" defaultColWidth="12.5703125" defaultRowHeight="15.75" customHeight="1"/>
  <cols>
    <col min="1" max="2" width="4.85546875" customWidth="1"/>
    <col min="3" max="11" width="22.42578125" customWidth="1"/>
    <col min="12" max="12" width="26.140625" customWidth="1"/>
    <col min="13" max="15" width="8.7109375" customWidth="1"/>
    <col min="16" max="17" width="22.42578125" customWidth="1"/>
    <col min="18" max="18" width="24.28515625" customWidth="1"/>
    <col min="19" max="19" width="33.140625" customWidth="1"/>
    <col min="20" max="20" width="15.140625" customWidth="1"/>
    <col min="21" max="21" width="35.140625" customWidth="1"/>
    <col min="22" max="22" width="43.5703125" customWidth="1"/>
    <col min="23" max="23" width="25.42578125" customWidth="1"/>
    <col min="24" max="25" width="12" customWidth="1"/>
    <col min="26" max="26" width="15.28515625" customWidth="1"/>
    <col min="27" max="27" width="12" customWidth="1"/>
    <col min="28" max="28" width="17" customWidth="1"/>
    <col min="29" max="31" width="7.7109375" customWidth="1"/>
    <col min="32" max="32" width="19.7109375" customWidth="1"/>
  </cols>
  <sheetData>
    <row r="1" spans="1:32" ht="39.75"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150"/>
      <c r="V2" s="4253"/>
      <c r="W2" s="4253"/>
      <c r="X2" s="4253"/>
      <c r="Y2" s="4253"/>
      <c r="Z2" s="4253"/>
      <c r="AA2" s="4253"/>
      <c r="AB2" s="4253"/>
      <c r="AC2" s="4253"/>
      <c r="AD2" s="4253"/>
      <c r="AE2" s="4253"/>
      <c r="AF2" s="4253"/>
    </row>
    <row r="3" spans="1:32" ht="30.75">
      <c r="A3" s="4254" t="s">
        <v>3323</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71"/>
      <c r="B5" s="71"/>
      <c r="C5" s="71"/>
      <c r="D5" s="71"/>
      <c r="E5" s="71"/>
      <c r="F5" s="71"/>
      <c r="G5" s="71"/>
      <c r="H5" s="71"/>
      <c r="I5" s="71"/>
      <c r="J5" s="1365"/>
      <c r="K5" s="1365"/>
      <c r="L5" s="1365"/>
      <c r="M5" s="1366"/>
      <c r="N5" s="1366"/>
      <c r="O5" s="1366"/>
      <c r="P5" s="1365"/>
      <c r="Q5" s="1365"/>
      <c r="R5" s="1365"/>
      <c r="S5" s="71"/>
      <c r="T5" s="71"/>
      <c r="U5" s="71"/>
      <c r="V5" s="71"/>
      <c r="W5" s="71"/>
      <c r="X5" s="71"/>
      <c r="Y5" s="71"/>
      <c r="Z5" s="71"/>
      <c r="AA5" s="71"/>
      <c r="AB5" s="71"/>
      <c r="AC5" s="71"/>
      <c r="AD5" s="71"/>
      <c r="AE5" s="71"/>
      <c r="AF5" s="71"/>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22.5" customHeight="1">
      <c r="A9" s="4669" t="s">
        <v>3323</v>
      </c>
      <c r="B9" s="4668" t="s">
        <v>1476</v>
      </c>
      <c r="C9" s="5723" t="s">
        <v>235</v>
      </c>
      <c r="D9" s="5575" t="s">
        <v>236</v>
      </c>
      <c r="E9" s="5575" t="s">
        <v>237</v>
      </c>
      <c r="F9" s="5575" t="s">
        <v>326</v>
      </c>
      <c r="G9" s="5580" t="s">
        <v>239</v>
      </c>
      <c r="H9" s="5575" t="s">
        <v>240</v>
      </c>
      <c r="I9" s="5575" t="s">
        <v>257</v>
      </c>
      <c r="J9" s="5581" t="s">
        <v>3324</v>
      </c>
      <c r="K9" s="5575" t="s">
        <v>2430</v>
      </c>
      <c r="L9" s="5575" t="s">
        <v>3325</v>
      </c>
      <c r="M9" s="5607">
        <v>1</v>
      </c>
      <c r="N9" s="5607">
        <v>0</v>
      </c>
      <c r="O9" s="5607">
        <v>1</v>
      </c>
      <c r="P9" s="5575" t="s">
        <v>3326</v>
      </c>
      <c r="Q9" s="5575" t="s">
        <v>2433</v>
      </c>
      <c r="R9" s="5581" t="s">
        <v>3327</v>
      </c>
      <c r="S9" s="1367"/>
      <c r="T9" s="1368"/>
      <c r="U9" s="1368"/>
      <c r="V9" s="1369"/>
      <c r="W9" s="1370"/>
      <c r="X9" s="1371"/>
      <c r="Y9" s="1372"/>
      <c r="Z9" s="1372"/>
      <c r="AA9" s="1372"/>
      <c r="AB9" s="1373"/>
      <c r="AC9" s="1371"/>
      <c r="AD9" s="1374"/>
      <c r="AE9" s="1374"/>
      <c r="AF9" s="5687"/>
    </row>
    <row r="10" spans="1:32" ht="22.5" customHeight="1">
      <c r="A10" s="4564"/>
      <c r="B10" s="4623"/>
      <c r="C10" s="5584"/>
      <c r="D10" s="4629"/>
      <c r="E10" s="4629"/>
      <c r="F10" s="4629"/>
      <c r="G10" s="4629"/>
      <c r="H10" s="4629"/>
      <c r="I10" s="4629"/>
      <c r="J10" s="5531"/>
      <c r="K10" s="4629"/>
      <c r="L10" s="4629"/>
      <c r="M10" s="4629"/>
      <c r="N10" s="4629"/>
      <c r="O10" s="4629"/>
      <c r="P10" s="4629"/>
      <c r="Q10" s="4629"/>
      <c r="R10" s="5531"/>
      <c r="S10" s="1375"/>
      <c r="T10" s="1376"/>
      <c r="U10" s="1376"/>
      <c r="V10" s="1388"/>
      <c r="W10" s="1394"/>
      <c r="X10" s="1395"/>
      <c r="Y10" s="1377"/>
      <c r="Z10" s="1377"/>
      <c r="AA10" s="1377"/>
      <c r="AB10" s="1378"/>
      <c r="AC10" s="1395"/>
      <c r="AD10" s="449"/>
      <c r="AE10" s="449"/>
      <c r="AF10" s="5688"/>
    </row>
    <row r="11" spans="1:32" ht="22.5" customHeight="1">
      <c r="A11" s="4564"/>
      <c r="B11" s="4623"/>
      <c r="C11" s="5584"/>
      <c r="D11" s="4629"/>
      <c r="E11" s="4629"/>
      <c r="F11" s="4629"/>
      <c r="G11" s="4629"/>
      <c r="H11" s="4629"/>
      <c r="I11" s="4629"/>
      <c r="J11" s="5531"/>
      <c r="K11" s="4629"/>
      <c r="L11" s="4629"/>
      <c r="M11" s="4629"/>
      <c r="N11" s="4629"/>
      <c r="O11" s="4629"/>
      <c r="P11" s="4629"/>
      <c r="Q11" s="4629"/>
      <c r="R11" s="5531"/>
      <c r="S11" s="1375"/>
      <c r="T11" s="1376"/>
      <c r="U11" s="1376"/>
      <c r="V11" s="1388"/>
      <c r="W11" s="1394"/>
      <c r="X11" s="1395"/>
      <c r="Y11" s="1377"/>
      <c r="Z11" s="1377"/>
      <c r="AA11" s="1377"/>
      <c r="AB11" s="1378"/>
      <c r="AC11" s="1395"/>
      <c r="AD11" s="449"/>
      <c r="AE11" s="449"/>
      <c r="AF11" s="5688"/>
    </row>
    <row r="12" spans="1:32" ht="22.5" customHeight="1">
      <c r="A12" s="4564"/>
      <c r="B12" s="4623"/>
      <c r="C12" s="5584"/>
      <c r="D12" s="4629"/>
      <c r="E12" s="4629"/>
      <c r="F12" s="4629"/>
      <c r="G12" s="4629"/>
      <c r="H12" s="4629"/>
      <c r="I12" s="4629"/>
      <c r="J12" s="5531"/>
      <c r="K12" s="4629"/>
      <c r="L12" s="4629"/>
      <c r="M12" s="4629"/>
      <c r="N12" s="4629"/>
      <c r="O12" s="4629"/>
      <c r="P12" s="4629"/>
      <c r="Q12" s="4629"/>
      <c r="R12" s="5531"/>
      <c r="S12" s="1379"/>
      <c r="T12" s="1380"/>
      <c r="U12" s="1380"/>
      <c r="V12" s="1388"/>
      <c r="W12" s="1394"/>
      <c r="X12" s="1395"/>
      <c r="Y12" s="1377"/>
      <c r="Z12" s="1377"/>
      <c r="AA12" s="1377"/>
      <c r="AB12" s="1378"/>
      <c r="AC12" s="1395"/>
      <c r="AD12" s="449"/>
      <c r="AE12" s="449"/>
      <c r="AF12" s="5688"/>
    </row>
    <row r="13" spans="1:32" ht="22.5" customHeight="1">
      <c r="A13" s="4564"/>
      <c r="B13" s="4623"/>
      <c r="C13" s="5585"/>
      <c r="D13" s="4630"/>
      <c r="E13" s="4630"/>
      <c r="F13" s="4630"/>
      <c r="G13" s="4630"/>
      <c r="H13" s="4630"/>
      <c r="I13" s="4630"/>
      <c r="J13" s="5532"/>
      <c r="K13" s="4630"/>
      <c r="L13" s="4630"/>
      <c r="M13" s="4630"/>
      <c r="N13" s="4630"/>
      <c r="O13" s="4630"/>
      <c r="P13" s="4630"/>
      <c r="Q13" s="4630"/>
      <c r="R13" s="5532"/>
      <c r="S13" s="1381"/>
      <c r="T13" s="1382"/>
      <c r="U13" s="1382"/>
      <c r="V13" s="450"/>
      <c r="W13" s="1383"/>
      <c r="X13" s="448"/>
      <c r="Y13" s="1384"/>
      <c r="Z13" s="1384"/>
      <c r="AA13" s="1384"/>
      <c r="AB13" s="1385"/>
      <c r="AC13" s="448"/>
      <c r="AD13" s="451"/>
      <c r="AE13" s="451"/>
      <c r="AF13" s="5689"/>
    </row>
    <row r="14" spans="1:32" ht="22.5" customHeight="1">
      <c r="A14" s="4564"/>
      <c r="B14" s="4623"/>
      <c r="C14" s="5715" t="s">
        <v>235</v>
      </c>
      <c r="D14" s="5566" t="s">
        <v>236</v>
      </c>
      <c r="E14" s="5566" t="s">
        <v>237</v>
      </c>
      <c r="F14" s="5566" t="s">
        <v>326</v>
      </c>
      <c r="G14" s="5567" t="s">
        <v>239</v>
      </c>
      <c r="H14" s="5566" t="s">
        <v>240</v>
      </c>
      <c r="I14" s="5566" t="s">
        <v>257</v>
      </c>
      <c r="J14" s="5566" t="s">
        <v>3328</v>
      </c>
      <c r="K14" s="5566" t="s">
        <v>1482</v>
      </c>
      <c r="L14" s="5566" t="s">
        <v>2473</v>
      </c>
      <c r="M14" s="4662">
        <v>0</v>
      </c>
      <c r="N14" s="4662">
        <v>0</v>
      </c>
      <c r="O14" s="4662">
        <v>3</v>
      </c>
      <c r="P14" s="5566" t="s">
        <v>2474</v>
      </c>
      <c r="Q14" s="5566" t="s">
        <v>2475</v>
      </c>
      <c r="R14" s="5681" t="s">
        <v>3327</v>
      </c>
      <c r="S14" s="1386"/>
      <c r="T14" s="2137"/>
      <c r="U14" s="2137"/>
      <c r="V14" s="2138"/>
      <c r="W14" s="2139"/>
      <c r="X14" s="1921"/>
      <c r="Y14" s="2140"/>
      <c r="Z14" s="2140"/>
      <c r="AA14" s="2140"/>
      <c r="AB14" s="2141"/>
      <c r="AC14" s="1921"/>
      <c r="AD14" s="2142"/>
      <c r="AE14" s="2142"/>
      <c r="AF14" s="5684"/>
    </row>
    <row r="15" spans="1:32" ht="22.5" customHeight="1">
      <c r="A15" s="4564"/>
      <c r="B15" s="4623"/>
      <c r="C15" s="5584"/>
      <c r="D15" s="4629"/>
      <c r="E15" s="4629"/>
      <c r="F15" s="4629"/>
      <c r="G15" s="4629"/>
      <c r="H15" s="4629"/>
      <c r="I15" s="4629"/>
      <c r="J15" s="4629"/>
      <c r="K15" s="4629"/>
      <c r="L15" s="4629"/>
      <c r="M15" s="4629"/>
      <c r="N15" s="4629"/>
      <c r="O15" s="4629"/>
      <c r="P15" s="4629"/>
      <c r="Q15" s="4629"/>
      <c r="R15" s="5531"/>
      <c r="S15" s="1375"/>
      <c r="T15" s="1376"/>
      <c r="U15" s="1376"/>
      <c r="V15" s="1388"/>
      <c r="W15" s="1394"/>
      <c r="X15" s="1395"/>
      <c r="Y15" s="1377"/>
      <c r="Z15" s="1377"/>
      <c r="AA15" s="1377"/>
      <c r="AB15" s="1378"/>
      <c r="AC15" s="1395"/>
      <c r="AD15" s="449"/>
      <c r="AE15" s="449"/>
      <c r="AF15" s="4717"/>
    </row>
    <row r="16" spans="1:32" ht="22.5" customHeight="1">
      <c r="A16" s="4564"/>
      <c r="B16" s="4623"/>
      <c r="C16" s="5584"/>
      <c r="D16" s="4629"/>
      <c r="E16" s="4629"/>
      <c r="F16" s="4629"/>
      <c r="G16" s="4629"/>
      <c r="H16" s="4629"/>
      <c r="I16" s="4629"/>
      <c r="J16" s="4629"/>
      <c r="K16" s="4629"/>
      <c r="L16" s="4629"/>
      <c r="M16" s="4629"/>
      <c r="N16" s="4629"/>
      <c r="O16" s="4629"/>
      <c r="P16" s="4629"/>
      <c r="Q16" s="4629"/>
      <c r="R16" s="5531"/>
      <c r="S16" s="1375"/>
      <c r="T16" s="1376"/>
      <c r="U16" s="1376"/>
      <c r="V16" s="1388"/>
      <c r="W16" s="1394"/>
      <c r="X16" s="1395"/>
      <c r="Y16" s="1377"/>
      <c r="Z16" s="1377"/>
      <c r="AA16" s="1377"/>
      <c r="AB16" s="1378"/>
      <c r="AC16" s="1395"/>
      <c r="AD16" s="449"/>
      <c r="AE16" s="449"/>
      <c r="AF16" s="4717"/>
    </row>
    <row r="17" spans="1:32" ht="22.5" customHeight="1">
      <c r="A17" s="4564"/>
      <c r="B17" s="4623"/>
      <c r="C17" s="5584"/>
      <c r="D17" s="4629"/>
      <c r="E17" s="4629"/>
      <c r="F17" s="4629"/>
      <c r="G17" s="4629"/>
      <c r="H17" s="4629"/>
      <c r="I17" s="4629"/>
      <c r="J17" s="4629"/>
      <c r="K17" s="4629"/>
      <c r="L17" s="4629"/>
      <c r="M17" s="4629"/>
      <c r="N17" s="4629"/>
      <c r="O17" s="4629"/>
      <c r="P17" s="4629"/>
      <c r="Q17" s="4629"/>
      <c r="R17" s="5531"/>
      <c r="S17" s="1379"/>
      <c r="T17" s="1380"/>
      <c r="U17" s="1380"/>
      <c r="V17" s="1388"/>
      <c r="W17" s="1394"/>
      <c r="X17" s="1395"/>
      <c r="Y17" s="1377"/>
      <c r="Z17" s="1377"/>
      <c r="AA17" s="1377"/>
      <c r="AB17" s="1378"/>
      <c r="AC17" s="1395"/>
      <c r="AD17" s="449"/>
      <c r="AE17" s="449"/>
      <c r="AF17" s="4717"/>
    </row>
    <row r="18" spans="1:32" ht="22.5" customHeight="1">
      <c r="A18" s="4564"/>
      <c r="B18" s="4623"/>
      <c r="C18" s="5585"/>
      <c r="D18" s="4630"/>
      <c r="E18" s="4630"/>
      <c r="F18" s="4630"/>
      <c r="G18" s="4630"/>
      <c r="H18" s="4630"/>
      <c r="I18" s="4630"/>
      <c r="J18" s="4630"/>
      <c r="K18" s="4630"/>
      <c r="L18" s="4630"/>
      <c r="M18" s="4630"/>
      <c r="N18" s="4630"/>
      <c r="O18" s="4630"/>
      <c r="P18" s="4630"/>
      <c r="Q18" s="4630"/>
      <c r="R18" s="5532"/>
      <c r="S18" s="1381"/>
      <c r="T18" s="1382"/>
      <c r="U18" s="1382"/>
      <c r="V18" s="450"/>
      <c r="W18" s="1383"/>
      <c r="X18" s="448"/>
      <c r="Y18" s="1384"/>
      <c r="Z18" s="1384"/>
      <c r="AA18" s="1384"/>
      <c r="AB18" s="1385"/>
      <c r="AC18" s="448"/>
      <c r="AD18" s="451"/>
      <c r="AE18" s="451"/>
      <c r="AF18" s="4718"/>
    </row>
    <row r="19" spans="1:32" ht="30" customHeight="1">
      <c r="A19" s="4564"/>
      <c r="B19" s="4623"/>
      <c r="C19" s="5715" t="s">
        <v>272</v>
      </c>
      <c r="D19" s="5566" t="s">
        <v>302</v>
      </c>
      <c r="E19" s="5566" t="s">
        <v>388</v>
      </c>
      <c r="F19" s="5566" t="s">
        <v>944</v>
      </c>
      <c r="G19" s="5567" t="s">
        <v>305</v>
      </c>
      <c r="H19" s="5566" t="s">
        <v>240</v>
      </c>
      <c r="I19" s="5566" t="s">
        <v>241</v>
      </c>
      <c r="J19" s="5566" t="s">
        <v>3329</v>
      </c>
      <c r="K19" s="5566" t="s">
        <v>1502</v>
      </c>
      <c r="L19" s="5566" t="s">
        <v>3330</v>
      </c>
      <c r="M19" s="4662">
        <v>1</v>
      </c>
      <c r="N19" s="4662">
        <v>0</v>
      </c>
      <c r="O19" s="4662">
        <v>1</v>
      </c>
      <c r="P19" s="5714" t="s">
        <v>3331</v>
      </c>
      <c r="Q19" s="5566" t="s">
        <v>3332</v>
      </c>
      <c r="R19" s="5681" t="s">
        <v>3333</v>
      </c>
      <c r="S19" s="1386"/>
      <c r="T19" s="2137"/>
      <c r="U19" s="2137"/>
      <c r="V19" s="2138"/>
      <c r="W19" s="2139"/>
      <c r="X19" s="1921"/>
      <c r="Y19" s="2140"/>
      <c r="Z19" s="2140"/>
      <c r="AA19" s="2140"/>
      <c r="AB19" s="2141"/>
      <c r="AC19" s="1921"/>
      <c r="AD19" s="2142"/>
      <c r="AE19" s="2142"/>
      <c r="AF19" s="5684"/>
    </row>
    <row r="20" spans="1:32" ht="30" customHeight="1">
      <c r="A20" s="4564"/>
      <c r="B20" s="4623"/>
      <c r="C20" s="5584"/>
      <c r="D20" s="4629"/>
      <c r="E20" s="4629"/>
      <c r="F20" s="4629"/>
      <c r="G20" s="4629"/>
      <c r="H20" s="4629"/>
      <c r="I20" s="4629"/>
      <c r="J20" s="4629"/>
      <c r="K20" s="4629"/>
      <c r="L20" s="4629"/>
      <c r="M20" s="4629"/>
      <c r="N20" s="4629"/>
      <c r="O20" s="4629"/>
      <c r="P20" s="4629"/>
      <c r="Q20" s="4629"/>
      <c r="R20" s="5531"/>
      <c r="S20" s="1375"/>
      <c r="T20" s="1376"/>
      <c r="U20" s="1376"/>
      <c r="V20" s="1388"/>
      <c r="W20" s="1394"/>
      <c r="X20" s="1395"/>
      <c r="Y20" s="1377"/>
      <c r="Z20" s="1377"/>
      <c r="AA20" s="1377"/>
      <c r="AB20" s="1378"/>
      <c r="AC20" s="1395"/>
      <c r="AD20" s="449"/>
      <c r="AE20" s="449"/>
      <c r="AF20" s="4717"/>
    </row>
    <row r="21" spans="1:32" ht="30" customHeight="1">
      <c r="A21" s="4564"/>
      <c r="B21" s="4623"/>
      <c r="C21" s="5584"/>
      <c r="D21" s="4629"/>
      <c r="E21" s="4629"/>
      <c r="F21" s="4629"/>
      <c r="G21" s="4629"/>
      <c r="H21" s="4629"/>
      <c r="I21" s="4629"/>
      <c r="J21" s="4629"/>
      <c r="K21" s="4629"/>
      <c r="L21" s="4629"/>
      <c r="M21" s="4629"/>
      <c r="N21" s="4629"/>
      <c r="O21" s="4629"/>
      <c r="P21" s="4629"/>
      <c r="Q21" s="4629"/>
      <c r="R21" s="5531"/>
      <c r="S21" s="1375"/>
      <c r="T21" s="1376"/>
      <c r="U21" s="1376"/>
      <c r="V21" s="1388"/>
      <c r="W21" s="1394"/>
      <c r="X21" s="1395"/>
      <c r="Y21" s="1377"/>
      <c r="Z21" s="1377"/>
      <c r="AA21" s="1377"/>
      <c r="AB21" s="1378"/>
      <c r="AC21" s="1395"/>
      <c r="AD21" s="449"/>
      <c r="AE21" s="449"/>
      <c r="AF21" s="4717"/>
    </row>
    <row r="22" spans="1:32" ht="30" customHeight="1">
      <c r="A22" s="4564"/>
      <c r="B22" s="4623"/>
      <c r="C22" s="5584"/>
      <c r="D22" s="4629"/>
      <c r="E22" s="4629"/>
      <c r="F22" s="4629"/>
      <c r="G22" s="4629"/>
      <c r="H22" s="4629"/>
      <c r="I22" s="4629"/>
      <c r="J22" s="4629"/>
      <c r="K22" s="4629"/>
      <c r="L22" s="4629"/>
      <c r="M22" s="4629"/>
      <c r="N22" s="4629"/>
      <c r="O22" s="4629"/>
      <c r="P22" s="4629"/>
      <c r="Q22" s="4629"/>
      <c r="R22" s="5531"/>
      <c r="S22" s="1379"/>
      <c r="T22" s="1380"/>
      <c r="U22" s="1380"/>
      <c r="V22" s="1388"/>
      <c r="W22" s="1394"/>
      <c r="X22" s="1395"/>
      <c r="Y22" s="1377"/>
      <c r="Z22" s="1377"/>
      <c r="AA22" s="1377"/>
      <c r="AB22" s="1378"/>
      <c r="AC22" s="1395"/>
      <c r="AD22" s="449"/>
      <c r="AE22" s="449"/>
      <c r="AF22" s="4717"/>
    </row>
    <row r="23" spans="1:32" ht="30" customHeight="1">
      <c r="A23" s="4564"/>
      <c r="B23" s="4623"/>
      <c r="C23" s="5585"/>
      <c r="D23" s="4630"/>
      <c r="E23" s="4630"/>
      <c r="F23" s="4630"/>
      <c r="G23" s="4630"/>
      <c r="H23" s="4630"/>
      <c r="I23" s="4630"/>
      <c r="J23" s="4630"/>
      <c r="K23" s="4630"/>
      <c r="L23" s="4630"/>
      <c r="M23" s="4630"/>
      <c r="N23" s="4630"/>
      <c r="O23" s="4630"/>
      <c r="P23" s="4630"/>
      <c r="Q23" s="4630"/>
      <c r="R23" s="5532"/>
      <c r="S23" s="1381"/>
      <c r="T23" s="1382"/>
      <c r="U23" s="1382"/>
      <c r="V23" s="450"/>
      <c r="W23" s="1383"/>
      <c r="X23" s="448"/>
      <c r="Y23" s="1384"/>
      <c r="Z23" s="1384"/>
      <c r="AA23" s="1384"/>
      <c r="AB23" s="1385"/>
      <c r="AC23" s="448"/>
      <c r="AD23" s="451"/>
      <c r="AE23" s="451"/>
      <c r="AF23" s="4718"/>
    </row>
    <row r="24" spans="1:32" ht="24" customHeight="1">
      <c r="A24" s="4564"/>
      <c r="B24" s="4623"/>
      <c r="C24" s="5715" t="s">
        <v>235</v>
      </c>
      <c r="D24" s="5566" t="s">
        <v>236</v>
      </c>
      <c r="E24" s="5566" t="s">
        <v>244</v>
      </c>
      <c r="F24" s="5566" t="s">
        <v>309</v>
      </c>
      <c r="G24" s="5567" t="s">
        <v>239</v>
      </c>
      <c r="H24" s="5566" t="s">
        <v>240</v>
      </c>
      <c r="I24" s="5566" t="s">
        <v>257</v>
      </c>
      <c r="J24" s="5566" t="s">
        <v>3334</v>
      </c>
      <c r="K24" s="5566" t="s">
        <v>1507</v>
      </c>
      <c r="L24" s="5566" t="s">
        <v>3335</v>
      </c>
      <c r="M24" s="4662">
        <v>0</v>
      </c>
      <c r="N24" s="4662">
        <v>0</v>
      </c>
      <c r="O24" s="4662">
        <v>1</v>
      </c>
      <c r="P24" s="5566" t="s">
        <v>3336</v>
      </c>
      <c r="Q24" s="5566" t="s">
        <v>3337</v>
      </c>
      <c r="R24" s="5681" t="s">
        <v>3327</v>
      </c>
      <c r="S24" s="1386"/>
      <c r="T24" s="2137"/>
      <c r="U24" s="2137"/>
      <c r="V24" s="2138"/>
      <c r="W24" s="2139"/>
      <c r="X24" s="1921"/>
      <c r="Y24" s="2140"/>
      <c r="Z24" s="2140"/>
      <c r="AA24" s="2140"/>
      <c r="AB24" s="2141"/>
      <c r="AC24" s="1921"/>
      <c r="AD24" s="2142"/>
      <c r="AE24" s="2142"/>
      <c r="AF24" s="5684"/>
    </row>
    <row r="25" spans="1:32" ht="24" customHeight="1">
      <c r="A25" s="4564"/>
      <c r="B25" s="4623"/>
      <c r="C25" s="5584"/>
      <c r="D25" s="4629"/>
      <c r="E25" s="4629"/>
      <c r="F25" s="4629"/>
      <c r="G25" s="4629"/>
      <c r="H25" s="4629"/>
      <c r="I25" s="4629"/>
      <c r="J25" s="4629"/>
      <c r="K25" s="4629"/>
      <c r="L25" s="4629"/>
      <c r="M25" s="4629"/>
      <c r="N25" s="4629"/>
      <c r="O25" s="4629"/>
      <c r="P25" s="4629"/>
      <c r="Q25" s="4629"/>
      <c r="R25" s="5531"/>
      <c r="S25" s="1375"/>
      <c r="T25" s="1376"/>
      <c r="U25" s="1376"/>
      <c r="V25" s="1388"/>
      <c r="W25" s="1394"/>
      <c r="X25" s="1395"/>
      <c r="Y25" s="1377"/>
      <c r="Z25" s="1377"/>
      <c r="AA25" s="1377"/>
      <c r="AB25" s="1378"/>
      <c r="AC25" s="1395"/>
      <c r="AD25" s="449"/>
      <c r="AE25" s="449"/>
      <c r="AF25" s="4717"/>
    </row>
    <row r="26" spans="1:32" ht="24" customHeight="1">
      <c r="A26" s="4564"/>
      <c r="B26" s="4623"/>
      <c r="C26" s="5584"/>
      <c r="D26" s="4629"/>
      <c r="E26" s="4629"/>
      <c r="F26" s="4629"/>
      <c r="G26" s="4629"/>
      <c r="H26" s="4629"/>
      <c r="I26" s="4629"/>
      <c r="J26" s="4629"/>
      <c r="K26" s="4629"/>
      <c r="L26" s="4629"/>
      <c r="M26" s="4629"/>
      <c r="N26" s="4629"/>
      <c r="O26" s="4629"/>
      <c r="P26" s="4629"/>
      <c r="Q26" s="4629"/>
      <c r="R26" s="5531"/>
      <c r="S26" s="1375"/>
      <c r="T26" s="1376"/>
      <c r="U26" s="1376"/>
      <c r="V26" s="1388"/>
      <c r="W26" s="1394"/>
      <c r="X26" s="1395"/>
      <c r="Y26" s="1377"/>
      <c r="Z26" s="1377"/>
      <c r="AA26" s="1377"/>
      <c r="AB26" s="1378"/>
      <c r="AC26" s="1395"/>
      <c r="AD26" s="449"/>
      <c r="AE26" s="449"/>
      <c r="AF26" s="4717"/>
    </row>
    <row r="27" spans="1:32" ht="24" customHeight="1">
      <c r="A27" s="4564"/>
      <c r="B27" s="4623"/>
      <c r="C27" s="5584"/>
      <c r="D27" s="4629"/>
      <c r="E27" s="4629"/>
      <c r="F27" s="4629"/>
      <c r="G27" s="4629"/>
      <c r="H27" s="4629"/>
      <c r="I27" s="4629"/>
      <c r="J27" s="4629"/>
      <c r="K27" s="4629"/>
      <c r="L27" s="4629"/>
      <c r="M27" s="4629"/>
      <c r="N27" s="4629"/>
      <c r="O27" s="4629"/>
      <c r="P27" s="4629"/>
      <c r="Q27" s="4629"/>
      <c r="R27" s="5531"/>
      <c r="S27" s="1379"/>
      <c r="T27" s="1380"/>
      <c r="U27" s="1380"/>
      <c r="V27" s="1388"/>
      <c r="W27" s="1394"/>
      <c r="X27" s="1395"/>
      <c r="Y27" s="1377"/>
      <c r="Z27" s="1377"/>
      <c r="AA27" s="1377"/>
      <c r="AB27" s="1378"/>
      <c r="AC27" s="1395"/>
      <c r="AD27" s="449"/>
      <c r="AE27" s="449"/>
      <c r="AF27" s="4717"/>
    </row>
    <row r="28" spans="1:32" ht="24" customHeight="1">
      <c r="A28" s="4564"/>
      <c r="B28" s="4623"/>
      <c r="C28" s="5585"/>
      <c r="D28" s="4630"/>
      <c r="E28" s="4630"/>
      <c r="F28" s="4630"/>
      <c r="G28" s="4630"/>
      <c r="H28" s="4630"/>
      <c r="I28" s="4630"/>
      <c r="J28" s="4630"/>
      <c r="K28" s="4630"/>
      <c r="L28" s="4630"/>
      <c r="M28" s="4630"/>
      <c r="N28" s="4630"/>
      <c r="O28" s="4630"/>
      <c r="P28" s="4630"/>
      <c r="Q28" s="4630"/>
      <c r="R28" s="5532"/>
      <c r="S28" s="1381"/>
      <c r="T28" s="1382"/>
      <c r="U28" s="1382"/>
      <c r="V28" s="450"/>
      <c r="W28" s="1383"/>
      <c r="X28" s="448"/>
      <c r="Y28" s="1384"/>
      <c r="Z28" s="1384"/>
      <c r="AA28" s="1384"/>
      <c r="AB28" s="1385"/>
      <c r="AC28" s="448"/>
      <c r="AD28" s="451"/>
      <c r="AE28" s="451"/>
      <c r="AF28" s="4718"/>
    </row>
    <row r="29" spans="1:32" ht="30.75" customHeight="1">
      <c r="A29" s="4564"/>
      <c r="B29" s="4623"/>
      <c r="C29" s="5716" t="s">
        <v>272</v>
      </c>
      <c r="D29" s="5651" t="s">
        <v>302</v>
      </c>
      <c r="E29" s="5651" t="s">
        <v>303</v>
      </c>
      <c r="F29" s="5651" t="s">
        <v>318</v>
      </c>
      <c r="G29" s="5664" t="s">
        <v>305</v>
      </c>
      <c r="H29" s="5651" t="s">
        <v>262</v>
      </c>
      <c r="I29" s="5651" t="s">
        <v>257</v>
      </c>
      <c r="J29" s="5651" t="s">
        <v>3338</v>
      </c>
      <c r="K29" s="5651" t="s">
        <v>1512</v>
      </c>
      <c r="L29" s="5651" t="s">
        <v>3339</v>
      </c>
      <c r="M29" s="5654">
        <v>0</v>
      </c>
      <c r="N29" s="5654">
        <v>0</v>
      </c>
      <c r="O29" s="5654">
        <v>3</v>
      </c>
      <c r="P29" s="5651" t="s">
        <v>2450</v>
      </c>
      <c r="Q29" s="5651" t="s">
        <v>2451</v>
      </c>
      <c r="R29" s="5659" t="s">
        <v>3327</v>
      </c>
      <c r="S29" s="1387" t="s">
        <v>17</v>
      </c>
      <c r="T29" s="2143">
        <v>530204</v>
      </c>
      <c r="U29" s="2139"/>
      <c r="V29" s="2138" t="s">
        <v>162</v>
      </c>
      <c r="W29" s="2140"/>
      <c r="X29" s="1922"/>
      <c r="Y29" s="2140"/>
      <c r="Z29" s="2144"/>
      <c r="AA29" s="2140"/>
      <c r="AB29" s="2141">
        <f>SUM(AA30:AA32)</f>
        <v>1120</v>
      </c>
      <c r="AC29" s="1921"/>
      <c r="AD29" s="2145"/>
      <c r="AE29" s="2146"/>
      <c r="AF29" s="5684" t="s">
        <v>3340</v>
      </c>
    </row>
    <row r="30" spans="1:32" ht="22.5" customHeight="1">
      <c r="A30" s="4564"/>
      <c r="B30" s="4623"/>
      <c r="C30" s="5717"/>
      <c r="D30" s="5652"/>
      <c r="E30" s="5652"/>
      <c r="F30" s="5652"/>
      <c r="G30" s="5652"/>
      <c r="H30" s="5652"/>
      <c r="I30" s="5652"/>
      <c r="J30" s="5652"/>
      <c r="K30" s="5652"/>
      <c r="L30" s="5652"/>
      <c r="M30" s="5652"/>
      <c r="N30" s="5652"/>
      <c r="O30" s="5652"/>
      <c r="P30" s="5652"/>
      <c r="Q30" s="5652"/>
      <c r="R30" s="5656"/>
      <c r="S30" s="1379"/>
      <c r="T30" s="1380"/>
      <c r="U30" s="1380"/>
      <c r="V30" s="1388" t="s">
        <v>3341</v>
      </c>
      <c r="W30" s="1394">
        <v>1</v>
      </c>
      <c r="X30" s="1395" t="s">
        <v>269</v>
      </c>
      <c r="Y30" s="1389">
        <v>1000</v>
      </c>
      <c r="Z30" s="1377">
        <f>+W30*Y30</f>
        <v>1000</v>
      </c>
      <c r="AA30" s="1377">
        <f>+Z30*1.12</f>
        <v>1120</v>
      </c>
      <c r="AB30" s="1378"/>
      <c r="AC30" s="1390"/>
      <c r="AD30" s="1396" t="s">
        <v>251</v>
      </c>
      <c r="AE30" s="1391"/>
      <c r="AF30" s="4717"/>
    </row>
    <row r="31" spans="1:32" ht="19.5" customHeight="1">
      <c r="A31" s="4564"/>
      <c r="B31" s="4623"/>
      <c r="C31" s="5717"/>
      <c r="D31" s="5652"/>
      <c r="E31" s="5652"/>
      <c r="F31" s="5652"/>
      <c r="G31" s="5652"/>
      <c r="H31" s="5652"/>
      <c r="I31" s="5652"/>
      <c r="J31" s="5652"/>
      <c r="K31" s="5652"/>
      <c r="L31" s="5652"/>
      <c r="M31" s="5652"/>
      <c r="N31" s="5652"/>
      <c r="O31" s="5652"/>
      <c r="P31" s="5652"/>
      <c r="Q31" s="5652"/>
      <c r="R31" s="5656"/>
      <c r="S31" s="1402"/>
      <c r="T31" s="1392"/>
      <c r="U31" s="1380"/>
      <c r="V31" s="1393"/>
      <c r="W31" s="1394"/>
      <c r="X31" s="1395"/>
      <c r="Y31" s="1389"/>
      <c r="Z31" s="1377"/>
      <c r="AA31" s="1377"/>
      <c r="AB31" s="1378"/>
      <c r="AC31" s="1395"/>
      <c r="AD31" s="1396"/>
      <c r="AE31" s="1396"/>
      <c r="AF31" s="4717"/>
    </row>
    <row r="32" spans="1:32" ht="19.5" customHeight="1">
      <c r="A32" s="4564"/>
      <c r="B32" s="4623"/>
      <c r="C32" s="5717"/>
      <c r="D32" s="5652"/>
      <c r="E32" s="5652"/>
      <c r="F32" s="5652"/>
      <c r="G32" s="5652"/>
      <c r="H32" s="5652"/>
      <c r="I32" s="5652"/>
      <c r="J32" s="5652"/>
      <c r="K32" s="5652"/>
      <c r="L32" s="5652"/>
      <c r="M32" s="5652"/>
      <c r="N32" s="5652"/>
      <c r="O32" s="5652"/>
      <c r="P32" s="5652"/>
      <c r="Q32" s="5652"/>
      <c r="R32" s="5656"/>
      <c r="S32" s="1402"/>
      <c r="T32" s="1392"/>
      <c r="U32" s="1380"/>
      <c r="V32" s="1397"/>
      <c r="W32" s="1394"/>
      <c r="X32" s="1395"/>
      <c r="Y32" s="1377"/>
      <c r="Z32" s="1377"/>
      <c r="AA32" s="1377"/>
      <c r="AB32" s="1378"/>
      <c r="AC32" s="1395"/>
      <c r="AD32" s="1396"/>
      <c r="AE32" s="1396"/>
      <c r="AF32" s="4717"/>
    </row>
    <row r="33" spans="1:32" ht="18" customHeight="1">
      <c r="A33" s="4564"/>
      <c r="B33" s="4623"/>
      <c r="C33" s="5717"/>
      <c r="D33" s="5652"/>
      <c r="E33" s="5652"/>
      <c r="F33" s="5652"/>
      <c r="G33" s="5652"/>
      <c r="H33" s="5652"/>
      <c r="I33" s="5652"/>
      <c r="J33" s="5652"/>
      <c r="K33" s="5652"/>
      <c r="L33" s="5652"/>
      <c r="M33" s="5652"/>
      <c r="N33" s="5652"/>
      <c r="O33" s="5652"/>
      <c r="P33" s="5652"/>
      <c r="Q33" s="5652"/>
      <c r="R33" s="5656"/>
      <c r="S33" s="1402"/>
      <c r="T33" s="1398"/>
      <c r="U33" s="1399"/>
      <c r="V33" s="1400"/>
      <c r="W33" s="1383"/>
      <c r="X33" s="448"/>
      <c r="Y33" s="1384"/>
      <c r="Z33" s="1384"/>
      <c r="AA33" s="1384"/>
      <c r="AB33" s="1385"/>
      <c r="AC33" s="448"/>
      <c r="AD33" s="1401"/>
      <c r="AE33" s="1401"/>
      <c r="AF33" s="4717"/>
    </row>
    <row r="34" spans="1:32" ht="21" customHeight="1">
      <c r="A34" s="4564"/>
      <c r="B34" s="4623"/>
      <c r="C34" s="5717"/>
      <c r="D34" s="5652"/>
      <c r="E34" s="5652"/>
      <c r="F34" s="5652"/>
      <c r="G34" s="5652"/>
      <c r="H34" s="5652"/>
      <c r="I34" s="5652"/>
      <c r="J34" s="5652"/>
      <c r="K34" s="5652"/>
      <c r="L34" s="5652"/>
      <c r="M34" s="5652"/>
      <c r="N34" s="5652"/>
      <c r="O34" s="5652"/>
      <c r="P34" s="5652"/>
      <c r="Q34" s="5652"/>
      <c r="R34" s="5656"/>
      <c r="S34" s="1402" t="s">
        <v>17</v>
      </c>
      <c r="T34" s="2143">
        <v>530829</v>
      </c>
      <c r="U34" s="2137"/>
      <c r="V34" s="2138" t="s">
        <v>73</v>
      </c>
      <c r="W34" s="2139"/>
      <c r="X34" s="1921"/>
      <c r="Y34" s="2140"/>
      <c r="Z34" s="2140"/>
      <c r="AA34" s="2140"/>
      <c r="AB34" s="2141">
        <f>SUM(AA35:AA36)</f>
        <v>10080.000000000002</v>
      </c>
      <c r="AC34" s="1921"/>
      <c r="AD34" s="2146"/>
      <c r="AE34" s="2146"/>
      <c r="AF34" s="4717"/>
    </row>
    <row r="35" spans="1:32" ht="21" customHeight="1">
      <c r="A35" s="4564"/>
      <c r="B35" s="4623"/>
      <c r="C35" s="5717"/>
      <c r="D35" s="5652"/>
      <c r="E35" s="5652"/>
      <c r="F35" s="5652"/>
      <c r="G35" s="5652"/>
      <c r="H35" s="5652"/>
      <c r="I35" s="5652"/>
      <c r="J35" s="5652"/>
      <c r="K35" s="5652"/>
      <c r="L35" s="5652"/>
      <c r="M35" s="5652"/>
      <c r="N35" s="5652"/>
      <c r="O35" s="5652"/>
      <c r="P35" s="5652"/>
      <c r="Q35" s="5652"/>
      <c r="R35" s="5656"/>
      <c r="S35" s="1379"/>
      <c r="T35" s="1380"/>
      <c r="U35" s="1403"/>
      <c r="V35" s="1388" t="s">
        <v>3342</v>
      </c>
      <c r="W35" s="1394">
        <v>1</v>
      </c>
      <c r="X35" s="1395" t="s">
        <v>269</v>
      </c>
      <c r="Y35" s="1389">
        <v>9000</v>
      </c>
      <c r="Z35" s="1377">
        <f>+W35*Y35</f>
        <v>9000</v>
      </c>
      <c r="AA35" s="1377">
        <f>+Z35*1.12</f>
        <v>10080.000000000002</v>
      </c>
      <c r="AB35" s="1378"/>
      <c r="AC35" s="1395"/>
      <c r="AD35" s="1396" t="s">
        <v>251</v>
      </c>
      <c r="AE35" s="1391" t="s">
        <v>251</v>
      </c>
      <c r="AF35" s="4717"/>
    </row>
    <row r="36" spans="1:32" ht="18" customHeight="1">
      <c r="A36" s="4564"/>
      <c r="B36" s="4623"/>
      <c r="C36" s="5717"/>
      <c r="D36" s="5652"/>
      <c r="E36" s="5652"/>
      <c r="F36" s="5652"/>
      <c r="G36" s="5652"/>
      <c r="H36" s="5652"/>
      <c r="I36" s="5652"/>
      <c r="J36" s="5652"/>
      <c r="K36" s="5652"/>
      <c r="L36" s="5652"/>
      <c r="M36" s="5652"/>
      <c r="N36" s="5652"/>
      <c r="O36" s="5652"/>
      <c r="P36" s="5652"/>
      <c r="Q36" s="5652"/>
      <c r="R36" s="5656"/>
      <c r="S36" s="1402"/>
      <c r="T36" s="1392"/>
      <c r="U36" s="1380"/>
      <c r="V36" s="1397"/>
      <c r="W36" s="1394"/>
      <c r="X36" s="1395"/>
      <c r="Y36" s="1377"/>
      <c r="Z36" s="1377"/>
      <c r="AA36" s="1377"/>
      <c r="AB36" s="1378"/>
      <c r="AC36" s="1395"/>
      <c r="AD36" s="1404"/>
      <c r="AE36" s="1396"/>
      <c r="AF36" s="4717"/>
    </row>
    <row r="37" spans="1:32" ht="18" customHeight="1">
      <c r="A37" s="4564"/>
      <c r="B37" s="4623"/>
      <c r="C37" s="5717"/>
      <c r="D37" s="5652"/>
      <c r="E37" s="5652"/>
      <c r="F37" s="5652"/>
      <c r="G37" s="5652"/>
      <c r="H37" s="5652"/>
      <c r="I37" s="5652"/>
      <c r="J37" s="5652"/>
      <c r="K37" s="5652"/>
      <c r="L37" s="5652"/>
      <c r="M37" s="5652"/>
      <c r="N37" s="5652"/>
      <c r="O37" s="5652"/>
      <c r="P37" s="5652"/>
      <c r="Q37" s="5652"/>
      <c r="R37" s="5656"/>
      <c r="S37" s="1402"/>
      <c r="T37" s="1392"/>
      <c r="U37" s="1380"/>
      <c r="V37" s="1397"/>
      <c r="W37" s="1394"/>
      <c r="X37" s="1395"/>
      <c r="Y37" s="1377"/>
      <c r="Z37" s="1377"/>
      <c r="AA37" s="1377"/>
      <c r="AB37" s="1378"/>
      <c r="AC37" s="1395"/>
      <c r="AD37" s="1404"/>
      <c r="AE37" s="1396"/>
      <c r="AF37" s="4717"/>
    </row>
    <row r="38" spans="1:32" ht="40.5" customHeight="1">
      <c r="A38" s="4564"/>
      <c r="B38" s="4623"/>
      <c r="C38" s="5717"/>
      <c r="D38" s="5652"/>
      <c r="E38" s="5652"/>
      <c r="F38" s="5652"/>
      <c r="G38" s="5652"/>
      <c r="H38" s="5652"/>
      <c r="I38" s="5652"/>
      <c r="J38" s="5652"/>
      <c r="K38" s="5652"/>
      <c r="L38" s="5652"/>
      <c r="M38" s="5652"/>
      <c r="N38" s="5652"/>
      <c r="O38" s="5652"/>
      <c r="P38" s="5652"/>
      <c r="Q38" s="5652"/>
      <c r="R38" s="5656"/>
      <c r="S38" s="1405"/>
      <c r="T38" s="1406"/>
      <c r="U38" s="1403"/>
      <c r="V38" s="1407"/>
      <c r="W38" s="1408"/>
      <c r="X38" s="500"/>
      <c r="Y38" s="1409"/>
      <c r="Z38" s="1409"/>
      <c r="AA38" s="1409"/>
      <c r="AB38" s="1410"/>
      <c r="AC38" s="500"/>
      <c r="AD38" s="1411"/>
      <c r="AE38" s="386"/>
      <c r="AF38" s="4717"/>
    </row>
    <row r="39" spans="1:32" ht="32.25" customHeight="1">
      <c r="A39" s="4564"/>
      <c r="B39" s="4623"/>
      <c r="C39" s="5717"/>
      <c r="D39" s="5652"/>
      <c r="E39" s="5652"/>
      <c r="F39" s="5652"/>
      <c r="G39" s="5652"/>
      <c r="H39" s="5652"/>
      <c r="I39" s="5652"/>
      <c r="J39" s="5652"/>
      <c r="K39" s="5652"/>
      <c r="L39" s="5652"/>
      <c r="M39" s="5652"/>
      <c r="N39" s="5652"/>
      <c r="O39" s="5652"/>
      <c r="P39" s="5652"/>
      <c r="Q39" s="5652"/>
      <c r="R39" s="5656"/>
      <c r="S39" s="1412"/>
      <c r="T39" s="1403"/>
      <c r="U39" s="1403"/>
      <c r="V39" s="501"/>
      <c r="W39" s="1408"/>
      <c r="X39" s="500"/>
      <c r="Y39" s="1413"/>
      <c r="Z39" s="1409"/>
      <c r="AA39" s="1409"/>
      <c r="AB39" s="1410"/>
      <c r="AC39" s="500"/>
      <c r="AD39" s="500"/>
      <c r="AE39" s="386"/>
      <c r="AF39" s="4717"/>
    </row>
    <row r="40" spans="1:32" ht="19.5" customHeight="1">
      <c r="A40" s="4564"/>
      <c r="B40" s="4623"/>
      <c r="C40" s="5717"/>
      <c r="D40" s="5652"/>
      <c r="E40" s="5652"/>
      <c r="F40" s="5652"/>
      <c r="G40" s="5652"/>
      <c r="H40" s="5652"/>
      <c r="I40" s="5652"/>
      <c r="J40" s="5652"/>
      <c r="K40" s="5652"/>
      <c r="L40" s="5652"/>
      <c r="M40" s="5652"/>
      <c r="N40" s="5652"/>
      <c r="O40" s="5652"/>
      <c r="P40" s="5652"/>
      <c r="Q40" s="5652"/>
      <c r="R40" s="5656"/>
      <c r="S40" s="1402"/>
      <c r="T40" s="1392"/>
      <c r="U40" s="1380"/>
      <c r="V40" s="1397"/>
      <c r="W40" s="1394"/>
      <c r="X40" s="1395"/>
      <c r="Y40" s="1377"/>
      <c r="Z40" s="1377"/>
      <c r="AA40" s="1377"/>
      <c r="AB40" s="1378"/>
      <c r="AC40" s="1395"/>
      <c r="AD40" s="1395"/>
      <c r="AE40" s="1396"/>
      <c r="AF40" s="4717"/>
    </row>
    <row r="41" spans="1:32" ht="19.5" customHeight="1">
      <c r="A41" s="4564"/>
      <c r="B41" s="4623"/>
      <c r="C41" s="5717"/>
      <c r="D41" s="5652"/>
      <c r="E41" s="5652"/>
      <c r="F41" s="5652"/>
      <c r="G41" s="5652"/>
      <c r="H41" s="5652"/>
      <c r="I41" s="5652"/>
      <c r="J41" s="5652"/>
      <c r="K41" s="5652"/>
      <c r="L41" s="5652"/>
      <c r="M41" s="5652"/>
      <c r="N41" s="5652"/>
      <c r="O41" s="5652"/>
      <c r="P41" s="5652"/>
      <c r="Q41" s="5652"/>
      <c r="R41" s="5656"/>
      <c r="S41" s="1402"/>
      <c r="T41" s="1392"/>
      <c r="U41" s="1380"/>
      <c r="V41" s="1397"/>
      <c r="W41" s="1394"/>
      <c r="X41" s="1395"/>
      <c r="Y41" s="1377"/>
      <c r="Z41" s="1377"/>
      <c r="AA41" s="1377"/>
      <c r="AB41" s="1378"/>
      <c r="AC41" s="1395"/>
      <c r="AD41" s="1395"/>
      <c r="AE41" s="1396"/>
      <c r="AF41" s="4717"/>
    </row>
    <row r="42" spans="1:32" ht="19.5" customHeight="1">
      <c r="A42" s="4564"/>
      <c r="B42" s="4623"/>
      <c r="C42" s="5717"/>
      <c r="D42" s="5652"/>
      <c r="E42" s="5652"/>
      <c r="F42" s="5652"/>
      <c r="G42" s="5652"/>
      <c r="H42" s="5652"/>
      <c r="I42" s="5652"/>
      <c r="J42" s="5652"/>
      <c r="K42" s="5652"/>
      <c r="L42" s="5652"/>
      <c r="M42" s="5652"/>
      <c r="N42" s="5652"/>
      <c r="O42" s="5652"/>
      <c r="P42" s="5652"/>
      <c r="Q42" s="5652"/>
      <c r="R42" s="5656"/>
      <c r="S42" s="1402"/>
      <c r="T42" s="1398"/>
      <c r="U42" s="1399"/>
      <c r="V42" s="1400"/>
      <c r="W42" s="1383"/>
      <c r="X42" s="448"/>
      <c r="Y42" s="1384"/>
      <c r="Z42" s="1384"/>
      <c r="AA42" s="1384"/>
      <c r="AB42" s="1385"/>
      <c r="AC42" s="448"/>
      <c r="AD42" s="448"/>
      <c r="AE42" s="1401"/>
      <c r="AF42" s="4717"/>
    </row>
    <row r="43" spans="1:32" ht="30" customHeight="1">
      <c r="A43" s="4564"/>
      <c r="B43" s="4623"/>
      <c r="C43" s="5717"/>
      <c r="D43" s="5652"/>
      <c r="E43" s="5652"/>
      <c r="F43" s="5652"/>
      <c r="G43" s="5652"/>
      <c r="H43" s="5652"/>
      <c r="I43" s="5652"/>
      <c r="J43" s="5652"/>
      <c r="K43" s="5652"/>
      <c r="L43" s="5652"/>
      <c r="M43" s="5652"/>
      <c r="N43" s="5652"/>
      <c r="O43" s="5652"/>
      <c r="P43" s="5652"/>
      <c r="Q43" s="5652"/>
      <c r="R43" s="5656"/>
      <c r="S43" s="1402" t="s">
        <v>17</v>
      </c>
      <c r="T43" s="2143">
        <v>840104</v>
      </c>
      <c r="U43" s="2137"/>
      <c r="V43" s="2138" t="s">
        <v>24</v>
      </c>
      <c r="W43" s="2139"/>
      <c r="X43" s="1921"/>
      <c r="Y43" s="2140"/>
      <c r="Z43" s="2140"/>
      <c r="AA43" s="2140"/>
      <c r="AB43" s="2141">
        <f>SUM(AA44:AA45)</f>
        <v>6048.0000000000009</v>
      </c>
      <c r="AC43" s="1921"/>
      <c r="AD43" s="1921"/>
      <c r="AE43" s="2146"/>
      <c r="AF43" s="4717"/>
    </row>
    <row r="44" spans="1:32" ht="18" customHeight="1">
      <c r="A44" s="4564"/>
      <c r="B44" s="4623"/>
      <c r="C44" s="5717"/>
      <c r="D44" s="5652"/>
      <c r="E44" s="5652"/>
      <c r="F44" s="5652"/>
      <c r="G44" s="5652"/>
      <c r="H44" s="5652"/>
      <c r="I44" s="5652"/>
      <c r="J44" s="5652"/>
      <c r="K44" s="5652"/>
      <c r="L44" s="5652"/>
      <c r="M44" s="5652"/>
      <c r="N44" s="5652"/>
      <c r="O44" s="5652"/>
      <c r="P44" s="5652"/>
      <c r="Q44" s="5652"/>
      <c r="R44" s="5656"/>
      <c r="S44" s="1375"/>
      <c r="T44" s="1380"/>
      <c r="U44" s="1376" t="s">
        <v>556</v>
      </c>
      <c r="V44" s="1388" t="s">
        <v>3343</v>
      </c>
      <c r="W44" s="1394">
        <v>2</v>
      </c>
      <c r="X44" s="1395" t="s">
        <v>269</v>
      </c>
      <c r="Y44" s="1377">
        <v>2700</v>
      </c>
      <c r="Z44" s="1377">
        <f>+W44*Y44</f>
        <v>5400</v>
      </c>
      <c r="AA44" s="1377">
        <f>+Z44*1.12</f>
        <v>6048.0000000000009</v>
      </c>
      <c r="AB44" s="1378"/>
      <c r="AC44" s="1395"/>
      <c r="AD44" s="1395" t="s">
        <v>251</v>
      </c>
      <c r="AE44" s="449"/>
      <c r="AF44" s="4717"/>
    </row>
    <row r="45" spans="1:32" ht="19.5" customHeight="1">
      <c r="A45" s="4564"/>
      <c r="B45" s="4623"/>
      <c r="C45" s="5717"/>
      <c r="D45" s="5652"/>
      <c r="E45" s="5652"/>
      <c r="F45" s="5652"/>
      <c r="G45" s="5652"/>
      <c r="H45" s="5652"/>
      <c r="I45" s="5652"/>
      <c r="J45" s="5652"/>
      <c r="K45" s="5652"/>
      <c r="L45" s="5652"/>
      <c r="M45" s="5652"/>
      <c r="N45" s="5652"/>
      <c r="O45" s="5652"/>
      <c r="P45" s="5652"/>
      <c r="Q45" s="5652"/>
      <c r="R45" s="5656"/>
      <c r="S45" s="1375"/>
      <c r="T45" s="1380"/>
      <c r="U45" s="1403"/>
      <c r="V45" s="501"/>
      <c r="W45" s="1394"/>
      <c r="X45" s="1395"/>
      <c r="Y45" s="1377"/>
      <c r="Z45" s="1377"/>
      <c r="AA45" s="1377"/>
      <c r="AB45" s="1378"/>
      <c r="AC45" s="1395"/>
      <c r="AD45" s="1395"/>
      <c r="AE45" s="449"/>
      <c r="AF45" s="4717"/>
    </row>
    <row r="46" spans="1:32" ht="19.5" customHeight="1">
      <c r="A46" s="4564"/>
      <c r="B46" s="4623"/>
      <c r="C46" s="5718"/>
      <c r="D46" s="5653"/>
      <c r="E46" s="5653"/>
      <c r="F46" s="5653"/>
      <c r="G46" s="5653"/>
      <c r="H46" s="5653"/>
      <c r="I46" s="5653"/>
      <c r="J46" s="5653"/>
      <c r="K46" s="5653"/>
      <c r="L46" s="5653"/>
      <c r="M46" s="5653"/>
      <c r="N46" s="5653"/>
      <c r="O46" s="5653"/>
      <c r="P46" s="5653"/>
      <c r="Q46" s="5653"/>
      <c r="R46" s="5657"/>
      <c r="S46" s="1381"/>
      <c r="T46" s="1399"/>
      <c r="U46" s="1414"/>
      <c r="V46" s="502"/>
      <c r="W46" s="1383"/>
      <c r="X46" s="448"/>
      <c r="Y46" s="1384"/>
      <c r="Z46" s="1384"/>
      <c r="AA46" s="1384"/>
      <c r="AB46" s="1385"/>
      <c r="AC46" s="448"/>
      <c r="AD46" s="448"/>
      <c r="AE46" s="451"/>
      <c r="AF46" s="4718"/>
    </row>
    <row r="47" spans="1:32" ht="24" customHeight="1">
      <c r="A47" s="4564"/>
      <c r="B47" s="4623"/>
      <c r="C47" s="5716" t="s">
        <v>235</v>
      </c>
      <c r="D47" s="5651" t="s">
        <v>236</v>
      </c>
      <c r="E47" s="5651" t="s">
        <v>244</v>
      </c>
      <c r="F47" s="5651" t="s">
        <v>245</v>
      </c>
      <c r="G47" s="5664" t="s">
        <v>239</v>
      </c>
      <c r="H47" s="5651" t="s">
        <v>240</v>
      </c>
      <c r="I47" s="5651" t="s">
        <v>278</v>
      </c>
      <c r="J47" s="5651" t="s">
        <v>3344</v>
      </c>
      <c r="K47" s="5651" t="s">
        <v>1524</v>
      </c>
      <c r="L47" s="5651" t="s">
        <v>3345</v>
      </c>
      <c r="M47" s="5654">
        <v>0</v>
      </c>
      <c r="N47" s="5654">
        <v>0</v>
      </c>
      <c r="O47" s="5654">
        <v>1</v>
      </c>
      <c r="P47" s="5651" t="s">
        <v>3346</v>
      </c>
      <c r="Q47" s="5651" t="s">
        <v>2455</v>
      </c>
      <c r="R47" s="5659" t="s">
        <v>3327</v>
      </c>
      <c r="S47" s="1386"/>
      <c r="T47" s="2137"/>
      <c r="U47" s="2137"/>
      <c r="V47" s="2138"/>
      <c r="W47" s="2139"/>
      <c r="X47" s="1921"/>
      <c r="Y47" s="2140"/>
      <c r="Z47" s="2140"/>
      <c r="AA47" s="2140"/>
      <c r="AB47" s="2141"/>
      <c r="AC47" s="1921"/>
      <c r="AD47" s="2142"/>
      <c r="AE47" s="2142"/>
      <c r="AF47" s="5684"/>
    </row>
    <row r="48" spans="1:32" ht="24" customHeight="1">
      <c r="A48" s="4564"/>
      <c r="B48" s="4623"/>
      <c r="C48" s="5717"/>
      <c r="D48" s="5652"/>
      <c r="E48" s="5652"/>
      <c r="F48" s="5652"/>
      <c r="G48" s="5652"/>
      <c r="H48" s="5652"/>
      <c r="I48" s="5652"/>
      <c r="J48" s="5652"/>
      <c r="K48" s="5652"/>
      <c r="L48" s="5652"/>
      <c r="M48" s="5652"/>
      <c r="N48" s="5652"/>
      <c r="O48" s="5652"/>
      <c r="P48" s="5652"/>
      <c r="Q48" s="5652"/>
      <c r="R48" s="5656"/>
      <c r="S48" s="1375"/>
      <c r="T48" s="1376"/>
      <c r="U48" s="1376"/>
      <c r="V48" s="1388"/>
      <c r="W48" s="1394"/>
      <c r="X48" s="1395"/>
      <c r="Y48" s="1377"/>
      <c r="Z48" s="1377"/>
      <c r="AA48" s="1377"/>
      <c r="AB48" s="1378"/>
      <c r="AC48" s="1395"/>
      <c r="AD48" s="449"/>
      <c r="AE48" s="449"/>
      <c r="AF48" s="4717"/>
    </row>
    <row r="49" spans="1:32" ht="24" customHeight="1">
      <c r="A49" s="4564"/>
      <c r="B49" s="4623"/>
      <c r="C49" s="5717"/>
      <c r="D49" s="5652"/>
      <c r="E49" s="5652"/>
      <c r="F49" s="5652"/>
      <c r="G49" s="5652"/>
      <c r="H49" s="5652"/>
      <c r="I49" s="5652"/>
      <c r="J49" s="5652"/>
      <c r="K49" s="5652"/>
      <c r="L49" s="5652"/>
      <c r="M49" s="5652"/>
      <c r="N49" s="5652"/>
      <c r="O49" s="5652"/>
      <c r="P49" s="5652"/>
      <c r="Q49" s="5652"/>
      <c r="R49" s="5656"/>
      <c r="S49" s="1375"/>
      <c r="T49" s="1376"/>
      <c r="U49" s="1376"/>
      <c r="V49" s="1388"/>
      <c r="W49" s="1394"/>
      <c r="X49" s="1395"/>
      <c r="Y49" s="1377"/>
      <c r="Z49" s="1377"/>
      <c r="AA49" s="1377"/>
      <c r="AB49" s="1378"/>
      <c r="AC49" s="1395"/>
      <c r="AD49" s="449"/>
      <c r="AE49" s="449"/>
      <c r="AF49" s="4717"/>
    </row>
    <row r="50" spans="1:32" ht="24" customHeight="1">
      <c r="A50" s="4564"/>
      <c r="B50" s="4623"/>
      <c r="C50" s="5717"/>
      <c r="D50" s="5652"/>
      <c r="E50" s="5652"/>
      <c r="F50" s="5652"/>
      <c r="G50" s="5652"/>
      <c r="H50" s="5652"/>
      <c r="I50" s="5652"/>
      <c r="J50" s="5652"/>
      <c r="K50" s="5652"/>
      <c r="L50" s="5652"/>
      <c r="M50" s="5652"/>
      <c r="N50" s="5652"/>
      <c r="O50" s="5652"/>
      <c r="P50" s="5652"/>
      <c r="Q50" s="5652"/>
      <c r="R50" s="5656"/>
      <c r="S50" s="1375"/>
      <c r="T50" s="1376"/>
      <c r="U50" s="1376"/>
      <c r="V50" s="1388"/>
      <c r="W50" s="1394"/>
      <c r="X50" s="1395"/>
      <c r="Y50" s="1377"/>
      <c r="Z50" s="1377"/>
      <c r="AA50" s="1377"/>
      <c r="AB50" s="1378"/>
      <c r="AC50" s="1395"/>
      <c r="AD50" s="449"/>
      <c r="AE50" s="449"/>
      <c r="AF50" s="4717"/>
    </row>
    <row r="51" spans="1:32" ht="24" customHeight="1">
      <c r="A51" s="4564"/>
      <c r="B51" s="4623"/>
      <c r="C51" s="5718"/>
      <c r="D51" s="5653"/>
      <c r="E51" s="5653"/>
      <c r="F51" s="5653"/>
      <c r="G51" s="5653"/>
      <c r="H51" s="5653"/>
      <c r="I51" s="5653"/>
      <c r="J51" s="5653"/>
      <c r="K51" s="5653"/>
      <c r="L51" s="5653"/>
      <c r="M51" s="5653"/>
      <c r="N51" s="5653"/>
      <c r="O51" s="5653"/>
      <c r="P51" s="5653"/>
      <c r="Q51" s="5653"/>
      <c r="R51" s="5657"/>
      <c r="S51" s="1381"/>
      <c r="T51" s="1382"/>
      <c r="U51" s="1382"/>
      <c r="V51" s="450"/>
      <c r="W51" s="1383"/>
      <c r="X51" s="448"/>
      <c r="Y51" s="1384"/>
      <c r="Z51" s="1384"/>
      <c r="AA51" s="1384"/>
      <c r="AB51" s="1385"/>
      <c r="AC51" s="448"/>
      <c r="AD51" s="451"/>
      <c r="AE51" s="451"/>
      <c r="AF51" s="4718"/>
    </row>
    <row r="52" spans="1:32" ht="24" customHeight="1">
      <c r="A52" s="4564"/>
      <c r="B52" s="4623"/>
      <c r="C52" s="5716" t="s">
        <v>235</v>
      </c>
      <c r="D52" s="5651" t="s">
        <v>236</v>
      </c>
      <c r="E52" s="5651" t="s">
        <v>237</v>
      </c>
      <c r="F52" s="5651" t="s">
        <v>326</v>
      </c>
      <c r="G52" s="5664" t="s">
        <v>239</v>
      </c>
      <c r="H52" s="5651" t="s">
        <v>240</v>
      </c>
      <c r="I52" s="5651" t="s">
        <v>257</v>
      </c>
      <c r="J52" s="5651" t="s">
        <v>3347</v>
      </c>
      <c r="K52" s="5651" t="s">
        <v>1529</v>
      </c>
      <c r="L52" s="5651" t="s">
        <v>3348</v>
      </c>
      <c r="M52" s="5654">
        <v>1</v>
      </c>
      <c r="N52" s="5654">
        <v>1</v>
      </c>
      <c r="O52" s="5654">
        <v>1</v>
      </c>
      <c r="P52" s="5651" t="s">
        <v>2458</v>
      </c>
      <c r="Q52" s="5651" t="s">
        <v>2459</v>
      </c>
      <c r="R52" s="5659" t="s">
        <v>3327</v>
      </c>
      <c r="S52" s="1386"/>
      <c r="T52" s="2137"/>
      <c r="U52" s="2137"/>
      <c r="V52" s="2138"/>
      <c r="W52" s="2139"/>
      <c r="X52" s="1921"/>
      <c r="Y52" s="2140"/>
      <c r="Z52" s="2140"/>
      <c r="AA52" s="2140"/>
      <c r="AB52" s="2141"/>
      <c r="AC52" s="1921"/>
      <c r="AD52" s="2142"/>
      <c r="AE52" s="2142"/>
      <c r="AF52" s="5684"/>
    </row>
    <row r="53" spans="1:32" ht="24" customHeight="1">
      <c r="A53" s="4564"/>
      <c r="B53" s="4623"/>
      <c r="C53" s="5717"/>
      <c r="D53" s="5652"/>
      <c r="E53" s="5652"/>
      <c r="F53" s="5652"/>
      <c r="G53" s="5652"/>
      <c r="H53" s="5652"/>
      <c r="I53" s="5652"/>
      <c r="J53" s="5652"/>
      <c r="K53" s="5652"/>
      <c r="L53" s="5652"/>
      <c r="M53" s="5652"/>
      <c r="N53" s="5652"/>
      <c r="O53" s="5652"/>
      <c r="P53" s="5652"/>
      <c r="Q53" s="5652"/>
      <c r="R53" s="5656"/>
      <c r="S53" s="1375"/>
      <c r="T53" s="1376"/>
      <c r="U53" s="1376"/>
      <c r="V53" s="1388"/>
      <c r="W53" s="1394"/>
      <c r="X53" s="1395"/>
      <c r="Y53" s="1377"/>
      <c r="Z53" s="1377"/>
      <c r="AA53" s="1377"/>
      <c r="AB53" s="1378"/>
      <c r="AC53" s="1395"/>
      <c r="AD53" s="449"/>
      <c r="AE53" s="449"/>
      <c r="AF53" s="4717"/>
    </row>
    <row r="54" spans="1:32" ht="24" customHeight="1">
      <c r="A54" s="4564"/>
      <c r="B54" s="4623"/>
      <c r="C54" s="5717"/>
      <c r="D54" s="5652"/>
      <c r="E54" s="5652"/>
      <c r="F54" s="5652"/>
      <c r="G54" s="5652"/>
      <c r="H54" s="5652"/>
      <c r="I54" s="5652"/>
      <c r="J54" s="5652"/>
      <c r="K54" s="5652"/>
      <c r="L54" s="5652"/>
      <c r="M54" s="5652"/>
      <c r="N54" s="5652"/>
      <c r="O54" s="5652"/>
      <c r="P54" s="5652"/>
      <c r="Q54" s="5652"/>
      <c r="R54" s="5656"/>
      <c r="S54" s="1375"/>
      <c r="T54" s="1376"/>
      <c r="U54" s="1376"/>
      <c r="V54" s="1388"/>
      <c r="W54" s="1394"/>
      <c r="X54" s="1395"/>
      <c r="Y54" s="1377"/>
      <c r="Z54" s="1377"/>
      <c r="AA54" s="1377"/>
      <c r="AB54" s="1378"/>
      <c r="AC54" s="1395"/>
      <c r="AD54" s="449"/>
      <c r="AE54" s="449"/>
      <c r="AF54" s="4717"/>
    </row>
    <row r="55" spans="1:32" ht="24" customHeight="1">
      <c r="A55" s="4564"/>
      <c r="B55" s="4623"/>
      <c r="C55" s="5717"/>
      <c r="D55" s="5652"/>
      <c r="E55" s="5652"/>
      <c r="F55" s="5652"/>
      <c r="G55" s="5652"/>
      <c r="H55" s="5652"/>
      <c r="I55" s="5652"/>
      <c r="J55" s="5652"/>
      <c r="K55" s="5652"/>
      <c r="L55" s="5652"/>
      <c r="M55" s="5652"/>
      <c r="N55" s="5652"/>
      <c r="O55" s="5652"/>
      <c r="P55" s="5652"/>
      <c r="Q55" s="5652"/>
      <c r="R55" s="5656"/>
      <c r="S55" s="1379"/>
      <c r="T55" s="1380"/>
      <c r="U55" s="1380"/>
      <c r="V55" s="1388"/>
      <c r="W55" s="1394"/>
      <c r="X55" s="1395"/>
      <c r="Y55" s="1377"/>
      <c r="Z55" s="1377"/>
      <c r="AA55" s="1377"/>
      <c r="AB55" s="1378"/>
      <c r="AC55" s="1395"/>
      <c r="AD55" s="449"/>
      <c r="AE55" s="449"/>
      <c r="AF55" s="4717"/>
    </row>
    <row r="56" spans="1:32" ht="24" customHeight="1">
      <c r="A56" s="4564"/>
      <c r="B56" s="4623"/>
      <c r="C56" s="5718"/>
      <c r="D56" s="5653"/>
      <c r="E56" s="5653"/>
      <c r="F56" s="5653"/>
      <c r="G56" s="5653"/>
      <c r="H56" s="5653"/>
      <c r="I56" s="5653"/>
      <c r="J56" s="5653"/>
      <c r="K56" s="5653"/>
      <c r="L56" s="5653"/>
      <c r="M56" s="5653"/>
      <c r="N56" s="5653"/>
      <c r="O56" s="5653"/>
      <c r="P56" s="5653"/>
      <c r="Q56" s="5653"/>
      <c r="R56" s="5657"/>
      <c r="S56" s="1381"/>
      <c r="T56" s="1382"/>
      <c r="U56" s="1382"/>
      <c r="V56" s="450"/>
      <c r="W56" s="1383"/>
      <c r="X56" s="448"/>
      <c r="Y56" s="1384"/>
      <c r="Z56" s="1384"/>
      <c r="AA56" s="1384"/>
      <c r="AB56" s="1385"/>
      <c r="AC56" s="448"/>
      <c r="AD56" s="451"/>
      <c r="AE56" s="451"/>
      <c r="AF56" s="4718"/>
    </row>
    <row r="57" spans="1:32" ht="24" customHeight="1">
      <c r="A57" s="4564"/>
      <c r="B57" s="4623"/>
      <c r="C57" s="5716" t="s">
        <v>235</v>
      </c>
      <c r="D57" s="5651" t="s">
        <v>236</v>
      </c>
      <c r="E57" s="5651" t="s">
        <v>244</v>
      </c>
      <c r="F57" s="5651" t="s">
        <v>808</v>
      </c>
      <c r="G57" s="5664" t="s">
        <v>239</v>
      </c>
      <c r="H57" s="5651" t="s">
        <v>240</v>
      </c>
      <c r="I57" s="5651" t="s">
        <v>241</v>
      </c>
      <c r="J57" s="5651" t="s">
        <v>3349</v>
      </c>
      <c r="K57" s="5651" t="s">
        <v>3350</v>
      </c>
      <c r="L57" s="5651" t="s">
        <v>3351</v>
      </c>
      <c r="M57" s="5654">
        <v>0</v>
      </c>
      <c r="N57" s="5654">
        <v>1</v>
      </c>
      <c r="O57" s="5654">
        <v>2</v>
      </c>
      <c r="P57" s="5651" t="s">
        <v>3352</v>
      </c>
      <c r="Q57" s="5651" t="s">
        <v>3353</v>
      </c>
      <c r="R57" s="5659" t="s">
        <v>3354</v>
      </c>
      <c r="S57" s="1386"/>
      <c r="T57" s="2137"/>
      <c r="U57" s="2137"/>
      <c r="V57" s="2138"/>
      <c r="W57" s="2139"/>
      <c r="X57" s="1921"/>
      <c r="Y57" s="2140"/>
      <c r="Z57" s="2140"/>
      <c r="AA57" s="2140"/>
      <c r="AB57" s="2141"/>
      <c r="AC57" s="1921"/>
      <c r="AD57" s="2142"/>
      <c r="AE57" s="2142"/>
      <c r="AF57" s="5684"/>
    </row>
    <row r="58" spans="1:32" ht="24" customHeight="1">
      <c r="A58" s="4564"/>
      <c r="B58" s="4623"/>
      <c r="C58" s="5717"/>
      <c r="D58" s="5652"/>
      <c r="E58" s="5652"/>
      <c r="F58" s="5652"/>
      <c r="G58" s="5652"/>
      <c r="H58" s="5652"/>
      <c r="I58" s="5652"/>
      <c r="J58" s="5652"/>
      <c r="K58" s="5652"/>
      <c r="L58" s="5652"/>
      <c r="M58" s="5652"/>
      <c r="N58" s="5652"/>
      <c r="O58" s="5652"/>
      <c r="P58" s="5652"/>
      <c r="Q58" s="5652"/>
      <c r="R58" s="5656"/>
      <c r="S58" s="1375"/>
      <c r="T58" s="1376"/>
      <c r="U58" s="1376"/>
      <c r="V58" s="1388"/>
      <c r="W58" s="1394"/>
      <c r="X58" s="1395"/>
      <c r="Y58" s="1377"/>
      <c r="Z58" s="1377"/>
      <c r="AA58" s="1377"/>
      <c r="AB58" s="1378"/>
      <c r="AC58" s="1395"/>
      <c r="AD58" s="449"/>
      <c r="AE58" s="449"/>
      <c r="AF58" s="4717"/>
    </row>
    <row r="59" spans="1:32" ht="24" customHeight="1">
      <c r="A59" s="4564"/>
      <c r="B59" s="4623"/>
      <c r="C59" s="5717"/>
      <c r="D59" s="5652"/>
      <c r="E59" s="5652"/>
      <c r="F59" s="5652"/>
      <c r="G59" s="5652"/>
      <c r="H59" s="5652"/>
      <c r="I59" s="5652"/>
      <c r="J59" s="5652"/>
      <c r="K59" s="5652"/>
      <c r="L59" s="5652"/>
      <c r="M59" s="5652"/>
      <c r="N59" s="5652"/>
      <c r="O59" s="5652"/>
      <c r="P59" s="5652"/>
      <c r="Q59" s="5652"/>
      <c r="R59" s="5656"/>
      <c r="S59" s="1375"/>
      <c r="T59" s="1376"/>
      <c r="U59" s="1376"/>
      <c r="V59" s="1388"/>
      <c r="W59" s="1394"/>
      <c r="X59" s="1395"/>
      <c r="Y59" s="1377"/>
      <c r="Z59" s="1377"/>
      <c r="AA59" s="1377"/>
      <c r="AB59" s="1378"/>
      <c r="AC59" s="1395"/>
      <c r="AD59" s="449"/>
      <c r="AE59" s="449"/>
      <c r="AF59" s="4717"/>
    </row>
    <row r="60" spans="1:32" ht="24" customHeight="1">
      <c r="A60" s="4564"/>
      <c r="B60" s="4623"/>
      <c r="C60" s="5717"/>
      <c r="D60" s="5652"/>
      <c r="E60" s="5652"/>
      <c r="F60" s="5652"/>
      <c r="G60" s="5652"/>
      <c r="H60" s="5652"/>
      <c r="I60" s="5652"/>
      <c r="J60" s="5652"/>
      <c r="K60" s="5652"/>
      <c r="L60" s="5652"/>
      <c r="M60" s="5652"/>
      <c r="N60" s="5652"/>
      <c r="O60" s="5652"/>
      <c r="P60" s="5652"/>
      <c r="Q60" s="5652"/>
      <c r="R60" s="5656"/>
      <c r="S60" s="1379"/>
      <c r="T60" s="1380"/>
      <c r="U60" s="1380"/>
      <c r="V60" s="1388"/>
      <c r="W60" s="1394"/>
      <c r="X60" s="1395"/>
      <c r="Y60" s="1377"/>
      <c r="Z60" s="1377"/>
      <c r="AA60" s="1377"/>
      <c r="AB60" s="1378"/>
      <c r="AC60" s="1395"/>
      <c r="AD60" s="449"/>
      <c r="AE60" s="449"/>
      <c r="AF60" s="4717"/>
    </row>
    <row r="61" spans="1:32" ht="24" customHeight="1">
      <c r="A61" s="4564"/>
      <c r="B61" s="4623"/>
      <c r="C61" s="5718"/>
      <c r="D61" s="5653"/>
      <c r="E61" s="5653"/>
      <c r="F61" s="5653"/>
      <c r="G61" s="5653"/>
      <c r="H61" s="5653"/>
      <c r="I61" s="5653"/>
      <c r="J61" s="5653"/>
      <c r="K61" s="5653"/>
      <c r="L61" s="5653"/>
      <c r="M61" s="5653"/>
      <c r="N61" s="5653"/>
      <c r="O61" s="5653"/>
      <c r="P61" s="5653"/>
      <c r="Q61" s="5653"/>
      <c r="R61" s="5657"/>
      <c r="S61" s="1381"/>
      <c r="T61" s="1382"/>
      <c r="U61" s="1382"/>
      <c r="V61" s="450"/>
      <c r="W61" s="1383"/>
      <c r="X61" s="448"/>
      <c r="Y61" s="1384"/>
      <c r="Z61" s="1384"/>
      <c r="AA61" s="1384"/>
      <c r="AB61" s="1385"/>
      <c r="AC61" s="448"/>
      <c r="AD61" s="451"/>
      <c r="AE61" s="451"/>
      <c r="AF61" s="4718"/>
    </row>
    <row r="62" spans="1:32" ht="18" customHeight="1">
      <c r="A62" s="4564"/>
      <c r="B62" s="4623"/>
      <c r="C62" s="5716" t="s">
        <v>272</v>
      </c>
      <c r="D62" s="5651" t="s">
        <v>302</v>
      </c>
      <c r="E62" s="5651" t="s">
        <v>303</v>
      </c>
      <c r="F62" s="5651" t="s">
        <v>955</v>
      </c>
      <c r="G62" s="5664" t="s">
        <v>305</v>
      </c>
      <c r="H62" s="5651" t="s">
        <v>306</v>
      </c>
      <c r="I62" s="5651" t="s">
        <v>278</v>
      </c>
      <c r="J62" s="5651" t="s">
        <v>3355</v>
      </c>
      <c r="K62" s="5651" t="s">
        <v>1539</v>
      </c>
      <c r="L62" s="5651" t="s">
        <v>3356</v>
      </c>
      <c r="M62" s="5654">
        <v>1</v>
      </c>
      <c r="N62" s="5654">
        <v>0</v>
      </c>
      <c r="O62" s="5654">
        <v>1</v>
      </c>
      <c r="P62" s="5651" t="s">
        <v>2465</v>
      </c>
      <c r="Q62" s="5651" t="s">
        <v>2466</v>
      </c>
      <c r="R62" s="5659" t="s">
        <v>3327</v>
      </c>
      <c r="S62" s="1386"/>
      <c r="T62" s="2137"/>
      <c r="U62" s="2137"/>
      <c r="V62" s="2138"/>
      <c r="W62" s="2139"/>
      <c r="X62" s="1921"/>
      <c r="Y62" s="2140"/>
      <c r="Z62" s="2140"/>
      <c r="AA62" s="2140"/>
      <c r="AB62" s="2141"/>
      <c r="AC62" s="1921"/>
      <c r="AD62" s="2142"/>
      <c r="AE62" s="2142"/>
      <c r="AF62" s="5684"/>
    </row>
    <row r="63" spans="1:32" ht="18" customHeight="1">
      <c r="A63" s="4564"/>
      <c r="B63" s="4623"/>
      <c r="C63" s="5717"/>
      <c r="D63" s="5652"/>
      <c r="E63" s="5652"/>
      <c r="F63" s="5652"/>
      <c r="G63" s="5652"/>
      <c r="H63" s="5652"/>
      <c r="I63" s="5652"/>
      <c r="J63" s="5652"/>
      <c r="K63" s="5652"/>
      <c r="L63" s="5652"/>
      <c r="M63" s="5652"/>
      <c r="N63" s="5652"/>
      <c r="O63" s="5652"/>
      <c r="P63" s="5652"/>
      <c r="Q63" s="5652"/>
      <c r="R63" s="5656"/>
      <c r="S63" s="1375"/>
      <c r="T63" s="1376"/>
      <c r="U63" s="1376"/>
      <c r="V63" s="1388"/>
      <c r="W63" s="1394"/>
      <c r="X63" s="1395"/>
      <c r="Y63" s="1377"/>
      <c r="Z63" s="1377"/>
      <c r="AA63" s="1377"/>
      <c r="AB63" s="1378"/>
      <c r="AC63" s="1395"/>
      <c r="AD63" s="449"/>
      <c r="AE63" s="449"/>
      <c r="AF63" s="4717"/>
    </row>
    <row r="64" spans="1:32" ht="18" customHeight="1">
      <c r="A64" s="4564"/>
      <c r="B64" s="4623"/>
      <c r="C64" s="5717"/>
      <c r="D64" s="5652"/>
      <c r="E64" s="5652"/>
      <c r="F64" s="5652"/>
      <c r="G64" s="5652"/>
      <c r="H64" s="5652"/>
      <c r="I64" s="5652"/>
      <c r="J64" s="5652"/>
      <c r="K64" s="5652"/>
      <c r="L64" s="5652"/>
      <c r="M64" s="5652"/>
      <c r="N64" s="5652"/>
      <c r="O64" s="5652"/>
      <c r="P64" s="5652"/>
      <c r="Q64" s="5652"/>
      <c r="R64" s="5656"/>
      <c r="S64" s="1375"/>
      <c r="T64" s="1376"/>
      <c r="U64" s="1376"/>
      <c r="V64" s="1388"/>
      <c r="W64" s="1394"/>
      <c r="X64" s="1395"/>
      <c r="Y64" s="1377"/>
      <c r="Z64" s="1377"/>
      <c r="AA64" s="1377"/>
      <c r="AB64" s="1378"/>
      <c r="AC64" s="1395"/>
      <c r="AD64" s="449"/>
      <c r="AE64" s="449"/>
      <c r="AF64" s="4717"/>
    </row>
    <row r="65" spans="1:32" ht="18" customHeight="1">
      <c r="A65" s="4564"/>
      <c r="B65" s="4623"/>
      <c r="C65" s="5717"/>
      <c r="D65" s="5652"/>
      <c r="E65" s="5652"/>
      <c r="F65" s="5652"/>
      <c r="G65" s="5652"/>
      <c r="H65" s="5652"/>
      <c r="I65" s="5652"/>
      <c r="J65" s="5652"/>
      <c r="K65" s="5652"/>
      <c r="L65" s="5652"/>
      <c r="M65" s="5652"/>
      <c r="N65" s="5652"/>
      <c r="O65" s="5652"/>
      <c r="P65" s="5652"/>
      <c r="Q65" s="5652"/>
      <c r="R65" s="5656"/>
      <c r="S65" s="1379"/>
      <c r="T65" s="1380"/>
      <c r="U65" s="1380"/>
      <c r="V65" s="1388"/>
      <c r="W65" s="1394"/>
      <c r="X65" s="1395"/>
      <c r="Y65" s="1377"/>
      <c r="Z65" s="1377"/>
      <c r="AA65" s="1377"/>
      <c r="AB65" s="1378"/>
      <c r="AC65" s="1395"/>
      <c r="AD65" s="449"/>
      <c r="AE65" s="449"/>
      <c r="AF65" s="4717"/>
    </row>
    <row r="66" spans="1:32" ht="18" customHeight="1">
      <c r="A66" s="4564"/>
      <c r="B66" s="4623"/>
      <c r="C66" s="5718"/>
      <c r="D66" s="5653"/>
      <c r="E66" s="5653"/>
      <c r="F66" s="5653"/>
      <c r="G66" s="5653"/>
      <c r="H66" s="5653"/>
      <c r="I66" s="5653"/>
      <c r="J66" s="5653"/>
      <c r="K66" s="5653"/>
      <c r="L66" s="5653"/>
      <c r="M66" s="5653"/>
      <c r="N66" s="5653"/>
      <c r="O66" s="5653"/>
      <c r="P66" s="5653"/>
      <c r="Q66" s="5653"/>
      <c r="R66" s="5657"/>
      <c r="S66" s="1381"/>
      <c r="T66" s="1382"/>
      <c r="U66" s="1382"/>
      <c r="V66" s="450"/>
      <c r="W66" s="1383"/>
      <c r="X66" s="448"/>
      <c r="Y66" s="1384"/>
      <c r="Z66" s="1384"/>
      <c r="AA66" s="1384"/>
      <c r="AB66" s="1385"/>
      <c r="AC66" s="448"/>
      <c r="AD66" s="451"/>
      <c r="AE66" s="451"/>
      <c r="AF66" s="4718"/>
    </row>
    <row r="67" spans="1:32" ht="24" customHeight="1">
      <c r="A67" s="4564"/>
      <c r="B67" s="4623"/>
      <c r="C67" s="5716" t="s">
        <v>235</v>
      </c>
      <c r="D67" s="5651" t="s">
        <v>236</v>
      </c>
      <c r="E67" s="5651" t="s">
        <v>237</v>
      </c>
      <c r="F67" s="5651" t="s">
        <v>326</v>
      </c>
      <c r="G67" s="5664" t="s">
        <v>239</v>
      </c>
      <c r="H67" s="5651" t="s">
        <v>240</v>
      </c>
      <c r="I67" s="5651" t="s">
        <v>278</v>
      </c>
      <c r="J67" s="5651" t="s">
        <v>3357</v>
      </c>
      <c r="K67" s="5651" t="s">
        <v>3358</v>
      </c>
      <c r="L67" s="5651" t="s">
        <v>2468</v>
      </c>
      <c r="M67" s="5654">
        <v>0</v>
      </c>
      <c r="N67" s="5654">
        <v>0</v>
      </c>
      <c r="O67" s="5654">
        <v>1</v>
      </c>
      <c r="P67" s="5651" t="s">
        <v>3359</v>
      </c>
      <c r="Q67" s="5651" t="s">
        <v>2470</v>
      </c>
      <c r="R67" s="5659" t="s">
        <v>3327</v>
      </c>
      <c r="S67" s="1386"/>
      <c r="T67" s="2137"/>
      <c r="U67" s="2137"/>
      <c r="V67" s="2138"/>
      <c r="W67" s="2139"/>
      <c r="X67" s="1921"/>
      <c r="Y67" s="2140"/>
      <c r="Z67" s="2140"/>
      <c r="AA67" s="2140"/>
      <c r="AB67" s="2141"/>
      <c r="AC67" s="1921"/>
      <c r="AD67" s="2142"/>
      <c r="AE67" s="2142"/>
      <c r="AF67" s="5684"/>
    </row>
    <row r="68" spans="1:32" ht="24" customHeight="1">
      <c r="A68" s="4564"/>
      <c r="B68" s="4623"/>
      <c r="C68" s="5717"/>
      <c r="D68" s="5652"/>
      <c r="E68" s="5652"/>
      <c r="F68" s="5652"/>
      <c r="G68" s="5652"/>
      <c r="H68" s="5652"/>
      <c r="I68" s="5652"/>
      <c r="J68" s="5652"/>
      <c r="K68" s="5652"/>
      <c r="L68" s="5652"/>
      <c r="M68" s="5652"/>
      <c r="N68" s="5652"/>
      <c r="O68" s="5652"/>
      <c r="P68" s="5652"/>
      <c r="Q68" s="5652"/>
      <c r="R68" s="5656"/>
      <c r="S68" s="1375"/>
      <c r="T68" s="1376"/>
      <c r="U68" s="1376"/>
      <c r="V68" s="1388"/>
      <c r="W68" s="1394"/>
      <c r="X68" s="1395"/>
      <c r="Y68" s="1377"/>
      <c r="Z68" s="1377"/>
      <c r="AA68" s="1377"/>
      <c r="AB68" s="1378"/>
      <c r="AC68" s="1395"/>
      <c r="AD68" s="449"/>
      <c r="AE68" s="449"/>
      <c r="AF68" s="4717"/>
    </row>
    <row r="69" spans="1:32" ht="24" customHeight="1">
      <c r="A69" s="4564"/>
      <c r="B69" s="4623"/>
      <c r="C69" s="5717"/>
      <c r="D69" s="5652"/>
      <c r="E69" s="5652"/>
      <c r="F69" s="5652"/>
      <c r="G69" s="5652"/>
      <c r="H69" s="5652"/>
      <c r="I69" s="5652"/>
      <c r="J69" s="5652"/>
      <c r="K69" s="5652"/>
      <c r="L69" s="5652"/>
      <c r="M69" s="5652"/>
      <c r="N69" s="5652"/>
      <c r="O69" s="5652"/>
      <c r="P69" s="5652"/>
      <c r="Q69" s="5652"/>
      <c r="R69" s="5656"/>
      <c r="S69" s="1375"/>
      <c r="T69" s="1376"/>
      <c r="U69" s="1376"/>
      <c r="V69" s="1388"/>
      <c r="W69" s="1394"/>
      <c r="X69" s="1395"/>
      <c r="Y69" s="1377"/>
      <c r="Z69" s="1377"/>
      <c r="AA69" s="1377"/>
      <c r="AB69" s="1378"/>
      <c r="AC69" s="1395"/>
      <c r="AD69" s="449"/>
      <c r="AE69" s="449"/>
      <c r="AF69" s="4717"/>
    </row>
    <row r="70" spans="1:32" ht="24" customHeight="1">
      <c r="A70" s="4564"/>
      <c r="B70" s="4623"/>
      <c r="C70" s="5717"/>
      <c r="D70" s="5652"/>
      <c r="E70" s="5652"/>
      <c r="F70" s="5652"/>
      <c r="G70" s="5652"/>
      <c r="H70" s="5652"/>
      <c r="I70" s="5652"/>
      <c r="J70" s="5652"/>
      <c r="K70" s="5652"/>
      <c r="L70" s="5652"/>
      <c r="M70" s="5652"/>
      <c r="N70" s="5652"/>
      <c r="O70" s="5652"/>
      <c r="P70" s="5652"/>
      <c r="Q70" s="5652"/>
      <c r="R70" s="5656"/>
      <c r="S70" s="1375"/>
      <c r="T70" s="1376"/>
      <c r="U70" s="1376"/>
      <c r="V70" s="1388"/>
      <c r="W70" s="1394"/>
      <c r="X70" s="1395"/>
      <c r="Y70" s="1377"/>
      <c r="Z70" s="1377"/>
      <c r="AA70" s="1377"/>
      <c r="AB70" s="1378"/>
      <c r="AC70" s="1395"/>
      <c r="AD70" s="449"/>
      <c r="AE70" s="449"/>
      <c r="AF70" s="4717"/>
    </row>
    <row r="71" spans="1:32" ht="24" customHeight="1">
      <c r="A71" s="4564"/>
      <c r="B71" s="4623"/>
      <c r="C71" s="5718"/>
      <c r="D71" s="5653"/>
      <c r="E71" s="5653"/>
      <c r="F71" s="5653"/>
      <c r="G71" s="5653"/>
      <c r="H71" s="5653"/>
      <c r="I71" s="5653"/>
      <c r="J71" s="5653"/>
      <c r="K71" s="5653"/>
      <c r="L71" s="5653"/>
      <c r="M71" s="5653"/>
      <c r="N71" s="5653"/>
      <c r="O71" s="5653"/>
      <c r="P71" s="5653"/>
      <c r="Q71" s="5653"/>
      <c r="R71" s="5657"/>
      <c r="S71" s="1381"/>
      <c r="T71" s="1382"/>
      <c r="U71" s="1382"/>
      <c r="V71" s="450"/>
      <c r="W71" s="1383"/>
      <c r="X71" s="448"/>
      <c r="Y71" s="1384"/>
      <c r="Z71" s="1384"/>
      <c r="AA71" s="1384"/>
      <c r="AB71" s="1385"/>
      <c r="AC71" s="448"/>
      <c r="AD71" s="451"/>
      <c r="AE71" s="451"/>
      <c r="AF71" s="4718"/>
    </row>
    <row r="72" spans="1:32" ht="18" customHeight="1">
      <c r="A72" s="4564"/>
      <c r="B72" s="4623"/>
      <c r="C72" s="5716" t="s">
        <v>272</v>
      </c>
      <c r="D72" s="5651" t="s">
        <v>302</v>
      </c>
      <c r="E72" s="5651" t="s">
        <v>303</v>
      </c>
      <c r="F72" s="5651" t="s">
        <v>318</v>
      </c>
      <c r="G72" s="5664" t="s">
        <v>305</v>
      </c>
      <c r="H72" s="5651" t="s">
        <v>240</v>
      </c>
      <c r="I72" s="5651" t="s">
        <v>294</v>
      </c>
      <c r="J72" s="5651" t="s">
        <v>3360</v>
      </c>
      <c r="K72" s="5651" t="s">
        <v>1966</v>
      </c>
      <c r="L72" s="5651" t="s">
        <v>2473</v>
      </c>
      <c r="M72" s="5654">
        <v>0</v>
      </c>
      <c r="N72" s="5654">
        <v>0</v>
      </c>
      <c r="O72" s="5654">
        <v>1</v>
      </c>
      <c r="P72" s="5651" t="s">
        <v>2474</v>
      </c>
      <c r="Q72" s="5651" t="s">
        <v>2475</v>
      </c>
      <c r="R72" s="5659" t="s">
        <v>3361</v>
      </c>
      <c r="S72" s="1386"/>
      <c r="T72" s="2137"/>
      <c r="U72" s="2137"/>
      <c r="V72" s="2138"/>
      <c r="W72" s="2139"/>
      <c r="X72" s="1921"/>
      <c r="Y72" s="2140"/>
      <c r="Z72" s="2140"/>
      <c r="AA72" s="2140"/>
      <c r="AB72" s="2141"/>
      <c r="AC72" s="1921"/>
      <c r="AD72" s="2142"/>
      <c r="AE72" s="2142"/>
      <c r="AF72" s="5684"/>
    </row>
    <row r="73" spans="1:32" ht="18" customHeight="1">
      <c r="A73" s="4564"/>
      <c r="B73" s="4623"/>
      <c r="C73" s="5717"/>
      <c r="D73" s="5652"/>
      <c r="E73" s="5652"/>
      <c r="F73" s="5652"/>
      <c r="G73" s="5652"/>
      <c r="H73" s="5652"/>
      <c r="I73" s="5652"/>
      <c r="J73" s="5652"/>
      <c r="K73" s="5652"/>
      <c r="L73" s="5652"/>
      <c r="M73" s="5652"/>
      <c r="N73" s="5652"/>
      <c r="O73" s="5652"/>
      <c r="P73" s="5652"/>
      <c r="Q73" s="5652"/>
      <c r="R73" s="5656"/>
      <c r="S73" s="1375"/>
      <c r="T73" s="1376"/>
      <c r="U73" s="1376"/>
      <c r="V73" s="1388"/>
      <c r="W73" s="1394"/>
      <c r="X73" s="1395"/>
      <c r="Y73" s="1377"/>
      <c r="Z73" s="1377"/>
      <c r="AA73" s="1377"/>
      <c r="AB73" s="1378"/>
      <c r="AC73" s="1395"/>
      <c r="AD73" s="449"/>
      <c r="AE73" s="449"/>
      <c r="AF73" s="4717"/>
    </row>
    <row r="74" spans="1:32" ht="18" customHeight="1">
      <c r="A74" s="4564"/>
      <c r="B74" s="4623"/>
      <c r="C74" s="5717"/>
      <c r="D74" s="5652"/>
      <c r="E74" s="5652"/>
      <c r="F74" s="5652"/>
      <c r="G74" s="5652"/>
      <c r="H74" s="5652"/>
      <c r="I74" s="5652"/>
      <c r="J74" s="5652"/>
      <c r="K74" s="5652"/>
      <c r="L74" s="5652"/>
      <c r="M74" s="5652"/>
      <c r="N74" s="5652"/>
      <c r="O74" s="5652"/>
      <c r="P74" s="5652"/>
      <c r="Q74" s="5652"/>
      <c r="R74" s="5656"/>
      <c r="S74" s="1375"/>
      <c r="T74" s="1376"/>
      <c r="U74" s="1376"/>
      <c r="V74" s="1388"/>
      <c r="W74" s="1394"/>
      <c r="X74" s="1395"/>
      <c r="Y74" s="1377"/>
      <c r="Z74" s="1377"/>
      <c r="AA74" s="1377"/>
      <c r="AB74" s="1378"/>
      <c r="AC74" s="1395"/>
      <c r="AD74" s="449"/>
      <c r="AE74" s="449"/>
      <c r="AF74" s="4717"/>
    </row>
    <row r="75" spans="1:32" ht="18" customHeight="1">
      <c r="A75" s="4564"/>
      <c r="B75" s="4623"/>
      <c r="C75" s="5717"/>
      <c r="D75" s="5652"/>
      <c r="E75" s="5652"/>
      <c r="F75" s="5652"/>
      <c r="G75" s="5652"/>
      <c r="H75" s="5652"/>
      <c r="I75" s="5652"/>
      <c r="J75" s="5652"/>
      <c r="K75" s="5652"/>
      <c r="L75" s="5652"/>
      <c r="M75" s="5652"/>
      <c r="N75" s="5652"/>
      <c r="O75" s="5652"/>
      <c r="P75" s="5652"/>
      <c r="Q75" s="5652"/>
      <c r="R75" s="5656"/>
      <c r="S75" s="1379"/>
      <c r="T75" s="1380"/>
      <c r="U75" s="1380"/>
      <c r="V75" s="1388"/>
      <c r="W75" s="1394"/>
      <c r="X75" s="1395"/>
      <c r="Y75" s="1377"/>
      <c r="Z75" s="1377"/>
      <c r="AA75" s="1377"/>
      <c r="AB75" s="1378"/>
      <c r="AC75" s="1395"/>
      <c r="AD75" s="449"/>
      <c r="AE75" s="449"/>
      <c r="AF75" s="4717"/>
    </row>
    <row r="76" spans="1:32" ht="18" customHeight="1">
      <c r="A76" s="4564"/>
      <c r="B76" s="4623"/>
      <c r="C76" s="5718"/>
      <c r="D76" s="5653"/>
      <c r="E76" s="5653"/>
      <c r="F76" s="5653"/>
      <c r="G76" s="5653"/>
      <c r="H76" s="5653"/>
      <c r="I76" s="5653"/>
      <c r="J76" s="5653"/>
      <c r="K76" s="5653"/>
      <c r="L76" s="5653"/>
      <c r="M76" s="5653"/>
      <c r="N76" s="5653"/>
      <c r="O76" s="5653"/>
      <c r="P76" s="5653"/>
      <c r="Q76" s="5653"/>
      <c r="R76" s="5657"/>
      <c r="S76" s="1381"/>
      <c r="T76" s="1382"/>
      <c r="U76" s="1382"/>
      <c r="V76" s="450"/>
      <c r="W76" s="1383"/>
      <c r="X76" s="448"/>
      <c r="Y76" s="1384"/>
      <c r="Z76" s="1384"/>
      <c r="AA76" s="1384"/>
      <c r="AB76" s="1385"/>
      <c r="AC76" s="448"/>
      <c r="AD76" s="451"/>
      <c r="AE76" s="451"/>
      <c r="AF76" s="4718"/>
    </row>
    <row r="77" spans="1:32" ht="24" customHeight="1">
      <c r="A77" s="4564"/>
      <c r="B77" s="4623"/>
      <c r="C77" s="5716" t="s">
        <v>235</v>
      </c>
      <c r="D77" s="5651" t="s">
        <v>236</v>
      </c>
      <c r="E77" s="5651" t="s">
        <v>237</v>
      </c>
      <c r="F77" s="5651" t="s">
        <v>326</v>
      </c>
      <c r="G77" s="5664" t="s">
        <v>239</v>
      </c>
      <c r="H77" s="5651" t="s">
        <v>240</v>
      </c>
      <c r="I77" s="5651" t="s">
        <v>278</v>
      </c>
      <c r="J77" s="5651" t="s">
        <v>3362</v>
      </c>
      <c r="K77" s="5651" t="s">
        <v>338</v>
      </c>
      <c r="L77" s="5651" t="s">
        <v>3363</v>
      </c>
      <c r="M77" s="5654">
        <v>0</v>
      </c>
      <c r="N77" s="5654">
        <v>1</v>
      </c>
      <c r="O77" s="5654">
        <v>1</v>
      </c>
      <c r="P77" s="5651" t="s">
        <v>3364</v>
      </c>
      <c r="Q77" s="5651" t="s">
        <v>3365</v>
      </c>
      <c r="R77" s="5659" t="s">
        <v>3366</v>
      </c>
      <c r="S77" s="1386"/>
      <c r="T77" s="2137"/>
      <c r="U77" s="2137"/>
      <c r="V77" s="2138"/>
      <c r="W77" s="2139"/>
      <c r="X77" s="1921"/>
      <c r="Y77" s="2140"/>
      <c r="Z77" s="2140"/>
      <c r="AA77" s="2140"/>
      <c r="AB77" s="2141"/>
      <c r="AC77" s="1921"/>
      <c r="AD77" s="2142"/>
      <c r="AE77" s="2142"/>
      <c r="AF77" s="5684"/>
    </row>
    <row r="78" spans="1:32" ht="24" customHeight="1">
      <c r="A78" s="4564"/>
      <c r="B78" s="4623"/>
      <c r="C78" s="5717"/>
      <c r="D78" s="5652"/>
      <c r="E78" s="5652"/>
      <c r="F78" s="5652"/>
      <c r="G78" s="5652"/>
      <c r="H78" s="5652"/>
      <c r="I78" s="5652"/>
      <c r="J78" s="5652"/>
      <c r="K78" s="5652"/>
      <c r="L78" s="5652"/>
      <c r="M78" s="5652"/>
      <c r="N78" s="5652"/>
      <c r="O78" s="5652"/>
      <c r="P78" s="5652"/>
      <c r="Q78" s="5652"/>
      <c r="R78" s="5656"/>
      <c r="S78" s="1375"/>
      <c r="T78" s="1376"/>
      <c r="U78" s="1376"/>
      <c r="V78" s="1388"/>
      <c r="W78" s="1394"/>
      <c r="X78" s="1395"/>
      <c r="Y78" s="1377"/>
      <c r="Z78" s="1377"/>
      <c r="AA78" s="1377"/>
      <c r="AB78" s="1378"/>
      <c r="AC78" s="1395"/>
      <c r="AD78" s="449"/>
      <c r="AE78" s="449"/>
      <c r="AF78" s="4717"/>
    </row>
    <row r="79" spans="1:32" ht="24" customHeight="1">
      <c r="A79" s="4564"/>
      <c r="B79" s="4623"/>
      <c r="C79" s="5717"/>
      <c r="D79" s="5652"/>
      <c r="E79" s="5652"/>
      <c r="F79" s="5652"/>
      <c r="G79" s="5652"/>
      <c r="H79" s="5652"/>
      <c r="I79" s="5652"/>
      <c r="J79" s="5652"/>
      <c r="K79" s="5652"/>
      <c r="L79" s="5652"/>
      <c r="M79" s="5652"/>
      <c r="N79" s="5652"/>
      <c r="O79" s="5652"/>
      <c r="P79" s="5652"/>
      <c r="Q79" s="5652"/>
      <c r="R79" s="5656"/>
      <c r="S79" s="1375"/>
      <c r="T79" s="1376"/>
      <c r="U79" s="1376"/>
      <c r="V79" s="1388"/>
      <c r="W79" s="1394"/>
      <c r="X79" s="1395"/>
      <c r="Y79" s="1377"/>
      <c r="Z79" s="1377"/>
      <c r="AA79" s="1377"/>
      <c r="AB79" s="1378"/>
      <c r="AC79" s="1395"/>
      <c r="AD79" s="449"/>
      <c r="AE79" s="449"/>
      <c r="AF79" s="4717"/>
    </row>
    <row r="80" spans="1:32" ht="24" customHeight="1">
      <c r="A80" s="4564"/>
      <c r="B80" s="4623"/>
      <c r="C80" s="5717"/>
      <c r="D80" s="5652"/>
      <c r="E80" s="5652"/>
      <c r="F80" s="5652"/>
      <c r="G80" s="5652"/>
      <c r="H80" s="5652"/>
      <c r="I80" s="5652"/>
      <c r="J80" s="5652"/>
      <c r="K80" s="5652"/>
      <c r="L80" s="5652"/>
      <c r="M80" s="5652"/>
      <c r="N80" s="5652"/>
      <c r="O80" s="5652"/>
      <c r="P80" s="5652"/>
      <c r="Q80" s="5652"/>
      <c r="R80" s="5656"/>
      <c r="S80" s="1375"/>
      <c r="T80" s="1376"/>
      <c r="U80" s="1376"/>
      <c r="V80" s="1388"/>
      <c r="W80" s="1394"/>
      <c r="X80" s="1395"/>
      <c r="Y80" s="1377"/>
      <c r="Z80" s="1377"/>
      <c r="AA80" s="1377"/>
      <c r="AB80" s="1378"/>
      <c r="AC80" s="1395"/>
      <c r="AD80" s="449"/>
      <c r="AE80" s="449"/>
      <c r="AF80" s="4717"/>
    </row>
    <row r="81" spans="1:32" ht="24" customHeight="1">
      <c r="A81" s="4564"/>
      <c r="B81" s="4623"/>
      <c r="C81" s="5718"/>
      <c r="D81" s="5653"/>
      <c r="E81" s="5653"/>
      <c r="F81" s="5653"/>
      <c r="G81" s="5653"/>
      <c r="H81" s="5653"/>
      <c r="I81" s="5653"/>
      <c r="J81" s="5653"/>
      <c r="K81" s="5653"/>
      <c r="L81" s="5653"/>
      <c r="M81" s="5653"/>
      <c r="N81" s="5653"/>
      <c r="O81" s="5653"/>
      <c r="P81" s="5653"/>
      <c r="Q81" s="5653"/>
      <c r="R81" s="5657"/>
      <c r="S81" s="1381"/>
      <c r="T81" s="1382"/>
      <c r="U81" s="1382"/>
      <c r="V81" s="450"/>
      <c r="W81" s="1383"/>
      <c r="X81" s="448"/>
      <c r="Y81" s="1384"/>
      <c r="Z81" s="1384"/>
      <c r="AA81" s="1384"/>
      <c r="AB81" s="1385"/>
      <c r="AC81" s="448"/>
      <c r="AD81" s="451"/>
      <c r="AE81" s="451"/>
      <c r="AF81" s="4718"/>
    </row>
    <row r="82" spans="1:32" ht="25.5" customHeight="1">
      <c r="A82" s="4564"/>
      <c r="B82" s="4623"/>
      <c r="C82" s="5716" t="s">
        <v>235</v>
      </c>
      <c r="D82" s="5651" t="s">
        <v>236</v>
      </c>
      <c r="E82" s="5651" t="s">
        <v>237</v>
      </c>
      <c r="F82" s="5651" t="s">
        <v>326</v>
      </c>
      <c r="G82" s="5664" t="s">
        <v>239</v>
      </c>
      <c r="H82" s="5651" t="s">
        <v>240</v>
      </c>
      <c r="I82" s="5651" t="s">
        <v>278</v>
      </c>
      <c r="J82" s="5651" t="s">
        <v>3367</v>
      </c>
      <c r="K82" s="5651" t="s">
        <v>707</v>
      </c>
      <c r="L82" s="5651" t="s">
        <v>3368</v>
      </c>
      <c r="M82" s="5654">
        <v>0</v>
      </c>
      <c r="N82" s="5654">
        <v>0</v>
      </c>
      <c r="O82" s="5654">
        <v>1</v>
      </c>
      <c r="P82" s="5651" t="s">
        <v>2982</v>
      </c>
      <c r="Q82" s="5651" t="s">
        <v>408</v>
      </c>
      <c r="R82" s="5659" t="s">
        <v>3369</v>
      </c>
      <c r="S82" s="1386"/>
      <c r="T82" s="2137"/>
      <c r="U82" s="2137"/>
      <c r="V82" s="2138"/>
      <c r="W82" s="2139"/>
      <c r="X82" s="1921"/>
      <c r="Y82" s="2140"/>
      <c r="Z82" s="2140"/>
      <c r="AA82" s="2140"/>
      <c r="AB82" s="2141"/>
      <c r="AC82" s="1921"/>
      <c r="AD82" s="2142"/>
      <c r="AE82" s="2142"/>
      <c r="AF82" s="5684"/>
    </row>
    <row r="83" spans="1:32" ht="25.5" customHeight="1">
      <c r="A83" s="4564"/>
      <c r="B83" s="4623"/>
      <c r="C83" s="5717"/>
      <c r="D83" s="5652"/>
      <c r="E83" s="5652"/>
      <c r="F83" s="5652"/>
      <c r="G83" s="5652"/>
      <c r="H83" s="5652"/>
      <c r="I83" s="5652"/>
      <c r="J83" s="5652"/>
      <c r="K83" s="5652"/>
      <c r="L83" s="5652"/>
      <c r="M83" s="5652"/>
      <c r="N83" s="5652"/>
      <c r="O83" s="5652"/>
      <c r="P83" s="5652"/>
      <c r="Q83" s="5652"/>
      <c r="R83" s="5656"/>
      <c r="S83" s="1375"/>
      <c r="T83" s="1376"/>
      <c r="U83" s="1376"/>
      <c r="V83" s="1388"/>
      <c r="W83" s="1394"/>
      <c r="X83" s="1395"/>
      <c r="Y83" s="1377"/>
      <c r="Z83" s="1377"/>
      <c r="AA83" s="1377"/>
      <c r="AB83" s="1378"/>
      <c r="AC83" s="1395"/>
      <c r="AD83" s="449"/>
      <c r="AE83" s="449"/>
      <c r="AF83" s="4717"/>
    </row>
    <row r="84" spans="1:32" ht="25.5" customHeight="1">
      <c r="A84" s="4564"/>
      <c r="B84" s="4623"/>
      <c r="C84" s="5717"/>
      <c r="D84" s="5652"/>
      <c r="E84" s="5652"/>
      <c r="F84" s="5652"/>
      <c r="G84" s="5652"/>
      <c r="H84" s="5652"/>
      <c r="I84" s="5652"/>
      <c r="J84" s="5652"/>
      <c r="K84" s="5652"/>
      <c r="L84" s="5652"/>
      <c r="M84" s="5652"/>
      <c r="N84" s="5652"/>
      <c r="O84" s="5652"/>
      <c r="P84" s="5652"/>
      <c r="Q84" s="5652"/>
      <c r="R84" s="5656"/>
      <c r="S84" s="1375"/>
      <c r="T84" s="1376"/>
      <c r="U84" s="1376"/>
      <c r="V84" s="1388"/>
      <c r="W84" s="1394"/>
      <c r="X84" s="1395"/>
      <c r="Y84" s="1377"/>
      <c r="Z84" s="1377"/>
      <c r="AA84" s="1377"/>
      <c r="AB84" s="1378"/>
      <c r="AC84" s="1395"/>
      <c r="AD84" s="449"/>
      <c r="AE84" s="449"/>
      <c r="AF84" s="4717"/>
    </row>
    <row r="85" spans="1:32" ht="25.5" customHeight="1">
      <c r="A85" s="4564"/>
      <c r="B85" s="4623"/>
      <c r="C85" s="5717"/>
      <c r="D85" s="5652"/>
      <c r="E85" s="5652"/>
      <c r="F85" s="5652"/>
      <c r="G85" s="5652"/>
      <c r="H85" s="5652"/>
      <c r="I85" s="5652"/>
      <c r="J85" s="5652"/>
      <c r="K85" s="5652"/>
      <c r="L85" s="5652"/>
      <c r="M85" s="5652"/>
      <c r="N85" s="5652"/>
      <c r="O85" s="5652"/>
      <c r="P85" s="5652"/>
      <c r="Q85" s="5652"/>
      <c r="R85" s="5656"/>
      <c r="S85" s="1375"/>
      <c r="T85" s="1376"/>
      <c r="U85" s="1376"/>
      <c r="V85" s="1388"/>
      <c r="W85" s="1394"/>
      <c r="X85" s="1395"/>
      <c r="Y85" s="1377"/>
      <c r="Z85" s="1377"/>
      <c r="AA85" s="1377"/>
      <c r="AB85" s="1378"/>
      <c r="AC85" s="1395"/>
      <c r="AD85" s="449"/>
      <c r="AE85" s="449"/>
      <c r="AF85" s="4717"/>
    </row>
    <row r="86" spans="1:32" ht="25.5" customHeight="1" thickBot="1">
      <c r="A86" s="4564"/>
      <c r="B86" s="4623"/>
      <c r="C86" s="5720"/>
      <c r="D86" s="5658"/>
      <c r="E86" s="5658"/>
      <c r="F86" s="5658"/>
      <c r="G86" s="5658"/>
      <c r="H86" s="5658"/>
      <c r="I86" s="5658"/>
      <c r="J86" s="5658"/>
      <c r="K86" s="5658"/>
      <c r="L86" s="5658"/>
      <c r="M86" s="5658"/>
      <c r="N86" s="5658"/>
      <c r="O86" s="5658"/>
      <c r="P86" s="5658"/>
      <c r="Q86" s="5658"/>
      <c r="R86" s="5660"/>
      <c r="S86" s="1415"/>
      <c r="T86" s="1416"/>
      <c r="U86" s="1416"/>
      <c r="V86" s="1417"/>
      <c r="W86" s="1418"/>
      <c r="X86" s="1419"/>
      <c r="Y86" s="1420"/>
      <c r="Z86" s="1420"/>
      <c r="AA86" s="1420"/>
      <c r="AB86" s="1421"/>
      <c r="AC86" s="1419"/>
      <c r="AD86" s="1422"/>
      <c r="AE86" s="1422"/>
      <c r="AF86" s="4444"/>
    </row>
    <row r="87" spans="1:32" ht="22.5" customHeight="1" thickBot="1">
      <c r="A87" s="4564"/>
      <c r="B87" s="5726"/>
      <c r="C87" s="5673"/>
      <c r="D87" s="4567"/>
      <c r="E87" s="4567"/>
      <c r="F87" s="4567"/>
      <c r="G87" s="4567"/>
      <c r="H87" s="4567"/>
      <c r="I87" s="4567"/>
      <c r="J87" s="4567"/>
      <c r="K87" s="4567"/>
      <c r="L87" s="4567"/>
      <c r="M87" s="4567"/>
      <c r="N87" s="4567"/>
      <c r="O87" s="4567"/>
      <c r="P87" s="4567"/>
      <c r="Q87" s="4567"/>
      <c r="R87" s="5674"/>
      <c r="S87" s="5707" t="s">
        <v>1561</v>
      </c>
      <c r="T87" s="5111"/>
      <c r="U87" s="5111"/>
      <c r="V87" s="5111"/>
      <c r="W87" s="5111"/>
      <c r="X87" s="5111"/>
      <c r="Y87" s="5111"/>
      <c r="Z87" s="5111"/>
      <c r="AA87" s="2147" t="s">
        <v>340</v>
      </c>
      <c r="AB87" s="2148">
        <f>SUM(AB9:AB86)</f>
        <v>17248.000000000004</v>
      </c>
      <c r="AC87" s="5709"/>
      <c r="AD87" s="5111"/>
      <c r="AE87" s="5111"/>
      <c r="AF87" s="4717"/>
    </row>
    <row r="88" spans="1:32" ht="18" customHeight="1">
      <c r="A88" s="4564"/>
      <c r="B88" s="5727" t="s">
        <v>1562</v>
      </c>
      <c r="C88" s="5723" t="s">
        <v>272</v>
      </c>
      <c r="D88" s="5575" t="s">
        <v>302</v>
      </c>
      <c r="E88" s="5575" t="s">
        <v>303</v>
      </c>
      <c r="F88" s="5575" t="s">
        <v>304</v>
      </c>
      <c r="G88" s="5580" t="s">
        <v>305</v>
      </c>
      <c r="H88" s="5575" t="s">
        <v>240</v>
      </c>
      <c r="I88" s="5575" t="s">
        <v>241</v>
      </c>
      <c r="J88" s="5575" t="s">
        <v>3370</v>
      </c>
      <c r="K88" s="5575" t="s">
        <v>1563</v>
      </c>
      <c r="L88" s="5575" t="s">
        <v>3371</v>
      </c>
      <c r="M88" s="5607">
        <v>2</v>
      </c>
      <c r="N88" s="5607">
        <v>0</v>
      </c>
      <c r="O88" s="5607">
        <v>2</v>
      </c>
      <c r="P88" s="5575" t="s">
        <v>3372</v>
      </c>
      <c r="Q88" s="5575" t="s">
        <v>1982</v>
      </c>
      <c r="R88" s="5581" t="s">
        <v>3373</v>
      </c>
      <c r="S88" s="1367"/>
      <c r="T88" s="1368"/>
      <c r="U88" s="1368"/>
      <c r="V88" s="1369"/>
      <c r="W88" s="1370"/>
      <c r="X88" s="1371"/>
      <c r="Y88" s="1372"/>
      <c r="Z88" s="1372"/>
      <c r="AA88" s="1372"/>
      <c r="AB88" s="1373"/>
      <c r="AC88" s="1371"/>
      <c r="AD88" s="1374"/>
      <c r="AE88" s="1374"/>
      <c r="AF88" s="5687"/>
    </row>
    <row r="89" spans="1:32" ht="18" customHeight="1">
      <c r="A89" s="4564"/>
      <c r="B89" s="4623"/>
      <c r="C89" s="5584"/>
      <c r="D89" s="4629"/>
      <c r="E89" s="4629"/>
      <c r="F89" s="4629"/>
      <c r="G89" s="4629"/>
      <c r="H89" s="4629"/>
      <c r="I89" s="4629"/>
      <c r="J89" s="4629"/>
      <c r="K89" s="4629"/>
      <c r="L89" s="4629"/>
      <c r="M89" s="4629"/>
      <c r="N89" s="4629"/>
      <c r="O89" s="4629"/>
      <c r="P89" s="4629"/>
      <c r="Q89" s="4629"/>
      <c r="R89" s="5531"/>
      <c r="S89" s="1375"/>
      <c r="T89" s="1376"/>
      <c r="U89" s="1376"/>
      <c r="V89" s="1388"/>
      <c r="W89" s="1394"/>
      <c r="X89" s="1395"/>
      <c r="Y89" s="1377"/>
      <c r="Z89" s="1377"/>
      <c r="AA89" s="1377"/>
      <c r="AB89" s="1378"/>
      <c r="AC89" s="1395"/>
      <c r="AD89" s="449"/>
      <c r="AE89" s="449"/>
      <c r="AF89" s="5688"/>
    </row>
    <row r="90" spans="1:32" ht="18" customHeight="1">
      <c r="A90" s="4564"/>
      <c r="B90" s="4623"/>
      <c r="C90" s="5584"/>
      <c r="D90" s="4629"/>
      <c r="E90" s="4629"/>
      <c r="F90" s="4629"/>
      <c r="G90" s="4629"/>
      <c r="H90" s="4629"/>
      <c r="I90" s="4629"/>
      <c r="J90" s="4629"/>
      <c r="K90" s="4629"/>
      <c r="L90" s="4629"/>
      <c r="M90" s="4629"/>
      <c r="N90" s="4629"/>
      <c r="O90" s="4629"/>
      <c r="P90" s="4629"/>
      <c r="Q90" s="4629"/>
      <c r="R90" s="5531"/>
      <c r="S90" s="1375"/>
      <c r="T90" s="1376"/>
      <c r="U90" s="1376"/>
      <c r="V90" s="1388"/>
      <c r="W90" s="1394"/>
      <c r="X90" s="1395"/>
      <c r="Y90" s="1377"/>
      <c r="Z90" s="1377"/>
      <c r="AA90" s="1377"/>
      <c r="AB90" s="1378"/>
      <c r="AC90" s="1395"/>
      <c r="AD90" s="449"/>
      <c r="AE90" s="449"/>
      <c r="AF90" s="5688"/>
    </row>
    <row r="91" spans="1:32" ht="18" customHeight="1">
      <c r="A91" s="4564"/>
      <c r="B91" s="4623"/>
      <c r="C91" s="5584"/>
      <c r="D91" s="4629"/>
      <c r="E91" s="4629"/>
      <c r="F91" s="4629"/>
      <c r="G91" s="4629"/>
      <c r="H91" s="4629"/>
      <c r="I91" s="4629"/>
      <c r="J91" s="4629"/>
      <c r="K91" s="4629"/>
      <c r="L91" s="4629"/>
      <c r="M91" s="4629"/>
      <c r="N91" s="4629"/>
      <c r="O91" s="4629"/>
      <c r="P91" s="4629"/>
      <c r="Q91" s="4629"/>
      <c r="R91" s="5531"/>
      <c r="S91" s="1379"/>
      <c r="T91" s="1380"/>
      <c r="U91" s="1380"/>
      <c r="V91" s="1388"/>
      <c r="W91" s="1394"/>
      <c r="X91" s="1395"/>
      <c r="Y91" s="1377"/>
      <c r="Z91" s="1377"/>
      <c r="AA91" s="1377"/>
      <c r="AB91" s="1378"/>
      <c r="AC91" s="1395"/>
      <c r="AD91" s="449"/>
      <c r="AE91" s="449"/>
      <c r="AF91" s="5688"/>
    </row>
    <row r="92" spans="1:32" ht="18" customHeight="1">
      <c r="A92" s="4564"/>
      <c r="B92" s="4623"/>
      <c r="C92" s="5585"/>
      <c r="D92" s="4630"/>
      <c r="E92" s="4630"/>
      <c r="F92" s="4630"/>
      <c r="G92" s="4630"/>
      <c r="H92" s="4630"/>
      <c r="I92" s="4630"/>
      <c r="J92" s="4630"/>
      <c r="K92" s="4630"/>
      <c r="L92" s="4630"/>
      <c r="M92" s="4630"/>
      <c r="N92" s="4630"/>
      <c r="O92" s="4630"/>
      <c r="P92" s="4630"/>
      <c r="Q92" s="4630"/>
      <c r="R92" s="5532"/>
      <c r="S92" s="1381"/>
      <c r="T92" s="1382"/>
      <c r="U92" s="1382"/>
      <c r="V92" s="450"/>
      <c r="W92" s="1383"/>
      <c r="X92" s="448"/>
      <c r="Y92" s="1384"/>
      <c r="Z92" s="1384"/>
      <c r="AA92" s="1384"/>
      <c r="AB92" s="1385"/>
      <c r="AC92" s="448"/>
      <c r="AD92" s="451"/>
      <c r="AE92" s="451"/>
      <c r="AF92" s="5689"/>
    </row>
    <row r="93" spans="1:32" ht="18" customHeight="1">
      <c r="A93" s="4564"/>
      <c r="B93" s="4623"/>
      <c r="C93" s="5715" t="s">
        <v>272</v>
      </c>
      <c r="D93" s="5566" t="s">
        <v>302</v>
      </c>
      <c r="E93" s="5566" t="s">
        <v>303</v>
      </c>
      <c r="F93" s="5566" t="s">
        <v>304</v>
      </c>
      <c r="G93" s="5567" t="s">
        <v>305</v>
      </c>
      <c r="H93" s="5566" t="s">
        <v>240</v>
      </c>
      <c r="I93" s="5566" t="s">
        <v>241</v>
      </c>
      <c r="J93" s="5566" t="s">
        <v>3374</v>
      </c>
      <c r="K93" s="5566" t="s">
        <v>1568</v>
      </c>
      <c r="L93" s="5566" t="s">
        <v>2489</v>
      </c>
      <c r="M93" s="4662">
        <v>3</v>
      </c>
      <c r="N93" s="4662">
        <v>3</v>
      </c>
      <c r="O93" s="4662">
        <v>3</v>
      </c>
      <c r="P93" s="5566" t="s">
        <v>1570</v>
      </c>
      <c r="Q93" s="5566" t="s">
        <v>1571</v>
      </c>
      <c r="R93" s="5681" t="s">
        <v>3373</v>
      </c>
      <c r="S93" s="1386"/>
      <c r="T93" s="2137"/>
      <c r="U93" s="2137"/>
      <c r="V93" s="2138"/>
      <c r="W93" s="2139"/>
      <c r="X93" s="1921"/>
      <c r="Y93" s="2140"/>
      <c r="Z93" s="2140"/>
      <c r="AA93" s="2140"/>
      <c r="AB93" s="2141"/>
      <c r="AC93" s="1921"/>
      <c r="AD93" s="2142"/>
      <c r="AE93" s="2142"/>
      <c r="AF93" s="5684"/>
    </row>
    <row r="94" spans="1:32" ht="18" customHeight="1">
      <c r="A94" s="4564"/>
      <c r="B94" s="4623"/>
      <c r="C94" s="5584"/>
      <c r="D94" s="4629"/>
      <c r="E94" s="4629"/>
      <c r="F94" s="4629"/>
      <c r="G94" s="4629"/>
      <c r="H94" s="4629"/>
      <c r="I94" s="4629"/>
      <c r="J94" s="4629"/>
      <c r="K94" s="4629"/>
      <c r="L94" s="4629"/>
      <c r="M94" s="4629"/>
      <c r="N94" s="4629"/>
      <c r="O94" s="4629"/>
      <c r="P94" s="4629"/>
      <c r="Q94" s="4629"/>
      <c r="R94" s="5531"/>
      <c r="S94" s="1375"/>
      <c r="T94" s="1376"/>
      <c r="U94" s="1376"/>
      <c r="V94" s="1388"/>
      <c r="W94" s="1394"/>
      <c r="X94" s="1395"/>
      <c r="Y94" s="1377"/>
      <c r="Z94" s="1377"/>
      <c r="AA94" s="1377"/>
      <c r="AB94" s="1378"/>
      <c r="AC94" s="1395"/>
      <c r="AD94" s="449"/>
      <c r="AE94" s="449"/>
      <c r="AF94" s="4717"/>
    </row>
    <row r="95" spans="1:32" ht="18" customHeight="1">
      <c r="A95" s="4564"/>
      <c r="B95" s="4623"/>
      <c r="C95" s="5584"/>
      <c r="D95" s="4629"/>
      <c r="E95" s="4629"/>
      <c r="F95" s="4629"/>
      <c r="G95" s="4629"/>
      <c r="H95" s="4629"/>
      <c r="I95" s="4629"/>
      <c r="J95" s="4629"/>
      <c r="K95" s="4629"/>
      <c r="L95" s="4629"/>
      <c r="M95" s="4629"/>
      <c r="N95" s="4629"/>
      <c r="O95" s="4629"/>
      <c r="P95" s="4629"/>
      <c r="Q95" s="4629"/>
      <c r="R95" s="5531"/>
      <c r="S95" s="1375"/>
      <c r="T95" s="1376"/>
      <c r="U95" s="1376"/>
      <c r="V95" s="1388"/>
      <c r="W95" s="1394"/>
      <c r="X95" s="1395"/>
      <c r="Y95" s="1377"/>
      <c r="Z95" s="1377"/>
      <c r="AA95" s="1377"/>
      <c r="AB95" s="1378"/>
      <c r="AC95" s="1395"/>
      <c r="AD95" s="449"/>
      <c r="AE95" s="449"/>
      <c r="AF95" s="4717"/>
    </row>
    <row r="96" spans="1:32" ht="18" customHeight="1">
      <c r="A96" s="4564"/>
      <c r="B96" s="4623"/>
      <c r="C96" s="5584"/>
      <c r="D96" s="4629"/>
      <c r="E96" s="4629"/>
      <c r="F96" s="4629"/>
      <c r="G96" s="4629"/>
      <c r="H96" s="4629"/>
      <c r="I96" s="4629"/>
      <c r="J96" s="4629"/>
      <c r="K96" s="4629"/>
      <c r="L96" s="4629"/>
      <c r="M96" s="4629"/>
      <c r="N96" s="4629"/>
      <c r="O96" s="4629"/>
      <c r="P96" s="4629"/>
      <c r="Q96" s="4629"/>
      <c r="R96" s="5531"/>
      <c r="S96" s="1379"/>
      <c r="T96" s="1380"/>
      <c r="U96" s="1380"/>
      <c r="V96" s="1388"/>
      <c r="W96" s="1394"/>
      <c r="X96" s="1395"/>
      <c r="Y96" s="1377"/>
      <c r="Z96" s="1377"/>
      <c r="AA96" s="1377"/>
      <c r="AB96" s="1378"/>
      <c r="AC96" s="1395"/>
      <c r="AD96" s="449"/>
      <c r="AE96" s="449"/>
      <c r="AF96" s="4717"/>
    </row>
    <row r="97" spans="1:32" ht="18" customHeight="1">
      <c r="A97" s="4564"/>
      <c r="B97" s="4623"/>
      <c r="C97" s="5585"/>
      <c r="D97" s="4630"/>
      <c r="E97" s="4630"/>
      <c r="F97" s="4630"/>
      <c r="G97" s="4630"/>
      <c r="H97" s="4630"/>
      <c r="I97" s="4630"/>
      <c r="J97" s="4630"/>
      <c r="K97" s="4630"/>
      <c r="L97" s="4630"/>
      <c r="M97" s="4630"/>
      <c r="N97" s="4630"/>
      <c r="O97" s="4630"/>
      <c r="P97" s="4630"/>
      <c r="Q97" s="4630"/>
      <c r="R97" s="5532"/>
      <c r="S97" s="1381"/>
      <c r="T97" s="1382"/>
      <c r="U97" s="1382"/>
      <c r="V97" s="450"/>
      <c r="W97" s="1383"/>
      <c r="X97" s="448"/>
      <c r="Y97" s="1384"/>
      <c r="Z97" s="1384"/>
      <c r="AA97" s="1384"/>
      <c r="AB97" s="1385"/>
      <c r="AC97" s="448"/>
      <c r="AD97" s="451"/>
      <c r="AE97" s="451"/>
      <c r="AF97" s="4718"/>
    </row>
    <row r="98" spans="1:32" ht="18" customHeight="1">
      <c r="A98" s="4564"/>
      <c r="B98" s="4623"/>
      <c r="C98" s="5715" t="s">
        <v>272</v>
      </c>
      <c r="D98" s="5566" t="s">
        <v>302</v>
      </c>
      <c r="E98" s="5566" t="s">
        <v>388</v>
      </c>
      <c r="F98" s="5566" t="s">
        <v>847</v>
      </c>
      <c r="G98" s="5567" t="s">
        <v>305</v>
      </c>
      <c r="H98" s="5566" t="s">
        <v>306</v>
      </c>
      <c r="I98" s="5566" t="s">
        <v>257</v>
      </c>
      <c r="J98" s="5566" t="s">
        <v>3375</v>
      </c>
      <c r="K98" s="5566" t="s">
        <v>1573</v>
      </c>
      <c r="L98" s="5566" t="s">
        <v>3376</v>
      </c>
      <c r="M98" s="4662">
        <v>0</v>
      </c>
      <c r="N98" s="4662">
        <v>0</v>
      </c>
      <c r="O98" s="4662">
        <v>0</v>
      </c>
      <c r="P98" s="5566"/>
      <c r="Q98" s="5566"/>
      <c r="R98" s="5681"/>
      <c r="S98" s="1386"/>
      <c r="T98" s="2137"/>
      <c r="U98" s="2137"/>
      <c r="V98" s="2138"/>
      <c r="W98" s="2139"/>
      <c r="X98" s="1921"/>
      <c r="Y98" s="2140"/>
      <c r="Z98" s="2140"/>
      <c r="AA98" s="2140"/>
      <c r="AB98" s="2141"/>
      <c r="AC98" s="1921"/>
      <c r="AD98" s="2142"/>
      <c r="AE98" s="2142"/>
      <c r="AF98" s="5684" t="s">
        <v>1990</v>
      </c>
    </row>
    <row r="99" spans="1:32" ht="18" customHeight="1">
      <c r="A99" s="4564"/>
      <c r="B99" s="4623"/>
      <c r="C99" s="5584"/>
      <c r="D99" s="4629"/>
      <c r="E99" s="4629"/>
      <c r="F99" s="4629"/>
      <c r="G99" s="4629"/>
      <c r="H99" s="4629"/>
      <c r="I99" s="4629"/>
      <c r="J99" s="4629"/>
      <c r="K99" s="4629"/>
      <c r="L99" s="4629"/>
      <c r="M99" s="4629"/>
      <c r="N99" s="4629"/>
      <c r="O99" s="4629"/>
      <c r="P99" s="4629"/>
      <c r="Q99" s="4629"/>
      <c r="R99" s="5531"/>
      <c r="S99" s="1375"/>
      <c r="T99" s="1376"/>
      <c r="U99" s="1376"/>
      <c r="V99" s="1388"/>
      <c r="W99" s="1394"/>
      <c r="X99" s="1395"/>
      <c r="Y99" s="1377"/>
      <c r="Z99" s="1377"/>
      <c r="AA99" s="1377"/>
      <c r="AB99" s="1378"/>
      <c r="AC99" s="1395"/>
      <c r="AD99" s="449"/>
      <c r="AE99" s="449"/>
      <c r="AF99" s="4717"/>
    </row>
    <row r="100" spans="1:32" ht="18" customHeight="1">
      <c r="A100" s="4564"/>
      <c r="B100" s="4623"/>
      <c r="C100" s="5584"/>
      <c r="D100" s="4629"/>
      <c r="E100" s="4629"/>
      <c r="F100" s="4629"/>
      <c r="G100" s="4629"/>
      <c r="H100" s="4629"/>
      <c r="I100" s="4629"/>
      <c r="J100" s="4629"/>
      <c r="K100" s="4629"/>
      <c r="L100" s="4629"/>
      <c r="M100" s="4629"/>
      <c r="N100" s="4629"/>
      <c r="O100" s="4629"/>
      <c r="P100" s="4629"/>
      <c r="Q100" s="4629"/>
      <c r="R100" s="5531"/>
      <c r="S100" s="1375"/>
      <c r="T100" s="1376"/>
      <c r="U100" s="1376"/>
      <c r="V100" s="1388"/>
      <c r="W100" s="1394"/>
      <c r="X100" s="1395"/>
      <c r="Y100" s="1377"/>
      <c r="Z100" s="1377"/>
      <c r="AA100" s="1377"/>
      <c r="AB100" s="1378"/>
      <c r="AC100" s="1395"/>
      <c r="AD100" s="449"/>
      <c r="AE100" s="449"/>
      <c r="AF100" s="4717"/>
    </row>
    <row r="101" spans="1:32" ht="18" customHeight="1">
      <c r="A101" s="4564"/>
      <c r="B101" s="4623"/>
      <c r="C101" s="5584"/>
      <c r="D101" s="4629"/>
      <c r="E101" s="4629"/>
      <c r="F101" s="4629"/>
      <c r="G101" s="4629"/>
      <c r="H101" s="4629"/>
      <c r="I101" s="4629"/>
      <c r="J101" s="4629"/>
      <c r="K101" s="4629"/>
      <c r="L101" s="4629"/>
      <c r="M101" s="4629"/>
      <c r="N101" s="4629"/>
      <c r="O101" s="4629"/>
      <c r="P101" s="4629"/>
      <c r="Q101" s="4629"/>
      <c r="R101" s="5531"/>
      <c r="S101" s="1379"/>
      <c r="T101" s="1380"/>
      <c r="U101" s="1380"/>
      <c r="V101" s="1388"/>
      <c r="W101" s="1394"/>
      <c r="X101" s="1395"/>
      <c r="Y101" s="1377"/>
      <c r="Z101" s="1377"/>
      <c r="AA101" s="1377"/>
      <c r="AB101" s="1378"/>
      <c r="AC101" s="1395"/>
      <c r="AD101" s="449"/>
      <c r="AE101" s="449"/>
      <c r="AF101" s="4717"/>
    </row>
    <row r="102" spans="1:32" ht="18" customHeight="1">
      <c r="A102" s="4564"/>
      <c r="B102" s="4623"/>
      <c r="C102" s="5585"/>
      <c r="D102" s="4630"/>
      <c r="E102" s="4630"/>
      <c r="F102" s="4630"/>
      <c r="G102" s="4630"/>
      <c r="H102" s="4630"/>
      <c r="I102" s="4630"/>
      <c r="J102" s="4630"/>
      <c r="K102" s="4630"/>
      <c r="L102" s="4630"/>
      <c r="M102" s="4630"/>
      <c r="N102" s="4630"/>
      <c r="O102" s="4630"/>
      <c r="P102" s="4630"/>
      <c r="Q102" s="4630"/>
      <c r="R102" s="5532"/>
      <c r="S102" s="1381"/>
      <c r="T102" s="1382"/>
      <c r="U102" s="1382"/>
      <c r="V102" s="450"/>
      <c r="W102" s="1383"/>
      <c r="X102" s="448"/>
      <c r="Y102" s="1384"/>
      <c r="Z102" s="1384"/>
      <c r="AA102" s="1384"/>
      <c r="AB102" s="1385"/>
      <c r="AC102" s="448"/>
      <c r="AD102" s="451"/>
      <c r="AE102" s="451"/>
      <c r="AF102" s="4718"/>
    </row>
    <row r="103" spans="1:32" ht="18" customHeight="1">
      <c r="A103" s="4564"/>
      <c r="B103" s="4623"/>
      <c r="C103" s="5721" t="s">
        <v>272</v>
      </c>
      <c r="D103" s="5568" t="s">
        <v>302</v>
      </c>
      <c r="E103" s="5568" t="s">
        <v>303</v>
      </c>
      <c r="F103" s="5568" t="s">
        <v>304</v>
      </c>
      <c r="G103" s="5685" t="s">
        <v>305</v>
      </c>
      <c r="H103" s="5568" t="s">
        <v>240</v>
      </c>
      <c r="I103" s="5568" t="s">
        <v>257</v>
      </c>
      <c r="J103" s="5568" t="s">
        <v>3377</v>
      </c>
      <c r="K103" s="5568" t="s">
        <v>1578</v>
      </c>
      <c r="L103" s="5568" t="s">
        <v>3378</v>
      </c>
      <c r="M103" s="4628">
        <v>1</v>
      </c>
      <c r="N103" s="4628">
        <v>0</v>
      </c>
      <c r="O103" s="4628">
        <v>1</v>
      </c>
      <c r="P103" s="5568" t="s">
        <v>3379</v>
      </c>
      <c r="Q103" s="5568" t="s">
        <v>2498</v>
      </c>
      <c r="R103" s="5683" t="s">
        <v>3373</v>
      </c>
      <c r="S103" s="1423"/>
      <c r="T103" s="1424"/>
      <c r="U103" s="1424"/>
      <c r="V103" s="452"/>
      <c r="W103" s="1425"/>
      <c r="X103" s="453"/>
      <c r="Y103" s="1426"/>
      <c r="Z103" s="1426"/>
      <c r="AA103" s="1426"/>
      <c r="AB103" s="1427"/>
      <c r="AC103" s="453"/>
      <c r="AD103" s="454"/>
      <c r="AE103" s="454"/>
      <c r="AF103" s="5684"/>
    </row>
    <row r="104" spans="1:32" ht="18" customHeight="1">
      <c r="A104" s="4564"/>
      <c r="B104" s="4623"/>
      <c r="C104" s="5584"/>
      <c r="D104" s="4629"/>
      <c r="E104" s="4629"/>
      <c r="F104" s="4629"/>
      <c r="G104" s="4629"/>
      <c r="H104" s="4629"/>
      <c r="I104" s="4629"/>
      <c r="J104" s="4629"/>
      <c r="K104" s="4629"/>
      <c r="L104" s="4629"/>
      <c r="M104" s="4629"/>
      <c r="N104" s="4629"/>
      <c r="O104" s="4629"/>
      <c r="P104" s="4629"/>
      <c r="Q104" s="4629"/>
      <c r="R104" s="5531"/>
      <c r="S104" s="1375"/>
      <c r="T104" s="1376"/>
      <c r="U104" s="1376"/>
      <c r="V104" s="1388"/>
      <c r="W104" s="1394"/>
      <c r="X104" s="1395"/>
      <c r="Y104" s="1377"/>
      <c r="Z104" s="1377"/>
      <c r="AA104" s="1377"/>
      <c r="AB104" s="1378"/>
      <c r="AC104" s="1395"/>
      <c r="AD104" s="449"/>
      <c r="AE104" s="449"/>
      <c r="AF104" s="4717"/>
    </row>
    <row r="105" spans="1:32" ht="18" customHeight="1">
      <c r="A105" s="4564"/>
      <c r="B105" s="4623"/>
      <c r="C105" s="5584"/>
      <c r="D105" s="4629"/>
      <c r="E105" s="4629"/>
      <c r="F105" s="4629"/>
      <c r="G105" s="4629"/>
      <c r="H105" s="4629"/>
      <c r="I105" s="4629"/>
      <c r="J105" s="4629"/>
      <c r="K105" s="4629"/>
      <c r="L105" s="4629"/>
      <c r="M105" s="4629"/>
      <c r="N105" s="4629"/>
      <c r="O105" s="4629"/>
      <c r="P105" s="4629"/>
      <c r="Q105" s="4629"/>
      <c r="R105" s="5531"/>
      <c r="S105" s="1375"/>
      <c r="T105" s="1376"/>
      <c r="U105" s="1376"/>
      <c r="V105" s="1388"/>
      <c r="W105" s="1394"/>
      <c r="X105" s="1395"/>
      <c r="Y105" s="1377"/>
      <c r="Z105" s="1377"/>
      <c r="AA105" s="1377"/>
      <c r="AB105" s="1378"/>
      <c r="AC105" s="1395"/>
      <c r="AD105" s="449"/>
      <c r="AE105" s="449"/>
      <c r="AF105" s="4717"/>
    </row>
    <row r="106" spans="1:32" ht="18" customHeight="1">
      <c r="A106" s="4564"/>
      <c r="B106" s="4623"/>
      <c r="C106" s="5584"/>
      <c r="D106" s="4629"/>
      <c r="E106" s="4629"/>
      <c r="F106" s="4629"/>
      <c r="G106" s="4629"/>
      <c r="H106" s="4629"/>
      <c r="I106" s="4629"/>
      <c r="J106" s="4629"/>
      <c r="K106" s="4629"/>
      <c r="L106" s="4629"/>
      <c r="M106" s="4629"/>
      <c r="N106" s="4629"/>
      <c r="O106" s="4629"/>
      <c r="P106" s="4629"/>
      <c r="Q106" s="4629"/>
      <c r="R106" s="5531"/>
      <c r="S106" s="1379"/>
      <c r="T106" s="1380"/>
      <c r="U106" s="1380"/>
      <c r="V106" s="1388"/>
      <c r="W106" s="1394"/>
      <c r="X106" s="1395"/>
      <c r="Y106" s="1377"/>
      <c r="Z106" s="1377"/>
      <c r="AA106" s="1377"/>
      <c r="AB106" s="1378"/>
      <c r="AC106" s="1395"/>
      <c r="AD106" s="449"/>
      <c r="AE106" s="449"/>
      <c r="AF106" s="4717"/>
    </row>
    <row r="107" spans="1:32" ht="18" customHeight="1">
      <c r="A107" s="4564"/>
      <c r="B107" s="4623"/>
      <c r="C107" s="5585"/>
      <c r="D107" s="4630"/>
      <c r="E107" s="4630"/>
      <c r="F107" s="4630"/>
      <c r="G107" s="4630"/>
      <c r="H107" s="4630"/>
      <c r="I107" s="4630"/>
      <c r="J107" s="4630"/>
      <c r="K107" s="4630"/>
      <c r="L107" s="4630"/>
      <c r="M107" s="4630"/>
      <c r="N107" s="4630"/>
      <c r="O107" s="4630"/>
      <c r="P107" s="4630"/>
      <c r="Q107" s="4630"/>
      <c r="R107" s="5532"/>
      <c r="S107" s="1381"/>
      <c r="T107" s="1382"/>
      <c r="U107" s="1382"/>
      <c r="V107" s="450"/>
      <c r="W107" s="1383"/>
      <c r="X107" s="448"/>
      <c r="Y107" s="1384"/>
      <c r="Z107" s="1384"/>
      <c r="AA107" s="1384"/>
      <c r="AB107" s="1385"/>
      <c r="AC107" s="448"/>
      <c r="AD107" s="451"/>
      <c r="AE107" s="451"/>
      <c r="AF107" s="4718"/>
    </row>
    <row r="108" spans="1:32" ht="40.5" customHeight="1">
      <c r="A108" s="4564"/>
      <c r="B108" s="4623"/>
      <c r="C108" s="5715" t="s">
        <v>272</v>
      </c>
      <c r="D108" s="5566" t="s">
        <v>302</v>
      </c>
      <c r="E108" s="5566" t="s">
        <v>303</v>
      </c>
      <c r="F108" s="5566" t="s">
        <v>318</v>
      </c>
      <c r="G108" s="5567" t="s">
        <v>305</v>
      </c>
      <c r="H108" s="5566" t="s">
        <v>240</v>
      </c>
      <c r="I108" s="5566" t="s">
        <v>241</v>
      </c>
      <c r="J108" s="5566" t="s">
        <v>3380</v>
      </c>
      <c r="K108" s="5566" t="s">
        <v>1591</v>
      </c>
      <c r="L108" s="5566" t="s">
        <v>3381</v>
      </c>
      <c r="M108" s="4662">
        <v>1</v>
      </c>
      <c r="N108" s="4662">
        <v>0</v>
      </c>
      <c r="O108" s="4662">
        <v>1</v>
      </c>
      <c r="P108" s="5566" t="s">
        <v>3382</v>
      </c>
      <c r="Q108" s="5566" t="s">
        <v>3383</v>
      </c>
      <c r="R108" s="5713" t="s">
        <v>3384</v>
      </c>
      <c r="S108" s="1386"/>
      <c r="T108" s="2137"/>
      <c r="U108" s="2137"/>
      <c r="V108" s="2138"/>
      <c r="W108" s="2139"/>
      <c r="X108" s="1921"/>
      <c r="Y108" s="2140"/>
      <c r="Z108" s="2140"/>
      <c r="AA108" s="2140"/>
      <c r="AB108" s="2141"/>
      <c r="AC108" s="1921"/>
      <c r="AD108" s="2146"/>
      <c r="AE108" s="2146"/>
      <c r="AF108" s="5684"/>
    </row>
    <row r="109" spans="1:32" ht="40.5" customHeight="1">
      <c r="A109" s="4564"/>
      <c r="B109" s="4623"/>
      <c r="C109" s="5584"/>
      <c r="D109" s="4629"/>
      <c r="E109" s="4629"/>
      <c r="F109" s="4629"/>
      <c r="G109" s="4629"/>
      <c r="H109" s="4629"/>
      <c r="I109" s="4629"/>
      <c r="J109" s="4629"/>
      <c r="K109" s="4629"/>
      <c r="L109" s="4629"/>
      <c r="M109" s="4629"/>
      <c r="N109" s="4629"/>
      <c r="O109" s="4629"/>
      <c r="P109" s="4629"/>
      <c r="Q109" s="4629"/>
      <c r="R109" s="5531"/>
      <c r="S109" s="1375"/>
      <c r="T109" s="1376"/>
      <c r="U109" s="1376"/>
      <c r="V109" s="1388"/>
      <c r="W109" s="1394"/>
      <c r="X109" s="1395"/>
      <c r="Y109" s="1377"/>
      <c r="Z109" s="1377"/>
      <c r="AA109" s="1377"/>
      <c r="AB109" s="1378"/>
      <c r="AC109" s="1395"/>
      <c r="AD109" s="1395"/>
      <c r="AE109" s="1396"/>
      <c r="AF109" s="4717"/>
    </row>
    <row r="110" spans="1:32" ht="40.5" customHeight="1">
      <c r="A110" s="4564"/>
      <c r="B110" s="4623"/>
      <c r="C110" s="5584"/>
      <c r="D110" s="4629"/>
      <c r="E110" s="4629"/>
      <c r="F110" s="4629"/>
      <c r="G110" s="4629"/>
      <c r="H110" s="4629"/>
      <c r="I110" s="4629"/>
      <c r="J110" s="4629"/>
      <c r="K110" s="4629"/>
      <c r="L110" s="4629"/>
      <c r="M110" s="4629"/>
      <c r="N110" s="4629"/>
      <c r="O110" s="4629"/>
      <c r="P110" s="4629"/>
      <c r="Q110" s="4629"/>
      <c r="R110" s="5531"/>
      <c r="S110" s="1375"/>
      <c r="T110" s="1376"/>
      <c r="U110" s="1376"/>
      <c r="V110" s="1388"/>
      <c r="W110" s="1394"/>
      <c r="X110" s="1395"/>
      <c r="Y110" s="1377"/>
      <c r="Z110" s="1377"/>
      <c r="AA110" s="1377"/>
      <c r="AB110" s="1378"/>
      <c r="AC110" s="1395"/>
      <c r="AD110" s="1395"/>
      <c r="AE110" s="449"/>
      <c r="AF110" s="4717"/>
    </row>
    <row r="111" spans="1:32" ht="40.5" customHeight="1">
      <c r="A111" s="4564"/>
      <c r="B111" s="4623"/>
      <c r="C111" s="5584"/>
      <c r="D111" s="4629"/>
      <c r="E111" s="4629"/>
      <c r="F111" s="4629"/>
      <c r="G111" s="4629"/>
      <c r="H111" s="4629"/>
      <c r="I111" s="4629"/>
      <c r="J111" s="4629"/>
      <c r="K111" s="4629"/>
      <c r="L111" s="4629"/>
      <c r="M111" s="4629"/>
      <c r="N111" s="4629"/>
      <c r="O111" s="4629"/>
      <c r="P111" s="4629"/>
      <c r="Q111" s="4629"/>
      <c r="R111" s="5531"/>
      <c r="S111" s="1375"/>
      <c r="T111" s="1376"/>
      <c r="U111" s="1376"/>
      <c r="V111" s="1388"/>
      <c r="W111" s="1394"/>
      <c r="X111" s="1395"/>
      <c r="Y111" s="1377"/>
      <c r="Z111" s="1377"/>
      <c r="AA111" s="1377"/>
      <c r="AB111" s="1378"/>
      <c r="AC111" s="1395"/>
      <c r="AD111" s="1395"/>
      <c r="AE111" s="449"/>
      <c r="AF111" s="4717"/>
    </row>
    <row r="112" spans="1:32" ht="40.5" customHeight="1">
      <c r="A112" s="4564"/>
      <c r="B112" s="4623"/>
      <c r="C112" s="5585"/>
      <c r="D112" s="4630"/>
      <c r="E112" s="4630"/>
      <c r="F112" s="4630"/>
      <c r="G112" s="4630"/>
      <c r="H112" s="4630"/>
      <c r="I112" s="4630"/>
      <c r="J112" s="4630"/>
      <c r="K112" s="4630"/>
      <c r="L112" s="4630"/>
      <c r="M112" s="4630"/>
      <c r="N112" s="4630"/>
      <c r="O112" s="4630"/>
      <c r="P112" s="4630"/>
      <c r="Q112" s="4630"/>
      <c r="R112" s="5532"/>
      <c r="S112" s="1381"/>
      <c r="T112" s="1382"/>
      <c r="U112" s="1382"/>
      <c r="V112" s="450"/>
      <c r="W112" s="1383"/>
      <c r="X112" s="448"/>
      <c r="Y112" s="1384"/>
      <c r="Z112" s="1384"/>
      <c r="AA112" s="1384"/>
      <c r="AB112" s="1385"/>
      <c r="AC112" s="448"/>
      <c r="AD112" s="448"/>
      <c r="AE112" s="451"/>
      <c r="AF112" s="4718"/>
    </row>
    <row r="113" spans="1:32" ht="96" customHeight="1">
      <c r="A113" s="4564"/>
      <c r="B113" s="4623"/>
      <c r="C113" s="5724" t="s">
        <v>272</v>
      </c>
      <c r="D113" s="5665" t="s">
        <v>302</v>
      </c>
      <c r="E113" s="5665" t="s">
        <v>303</v>
      </c>
      <c r="F113" s="5665" t="s">
        <v>304</v>
      </c>
      <c r="G113" s="5667" t="s">
        <v>305</v>
      </c>
      <c r="H113" s="5665" t="s">
        <v>240</v>
      </c>
      <c r="I113" s="5665" t="s">
        <v>257</v>
      </c>
      <c r="J113" s="5665" t="s">
        <v>3385</v>
      </c>
      <c r="K113" s="5665" t="s">
        <v>2506</v>
      </c>
      <c r="L113" s="1428" t="s">
        <v>3386</v>
      </c>
      <c r="M113" s="1429">
        <v>0</v>
      </c>
      <c r="N113" s="1429">
        <v>2</v>
      </c>
      <c r="O113" s="1429">
        <v>2</v>
      </c>
      <c r="P113" s="1428" t="s">
        <v>3387</v>
      </c>
      <c r="Q113" s="1428" t="s">
        <v>2005</v>
      </c>
      <c r="R113" s="1430" t="s">
        <v>3388</v>
      </c>
      <c r="S113" s="1423"/>
      <c r="T113" s="1431"/>
      <c r="U113" s="1424"/>
      <c r="V113" s="1432"/>
      <c r="W113" s="1425"/>
      <c r="X113" s="453"/>
      <c r="Y113" s="1426"/>
      <c r="Z113" s="1426"/>
      <c r="AA113" s="1426"/>
      <c r="AB113" s="1427"/>
      <c r="AC113" s="453"/>
      <c r="AD113" s="454"/>
      <c r="AE113" s="454"/>
      <c r="AF113" s="5694"/>
    </row>
    <row r="114" spans="1:32" ht="58.5" customHeight="1">
      <c r="A114" s="4564"/>
      <c r="B114" s="4623"/>
      <c r="C114" s="5717"/>
      <c r="D114" s="5652"/>
      <c r="E114" s="5652"/>
      <c r="F114" s="5652"/>
      <c r="G114" s="5652"/>
      <c r="H114" s="5652"/>
      <c r="I114" s="5652"/>
      <c r="J114" s="5652"/>
      <c r="K114" s="5652"/>
      <c r="L114" s="1433" t="s">
        <v>3389</v>
      </c>
      <c r="M114" s="1429">
        <v>0</v>
      </c>
      <c r="N114" s="1429">
        <v>1</v>
      </c>
      <c r="O114" s="1429">
        <v>1</v>
      </c>
      <c r="P114" s="1428" t="s">
        <v>3390</v>
      </c>
      <c r="Q114" s="1428" t="s">
        <v>2005</v>
      </c>
      <c r="R114" s="1430" t="s">
        <v>3388</v>
      </c>
      <c r="S114" s="1379"/>
      <c r="T114" s="1380"/>
      <c r="U114" s="1380"/>
      <c r="V114" s="1393"/>
      <c r="W114" s="1394"/>
      <c r="X114" s="1395"/>
      <c r="Y114" s="1377"/>
      <c r="Z114" s="1377"/>
      <c r="AA114" s="1377"/>
      <c r="AB114" s="1378"/>
      <c r="AC114" s="1395"/>
      <c r="AD114" s="449"/>
      <c r="AE114" s="449"/>
      <c r="AF114" s="4717"/>
    </row>
    <row r="115" spans="1:32" ht="58.5" customHeight="1">
      <c r="A115" s="4564"/>
      <c r="B115" s="4623"/>
      <c r="C115" s="5717"/>
      <c r="D115" s="5652"/>
      <c r="E115" s="5652"/>
      <c r="F115" s="5652"/>
      <c r="G115" s="5652"/>
      <c r="H115" s="5652"/>
      <c r="I115" s="5652"/>
      <c r="J115" s="5652"/>
      <c r="K115" s="5652"/>
      <c r="L115" s="1433" t="s">
        <v>3391</v>
      </c>
      <c r="M115" s="1429">
        <v>0</v>
      </c>
      <c r="N115" s="1429">
        <v>1</v>
      </c>
      <c r="O115" s="1429">
        <v>1</v>
      </c>
      <c r="P115" s="1428" t="s">
        <v>3390</v>
      </c>
      <c r="Q115" s="1428" t="s">
        <v>2005</v>
      </c>
      <c r="R115" s="1430" t="s">
        <v>3388</v>
      </c>
      <c r="S115" s="1379"/>
      <c r="T115" s="1380"/>
      <c r="U115" s="1380"/>
      <c r="V115" s="1393"/>
      <c r="W115" s="1394"/>
      <c r="X115" s="1395"/>
      <c r="Y115" s="1377"/>
      <c r="Z115" s="1377"/>
      <c r="AA115" s="1377"/>
      <c r="AB115" s="1378"/>
      <c r="AC115" s="1395"/>
      <c r="AD115" s="449"/>
      <c r="AE115" s="449"/>
      <c r="AF115" s="4717"/>
    </row>
    <row r="116" spans="1:32" ht="58.5" customHeight="1">
      <c r="A116" s="4564"/>
      <c r="B116" s="4623"/>
      <c r="C116" s="5717"/>
      <c r="D116" s="5652"/>
      <c r="E116" s="5652"/>
      <c r="F116" s="5652"/>
      <c r="G116" s="5652"/>
      <c r="H116" s="5652"/>
      <c r="I116" s="5652"/>
      <c r="J116" s="5652"/>
      <c r="K116" s="5652"/>
      <c r="L116" s="1433" t="s">
        <v>3392</v>
      </c>
      <c r="M116" s="1429">
        <v>0</v>
      </c>
      <c r="N116" s="1429">
        <v>2</v>
      </c>
      <c r="O116" s="1429">
        <v>2</v>
      </c>
      <c r="P116" s="1428" t="s">
        <v>3390</v>
      </c>
      <c r="Q116" s="1428" t="s">
        <v>2005</v>
      </c>
      <c r="R116" s="1430" t="s">
        <v>3393</v>
      </c>
      <c r="S116" s="1379"/>
      <c r="T116" s="1380"/>
      <c r="U116" s="1380"/>
      <c r="V116" s="1393"/>
      <c r="W116" s="1394"/>
      <c r="X116" s="1395"/>
      <c r="Y116" s="1377"/>
      <c r="Z116" s="1377"/>
      <c r="AA116" s="1377"/>
      <c r="AB116" s="1378"/>
      <c r="AC116" s="1395"/>
      <c r="AD116" s="449"/>
      <c r="AE116" s="449"/>
      <c r="AF116" s="4717"/>
    </row>
    <row r="117" spans="1:32" ht="58.5" customHeight="1">
      <c r="A117" s="4564"/>
      <c r="B117" s="4623"/>
      <c r="C117" s="5717"/>
      <c r="D117" s="5652"/>
      <c r="E117" s="5652"/>
      <c r="F117" s="5652"/>
      <c r="G117" s="5652"/>
      <c r="H117" s="5652"/>
      <c r="I117" s="5652"/>
      <c r="J117" s="5652"/>
      <c r="K117" s="5652"/>
      <c r="L117" s="1433" t="s">
        <v>3394</v>
      </c>
      <c r="M117" s="1429">
        <v>0</v>
      </c>
      <c r="N117" s="1429">
        <v>2</v>
      </c>
      <c r="O117" s="1429">
        <v>2</v>
      </c>
      <c r="P117" s="1428" t="s">
        <v>3390</v>
      </c>
      <c r="Q117" s="1428" t="s">
        <v>2005</v>
      </c>
      <c r="R117" s="1430" t="s">
        <v>3388</v>
      </c>
      <c r="S117" s="1379"/>
      <c r="T117" s="1380"/>
      <c r="U117" s="1380"/>
      <c r="V117" s="1393"/>
      <c r="W117" s="1394"/>
      <c r="X117" s="1395"/>
      <c r="Y117" s="1377"/>
      <c r="Z117" s="1377"/>
      <c r="AA117" s="1377"/>
      <c r="AB117" s="1378"/>
      <c r="AC117" s="1395"/>
      <c r="AD117" s="449"/>
      <c r="AE117" s="449"/>
      <c r="AF117" s="4717"/>
    </row>
    <row r="118" spans="1:32" ht="58.5" customHeight="1">
      <c r="A118" s="4564"/>
      <c r="B118" s="4623"/>
      <c r="C118" s="5717"/>
      <c r="D118" s="5652"/>
      <c r="E118" s="5652"/>
      <c r="F118" s="5652"/>
      <c r="G118" s="5652"/>
      <c r="H118" s="5652"/>
      <c r="I118" s="5652"/>
      <c r="J118" s="5652"/>
      <c r="K118" s="5652"/>
      <c r="L118" s="1433" t="s">
        <v>3395</v>
      </c>
      <c r="M118" s="1429">
        <v>0</v>
      </c>
      <c r="N118" s="1429">
        <v>0</v>
      </c>
      <c r="O118" s="1429">
        <v>0</v>
      </c>
      <c r="P118" s="1428" t="s">
        <v>3390</v>
      </c>
      <c r="Q118" s="1428" t="s">
        <v>2005</v>
      </c>
      <c r="R118" s="1430" t="s">
        <v>3388</v>
      </c>
      <c r="S118" s="1379"/>
      <c r="T118" s="1380"/>
      <c r="U118" s="1380"/>
      <c r="V118" s="1393"/>
      <c r="W118" s="1394"/>
      <c r="X118" s="1395"/>
      <c r="Y118" s="1377"/>
      <c r="Z118" s="1377"/>
      <c r="AA118" s="1377"/>
      <c r="AB118" s="1378"/>
      <c r="AC118" s="1395"/>
      <c r="AD118" s="449"/>
      <c r="AE118" s="449"/>
      <c r="AF118" s="4717"/>
    </row>
    <row r="119" spans="1:32" ht="58.5" customHeight="1">
      <c r="A119" s="4564"/>
      <c r="B119" s="4623"/>
      <c r="C119" s="5717"/>
      <c r="D119" s="5652"/>
      <c r="E119" s="5652"/>
      <c r="F119" s="5652"/>
      <c r="G119" s="5652"/>
      <c r="H119" s="5652"/>
      <c r="I119" s="5652"/>
      <c r="J119" s="5652"/>
      <c r="K119" s="5652"/>
      <c r="L119" s="1433" t="s">
        <v>3396</v>
      </c>
      <c r="M119" s="1429">
        <v>0</v>
      </c>
      <c r="N119" s="1429">
        <v>2</v>
      </c>
      <c r="O119" s="1429">
        <v>2</v>
      </c>
      <c r="P119" s="1428" t="s">
        <v>3390</v>
      </c>
      <c r="Q119" s="1428" t="s">
        <v>2005</v>
      </c>
      <c r="R119" s="1430" t="s">
        <v>3388</v>
      </c>
      <c r="S119" s="1379"/>
      <c r="T119" s="1380"/>
      <c r="U119" s="1380"/>
      <c r="V119" s="1393"/>
      <c r="W119" s="1394"/>
      <c r="X119" s="1395"/>
      <c r="Y119" s="1377"/>
      <c r="Z119" s="1377"/>
      <c r="AA119" s="1377"/>
      <c r="AB119" s="1378"/>
      <c r="AC119" s="1395"/>
      <c r="AD119" s="449"/>
      <c r="AE119" s="449"/>
      <c r="AF119" s="4717"/>
    </row>
    <row r="120" spans="1:32" ht="58.5" customHeight="1">
      <c r="A120" s="4564"/>
      <c r="B120" s="4623"/>
      <c r="C120" s="5717"/>
      <c r="D120" s="5652"/>
      <c r="E120" s="5652"/>
      <c r="F120" s="5652"/>
      <c r="G120" s="5652"/>
      <c r="H120" s="5652"/>
      <c r="I120" s="5652"/>
      <c r="J120" s="5652"/>
      <c r="K120" s="5652"/>
      <c r="L120" s="1433" t="s">
        <v>3397</v>
      </c>
      <c r="M120" s="1429">
        <v>0</v>
      </c>
      <c r="N120" s="1429">
        <v>2</v>
      </c>
      <c r="O120" s="1429">
        <v>2</v>
      </c>
      <c r="P120" s="1428" t="s">
        <v>3390</v>
      </c>
      <c r="Q120" s="1428" t="s">
        <v>2005</v>
      </c>
      <c r="R120" s="1430" t="s">
        <v>3388</v>
      </c>
      <c r="S120" s="1379"/>
      <c r="T120" s="1380"/>
      <c r="U120" s="1380"/>
      <c r="V120" s="1393"/>
      <c r="W120" s="1394"/>
      <c r="X120" s="1395"/>
      <c r="Y120" s="1377"/>
      <c r="Z120" s="1377"/>
      <c r="AA120" s="1377"/>
      <c r="AB120" s="1378"/>
      <c r="AC120" s="1395"/>
      <c r="AD120" s="449"/>
      <c r="AE120" s="449"/>
      <c r="AF120" s="4717"/>
    </row>
    <row r="121" spans="1:32" ht="58.5" customHeight="1">
      <c r="A121" s="4564"/>
      <c r="B121" s="4623"/>
      <c r="C121" s="5717"/>
      <c r="D121" s="5652"/>
      <c r="E121" s="5652"/>
      <c r="F121" s="5652"/>
      <c r="G121" s="5652"/>
      <c r="H121" s="5652"/>
      <c r="I121" s="5652"/>
      <c r="J121" s="5652"/>
      <c r="K121" s="5652"/>
      <c r="L121" s="1433" t="s">
        <v>3398</v>
      </c>
      <c r="M121" s="1429">
        <v>0</v>
      </c>
      <c r="N121" s="1429">
        <v>2</v>
      </c>
      <c r="O121" s="1429">
        <v>2</v>
      </c>
      <c r="P121" s="1428" t="s">
        <v>3390</v>
      </c>
      <c r="Q121" s="1428" t="s">
        <v>2005</v>
      </c>
      <c r="R121" s="1430" t="s">
        <v>3388</v>
      </c>
      <c r="S121" s="1379"/>
      <c r="T121" s="1376"/>
      <c r="U121" s="1380"/>
      <c r="V121" s="1393"/>
      <c r="W121" s="1394"/>
      <c r="X121" s="1395"/>
      <c r="Y121" s="1377"/>
      <c r="Z121" s="1377"/>
      <c r="AA121" s="1377"/>
      <c r="AB121" s="1378"/>
      <c r="AC121" s="1395"/>
      <c r="AD121" s="449"/>
      <c r="AE121" s="449"/>
      <c r="AF121" s="4717"/>
    </row>
    <row r="122" spans="1:32" ht="54" customHeight="1">
      <c r="A122" s="4564"/>
      <c r="B122" s="4623"/>
      <c r="C122" s="5717"/>
      <c r="D122" s="5652"/>
      <c r="E122" s="5652"/>
      <c r="F122" s="5652"/>
      <c r="G122" s="5652"/>
      <c r="H122" s="5652"/>
      <c r="I122" s="5652"/>
      <c r="J122" s="5652"/>
      <c r="K122" s="5652"/>
      <c r="L122" s="1434" t="s">
        <v>3399</v>
      </c>
      <c r="M122" s="1429">
        <v>0</v>
      </c>
      <c r="N122" s="1429">
        <v>2</v>
      </c>
      <c r="O122" s="1429">
        <v>2</v>
      </c>
      <c r="P122" s="482" t="s">
        <v>3390</v>
      </c>
      <c r="Q122" s="482" t="s">
        <v>2005</v>
      </c>
      <c r="R122" s="1435" t="s">
        <v>3388</v>
      </c>
      <c r="S122" s="1402"/>
      <c r="T122" s="1398"/>
      <c r="U122" s="1382"/>
      <c r="V122" s="1400"/>
      <c r="W122" s="1383"/>
      <c r="X122" s="448"/>
      <c r="Y122" s="1384"/>
      <c r="Z122" s="1384"/>
      <c r="AA122" s="1384"/>
      <c r="AB122" s="1385"/>
      <c r="AC122" s="448"/>
      <c r="AD122" s="451"/>
      <c r="AE122" s="451"/>
      <c r="AF122" s="4717"/>
    </row>
    <row r="123" spans="1:32" ht="31.5" customHeight="1">
      <c r="A123" s="4564"/>
      <c r="B123" s="4623"/>
      <c r="C123" s="5717"/>
      <c r="D123" s="5652"/>
      <c r="E123" s="5652"/>
      <c r="F123" s="5652"/>
      <c r="G123" s="5652"/>
      <c r="H123" s="5652"/>
      <c r="I123" s="5652"/>
      <c r="J123" s="5652"/>
      <c r="K123" s="5652"/>
      <c r="L123" s="5703" t="s">
        <v>3400</v>
      </c>
      <c r="M123" s="5668">
        <v>0</v>
      </c>
      <c r="N123" s="5668">
        <v>2</v>
      </c>
      <c r="O123" s="5668">
        <v>2</v>
      </c>
      <c r="P123" s="5665" t="s">
        <v>3390</v>
      </c>
      <c r="Q123" s="5665" t="s">
        <v>3401</v>
      </c>
      <c r="R123" s="5670" t="s">
        <v>3402</v>
      </c>
      <c r="S123" s="1436" t="s">
        <v>39</v>
      </c>
      <c r="T123" s="2149">
        <v>530402</v>
      </c>
      <c r="U123" s="2150"/>
      <c r="V123" s="2151" t="s">
        <v>16</v>
      </c>
      <c r="W123" s="2139"/>
      <c r="X123" s="1921"/>
      <c r="Y123" s="2140"/>
      <c r="Z123" s="2140"/>
      <c r="AA123" s="2140"/>
      <c r="AB123" s="2141">
        <f>SUM(AA124:AA126)</f>
        <v>6720.0000000000009</v>
      </c>
      <c r="AC123" s="1921"/>
      <c r="AD123" s="2142"/>
      <c r="AE123" s="2142"/>
      <c r="AF123" s="4717"/>
    </row>
    <row r="124" spans="1:32" ht="19.5" customHeight="1">
      <c r="A124" s="4564"/>
      <c r="B124" s="4623"/>
      <c r="C124" s="5717"/>
      <c r="D124" s="5652"/>
      <c r="E124" s="5652"/>
      <c r="F124" s="5652"/>
      <c r="G124" s="5652"/>
      <c r="H124" s="5652"/>
      <c r="I124" s="5652"/>
      <c r="J124" s="5652"/>
      <c r="K124" s="5652"/>
      <c r="L124" s="5652"/>
      <c r="M124" s="5652"/>
      <c r="N124" s="5652"/>
      <c r="O124" s="5652"/>
      <c r="P124" s="5652"/>
      <c r="Q124" s="5652"/>
      <c r="R124" s="5656"/>
      <c r="S124" s="1402"/>
      <c r="T124" s="1376"/>
      <c r="U124" s="1376" t="s">
        <v>3403</v>
      </c>
      <c r="V124" s="1437" t="s">
        <v>3404</v>
      </c>
      <c r="W124" s="1394">
        <v>1</v>
      </c>
      <c r="X124" s="1395" t="s">
        <v>250</v>
      </c>
      <c r="Y124" s="1389">
        <v>6000</v>
      </c>
      <c r="Z124" s="1377">
        <f>+W124*Y124</f>
        <v>6000</v>
      </c>
      <c r="AA124" s="1377">
        <f>+Z124*1.12</f>
        <v>6720.0000000000009</v>
      </c>
      <c r="AB124" s="1438"/>
      <c r="AC124" s="1395"/>
      <c r="AD124" s="1439" t="s">
        <v>251</v>
      </c>
      <c r="AE124" s="449"/>
      <c r="AF124" s="4717"/>
    </row>
    <row r="125" spans="1:32" ht="19.5" customHeight="1">
      <c r="A125" s="4564"/>
      <c r="B125" s="4623"/>
      <c r="C125" s="5717"/>
      <c r="D125" s="5652"/>
      <c r="E125" s="5652"/>
      <c r="F125" s="5652"/>
      <c r="G125" s="5652"/>
      <c r="H125" s="5652"/>
      <c r="I125" s="5652"/>
      <c r="J125" s="5652"/>
      <c r="K125" s="5652"/>
      <c r="L125" s="5652"/>
      <c r="M125" s="5652"/>
      <c r="N125" s="5652"/>
      <c r="O125" s="5652"/>
      <c r="P125" s="5652"/>
      <c r="Q125" s="5652"/>
      <c r="R125" s="5656"/>
      <c r="S125" s="1402"/>
      <c r="T125" s="1380"/>
      <c r="U125" s="1380"/>
      <c r="V125" s="1440"/>
      <c r="W125" s="1394"/>
      <c r="X125" s="1395"/>
      <c r="Y125" s="1377"/>
      <c r="Z125" s="1377"/>
      <c r="AA125" s="1377"/>
      <c r="AB125" s="1441"/>
      <c r="AC125" s="1395"/>
      <c r="AD125" s="449"/>
      <c r="AE125" s="449"/>
      <c r="AF125" s="4717"/>
    </row>
    <row r="126" spans="1:32" ht="19.5" customHeight="1">
      <c r="A126" s="4564"/>
      <c r="B126" s="4623"/>
      <c r="C126" s="5717"/>
      <c r="D126" s="5652"/>
      <c r="E126" s="5652"/>
      <c r="F126" s="5652"/>
      <c r="G126" s="5652"/>
      <c r="H126" s="5652"/>
      <c r="I126" s="5652"/>
      <c r="J126" s="5652"/>
      <c r="K126" s="5652"/>
      <c r="L126" s="5652"/>
      <c r="M126" s="5652"/>
      <c r="N126" s="5652"/>
      <c r="O126" s="5652"/>
      <c r="P126" s="5652"/>
      <c r="Q126" s="5652"/>
      <c r="R126" s="5656"/>
      <c r="S126" s="1402"/>
      <c r="T126" s="1380"/>
      <c r="U126" s="1380"/>
      <c r="V126" s="1440"/>
      <c r="W126" s="1394"/>
      <c r="X126" s="1395"/>
      <c r="Y126" s="1377"/>
      <c r="Z126" s="1377"/>
      <c r="AA126" s="1377"/>
      <c r="AB126" s="1441"/>
      <c r="AC126" s="1395"/>
      <c r="AD126" s="449"/>
      <c r="AE126" s="449"/>
      <c r="AF126" s="4717"/>
    </row>
    <row r="127" spans="1:32" ht="19.5" customHeight="1">
      <c r="A127" s="4564"/>
      <c r="B127" s="4623"/>
      <c r="C127" s="5717"/>
      <c r="D127" s="5652"/>
      <c r="E127" s="5652"/>
      <c r="F127" s="5652"/>
      <c r="G127" s="5652"/>
      <c r="H127" s="5652"/>
      <c r="I127" s="5652"/>
      <c r="J127" s="5652"/>
      <c r="K127" s="5652"/>
      <c r="L127" s="5652"/>
      <c r="M127" s="5652"/>
      <c r="N127" s="5652"/>
      <c r="O127" s="5652"/>
      <c r="P127" s="5652"/>
      <c r="Q127" s="5652"/>
      <c r="R127" s="5656"/>
      <c r="S127" s="1402"/>
      <c r="T127" s="1399"/>
      <c r="U127" s="1399"/>
      <c r="V127" s="1442"/>
      <c r="W127" s="1383"/>
      <c r="X127" s="448"/>
      <c r="Y127" s="1384"/>
      <c r="Z127" s="1384"/>
      <c r="AA127" s="1384"/>
      <c r="AB127" s="1443"/>
      <c r="AC127" s="448"/>
      <c r="AD127" s="451"/>
      <c r="AE127" s="451"/>
      <c r="AF127" s="4717"/>
    </row>
    <row r="128" spans="1:32" ht="19.5" customHeight="1">
      <c r="A128" s="4564"/>
      <c r="B128" s="4623"/>
      <c r="C128" s="5717"/>
      <c r="D128" s="5652"/>
      <c r="E128" s="5652"/>
      <c r="F128" s="5652"/>
      <c r="G128" s="5652"/>
      <c r="H128" s="5652"/>
      <c r="I128" s="5652"/>
      <c r="J128" s="5652"/>
      <c r="K128" s="5652"/>
      <c r="L128" s="5652"/>
      <c r="M128" s="5652"/>
      <c r="N128" s="5652"/>
      <c r="O128" s="5652"/>
      <c r="P128" s="5652"/>
      <c r="Q128" s="5652"/>
      <c r="R128" s="5656"/>
      <c r="S128" s="1436" t="s">
        <v>39</v>
      </c>
      <c r="T128" s="2149">
        <v>530404</v>
      </c>
      <c r="U128" s="2137"/>
      <c r="V128" s="2151" t="s">
        <v>32</v>
      </c>
      <c r="W128" s="2139"/>
      <c r="X128" s="1921"/>
      <c r="Y128" s="2140"/>
      <c r="Z128" s="2140"/>
      <c r="AA128" s="2140"/>
      <c r="AB128" s="2141">
        <f>SUM(AA129:AA131)</f>
        <v>4024.4512</v>
      </c>
      <c r="AC128" s="1921"/>
      <c r="AD128" s="2142"/>
      <c r="AE128" s="2142"/>
      <c r="AF128" s="4717"/>
    </row>
    <row r="129" spans="1:32" ht="19.5" customHeight="1">
      <c r="A129" s="4564"/>
      <c r="B129" s="4623"/>
      <c r="C129" s="5717"/>
      <c r="D129" s="5652"/>
      <c r="E129" s="5652"/>
      <c r="F129" s="5652"/>
      <c r="G129" s="5652"/>
      <c r="H129" s="5652"/>
      <c r="I129" s="5652"/>
      <c r="J129" s="5652"/>
      <c r="K129" s="5652"/>
      <c r="L129" s="5652"/>
      <c r="M129" s="5652"/>
      <c r="N129" s="5652"/>
      <c r="O129" s="5652"/>
      <c r="P129" s="5652"/>
      <c r="Q129" s="5652"/>
      <c r="R129" s="5656"/>
      <c r="S129" s="1402"/>
      <c r="T129" s="1376"/>
      <c r="U129" s="1376"/>
      <c r="V129" s="1437" t="s">
        <v>3405</v>
      </c>
      <c r="W129" s="1394">
        <v>1</v>
      </c>
      <c r="X129" s="1395" t="s">
        <v>250</v>
      </c>
      <c r="Y129" s="1377">
        <v>2013.26</v>
      </c>
      <c r="Z129" s="1377">
        <f t="shared" ref="Z129:Z131" si="0">+W129*Y129</f>
        <v>2013.26</v>
      </c>
      <c r="AA129" s="1377">
        <f t="shared" ref="AA129:AA131" si="1">+Z129*1.12</f>
        <v>2254.8512000000001</v>
      </c>
      <c r="AB129" s="1438"/>
      <c r="AC129" s="1395"/>
      <c r="AD129" s="1439" t="s">
        <v>251</v>
      </c>
      <c r="AE129" s="449"/>
      <c r="AF129" s="4717"/>
    </row>
    <row r="130" spans="1:32" ht="19.5" customHeight="1">
      <c r="A130" s="4564"/>
      <c r="B130" s="4623"/>
      <c r="C130" s="5717"/>
      <c r="D130" s="5652"/>
      <c r="E130" s="5652"/>
      <c r="F130" s="5652"/>
      <c r="G130" s="5652"/>
      <c r="H130" s="5652"/>
      <c r="I130" s="5652"/>
      <c r="J130" s="5652"/>
      <c r="K130" s="5652"/>
      <c r="L130" s="5652"/>
      <c r="M130" s="5652"/>
      <c r="N130" s="5652"/>
      <c r="O130" s="5652"/>
      <c r="P130" s="5652"/>
      <c r="Q130" s="5652"/>
      <c r="R130" s="5656"/>
      <c r="S130" s="1402"/>
      <c r="T130" s="1376"/>
      <c r="U130" s="1376"/>
      <c r="V130" s="1444" t="s">
        <v>3406</v>
      </c>
      <c r="W130" s="1394">
        <v>1</v>
      </c>
      <c r="X130" s="1395" t="s">
        <v>250</v>
      </c>
      <c r="Y130" s="1377">
        <v>1200</v>
      </c>
      <c r="Z130" s="1377">
        <f t="shared" si="0"/>
        <v>1200</v>
      </c>
      <c r="AA130" s="1377">
        <f t="shared" si="1"/>
        <v>1344.0000000000002</v>
      </c>
      <c r="AB130" s="1438"/>
      <c r="AC130" s="1395"/>
      <c r="AD130" s="1439" t="s">
        <v>251</v>
      </c>
      <c r="AE130" s="449"/>
      <c r="AF130" s="4717"/>
    </row>
    <row r="131" spans="1:32" ht="19.5" customHeight="1">
      <c r="A131" s="4564"/>
      <c r="B131" s="4623"/>
      <c r="C131" s="5717"/>
      <c r="D131" s="5652"/>
      <c r="E131" s="5652"/>
      <c r="F131" s="5652"/>
      <c r="G131" s="5652"/>
      <c r="H131" s="5652"/>
      <c r="I131" s="5652"/>
      <c r="J131" s="5652"/>
      <c r="K131" s="5652"/>
      <c r="L131" s="5652"/>
      <c r="M131" s="5652"/>
      <c r="N131" s="5652"/>
      <c r="O131" s="5652"/>
      <c r="P131" s="5652"/>
      <c r="Q131" s="5652"/>
      <c r="R131" s="5656"/>
      <c r="S131" s="1402"/>
      <c r="T131" s="1376"/>
      <c r="U131" s="1376"/>
      <c r="V131" s="1444" t="s">
        <v>3407</v>
      </c>
      <c r="W131" s="1394">
        <v>1</v>
      </c>
      <c r="X131" s="1395" t="s">
        <v>250</v>
      </c>
      <c r="Y131" s="1377">
        <v>380</v>
      </c>
      <c r="Z131" s="1377">
        <f t="shared" si="0"/>
        <v>380</v>
      </c>
      <c r="AA131" s="1377">
        <f t="shared" si="1"/>
        <v>425.6</v>
      </c>
      <c r="AB131" s="1438"/>
      <c r="AC131" s="1395"/>
      <c r="AD131" s="1439" t="s">
        <v>251</v>
      </c>
      <c r="AE131" s="449"/>
      <c r="AF131" s="4717"/>
    </row>
    <row r="132" spans="1:32" ht="19.5" customHeight="1">
      <c r="A132" s="4564"/>
      <c r="B132" s="4623"/>
      <c r="C132" s="5717"/>
      <c r="D132" s="5652"/>
      <c r="E132" s="5652"/>
      <c r="F132" s="5652"/>
      <c r="G132" s="5652"/>
      <c r="H132" s="5652"/>
      <c r="I132" s="5652"/>
      <c r="J132" s="5652"/>
      <c r="K132" s="5652"/>
      <c r="L132" s="5652"/>
      <c r="M132" s="5652"/>
      <c r="N132" s="5652"/>
      <c r="O132" s="5652"/>
      <c r="P132" s="5652"/>
      <c r="Q132" s="5652"/>
      <c r="R132" s="5656"/>
      <c r="S132" s="1402"/>
      <c r="T132" s="1380"/>
      <c r="U132" s="1376"/>
      <c r="V132" s="1440"/>
      <c r="W132" s="1394"/>
      <c r="X132" s="1395"/>
      <c r="Y132" s="1377"/>
      <c r="Z132" s="1377"/>
      <c r="AA132" s="1377"/>
      <c r="AB132" s="1441"/>
      <c r="AC132" s="1395"/>
      <c r="AD132" s="449"/>
      <c r="AE132" s="449"/>
      <c r="AF132" s="4717"/>
    </row>
    <row r="133" spans="1:32" ht="19.5" customHeight="1">
      <c r="A133" s="4564"/>
      <c r="B133" s="4623"/>
      <c r="C133" s="5717"/>
      <c r="D133" s="5652"/>
      <c r="E133" s="5652"/>
      <c r="F133" s="5652"/>
      <c r="G133" s="5652"/>
      <c r="H133" s="5652"/>
      <c r="I133" s="5652"/>
      <c r="J133" s="5652"/>
      <c r="K133" s="5652"/>
      <c r="L133" s="5652"/>
      <c r="M133" s="5652"/>
      <c r="N133" s="5652"/>
      <c r="O133" s="5652"/>
      <c r="P133" s="5652"/>
      <c r="Q133" s="5652"/>
      <c r="R133" s="5656"/>
      <c r="S133" s="1436" t="s">
        <v>17</v>
      </c>
      <c r="T133" s="1445">
        <v>840104</v>
      </c>
      <c r="U133" s="1380"/>
      <c r="V133" s="1446" t="s">
        <v>24</v>
      </c>
      <c r="W133" s="5695" t="s">
        <v>3408</v>
      </c>
      <c r="X133" s="5696"/>
      <c r="Y133" s="5696"/>
      <c r="Z133" s="5696"/>
      <c r="AA133" s="5697"/>
      <c r="AB133" s="1378">
        <f>SUM(AA134:AA176)</f>
        <v>924169.72</v>
      </c>
      <c r="AC133" s="1395"/>
      <c r="AD133" s="449"/>
      <c r="AE133" s="449"/>
      <c r="AF133" s="4717"/>
    </row>
    <row r="134" spans="1:32" ht="19.5" customHeight="1">
      <c r="A134" s="4564"/>
      <c r="B134" s="4623"/>
      <c r="C134" s="5717"/>
      <c r="D134" s="5652"/>
      <c r="E134" s="5652"/>
      <c r="F134" s="5652"/>
      <c r="G134" s="5652"/>
      <c r="H134" s="5652"/>
      <c r="I134" s="5652"/>
      <c r="J134" s="5652"/>
      <c r="K134" s="5652"/>
      <c r="L134" s="5652"/>
      <c r="M134" s="5652"/>
      <c r="N134" s="5652"/>
      <c r="O134" s="5652"/>
      <c r="P134" s="5652"/>
      <c r="Q134" s="5652"/>
      <c r="R134" s="5656"/>
      <c r="S134" s="1402"/>
      <c r="T134" s="1376"/>
      <c r="U134" s="1376"/>
      <c r="V134" s="1393" t="s">
        <v>3409</v>
      </c>
      <c r="W134" s="1447">
        <v>5</v>
      </c>
      <c r="X134" s="1390" t="s">
        <v>269</v>
      </c>
      <c r="Y134" s="1377">
        <f>6700/1.12</f>
        <v>5982.1428571428569</v>
      </c>
      <c r="Z134" s="1377">
        <f t="shared" ref="Z134:Z176" si="2">+W134*Y134</f>
        <v>29910.714285714283</v>
      </c>
      <c r="AA134" s="1377">
        <f t="shared" ref="AA134:AA176" si="3">+Z134*1.12</f>
        <v>33500</v>
      </c>
      <c r="AB134" s="1378"/>
      <c r="AC134" s="1395"/>
      <c r="AD134" s="1439" t="s">
        <v>251</v>
      </c>
      <c r="AE134" s="449"/>
      <c r="AF134" s="4717"/>
    </row>
    <row r="135" spans="1:32" ht="19.5" customHeight="1">
      <c r="A135" s="4564"/>
      <c r="B135" s="4623"/>
      <c r="C135" s="5717"/>
      <c r="D135" s="5652"/>
      <c r="E135" s="5652"/>
      <c r="F135" s="5652"/>
      <c r="G135" s="5652"/>
      <c r="H135" s="5652"/>
      <c r="I135" s="5652"/>
      <c r="J135" s="5652"/>
      <c r="K135" s="5652"/>
      <c r="L135" s="5652"/>
      <c r="M135" s="5652"/>
      <c r="N135" s="5652"/>
      <c r="O135" s="5652"/>
      <c r="P135" s="5652"/>
      <c r="Q135" s="5652"/>
      <c r="R135" s="5656"/>
      <c r="S135" s="1402"/>
      <c r="T135" s="1376"/>
      <c r="U135" s="1376"/>
      <c r="V135" s="1393" t="s">
        <v>3410</v>
      </c>
      <c r="W135" s="1447">
        <v>5</v>
      </c>
      <c r="X135" s="1390" t="s">
        <v>269</v>
      </c>
      <c r="Y135" s="1377">
        <f>4268.32/1.12</f>
        <v>3810.9999999999995</v>
      </c>
      <c r="Z135" s="1377">
        <f t="shared" si="2"/>
        <v>19054.999999999996</v>
      </c>
      <c r="AA135" s="1377">
        <f t="shared" si="3"/>
        <v>21341.599999999999</v>
      </c>
      <c r="AB135" s="1378"/>
      <c r="AC135" s="1395"/>
      <c r="AD135" s="1439" t="s">
        <v>251</v>
      </c>
      <c r="AE135" s="449"/>
      <c r="AF135" s="4717"/>
    </row>
    <row r="136" spans="1:32" ht="19.5" customHeight="1">
      <c r="A136" s="4564"/>
      <c r="B136" s="4623"/>
      <c r="C136" s="5717"/>
      <c r="D136" s="5652"/>
      <c r="E136" s="5652"/>
      <c r="F136" s="5652"/>
      <c r="G136" s="5652"/>
      <c r="H136" s="5652"/>
      <c r="I136" s="5652"/>
      <c r="J136" s="5652"/>
      <c r="K136" s="5652"/>
      <c r="L136" s="5652"/>
      <c r="M136" s="5652"/>
      <c r="N136" s="5652"/>
      <c r="O136" s="5652"/>
      <c r="P136" s="5652"/>
      <c r="Q136" s="5652"/>
      <c r="R136" s="5656"/>
      <c r="S136" s="1402"/>
      <c r="T136" s="1376"/>
      <c r="U136" s="1376"/>
      <c r="V136" s="1393" t="s">
        <v>3411</v>
      </c>
      <c r="W136" s="1447">
        <v>1</v>
      </c>
      <c r="X136" s="1390" t="s">
        <v>269</v>
      </c>
      <c r="Y136" s="1377">
        <f>15500/1.12</f>
        <v>13839.285714285714</v>
      </c>
      <c r="Z136" s="1377">
        <f t="shared" si="2"/>
        <v>13839.285714285714</v>
      </c>
      <c r="AA136" s="1377">
        <f t="shared" si="3"/>
        <v>15500</v>
      </c>
      <c r="AB136" s="1378"/>
      <c r="AC136" s="1395"/>
      <c r="AD136" s="1439" t="s">
        <v>251</v>
      </c>
      <c r="AE136" s="449"/>
      <c r="AF136" s="4717"/>
    </row>
    <row r="137" spans="1:32" ht="19.5" customHeight="1">
      <c r="A137" s="4564"/>
      <c r="B137" s="4623"/>
      <c r="C137" s="5717"/>
      <c r="D137" s="5652"/>
      <c r="E137" s="5652"/>
      <c r="F137" s="5652"/>
      <c r="G137" s="5652"/>
      <c r="H137" s="5652"/>
      <c r="I137" s="5652"/>
      <c r="J137" s="5652"/>
      <c r="K137" s="5652"/>
      <c r="L137" s="5652"/>
      <c r="M137" s="5652"/>
      <c r="N137" s="5652"/>
      <c r="O137" s="5652"/>
      <c r="P137" s="5652"/>
      <c r="Q137" s="5652"/>
      <c r="R137" s="5656"/>
      <c r="S137" s="1402"/>
      <c r="T137" s="1376"/>
      <c r="U137" s="1376"/>
      <c r="V137" s="1393" t="s">
        <v>3412</v>
      </c>
      <c r="W137" s="1447">
        <v>1</v>
      </c>
      <c r="X137" s="1390" t="s">
        <v>269</v>
      </c>
      <c r="Y137" s="1377">
        <f>93860/1.12</f>
        <v>83803.57142857142</v>
      </c>
      <c r="Z137" s="1377">
        <f t="shared" si="2"/>
        <v>83803.57142857142</v>
      </c>
      <c r="AA137" s="1377">
        <f t="shared" si="3"/>
        <v>93860</v>
      </c>
      <c r="AB137" s="1378"/>
      <c r="AC137" s="1395"/>
      <c r="AD137" s="1439" t="s">
        <v>251</v>
      </c>
      <c r="AE137" s="449"/>
      <c r="AF137" s="4717"/>
    </row>
    <row r="138" spans="1:32" ht="19.5" customHeight="1">
      <c r="A138" s="4564"/>
      <c r="B138" s="4623"/>
      <c r="C138" s="5717"/>
      <c r="D138" s="5652"/>
      <c r="E138" s="5652"/>
      <c r="F138" s="5652"/>
      <c r="G138" s="5652"/>
      <c r="H138" s="5652"/>
      <c r="I138" s="5652"/>
      <c r="J138" s="5652"/>
      <c r="K138" s="5652"/>
      <c r="L138" s="5652"/>
      <c r="M138" s="5652"/>
      <c r="N138" s="5652"/>
      <c r="O138" s="5652"/>
      <c r="P138" s="5652"/>
      <c r="Q138" s="5652"/>
      <c r="R138" s="5656"/>
      <c r="S138" s="1402"/>
      <c r="T138" s="1376"/>
      <c r="U138" s="1376"/>
      <c r="V138" s="1393" t="s">
        <v>3413</v>
      </c>
      <c r="W138" s="1447">
        <v>4</v>
      </c>
      <c r="X138" s="1390" t="s">
        <v>269</v>
      </c>
      <c r="Y138" s="1377">
        <f>125.73/1.12</f>
        <v>112.25892857142857</v>
      </c>
      <c r="Z138" s="1377">
        <f t="shared" si="2"/>
        <v>449.03571428571428</v>
      </c>
      <c r="AA138" s="1377">
        <f t="shared" si="3"/>
        <v>502.92</v>
      </c>
      <c r="AB138" s="1378"/>
      <c r="AC138" s="1395"/>
      <c r="AD138" s="1439" t="s">
        <v>251</v>
      </c>
      <c r="AE138" s="449"/>
      <c r="AF138" s="4717"/>
    </row>
    <row r="139" spans="1:32" ht="19.5" customHeight="1">
      <c r="A139" s="4564"/>
      <c r="B139" s="4623"/>
      <c r="C139" s="5717"/>
      <c r="D139" s="5652"/>
      <c r="E139" s="5652"/>
      <c r="F139" s="5652"/>
      <c r="G139" s="5652"/>
      <c r="H139" s="5652"/>
      <c r="I139" s="5652"/>
      <c r="J139" s="5652"/>
      <c r="K139" s="5652"/>
      <c r="L139" s="5652"/>
      <c r="M139" s="5652"/>
      <c r="N139" s="5652"/>
      <c r="O139" s="5652"/>
      <c r="P139" s="5652"/>
      <c r="Q139" s="5652"/>
      <c r="R139" s="5656"/>
      <c r="S139" s="1402"/>
      <c r="T139" s="1376"/>
      <c r="U139" s="1376"/>
      <c r="V139" s="1393" t="s">
        <v>3414</v>
      </c>
      <c r="W139" s="1447">
        <v>1</v>
      </c>
      <c r="X139" s="1390" t="s">
        <v>269</v>
      </c>
      <c r="Y139" s="1377">
        <f>7053.58/1.12</f>
        <v>6297.8392857142853</v>
      </c>
      <c r="Z139" s="1377">
        <f t="shared" si="2"/>
        <v>6297.8392857142853</v>
      </c>
      <c r="AA139" s="1377">
        <f t="shared" si="3"/>
        <v>7053.58</v>
      </c>
      <c r="AB139" s="1378"/>
      <c r="AC139" s="1395"/>
      <c r="AD139" s="1439" t="s">
        <v>251</v>
      </c>
      <c r="AE139" s="449"/>
      <c r="AF139" s="4717"/>
    </row>
    <row r="140" spans="1:32" ht="19.5" customHeight="1">
      <c r="A140" s="4564"/>
      <c r="B140" s="4623"/>
      <c r="C140" s="5717"/>
      <c r="D140" s="5652"/>
      <c r="E140" s="5652"/>
      <c r="F140" s="5652"/>
      <c r="G140" s="5652"/>
      <c r="H140" s="5652"/>
      <c r="I140" s="5652"/>
      <c r="J140" s="5652"/>
      <c r="K140" s="5652"/>
      <c r="L140" s="5652"/>
      <c r="M140" s="5652"/>
      <c r="N140" s="5652"/>
      <c r="O140" s="5652"/>
      <c r="P140" s="5652"/>
      <c r="Q140" s="5652"/>
      <c r="R140" s="5656"/>
      <c r="S140" s="1402"/>
      <c r="T140" s="1376"/>
      <c r="U140" s="1376"/>
      <c r="V140" s="1393" t="s">
        <v>3415</v>
      </c>
      <c r="W140" s="1447">
        <v>6</v>
      </c>
      <c r="X140" s="1390" t="s">
        <v>269</v>
      </c>
      <c r="Y140" s="1377">
        <f>1112.94/1.12</f>
        <v>993.69642857142856</v>
      </c>
      <c r="Z140" s="1377">
        <f t="shared" si="2"/>
        <v>5962.1785714285716</v>
      </c>
      <c r="AA140" s="1377">
        <f t="shared" si="3"/>
        <v>6677.64</v>
      </c>
      <c r="AB140" s="1378"/>
      <c r="AC140" s="1395"/>
      <c r="AD140" s="1439" t="s">
        <v>251</v>
      </c>
      <c r="AE140" s="449"/>
      <c r="AF140" s="4717"/>
    </row>
    <row r="141" spans="1:32" ht="31.5" customHeight="1">
      <c r="A141" s="4564"/>
      <c r="B141" s="4623"/>
      <c r="C141" s="5717"/>
      <c r="D141" s="5652"/>
      <c r="E141" s="5652"/>
      <c r="F141" s="5652"/>
      <c r="G141" s="5652"/>
      <c r="H141" s="5652"/>
      <c r="I141" s="5652"/>
      <c r="J141" s="5652"/>
      <c r="K141" s="5652"/>
      <c r="L141" s="5652"/>
      <c r="M141" s="5652"/>
      <c r="N141" s="5652"/>
      <c r="O141" s="5652"/>
      <c r="P141" s="5652"/>
      <c r="Q141" s="5652"/>
      <c r="R141" s="5656"/>
      <c r="S141" s="1402"/>
      <c r="T141" s="1376"/>
      <c r="U141" s="1376"/>
      <c r="V141" s="1393" t="s">
        <v>3416</v>
      </c>
      <c r="W141" s="1447">
        <v>3</v>
      </c>
      <c r="X141" s="1390" t="s">
        <v>269</v>
      </c>
      <c r="Y141" s="1377">
        <f>1462.7/1.12</f>
        <v>1305.9821428571427</v>
      </c>
      <c r="Z141" s="1377">
        <f t="shared" si="2"/>
        <v>3917.946428571428</v>
      </c>
      <c r="AA141" s="1377">
        <f t="shared" si="3"/>
        <v>4388.0999999999995</v>
      </c>
      <c r="AB141" s="1378"/>
      <c r="AC141" s="1395"/>
      <c r="AD141" s="1439" t="s">
        <v>251</v>
      </c>
      <c r="AE141" s="449"/>
      <c r="AF141" s="4717"/>
    </row>
    <row r="142" spans="1:32" ht="19.5" customHeight="1">
      <c r="A142" s="4564"/>
      <c r="B142" s="4623"/>
      <c r="C142" s="5717"/>
      <c r="D142" s="5652"/>
      <c r="E142" s="5652"/>
      <c r="F142" s="5652"/>
      <c r="G142" s="5652"/>
      <c r="H142" s="5652"/>
      <c r="I142" s="5652"/>
      <c r="J142" s="5652"/>
      <c r="K142" s="5652"/>
      <c r="L142" s="5652"/>
      <c r="M142" s="5652"/>
      <c r="N142" s="5652"/>
      <c r="O142" s="5652"/>
      <c r="P142" s="5652"/>
      <c r="Q142" s="5652"/>
      <c r="R142" s="5656"/>
      <c r="S142" s="1402"/>
      <c r="T142" s="1376"/>
      <c r="U142" s="1376"/>
      <c r="V142" s="1393" t="s">
        <v>3417</v>
      </c>
      <c r="W142" s="1447">
        <v>1</v>
      </c>
      <c r="X142" s="1390" t="s">
        <v>269</v>
      </c>
      <c r="Y142" s="1377">
        <f>12372.98/1.12</f>
        <v>11047.303571428571</v>
      </c>
      <c r="Z142" s="1377">
        <f t="shared" si="2"/>
        <v>11047.303571428571</v>
      </c>
      <c r="AA142" s="1377">
        <f t="shared" si="3"/>
        <v>12372.98</v>
      </c>
      <c r="AB142" s="1378"/>
      <c r="AC142" s="1395"/>
      <c r="AD142" s="1439" t="s">
        <v>251</v>
      </c>
      <c r="AE142" s="449"/>
      <c r="AF142" s="4717"/>
    </row>
    <row r="143" spans="1:32" ht="19.5" customHeight="1">
      <c r="A143" s="4564"/>
      <c r="B143" s="4623"/>
      <c r="C143" s="5717"/>
      <c r="D143" s="5652"/>
      <c r="E143" s="5652"/>
      <c r="F143" s="5652"/>
      <c r="G143" s="5652"/>
      <c r="H143" s="5652"/>
      <c r="I143" s="5652"/>
      <c r="J143" s="5652"/>
      <c r="K143" s="5652"/>
      <c r="L143" s="5652"/>
      <c r="M143" s="5652"/>
      <c r="N143" s="5652"/>
      <c r="O143" s="5652"/>
      <c r="P143" s="5652"/>
      <c r="Q143" s="5652"/>
      <c r="R143" s="5656"/>
      <c r="S143" s="1402"/>
      <c r="T143" s="1376"/>
      <c r="U143" s="1376"/>
      <c r="V143" s="1393" t="s">
        <v>3418</v>
      </c>
      <c r="W143" s="1447">
        <v>1</v>
      </c>
      <c r="X143" s="1390" t="s">
        <v>269</v>
      </c>
      <c r="Y143" s="1377">
        <f>20975/1.12</f>
        <v>18727.678571428569</v>
      </c>
      <c r="Z143" s="1377">
        <f t="shared" si="2"/>
        <v>18727.678571428569</v>
      </c>
      <c r="AA143" s="1377">
        <f t="shared" si="3"/>
        <v>20975</v>
      </c>
      <c r="AB143" s="1378"/>
      <c r="AC143" s="1395"/>
      <c r="AD143" s="1439" t="s">
        <v>251</v>
      </c>
      <c r="AE143" s="449"/>
      <c r="AF143" s="4717"/>
    </row>
    <row r="144" spans="1:32" ht="19.5" customHeight="1">
      <c r="A144" s="4564"/>
      <c r="B144" s="4623"/>
      <c r="C144" s="5717"/>
      <c r="D144" s="5652"/>
      <c r="E144" s="5652"/>
      <c r="F144" s="5652"/>
      <c r="G144" s="5652"/>
      <c r="H144" s="5652"/>
      <c r="I144" s="5652"/>
      <c r="J144" s="5652"/>
      <c r="K144" s="5652"/>
      <c r="L144" s="5652"/>
      <c r="M144" s="5652"/>
      <c r="N144" s="5652"/>
      <c r="O144" s="5652"/>
      <c r="P144" s="5652"/>
      <c r="Q144" s="5652"/>
      <c r="R144" s="5656"/>
      <c r="S144" s="1402"/>
      <c r="T144" s="1376"/>
      <c r="U144" s="1376"/>
      <c r="V144" s="1393" t="s">
        <v>3419</v>
      </c>
      <c r="W144" s="1447">
        <v>1</v>
      </c>
      <c r="X144" s="1390" t="s">
        <v>269</v>
      </c>
      <c r="Y144" s="1377">
        <f>2074.84/1.12</f>
        <v>1852.5357142857142</v>
      </c>
      <c r="Z144" s="1377">
        <f t="shared" si="2"/>
        <v>1852.5357142857142</v>
      </c>
      <c r="AA144" s="1377">
        <f t="shared" si="3"/>
        <v>2074.84</v>
      </c>
      <c r="AB144" s="1378"/>
      <c r="AC144" s="1395"/>
      <c r="AD144" s="1439" t="s">
        <v>251</v>
      </c>
      <c r="AE144" s="449"/>
      <c r="AF144" s="4717"/>
    </row>
    <row r="145" spans="1:32" ht="19.5" customHeight="1">
      <c r="A145" s="4564"/>
      <c r="B145" s="4623"/>
      <c r="C145" s="5717"/>
      <c r="D145" s="5652"/>
      <c r="E145" s="5652"/>
      <c r="F145" s="5652"/>
      <c r="G145" s="5652"/>
      <c r="H145" s="5652"/>
      <c r="I145" s="5652"/>
      <c r="J145" s="5652"/>
      <c r="K145" s="5652"/>
      <c r="L145" s="5652"/>
      <c r="M145" s="5652"/>
      <c r="N145" s="5652"/>
      <c r="O145" s="5652"/>
      <c r="P145" s="5652"/>
      <c r="Q145" s="5652"/>
      <c r="R145" s="5656"/>
      <c r="S145" s="1402"/>
      <c r="T145" s="1376"/>
      <c r="U145" s="1376"/>
      <c r="V145" s="1393" t="s">
        <v>3420</v>
      </c>
      <c r="W145" s="1447">
        <v>1</v>
      </c>
      <c r="X145" s="1390" t="s">
        <v>269</v>
      </c>
      <c r="Y145" s="1377">
        <f>6000.75/1.12</f>
        <v>5357.8124999999991</v>
      </c>
      <c r="Z145" s="1377">
        <f t="shared" si="2"/>
        <v>5357.8124999999991</v>
      </c>
      <c r="AA145" s="1377">
        <f t="shared" si="3"/>
        <v>6000.75</v>
      </c>
      <c r="AB145" s="1378"/>
      <c r="AC145" s="1395"/>
      <c r="AD145" s="1439" t="s">
        <v>251</v>
      </c>
      <c r="AE145" s="449"/>
      <c r="AF145" s="4717"/>
    </row>
    <row r="146" spans="1:32" ht="19.5" customHeight="1">
      <c r="A146" s="4564"/>
      <c r="B146" s="4623"/>
      <c r="C146" s="5717"/>
      <c r="D146" s="5652"/>
      <c r="E146" s="5652"/>
      <c r="F146" s="5652"/>
      <c r="G146" s="5652"/>
      <c r="H146" s="5652"/>
      <c r="I146" s="5652"/>
      <c r="J146" s="5652"/>
      <c r="K146" s="5652"/>
      <c r="L146" s="5652"/>
      <c r="M146" s="5652"/>
      <c r="N146" s="5652"/>
      <c r="O146" s="5652"/>
      <c r="P146" s="5652"/>
      <c r="Q146" s="5652"/>
      <c r="R146" s="5656"/>
      <c r="S146" s="1402"/>
      <c r="T146" s="1376"/>
      <c r="U146" s="1376"/>
      <c r="V146" s="1393" t="s">
        <v>3421</v>
      </c>
      <c r="W146" s="1447">
        <v>1</v>
      </c>
      <c r="X146" s="1390" t="s">
        <v>269</v>
      </c>
      <c r="Y146" s="1377">
        <f>2534.89/1.12</f>
        <v>2263.2946428571427</v>
      </c>
      <c r="Z146" s="1377">
        <f t="shared" si="2"/>
        <v>2263.2946428571427</v>
      </c>
      <c r="AA146" s="1377">
        <f t="shared" si="3"/>
        <v>2534.89</v>
      </c>
      <c r="AB146" s="1378"/>
      <c r="AC146" s="1395"/>
      <c r="AD146" s="1439" t="s">
        <v>251</v>
      </c>
      <c r="AE146" s="449"/>
      <c r="AF146" s="4717"/>
    </row>
    <row r="147" spans="1:32" ht="19.5" customHeight="1">
      <c r="A147" s="4564"/>
      <c r="B147" s="4623"/>
      <c r="C147" s="5717"/>
      <c r="D147" s="5652"/>
      <c r="E147" s="5652"/>
      <c r="F147" s="5652"/>
      <c r="G147" s="5652"/>
      <c r="H147" s="5652"/>
      <c r="I147" s="5652"/>
      <c r="J147" s="5652"/>
      <c r="K147" s="5652"/>
      <c r="L147" s="5652"/>
      <c r="M147" s="5652"/>
      <c r="N147" s="5652"/>
      <c r="O147" s="5652"/>
      <c r="P147" s="5652"/>
      <c r="Q147" s="5652"/>
      <c r="R147" s="5656"/>
      <c r="S147" s="1402"/>
      <c r="T147" s="1376"/>
      <c r="U147" s="1376"/>
      <c r="V147" s="1393" t="s">
        <v>3422</v>
      </c>
      <c r="W147" s="1447">
        <v>5</v>
      </c>
      <c r="X147" s="1390" t="s">
        <v>269</v>
      </c>
      <c r="Y147" s="1377">
        <f>348.79/1.12</f>
        <v>311.41964285714283</v>
      </c>
      <c r="Z147" s="1377">
        <f t="shared" si="2"/>
        <v>1557.0982142857142</v>
      </c>
      <c r="AA147" s="1377">
        <f t="shared" si="3"/>
        <v>1743.95</v>
      </c>
      <c r="AB147" s="1378"/>
      <c r="AC147" s="1395"/>
      <c r="AD147" s="1439" t="s">
        <v>251</v>
      </c>
      <c r="AE147" s="449"/>
      <c r="AF147" s="4717"/>
    </row>
    <row r="148" spans="1:32" ht="19.5" customHeight="1">
      <c r="A148" s="4564"/>
      <c r="B148" s="4623"/>
      <c r="C148" s="5717"/>
      <c r="D148" s="5652"/>
      <c r="E148" s="5652"/>
      <c r="F148" s="5652"/>
      <c r="G148" s="5652"/>
      <c r="H148" s="5652"/>
      <c r="I148" s="5652"/>
      <c r="J148" s="5652"/>
      <c r="K148" s="5652"/>
      <c r="L148" s="5652"/>
      <c r="M148" s="5652"/>
      <c r="N148" s="5652"/>
      <c r="O148" s="5652"/>
      <c r="P148" s="5652"/>
      <c r="Q148" s="5652"/>
      <c r="R148" s="5656"/>
      <c r="S148" s="1402"/>
      <c r="T148" s="1376"/>
      <c r="U148" s="1376"/>
      <c r="V148" s="1393" t="s">
        <v>3423</v>
      </c>
      <c r="W148" s="1447">
        <v>1</v>
      </c>
      <c r="X148" s="1390" t="s">
        <v>269</v>
      </c>
      <c r="Y148" s="1377">
        <f>19155.56/1.12</f>
        <v>17103.178571428572</v>
      </c>
      <c r="Z148" s="1377">
        <f t="shared" si="2"/>
        <v>17103.178571428572</v>
      </c>
      <c r="AA148" s="1377">
        <f t="shared" si="3"/>
        <v>19155.560000000001</v>
      </c>
      <c r="AB148" s="1378"/>
      <c r="AC148" s="1395"/>
      <c r="AD148" s="1439" t="s">
        <v>251</v>
      </c>
      <c r="AE148" s="449"/>
      <c r="AF148" s="4717"/>
    </row>
    <row r="149" spans="1:32" ht="19.5" customHeight="1">
      <c r="A149" s="4564"/>
      <c r="B149" s="4623"/>
      <c r="C149" s="5717"/>
      <c r="D149" s="5652"/>
      <c r="E149" s="5652"/>
      <c r="F149" s="5652"/>
      <c r="G149" s="5652"/>
      <c r="H149" s="5652"/>
      <c r="I149" s="5652"/>
      <c r="J149" s="5652"/>
      <c r="K149" s="5652"/>
      <c r="L149" s="5652"/>
      <c r="M149" s="5652"/>
      <c r="N149" s="5652"/>
      <c r="O149" s="5652"/>
      <c r="P149" s="5652"/>
      <c r="Q149" s="5652"/>
      <c r="R149" s="5656"/>
      <c r="S149" s="1402"/>
      <c r="T149" s="1376"/>
      <c r="U149" s="1376"/>
      <c r="V149" s="1393" t="s">
        <v>3424</v>
      </c>
      <c r="W149" s="1447">
        <v>1</v>
      </c>
      <c r="X149" s="1390" t="s">
        <v>269</v>
      </c>
      <c r="Y149" s="1377">
        <f>13789.28/1.12</f>
        <v>12311.857142857143</v>
      </c>
      <c r="Z149" s="1377">
        <f t="shared" si="2"/>
        <v>12311.857142857143</v>
      </c>
      <c r="AA149" s="1377">
        <f t="shared" si="3"/>
        <v>13789.280000000002</v>
      </c>
      <c r="AB149" s="1378"/>
      <c r="AC149" s="1395"/>
      <c r="AD149" s="1439" t="s">
        <v>251</v>
      </c>
      <c r="AE149" s="449"/>
      <c r="AF149" s="4717"/>
    </row>
    <row r="150" spans="1:32" ht="19.5" customHeight="1">
      <c r="A150" s="4564"/>
      <c r="B150" s="4623"/>
      <c r="C150" s="5717"/>
      <c r="D150" s="5652"/>
      <c r="E150" s="5652"/>
      <c r="F150" s="5652"/>
      <c r="G150" s="5652"/>
      <c r="H150" s="5652"/>
      <c r="I150" s="5652"/>
      <c r="J150" s="5652"/>
      <c r="K150" s="5652"/>
      <c r="L150" s="5652"/>
      <c r="M150" s="5652"/>
      <c r="N150" s="5652"/>
      <c r="O150" s="5652"/>
      <c r="P150" s="5652"/>
      <c r="Q150" s="5652"/>
      <c r="R150" s="5656"/>
      <c r="S150" s="1402"/>
      <c r="T150" s="1376"/>
      <c r="U150" s="1376"/>
      <c r="V150" s="1393" t="s">
        <v>3425</v>
      </c>
      <c r="W150" s="1447">
        <v>5</v>
      </c>
      <c r="X150" s="1390" t="s">
        <v>269</v>
      </c>
      <c r="Y150" s="1389">
        <f>124.27/1.12</f>
        <v>110.95535714285712</v>
      </c>
      <c r="Z150" s="1377">
        <f t="shared" si="2"/>
        <v>554.77678571428567</v>
      </c>
      <c r="AA150" s="1377">
        <f t="shared" si="3"/>
        <v>621.35</v>
      </c>
      <c r="AB150" s="1378"/>
      <c r="AC150" s="1395"/>
      <c r="AD150" s="1439" t="s">
        <v>251</v>
      </c>
      <c r="AE150" s="449"/>
      <c r="AF150" s="4717"/>
    </row>
    <row r="151" spans="1:32" ht="19.5" customHeight="1">
      <c r="A151" s="4564"/>
      <c r="B151" s="4623"/>
      <c r="C151" s="5717"/>
      <c r="D151" s="5652"/>
      <c r="E151" s="5652"/>
      <c r="F151" s="5652"/>
      <c r="G151" s="5652"/>
      <c r="H151" s="5652"/>
      <c r="I151" s="5652"/>
      <c r="J151" s="5652"/>
      <c r="K151" s="5652"/>
      <c r="L151" s="5652"/>
      <c r="M151" s="5652"/>
      <c r="N151" s="5652"/>
      <c r="O151" s="5652"/>
      <c r="P151" s="5652"/>
      <c r="Q151" s="5652"/>
      <c r="R151" s="5656"/>
      <c r="S151" s="1402"/>
      <c r="T151" s="1376"/>
      <c r="U151" s="1376"/>
      <c r="V151" s="1393" t="s">
        <v>3426</v>
      </c>
      <c r="W151" s="1447">
        <v>5</v>
      </c>
      <c r="X151" s="1390" t="s">
        <v>269</v>
      </c>
      <c r="Y151" s="1377">
        <f>157.27/1.12</f>
        <v>140.41964285714286</v>
      </c>
      <c r="Z151" s="1377">
        <f t="shared" si="2"/>
        <v>702.09821428571433</v>
      </c>
      <c r="AA151" s="1377">
        <f t="shared" si="3"/>
        <v>786.35000000000014</v>
      </c>
      <c r="AB151" s="1378"/>
      <c r="AC151" s="1395"/>
      <c r="AD151" s="1439" t="s">
        <v>251</v>
      </c>
      <c r="AE151" s="449"/>
      <c r="AF151" s="4717"/>
    </row>
    <row r="152" spans="1:32" ht="36" customHeight="1">
      <c r="A152" s="4564"/>
      <c r="B152" s="4623"/>
      <c r="C152" s="5717"/>
      <c r="D152" s="5652"/>
      <c r="E152" s="5652"/>
      <c r="F152" s="5652"/>
      <c r="G152" s="5652"/>
      <c r="H152" s="5652"/>
      <c r="I152" s="5652"/>
      <c r="J152" s="5652"/>
      <c r="K152" s="5652"/>
      <c r="L152" s="5652"/>
      <c r="M152" s="5652"/>
      <c r="N152" s="5652"/>
      <c r="O152" s="5652"/>
      <c r="P152" s="5652"/>
      <c r="Q152" s="5652"/>
      <c r="R152" s="5656"/>
      <c r="S152" s="1402"/>
      <c r="T152" s="1376"/>
      <c r="U152" s="1376"/>
      <c r="V152" s="1393" t="s">
        <v>3427</v>
      </c>
      <c r="W152" s="1447">
        <v>9</v>
      </c>
      <c r="X152" s="1390" t="s">
        <v>269</v>
      </c>
      <c r="Y152" s="1377">
        <f>1126.58/1.12</f>
        <v>1005.8749999999999</v>
      </c>
      <c r="Z152" s="1377">
        <f t="shared" si="2"/>
        <v>9052.8749999999982</v>
      </c>
      <c r="AA152" s="1377">
        <f t="shared" si="3"/>
        <v>10139.219999999999</v>
      </c>
      <c r="AB152" s="1378"/>
      <c r="AC152" s="1395"/>
      <c r="AD152" s="1439" t="s">
        <v>251</v>
      </c>
      <c r="AE152" s="449"/>
      <c r="AF152" s="4717"/>
    </row>
    <row r="153" spans="1:32" ht="19.5" customHeight="1">
      <c r="A153" s="4564"/>
      <c r="B153" s="4623"/>
      <c r="C153" s="5717"/>
      <c r="D153" s="5652"/>
      <c r="E153" s="5652"/>
      <c r="F153" s="5652"/>
      <c r="G153" s="5652"/>
      <c r="H153" s="5652"/>
      <c r="I153" s="5652"/>
      <c r="J153" s="5652"/>
      <c r="K153" s="5652"/>
      <c r="L153" s="5652"/>
      <c r="M153" s="5652"/>
      <c r="N153" s="5652"/>
      <c r="O153" s="5652"/>
      <c r="P153" s="5652"/>
      <c r="Q153" s="5652"/>
      <c r="R153" s="5656"/>
      <c r="S153" s="1402"/>
      <c r="T153" s="1376"/>
      <c r="U153" s="1376"/>
      <c r="V153" s="1393" t="s">
        <v>3428</v>
      </c>
      <c r="W153" s="1447">
        <v>1</v>
      </c>
      <c r="X153" s="1390" t="s">
        <v>269</v>
      </c>
      <c r="Y153" s="1377">
        <f>117839.67/1.12</f>
        <v>105213.99107142857</v>
      </c>
      <c r="Z153" s="1377">
        <f t="shared" si="2"/>
        <v>105213.99107142857</v>
      </c>
      <c r="AA153" s="1377">
        <f t="shared" si="3"/>
        <v>117839.67</v>
      </c>
      <c r="AB153" s="1378"/>
      <c r="AC153" s="1395"/>
      <c r="AD153" s="1439" t="s">
        <v>251</v>
      </c>
      <c r="AE153" s="449"/>
      <c r="AF153" s="4717"/>
    </row>
    <row r="154" spans="1:32" ht="19.5" customHeight="1">
      <c r="A154" s="4564"/>
      <c r="B154" s="4623"/>
      <c r="C154" s="5717"/>
      <c r="D154" s="5652"/>
      <c r="E154" s="5652"/>
      <c r="F154" s="5652"/>
      <c r="G154" s="5652"/>
      <c r="H154" s="5652"/>
      <c r="I154" s="5652"/>
      <c r="J154" s="5652"/>
      <c r="K154" s="5652"/>
      <c r="L154" s="5652"/>
      <c r="M154" s="5652"/>
      <c r="N154" s="5652"/>
      <c r="O154" s="5652"/>
      <c r="P154" s="5652"/>
      <c r="Q154" s="5652"/>
      <c r="R154" s="5656"/>
      <c r="S154" s="1402"/>
      <c r="T154" s="1376"/>
      <c r="U154" s="1376"/>
      <c r="V154" s="1393" t="s">
        <v>3429</v>
      </c>
      <c r="W154" s="1447">
        <v>1</v>
      </c>
      <c r="X154" s="1390" t="s">
        <v>269</v>
      </c>
      <c r="Y154" s="1377">
        <f>1549.59/1.12</f>
        <v>1383.5624999999998</v>
      </c>
      <c r="Z154" s="1377">
        <f t="shared" si="2"/>
        <v>1383.5624999999998</v>
      </c>
      <c r="AA154" s="1377">
        <f t="shared" si="3"/>
        <v>1549.59</v>
      </c>
      <c r="AB154" s="1378"/>
      <c r="AC154" s="1395"/>
      <c r="AD154" s="1439" t="s">
        <v>251</v>
      </c>
      <c r="AE154" s="449"/>
      <c r="AF154" s="4717"/>
    </row>
    <row r="155" spans="1:32" ht="31.5" customHeight="1">
      <c r="A155" s="4564"/>
      <c r="B155" s="4623"/>
      <c r="C155" s="5717"/>
      <c r="D155" s="5652"/>
      <c r="E155" s="5652"/>
      <c r="F155" s="5652"/>
      <c r="G155" s="5652"/>
      <c r="H155" s="5652"/>
      <c r="I155" s="5652"/>
      <c r="J155" s="5652"/>
      <c r="K155" s="5652"/>
      <c r="L155" s="5652"/>
      <c r="M155" s="5652"/>
      <c r="N155" s="5652"/>
      <c r="O155" s="5652"/>
      <c r="P155" s="5652"/>
      <c r="Q155" s="5652"/>
      <c r="R155" s="5656"/>
      <c r="S155" s="1402"/>
      <c r="T155" s="1376"/>
      <c r="U155" s="1376"/>
      <c r="V155" s="1393" t="s">
        <v>3430</v>
      </c>
      <c r="W155" s="1447">
        <v>3</v>
      </c>
      <c r="X155" s="1390" t="s">
        <v>269</v>
      </c>
      <c r="Y155" s="1377">
        <f>466.24/1.12</f>
        <v>416.28571428571428</v>
      </c>
      <c r="Z155" s="1377">
        <f t="shared" si="2"/>
        <v>1248.8571428571429</v>
      </c>
      <c r="AA155" s="1377">
        <f t="shared" si="3"/>
        <v>1398.7200000000003</v>
      </c>
      <c r="AB155" s="1378"/>
      <c r="AC155" s="1395"/>
      <c r="AD155" s="1439" t="s">
        <v>251</v>
      </c>
      <c r="AE155" s="449"/>
      <c r="AF155" s="4717"/>
    </row>
    <row r="156" spans="1:32" ht="19.5" customHeight="1">
      <c r="A156" s="4564"/>
      <c r="B156" s="4623"/>
      <c r="C156" s="5717"/>
      <c r="D156" s="5652"/>
      <c r="E156" s="5652"/>
      <c r="F156" s="5652"/>
      <c r="G156" s="5652"/>
      <c r="H156" s="5652"/>
      <c r="I156" s="5652"/>
      <c r="J156" s="5652"/>
      <c r="K156" s="5652"/>
      <c r="L156" s="5652"/>
      <c r="M156" s="5652"/>
      <c r="N156" s="5652"/>
      <c r="O156" s="5652"/>
      <c r="P156" s="5652"/>
      <c r="Q156" s="5652"/>
      <c r="R156" s="5656"/>
      <c r="S156" s="1402"/>
      <c r="T156" s="1376"/>
      <c r="U156" s="1376"/>
      <c r="V156" s="1393" t="s">
        <v>3431</v>
      </c>
      <c r="W156" s="1447">
        <v>1</v>
      </c>
      <c r="X156" s="1390" t="s">
        <v>269</v>
      </c>
      <c r="Y156" s="1377">
        <f>151000/1.12</f>
        <v>134821.42857142855</v>
      </c>
      <c r="Z156" s="1377">
        <f t="shared" si="2"/>
        <v>134821.42857142855</v>
      </c>
      <c r="AA156" s="1377">
        <f t="shared" si="3"/>
        <v>151000</v>
      </c>
      <c r="AB156" s="1378"/>
      <c r="AC156" s="1395"/>
      <c r="AD156" s="1439" t="s">
        <v>251</v>
      </c>
      <c r="AE156" s="449"/>
      <c r="AF156" s="4717"/>
    </row>
    <row r="157" spans="1:32" ht="19.5" customHeight="1">
      <c r="A157" s="4564"/>
      <c r="B157" s="4623"/>
      <c r="C157" s="5717"/>
      <c r="D157" s="5652"/>
      <c r="E157" s="5652"/>
      <c r="F157" s="5652"/>
      <c r="G157" s="5652"/>
      <c r="H157" s="5652"/>
      <c r="I157" s="5652"/>
      <c r="J157" s="5652"/>
      <c r="K157" s="5652"/>
      <c r="L157" s="5652"/>
      <c r="M157" s="5652"/>
      <c r="N157" s="5652"/>
      <c r="O157" s="5652"/>
      <c r="P157" s="5652"/>
      <c r="Q157" s="5652"/>
      <c r="R157" s="5656"/>
      <c r="S157" s="1402"/>
      <c r="T157" s="1376"/>
      <c r="U157" s="1376"/>
      <c r="V157" s="1393" t="s">
        <v>3432</v>
      </c>
      <c r="W157" s="1447">
        <v>1</v>
      </c>
      <c r="X157" s="1390" t="s">
        <v>269</v>
      </c>
      <c r="Y157" s="1377">
        <f>4055.34/1.12</f>
        <v>3620.8392857142853</v>
      </c>
      <c r="Z157" s="1377">
        <f t="shared" si="2"/>
        <v>3620.8392857142853</v>
      </c>
      <c r="AA157" s="1377">
        <f t="shared" si="3"/>
        <v>4055.34</v>
      </c>
      <c r="AB157" s="1378"/>
      <c r="AC157" s="1395"/>
      <c r="AD157" s="1439" t="s">
        <v>251</v>
      </c>
      <c r="AE157" s="449"/>
      <c r="AF157" s="4717"/>
    </row>
    <row r="158" spans="1:32" ht="19.5" customHeight="1">
      <c r="A158" s="4564"/>
      <c r="B158" s="4623"/>
      <c r="C158" s="5717"/>
      <c r="D158" s="5652"/>
      <c r="E158" s="5652"/>
      <c r="F158" s="5652"/>
      <c r="G158" s="5652"/>
      <c r="H158" s="5652"/>
      <c r="I158" s="5652"/>
      <c r="J158" s="5652"/>
      <c r="K158" s="5652"/>
      <c r="L158" s="5652"/>
      <c r="M158" s="5652"/>
      <c r="N158" s="5652"/>
      <c r="O158" s="5652"/>
      <c r="P158" s="5652"/>
      <c r="Q158" s="5652"/>
      <c r="R158" s="5656"/>
      <c r="S158" s="1402"/>
      <c r="T158" s="1376"/>
      <c r="U158" s="1376"/>
      <c r="V158" s="1393" t="s">
        <v>3433</v>
      </c>
      <c r="W158" s="1447">
        <v>1</v>
      </c>
      <c r="X158" s="1390" t="s">
        <v>269</v>
      </c>
      <c r="Y158" s="1377">
        <f>13026.26/1.12</f>
        <v>11630.589285714284</v>
      </c>
      <c r="Z158" s="1377">
        <f t="shared" si="2"/>
        <v>11630.589285714284</v>
      </c>
      <c r="AA158" s="1377">
        <f t="shared" si="3"/>
        <v>13026.26</v>
      </c>
      <c r="AB158" s="1378"/>
      <c r="AC158" s="1395"/>
      <c r="AD158" s="1439" t="s">
        <v>251</v>
      </c>
      <c r="AE158" s="449"/>
      <c r="AF158" s="4717"/>
    </row>
    <row r="159" spans="1:32" ht="19.5" customHeight="1">
      <c r="A159" s="4564"/>
      <c r="B159" s="4623"/>
      <c r="C159" s="5717"/>
      <c r="D159" s="5652"/>
      <c r="E159" s="5652"/>
      <c r="F159" s="5652"/>
      <c r="G159" s="5652"/>
      <c r="H159" s="5652"/>
      <c r="I159" s="5652"/>
      <c r="J159" s="5652"/>
      <c r="K159" s="5652"/>
      <c r="L159" s="5652"/>
      <c r="M159" s="5652"/>
      <c r="N159" s="5652"/>
      <c r="O159" s="5652"/>
      <c r="P159" s="5652"/>
      <c r="Q159" s="5652"/>
      <c r="R159" s="5656"/>
      <c r="S159" s="1402"/>
      <c r="T159" s="1376"/>
      <c r="U159" s="1376"/>
      <c r="V159" s="1393" t="s">
        <v>3434</v>
      </c>
      <c r="W159" s="1447">
        <v>2</v>
      </c>
      <c r="X159" s="1390" t="s">
        <v>269</v>
      </c>
      <c r="Y159" s="1377">
        <f>1153.4/1.12</f>
        <v>1029.8214285714284</v>
      </c>
      <c r="Z159" s="1377">
        <f t="shared" si="2"/>
        <v>2059.6428571428569</v>
      </c>
      <c r="AA159" s="1377">
        <f t="shared" si="3"/>
        <v>2306.7999999999997</v>
      </c>
      <c r="AB159" s="1378"/>
      <c r="AC159" s="1395"/>
      <c r="AD159" s="1439" t="s">
        <v>251</v>
      </c>
      <c r="AE159" s="449"/>
      <c r="AF159" s="4717"/>
    </row>
    <row r="160" spans="1:32" ht="19.5" customHeight="1">
      <c r="A160" s="4564"/>
      <c r="B160" s="4623"/>
      <c r="C160" s="5717"/>
      <c r="D160" s="5652"/>
      <c r="E160" s="5652"/>
      <c r="F160" s="5652"/>
      <c r="G160" s="5652"/>
      <c r="H160" s="5652"/>
      <c r="I160" s="5652"/>
      <c r="J160" s="5652"/>
      <c r="K160" s="5652"/>
      <c r="L160" s="5652"/>
      <c r="M160" s="5652"/>
      <c r="N160" s="5652"/>
      <c r="O160" s="5652"/>
      <c r="P160" s="5652"/>
      <c r="Q160" s="5652"/>
      <c r="R160" s="5656"/>
      <c r="S160" s="1402"/>
      <c r="T160" s="1376"/>
      <c r="U160" s="1376"/>
      <c r="V160" s="1393" t="s">
        <v>3435</v>
      </c>
      <c r="W160" s="1447">
        <v>2</v>
      </c>
      <c r="X160" s="1390" t="s">
        <v>269</v>
      </c>
      <c r="Y160" s="1377">
        <f>4262.5/1.12</f>
        <v>3805.8035714285711</v>
      </c>
      <c r="Z160" s="1377">
        <f t="shared" si="2"/>
        <v>7611.6071428571422</v>
      </c>
      <c r="AA160" s="1377">
        <f t="shared" si="3"/>
        <v>8525</v>
      </c>
      <c r="AB160" s="1378"/>
      <c r="AC160" s="1395"/>
      <c r="AD160" s="1439" t="s">
        <v>251</v>
      </c>
      <c r="AE160" s="449"/>
      <c r="AF160" s="4717"/>
    </row>
    <row r="161" spans="1:32" ht="19.5" customHeight="1">
      <c r="A161" s="4564"/>
      <c r="B161" s="4623"/>
      <c r="C161" s="5717"/>
      <c r="D161" s="5652"/>
      <c r="E161" s="5652"/>
      <c r="F161" s="5652"/>
      <c r="G161" s="5652"/>
      <c r="H161" s="5652"/>
      <c r="I161" s="5652"/>
      <c r="J161" s="5652"/>
      <c r="K161" s="5652"/>
      <c r="L161" s="5652"/>
      <c r="M161" s="5652"/>
      <c r="N161" s="5652"/>
      <c r="O161" s="5652"/>
      <c r="P161" s="5652"/>
      <c r="Q161" s="5652"/>
      <c r="R161" s="5656"/>
      <c r="S161" s="1402"/>
      <c r="T161" s="1376"/>
      <c r="U161" s="1376"/>
      <c r="V161" s="1393" t="s">
        <v>3436</v>
      </c>
      <c r="W161" s="1447">
        <v>3</v>
      </c>
      <c r="X161" s="1390" t="s">
        <v>269</v>
      </c>
      <c r="Y161" s="1377">
        <f>164.16/1.12</f>
        <v>146.57142857142856</v>
      </c>
      <c r="Z161" s="1377">
        <f t="shared" si="2"/>
        <v>439.71428571428567</v>
      </c>
      <c r="AA161" s="1377">
        <f t="shared" si="3"/>
        <v>492.48</v>
      </c>
      <c r="AB161" s="1378"/>
      <c r="AC161" s="1395"/>
      <c r="AD161" s="1439" t="s">
        <v>251</v>
      </c>
      <c r="AE161" s="449"/>
      <c r="AF161" s="4717"/>
    </row>
    <row r="162" spans="1:32" ht="19.5" customHeight="1">
      <c r="A162" s="4564"/>
      <c r="B162" s="4623"/>
      <c r="C162" s="5717"/>
      <c r="D162" s="5652"/>
      <c r="E162" s="5652"/>
      <c r="F162" s="5652"/>
      <c r="G162" s="5652"/>
      <c r="H162" s="5652"/>
      <c r="I162" s="5652"/>
      <c r="J162" s="5652"/>
      <c r="K162" s="5652"/>
      <c r="L162" s="5652"/>
      <c r="M162" s="5652"/>
      <c r="N162" s="5652"/>
      <c r="O162" s="5652"/>
      <c r="P162" s="5652"/>
      <c r="Q162" s="5652"/>
      <c r="R162" s="5656"/>
      <c r="S162" s="1402"/>
      <c r="T162" s="1376"/>
      <c r="U162" s="1376"/>
      <c r="V162" s="1393" t="s">
        <v>3437</v>
      </c>
      <c r="W162" s="1447">
        <v>2</v>
      </c>
      <c r="X162" s="1390" t="s">
        <v>269</v>
      </c>
      <c r="Y162" s="1377">
        <f>3687.62/1.12</f>
        <v>3292.5178571428569</v>
      </c>
      <c r="Z162" s="1377">
        <f t="shared" si="2"/>
        <v>6585.0357142857138</v>
      </c>
      <c r="AA162" s="1377">
        <f t="shared" si="3"/>
        <v>7375.24</v>
      </c>
      <c r="AB162" s="1378"/>
      <c r="AC162" s="1395"/>
      <c r="AD162" s="1439" t="s">
        <v>251</v>
      </c>
      <c r="AE162" s="449"/>
      <c r="AF162" s="4717"/>
    </row>
    <row r="163" spans="1:32" ht="19.5" customHeight="1">
      <c r="A163" s="4564"/>
      <c r="B163" s="4623"/>
      <c r="C163" s="5717"/>
      <c r="D163" s="5652"/>
      <c r="E163" s="5652"/>
      <c r="F163" s="5652"/>
      <c r="G163" s="5652"/>
      <c r="H163" s="5652"/>
      <c r="I163" s="5652"/>
      <c r="J163" s="5652"/>
      <c r="K163" s="5652"/>
      <c r="L163" s="5652"/>
      <c r="M163" s="5652"/>
      <c r="N163" s="5652"/>
      <c r="O163" s="5652"/>
      <c r="P163" s="5652"/>
      <c r="Q163" s="5652"/>
      <c r="R163" s="5656"/>
      <c r="S163" s="1402"/>
      <c r="T163" s="1376"/>
      <c r="U163" s="1376"/>
      <c r="V163" s="1393" t="s">
        <v>3438</v>
      </c>
      <c r="W163" s="1447">
        <v>2</v>
      </c>
      <c r="X163" s="1390" t="s">
        <v>269</v>
      </c>
      <c r="Y163" s="1377">
        <f>1072.17/1.12</f>
        <v>957.29464285714278</v>
      </c>
      <c r="Z163" s="1377">
        <f t="shared" si="2"/>
        <v>1914.5892857142856</v>
      </c>
      <c r="AA163" s="1377">
        <f t="shared" si="3"/>
        <v>2144.34</v>
      </c>
      <c r="AB163" s="1378"/>
      <c r="AC163" s="1395"/>
      <c r="AD163" s="1439" t="s">
        <v>251</v>
      </c>
      <c r="AE163" s="449"/>
      <c r="AF163" s="4717"/>
    </row>
    <row r="164" spans="1:32" ht="19.5" customHeight="1">
      <c r="A164" s="4564"/>
      <c r="B164" s="4623"/>
      <c r="C164" s="5717"/>
      <c r="D164" s="5652"/>
      <c r="E164" s="5652"/>
      <c r="F164" s="5652"/>
      <c r="G164" s="5652"/>
      <c r="H164" s="5652"/>
      <c r="I164" s="5652"/>
      <c r="J164" s="5652"/>
      <c r="K164" s="5652"/>
      <c r="L164" s="5652"/>
      <c r="M164" s="5652"/>
      <c r="N164" s="5652"/>
      <c r="O164" s="5652"/>
      <c r="P164" s="5652"/>
      <c r="Q164" s="5652"/>
      <c r="R164" s="5656"/>
      <c r="S164" s="1402"/>
      <c r="T164" s="1376"/>
      <c r="U164" s="1376"/>
      <c r="V164" s="1393" t="s">
        <v>3439</v>
      </c>
      <c r="W164" s="1447">
        <v>1</v>
      </c>
      <c r="X164" s="1390" t="s">
        <v>269</v>
      </c>
      <c r="Y164" s="1377">
        <f>48051.15/1.12</f>
        <v>42902.8125</v>
      </c>
      <c r="Z164" s="1377">
        <f t="shared" si="2"/>
        <v>42902.8125</v>
      </c>
      <c r="AA164" s="1377">
        <f t="shared" si="3"/>
        <v>48051.15</v>
      </c>
      <c r="AB164" s="1378"/>
      <c r="AC164" s="1395"/>
      <c r="AD164" s="1439" t="s">
        <v>251</v>
      </c>
      <c r="AE164" s="449"/>
      <c r="AF164" s="4717"/>
    </row>
    <row r="165" spans="1:32" ht="19.5" customHeight="1">
      <c r="A165" s="4564"/>
      <c r="B165" s="4623"/>
      <c r="C165" s="5717"/>
      <c r="D165" s="5652"/>
      <c r="E165" s="5652"/>
      <c r="F165" s="5652"/>
      <c r="G165" s="5652"/>
      <c r="H165" s="5652"/>
      <c r="I165" s="5652"/>
      <c r="J165" s="5652"/>
      <c r="K165" s="5652"/>
      <c r="L165" s="5652"/>
      <c r="M165" s="5652"/>
      <c r="N165" s="5652"/>
      <c r="O165" s="5652"/>
      <c r="P165" s="5652"/>
      <c r="Q165" s="5652"/>
      <c r="R165" s="5656"/>
      <c r="S165" s="1402"/>
      <c r="T165" s="1376"/>
      <c r="U165" s="1376"/>
      <c r="V165" s="1393" t="s">
        <v>3440</v>
      </c>
      <c r="W165" s="1447">
        <v>1</v>
      </c>
      <c r="X165" s="1390" t="s">
        <v>269</v>
      </c>
      <c r="Y165" s="1377">
        <f>8754.25/1.12</f>
        <v>7816.2946428571422</v>
      </c>
      <c r="Z165" s="1377">
        <f t="shared" si="2"/>
        <v>7816.2946428571422</v>
      </c>
      <c r="AA165" s="1377">
        <f t="shared" si="3"/>
        <v>8754.25</v>
      </c>
      <c r="AB165" s="1378"/>
      <c r="AC165" s="1395"/>
      <c r="AD165" s="1439" t="s">
        <v>251</v>
      </c>
      <c r="AE165" s="449"/>
      <c r="AF165" s="4717"/>
    </row>
    <row r="166" spans="1:32" ht="30" customHeight="1">
      <c r="A166" s="4564"/>
      <c r="B166" s="4623"/>
      <c r="C166" s="5717"/>
      <c r="D166" s="5652"/>
      <c r="E166" s="5652"/>
      <c r="F166" s="5652"/>
      <c r="G166" s="5652"/>
      <c r="H166" s="5652"/>
      <c r="I166" s="5652"/>
      <c r="J166" s="5652"/>
      <c r="K166" s="5652"/>
      <c r="L166" s="5652"/>
      <c r="M166" s="5652"/>
      <c r="N166" s="5652"/>
      <c r="O166" s="5652"/>
      <c r="P166" s="5652"/>
      <c r="Q166" s="5652"/>
      <c r="R166" s="5656"/>
      <c r="S166" s="1402"/>
      <c r="T166" s="1376"/>
      <c r="U166" s="1376"/>
      <c r="V166" s="1393" t="s">
        <v>3441</v>
      </c>
      <c r="W166" s="1447">
        <v>1</v>
      </c>
      <c r="X166" s="1390" t="s">
        <v>269</v>
      </c>
      <c r="Y166" s="1377">
        <f>11371.5/1.12</f>
        <v>10153.124999999998</v>
      </c>
      <c r="Z166" s="1377">
        <f t="shared" si="2"/>
        <v>10153.124999999998</v>
      </c>
      <c r="AA166" s="1377">
        <f t="shared" si="3"/>
        <v>11371.499999999998</v>
      </c>
      <c r="AB166" s="1378"/>
      <c r="AC166" s="1395"/>
      <c r="AD166" s="1439" t="s">
        <v>251</v>
      </c>
      <c r="AE166" s="449"/>
      <c r="AF166" s="4717"/>
    </row>
    <row r="167" spans="1:32" ht="19.5" customHeight="1">
      <c r="A167" s="4564"/>
      <c r="B167" s="4623"/>
      <c r="C167" s="5717"/>
      <c r="D167" s="5652"/>
      <c r="E167" s="5652"/>
      <c r="F167" s="5652"/>
      <c r="G167" s="5652"/>
      <c r="H167" s="5652"/>
      <c r="I167" s="5652"/>
      <c r="J167" s="5652"/>
      <c r="K167" s="5652"/>
      <c r="L167" s="5652"/>
      <c r="M167" s="5652"/>
      <c r="N167" s="5652"/>
      <c r="O167" s="5652"/>
      <c r="P167" s="5652"/>
      <c r="Q167" s="5652"/>
      <c r="R167" s="5656"/>
      <c r="S167" s="1402"/>
      <c r="T167" s="1376"/>
      <c r="U167" s="1376"/>
      <c r="V167" s="1393" t="s">
        <v>3442</v>
      </c>
      <c r="W167" s="1447">
        <v>1</v>
      </c>
      <c r="X167" s="1390" t="s">
        <v>269</v>
      </c>
      <c r="Y167" s="1377">
        <f>4796.66/1.12</f>
        <v>4282.7321428571422</v>
      </c>
      <c r="Z167" s="1377">
        <f t="shared" si="2"/>
        <v>4282.7321428571422</v>
      </c>
      <c r="AA167" s="1377">
        <f t="shared" si="3"/>
        <v>4796.66</v>
      </c>
      <c r="AB167" s="1378"/>
      <c r="AC167" s="1395"/>
      <c r="AD167" s="1439" t="s">
        <v>251</v>
      </c>
      <c r="AE167" s="449"/>
      <c r="AF167" s="4717"/>
    </row>
    <row r="168" spans="1:32" ht="19.5" customHeight="1">
      <c r="A168" s="4564"/>
      <c r="B168" s="4623"/>
      <c r="C168" s="5717"/>
      <c r="D168" s="5652"/>
      <c r="E168" s="5652"/>
      <c r="F168" s="5652"/>
      <c r="G168" s="5652"/>
      <c r="H168" s="5652"/>
      <c r="I168" s="5652"/>
      <c r="J168" s="5652"/>
      <c r="K168" s="5652"/>
      <c r="L168" s="5652"/>
      <c r="M168" s="5652"/>
      <c r="N168" s="5652"/>
      <c r="O168" s="5652"/>
      <c r="P168" s="5652"/>
      <c r="Q168" s="5652"/>
      <c r="R168" s="5656"/>
      <c r="S168" s="1402"/>
      <c r="T168" s="1376"/>
      <c r="U168" s="1376"/>
      <c r="V168" s="1393" t="s">
        <v>3443</v>
      </c>
      <c r="W168" s="1447">
        <v>1</v>
      </c>
      <c r="X168" s="1390" t="s">
        <v>269</v>
      </c>
      <c r="Y168" s="1377">
        <f>5700/1.12</f>
        <v>5089.2857142857138</v>
      </c>
      <c r="Z168" s="1377">
        <f t="shared" si="2"/>
        <v>5089.2857142857138</v>
      </c>
      <c r="AA168" s="1377">
        <f t="shared" si="3"/>
        <v>5700</v>
      </c>
      <c r="AB168" s="1378"/>
      <c r="AC168" s="1395"/>
      <c r="AD168" s="1439" t="s">
        <v>251</v>
      </c>
      <c r="AE168" s="449"/>
      <c r="AF168" s="4717"/>
    </row>
    <row r="169" spans="1:32" ht="19.5" customHeight="1">
      <c r="A169" s="4564"/>
      <c r="B169" s="4623"/>
      <c r="C169" s="5717"/>
      <c r="D169" s="5652"/>
      <c r="E169" s="5652"/>
      <c r="F169" s="5652"/>
      <c r="G169" s="5652"/>
      <c r="H169" s="5652"/>
      <c r="I169" s="5652"/>
      <c r="J169" s="5652"/>
      <c r="K169" s="5652"/>
      <c r="L169" s="5652"/>
      <c r="M169" s="5652"/>
      <c r="N169" s="5652"/>
      <c r="O169" s="5652"/>
      <c r="P169" s="5652"/>
      <c r="Q169" s="5652"/>
      <c r="R169" s="5656"/>
      <c r="S169" s="1402"/>
      <c r="T169" s="1376"/>
      <c r="U169" s="1376"/>
      <c r="V169" s="1393" t="s">
        <v>3444</v>
      </c>
      <c r="W169" s="1447">
        <v>18</v>
      </c>
      <c r="X169" s="1390" t="s">
        <v>269</v>
      </c>
      <c r="Y169" s="1377">
        <f>124/1.12</f>
        <v>110.71428571428571</v>
      </c>
      <c r="Z169" s="1377">
        <f t="shared" si="2"/>
        <v>1992.8571428571427</v>
      </c>
      <c r="AA169" s="1377">
        <f t="shared" si="3"/>
        <v>2232</v>
      </c>
      <c r="AB169" s="1378"/>
      <c r="AC169" s="1395"/>
      <c r="AD169" s="1439" t="s">
        <v>251</v>
      </c>
      <c r="AE169" s="449"/>
      <c r="AF169" s="4717"/>
    </row>
    <row r="170" spans="1:32" ht="19.5" customHeight="1">
      <c r="A170" s="4564"/>
      <c r="B170" s="4623"/>
      <c r="C170" s="5717"/>
      <c r="D170" s="5652"/>
      <c r="E170" s="5652"/>
      <c r="F170" s="5652"/>
      <c r="G170" s="5652"/>
      <c r="H170" s="5652"/>
      <c r="I170" s="5652"/>
      <c r="J170" s="5652"/>
      <c r="K170" s="5652"/>
      <c r="L170" s="5652"/>
      <c r="M170" s="5652"/>
      <c r="N170" s="5652"/>
      <c r="O170" s="5652"/>
      <c r="P170" s="5652"/>
      <c r="Q170" s="5652"/>
      <c r="R170" s="5656"/>
      <c r="S170" s="1402"/>
      <c r="T170" s="1376"/>
      <c r="U170" s="1376"/>
      <c r="V170" s="1393" t="s">
        <v>3445</v>
      </c>
      <c r="W170" s="1447">
        <v>1</v>
      </c>
      <c r="X170" s="1390" t="s">
        <v>269</v>
      </c>
      <c r="Y170" s="1377">
        <f>5179.09/1.12</f>
        <v>4624.1875</v>
      </c>
      <c r="Z170" s="1377">
        <f t="shared" si="2"/>
        <v>4624.1875</v>
      </c>
      <c r="AA170" s="1377">
        <f t="shared" si="3"/>
        <v>5179.09</v>
      </c>
      <c r="AB170" s="1378"/>
      <c r="AC170" s="1395"/>
      <c r="AD170" s="1439" t="s">
        <v>251</v>
      </c>
      <c r="AE170" s="449"/>
      <c r="AF170" s="4717"/>
    </row>
    <row r="171" spans="1:32" ht="19.5" customHeight="1">
      <c r="A171" s="4564"/>
      <c r="B171" s="4623"/>
      <c r="C171" s="5717"/>
      <c r="D171" s="5652"/>
      <c r="E171" s="5652"/>
      <c r="F171" s="5652"/>
      <c r="G171" s="5652"/>
      <c r="H171" s="5652"/>
      <c r="I171" s="5652"/>
      <c r="J171" s="5652"/>
      <c r="K171" s="5652"/>
      <c r="L171" s="5652"/>
      <c r="M171" s="5652"/>
      <c r="N171" s="5652"/>
      <c r="O171" s="5652"/>
      <c r="P171" s="5652"/>
      <c r="Q171" s="5652"/>
      <c r="R171" s="5656"/>
      <c r="S171" s="1402"/>
      <c r="T171" s="1376"/>
      <c r="U171" s="1376"/>
      <c r="V171" s="1393" t="s">
        <v>3446</v>
      </c>
      <c r="W171" s="1447">
        <v>1</v>
      </c>
      <c r="X171" s="1390" t="s">
        <v>269</v>
      </c>
      <c r="Y171" s="1377">
        <f>438.22/1.12</f>
        <v>391.26785714285711</v>
      </c>
      <c r="Z171" s="1377">
        <f t="shared" si="2"/>
        <v>391.26785714285711</v>
      </c>
      <c r="AA171" s="1377">
        <f t="shared" si="3"/>
        <v>438.22</v>
      </c>
      <c r="AB171" s="1378"/>
      <c r="AC171" s="1395"/>
      <c r="AD171" s="1439" t="s">
        <v>251</v>
      </c>
      <c r="AE171" s="449"/>
      <c r="AF171" s="4717"/>
    </row>
    <row r="172" spans="1:32" ht="19.5" customHeight="1">
      <c r="A172" s="4564"/>
      <c r="B172" s="4623"/>
      <c r="C172" s="5717"/>
      <c r="D172" s="5652"/>
      <c r="E172" s="5652"/>
      <c r="F172" s="5652"/>
      <c r="G172" s="5652"/>
      <c r="H172" s="5652"/>
      <c r="I172" s="5652"/>
      <c r="J172" s="5652"/>
      <c r="K172" s="5652"/>
      <c r="L172" s="5652"/>
      <c r="M172" s="5652"/>
      <c r="N172" s="5652"/>
      <c r="O172" s="5652"/>
      <c r="P172" s="5652"/>
      <c r="Q172" s="5652"/>
      <c r="R172" s="5656"/>
      <c r="S172" s="1402"/>
      <c r="T172" s="1376"/>
      <c r="U172" s="1376"/>
      <c r="V172" s="1393" t="s">
        <v>3447</v>
      </c>
      <c r="W172" s="1447">
        <v>1</v>
      </c>
      <c r="X172" s="1390" t="s">
        <v>269</v>
      </c>
      <c r="Y172" s="1377">
        <f>190500/1.12</f>
        <v>170089.28571428571</v>
      </c>
      <c r="Z172" s="1377">
        <f t="shared" si="2"/>
        <v>170089.28571428571</v>
      </c>
      <c r="AA172" s="1377">
        <f t="shared" si="3"/>
        <v>190500</v>
      </c>
      <c r="AB172" s="1378"/>
      <c r="AC172" s="1395"/>
      <c r="AD172" s="1439" t="s">
        <v>251</v>
      </c>
      <c r="AE172" s="449"/>
      <c r="AF172" s="4717"/>
    </row>
    <row r="173" spans="1:32" ht="19.5" customHeight="1">
      <c r="A173" s="4564"/>
      <c r="B173" s="4623"/>
      <c r="C173" s="5717"/>
      <c r="D173" s="5652"/>
      <c r="E173" s="5652"/>
      <c r="F173" s="5652"/>
      <c r="G173" s="5652"/>
      <c r="H173" s="5652"/>
      <c r="I173" s="5652"/>
      <c r="J173" s="5652"/>
      <c r="K173" s="5652"/>
      <c r="L173" s="5652"/>
      <c r="M173" s="5652"/>
      <c r="N173" s="5652"/>
      <c r="O173" s="5652"/>
      <c r="P173" s="5652"/>
      <c r="Q173" s="5652"/>
      <c r="R173" s="5656"/>
      <c r="S173" s="1402"/>
      <c r="T173" s="1376"/>
      <c r="U173" s="1376"/>
      <c r="V173" s="1393" t="s">
        <v>3448</v>
      </c>
      <c r="W173" s="1447">
        <v>5</v>
      </c>
      <c r="X173" s="1390" t="s">
        <v>269</v>
      </c>
      <c r="Y173" s="1377">
        <f>2988.16/1.12</f>
        <v>2667.9999999999995</v>
      </c>
      <c r="Z173" s="1377">
        <f t="shared" si="2"/>
        <v>13339.999999999998</v>
      </c>
      <c r="AA173" s="1377">
        <f t="shared" si="3"/>
        <v>14940.8</v>
      </c>
      <c r="AB173" s="1378"/>
      <c r="AC173" s="1395"/>
      <c r="AD173" s="1439" t="s">
        <v>251</v>
      </c>
      <c r="AE173" s="449"/>
      <c r="AF173" s="4717"/>
    </row>
    <row r="174" spans="1:32" ht="19.5" customHeight="1">
      <c r="A174" s="4564"/>
      <c r="B174" s="4623"/>
      <c r="C174" s="5717"/>
      <c r="D174" s="5652"/>
      <c r="E174" s="5652"/>
      <c r="F174" s="5652"/>
      <c r="G174" s="5652"/>
      <c r="H174" s="5652"/>
      <c r="I174" s="5652"/>
      <c r="J174" s="5652"/>
      <c r="K174" s="5652"/>
      <c r="L174" s="5652"/>
      <c r="M174" s="5652"/>
      <c r="N174" s="5652"/>
      <c r="O174" s="5652"/>
      <c r="P174" s="5652"/>
      <c r="Q174" s="5652"/>
      <c r="R174" s="5656"/>
      <c r="S174" s="1402"/>
      <c r="T174" s="1376"/>
      <c r="U174" s="1376"/>
      <c r="V174" s="1393" t="s">
        <v>3449</v>
      </c>
      <c r="W174" s="1447">
        <v>8</v>
      </c>
      <c r="X174" s="1390" t="s">
        <v>269</v>
      </c>
      <c r="Y174" s="1377">
        <f>2598.4/1.12</f>
        <v>2320</v>
      </c>
      <c r="Z174" s="1377">
        <f t="shared" si="2"/>
        <v>18560</v>
      </c>
      <c r="AA174" s="1377">
        <f t="shared" si="3"/>
        <v>20787.2</v>
      </c>
      <c r="AB174" s="1378"/>
      <c r="AC174" s="1395"/>
      <c r="AD174" s="1439" t="s">
        <v>251</v>
      </c>
      <c r="AE174" s="449"/>
      <c r="AF174" s="4717"/>
    </row>
    <row r="175" spans="1:32" ht="19.5" customHeight="1">
      <c r="A175" s="4564"/>
      <c r="B175" s="4623"/>
      <c r="C175" s="5717"/>
      <c r="D175" s="5652"/>
      <c r="E175" s="5652"/>
      <c r="F175" s="5652"/>
      <c r="G175" s="5652"/>
      <c r="H175" s="5652"/>
      <c r="I175" s="5652"/>
      <c r="J175" s="5652"/>
      <c r="K175" s="5652"/>
      <c r="L175" s="5652"/>
      <c r="M175" s="5652"/>
      <c r="N175" s="5652"/>
      <c r="O175" s="5652"/>
      <c r="P175" s="5652"/>
      <c r="Q175" s="5652"/>
      <c r="R175" s="5656"/>
      <c r="S175" s="1402"/>
      <c r="T175" s="1376"/>
      <c r="U175" s="1376"/>
      <c r="V175" s="1393" t="s">
        <v>3450</v>
      </c>
      <c r="W175" s="1447">
        <v>4</v>
      </c>
      <c r="X175" s="1390" t="s">
        <v>269</v>
      </c>
      <c r="Y175" s="1377">
        <f>4765.6/1.12</f>
        <v>4255</v>
      </c>
      <c r="Z175" s="1377">
        <f t="shared" si="2"/>
        <v>17020</v>
      </c>
      <c r="AA175" s="1377">
        <f t="shared" si="3"/>
        <v>19062.400000000001</v>
      </c>
      <c r="AB175" s="1378"/>
      <c r="AC175" s="1395"/>
      <c r="AD175" s="1439" t="s">
        <v>251</v>
      </c>
      <c r="AE175" s="449"/>
      <c r="AF175" s="4717"/>
    </row>
    <row r="176" spans="1:32" ht="19.5" customHeight="1">
      <c r="A176" s="4564"/>
      <c r="B176" s="4623"/>
      <c r="C176" s="5717"/>
      <c r="D176" s="5652"/>
      <c r="E176" s="5652"/>
      <c r="F176" s="5652"/>
      <c r="G176" s="5652"/>
      <c r="H176" s="5652"/>
      <c r="I176" s="5652"/>
      <c r="J176" s="5652"/>
      <c r="K176" s="5652"/>
      <c r="L176" s="5652"/>
      <c r="M176" s="5652"/>
      <c r="N176" s="5652"/>
      <c r="O176" s="5652"/>
      <c r="P176" s="5652"/>
      <c r="Q176" s="5652"/>
      <c r="R176" s="5656"/>
      <c r="S176" s="1402"/>
      <c r="T176" s="1376"/>
      <c r="U176" s="1376"/>
      <c r="V176" s="1465" t="s">
        <v>3451</v>
      </c>
      <c r="W176" s="1447">
        <v>5</v>
      </c>
      <c r="X176" s="1390" t="s">
        <v>269</v>
      </c>
      <c r="Y176" s="1377">
        <f>1925/1.12</f>
        <v>1718.7499999999998</v>
      </c>
      <c r="Z176" s="1377">
        <f t="shared" si="2"/>
        <v>8593.7499999999982</v>
      </c>
      <c r="AA176" s="1377">
        <f t="shared" si="3"/>
        <v>9624.9999999999982</v>
      </c>
      <c r="AB176" s="1378"/>
      <c r="AC176" s="1390" t="s">
        <v>251</v>
      </c>
      <c r="AD176" s="1439"/>
      <c r="AE176" s="449"/>
      <c r="AF176" s="4717"/>
    </row>
    <row r="177" spans="1:32" ht="19.5" customHeight="1">
      <c r="A177" s="4564"/>
      <c r="B177" s="4623"/>
      <c r="C177" s="5717"/>
      <c r="D177" s="5652"/>
      <c r="E177" s="5652"/>
      <c r="F177" s="5652"/>
      <c r="G177" s="5652"/>
      <c r="H177" s="5652"/>
      <c r="I177" s="5652"/>
      <c r="J177" s="5652"/>
      <c r="K177" s="5652"/>
      <c r="L177" s="5652"/>
      <c r="M177" s="5652"/>
      <c r="N177" s="5652"/>
      <c r="O177" s="5652"/>
      <c r="P177" s="5652"/>
      <c r="Q177" s="5652"/>
      <c r="R177" s="5656"/>
      <c r="S177" s="1402"/>
      <c r="T177" s="1382"/>
      <c r="U177" s="1382"/>
      <c r="V177" s="1448"/>
      <c r="W177" s="1383"/>
      <c r="X177" s="448"/>
      <c r="Y177" s="1384"/>
      <c r="Z177" s="1384"/>
      <c r="AA177" s="1384"/>
      <c r="AB177" s="1385"/>
      <c r="AC177" s="448"/>
      <c r="AD177" s="451"/>
      <c r="AE177" s="451"/>
      <c r="AF177" s="4717"/>
    </row>
    <row r="178" spans="1:32" ht="19.5" customHeight="1">
      <c r="A178" s="4564"/>
      <c r="B178" s="4623"/>
      <c r="C178" s="5717"/>
      <c r="D178" s="5652"/>
      <c r="E178" s="5652"/>
      <c r="F178" s="5652"/>
      <c r="G178" s="5652"/>
      <c r="H178" s="5652"/>
      <c r="I178" s="5652"/>
      <c r="J178" s="5652"/>
      <c r="K178" s="5652"/>
      <c r="L178" s="5652"/>
      <c r="M178" s="5652"/>
      <c r="N178" s="5652"/>
      <c r="O178" s="5652"/>
      <c r="P178" s="5652"/>
      <c r="Q178" s="5652"/>
      <c r="R178" s="5656"/>
      <c r="S178" s="1436" t="s">
        <v>17</v>
      </c>
      <c r="T178" s="2149">
        <v>531404</v>
      </c>
      <c r="U178" s="2137"/>
      <c r="V178" s="2152" t="s">
        <v>24</v>
      </c>
      <c r="W178" s="5698" t="s">
        <v>3408</v>
      </c>
      <c r="X178" s="5699"/>
      <c r="Y178" s="5699"/>
      <c r="Z178" s="5699"/>
      <c r="AA178" s="5700"/>
      <c r="AB178" s="2141">
        <f>SUM(AA179:AA181)</f>
        <v>394.63</v>
      </c>
      <c r="AC178" s="1921"/>
      <c r="AD178" s="2142"/>
      <c r="AE178" s="2142"/>
      <c r="AF178" s="4717"/>
    </row>
    <row r="179" spans="1:32" ht="19.5" customHeight="1">
      <c r="A179" s="4564"/>
      <c r="B179" s="4623"/>
      <c r="C179" s="5717"/>
      <c r="D179" s="5652"/>
      <c r="E179" s="5652"/>
      <c r="F179" s="5652"/>
      <c r="G179" s="5652"/>
      <c r="H179" s="5652"/>
      <c r="I179" s="5652"/>
      <c r="J179" s="5652"/>
      <c r="K179" s="5652"/>
      <c r="L179" s="5652"/>
      <c r="M179" s="5652"/>
      <c r="N179" s="5652"/>
      <c r="O179" s="5652"/>
      <c r="P179" s="5652"/>
      <c r="Q179" s="5652"/>
      <c r="R179" s="5656"/>
      <c r="S179" s="1402"/>
      <c r="T179" s="1376"/>
      <c r="U179" s="1376"/>
      <c r="V179" s="1393" t="s">
        <v>3452</v>
      </c>
      <c r="W179" s="1447">
        <v>4</v>
      </c>
      <c r="X179" s="1390" t="s">
        <v>269</v>
      </c>
      <c r="Y179" s="1377">
        <f>72.11/1.12</f>
        <v>64.383928571428569</v>
      </c>
      <c r="Z179" s="1377">
        <f t="shared" ref="Z179:Z181" si="4">+W179*Y179</f>
        <v>257.53571428571428</v>
      </c>
      <c r="AA179" s="1377">
        <f t="shared" ref="AA179:AA181" si="5">+Z179*1.12</f>
        <v>288.44</v>
      </c>
      <c r="AB179" s="1378"/>
      <c r="AC179" s="1395"/>
      <c r="AD179" s="1439" t="s">
        <v>251</v>
      </c>
      <c r="AE179" s="449"/>
      <c r="AF179" s="4717"/>
    </row>
    <row r="180" spans="1:32" ht="19.5" customHeight="1">
      <c r="A180" s="4564"/>
      <c r="B180" s="4623"/>
      <c r="C180" s="5717"/>
      <c r="D180" s="5652"/>
      <c r="E180" s="5652"/>
      <c r="F180" s="5652"/>
      <c r="G180" s="5652"/>
      <c r="H180" s="5652"/>
      <c r="I180" s="5652"/>
      <c r="J180" s="5652"/>
      <c r="K180" s="5652"/>
      <c r="L180" s="5652"/>
      <c r="M180" s="5652"/>
      <c r="N180" s="5652"/>
      <c r="O180" s="5652"/>
      <c r="P180" s="5652"/>
      <c r="Q180" s="5652"/>
      <c r="R180" s="5656"/>
      <c r="S180" s="1402"/>
      <c r="T180" s="1376"/>
      <c r="U180" s="1376"/>
      <c r="V180" s="1393" t="s">
        <v>3453</v>
      </c>
      <c r="W180" s="1447">
        <v>1</v>
      </c>
      <c r="X180" s="1390" t="s">
        <v>269</v>
      </c>
      <c r="Y180" s="1377">
        <f>62.15/1.12</f>
        <v>55.491071428571423</v>
      </c>
      <c r="Z180" s="1377">
        <f t="shared" si="4"/>
        <v>55.491071428571423</v>
      </c>
      <c r="AA180" s="1377">
        <f t="shared" si="5"/>
        <v>62.15</v>
      </c>
      <c r="AB180" s="1378"/>
      <c r="AC180" s="1395"/>
      <c r="AD180" s="1439" t="s">
        <v>251</v>
      </c>
      <c r="AE180" s="449"/>
      <c r="AF180" s="4717"/>
    </row>
    <row r="181" spans="1:32" ht="19.5" customHeight="1">
      <c r="A181" s="4564"/>
      <c r="B181" s="4623"/>
      <c r="C181" s="5717"/>
      <c r="D181" s="5652"/>
      <c r="E181" s="5652"/>
      <c r="F181" s="5652"/>
      <c r="G181" s="5652"/>
      <c r="H181" s="5652"/>
      <c r="I181" s="5652"/>
      <c r="J181" s="5652"/>
      <c r="K181" s="5652"/>
      <c r="L181" s="5652"/>
      <c r="M181" s="5652"/>
      <c r="N181" s="5652"/>
      <c r="O181" s="5652"/>
      <c r="P181" s="5652"/>
      <c r="Q181" s="5652"/>
      <c r="R181" s="5656"/>
      <c r="S181" s="1402"/>
      <c r="T181" s="1376"/>
      <c r="U181" s="1376"/>
      <c r="V181" s="1393" t="s">
        <v>3454</v>
      </c>
      <c r="W181" s="1447">
        <v>4</v>
      </c>
      <c r="X181" s="1390" t="s">
        <v>269</v>
      </c>
      <c r="Y181" s="1377">
        <f>11.01/1.12</f>
        <v>9.8303571428571423</v>
      </c>
      <c r="Z181" s="1377">
        <f t="shared" si="4"/>
        <v>39.321428571428569</v>
      </c>
      <c r="AA181" s="1377">
        <f t="shared" si="5"/>
        <v>44.04</v>
      </c>
      <c r="AB181" s="1378"/>
      <c r="AC181" s="1395"/>
      <c r="AD181" s="1439" t="s">
        <v>251</v>
      </c>
      <c r="AE181" s="449"/>
      <c r="AF181" s="4717"/>
    </row>
    <row r="182" spans="1:32" ht="19.5" customHeight="1">
      <c r="A182" s="4564"/>
      <c r="B182" s="4623"/>
      <c r="C182" s="5717"/>
      <c r="D182" s="5652"/>
      <c r="E182" s="5652"/>
      <c r="F182" s="5652"/>
      <c r="G182" s="5652"/>
      <c r="H182" s="5652"/>
      <c r="I182" s="5652"/>
      <c r="J182" s="5652"/>
      <c r="K182" s="5652"/>
      <c r="L182" s="5652"/>
      <c r="M182" s="5652"/>
      <c r="N182" s="5652"/>
      <c r="O182" s="5652"/>
      <c r="P182" s="5652"/>
      <c r="Q182" s="5652"/>
      <c r="R182" s="5656"/>
      <c r="S182" s="1402"/>
      <c r="T182" s="1382"/>
      <c r="U182" s="1382"/>
      <c r="V182" s="450"/>
      <c r="W182" s="1383"/>
      <c r="X182" s="448"/>
      <c r="Y182" s="1384"/>
      <c r="Z182" s="1384"/>
      <c r="AA182" s="1384"/>
      <c r="AB182" s="1385"/>
      <c r="AC182" s="448"/>
      <c r="AD182" s="451"/>
      <c r="AE182" s="451"/>
      <c r="AF182" s="4717"/>
    </row>
    <row r="183" spans="1:32" ht="19.5" customHeight="1">
      <c r="A183" s="4564"/>
      <c r="B183" s="4623"/>
      <c r="C183" s="5717"/>
      <c r="D183" s="5652"/>
      <c r="E183" s="5652"/>
      <c r="F183" s="5652"/>
      <c r="G183" s="5652"/>
      <c r="H183" s="5652"/>
      <c r="I183" s="5652"/>
      <c r="J183" s="5652"/>
      <c r="K183" s="5652"/>
      <c r="L183" s="5652"/>
      <c r="M183" s="5652"/>
      <c r="N183" s="5652"/>
      <c r="O183" s="5652"/>
      <c r="P183" s="5652"/>
      <c r="Q183" s="5652"/>
      <c r="R183" s="5656"/>
      <c r="S183" s="1436" t="s">
        <v>17</v>
      </c>
      <c r="T183" s="2149">
        <v>840107</v>
      </c>
      <c r="U183" s="2137"/>
      <c r="V183" s="2152" t="s">
        <v>20</v>
      </c>
      <c r="W183" s="5698" t="s">
        <v>3408</v>
      </c>
      <c r="X183" s="5699"/>
      <c r="Y183" s="5699"/>
      <c r="Z183" s="5699"/>
      <c r="AA183" s="5700"/>
      <c r="AB183" s="2141">
        <f>SUM(AA184:AA186)</f>
        <v>244548.86000000002</v>
      </c>
      <c r="AC183" s="1921"/>
      <c r="AD183" s="2142"/>
      <c r="AE183" s="2142"/>
      <c r="AF183" s="4717"/>
    </row>
    <row r="184" spans="1:32" ht="19.5" customHeight="1">
      <c r="A184" s="4564"/>
      <c r="B184" s="4623"/>
      <c r="C184" s="5717"/>
      <c r="D184" s="5652"/>
      <c r="E184" s="5652"/>
      <c r="F184" s="5652"/>
      <c r="G184" s="5652"/>
      <c r="H184" s="5652"/>
      <c r="I184" s="5652"/>
      <c r="J184" s="5652"/>
      <c r="K184" s="5652"/>
      <c r="L184" s="5652"/>
      <c r="M184" s="5652"/>
      <c r="N184" s="5652"/>
      <c r="O184" s="5652"/>
      <c r="P184" s="5652"/>
      <c r="Q184" s="5652"/>
      <c r="R184" s="5656"/>
      <c r="S184" s="1402"/>
      <c r="T184" s="1376"/>
      <c r="U184" s="1376"/>
      <c r="V184" s="1393" t="s">
        <v>3455</v>
      </c>
      <c r="W184" s="1447">
        <v>15</v>
      </c>
      <c r="X184" s="1390" t="s">
        <v>269</v>
      </c>
      <c r="Y184" s="1377">
        <f>1375/1.12</f>
        <v>1227.6785714285713</v>
      </c>
      <c r="Z184" s="1377">
        <f t="shared" ref="Z184:Z186" si="6">+W184*Y184</f>
        <v>18415.178571428569</v>
      </c>
      <c r="AA184" s="1377">
        <f t="shared" ref="AA184:AA186" si="7">+Z184*1.12</f>
        <v>20625</v>
      </c>
      <c r="AB184" s="1378"/>
      <c r="AC184" s="1439" t="s">
        <v>251</v>
      </c>
      <c r="AD184" s="449"/>
      <c r="AE184" s="449"/>
      <c r="AF184" s="4717"/>
    </row>
    <row r="185" spans="1:32" ht="19.5" customHeight="1">
      <c r="A185" s="4564"/>
      <c r="B185" s="4623"/>
      <c r="C185" s="5717"/>
      <c r="D185" s="5652"/>
      <c r="E185" s="5652"/>
      <c r="F185" s="5652"/>
      <c r="G185" s="5652"/>
      <c r="H185" s="5652"/>
      <c r="I185" s="5652"/>
      <c r="J185" s="5652"/>
      <c r="K185" s="5652"/>
      <c r="L185" s="5652"/>
      <c r="M185" s="5652"/>
      <c r="N185" s="5652"/>
      <c r="O185" s="5652"/>
      <c r="P185" s="5652"/>
      <c r="Q185" s="5652"/>
      <c r="R185" s="5656"/>
      <c r="S185" s="1402"/>
      <c r="T185" s="1376"/>
      <c r="U185" s="1376"/>
      <c r="V185" s="1393" t="s">
        <v>3456</v>
      </c>
      <c r="W185" s="1447">
        <v>10</v>
      </c>
      <c r="X185" s="1390" t="s">
        <v>269</v>
      </c>
      <c r="Y185" s="1377">
        <f>370.76/1.12</f>
        <v>331.03571428571422</v>
      </c>
      <c r="Z185" s="1377">
        <f t="shared" si="6"/>
        <v>3310.3571428571422</v>
      </c>
      <c r="AA185" s="1377">
        <f t="shared" si="7"/>
        <v>3707.5999999999995</v>
      </c>
      <c r="AB185" s="1378"/>
      <c r="AC185" s="1439" t="s">
        <v>251</v>
      </c>
      <c r="AD185" s="449"/>
      <c r="AE185" s="449"/>
      <c r="AF185" s="4717"/>
    </row>
    <row r="186" spans="1:32" ht="19.5" customHeight="1">
      <c r="A186" s="4564"/>
      <c r="B186" s="4623"/>
      <c r="C186" s="5717"/>
      <c r="D186" s="5652"/>
      <c r="E186" s="5652"/>
      <c r="F186" s="5652"/>
      <c r="G186" s="5652"/>
      <c r="H186" s="5652"/>
      <c r="I186" s="5652"/>
      <c r="J186" s="5652"/>
      <c r="K186" s="5652"/>
      <c r="L186" s="5652"/>
      <c r="M186" s="5652"/>
      <c r="N186" s="5652"/>
      <c r="O186" s="5652"/>
      <c r="P186" s="5652"/>
      <c r="Q186" s="5652"/>
      <c r="R186" s="5656"/>
      <c r="S186" s="1402"/>
      <c r="T186" s="1376"/>
      <c r="U186" s="1376"/>
      <c r="V186" s="1393" t="s">
        <v>3457</v>
      </c>
      <c r="W186" s="1447">
        <v>89</v>
      </c>
      <c r="X186" s="1390" t="s">
        <v>269</v>
      </c>
      <c r="Y186" s="1377">
        <f>2474.34/1.12</f>
        <v>2209.2321428571427</v>
      </c>
      <c r="Z186" s="1377">
        <f t="shared" si="6"/>
        <v>196621.66071428571</v>
      </c>
      <c r="AA186" s="1377">
        <f t="shared" si="7"/>
        <v>220216.26</v>
      </c>
      <c r="AB186" s="1378"/>
      <c r="AC186" s="1439" t="s">
        <v>251</v>
      </c>
      <c r="AD186" s="449"/>
      <c r="AE186" s="449"/>
      <c r="AF186" s="4717"/>
    </row>
    <row r="187" spans="1:32" ht="19.5" customHeight="1">
      <c r="A187" s="4564"/>
      <c r="B187" s="4623"/>
      <c r="C187" s="5717"/>
      <c r="D187" s="5652"/>
      <c r="E187" s="5652"/>
      <c r="F187" s="5652"/>
      <c r="G187" s="5652"/>
      <c r="H187" s="5652"/>
      <c r="I187" s="5652"/>
      <c r="J187" s="5652"/>
      <c r="K187" s="5652"/>
      <c r="L187" s="5652"/>
      <c r="M187" s="5652"/>
      <c r="N187" s="5652"/>
      <c r="O187" s="5652"/>
      <c r="P187" s="5652"/>
      <c r="Q187" s="5652"/>
      <c r="R187" s="5656"/>
      <c r="S187" s="1402"/>
      <c r="T187" s="1382"/>
      <c r="U187" s="1382"/>
      <c r="V187" s="450"/>
      <c r="W187" s="1383"/>
      <c r="X187" s="448"/>
      <c r="Y187" s="1384"/>
      <c r="Z187" s="1384"/>
      <c r="AA187" s="1384"/>
      <c r="AB187" s="1385"/>
      <c r="AC187" s="448"/>
      <c r="AD187" s="451"/>
      <c r="AE187" s="451"/>
      <c r="AF187" s="4717"/>
    </row>
    <row r="188" spans="1:32" ht="19.5" customHeight="1">
      <c r="A188" s="4564"/>
      <c r="B188" s="4623"/>
      <c r="C188" s="5717"/>
      <c r="D188" s="5652"/>
      <c r="E188" s="5652"/>
      <c r="F188" s="5652"/>
      <c r="G188" s="5652"/>
      <c r="H188" s="5652"/>
      <c r="I188" s="5652"/>
      <c r="J188" s="5652"/>
      <c r="K188" s="5652"/>
      <c r="L188" s="5652"/>
      <c r="M188" s="5652"/>
      <c r="N188" s="5652"/>
      <c r="O188" s="5652"/>
      <c r="P188" s="5652"/>
      <c r="Q188" s="5652"/>
      <c r="R188" s="5656"/>
      <c r="S188" s="1436" t="s">
        <v>17</v>
      </c>
      <c r="T188" s="2149">
        <v>840103</v>
      </c>
      <c r="U188" s="2137"/>
      <c r="V188" s="2152" t="s">
        <v>22</v>
      </c>
      <c r="W188" s="5698" t="s">
        <v>3408</v>
      </c>
      <c r="X188" s="5699"/>
      <c r="Y188" s="5699"/>
      <c r="Z188" s="5699"/>
      <c r="AA188" s="5700"/>
      <c r="AB188" s="2141">
        <f>SUM(AA189:AA193)</f>
        <v>6370</v>
      </c>
      <c r="AC188" s="1921"/>
      <c r="AD188" s="2142"/>
      <c r="AE188" s="2142"/>
      <c r="AF188" s="4717"/>
    </row>
    <row r="189" spans="1:32" ht="19.5" customHeight="1">
      <c r="A189" s="4564"/>
      <c r="B189" s="4623"/>
      <c r="C189" s="5717"/>
      <c r="D189" s="5652"/>
      <c r="E189" s="5652"/>
      <c r="F189" s="5652"/>
      <c r="G189" s="5652"/>
      <c r="H189" s="5652"/>
      <c r="I189" s="5652"/>
      <c r="J189" s="5652"/>
      <c r="K189" s="5652"/>
      <c r="L189" s="5652"/>
      <c r="M189" s="5652"/>
      <c r="N189" s="5652"/>
      <c r="O189" s="5652"/>
      <c r="P189" s="5652"/>
      <c r="Q189" s="5652"/>
      <c r="R189" s="5656"/>
      <c r="S189" s="1402"/>
      <c r="T189" s="1376"/>
      <c r="U189" s="1376"/>
      <c r="V189" s="1393" t="s">
        <v>3458</v>
      </c>
      <c r="W189" s="1447">
        <v>3</v>
      </c>
      <c r="X189" s="1390" t="s">
        <v>269</v>
      </c>
      <c r="Y189" s="1377">
        <f>470/1.12</f>
        <v>419.64285714285711</v>
      </c>
      <c r="Z189" s="1377">
        <f t="shared" ref="Z189:Z193" si="8">+W189*Y189</f>
        <v>1258.9285714285713</v>
      </c>
      <c r="AA189" s="1377">
        <f t="shared" ref="AA189:AA193" si="9">+Z189*1.12</f>
        <v>1410</v>
      </c>
      <c r="AB189" s="1378"/>
      <c r="AC189" s="1439" t="s">
        <v>251</v>
      </c>
      <c r="AD189" s="449"/>
      <c r="AE189" s="449"/>
      <c r="AF189" s="4717"/>
    </row>
    <row r="190" spans="1:32" ht="19.5" customHeight="1">
      <c r="A190" s="4564"/>
      <c r="B190" s="4623"/>
      <c r="C190" s="5717"/>
      <c r="D190" s="5652"/>
      <c r="E190" s="5652"/>
      <c r="F190" s="5652"/>
      <c r="G190" s="5652"/>
      <c r="H190" s="5652"/>
      <c r="I190" s="5652"/>
      <c r="J190" s="5652"/>
      <c r="K190" s="5652"/>
      <c r="L190" s="5652"/>
      <c r="M190" s="5652"/>
      <c r="N190" s="5652"/>
      <c r="O190" s="5652"/>
      <c r="P190" s="5652"/>
      <c r="Q190" s="5652"/>
      <c r="R190" s="5656"/>
      <c r="S190" s="1402"/>
      <c r="T190" s="1376"/>
      <c r="U190" s="1376"/>
      <c r="V190" s="1393" t="s">
        <v>3459</v>
      </c>
      <c r="W190" s="1447">
        <v>1</v>
      </c>
      <c r="X190" s="1390" t="s">
        <v>269</v>
      </c>
      <c r="Y190" s="1377">
        <f>594/1.12</f>
        <v>530.35714285714278</v>
      </c>
      <c r="Z190" s="1377">
        <f t="shared" si="8"/>
        <v>530.35714285714278</v>
      </c>
      <c r="AA190" s="1377">
        <f t="shared" si="9"/>
        <v>594</v>
      </c>
      <c r="AB190" s="1378"/>
      <c r="AC190" s="1439" t="s">
        <v>251</v>
      </c>
      <c r="AD190" s="449"/>
      <c r="AE190" s="449"/>
      <c r="AF190" s="4717"/>
    </row>
    <row r="191" spans="1:32" ht="19.5" customHeight="1">
      <c r="A191" s="4564"/>
      <c r="B191" s="4623"/>
      <c r="C191" s="5717"/>
      <c r="D191" s="5652"/>
      <c r="E191" s="5652"/>
      <c r="F191" s="5652"/>
      <c r="G191" s="5652"/>
      <c r="H191" s="5652"/>
      <c r="I191" s="5652"/>
      <c r="J191" s="5652"/>
      <c r="K191" s="5652"/>
      <c r="L191" s="5652"/>
      <c r="M191" s="5652"/>
      <c r="N191" s="5652"/>
      <c r="O191" s="5652"/>
      <c r="P191" s="5652"/>
      <c r="Q191" s="5652"/>
      <c r="R191" s="5656"/>
      <c r="S191" s="1402"/>
      <c r="T191" s="1376"/>
      <c r="U191" s="1376"/>
      <c r="V191" s="1393" t="s">
        <v>3460</v>
      </c>
      <c r="W191" s="1447">
        <v>2</v>
      </c>
      <c r="X191" s="1390" t="s">
        <v>269</v>
      </c>
      <c r="Y191" s="1377">
        <f>203/1.12</f>
        <v>181.24999999999997</v>
      </c>
      <c r="Z191" s="1377">
        <f t="shared" si="8"/>
        <v>362.49999999999994</v>
      </c>
      <c r="AA191" s="1377">
        <f t="shared" si="9"/>
        <v>406</v>
      </c>
      <c r="AB191" s="1378"/>
      <c r="AC191" s="1439" t="s">
        <v>251</v>
      </c>
      <c r="AD191" s="449"/>
      <c r="AE191" s="449"/>
      <c r="AF191" s="4717"/>
    </row>
    <row r="192" spans="1:32" ht="19.5" customHeight="1">
      <c r="A192" s="4564"/>
      <c r="B192" s="4623"/>
      <c r="C192" s="5717"/>
      <c r="D192" s="5652"/>
      <c r="E192" s="5652"/>
      <c r="F192" s="5652"/>
      <c r="G192" s="5652"/>
      <c r="H192" s="5652"/>
      <c r="I192" s="5652"/>
      <c r="J192" s="5652"/>
      <c r="K192" s="5652"/>
      <c r="L192" s="5652"/>
      <c r="M192" s="5652"/>
      <c r="N192" s="5652"/>
      <c r="O192" s="5652"/>
      <c r="P192" s="5652"/>
      <c r="Q192" s="5652"/>
      <c r="R192" s="5656"/>
      <c r="S192" s="1402"/>
      <c r="T192" s="1376"/>
      <c r="U192" s="1376"/>
      <c r="V192" s="1393" t="s">
        <v>3461</v>
      </c>
      <c r="W192" s="1447">
        <v>2</v>
      </c>
      <c r="X192" s="1390" t="s">
        <v>269</v>
      </c>
      <c r="Y192" s="1377">
        <f>1265/1.12</f>
        <v>1129.4642857142856</v>
      </c>
      <c r="Z192" s="1377">
        <f t="shared" si="8"/>
        <v>2258.9285714285711</v>
      </c>
      <c r="AA192" s="1377">
        <f t="shared" si="9"/>
        <v>2530</v>
      </c>
      <c r="AB192" s="1378"/>
      <c r="AC192" s="1439" t="s">
        <v>251</v>
      </c>
      <c r="AD192" s="449"/>
      <c r="AE192" s="449"/>
      <c r="AF192" s="4717"/>
    </row>
    <row r="193" spans="1:32" ht="19.5" customHeight="1">
      <c r="A193" s="4564"/>
      <c r="B193" s="4623"/>
      <c r="C193" s="5717"/>
      <c r="D193" s="5652"/>
      <c r="E193" s="5652"/>
      <c r="F193" s="5652"/>
      <c r="G193" s="5652"/>
      <c r="H193" s="5652"/>
      <c r="I193" s="5652"/>
      <c r="J193" s="5652"/>
      <c r="K193" s="5652"/>
      <c r="L193" s="5652"/>
      <c r="M193" s="5652"/>
      <c r="N193" s="5652"/>
      <c r="O193" s="5652"/>
      <c r="P193" s="5652"/>
      <c r="Q193" s="5652"/>
      <c r="R193" s="5656"/>
      <c r="S193" s="1402"/>
      <c r="T193" s="1376"/>
      <c r="U193" s="1376"/>
      <c r="V193" s="1393" t="s">
        <v>3462</v>
      </c>
      <c r="W193" s="1447">
        <v>2</v>
      </c>
      <c r="X193" s="1390" t="s">
        <v>269</v>
      </c>
      <c r="Y193" s="1389">
        <f>715/1.12</f>
        <v>638.39285714285711</v>
      </c>
      <c r="Z193" s="1377">
        <f t="shared" si="8"/>
        <v>1276.7857142857142</v>
      </c>
      <c r="AA193" s="1377">
        <f t="shared" si="9"/>
        <v>1430</v>
      </c>
      <c r="AB193" s="1378"/>
      <c r="AC193" s="1439" t="s">
        <v>251</v>
      </c>
      <c r="AD193" s="449"/>
      <c r="AE193" s="449"/>
      <c r="AF193" s="4717"/>
    </row>
    <row r="194" spans="1:32" ht="19.5" customHeight="1">
      <c r="A194" s="4564"/>
      <c r="B194" s="4623"/>
      <c r="C194" s="5717"/>
      <c r="D194" s="5652"/>
      <c r="E194" s="5652"/>
      <c r="F194" s="5652"/>
      <c r="G194" s="5652"/>
      <c r="H194" s="5652"/>
      <c r="I194" s="5652"/>
      <c r="J194" s="5652"/>
      <c r="K194" s="5652"/>
      <c r="L194" s="5652"/>
      <c r="M194" s="5652"/>
      <c r="N194" s="5652"/>
      <c r="O194" s="5652"/>
      <c r="P194" s="5652"/>
      <c r="Q194" s="5652"/>
      <c r="R194" s="5656"/>
      <c r="S194" s="1402"/>
      <c r="T194" s="1382"/>
      <c r="U194" s="1382"/>
      <c r="V194" s="450"/>
      <c r="W194" s="1383"/>
      <c r="X194" s="448"/>
      <c r="Y194" s="1384"/>
      <c r="Z194" s="1384"/>
      <c r="AA194" s="1384"/>
      <c r="AB194" s="1385"/>
      <c r="AC194" s="448"/>
      <c r="AD194" s="451"/>
      <c r="AE194" s="451"/>
      <c r="AF194" s="4717"/>
    </row>
    <row r="195" spans="1:32" ht="19.5" customHeight="1">
      <c r="A195" s="4564"/>
      <c r="B195" s="4623"/>
      <c r="C195" s="5717"/>
      <c r="D195" s="5652"/>
      <c r="E195" s="5652"/>
      <c r="F195" s="5652"/>
      <c r="G195" s="5652"/>
      <c r="H195" s="5652"/>
      <c r="I195" s="5652"/>
      <c r="J195" s="5652"/>
      <c r="K195" s="5652"/>
      <c r="L195" s="5652"/>
      <c r="M195" s="5652"/>
      <c r="N195" s="5652"/>
      <c r="O195" s="5652"/>
      <c r="P195" s="5652"/>
      <c r="Q195" s="5652"/>
      <c r="R195" s="5656"/>
      <c r="S195" s="1436" t="s">
        <v>17</v>
      </c>
      <c r="T195" s="2149">
        <v>530404</v>
      </c>
      <c r="U195" s="2137"/>
      <c r="V195" s="2152" t="s">
        <v>32</v>
      </c>
      <c r="W195" s="5698" t="s">
        <v>3408</v>
      </c>
      <c r="X195" s="5699"/>
      <c r="Y195" s="5699"/>
      <c r="Z195" s="5699"/>
      <c r="AA195" s="5700"/>
      <c r="AB195" s="2141">
        <f>SUM(AA196)</f>
        <v>1250</v>
      </c>
      <c r="AC195" s="1921"/>
      <c r="AD195" s="2142"/>
      <c r="AE195" s="2142"/>
      <c r="AF195" s="4717"/>
    </row>
    <row r="196" spans="1:32" ht="19.5" customHeight="1">
      <c r="A196" s="4564"/>
      <c r="B196" s="4623"/>
      <c r="C196" s="5717"/>
      <c r="D196" s="5652"/>
      <c r="E196" s="5652"/>
      <c r="F196" s="5652"/>
      <c r="G196" s="5652"/>
      <c r="H196" s="5652"/>
      <c r="I196" s="5652"/>
      <c r="J196" s="5652"/>
      <c r="K196" s="5652"/>
      <c r="L196" s="5652"/>
      <c r="M196" s="5652"/>
      <c r="N196" s="5652"/>
      <c r="O196" s="5652"/>
      <c r="P196" s="5652"/>
      <c r="Q196" s="5652"/>
      <c r="R196" s="5656"/>
      <c r="S196" s="1449"/>
      <c r="T196" s="1376"/>
      <c r="U196" s="1376"/>
      <c r="V196" s="1393" t="s">
        <v>3463</v>
      </c>
      <c r="W196" s="1447">
        <v>1</v>
      </c>
      <c r="X196" s="1390" t="s">
        <v>250</v>
      </c>
      <c r="Y196" s="1377">
        <f>1250/1.12</f>
        <v>1116.0714285714284</v>
      </c>
      <c r="Z196" s="1377">
        <f>+W196*Y196</f>
        <v>1116.0714285714284</v>
      </c>
      <c r="AA196" s="1377">
        <f>+Z196*1.12</f>
        <v>1250</v>
      </c>
      <c r="AB196" s="1378"/>
      <c r="AC196" s="1439" t="s">
        <v>251</v>
      </c>
      <c r="AD196" s="449"/>
      <c r="AE196" s="449"/>
      <c r="AF196" s="4717"/>
    </row>
    <row r="197" spans="1:32" ht="19.5" customHeight="1">
      <c r="A197" s="4564"/>
      <c r="B197" s="4623"/>
      <c r="C197" s="5718"/>
      <c r="D197" s="5653"/>
      <c r="E197" s="5653"/>
      <c r="F197" s="5653"/>
      <c r="G197" s="5653"/>
      <c r="H197" s="5653"/>
      <c r="I197" s="5653"/>
      <c r="J197" s="5653"/>
      <c r="K197" s="5653"/>
      <c r="L197" s="5653"/>
      <c r="M197" s="5653"/>
      <c r="N197" s="5653"/>
      <c r="O197" s="5653"/>
      <c r="P197" s="5653"/>
      <c r="Q197" s="5653"/>
      <c r="R197" s="5657"/>
      <c r="S197" s="1450"/>
      <c r="T197" s="1382"/>
      <c r="U197" s="1382"/>
      <c r="V197" s="450"/>
      <c r="W197" s="1383"/>
      <c r="X197" s="448"/>
      <c r="Y197" s="1384"/>
      <c r="Z197" s="1384"/>
      <c r="AA197" s="1384"/>
      <c r="AB197" s="1385"/>
      <c r="AC197" s="448"/>
      <c r="AD197" s="451"/>
      <c r="AE197" s="451"/>
      <c r="AF197" s="4718"/>
    </row>
    <row r="198" spans="1:32" ht="30" customHeight="1">
      <c r="A198" s="4564"/>
      <c r="B198" s="4623"/>
      <c r="C198" s="5716" t="s">
        <v>235</v>
      </c>
      <c r="D198" s="5651" t="s">
        <v>236</v>
      </c>
      <c r="E198" s="5651" t="s">
        <v>244</v>
      </c>
      <c r="F198" s="5651" t="s">
        <v>292</v>
      </c>
      <c r="G198" s="5664" t="s">
        <v>239</v>
      </c>
      <c r="H198" s="5651" t="s">
        <v>293</v>
      </c>
      <c r="I198" s="5651" t="s">
        <v>278</v>
      </c>
      <c r="J198" s="5651" t="s">
        <v>3464</v>
      </c>
      <c r="K198" s="5651" t="s">
        <v>1596</v>
      </c>
      <c r="L198" s="5651" t="s">
        <v>3465</v>
      </c>
      <c r="M198" s="5654">
        <v>1</v>
      </c>
      <c r="N198" s="5654">
        <v>1</v>
      </c>
      <c r="O198" s="5654">
        <v>0</v>
      </c>
      <c r="P198" s="5651" t="s">
        <v>3466</v>
      </c>
      <c r="Q198" s="5651" t="s">
        <v>3467</v>
      </c>
      <c r="R198" s="5655" t="s">
        <v>3468</v>
      </c>
      <c r="S198" s="1451"/>
      <c r="T198" s="2137"/>
      <c r="U198" s="2137"/>
      <c r="V198" s="2138"/>
      <c r="W198" s="2139"/>
      <c r="X198" s="1921"/>
      <c r="Y198" s="2140"/>
      <c r="Z198" s="2140"/>
      <c r="AA198" s="2140"/>
      <c r="AB198" s="2141"/>
      <c r="AC198" s="1921"/>
      <c r="AD198" s="2142"/>
      <c r="AE198" s="2142"/>
      <c r="AF198" s="5684"/>
    </row>
    <row r="199" spans="1:32" ht="30" customHeight="1">
      <c r="A199" s="4564"/>
      <c r="B199" s="4623"/>
      <c r="C199" s="5717"/>
      <c r="D199" s="5652"/>
      <c r="E199" s="5652"/>
      <c r="F199" s="5652"/>
      <c r="G199" s="5652"/>
      <c r="H199" s="5652"/>
      <c r="I199" s="5652"/>
      <c r="J199" s="5652"/>
      <c r="K199" s="5652"/>
      <c r="L199" s="5652"/>
      <c r="M199" s="5652"/>
      <c r="N199" s="5652"/>
      <c r="O199" s="5652"/>
      <c r="P199" s="5652"/>
      <c r="Q199" s="5652"/>
      <c r="R199" s="5656"/>
      <c r="S199" s="1452"/>
      <c r="T199" s="1376"/>
      <c r="U199" s="1376"/>
      <c r="V199" s="1388"/>
      <c r="W199" s="1394"/>
      <c r="X199" s="1395"/>
      <c r="Y199" s="1377"/>
      <c r="Z199" s="1377"/>
      <c r="AA199" s="1377"/>
      <c r="AB199" s="1378"/>
      <c r="AC199" s="1395"/>
      <c r="AD199" s="449"/>
      <c r="AE199" s="449"/>
      <c r="AF199" s="4717"/>
    </row>
    <row r="200" spans="1:32" ht="30" customHeight="1">
      <c r="A200" s="4564"/>
      <c r="B200" s="4623"/>
      <c r="C200" s="5717"/>
      <c r="D200" s="5652"/>
      <c r="E200" s="5652"/>
      <c r="F200" s="5652"/>
      <c r="G200" s="5652"/>
      <c r="H200" s="5652"/>
      <c r="I200" s="5652"/>
      <c r="J200" s="5652"/>
      <c r="K200" s="5652"/>
      <c r="L200" s="5652"/>
      <c r="M200" s="5652"/>
      <c r="N200" s="5652"/>
      <c r="O200" s="5652"/>
      <c r="P200" s="5652"/>
      <c r="Q200" s="5652"/>
      <c r="R200" s="5656"/>
      <c r="S200" s="1452"/>
      <c r="T200" s="1376"/>
      <c r="U200" s="1376"/>
      <c r="V200" s="1388"/>
      <c r="W200" s="1394"/>
      <c r="X200" s="1395"/>
      <c r="Y200" s="1377"/>
      <c r="Z200" s="1377"/>
      <c r="AA200" s="1377"/>
      <c r="AB200" s="1378"/>
      <c r="AC200" s="1395"/>
      <c r="AD200" s="449"/>
      <c r="AE200" s="449"/>
      <c r="AF200" s="4717"/>
    </row>
    <row r="201" spans="1:32" ht="30" customHeight="1">
      <c r="A201" s="4564"/>
      <c r="B201" s="4623"/>
      <c r="C201" s="5717"/>
      <c r="D201" s="5652"/>
      <c r="E201" s="5652"/>
      <c r="F201" s="5652"/>
      <c r="G201" s="5652"/>
      <c r="H201" s="5652"/>
      <c r="I201" s="5652"/>
      <c r="J201" s="5652"/>
      <c r="K201" s="5652"/>
      <c r="L201" s="5652"/>
      <c r="M201" s="5652"/>
      <c r="N201" s="5652"/>
      <c r="O201" s="5652"/>
      <c r="P201" s="5652"/>
      <c r="Q201" s="5652"/>
      <c r="R201" s="5656"/>
      <c r="S201" s="1452"/>
      <c r="T201" s="1376"/>
      <c r="U201" s="1376"/>
      <c r="V201" s="1388"/>
      <c r="W201" s="1394"/>
      <c r="X201" s="1395"/>
      <c r="Y201" s="1377"/>
      <c r="Z201" s="1377"/>
      <c r="AA201" s="1377"/>
      <c r="AB201" s="1378"/>
      <c r="AC201" s="1395"/>
      <c r="AD201" s="449"/>
      <c r="AE201" s="449"/>
      <c r="AF201" s="4717"/>
    </row>
    <row r="202" spans="1:32" ht="30" customHeight="1" thickBot="1">
      <c r="A202" s="4564"/>
      <c r="B202" s="4623"/>
      <c r="C202" s="5720"/>
      <c r="D202" s="5658"/>
      <c r="E202" s="5658"/>
      <c r="F202" s="5658"/>
      <c r="G202" s="5658"/>
      <c r="H202" s="5658"/>
      <c r="I202" s="5658"/>
      <c r="J202" s="5658"/>
      <c r="K202" s="5658"/>
      <c r="L202" s="5658"/>
      <c r="M202" s="5658"/>
      <c r="N202" s="5658"/>
      <c r="O202" s="5658"/>
      <c r="P202" s="5658"/>
      <c r="Q202" s="5658"/>
      <c r="R202" s="5660"/>
      <c r="S202" s="1453"/>
      <c r="T202" s="1454"/>
      <c r="U202" s="1454"/>
      <c r="V202" s="455"/>
      <c r="W202" s="1455"/>
      <c r="X202" s="456"/>
      <c r="Y202" s="1456"/>
      <c r="Z202" s="1456"/>
      <c r="AA202" s="1456"/>
      <c r="AB202" s="1457"/>
      <c r="AC202" s="456"/>
      <c r="AD202" s="457"/>
      <c r="AE202" s="457"/>
      <c r="AF202" s="4718"/>
    </row>
    <row r="203" spans="1:32" ht="28.5" customHeight="1">
      <c r="A203" s="4564"/>
      <c r="B203" s="4623"/>
      <c r="C203" s="5724" t="s">
        <v>272</v>
      </c>
      <c r="D203" s="5665" t="s">
        <v>302</v>
      </c>
      <c r="E203" s="5665" t="s">
        <v>274</v>
      </c>
      <c r="F203" s="5665" t="s">
        <v>885</v>
      </c>
      <c r="G203" s="5667" t="s">
        <v>305</v>
      </c>
      <c r="H203" s="5665" t="s">
        <v>262</v>
      </c>
      <c r="I203" s="5665" t="s">
        <v>241</v>
      </c>
      <c r="J203" s="5665" t="s">
        <v>3469</v>
      </c>
      <c r="K203" s="5665" t="s">
        <v>1601</v>
      </c>
      <c r="L203" s="5665" t="s">
        <v>3470</v>
      </c>
      <c r="M203" s="5668">
        <v>1</v>
      </c>
      <c r="N203" s="5668">
        <v>1</v>
      </c>
      <c r="O203" s="5668">
        <v>0</v>
      </c>
      <c r="P203" s="5665" t="s">
        <v>3025</v>
      </c>
      <c r="Q203" s="5665" t="s">
        <v>3471</v>
      </c>
      <c r="R203" s="5679" t="s">
        <v>3468</v>
      </c>
      <c r="S203" s="1458"/>
      <c r="T203" s="1424"/>
      <c r="U203" s="1424"/>
      <c r="V203" s="452"/>
      <c r="W203" s="1425"/>
      <c r="X203" s="453"/>
      <c r="Y203" s="1426"/>
      <c r="Z203" s="1426"/>
      <c r="AA203" s="1426"/>
      <c r="AB203" s="1427"/>
      <c r="AC203" s="453"/>
      <c r="AD203" s="454"/>
      <c r="AE203" s="454"/>
      <c r="AF203" s="5694"/>
    </row>
    <row r="204" spans="1:32" ht="28.5" customHeight="1">
      <c r="A204" s="4564"/>
      <c r="B204" s="4623"/>
      <c r="C204" s="5717"/>
      <c r="D204" s="5652"/>
      <c r="E204" s="5652"/>
      <c r="F204" s="5652"/>
      <c r="G204" s="5652"/>
      <c r="H204" s="5652"/>
      <c r="I204" s="5652"/>
      <c r="J204" s="5652"/>
      <c r="K204" s="5652"/>
      <c r="L204" s="5652"/>
      <c r="M204" s="5652"/>
      <c r="N204" s="5652"/>
      <c r="O204" s="5652"/>
      <c r="P204" s="5652"/>
      <c r="Q204" s="5652"/>
      <c r="R204" s="5656"/>
      <c r="S204" s="1452"/>
      <c r="T204" s="1376"/>
      <c r="U204" s="1376"/>
      <c r="V204" s="1388"/>
      <c r="W204" s="1394"/>
      <c r="X204" s="1395"/>
      <c r="Y204" s="1377"/>
      <c r="Z204" s="1377"/>
      <c r="AA204" s="1377"/>
      <c r="AB204" s="1378"/>
      <c r="AC204" s="1395"/>
      <c r="AD204" s="449"/>
      <c r="AE204" s="449"/>
      <c r="AF204" s="4717"/>
    </row>
    <row r="205" spans="1:32" ht="28.5" customHeight="1">
      <c r="A205" s="4564"/>
      <c r="B205" s="4623"/>
      <c r="C205" s="5717"/>
      <c r="D205" s="5652"/>
      <c r="E205" s="5652"/>
      <c r="F205" s="5652"/>
      <c r="G205" s="5652"/>
      <c r="H205" s="5652"/>
      <c r="I205" s="5652"/>
      <c r="J205" s="5652"/>
      <c r="K205" s="5652"/>
      <c r="L205" s="5652"/>
      <c r="M205" s="5652"/>
      <c r="N205" s="5652"/>
      <c r="O205" s="5652"/>
      <c r="P205" s="5652"/>
      <c r="Q205" s="5652"/>
      <c r="R205" s="5656"/>
      <c r="S205" s="1452"/>
      <c r="T205" s="1376"/>
      <c r="U205" s="1376"/>
      <c r="V205" s="1388"/>
      <c r="W205" s="1394"/>
      <c r="X205" s="1395"/>
      <c r="Y205" s="1377"/>
      <c r="Z205" s="1377"/>
      <c r="AA205" s="1377"/>
      <c r="AB205" s="1378"/>
      <c r="AC205" s="1395"/>
      <c r="AD205" s="449"/>
      <c r="AE205" s="449"/>
      <c r="AF205" s="4717"/>
    </row>
    <row r="206" spans="1:32" ht="28.5" customHeight="1">
      <c r="A206" s="4564"/>
      <c r="B206" s="4623"/>
      <c r="C206" s="5717"/>
      <c r="D206" s="5652"/>
      <c r="E206" s="5652"/>
      <c r="F206" s="5652"/>
      <c r="G206" s="5652"/>
      <c r="H206" s="5652"/>
      <c r="I206" s="5652"/>
      <c r="J206" s="5652"/>
      <c r="K206" s="5652"/>
      <c r="L206" s="5652"/>
      <c r="M206" s="5652"/>
      <c r="N206" s="5652"/>
      <c r="O206" s="5652"/>
      <c r="P206" s="5652"/>
      <c r="Q206" s="5652"/>
      <c r="R206" s="5656"/>
      <c r="S206" s="1459"/>
      <c r="T206" s="1380"/>
      <c r="U206" s="1380"/>
      <c r="V206" s="1388"/>
      <c r="W206" s="1394"/>
      <c r="X206" s="1395"/>
      <c r="Y206" s="1377"/>
      <c r="Z206" s="1377"/>
      <c r="AA206" s="1377"/>
      <c r="AB206" s="1378"/>
      <c r="AC206" s="1395"/>
      <c r="AD206" s="449"/>
      <c r="AE206" s="449"/>
      <c r="AF206" s="4717"/>
    </row>
    <row r="207" spans="1:32" ht="28.5" customHeight="1">
      <c r="A207" s="4564"/>
      <c r="B207" s="4623"/>
      <c r="C207" s="5718"/>
      <c r="D207" s="5653"/>
      <c r="E207" s="5653"/>
      <c r="F207" s="5653"/>
      <c r="G207" s="5653"/>
      <c r="H207" s="5653"/>
      <c r="I207" s="5653"/>
      <c r="J207" s="5653"/>
      <c r="K207" s="5653"/>
      <c r="L207" s="5653"/>
      <c r="M207" s="5653"/>
      <c r="N207" s="5653"/>
      <c r="O207" s="5653"/>
      <c r="P207" s="5653"/>
      <c r="Q207" s="5653"/>
      <c r="R207" s="5657"/>
      <c r="S207" s="1460"/>
      <c r="T207" s="1382"/>
      <c r="U207" s="1382"/>
      <c r="V207" s="450"/>
      <c r="W207" s="1383"/>
      <c r="X207" s="448"/>
      <c r="Y207" s="1384"/>
      <c r="Z207" s="1384"/>
      <c r="AA207" s="1384"/>
      <c r="AB207" s="1385"/>
      <c r="AC207" s="448"/>
      <c r="AD207" s="451"/>
      <c r="AE207" s="451"/>
      <c r="AF207" s="4718"/>
    </row>
    <row r="208" spans="1:32" ht="24" customHeight="1">
      <c r="A208" s="4564"/>
      <c r="B208" s="4623"/>
      <c r="C208" s="5716" t="s">
        <v>235</v>
      </c>
      <c r="D208" s="5651" t="s">
        <v>236</v>
      </c>
      <c r="E208" s="5651" t="s">
        <v>237</v>
      </c>
      <c r="F208" s="5651" t="s">
        <v>255</v>
      </c>
      <c r="G208" s="5664" t="s">
        <v>239</v>
      </c>
      <c r="H208" s="5651" t="s">
        <v>256</v>
      </c>
      <c r="I208" s="5651" t="s">
        <v>241</v>
      </c>
      <c r="J208" s="5651" t="s">
        <v>3472</v>
      </c>
      <c r="K208" s="5651" t="s">
        <v>1610</v>
      </c>
      <c r="L208" s="5651" t="s">
        <v>2571</v>
      </c>
      <c r="M208" s="5654">
        <v>0</v>
      </c>
      <c r="N208" s="5654">
        <v>0</v>
      </c>
      <c r="O208" s="5654">
        <v>4</v>
      </c>
      <c r="P208" s="5651" t="s">
        <v>3473</v>
      </c>
      <c r="Q208" s="5651" t="s">
        <v>3474</v>
      </c>
      <c r="R208" s="5659" t="s">
        <v>3475</v>
      </c>
      <c r="S208" s="1451"/>
      <c r="T208" s="2137"/>
      <c r="U208" s="2137"/>
      <c r="V208" s="2138"/>
      <c r="W208" s="2139"/>
      <c r="X208" s="1921"/>
      <c r="Y208" s="2140"/>
      <c r="Z208" s="2140"/>
      <c r="AA208" s="2140"/>
      <c r="AB208" s="2141"/>
      <c r="AC208" s="1921"/>
      <c r="AD208" s="2146"/>
      <c r="AE208" s="2146"/>
      <c r="AF208" s="5684"/>
    </row>
    <row r="209" spans="1:32" ht="24" customHeight="1">
      <c r="A209" s="4564"/>
      <c r="B209" s="4623"/>
      <c r="C209" s="5717"/>
      <c r="D209" s="5652"/>
      <c r="E209" s="5652"/>
      <c r="F209" s="5652"/>
      <c r="G209" s="5652"/>
      <c r="H209" s="5652"/>
      <c r="I209" s="5652"/>
      <c r="J209" s="5652"/>
      <c r="K209" s="5652"/>
      <c r="L209" s="5652"/>
      <c r="M209" s="5652"/>
      <c r="N209" s="5652"/>
      <c r="O209" s="5652"/>
      <c r="P209" s="5652"/>
      <c r="Q209" s="5652"/>
      <c r="R209" s="5656"/>
      <c r="S209" s="1452"/>
      <c r="T209" s="1376"/>
      <c r="U209" s="1376"/>
      <c r="V209" s="1388"/>
      <c r="W209" s="1394"/>
      <c r="X209" s="1395"/>
      <c r="Y209" s="1377"/>
      <c r="Z209" s="1377"/>
      <c r="AA209" s="1377"/>
      <c r="AB209" s="1378"/>
      <c r="AC209" s="1395"/>
      <c r="AD209" s="1395"/>
      <c r="AE209" s="1396"/>
      <c r="AF209" s="4717"/>
    </row>
    <row r="210" spans="1:32" ht="24" customHeight="1">
      <c r="A210" s="4564"/>
      <c r="B210" s="4623"/>
      <c r="C210" s="5717"/>
      <c r="D210" s="5652"/>
      <c r="E210" s="5652"/>
      <c r="F210" s="5652"/>
      <c r="G210" s="5652"/>
      <c r="H210" s="5652"/>
      <c r="I210" s="5652"/>
      <c r="J210" s="5652"/>
      <c r="K210" s="5652"/>
      <c r="L210" s="5652"/>
      <c r="M210" s="5652"/>
      <c r="N210" s="5652"/>
      <c r="O210" s="5652"/>
      <c r="P210" s="5652"/>
      <c r="Q210" s="5652"/>
      <c r="R210" s="5656"/>
      <c r="S210" s="1452"/>
      <c r="T210" s="1376"/>
      <c r="U210" s="1376"/>
      <c r="V210" s="1388"/>
      <c r="W210" s="1394"/>
      <c r="X210" s="1395"/>
      <c r="Y210" s="1377"/>
      <c r="Z210" s="1377"/>
      <c r="AA210" s="1377"/>
      <c r="AB210" s="1378"/>
      <c r="AC210" s="1395"/>
      <c r="AD210" s="1395"/>
      <c r="AE210" s="449"/>
      <c r="AF210" s="4717"/>
    </row>
    <row r="211" spans="1:32" ht="24" customHeight="1">
      <c r="A211" s="4564"/>
      <c r="B211" s="4623"/>
      <c r="C211" s="5717"/>
      <c r="D211" s="5652"/>
      <c r="E211" s="5652"/>
      <c r="F211" s="5652"/>
      <c r="G211" s="5652"/>
      <c r="H211" s="5652"/>
      <c r="I211" s="5652"/>
      <c r="J211" s="5652"/>
      <c r="K211" s="5652"/>
      <c r="L211" s="5652"/>
      <c r="M211" s="5652"/>
      <c r="N211" s="5652"/>
      <c r="O211" s="5652"/>
      <c r="P211" s="5652"/>
      <c r="Q211" s="5652"/>
      <c r="R211" s="5656"/>
      <c r="S211" s="1452"/>
      <c r="T211" s="1376"/>
      <c r="U211" s="1376"/>
      <c r="V211" s="1388"/>
      <c r="W211" s="1394"/>
      <c r="X211" s="1395"/>
      <c r="Y211" s="1377"/>
      <c r="Z211" s="1377"/>
      <c r="AA211" s="1377"/>
      <c r="AB211" s="1378"/>
      <c r="AC211" s="1395"/>
      <c r="AD211" s="1395"/>
      <c r="AE211" s="449"/>
      <c r="AF211" s="4717"/>
    </row>
    <row r="212" spans="1:32" ht="24" customHeight="1" thickBot="1">
      <c r="A212" s="4564"/>
      <c r="B212" s="4623"/>
      <c r="C212" s="5720"/>
      <c r="D212" s="5653"/>
      <c r="E212" s="5653"/>
      <c r="F212" s="5653"/>
      <c r="G212" s="5653"/>
      <c r="H212" s="5653"/>
      <c r="I212" s="5653"/>
      <c r="J212" s="5653"/>
      <c r="K212" s="5653"/>
      <c r="L212" s="5653"/>
      <c r="M212" s="5653"/>
      <c r="N212" s="5653"/>
      <c r="O212" s="5653"/>
      <c r="P212" s="5653"/>
      <c r="Q212" s="5653"/>
      <c r="R212" s="5657"/>
      <c r="S212" s="1460"/>
      <c r="T212" s="1382"/>
      <c r="U212" s="1382"/>
      <c r="V212" s="455"/>
      <c r="W212" s="1455"/>
      <c r="X212" s="456"/>
      <c r="Y212" s="1456"/>
      <c r="Z212" s="1456"/>
      <c r="AA212" s="1456"/>
      <c r="AB212" s="1457"/>
      <c r="AC212" s="456"/>
      <c r="AD212" s="456"/>
      <c r="AE212" s="457"/>
      <c r="AF212" s="4718"/>
    </row>
    <row r="213" spans="1:32" ht="43.5" customHeight="1">
      <c r="A213" s="4564"/>
      <c r="B213" s="4623"/>
      <c r="C213" s="5721" t="s">
        <v>272</v>
      </c>
      <c r="D213" s="5568" t="s">
        <v>302</v>
      </c>
      <c r="E213" s="5568" t="s">
        <v>303</v>
      </c>
      <c r="F213" s="5568" t="s">
        <v>304</v>
      </c>
      <c r="G213" s="5685" t="s">
        <v>305</v>
      </c>
      <c r="H213" s="5568" t="s">
        <v>262</v>
      </c>
      <c r="I213" s="5568" t="s">
        <v>257</v>
      </c>
      <c r="J213" s="5568" t="s">
        <v>3476</v>
      </c>
      <c r="K213" s="5568" t="s">
        <v>1616</v>
      </c>
      <c r="L213" s="5568" t="s">
        <v>3477</v>
      </c>
      <c r="M213" s="4628">
        <v>1</v>
      </c>
      <c r="N213" s="4628">
        <v>0</v>
      </c>
      <c r="O213" s="4628">
        <v>0</v>
      </c>
      <c r="P213" s="5568" t="s">
        <v>3478</v>
      </c>
      <c r="Q213" s="5568" t="s">
        <v>3479</v>
      </c>
      <c r="R213" s="5683" t="s">
        <v>3480</v>
      </c>
      <c r="S213" s="1458"/>
      <c r="T213" s="1461"/>
      <c r="U213" s="1461"/>
      <c r="V213" s="1462"/>
      <c r="W213" s="1463"/>
      <c r="X213" s="1462"/>
      <c r="Y213" s="1463"/>
      <c r="Z213" s="1426"/>
      <c r="AA213" s="1426"/>
      <c r="AB213" s="1427"/>
      <c r="AC213" s="453"/>
      <c r="AD213" s="454"/>
      <c r="AE213" s="454"/>
      <c r="AF213" s="5694"/>
    </row>
    <row r="214" spans="1:32" ht="43.5" customHeight="1">
      <c r="A214" s="4564"/>
      <c r="B214" s="4623"/>
      <c r="C214" s="5584"/>
      <c r="D214" s="4629"/>
      <c r="E214" s="4629"/>
      <c r="F214" s="4629"/>
      <c r="G214" s="4629"/>
      <c r="H214" s="4629"/>
      <c r="I214" s="4629"/>
      <c r="J214" s="4629"/>
      <c r="K214" s="4629"/>
      <c r="L214" s="4629"/>
      <c r="M214" s="4629"/>
      <c r="N214" s="4629"/>
      <c r="O214" s="4629"/>
      <c r="P214" s="4629"/>
      <c r="Q214" s="4629"/>
      <c r="R214" s="5531"/>
      <c r="S214" s="1452"/>
      <c r="T214" s="1464"/>
      <c r="U214" s="1464"/>
      <c r="V214" s="1465"/>
      <c r="W214" s="1466"/>
      <c r="X214" s="1465"/>
      <c r="Y214" s="1466"/>
      <c r="Z214" s="1377"/>
      <c r="AA214" s="1377"/>
      <c r="AB214" s="1378"/>
      <c r="AC214" s="1395"/>
      <c r="AD214" s="449"/>
      <c r="AE214" s="449"/>
      <c r="AF214" s="4717"/>
    </row>
    <row r="215" spans="1:32" ht="43.5" customHeight="1">
      <c r="A215" s="4564"/>
      <c r="B215" s="4623"/>
      <c r="C215" s="5584"/>
      <c r="D215" s="4629"/>
      <c r="E215" s="4629"/>
      <c r="F215" s="4629"/>
      <c r="G215" s="4629"/>
      <c r="H215" s="4629"/>
      <c r="I215" s="4629"/>
      <c r="J215" s="4629"/>
      <c r="K215" s="4629"/>
      <c r="L215" s="4629"/>
      <c r="M215" s="4629"/>
      <c r="N215" s="4629"/>
      <c r="O215" s="4629"/>
      <c r="P215" s="4629"/>
      <c r="Q215" s="4629"/>
      <c r="R215" s="5531"/>
      <c r="S215" s="1452"/>
      <c r="T215" s="1464"/>
      <c r="U215" s="1464"/>
      <c r="V215" s="1465"/>
      <c r="W215" s="1466"/>
      <c r="X215" s="1465"/>
      <c r="Y215" s="1466"/>
      <c r="Z215" s="1377"/>
      <c r="AA215" s="1377"/>
      <c r="AB215" s="1378"/>
      <c r="AC215" s="1395"/>
      <c r="AD215" s="449"/>
      <c r="AE215" s="449"/>
      <c r="AF215" s="4717"/>
    </row>
    <row r="216" spans="1:32" ht="43.5" customHeight="1">
      <c r="A216" s="4564"/>
      <c r="B216" s="4623"/>
      <c r="C216" s="5584"/>
      <c r="D216" s="4629"/>
      <c r="E216" s="4629"/>
      <c r="F216" s="4629"/>
      <c r="G216" s="4629"/>
      <c r="H216" s="4629"/>
      <c r="I216" s="4629"/>
      <c r="J216" s="4629"/>
      <c r="K216" s="4629"/>
      <c r="L216" s="4629"/>
      <c r="M216" s="4629"/>
      <c r="N216" s="4629"/>
      <c r="O216" s="4629"/>
      <c r="P216" s="4629"/>
      <c r="Q216" s="4629"/>
      <c r="R216" s="5531"/>
      <c r="S216" s="1452"/>
      <c r="T216" s="1464"/>
      <c r="U216" s="1464"/>
      <c r="V216" s="1465"/>
      <c r="W216" s="1466"/>
      <c r="X216" s="1465"/>
      <c r="Y216" s="1466"/>
      <c r="Z216" s="1377"/>
      <c r="AA216" s="1377"/>
      <c r="AB216" s="1378"/>
      <c r="AC216" s="1395"/>
      <c r="AD216" s="449"/>
      <c r="AE216" s="449"/>
      <c r="AF216" s="4717"/>
    </row>
    <row r="217" spans="1:32" ht="43.5" customHeight="1">
      <c r="A217" s="4564"/>
      <c r="B217" s="4623"/>
      <c r="C217" s="5585"/>
      <c r="D217" s="4630"/>
      <c r="E217" s="4630"/>
      <c r="F217" s="4630"/>
      <c r="G217" s="4630"/>
      <c r="H217" s="4630"/>
      <c r="I217" s="4630"/>
      <c r="J217" s="4630"/>
      <c r="K217" s="4630"/>
      <c r="L217" s="4630"/>
      <c r="M217" s="4630"/>
      <c r="N217" s="4630"/>
      <c r="O217" s="4630"/>
      <c r="P217" s="4630"/>
      <c r="Q217" s="4630"/>
      <c r="R217" s="5532"/>
      <c r="S217" s="1460"/>
      <c r="T217" s="1467"/>
      <c r="U217" s="1467"/>
      <c r="V217" s="1448"/>
      <c r="W217" s="1468"/>
      <c r="X217" s="1448"/>
      <c r="Y217" s="1468"/>
      <c r="Z217" s="1384"/>
      <c r="AA217" s="1384"/>
      <c r="AB217" s="1385"/>
      <c r="AC217" s="448"/>
      <c r="AD217" s="451"/>
      <c r="AE217" s="451"/>
      <c r="AF217" s="4718"/>
    </row>
    <row r="218" spans="1:32" ht="39" customHeight="1">
      <c r="A218" s="4564"/>
      <c r="B218" s="4623"/>
      <c r="C218" s="5715" t="s">
        <v>272</v>
      </c>
      <c r="D218" s="5566" t="s">
        <v>302</v>
      </c>
      <c r="E218" s="5566" t="s">
        <v>303</v>
      </c>
      <c r="F218" s="5566" t="s">
        <v>304</v>
      </c>
      <c r="G218" s="5567" t="s">
        <v>305</v>
      </c>
      <c r="H218" s="5566" t="s">
        <v>240</v>
      </c>
      <c r="I218" s="5566" t="s">
        <v>257</v>
      </c>
      <c r="J218" s="5566" t="s">
        <v>3481</v>
      </c>
      <c r="K218" s="5566" t="s">
        <v>1622</v>
      </c>
      <c r="L218" s="5566" t="s">
        <v>3482</v>
      </c>
      <c r="M218" s="4662">
        <v>0</v>
      </c>
      <c r="N218" s="4662">
        <v>1</v>
      </c>
      <c r="O218" s="4662">
        <v>1</v>
      </c>
      <c r="P218" s="5566" t="s">
        <v>3483</v>
      </c>
      <c r="Q218" s="5566" t="s">
        <v>3484</v>
      </c>
      <c r="R218" s="5681" t="s">
        <v>3485</v>
      </c>
      <c r="S218" s="1451"/>
      <c r="T218" s="2137"/>
      <c r="U218" s="2137"/>
      <c r="V218" s="2138"/>
      <c r="W218" s="2139"/>
      <c r="X218" s="1921"/>
      <c r="Y218" s="2140"/>
      <c r="Z218" s="2140"/>
      <c r="AA218" s="2140"/>
      <c r="AB218" s="2141"/>
      <c r="AC218" s="1921"/>
      <c r="AD218" s="2142"/>
      <c r="AE218" s="2142"/>
      <c r="AF218" s="5684"/>
    </row>
    <row r="219" spans="1:32" ht="39" customHeight="1">
      <c r="A219" s="4564"/>
      <c r="B219" s="4623"/>
      <c r="C219" s="5584"/>
      <c r="D219" s="4629"/>
      <c r="E219" s="4629"/>
      <c r="F219" s="4629"/>
      <c r="G219" s="4629"/>
      <c r="H219" s="4629"/>
      <c r="I219" s="4629"/>
      <c r="J219" s="4629"/>
      <c r="K219" s="4629"/>
      <c r="L219" s="4629"/>
      <c r="M219" s="4629"/>
      <c r="N219" s="4629"/>
      <c r="O219" s="4629"/>
      <c r="P219" s="4629"/>
      <c r="Q219" s="4629"/>
      <c r="R219" s="5531"/>
      <c r="S219" s="1452"/>
      <c r="T219" s="1376"/>
      <c r="U219" s="1376"/>
      <c r="V219" s="1388"/>
      <c r="W219" s="1394"/>
      <c r="X219" s="1395"/>
      <c r="Y219" s="1377"/>
      <c r="Z219" s="1377"/>
      <c r="AA219" s="1377"/>
      <c r="AB219" s="1378"/>
      <c r="AC219" s="1395"/>
      <c r="AD219" s="449"/>
      <c r="AE219" s="449"/>
      <c r="AF219" s="4717"/>
    </row>
    <row r="220" spans="1:32" ht="39" customHeight="1">
      <c r="A220" s="4564"/>
      <c r="B220" s="4623"/>
      <c r="C220" s="5584"/>
      <c r="D220" s="4629"/>
      <c r="E220" s="4629"/>
      <c r="F220" s="4629"/>
      <c r="G220" s="4629"/>
      <c r="H220" s="4629"/>
      <c r="I220" s="4629"/>
      <c r="J220" s="4629"/>
      <c r="K220" s="4629"/>
      <c r="L220" s="4629"/>
      <c r="M220" s="4629"/>
      <c r="N220" s="4629"/>
      <c r="O220" s="4629"/>
      <c r="P220" s="4629"/>
      <c r="Q220" s="4629"/>
      <c r="R220" s="5531"/>
      <c r="S220" s="1452"/>
      <c r="T220" s="1376"/>
      <c r="U220" s="1376"/>
      <c r="V220" s="1388"/>
      <c r="W220" s="1394"/>
      <c r="X220" s="1395"/>
      <c r="Y220" s="1377"/>
      <c r="Z220" s="1377"/>
      <c r="AA220" s="1377"/>
      <c r="AB220" s="1378"/>
      <c r="AC220" s="1395"/>
      <c r="AD220" s="449"/>
      <c r="AE220" s="449"/>
      <c r="AF220" s="4717"/>
    </row>
    <row r="221" spans="1:32" ht="39" customHeight="1">
      <c r="A221" s="4564"/>
      <c r="B221" s="4623"/>
      <c r="C221" s="5584"/>
      <c r="D221" s="4629"/>
      <c r="E221" s="4629"/>
      <c r="F221" s="4629"/>
      <c r="G221" s="4629"/>
      <c r="H221" s="4629"/>
      <c r="I221" s="4629"/>
      <c r="J221" s="4629"/>
      <c r="K221" s="4629"/>
      <c r="L221" s="4629"/>
      <c r="M221" s="4629"/>
      <c r="N221" s="4629"/>
      <c r="O221" s="4629"/>
      <c r="P221" s="4629"/>
      <c r="Q221" s="4629"/>
      <c r="R221" s="5531"/>
      <c r="S221" s="1459"/>
      <c r="T221" s="1380"/>
      <c r="U221" s="1380"/>
      <c r="V221" s="1388"/>
      <c r="W221" s="1394"/>
      <c r="X221" s="1395"/>
      <c r="Y221" s="1377"/>
      <c r="Z221" s="1377"/>
      <c r="AA221" s="1377"/>
      <c r="AB221" s="1378"/>
      <c r="AC221" s="1395"/>
      <c r="AD221" s="449"/>
      <c r="AE221" s="449"/>
      <c r="AF221" s="4717"/>
    </row>
    <row r="222" spans="1:32" ht="39" customHeight="1">
      <c r="A222" s="4564"/>
      <c r="B222" s="4623"/>
      <c r="C222" s="5585"/>
      <c r="D222" s="4630"/>
      <c r="E222" s="4630"/>
      <c r="F222" s="4630"/>
      <c r="G222" s="4630"/>
      <c r="H222" s="4630"/>
      <c r="I222" s="4630"/>
      <c r="J222" s="4630"/>
      <c r="K222" s="4630"/>
      <c r="L222" s="4630"/>
      <c r="M222" s="4630"/>
      <c r="N222" s="4630"/>
      <c r="O222" s="4630"/>
      <c r="P222" s="4630"/>
      <c r="Q222" s="4630"/>
      <c r="R222" s="5532"/>
      <c r="S222" s="1460"/>
      <c r="T222" s="1382"/>
      <c r="U222" s="1382"/>
      <c r="V222" s="450"/>
      <c r="W222" s="1383"/>
      <c r="X222" s="448"/>
      <c r="Y222" s="1384"/>
      <c r="Z222" s="1384"/>
      <c r="AA222" s="1384"/>
      <c r="AB222" s="1385"/>
      <c r="AC222" s="448"/>
      <c r="AD222" s="451"/>
      <c r="AE222" s="451"/>
      <c r="AF222" s="4718"/>
    </row>
    <row r="223" spans="1:32" ht="34.5" customHeight="1">
      <c r="A223" s="4564"/>
      <c r="B223" s="4623"/>
      <c r="C223" s="5715" t="s">
        <v>272</v>
      </c>
      <c r="D223" s="5566" t="s">
        <v>302</v>
      </c>
      <c r="E223" s="5566" t="s">
        <v>303</v>
      </c>
      <c r="F223" s="5566" t="s">
        <v>955</v>
      </c>
      <c r="G223" s="5567" t="s">
        <v>305</v>
      </c>
      <c r="H223" s="5566" t="s">
        <v>256</v>
      </c>
      <c r="I223" s="5566" t="s">
        <v>241</v>
      </c>
      <c r="J223" s="5566" t="s">
        <v>3486</v>
      </c>
      <c r="K223" s="5566" t="s">
        <v>1627</v>
      </c>
      <c r="L223" s="5566" t="s">
        <v>1628</v>
      </c>
      <c r="M223" s="4662">
        <v>1</v>
      </c>
      <c r="N223" s="4662">
        <v>1</v>
      </c>
      <c r="O223" s="4662">
        <v>0</v>
      </c>
      <c r="P223" s="5566" t="s">
        <v>3487</v>
      </c>
      <c r="Q223" s="5566" t="s">
        <v>3488</v>
      </c>
      <c r="R223" s="5681" t="s">
        <v>3480</v>
      </c>
      <c r="S223" s="1451"/>
      <c r="T223" s="2137"/>
      <c r="U223" s="2137"/>
      <c r="V223" s="2138"/>
      <c r="W223" s="2139"/>
      <c r="X223" s="1921"/>
      <c r="Y223" s="2140"/>
      <c r="Z223" s="2140"/>
      <c r="AA223" s="2140"/>
      <c r="AB223" s="2141"/>
      <c r="AC223" s="1921"/>
      <c r="AD223" s="2146"/>
      <c r="AE223" s="2146"/>
      <c r="AF223" s="5684"/>
    </row>
    <row r="224" spans="1:32" ht="34.5" customHeight="1">
      <c r="A224" s="4564"/>
      <c r="B224" s="4623"/>
      <c r="C224" s="5584"/>
      <c r="D224" s="4629"/>
      <c r="E224" s="4629"/>
      <c r="F224" s="4629"/>
      <c r="G224" s="4629"/>
      <c r="H224" s="4629"/>
      <c r="I224" s="4629"/>
      <c r="J224" s="4629"/>
      <c r="K224" s="4629"/>
      <c r="L224" s="4629"/>
      <c r="M224" s="4629"/>
      <c r="N224" s="4629"/>
      <c r="O224" s="4629"/>
      <c r="P224" s="4629"/>
      <c r="Q224" s="4629"/>
      <c r="R224" s="5531"/>
      <c r="S224" s="1452"/>
      <c r="T224" s="1376"/>
      <c r="U224" s="1376"/>
      <c r="V224" s="1388"/>
      <c r="W224" s="1394"/>
      <c r="X224" s="1395"/>
      <c r="Y224" s="1377"/>
      <c r="Z224" s="1377"/>
      <c r="AA224" s="1377"/>
      <c r="AB224" s="1378"/>
      <c r="AC224" s="1395"/>
      <c r="AD224" s="1395"/>
      <c r="AE224" s="1396"/>
      <c r="AF224" s="4717"/>
    </row>
    <row r="225" spans="1:32" ht="34.5" customHeight="1">
      <c r="A225" s="4564"/>
      <c r="B225" s="4623"/>
      <c r="C225" s="5584"/>
      <c r="D225" s="4629"/>
      <c r="E225" s="4629"/>
      <c r="F225" s="4629"/>
      <c r="G225" s="4629"/>
      <c r="H225" s="4629"/>
      <c r="I225" s="4629"/>
      <c r="J225" s="4629"/>
      <c r="K225" s="4629"/>
      <c r="L225" s="4629"/>
      <c r="M225" s="4629"/>
      <c r="N225" s="4629"/>
      <c r="O225" s="4629"/>
      <c r="P225" s="4629"/>
      <c r="Q225" s="4629"/>
      <c r="R225" s="5531"/>
      <c r="S225" s="1452"/>
      <c r="T225" s="1376"/>
      <c r="U225" s="1376"/>
      <c r="V225" s="1388"/>
      <c r="W225" s="1394"/>
      <c r="X225" s="1395"/>
      <c r="Y225" s="1377"/>
      <c r="Z225" s="1377"/>
      <c r="AA225" s="1377"/>
      <c r="AB225" s="1378"/>
      <c r="AC225" s="1395"/>
      <c r="AD225" s="1395"/>
      <c r="AE225" s="449"/>
      <c r="AF225" s="4717"/>
    </row>
    <row r="226" spans="1:32" ht="34.5" customHeight="1">
      <c r="A226" s="4564"/>
      <c r="B226" s="4623"/>
      <c r="C226" s="5584"/>
      <c r="D226" s="4629"/>
      <c r="E226" s="4629"/>
      <c r="F226" s="4629"/>
      <c r="G226" s="4629"/>
      <c r="H226" s="4629"/>
      <c r="I226" s="4629"/>
      <c r="J226" s="4629"/>
      <c r="K226" s="4629"/>
      <c r="L226" s="4629"/>
      <c r="M226" s="4629"/>
      <c r="N226" s="4629"/>
      <c r="O226" s="4629"/>
      <c r="P226" s="4629"/>
      <c r="Q226" s="4629"/>
      <c r="R226" s="5531"/>
      <c r="S226" s="1452"/>
      <c r="T226" s="1376"/>
      <c r="U226" s="1376"/>
      <c r="V226" s="1388"/>
      <c r="W226" s="1394"/>
      <c r="X226" s="1395"/>
      <c r="Y226" s="1377"/>
      <c r="Z226" s="1377"/>
      <c r="AA226" s="1377"/>
      <c r="AB226" s="1378"/>
      <c r="AC226" s="1395"/>
      <c r="AD226" s="1395"/>
      <c r="AE226" s="449"/>
      <c r="AF226" s="4717"/>
    </row>
    <row r="227" spans="1:32" ht="34.5" customHeight="1">
      <c r="A227" s="4564"/>
      <c r="B227" s="4623"/>
      <c r="C227" s="5585"/>
      <c r="D227" s="4630"/>
      <c r="E227" s="4630"/>
      <c r="F227" s="4630"/>
      <c r="G227" s="4630"/>
      <c r="H227" s="4630"/>
      <c r="I227" s="4630"/>
      <c r="J227" s="4630"/>
      <c r="K227" s="4630"/>
      <c r="L227" s="4630"/>
      <c r="M227" s="4630"/>
      <c r="N227" s="4630"/>
      <c r="O227" s="4630"/>
      <c r="P227" s="4630"/>
      <c r="Q227" s="4630"/>
      <c r="R227" s="5532"/>
      <c r="S227" s="1460"/>
      <c r="T227" s="1382"/>
      <c r="U227" s="1382"/>
      <c r="V227" s="450"/>
      <c r="W227" s="1383"/>
      <c r="X227" s="448"/>
      <c r="Y227" s="1384"/>
      <c r="Z227" s="1384"/>
      <c r="AA227" s="1384"/>
      <c r="AB227" s="1385"/>
      <c r="AC227" s="448"/>
      <c r="AD227" s="448"/>
      <c r="AE227" s="451"/>
      <c r="AF227" s="4718"/>
    </row>
    <row r="228" spans="1:32" ht="18" customHeight="1">
      <c r="A228" s="4564"/>
      <c r="B228" s="4623"/>
      <c r="C228" s="5715" t="s">
        <v>272</v>
      </c>
      <c r="D228" s="5566" t="s">
        <v>302</v>
      </c>
      <c r="E228" s="5566" t="s">
        <v>303</v>
      </c>
      <c r="F228" s="5566" t="s">
        <v>304</v>
      </c>
      <c r="G228" s="5567" t="s">
        <v>305</v>
      </c>
      <c r="H228" s="5566" t="s">
        <v>240</v>
      </c>
      <c r="I228" s="5566" t="s">
        <v>257</v>
      </c>
      <c r="J228" s="5566" t="s">
        <v>3489</v>
      </c>
      <c r="K228" s="5566" t="s">
        <v>1633</v>
      </c>
      <c r="L228" s="5569" t="s">
        <v>3490</v>
      </c>
      <c r="M228" s="4662"/>
      <c r="N228" s="4662"/>
      <c r="O228" s="4662"/>
      <c r="P228" s="5569" t="s">
        <v>3490</v>
      </c>
      <c r="Q228" s="5569" t="s">
        <v>3490</v>
      </c>
      <c r="R228" s="5682" t="s">
        <v>3490</v>
      </c>
      <c r="S228" s="1451"/>
      <c r="T228" s="2137"/>
      <c r="U228" s="2137"/>
      <c r="V228" s="2138"/>
      <c r="W228" s="2139"/>
      <c r="X228" s="1921"/>
      <c r="Y228" s="2140"/>
      <c r="Z228" s="2140"/>
      <c r="AA228" s="2140"/>
      <c r="AB228" s="2141"/>
      <c r="AC228" s="1921"/>
      <c r="AD228" s="2142"/>
      <c r="AE228" s="2142"/>
      <c r="AF228" s="5684" t="s">
        <v>3491</v>
      </c>
    </row>
    <row r="229" spans="1:32" ht="18" customHeight="1">
      <c r="A229" s="4564"/>
      <c r="B229" s="4623"/>
      <c r="C229" s="5584"/>
      <c r="D229" s="4629"/>
      <c r="E229" s="4629"/>
      <c r="F229" s="4629"/>
      <c r="G229" s="4629"/>
      <c r="H229" s="4629"/>
      <c r="I229" s="4629"/>
      <c r="J229" s="4629"/>
      <c r="K229" s="4629"/>
      <c r="L229" s="4629"/>
      <c r="M229" s="4629"/>
      <c r="N229" s="4629"/>
      <c r="O229" s="4629"/>
      <c r="P229" s="4629"/>
      <c r="Q229" s="4629"/>
      <c r="R229" s="5531"/>
      <c r="S229" s="1452"/>
      <c r="T229" s="1376"/>
      <c r="U229" s="1376"/>
      <c r="V229" s="1388"/>
      <c r="W229" s="1394"/>
      <c r="X229" s="1395"/>
      <c r="Y229" s="1377"/>
      <c r="Z229" s="1377"/>
      <c r="AA229" s="1377"/>
      <c r="AB229" s="1378"/>
      <c r="AC229" s="1395"/>
      <c r="AD229" s="449"/>
      <c r="AE229" s="449"/>
      <c r="AF229" s="4717"/>
    </row>
    <row r="230" spans="1:32" ht="18" customHeight="1">
      <c r="A230" s="4564"/>
      <c r="B230" s="4623"/>
      <c r="C230" s="5584"/>
      <c r="D230" s="4629"/>
      <c r="E230" s="4629"/>
      <c r="F230" s="4629"/>
      <c r="G230" s="4629"/>
      <c r="H230" s="4629"/>
      <c r="I230" s="4629"/>
      <c r="J230" s="4629"/>
      <c r="K230" s="4629"/>
      <c r="L230" s="4629"/>
      <c r="M230" s="4629"/>
      <c r="N230" s="4629"/>
      <c r="O230" s="4629"/>
      <c r="P230" s="4629"/>
      <c r="Q230" s="4629"/>
      <c r="R230" s="5531"/>
      <c r="S230" s="1452"/>
      <c r="T230" s="1376"/>
      <c r="U230" s="1376"/>
      <c r="V230" s="1388"/>
      <c r="W230" s="1394"/>
      <c r="X230" s="1395"/>
      <c r="Y230" s="1377"/>
      <c r="Z230" s="1377"/>
      <c r="AA230" s="1377"/>
      <c r="AB230" s="1378"/>
      <c r="AC230" s="1395"/>
      <c r="AD230" s="449"/>
      <c r="AE230" s="449"/>
      <c r="AF230" s="4717"/>
    </row>
    <row r="231" spans="1:32" ht="18" customHeight="1">
      <c r="A231" s="4564"/>
      <c r="B231" s="4623"/>
      <c r="C231" s="5584"/>
      <c r="D231" s="4629"/>
      <c r="E231" s="4629"/>
      <c r="F231" s="4629"/>
      <c r="G231" s="4629"/>
      <c r="H231" s="4629"/>
      <c r="I231" s="4629"/>
      <c r="J231" s="4629"/>
      <c r="K231" s="4629"/>
      <c r="L231" s="4629"/>
      <c r="M231" s="4629"/>
      <c r="N231" s="4629"/>
      <c r="O231" s="4629"/>
      <c r="P231" s="4629"/>
      <c r="Q231" s="4629"/>
      <c r="R231" s="5531"/>
      <c r="S231" s="1452"/>
      <c r="T231" s="1376"/>
      <c r="U231" s="1376"/>
      <c r="V231" s="1388"/>
      <c r="W231" s="1394"/>
      <c r="X231" s="1395"/>
      <c r="Y231" s="1377"/>
      <c r="Z231" s="1377"/>
      <c r="AA231" s="1377"/>
      <c r="AB231" s="1378"/>
      <c r="AC231" s="1395"/>
      <c r="AD231" s="449"/>
      <c r="AE231" s="449"/>
      <c r="AF231" s="4717"/>
    </row>
    <row r="232" spans="1:32" ht="18" customHeight="1">
      <c r="A232" s="4564"/>
      <c r="B232" s="4623"/>
      <c r="C232" s="5585"/>
      <c r="D232" s="4630"/>
      <c r="E232" s="4630"/>
      <c r="F232" s="4630"/>
      <c r="G232" s="4630"/>
      <c r="H232" s="4630"/>
      <c r="I232" s="4630"/>
      <c r="J232" s="4630"/>
      <c r="K232" s="4630"/>
      <c r="L232" s="4630"/>
      <c r="M232" s="4630"/>
      <c r="N232" s="4630"/>
      <c r="O232" s="4630"/>
      <c r="P232" s="4630"/>
      <c r="Q232" s="4630"/>
      <c r="R232" s="5532"/>
      <c r="S232" s="1460"/>
      <c r="T232" s="1382"/>
      <c r="U232" s="1382"/>
      <c r="V232" s="450"/>
      <c r="W232" s="1383"/>
      <c r="X232" s="448"/>
      <c r="Y232" s="1384"/>
      <c r="Z232" s="1384"/>
      <c r="AA232" s="1384"/>
      <c r="AB232" s="1385"/>
      <c r="AC232" s="448"/>
      <c r="AD232" s="451"/>
      <c r="AE232" s="451"/>
      <c r="AF232" s="4718"/>
    </row>
    <row r="233" spans="1:32" ht="34.5" customHeight="1">
      <c r="A233" s="4564"/>
      <c r="B233" s="4623"/>
      <c r="C233" s="5715" t="s">
        <v>235</v>
      </c>
      <c r="D233" s="5566" t="s">
        <v>236</v>
      </c>
      <c r="E233" s="5566" t="s">
        <v>244</v>
      </c>
      <c r="F233" s="5566" t="s">
        <v>808</v>
      </c>
      <c r="G233" s="5567" t="s">
        <v>239</v>
      </c>
      <c r="H233" s="5566" t="s">
        <v>240</v>
      </c>
      <c r="I233" s="5566" t="s">
        <v>241</v>
      </c>
      <c r="J233" s="5566" t="s">
        <v>3492</v>
      </c>
      <c r="K233" s="5566" t="s">
        <v>3493</v>
      </c>
      <c r="L233" s="5566" t="s">
        <v>1705</v>
      </c>
      <c r="M233" s="4662">
        <v>0</v>
      </c>
      <c r="N233" s="4662">
        <v>1</v>
      </c>
      <c r="O233" s="4662">
        <v>1</v>
      </c>
      <c r="P233" s="5566" t="s">
        <v>3494</v>
      </c>
      <c r="Q233" s="5566" t="s">
        <v>3495</v>
      </c>
      <c r="R233" s="5681" t="s">
        <v>3480</v>
      </c>
      <c r="S233" s="1469"/>
      <c r="T233" s="2150"/>
      <c r="U233" s="2150"/>
      <c r="V233" s="2153"/>
      <c r="W233" s="2139"/>
      <c r="X233" s="1921"/>
      <c r="Y233" s="2140"/>
      <c r="Z233" s="2140"/>
      <c r="AA233" s="2140"/>
      <c r="AB233" s="2141"/>
      <c r="AC233" s="1921"/>
      <c r="AD233" s="2142"/>
      <c r="AE233" s="2142"/>
      <c r="AF233" s="5712"/>
    </row>
    <row r="234" spans="1:32" ht="34.5" customHeight="1">
      <c r="A234" s="4564"/>
      <c r="B234" s="4623"/>
      <c r="C234" s="5584"/>
      <c r="D234" s="4629"/>
      <c r="E234" s="4629"/>
      <c r="F234" s="4629"/>
      <c r="G234" s="4629"/>
      <c r="H234" s="4629"/>
      <c r="I234" s="4629"/>
      <c r="J234" s="4629"/>
      <c r="K234" s="4629"/>
      <c r="L234" s="4629"/>
      <c r="M234" s="4629"/>
      <c r="N234" s="4629"/>
      <c r="O234" s="4629"/>
      <c r="P234" s="4629"/>
      <c r="Q234" s="4629"/>
      <c r="R234" s="5531"/>
      <c r="S234" s="1452"/>
      <c r="T234" s="1376"/>
      <c r="U234" s="1376"/>
      <c r="V234" s="1388"/>
      <c r="W234" s="1394"/>
      <c r="X234" s="1395"/>
      <c r="Y234" s="1377"/>
      <c r="Z234" s="1377"/>
      <c r="AA234" s="1377"/>
      <c r="AB234" s="1378"/>
      <c r="AC234" s="1395"/>
      <c r="AD234" s="449"/>
      <c r="AE234" s="449"/>
      <c r="AF234" s="4717"/>
    </row>
    <row r="235" spans="1:32" ht="34.5" customHeight="1">
      <c r="A235" s="4564"/>
      <c r="B235" s="4623"/>
      <c r="C235" s="5584"/>
      <c r="D235" s="4629"/>
      <c r="E235" s="4629"/>
      <c r="F235" s="4629"/>
      <c r="G235" s="4629"/>
      <c r="H235" s="4629"/>
      <c r="I235" s="4629"/>
      <c r="J235" s="4629"/>
      <c r="K235" s="4629"/>
      <c r="L235" s="4629"/>
      <c r="M235" s="4629"/>
      <c r="N235" s="4629"/>
      <c r="O235" s="4629"/>
      <c r="P235" s="4629"/>
      <c r="Q235" s="4629"/>
      <c r="R235" s="5531"/>
      <c r="S235" s="1452"/>
      <c r="T235" s="1376"/>
      <c r="U235" s="1376"/>
      <c r="V235" s="1388"/>
      <c r="W235" s="1394"/>
      <c r="X235" s="1395"/>
      <c r="Y235" s="1377"/>
      <c r="Z235" s="1377"/>
      <c r="AA235" s="1377"/>
      <c r="AB235" s="1378"/>
      <c r="AC235" s="1395"/>
      <c r="AD235" s="449"/>
      <c r="AE235" s="449"/>
      <c r="AF235" s="4717"/>
    </row>
    <row r="236" spans="1:32" ht="34.5" customHeight="1">
      <c r="A236" s="4564"/>
      <c r="B236" s="4623"/>
      <c r="C236" s="5584"/>
      <c r="D236" s="4629"/>
      <c r="E236" s="4629"/>
      <c r="F236" s="4629"/>
      <c r="G236" s="4629"/>
      <c r="H236" s="4629"/>
      <c r="I236" s="4629"/>
      <c r="J236" s="4629"/>
      <c r="K236" s="4629"/>
      <c r="L236" s="4629"/>
      <c r="M236" s="4629"/>
      <c r="N236" s="4629"/>
      <c r="O236" s="4629"/>
      <c r="P236" s="4629"/>
      <c r="Q236" s="4629"/>
      <c r="R236" s="5531"/>
      <c r="S236" s="1452"/>
      <c r="T236" s="1376"/>
      <c r="U236" s="1376"/>
      <c r="V236" s="1388"/>
      <c r="W236" s="1394"/>
      <c r="X236" s="1395"/>
      <c r="Y236" s="1377"/>
      <c r="Z236" s="1377"/>
      <c r="AA236" s="1377"/>
      <c r="AB236" s="1378"/>
      <c r="AC236" s="1395"/>
      <c r="AD236" s="449"/>
      <c r="AE236" s="449"/>
      <c r="AF236" s="4717"/>
    </row>
    <row r="237" spans="1:32" ht="34.5" customHeight="1" thickBot="1">
      <c r="A237" s="4564"/>
      <c r="B237" s="4623"/>
      <c r="C237" s="5722"/>
      <c r="D237" s="4630"/>
      <c r="E237" s="4630"/>
      <c r="F237" s="4630"/>
      <c r="G237" s="4630"/>
      <c r="H237" s="4630"/>
      <c r="I237" s="4630"/>
      <c r="J237" s="4630"/>
      <c r="K237" s="4630"/>
      <c r="L237" s="4630"/>
      <c r="M237" s="4630"/>
      <c r="N237" s="4630"/>
      <c r="O237" s="4630"/>
      <c r="P237" s="4630"/>
      <c r="Q237" s="4630"/>
      <c r="R237" s="5532"/>
      <c r="S237" s="1460"/>
      <c r="T237" s="1382"/>
      <c r="U237" s="1382"/>
      <c r="V237" s="450"/>
      <c r="W237" s="1383"/>
      <c r="X237" s="448"/>
      <c r="Y237" s="1384"/>
      <c r="Z237" s="1384"/>
      <c r="AA237" s="1384"/>
      <c r="AB237" s="1385"/>
      <c r="AC237" s="448"/>
      <c r="AD237" s="451"/>
      <c r="AE237" s="451"/>
      <c r="AF237" s="4718"/>
    </row>
    <row r="238" spans="1:32" ht="33" customHeight="1">
      <c r="A238" s="4564"/>
      <c r="B238" s="4623"/>
      <c r="C238" s="5723" t="s">
        <v>235</v>
      </c>
      <c r="D238" s="5566" t="s">
        <v>236</v>
      </c>
      <c r="E238" s="5566" t="s">
        <v>244</v>
      </c>
      <c r="F238" s="5566" t="s">
        <v>808</v>
      </c>
      <c r="G238" s="5567" t="s">
        <v>239</v>
      </c>
      <c r="H238" s="5566" t="s">
        <v>240</v>
      </c>
      <c r="I238" s="5566" t="s">
        <v>241</v>
      </c>
      <c r="J238" s="5566" t="s">
        <v>3496</v>
      </c>
      <c r="K238" s="5566" t="s">
        <v>1709</v>
      </c>
      <c r="L238" s="5566" t="s">
        <v>2591</v>
      </c>
      <c r="M238" s="4662">
        <v>0</v>
      </c>
      <c r="N238" s="4662">
        <v>5</v>
      </c>
      <c r="O238" s="4662">
        <v>5</v>
      </c>
      <c r="P238" s="5566" t="s">
        <v>2044</v>
      </c>
      <c r="Q238" s="5566" t="s">
        <v>3497</v>
      </c>
      <c r="R238" s="5681" t="s">
        <v>3480</v>
      </c>
      <c r="S238" s="1451"/>
      <c r="T238" s="2137"/>
      <c r="U238" s="2137"/>
      <c r="V238" s="2138"/>
      <c r="W238" s="2139"/>
      <c r="X238" s="1921"/>
      <c r="Y238" s="2140"/>
      <c r="Z238" s="2140"/>
      <c r="AA238" s="2140"/>
      <c r="AB238" s="2141"/>
      <c r="AC238" s="1921"/>
      <c r="AD238" s="2142"/>
      <c r="AE238" s="2142"/>
      <c r="AF238" s="5684"/>
    </row>
    <row r="239" spans="1:32" ht="33" customHeight="1">
      <c r="A239" s="4564"/>
      <c r="B239" s="4623"/>
      <c r="C239" s="5584"/>
      <c r="D239" s="4629"/>
      <c r="E239" s="4629"/>
      <c r="F239" s="4629"/>
      <c r="G239" s="4629"/>
      <c r="H239" s="4629"/>
      <c r="I239" s="4629"/>
      <c r="J239" s="4629"/>
      <c r="K239" s="4629"/>
      <c r="L239" s="4629"/>
      <c r="M239" s="4629"/>
      <c r="N239" s="4629"/>
      <c r="O239" s="4629"/>
      <c r="P239" s="4629"/>
      <c r="Q239" s="4629"/>
      <c r="R239" s="5531"/>
      <c r="S239" s="1452"/>
      <c r="T239" s="1376"/>
      <c r="U239" s="1376"/>
      <c r="V239" s="1388"/>
      <c r="W239" s="1394"/>
      <c r="X239" s="1395"/>
      <c r="Y239" s="1377"/>
      <c r="Z239" s="1377"/>
      <c r="AA239" s="1377"/>
      <c r="AB239" s="1378"/>
      <c r="AC239" s="1395"/>
      <c r="AD239" s="449"/>
      <c r="AE239" s="449"/>
      <c r="AF239" s="4717"/>
    </row>
    <row r="240" spans="1:32" ht="33" customHeight="1">
      <c r="A240" s="4564"/>
      <c r="B240" s="4623"/>
      <c r="C240" s="5584"/>
      <c r="D240" s="4629"/>
      <c r="E240" s="4629"/>
      <c r="F240" s="4629"/>
      <c r="G240" s="4629"/>
      <c r="H240" s="4629"/>
      <c r="I240" s="4629"/>
      <c r="J240" s="4629"/>
      <c r="K240" s="4629"/>
      <c r="L240" s="4629"/>
      <c r="M240" s="4629"/>
      <c r="N240" s="4629"/>
      <c r="O240" s="4629"/>
      <c r="P240" s="4629"/>
      <c r="Q240" s="4629"/>
      <c r="R240" s="5531"/>
      <c r="S240" s="1452"/>
      <c r="T240" s="1376"/>
      <c r="U240" s="1376"/>
      <c r="V240" s="1388"/>
      <c r="W240" s="1394"/>
      <c r="X240" s="1395"/>
      <c r="Y240" s="1377"/>
      <c r="Z240" s="1377"/>
      <c r="AA240" s="1377"/>
      <c r="AB240" s="1378"/>
      <c r="AC240" s="1395"/>
      <c r="AD240" s="449"/>
      <c r="AE240" s="449"/>
      <c r="AF240" s="4717"/>
    </row>
    <row r="241" spans="1:32" ht="33" customHeight="1">
      <c r="A241" s="4564"/>
      <c r="B241" s="4623"/>
      <c r="C241" s="5584"/>
      <c r="D241" s="4629"/>
      <c r="E241" s="4629"/>
      <c r="F241" s="4629"/>
      <c r="G241" s="4629"/>
      <c r="H241" s="4629"/>
      <c r="I241" s="4629"/>
      <c r="J241" s="4629"/>
      <c r="K241" s="4629"/>
      <c r="L241" s="4629"/>
      <c r="M241" s="4629"/>
      <c r="N241" s="4629"/>
      <c r="O241" s="4629"/>
      <c r="P241" s="4629"/>
      <c r="Q241" s="4629"/>
      <c r="R241" s="5531"/>
      <c r="S241" s="1452"/>
      <c r="T241" s="1376"/>
      <c r="U241" s="1376"/>
      <c r="V241" s="1388"/>
      <c r="W241" s="1394"/>
      <c r="X241" s="1395"/>
      <c r="Y241" s="1377"/>
      <c r="Z241" s="1377"/>
      <c r="AA241" s="1377"/>
      <c r="AB241" s="1378"/>
      <c r="AC241" s="1395"/>
      <c r="AD241" s="449"/>
      <c r="AE241" s="449"/>
      <c r="AF241" s="4717"/>
    </row>
    <row r="242" spans="1:32" ht="33" customHeight="1">
      <c r="A242" s="4564"/>
      <c r="B242" s="4623"/>
      <c r="C242" s="5585"/>
      <c r="D242" s="4630"/>
      <c r="E242" s="4630"/>
      <c r="F242" s="4630"/>
      <c r="G242" s="4630"/>
      <c r="H242" s="4630"/>
      <c r="I242" s="4630"/>
      <c r="J242" s="4630"/>
      <c r="K242" s="4630"/>
      <c r="L242" s="4630"/>
      <c r="M242" s="4630"/>
      <c r="N242" s="4630"/>
      <c r="O242" s="4630"/>
      <c r="P242" s="4630"/>
      <c r="Q242" s="4630"/>
      <c r="R242" s="5532"/>
      <c r="S242" s="1460"/>
      <c r="T242" s="1382"/>
      <c r="U242" s="1382"/>
      <c r="V242" s="450"/>
      <c r="W242" s="1383"/>
      <c r="X242" s="448"/>
      <c r="Y242" s="1384"/>
      <c r="Z242" s="1384"/>
      <c r="AA242" s="1384"/>
      <c r="AB242" s="1385"/>
      <c r="AC242" s="448"/>
      <c r="AD242" s="451"/>
      <c r="AE242" s="451"/>
      <c r="AF242" s="4718"/>
    </row>
    <row r="243" spans="1:32" ht="24" customHeight="1">
      <c r="A243" s="4564"/>
      <c r="B243" s="4623"/>
      <c r="C243" s="5715" t="s">
        <v>235</v>
      </c>
      <c r="D243" s="5566" t="s">
        <v>236</v>
      </c>
      <c r="E243" s="5566" t="s">
        <v>237</v>
      </c>
      <c r="F243" s="5566" t="s">
        <v>255</v>
      </c>
      <c r="G243" s="5567" t="s">
        <v>239</v>
      </c>
      <c r="H243" s="5566" t="s">
        <v>240</v>
      </c>
      <c r="I243" s="5566" t="s">
        <v>257</v>
      </c>
      <c r="J243" s="5566" t="s">
        <v>3498</v>
      </c>
      <c r="K243" s="5566" t="s">
        <v>338</v>
      </c>
      <c r="L243" s="5566" t="s">
        <v>3499</v>
      </c>
      <c r="M243" s="4662">
        <v>0</v>
      </c>
      <c r="N243" s="4662">
        <v>1</v>
      </c>
      <c r="O243" s="4662">
        <v>1</v>
      </c>
      <c r="P243" s="5566" t="s">
        <v>3500</v>
      </c>
      <c r="Q243" s="5566" t="s">
        <v>3501</v>
      </c>
      <c r="R243" s="5681" t="s">
        <v>3502</v>
      </c>
      <c r="S243" s="1451"/>
      <c r="T243" s="2137"/>
      <c r="U243" s="2137"/>
      <c r="V243" s="2138"/>
      <c r="W243" s="2139"/>
      <c r="X243" s="1921"/>
      <c r="Y243" s="2140"/>
      <c r="Z243" s="2140"/>
      <c r="AA243" s="2140"/>
      <c r="AB243" s="2141"/>
      <c r="AC243" s="1921"/>
      <c r="AD243" s="2142"/>
      <c r="AE243" s="2142"/>
      <c r="AF243" s="5684"/>
    </row>
    <row r="244" spans="1:32" ht="24" customHeight="1">
      <c r="A244" s="4564"/>
      <c r="B244" s="4623"/>
      <c r="C244" s="5584"/>
      <c r="D244" s="4629"/>
      <c r="E244" s="4629"/>
      <c r="F244" s="4629"/>
      <c r="G244" s="4629"/>
      <c r="H244" s="4629"/>
      <c r="I244" s="4629"/>
      <c r="J244" s="4629"/>
      <c r="K244" s="4629"/>
      <c r="L244" s="4629"/>
      <c r="M244" s="4629"/>
      <c r="N244" s="4629"/>
      <c r="O244" s="4629"/>
      <c r="P244" s="4629"/>
      <c r="Q244" s="4629"/>
      <c r="R244" s="5531"/>
      <c r="S244" s="1452"/>
      <c r="T244" s="1376"/>
      <c r="U244" s="1376"/>
      <c r="V244" s="1388"/>
      <c r="W244" s="1394"/>
      <c r="X244" s="1395"/>
      <c r="Y244" s="1377"/>
      <c r="Z244" s="1377"/>
      <c r="AA244" s="1377"/>
      <c r="AB244" s="1378"/>
      <c r="AC244" s="1395"/>
      <c r="AD244" s="449"/>
      <c r="AE244" s="449"/>
      <c r="AF244" s="4717"/>
    </row>
    <row r="245" spans="1:32" ht="24" customHeight="1">
      <c r="A245" s="4564"/>
      <c r="B245" s="4623"/>
      <c r="C245" s="5584"/>
      <c r="D245" s="4629"/>
      <c r="E245" s="4629"/>
      <c r="F245" s="4629"/>
      <c r="G245" s="4629"/>
      <c r="H245" s="4629"/>
      <c r="I245" s="4629"/>
      <c r="J245" s="4629"/>
      <c r="K245" s="4629"/>
      <c r="L245" s="4629"/>
      <c r="M245" s="4629"/>
      <c r="N245" s="4629"/>
      <c r="O245" s="4629"/>
      <c r="P245" s="4629"/>
      <c r="Q245" s="4629"/>
      <c r="R245" s="5531"/>
      <c r="S245" s="1452"/>
      <c r="T245" s="1376"/>
      <c r="U245" s="1376"/>
      <c r="V245" s="1388"/>
      <c r="W245" s="1394"/>
      <c r="X245" s="1395"/>
      <c r="Y245" s="1377"/>
      <c r="Z245" s="1377"/>
      <c r="AA245" s="1377"/>
      <c r="AB245" s="1378"/>
      <c r="AC245" s="1395"/>
      <c r="AD245" s="449"/>
      <c r="AE245" s="449"/>
      <c r="AF245" s="4717"/>
    </row>
    <row r="246" spans="1:32" ht="24" customHeight="1">
      <c r="A246" s="4564"/>
      <c r="B246" s="4623"/>
      <c r="C246" s="5584"/>
      <c r="D246" s="4629"/>
      <c r="E246" s="4629"/>
      <c r="F246" s="4629"/>
      <c r="G246" s="4629"/>
      <c r="H246" s="4629"/>
      <c r="I246" s="4629"/>
      <c r="J246" s="4629"/>
      <c r="K246" s="4629"/>
      <c r="L246" s="4629"/>
      <c r="M246" s="4629"/>
      <c r="N246" s="4629"/>
      <c r="O246" s="4629"/>
      <c r="P246" s="4629"/>
      <c r="Q246" s="4629"/>
      <c r="R246" s="5531"/>
      <c r="S246" s="1452"/>
      <c r="T246" s="1376"/>
      <c r="U246" s="1376"/>
      <c r="V246" s="1388"/>
      <c r="W246" s="1394"/>
      <c r="X246" s="1395"/>
      <c r="Y246" s="1377"/>
      <c r="Z246" s="1377"/>
      <c r="AA246" s="1377"/>
      <c r="AB246" s="1378"/>
      <c r="AC246" s="1395"/>
      <c r="AD246" s="449"/>
      <c r="AE246" s="449"/>
      <c r="AF246" s="4717"/>
    </row>
    <row r="247" spans="1:32" ht="24" customHeight="1">
      <c r="A247" s="4564"/>
      <c r="B247" s="4623"/>
      <c r="C247" s="5585"/>
      <c r="D247" s="4630"/>
      <c r="E247" s="4630"/>
      <c r="F247" s="4630"/>
      <c r="G247" s="4630"/>
      <c r="H247" s="4630"/>
      <c r="I247" s="4630"/>
      <c r="J247" s="4630"/>
      <c r="K247" s="4630"/>
      <c r="L247" s="4630"/>
      <c r="M247" s="4630"/>
      <c r="N247" s="4630"/>
      <c r="O247" s="4630"/>
      <c r="P247" s="4630"/>
      <c r="Q247" s="4630"/>
      <c r="R247" s="5532"/>
      <c r="S247" s="1460"/>
      <c r="T247" s="1382"/>
      <c r="U247" s="1382"/>
      <c r="V247" s="450"/>
      <c r="W247" s="1383"/>
      <c r="X247" s="448"/>
      <c r="Y247" s="1384"/>
      <c r="Z247" s="1384"/>
      <c r="AA247" s="1384"/>
      <c r="AB247" s="1385"/>
      <c r="AC247" s="448"/>
      <c r="AD247" s="451"/>
      <c r="AE247" s="451"/>
      <c r="AF247" s="4718"/>
    </row>
    <row r="248" spans="1:32" ht="24" customHeight="1">
      <c r="A248" s="4564"/>
      <c r="B248" s="4623"/>
      <c r="C248" s="5715" t="s">
        <v>235</v>
      </c>
      <c r="D248" s="5566" t="s">
        <v>236</v>
      </c>
      <c r="E248" s="5566" t="s">
        <v>237</v>
      </c>
      <c r="F248" s="5566" t="s">
        <v>255</v>
      </c>
      <c r="G248" s="5567" t="s">
        <v>239</v>
      </c>
      <c r="H248" s="5566" t="s">
        <v>240</v>
      </c>
      <c r="I248" s="5566" t="s">
        <v>257</v>
      </c>
      <c r="J248" s="5566" t="s">
        <v>3503</v>
      </c>
      <c r="K248" s="5566" t="s">
        <v>707</v>
      </c>
      <c r="L248" s="5566" t="s">
        <v>3504</v>
      </c>
      <c r="M248" s="4662">
        <v>0</v>
      </c>
      <c r="N248" s="4662">
        <v>0</v>
      </c>
      <c r="O248" s="4662">
        <v>1</v>
      </c>
      <c r="P248" s="5566" t="s">
        <v>1720</v>
      </c>
      <c r="Q248" s="5566" t="s">
        <v>708</v>
      </c>
      <c r="R248" s="5681" t="s">
        <v>3505</v>
      </c>
      <c r="S248" s="1451"/>
      <c r="T248" s="2137"/>
      <c r="U248" s="2137"/>
      <c r="V248" s="2138"/>
      <c r="W248" s="2139"/>
      <c r="X248" s="1921"/>
      <c r="Y248" s="2140"/>
      <c r="Z248" s="2140"/>
      <c r="AA248" s="2140"/>
      <c r="AB248" s="2141"/>
      <c r="AC248" s="1921"/>
      <c r="AD248" s="2142"/>
      <c r="AE248" s="2142"/>
      <c r="AF248" s="5684"/>
    </row>
    <row r="249" spans="1:32" ht="24" customHeight="1">
      <c r="A249" s="4564"/>
      <c r="B249" s="4623"/>
      <c r="C249" s="5584"/>
      <c r="D249" s="4629"/>
      <c r="E249" s="4629"/>
      <c r="F249" s="4629"/>
      <c r="G249" s="4629"/>
      <c r="H249" s="4629"/>
      <c r="I249" s="4629"/>
      <c r="J249" s="4629"/>
      <c r="K249" s="4629"/>
      <c r="L249" s="4629"/>
      <c r="M249" s="4629"/>
      <c r="N249" s="4629"/>
      <c r="O249" s="4629"/>
      <c r="P249" s="4629"/>
      <c r="Q249" s="4629"/>
      <c r="R249" s="5531"/>
      <c r="S249" s="1452"/>
      <c r="T249" s="1376"/>
      <c r="U249" s="1376"/>
      <c r="V249" s="1388"/>
      <c r="W249" s="1394"/>
      <c r="X249" s="1395"/>
      <c r="Y249" s="1377"/>
      <c r="Z249" s="1377"/>
      <c r="AA249" s="1377"/>
      <c r="AB249" s="1378"/>
      <c r="AC249" s="1395"/>
      <c r="AD249" s="449"/>
      <c r="AE249" s="449"/>
      <c r="AF249" s="4717"/>
    </row>
    <row r="250" spans="1:32" ht="24" customHeight="1">
      <c r="A250" s="4564"/>
      <c r="B250" s="4623"/>
      <c r="C250" s="5584"/>
      <c r="D250" s="4629"/>
      <c r="E250" s="4629"/>
      <c r="F250" s="4629"/>
      <c r="G250" s="4629"/>
      <c r="H250" s="4629"/>
      <c r="I250" s="4629"/>
      <c r="J250" s="4629"/>
      <c r="K250" s="4629"/>
      <c r="L250" s="4629"/>
      <c r="M250" s="4629"/>
      <c r="N250" s="4629"/>
      <c r="O250" s="4629"/>
      <c r="P250" s="4629"/>
      <c r="Q250" s="4629"/>
      <c r="R250" s="5531"/>
      <c r="S250" s="1452"/>
      <c r="T250" s="1376"/>
      <c r="U250" s="1376"/>
      <c r="V250" s="1388"/>
      <c r="W250" s="1394"/>
      <c r="X250" s="1395"/>
      <c r="Y250" s="1377"/>
      <c r="Z250" s="1377"/>
      <c r="AA250" s="1377"/>
      <c r="AB250" s="1378"/>
      <c r="AC250" s="1395"/>
      <c r="AD250" s="449"/>
      <c r="AE250" s="449"/>
      <c r="AF250" s="4717"/>
    </row>
    <row r="251" spans="1:32" ht="24" customHeight="1">
      <c r="A251" s="4564"/>
      <c r="B251" s="4623"/>
      <c r="C251" s="5584"/>
      <c r="D251" s="4629"/>
      <c r="E251" s="4629"/>
      <c r="F251" s="4629"/>
      <c r="G251" s="4629"/>
      <c r="H251" s="4629"/>
      <c r="I251" s="4629"/>
      <c r="J251" s="4629"/>
      <c r="K251" s="4629"/>
      <c r="L251" s="4629"/>
      <c r="M251" s="4629"/>
      <c r="N251" s="4629"/>
      <c r="O251" s="4629"/>
      <c r="P251" s="4629"/>
      <c r="Q251" s="4629"/>
      <c r="R251" s="5531"/>
      <c r="S251" s="1452"/>
      <c r="T251" s="1376"/>
      <c r="U251" s="1376"/>
      <c r="V251" s="1388"/>
      <c r="W251" s="1394"/>
      <c r="X251" s="1395"/>
      <c r="Y251" s="1377"/>
      <c r="Z251" s="1377"/>
      <c r="AA251" s="1377"/>
      <c r="AB251" s="1378"/>
      <c r="AC251" s="1395"/>
      <c r="AD251" s="449"/>
      <c r="AE251" s="449"/>
      <c r="AF251" s="4717"/>
    </row>
    <row r="252" spans="1:32" ht="24" customHeight="1" thickBot="1">
      <c r="A252" s="4564"/>
      <c r="B252" s="4623"/>
      <c r="C252" s="5722"/>
      <c r="D252" s="5491"/>
      <c r="E252" s="5491"/>
      <c r="F252" s="5491"/>
      <c r="G252" s="5491"/>
      <c r="H252" s="5491"/>
      <c r="I252" s="5491"/>
      <c r="J252" s="5491"/>
      <c r="K252" s="5491"/>
      <c r="L252" s="5491"/>
      <c r="M252" s="5491"/>
      <c r="N252" s="5491"/>
      <c r="O252" s="5491"/>
      <c r="P252" s="5491"/>
      <c r="Q252" s="5491"/>
      <c r="R252" s="5701"/>
      <c r="S252" s="1470"/>
      <c r="T252" s="1416"/>
      <c r="U252" s="1416"/>
      <c r="V252" s="1417"/>
      <c r="W252" s="1418"/>
      <c r="X252" s="1419"/>
      <c r="Y252" s="1420"/>
      <c r="Z252" s="1420"/>
      <c r="AA252" s="1420"/>
      <c r="AB252" s="1421"/>
      <c r="AC252" s="1419"/>
      <c r="AD252" s="1422"/>
      <c r="AE252" s="1422"/>
      <c r="AF252" s="4444"/>
    </row>
    <row r="253" spans="1:32" ht="22.5" customHeight="1" thickBot="1">
      <c r="A253" s="4564"/>
      <c r="B253" s="4620"/>
      <c r="C253" s="5673"/>
      <c r="D253" s="4567"/>
      <c r="E253" s="4567"/>
      <c r="F253" s="4567"/>
      <c r="G253" s="4567"/>
      <c r="H253" s="4567"/>
      <c r="I253" s="4567"/>
      <c r="J253" s="4567"/>
      <c r="K253" s="4567"/>
      <c r="L253" s="4567"/>
      <c r="M253" s="4567"/>
      <c r="N253" s="4567"/>
      <c r="O253" s="4567"/>
      <c r="P253" s="4567"/>
      <c r="Q253" s="4567"/>
      <c r="R253" s="5674"/>
      <c r="S253" s="5707" t="s">
        <v>1721</v>
      </c>
      <c r="T253" s="5111"/>
      <c r="U253" s="5111"/>
      <c r="V253" s="5111"/>
      <c r="W253" s="5111"/>
      <c r="X253" s="5111"/>
      <c r="Y253" s="5111"/>
      <c r="Z253" s="4807"/>
      <c r="AA253" s="2147" t="s">
        <v>340</v>
      </c>
      <c r="AB253" s="2148">
        <f>SUM(AB88:AB252)</f>
        <v>1187477.6612</v>
      </c>
      <c r="AC253" s="5686"/>
      <c r="AD253" s="5111"/>
      <c r="AE253" s="5111"/>
      <c r="AF253" s="4717"/>
    </row>
    <row r="254" spans="1:32" ht="87" customHeight="1">
      <c r="A254" s="4564"/>
      <c r="B254" s="5727" t="s">
        <v>1722</v>
      </c>
      <c r="C254" s="5725" t="s">
        <v>235</v>
      </c>
      <c r="D254" s="5661" t="s">
        <v>236</v>
      </c>
      <c r="E254" s="5661" t="s">
        <v>237</v>
      </c>
      <c r="F254" s="5661" t="s">
        <v>326</v>
      </c>
      <c r="G254" s="5666" t="s">
        <v>239</v>
      </c>
      <c r="H254" s="5661" t="s">
        <v>497</v>
      </c>
      <c r="I254" s="5661" t="s">
        <v>257</v>
      </c>
      <c r="J254" s="5661" t="s">
        <v>3506</v>
      </c>
      <c r="K254" s="5661" t="s">
        <v>1723</v>
      </c>
      <c r="L254" s="5661" t="s">
        <v>2601</v>
      </c>
      <c r="M254" s="5662">
        <v>0</v>
      </c>
      <c r="N254" s="5662">
        <v>1</v>
      </c>
      <c r="O254" s="5662">
        <v>1</v>
      </c>
      <c r="P254" s="5661" t="s">
        <v>3507</v>
      </c>
      <c r="Q254" s="5661" t="s">
        <v>2055</v>
      </c>
      <c r="R254" s="5702" t="s">
        <v>3508</v>
      </c>
      <c r="S254" s="1471"/>
      <c r="T254" s="1472"/>
      <c r="U254" s="1472"/>
      <c r="V254" s="1369"/>
      <c r="W254" s="1370"/>
      <c r="X254" s="1371"/>
      <c r="Y254" s="1372"/>
      <c r="Z254" s="1372"/>
      <c r="AA254" s="1372"/>
      <c r="AB254" s="1373"/>
      <c r="AC254" s="1371"/>
      <c r="AD254" s="1374"/>
      <c r="AE254" s="1374"/>
      <c r="AF254" s="5693"/>
    </row>
    <row r="255" spans="1:32" ht="87" customHeight="1">
      <c r="A255" s="4564"/>
      <c r="B255" s="4623"/>
      <c r="C255" s="5717"/>
      <c r="D255" s="5652"/>
      <c r="E255" s="5652"/>
      <c r="F255" s="5652"/>
      <c r="G255" s="5652"/>
      <c r="H255" s="5652"/>
      <c r="I255" s="5652"/>
      <c r="J255" s="5652"/>
      <c r="K255" s="5652"/>
      <c r="L255" s="5652"/>
      <c r="M255" s="5652"/>
      <c r="N255" s="5652"/>
      <c r="O255" s="5652"/>
      <c r="P255" s="5652"/>
      <c r="Q255" s="5652"/>
      <c r="R255" s="5656"/>
      <c r="S255" s="1452"/>
      <c r="T255" s="1473"/>
      <c r="U255" s="1473"/>
      <c r="V255" s="1388"/>
      <c r="W255" s="1394"/>
      <c r="X255" s="1395"/>
      <c r="Y255" s="1377"/>
      <c r="Z255" s="1377"/>
      <c r="AA255" s="1377"/>
      <c r="AB255" s="1378"/>
      <c r="AC255" s="1395"/>
      <c r="AD255" s="449"/>
      <c r="AE255" s="449"/>
      <c r="AF255" s="4717"/>
    </row>
    <row r="256" spans="1:32" ht="87" customHeight="1">
      <c r="A256" s="4564"/>
      <c r="B256" s="4623"/>
      <c r="C256" s="5717"/>
      <c r="D256" s="5652"/>
      <c r="E256" s="5652"/>
      <c r="F256" s="5652"/>
      <c r="G256" s="5652"/>
      <c r="H256" s="5652"/>
      <c r="I256" s="5652"/>
      <c r="J256" s="5652"/>
      <c r="K256" s="5652"/>
      <c r="L256" s="5652"/>
      <c r="M256" s="5652"/>
      <c r="N256" s="5652"/>
      <c r="O256" s="5652"/>
      <c r="P256" s="5652"/>
      <c r="Q256" s="5652"/>
      <c r="R256" s="5656"/>
      <c r="S256" s="1452"/>
      <c r="T256" s="1473"/>
      <c r="U256" s="1473"/>
      <c r="V256" s="1388"/>
      <c r="W256" s="1394"/>
      <c r="X256" s="1395"/>
      <c r="Y256" s="1377"/>
      <c r="Z256" s="1377"/>
      <c r="AA256" s="1377"/>
      <c r="AB256" s="1378"/>
      <c r="AC256" s="1395"/>
      <c r="AD256" s="449"/>
      <c r="AE256" s="449"/>
      <c r="AF256" s="4717"/>
    </row>
    <row r="257" spans="1:32" ht="87" customHeight="1">
      <c r="A257" s="4564"/>
      <c r="B257" s="4623"/>
      <c r="C257" s="5717"/>
      <c r="D257" s="5652"/>
      <c r="E257" s="5652"/>
      <c r="F257" s="5652"/>
      <c r="G257" s="5652"/>
      <c r="H257" s="5652"/>
      <c r="I257" s="5652"/>
      <c r="J257" s="5652"/>
      <c r="K257" s="5652"/>
      <c r="L257" s="5652"/>
      <c r="M257" s="5652"/>
      <c r="N257" s="5652"/>
      <c r="O257" s="5652"/>
      <c r="P257" s="5652"/>
      <c r="Q257" s="5652"/>
      <c r="R257" s="5656"/>
      <c r="S257" s="1459"/>
      <c r="T257" s="1474"/>
      <c r="U257" s="1474"/>
      <c r="V257" s="1388"/>
      <c r="W257" s="1394"/>
      <c r="X257" s="1395"/>
      <c r="Y257" s="1377"/>
      <c r="Z257" s="1377"/>
      <c r="AA257" s="1377"/>
      <c r="AB257" s="1378"/>
      <c r="AC257" s="1395"/>
      <c r="AD257" s="449"/>
      <c r="AE257" s="449"/>
      <c r="AF257" s="4717"/>
    </row>
    <row r="258" spans="1:32" ht="87" customHeight="1">
      <c r="A258" s="4564"/>
      <c r="B258" s="4623"/>
      <c r="C258" s="5718"/>
      <c r="D258" s="5653"/>
      <c r="E258" s="5653"/>
      <c r="F258" s="5653"/>
      <c r="G258" s="5653"/>
      <c r="H258" s="5653"/>
      <c r="I258" s="5653"/>
      <c r="J258" s="5653"/>
      <c r="K258" s="5653"/>
      <c r="L258" s="5653"/>
      <c r="M258" s="5653"/>
      <c r="N258" s="5653"/>
      <c r="O258" s="5653"/>
      <c r="P258" s="5653"/>
      <c r="Q258" s="5653"/>
      <c r="R258" s="5657"/>
      <c r="S258" s="1453"/>
      <c r="T258" s="1475"/>
      <c r="U258" s="1475"/>
      <c r="V258" s="455"/>
      <c r="W258" s="1455"/>
      <c r="X258" s="456"/>
      <c r="Y258" s="1456"/>
      <c r="Z258" s="1456"/>
      <c r="AA258" s="1456"/>
      <c r="AB258" s="1457"/>
      <c r="AC258" s="456"/>
      <c r="AD258" s="457"/>
      <c r="AE258" s="457"/>
      <c r="AF258" s="4718"/>
    </row>
    <row r="259" spans="1:32" ht="27" customHeight="1">
      <c r="A259" s="4564"/>
      <c r="B259" s="4623"/>
      <c r="C259" s="5724" t="s">
        <v>235</v>
      </c>
      <c r="D259" s="5665" t="s">
        <v>236</v>
      </c>
      <c r="E259" s="5665" t="s">
        <v>237</v>
      </c>
      <c r="F259" s="5665" t="s">
        <v>326</v>
      </c>
      <c r="G259" s="5667" t="s">
        <v>239</v>
      </c>
      <c r="H259" s="5665" t="s">
        <v>240</v>
      </c>
      <c r="I259" s="5665" t="s">
        <v>257</v>
      </c>
      <c r="J259" s="5665" t="s">
        <v>3509</v>
      </c>
      <c r="K259" s="5665" t="s">
        <v>1728</v>
      </c>
      <c r="L259" s="5665" t="s">
        <v>3510</v>
      </c>
      <c r="M259" s="5668">
        <v>0</v>
      </c>
      <c r="N259" s="5668">
        <v>3</v>
      </c>
      <c r="O259" s="5668">
        <v>3</v>
      </c>
      <c r="P259" s="5665" t="s">
        <v>3511</v>
      </c>
      <c r="Q259" s="5665" t="s">
        <v>3512</v>
      </c>
      <c r="R259" s="5679" t="s">
        <v>3508</v>
      </c>
      <c r="S259" s="1458"/>
      <c r="T259" s="1476"/>
      <c r="U259" s="1476"/>
      <c r="V259" s="452"/>
      <c r="W259" s="1425"/>
      <c r="X259" s="453"/>
      <c r="Y259" s="1426"/>
      <c r="Z259" s="1426"/>
      <c r="AA259" s="1426"/>
      <c r="AB259" s="1427"/>
      <c r="AC259" s="453"/>
      <c r="AD259" s="454"/>
      <c r="AE259" s="454"/>
      <c r="AF259" s="5694"/>
    </row>
    <row r="260" spans="1:32" ht="27" customHeight="1">
      <c r="A260" s="4564"/>
      <c r="B260" s="4623"/>
      <c r="C260" s="5717"/>
      <c r="D260" s="5652"/>
      <c r="E260" s="5652"/>
      <c r="F260" s="5652"/>
      <c r="G260" s="5652"/>
      <c r="H260" s="5652"/>
      <c r="I260" s="5652"/>
      <c r="J260" s="5652"/>
      <c r="K260" s="5652"/>
      <c r="L260" s="5652"/>
      <c r="M260" s="5652"/>
      <c r="N260" s="5652"/>
      <c r="O260" s="5652"/>
      <c r="P260" s="5652"/>
      <c r="Q260" s="5652"/>
      <c r="R260" s="5656"/>
      <c r="S260" s="1452"/>
      <c r="T260" s="1473"/>
      <c r="U260" s="1473"/>
      <c r="V260" s="1388"/>
      <c r="W260" s="1394"/>
      <c r="X260" s="1395"/>
      <c r="Y260" s="1377"/>
      <c r="Z260" s="1377"/>
      <c r="AA260" s="1377"/>
      <c r="AB260" s="1378"/>
      <c r="AC260" s="1395"/>
      <c r="AD260" s="449"/>
      <c r="AE260" s="449"/>
      <c r="AF260" s="4717"/>
    </row>
    <row r="261" spans="1:32" ht="27" customHeight="1">
      <c r="A261" s="4564"/>
      <c r="B261" s="4623"/>
      <c r="C261" s="5717"/>
      <c r="D261" s="5652"/>
      <c r="E261" s="5652"/>
      <c r="F261" s="5652"/>
      <c r="G261" s="5652"/>
      <c r="H261" s="5652"/>
      <c r="I261" s="5652"/>
      <c r="J261" s="5652"/>
      <c r="K261" s="5652"/>
      <c r="L261" s="5652"/>
      <c r="M261" s="5652"/>
      <c r="N261" s="5652"/>
      <c r="O261" s="5652"/>
      <c r="P261" s="5652"/>
      <c r="Q261" s="5652"/>
      <c r="R261" s="5656"/>
      <c r="S261" s="1452"/>
      <c r="T261" s="1473"/>
      <c r="U261" s="1473"/>
      <c r="V261" s="1388"/>
      <c r="W261" s="1394"/>
      <c r="X261" s="1395"/>
      <c r="Y261" s="1377"/>
      <c r="Z261" s="1377"/>
      <c r="AA261" s="1377"/>
      <c r="AB261" s="1378"/>
      <c r="AC261" s="1395"/>
      <c r="AD261" s="449"/>
      <c r="AE261" s="449"/>
      <c r="AF261" s="4717"/>
    </row>
    <row r="262" spans="1:32" ht="27" customHeight="1">
      <c r="A262" s="4564"/>
      <c r="B262" s="4623"/>
      <c r="C262" s="5717"/>
      <c r="D262" s="5652"/>
      <c r="E262" s="5652"/>
      <c r="F262" s="5652"/>
      <c r="G262" s="5652"/>
      <c r="H262" s="5652"/>
      <c r="I262" s="5652"/>
      <c r="J262" s="5652"/>
      <c r="K262" s="5652"/>
      <c r="L262" s="5652"/>
      <c r="M262" s="5652"/>
      <c r="N262" s="5652"/>
      <c r="O262" s="5652"/>
      <c r="P262" s="5652"/>
      <c r="Q262" s="5652"/>
      <c r="R262" s="5656"/>
      <c r="S262" s="1459"/>
      <c r="T262" s="1474"/>
      <c r="U262" s="1474"/>
      <c r="V262" s="1388"/>
      <c r="W262" s="1394"/>
      <c r="X262" s="1395"/>
      <c r="Y262" s="1377"/>
      <c r="Z262" s="1377"/>
      <c r="AA262" s="1377"/>
      <c r="AB262" s="1378"/>
      <c r="AC262" s="1395"/>
      <c r="AD262" s="449"/>
      <c r="AE262" s="449"/>
      <c r="AF262" s="4717"/>
    </row>
    <row r="263" spans="1:32" ht="27" customHeight="1">
      <c r="A263" s="4564"/>
      <c r="B263" s="4623"/>
      <c r="C263" s="5718"/>
      <c r="D263" s="5653"/>
      <c r="E263" s="5653"/>
      <c r="F263" s="5653"/>
      <c r="G263" s="5653"/>
      <c r="H263" s="5653"/>
      <c r="I263" s="5653"/>
      <c r="J263" s="5653"/>
      <c r="K263" s="5653"/>
      <c r="L263" s="5653"/>
      <c r="M263" s="5653"/>
      <c r="N263" s="5653"/>
      <c r="O263" s="5653"/>
      <c r="P263" s="5653"/>
      <c r="Q263" s="5653"/>
      <c r="R263" s="5657"/>
      <c r="S263" s="1460"/>
      <c r="T263" s="1477"/>
      <c r="U263" s="1477"/>
      <c r="V263" s="450"/>
      <c r="W263" s="1383"/>
      <c r="X263" s="448"/>
      <c r="Y263" s="1384"/>
      <c r="Z263" s="1384"/>
      <c r="AA263" s="1384"/>
      <c r="AB263" s="1385"/>
      <c r="AC263" s="448"/>
      <c r="AD263" s="451"/>
      <c r="AE263" s="451"/>
      <c r="AF263" s="4718"/>
    </row>
    <row r="264" spans="1:32" ht="39" customHeight="1">
      <c r="A264" s="4564"/>
      <c r="B264" s="4623"/>
      <c r="C264" s="5716" t="s">
        <v>235</v>
      </c>
      <c r="D264" s="5651" t="s">
        <v>236</v>
      </c>
      <c r="E264" s="5651" t="s">
        <v>237</v>
      </c>
      <c r="F264" s="5651" t="s">
        <v>326</v>
      </c>
      <c r="G264" s="5664" t="s">
        <v>239</v>
      </c>
      <c r="H264" s="5651" t="s">
        <v>240</v>
      </c>
      <c r="I264" s="5651" t="s">
        <v>257</v>
      </c>
      <c r="J264" s="5651" t="s">
        <v>3513</v>
      </c>
      <c r="K264" s="5651" t="s">
        <v>1733</v>
      </c>
      <c r="L264" s="5651" t="s">
        <v>2064</v>
      </c>
      <c r="M264" s="5654" t="s">
        <v>889</v>
      </c>
      <c r="N264" s="5654" t="s">
        <v>889</v>
      </c>
      <c r="O264" s="5654" t="s">
        <v>889</v>
      </c>
      <c r="P264" s="5651" t="s">
        <v>3514</v>
      </c>
      <c r="Q264" s="5651" t="s">
        <v>3515</v>
      </c>
      <c r="R264" s="5659" t="s">
        <v>3516</v>
      </c>
      <c r="S264" s="1451"/>
      <c r="T264" s="2154"/>
      <c r="U264" s="2154"/>
      <c r="V264" s="2138"/>
      <c r="W264" s="2139"/>
      <c r="X264" s="1921"/>
      <c r="Y264" s="2140"/>
      <c r="Z264" s="2140"/>
      <c r="AA264" s="2140"/>
      <c r="AB264" s="2141"/>
      <c r="AC264" s="1921"/>
      <c r="AD264" s="2142"/>
      <c r="AE264" s="2142"/>
      <c r="AF264" s="5684"/>
    </row>
    <row r="265" spans="1:32" ht="39" customHeight="1">
      <c r="A265" s="4564"/>
      <c r="B265" s="4623"/>
      <c r="C265" s="5717"/>
      <c r="D265" s="5652"/>
      <c r="E265" s="5652"/>
      <c r="F265" s="5652"/>
      <c r="G265" s="5652"/>
      <c r="H265" s="5652"/>
      <c r="I265" s="5652"/>
      <c r="J265" s="5652"/>
      <c r="K265" s="5652"/>
      <c r="L265" s="5652"/>
      <c r="M265" s="5652"/>
      <c r="N265" s="5652"/>
      <c r="O265" s="5652"/>
      <c r="P265" s="5652"/>
      <c r="Q265" s="5652"/>
      <c r="R265" s="5656"/>
      <c r="S265" s="1452"/>
      <c r="T265" s="1473"/>
      <c r="U265" s="1473"/>
      <c r="V265" s="1388"/>
      <c r="W265" s="1394"/>
      <c r="X265" s="1395"/>
      <c r="Y265" s="1377"/>
      <c r="Z265" s="1377"/>
      <c r="AA265" s="1377"/>
      <c r="AB265" s="1378"/>
      <c r="AC265" s="1395"/>
      <c r="AD265" s="449"/>
      <c r="AE265" s="449"/>
      <c r="AF265" s="4717"/>
    </row>
    <row r="266" spans="1:32" ht="39" customHeight="1">
      <c r="A266" s="4564"/>
      <c r="B266" s="4623"/>
      <c r="C266" s="5717"/>
      <c r="D266" s="5652"/>
      <c r="E266" s="5652"/>
      <c r="F266" s="5652"/>
      <c r="G266" s="5652"/>
      <c r="H266" s="5652"/>
      <c r="I266" s="5652"/>
      <c r="J266" s="5652"/>
      <c r="K266" s="5652"/>
      <c r="L266" s="5652"/>
      <c r="M266" s="5652"/>
      <c r="N266" s="5652"/>
      <c r="O266" s="5652"/>
      <c r="P266" s="5652"/>
      <c r="Q266" s="5652"/>
      <c r="R266" s="5656"/>
      <c r="S266" s="1452"/>
      <c r="T266" s="1473"/>
      <c r="U266" s="1473"/>
      <c r="V266" s="1388"/>
      <c r="W266" s="1394"/>
      <c r="X266" s="1395"/>
      <c r="Y266" s="1377"/>
      <c r="Z266" s="1377"/>
      <c r="AA266" s="1377"/>
      <c r="AB266" s="1378"/>
      <c r="AC266" s="1395"/>
      <c r="AD266" s="449"/>
      <c r="AE266" s="449"/>
      <c r="AF266" s="4717"/>
    </row>
    <row r="267" spans="1:32" ht="39" customHeight="1">
      <c r="A267" s="4564"/>
      <c r="B267" s="4623"/>
      <c r="C267" s="5717"/>
      <c r="D267" s="5652"/>
      <c r="E267" s="5652"/>
      <c r="F267" s="5652"/>
      <c r="G267" s="5652"/>
      <c r="H267" s="5652"/>
      <c r="I267" s="5652"/>
      <c r="J267" s="5652"/>
      <c r="K267" s="5652"/>
      <c r="L267" s="5652"/>
      <c r="M267" s="5652"/>
      <c r="N267" s="5652"/>
      <c r="O267" s="5652"/>
      <c r="P267" s="5652"/>
      <c r="Q267" s="5652"/>
      <c r="R267" s="5656"/>
      <c r="S267" s="1459"/>
      <c r="T267" s="1474"/>
      <c r="U267" s="1474"/>
      <c r="V267" s="1388"/>
      <c r="W267" s="1394"/>
      <c r="X267" s="1395"/>
      <c r="Y267" s="1377"/>
      <c r="Z267" s="1377"/>
      <c r="AA267" s="1377"/>
      <c r="AB267" s="1378"/>
      <c r="AC267" s="1395"/>
      <c r="AD267" s="449"/>
      <c r="AE267" s="449"/>
      <c r="AF267" s="4717"/>
    </row>
    <row r="268" spans="1:32" ht="39" customHeight="1">
      <c r="A268" s="4564"/>
      <c r="B268" s="4623"/>
      <c r="C268" s="5718"/>
      <c r="D268" s="5653"/>
      <c r="E268" s="5653"/>
      <c r="F268" s="5653"/>
      <c r="G268" s="5653"/>
      <c r="H268" s="5653"/>
      <c r="I268" s="5653"/>
      <c r="J268" s="5653"/>
      <c r="K268" s="5653"/>
      <c r="L268" s="5653"/>
      <c r="M268" s="5653"/>
      <c r="N268" s="5653"/>
      <c r="O268" s="5653"/>
      <c r="P268" s="5653"/>
      <c r="Q268" s="5653"/>
      <c r="R268" s="5657"/>
      <c r="S268" s="1460"/>
      <c r="T268" s="1477"/>
      <c r="U268" s="1477"/>
      <c r="V268" s="450"/>
      <c r="W268" s="1383"/>
      <c r="X268" s="448"/>
      <c r="Y268" s="1384"/>
      <c r="Z268" s="1384"/>
      <c r="AA268" s="1384"/>
      <c r="AB268" s="1385"/>
      <c r="AC268" s="448"/>
      <c r="AD268" s="451"/>
      <c r="AE268" s="451"/>
      <c r="AF268" s="4718"/>
    </row>
    <row r="269" spans="1:32" ht="25.5" customHeight="1">
      <c r="A269" s="4564"/>
      <c r="B269" s="4623"/>
      <c r="C269" s="5716" t="s">
        <v>235</v>
      </c>
      <c r="D269" s="5651" t="s">
        <v>236</v>
      </c>
      <c r="E269" s="5651" t="s">
        <v>237</v>
      </c>
      <c r="F269" s="5651" t="s">
        <v>326</v>
      </c>
      <c r="G269" s="5664" t="s">
        <v>239</v>
      </c>
      <c r="H269" s="5651" t="s">
        <v>240</v>
      </c>
      <c r="I269" s="5651" t="s">
        <v>257</v>
      </c>
      <c r="J269" s="5651" t="s">
        <v>3517</v>
      </c>
      <c r="K269" s="5651" t="s">
        <v>1738</v>
      </c>
      <c r="L269" s="5651" t="s">
        <v>2068</v>
      </c>
      <c r="M269" s="5654" t="s">
        <v>2068</v>
      </c>
      <c r="N269" s="5654" t="s">
        <v>2068</v>
      </c>
      <c r="O269" s="5654" t="s">
        <v>2068</v>
      </c>
      <c r="P269" s="5651" t="s">
        <v>2068</v>
      </c>
      <c r="Q269" s="5651" t="s">
        <v>2068</v>
      </c>
      <c r="R269" s="5659" t="s">
        <v>2068</v>
      </c>
      <c r="S269" s="1451"/>
      <c r="T269" s="2154"/>
      <c r="U269" s="2154"/>
      <c r="V269" s="2138"/>
      <c r="W269" s="2139"/>
      <c r="X269" s="1921"/>
      <c r="Y269" s="2140"/>
      <c r="Z269" s="2140"/>
      <c r="AA269" s="2140"/>
      <c r="AB269" s="2141"/>
      <c r="AC269" s="1921"/>
      <c r="AD269" s="2142"/>
      <c r="AE269" s="2142"/>
      <c r="AF269" s="5684" t="s">
        <v>3518</v>
      </c>
    </row>
    <row r="270" spans="1:32" ht="25.5" customHeight="1">
      <c r="A270" s="4564"/>
      <c r="B270" s="4623"/>
      <c r="C270" s="5717"/>
      <c r="D270" s="5652"/>
      <c r="E270" s="5652"/>
      <c r="F270" s="5652"/>
      <c r="G270" s="5652"/>
      <c r="H270" s="5652"/>
      <c r="I270" s="5652"/>
      <c r="J270" s="5652"/>
      <c r="K270" s="5652"/>
      <c r="L270" s="5652"/>
      <c r="M270" s="5652"/>
      <c r="N270" s="5652"/>
      <c r="O270" s="5652"/>
      <c r="P270" s="5652"/>
      <c r="Q270" s="5652"/>
      <c r="R270" s="5656"/>
      <c r="S270" s="1452"/>
      <c r="T270" s="1473"/>
      <c r="U270" s="1473"/>
      <c r="V270" s="1388"/>
      <c r="W270" s="1394"/>
      <c r="X270" s="1395"/>
      <c r="Y270" s="1377"/>
      <c r="Z270" s="1377"/>
      <c r="AA270" s="1377"/>
      <c r="AB270" s="1378"/>
      <c r="AC270" s="1395"/>
      <c r="AD270" s="449"/>
      <c r="AE270" s="449"/>
      <c r="AF270" s="4717"/>
    </row>
    <row r="271" spans="1:32" ht="25.5" customHeight="1">
      <c r="A271" s="4564"/>
      <c r="B271" s="4623"/>
      <c r="C271" s="5717"/>
      <c r="D271" s="5652"/>
      <c r="E271" s="5652"/>
      <c r="F271" s="5652"/>
      <c r="G271" s="5652"/>
      <c r="H271" s="5652"/>
      <c r="I271" s="5652"/>
      <c r="J271" s="5652"/>
      <c r="K271" s="5652"/>
      <c r="L271" s="5652"/>
      <c r="M271" s="5652"/>
      <c r="N271" s="5652"/>
      <c r="O271" s="5652"/>
      <c r="P271" s="5652"/>
      <c r="Q271" s="5652"/>
      <c r="R271" s="5656"/>
      <c r="S271" s="1452"/>
      <c r="T271" s="1473"/>
      <c r="U271" s="1473"/>
      <c r="V271" s="1388"/>
      <c r="W271" s="1394"/>
      <c r="X271" s="1395"/>
      <c r="Y271" s="1377"/>
      <c r="Z271" s="1377"/>
      <c r="AA271" s="1377"/>
      <c r="AB271" s="1378"/>
      <c r="AC271" s="1395"/>
      <c r="AD271" s="449"/>
      <c r="AE271" s="449"/>
      <c r="AF271" s="4717"/>
    </row>
    <row r="272" spans="1:32" ht="25.5" customHeight="1">
      <c r="A272" s="4564"/>
      <c r="B272" s="4623"/>
      <c r="C272" s="5717"/>
      <c r="D272" s="5652"/>
      <c r="E272" s="5652"/>
      <c r="F272" s="5652"/>
      <c r="G272" s="5652"/>
      <c r="H272" s="5652"/>
      <c r="I272" s="5652"/>
      <c r="J272" s="5652"/>
      <c r="K272" s="5652"/>
      <c r="L272" s="5652"/>
      <c r="M272" s="5652"/>
      <c r="N272" s="5652"/>
      <c r="O272" s="5652"/>
      <c r="P272" s="5652"/>
      <c r="Q272" s="5652"/>
      <c r="R272" s="5656"/>
      <c r="S272" s="1459"/>
      <c r="T272" s="1474"/>
      <c r="U272" s="1474"/>
      <c r="V272" s="1388"/>
      <c r="W272" s="1394"/>
      <c r="X272" s="1395"/>
      <c r="Y272" s="1377"/>
      <c r="Z272" s="1377"/>
      <c r="AA272" s="1377"/>
      <c r="AB272" s="1378"/>
      <c r="AC272" s="1395"/>
      <c r="AD272" s="449"/>
      <c r="AE272" s="449"/>
      <c r="AF272" s="4717"/>
    </row>
    <row r="273" spans="1:32" ht="25.5" customHeight="1">
      <c r="A273" s="4564"/>
      <c r="B273" s="4623"/>
      <c r="C273" s="5718"/>
      <c r="D273" s="5653"/>
      <c r="E273" s="5653"/>
      <c r="F273" s="5653"/>
      <c r="G273" s="5653"/>
      <c r="H273" s="5653"/>
      <c r="I273" s="5653"/>
      <c r="J273" s="5653"/>
      <c r="K273" s="5653"/>
      <c r="L273" s="5653"/>
      <c r="M273" s="5653"/>
      <c r="N273" s="5653"/>
      <c r="O273" s="5653"/>
      <c r="P273" s="5653"/>
      <c r="Q273" s="5653"/>
      <c r="R273" s="5657"/>
      <c r="S273" s="1460"/>
      <c r="T273" s="1477"/>
      <c r="U273" s="1477"/>
      <c r="V273" s="450"/>
      <c r="W273" s="1383"/>
      <c r="X273" s="448"/>
      <c r="Y273" s="1384"/>
      <c r="Z273" s="1384"/>
      <c r="AA273" s="1384"/>
      <c r="AB273" s="1385"/>
      <c r="AC273" s="448"/>
      <c r="AD273" s="451"/>
      <c r="AE273" s="451"/>
      <c r="AF273" s="4718"/>
    </row>
    <row r="274" spans="1:32" ht="105" customHeight="1">
      <c r="A274" s="4564"/>
      <c r="B274" s="4623"/>
      <c r="C274" s="5716" t="s">
        <v>235</v>
      </c>
      <c r="D274" s="5651" t="s">
        <v>236</v>
      </c>
      <c r="E274" s="5651" t="s">
        <v>237</v>
      </c>
      <c r="F274" s="5651" t="s">
        <v>326</v>
      </c>
      <c r="G274" s="5664" t="s">
        <v>239</v>
      </c>
      <c r="H274" s="5651" t="s">
        <v>240</v>
      </c>
      <c r="I274" s="5651" t="s">
        <v>257</v>
      </c>
      <c r="J274" s="5651" t="s">
        <v>3519</v>
      </c>
      <c r="K274" s="5651" t="s">
        <v>1743</v>
      </c>
      <c r="L274" s="5651" t="s">
        <v>3520</v>
      </c>
      <c r="M274" s="5654">
        <v>0</v>
      </c>
      <c r="N274" s="5668">
        <v>1</v>
      </c>
      <c r="O274" s="5654">
        <v>1</v>
      </c>
      <c r="P274" s="5651" t="s">
        <v>3521</v>
      </c>
      <c r="Q274" s="5651" t="s">
        <v>3522</v>
      </c>
      <c r="R274" s="5659" t="s">
        <v>3523</v>
      </c>
      <c r="S274" s="1451"/>
      <c r="T274" s="2154"/>
      <c r="U274" s="2154"/>
      <c r="V274" s="2138"/>
      <c r="W274" s="2139"/>
      <c r="X274" s="1921"/>
      <c r="Y274" s="2140"/>
      <c r="Z274" s="2140"/>
      <c r="AA274" s="2140"/>
      <c r="AB274" s="2141"/>
      <c r="AC274" s="1921"/>
      <c r="AD274" s="2146"/>
      <c r="AE274" s="2146"/>
      <c r="AF274" s="5684" t="s">
        <v>3524</v>
      </c>
    </row>
    <row r="275" spans="1:32" ht="105" customHeight="1">
      <c r="A275" s="4564"/>
      <c r="B275" s="4623"/>
      <c r="C275" s="5717"/>
      <c r="D275" s="5652"/>
      <c r="E275" s="5652"/>
      <c r="F275" s="5652"/>
      <c r="G275" s="5652"/>
      <c r="H275" s="5652"/>
      <c r="I275" s="5652"/>
      <c r="J275" s="5652"/>
      <c r="K275" s="5652"/>
      <c r="L275" s="5652"/>
      <c r="M275" s="5652"/>
      <c r="N275" s="5652"/>
      <c r="O275" s="5652"/>
      <c r="P275" s="5652"/>
      <c r="Q275" s="5652"/>
      <c r="R275" s="5656"/>
      <c r="S275" s="1452"/>
      <c r="T275" s="1473"/>
      <c r="U275" s="1473"/>
      <c r="V275" s="1388"/>
      <c r="W275" s="1394"/>
      <c r="X275" s="1395"/>
      <c r="Y275" s="1377"/>
      <c r="Z275" s="1377"/>
      <c r="AA275" s="1377"/>
      <c r="AB275" s="1378"/>
      <c r="AC275" s="1395"/>
      <c r="AD275" s="1395"/>
      <c r="AE275" s="1396"/>
      <c r="AF275" s="4717"/>
    </row>
    <row r="276" spans="1:32" ht="105" customHeight="1">
      <c r="A276" s="4564"/>
      <c r="B276" s="4623"/>
      <c r="C276" s="5717"/>
      <c r="D276" s="5652"/>
      <c r="E276" s="5652"/>
      <c r="F276" s="5652"/>
      <c r="G276" s="5652"/>
      <c r="H276" s="5652"/>
      <c r="I276" s="5652"/>
      <c r="J276" s="5652"/>
      <c r="K276" s="5652"/>
      <c r="L276" s="5652"/>
      <c r="M276" s="5652"/>
      <c r="N276" s="5652"/>
      <c r="O276" s="5652"/>
      <c r="P276" s="5652"/>
      <c r="Q276" s="5652"/>
      <c r="R276" s="5656"/>
      <c r="S276" s="1452"/>
      <c r="T276" s="1473"/>
      <c r="U276" s="1473"/>
      <c r="V276" s="1388"/>
      <c r="W276" s="1394"/>
      <c r="X276" s="1395"/>
      <c r="Y276" s="1377"/>
      <c r="Z276" s="1377"/>
      <c r="AA276" s="1377"/>
      <c r="AB276" s="1378"/>
      <c r="AC276" s="1395"/>
      <c r="AD276" s="1395"/>
      <c r="AE276" s="449"/>
      <c r="AF276" s="4717"/>
    </row>
    <row r="277" spans="1:32" ht="105" customHeight="1">
      <c r="A277" s="4564"/>
      <c r="B277" s="4623"/>
      <c r="C277" s="5717"/>
      <c r="D277" s="5652"/>
      <c r="E277" s="5652"/>
      <c r="F277" s="5652"/>
      <c r="G277" s="5652"/>
      <c r="H277" s="5652"/>
      <c r="I277" s="5652"/>
      <c r="J277" s="5652"/>
      <c r="K277" s="5652"/>
      <c r="L277" s="5652"/>
      <c r="M277" s="5652"/>
      <c r="N277" s="5652"/>
      <c r="O277" s="5652"/>
      <c r="P277" s="5652"/>
      <c r="Q277" s="5652"/>
      <c r="R277" s="5656"/>
      <c r="S277" s="1452"/>
      <c r="T277" s="1473"/>
      <c r="U277" s="1473"/>
      <c r="V277" s="1388"/>
      <c r="W277" s="1394"/>
      <c r="X277" s="1395"/>
      <c r="Y277" s="1377"/>
      <c r="Z277" s="1377"/>
      <c r="AA277" s="1377"/>
      <c r="AB277" s="1378"/>
      <c r="AC277" s="1395"/>
      <c r="AD277" s="1395"/>
      <c r="AE277" s="449"/>
      <c r="AF277" s="4717"/>
    </row>
    <row r="278" spans="1:32" ht="105" customHeight="1">
      <c r="A278" s="4564"/>
      <c r="B278" s="4623"/>
      <c r="C278" s="5718"/>
      <c r="D278" s="5653"/>
      <c r="E278" s="5653"/>
      <c r="F278" s="5653"/>
      <c r="G278" s="5653"/>
      <c r="H278" s="5653"/>
      <c r="I278" s="5653"/>
      <c r="J278" s="5653"/>
      <c r="K278" s="5653"/>
      <c r="L278" s="5653"/>
      <c r="M278" s="5653"/>
      <c r="N278" s="5653"/>
      <c r="O278" s="5653"/>
      <c r="P278" s="5653"/>
      <c r="Q278" s="5653"/>
      <c r="R278" s="5657"/>
      <c r="S278" s="1460"/>
      <c r="T278" s="1477"/>
      <c r="U278" s="1477"/>
      <c r="V278" s="450"/>
      <c r="W278" s="1383"/>
      <c r="X278" s="448"/>
      <c r="Y278" s="1384"/>
      <c r="Z278" s="1384"/>
      <c r="AA278" s="1384"/>
      <c r="AB278" s="1385"/>
      <c r="AC278" s="448"/>
      <c r="AD278" s="448"/>
      <c r="AE278" s="451"/>
      <c r="AF278" s="4718"/>
    </row>
    <row r="279" spans="1:32" ht="189" customHeight="1">
      <c r="A279" s="4564"/>
      <c r="B279" s="4623"/>
      <c r="C279" s="5716" t="s">
        <v>235</v>
      </c>
      <c r="D279" s="5651" t="s">
        <v>236</v>
      </c>
      <c r="E279" s="5651" t="s">
        <v>237</v>
      </c>
      <c r="F279" s="5651" t="s">
        <v>326</v>
      </c>
      <c r="G279" s="5664" t="s">
        <v>239</v>
      </c>
      <c r="H279" s="5651" t="s">
        <v>240</v>
      </c>
      <c r="I279" s="5651" t="s">
        <v>257</v>
      </c>
      <c r="J279" s="5651" t="s">
        <v>3525</v>
      </c>
      <c r="K279" s="5651" t="s">
        <v>1748</v>
      </c>
      <c r="L279" s="5651" t="s">
        <v>2077</v>
      </c>
      <c r="M279" s="5654">
        <v>1</v>
      </c>
      <c r="N279" s="5668">
        <v>0</v>
      </c>
      <c r="O279" s="5654">
        <v>1</v>
      </c>
      <c r="P279" s="5651" t="s">
        <v>3526</v>
      </c>
      <c r="Q279" s="5651" t="s">
        <v>3527</v>
      </c>
      <c r="R279" s="5659" t="s">
        <v>3528</v>
      </c>
      <c r="S279" s="1451"/>
      <c r="T279" s="2154"/>
      <c r="U279" s="2154"/>
      <c r="V279" s="2138"/>
      <c r="W279" s="2139"/>
      <c r="X279" s="1921"/>
      <c r="Y279" s="2140"/>
      <c r="Z279" s="2140"/>
      <c r="AA279" s="2140"/>
      <c r="AB279" s="2141"/>
      <c r="AC279" s="1921"/>
      <c r="AD279" s="2142"/>
      <c r="AE279" s="2142"/>
      <c r="AF279" s="5684"/>
    </row>
    <row r="280" spans="1:32" ht="189" customHeight="1">
      <c r="A280" s="4564"/>
      <c r="B280" s="4623"/>
      <c r="C280" s="5717"/>
      <c r="D280" s="5652"/>
      <c r="E280" s="5652"/>
      <c r="F280" s="5652"/>
      <c r="G280" s="5652"/>
      <c r="H280" s="5652"/>
      <c r="I280" s="5652"/>
      <c r="J280" s="5652"/>
      <c r="K280" s="5652"/>
      <c r="L280" s="5652"/>
      <c r="M280" s="5652"/>
      <c r="N280" s="5652"/>
      <c r="O280" s="5652"/>
      <c r="P280" s="5652"/>
      <c r="Q280" s="5652"/>
      <c r="R280" s="5656"/>
      <c r="S280" s="1452"/>
      <c r="T280" s="1473"/>
      <c r="U280" s="1473"/>
      <c r="V280" s="1388"/>
      <c r="W280" s="1394"/>
      <c r="X280" s="1395"/>
      <c r="Y280" s="1377"/>
      <c r="Z280" s="1377"/>
      <c r="AA280" s="1377"/>
      <c r="AB280" s="1378"/>
      <c r="AC280" s="1395"/>
      <c r="AD280" s="449"/>
      <c r="AE280" s="449"/>
      <c r="AF280" s="4717"/>
    </row>
    <row r="281" spans="1:32" ht="189" customHeight="1">
      <c r="A281" s="4564"/>
      <c r="B281" s="4623"/>
      <c r="C281" s="5717"/>
      <c r="D281" s="5652"/>
      <c r="E281" s="5652"/>
      <c r="F281" s="5652"/>
      <c r="G281" s="5652"/>
      <c r="H281" s="5652"/>
      <c r="I281" s="5652"/>
      <c r="J281" s="5652"/>
      <c r="K281" s="5652"/>
      <c r="L281" s="5652"/>
      <c r="M281" s="5652"/>
      <c r="N281" s="5652"/>
      <c r="O281" s="5652"/>
      <c r="P281" s="5652"/>
      <c r="Q281" s="5652"/>
      <c r="R281" s="5656"/>
      <c r="S281" s="1452"/>
      <c r="T281" s="1473"/>
      <c r="U281" s="1473"/>
      <c r="V281" s="1388"/>
      <c r="W281" s="1394"/>
      <c r="X281" s="1395"/>
      <c r="Y281" s="1377"/>
      <c r="Z281" s="1377"/>
      <c r="AA281" s="1377"/>
      <c r="AB281" s="1378"/>
      <c r="AC281" s="1395"/>
      <c r="AD281" s="449"/>
      <c r="AE281" s="449"/>
      <c r="AF281" s="4717"/>
    </row>
    <row r="282" spans="1:32" ht="189" customHeight="1">
      <c r="A282" s="4564"/>
      <c r="B282" s="4623"/>
      <c r="C282" s="5717"/>
      <c r="D282" s="5652"/>
      <c r="E282" s="5652"/>
      <c r="F282" s="5652"/>
      <c r="G282" s="5652"/>
      <c r="H282" s="5652"/>
      <c r="I282" s="5652"/>
      <c r="J282" s="5652"/>
      <c r="K282" s="5652"/>
      <c r="L282" s="5652"/>
      <c r="M282" s="5652"/>
      <c r="N282" s="5652"/>
      <c r="O282" s="5652"/>
      <c r="P282" s="5652"/>
      <c r="Q282" s="5652"/>
      <c r="R282" s="5656"/>
      <c r="S282" s="1452"/>
      <c r="T282" s="1473"/>
      <c r="U282" s="1473"/>
      <c r="V282" s="1388"/>
      <c r="W282" s="1394"/>
      <c r="X282" s="1395"/>
      <c r="Y282" s="1377"/>
      <c r="Z282" s="1377"/>
      <c r="AA282" s="1377"/>
      <c r="AB282" s="1378"/>
      <c r="AC282" s="1395"/>
      <c r="AD282" s="449"/>
      <c r="AE282" s="449"/>
      <c r="AF282" s="4717"/>
    </row>
    <row r="283" spans="1:32" ht="189" customHeight="1">
      <c r="A283" s="4564"/>
      <c r="B283" s="4623"/>
      <c r="C283" s="5718"/>
      <c r="D283" s="5653"/>
      <c r="E283" s="5653"/>
      <c r="F283" s="5653"/>
      <c r="G283" s="5653"/>
      <c r="H283" s="5653"/>
      <c r="I283" s="5653"/>
      <c r="J283" s="5653"/>
      <c r="K283" s="5653"/>
      <c r="L283" s="5653"/>
      <c r="M283" s="5653"/>
      <c r="N283" s="5653"/>
      <c r="O283" s="5653"/>
      <c r="P283" s="5653"/>
      <c r="Q283" s="5653"/>
      <c r="R283" s="5657"/>
      <c r="S283" s="1460"/>
      <c r="T283" s="1477"/>
      <c r="U283" s="1477"/>
      <c r="V283" s="450"/>
      <c r="W283" s="1383"/>
      <c r="X283" s="448"/>
      <c r="Y283" s="1384"/>
      <c r="Z283" s="1384"/>
      <c r="AA283" s="1384"/>
      <c r="AB283" s="1385"/>
      <c r="AC283" s="448"/>
      <c r="AD283" s="451"/>
      <c r="AE283" s="451"/>
      <c r="AF283" s="4718"/>
    </row>
    <row r="284" spans="1:32" ht="42" customHeight="1">
      <c r="A284" s="4564"/>
      <c r="B284" s="4623"/>
      <c r="C284" s="5716" t="s">
        <v>235</v>
      </c>
      <c r="D284" s="5651" t="s">
        <v>236</v>
      </c>
      <c r="E284" s="5651" t="s">
        <v>237</v>
      </c>
      <c r="F284" s="5651" t="s">
        <v>326</v>
      </c>
      <c r="G284" s="5664" t="s">
        <v>239</v>
      </c>
      <c r="H284" s="5651" t="s">
        <v>240</v>
      </c>
      <c r="I284" s="5651" t="s">
        <v>257</v>
      </c>
      <c r="J284" s="5651" t="s">
        <v>3529</v>
      </c>
      <c r="K284" s="5651" t="s">
        <v>1753</v>
      </c>
      <c r="L284" s="5651" t="s">
        <v>3530</v>
      </c>
      <c r="M284" s="5654" t="s">
        <v>901</v>
      </c>
      <c r="N284" s="5654" t="s">
        <v>3531</v>
      </c>
      <c r="O284" s="5654" t="s">
        <v>901</v>
      </c>
      <c r="P284" s="5651" t="s">
        <v>3532</v>
      </c>
      <c r="Q284" s="5651" t="s">
        <v>3533</v>
      </c>
      <c r="R284" s="5659" t="s">
        <v>3534</v>
      </c>
      <c r="S284" s="1451"/>
      <c r="T284" s="2154"/>
      <c r="U284" s="2154"/>
      <c r="V284" s="2138"/>
      <c r="W284" s="2139"/>
      <c r="X284" s="1921"/>
      <c r="Y284" s="2140"/>
      <c r="Z284" s="2140"/>
      <c r="AA284" s="2140"/>
      <c r="AB284" s="2141"/>
      <c r="AC284" s="1921"/>
      <c r="AD284" s="2142"/>
      <c r="AE284" s="2142"/>
      <c r="AF284" s="5684"/>
    </row>
    <row r="285" spans="1:32" ht="42" customHeight="1">
      <c r="A285" s="4564"/>
      <c r="B285" s="4623"/>
      <c r="C285" s="5717"/>
      <c r="D285" s="5652"/>
      <c r="E285" s="5652"/>
      <c r="F285" s="5652"/>
      <c r="G285" s="5652"/>
      <c r="H285" s="5652"/>
      <c r="I285" s="5652"/>
      <c r="J285" s="5652"/>
      <c r="K285" s="5652"/>
      <c r="L285" s="5652"/>
      <c r="M285" s="5652"/>
      <c r="N285" s="5652"/>
      <c r="O285" s="5652"/>
      <c r="P285" s="5652"/>
      <c r="Q285" s="5652"/>
      <c r="R285" s="5656"/>
      <c r="S285" s="1452"/>
      <c r="T285" s="1473"/>
      <c r="U285" s="1473"/>
      <c r="V285" s="1388"/>
      <c r="W285" s="1394"/>
      <c r="X285" s="1395"/>
      <c r="Y285" s="1377"/>
      <c r="Z285" s="1377"/>
      <c r="AA285" s="1377"/>
      <c r="AB285" s="1378"/>
      <c r="AC285" s="1395"/>
      <c r="AD285" s="449"/>
      <c r="AE285" s="449"/>
      <c r="AF285" s="4717"/>
    </row>
    <row r="286" spans="1:32" ht="42" customHeight="1">
      <c r="A286" s="4564"/>
      <c r="B286" s="4623"/>
      <c r="C286" s="5717"/>
      <c r="D286" s="5652"/>
      <c r="E286" s="5652"/>
      <c r="F286" s="5652"/>
      <c r="G286" s="5652"/>
      <c r="H286" s="5652"/>
      <c r="I286" s="5652"/>
      <c r="J286" s="5652"/>
      <c r="K286" s="5652"/>
      <c r="L286" s="5652"/>
      <c r="M286" s="5652"/>
      <c r="N286" s="5652"/>
      <c r="O286" s="5652"/>
      <c r="P286" s="5652"/>
      <c r="Q286" s="5652"/>
      <c r="R286" s="5656"/>
      <c r="S286" s="1452"/>
      <c r="T286" s="1473"/>
      <c r="U286" s="1473"/>
      <c r="V286" s="1388"/>
      <c r="W286" s="1394"/>
      <c r="X286" s="1395"/>
      <c r="Y286" s="1377"/>
      <c r="Z286" s="1377"/>
      <c r="AA286" s="1377"/>
      <c r="AB286" s="1378"/>
      <c r="AC286" s="1395"/>
      <c r="AD286" s="449"/>
      <c r="AE286" s="449"/>
      <c r="AF286" s="4717"/>
    </row>
    <row r="287" spans="1:32" ht="42" customHeight="1">
      <c r="A287" s="4564"/>
      <c r="B287" s="4623"/>
      <c r="C287" s="5717"/>
      <c r="D287" s="5652"/>
      <c r="E287" s="5652"/>
      <c r="F287" s="5652"/>
      <c r="G287" s="5652"/>
      <c r="H287" s="5652"/>
      <c r="I287" s="5652"/>
      <c r="J287" s="5652"/>
      <c r="K287" s="5652"/>
      <c r="L287" s="5652"/>
      <c r="M287" s="5652"/>
      <c r="N287" s="5652"/>
      <c r="O287" s="5652"/>
      <c r="P287" s="5652"/>
      <c r="Q287" s="5652"/>
      <c r="R287" s="5656"/>
      <c r="S287" s="1459"/>
      <c r="T287" s="1474"/>
      <c r="U287" s="1474"/>
      <c r="V287" s="1388"/>
      <c r="W287" s="1394"/>
      <c r="X287" s="1395"/>
      <c r="Y287" s="1377"/>
      <c r="Z287" s="1377"/>
      <c r="AA287" s="1377"/>
      <c r="AB287" s="1378"/>
      <c r="AC287" s="1395"/>
      <c r="AD287" s="449"/>
      <c r="AE287" s="449"/>
      <c r="AF287" s="4717"/>
    </row>
    <row r="288" spans="1:32" ht="42" customHeight="1">
      <c r="A288" s="4564"/>
      <c r="B288" s="4623"/>
      <c r="C288" s="5718"/>
      <c r="D288" s="5653"/>
      <c r="E288" s="5653"/>
      <c r="F288" s="5653"/>
      <c r="G288" s="5653"/>
      <c r="H288" s="5653"/>
      <c r="I288" s="5653"/>
      <c r="J288" s="5653"/>
      <c r="K288" s="5653"/>
      <c r="L288" s="5653"/>
      <c r="M288" s="5653"/>
      <c r="N288" s="5653"/>
      <c r="O288" s="5653"/>
      <c r="P288" s="5653"/>
      <c r="Q288" s="5653"/>
      <c r="R288" s="5657"/>
      <c r="S288" s="1460"/>
      <c r="T288" s="1477"/>
      <c r="U288" s="1477"/>
      <c r="V288" s="450"/>
      <c r="W288" s="1383"/>
      <c r="X288" s="448"/>
      <c r="Y288" s="1384"/>
      <c r="Z288" s="1384"/>
      <c r="AA288" s="1384"/>
      <c r="AB288" s="1385"/>
      <c r="AC288" s="448"/>
      <c r="AD288" s="451"/>
      <c r="AE288" s="451"/>
      <c r="AF288" s="4718"/>
    </row>
    <row r="289" spans="1:32" ht="64.5" customHeight="1">
      <c r="A289" s="4564"/>
      <c r="B289" s="4623"/>
      <c r="C289" s="5716" t="s">
        <v>235</v>
      </c>
      <c r="D289" s="5651" t="s">
        <v>236</v>
      </c>
      <c r="E289" s="5651" t="s">
        <v>237</v>
      </c>
      <c r="F289" s="5651" t="s">
        <v>326</v>
      </c>
      <c r="G289" s="5664" t="s">
        <v>239</v>
      </c>
      <c r="H289" s="5651" t="s">
        <v>240</v>
      </c>
      <c r="I289" s="5651" t="s">
        <v>257</v>
      </c>
      <c r="J289" s="5651" t="s">
        <v>3535</v>
      </c>
      <c r="K289" s="5651" t="s">
        <v>1758</v>
      </c>
      <c r="L289" s="5651" t="s">
        <v>3536</v>
      </c>
      <c r="M289" s="5654">
        <v>40</v>
      </c>
      <c r="N289" s="5654">
        <v>0</v>
      </c>
      <c r="O289" s="5654">
        <v>40</v>
      </c>
      <c r="P289" s="5651" t="s">
        <v>3537</v>
      </c>
      <c r="Q289" s="5651" t="s">
        <v>3538</v>
      </c>
      <c r="R289" s="5659" t="s">
        <v>3539</v>
      </c>
      <c r="S289" s="1451"/>
      <c r="T289" s="2154"/>
      <c r="U289" s="2154"/>
      <c r="V289" s="2138"/>
      <c r="W289" s="2139"/>
      <c r="X289" s="1921"/>
      <c r="Y289" s="2140"/>
      <c r="Z289" s="2140"/>
      <c r="AA289" s="2140"/>
      <c r="AB289" s="2141"/>
      <c r="AC289" s="1921"/>
      <c r="AD289" s="2146"/>
      <c r="AE289" s="2146"/>
      <c r="AF289" s="5684"/>
    </row>
    <row r="290" spans="1:32" ht="64.5" customHeight="1">
      <c r="A290" s="4564"/>
      <c r="B290" s="4623"/>
      <c r="C290" s="5717"/>
      <c r="D290" s="5652"/>
      <c r="E290" s="5652"/>
      <c r="F290" s="5652"/>
      <c r="G290" s="5652"/>
      <c r="H290" s="5652"/>
      <c r="I290" s="5652"/>
      <c r="J290" s="5652"/>
      <c r="K290" s="5652"/>
      <c r="L290" s="5652"/>
      <c r="M290" s="5652"/>
      <c r="N290" s="5652"/>
      <c r="O290" s="5652"/>
      <c r="P290" s="5652"/>
      <c r="Q290" s="5652"/>
      <c r="R290" s="5656"/>
      <c r="S290" s="1452"/>
      <c r="T290" s="1473"/>
      <c r="U290" s="1473"/>
      <c r="V290" s="1388"/>
      <c r="W290" s="1394"/>
      <c r="X290" s="1395"/>
      <c r="Y290" s="1377"/>
      <c r="Z290" s="1377"/>
      <c r="AA290" s="1377"/>
      <c r="AB290" s="1378"/>
      <c r="AC290" s="1395"/>
      <c r="AD290" s="1395"/>
      <c r="AE290" s="1396"/>
      <c r="AF290" s="4717"/>
    </row>
    <row r="291" spans="1:32" ht="64.5" customHeight="1">
      <c r="A291" s="4564"/>
      <c r="B291" s="4623"/>
      <c r="C291" s="5717"/>
      <c r="D291" s="5652"/>
      <c r="E291" s="5652"/>
      <c r="F291" s="5652"/>
      <c r="G291" s="5652"/>
      <c r="H291" s="5652"/>
      <c r="I291" s="5652"/>
      <c r="J291" s="5652"/>
      <c r="K291" s="5652"/>
      <c r="L291" s="5652"/>
      <c r="M291" s="5652"/>
      <c r="N291" s="5652"/>
      <c r="O291" s="5652"/>
      <c r="P291" s="5652"/>
      <c r="Q291" s="5652"/>
      <c r="R291" s="5656"/>
      <c r="S291" s="1452"/>
      <c r="T291" s="1473"/>
      <c r="U291" s="1473"/>
      <c r="V291" s="1388"/>
      <c r="W291" s="1394"/>
      <c r="X291" s="1395"/>
      <c r="Y291" s="1377"/>
      <c r="Z291" s="1377"/>
      <c r="AA291" s="1377"/>
      <c r="AB291" s="1378"/>
      <c r="AC291" s="1395"/>
      <c r="AD291" s="1395"/>
      <c r="AE291" s="449"/>
      <c r="AF291" s="4717"/>
    </row>
    <row r="292" spans="1:32" ht="64.5" customHeight="1">
      <c r="A292" s="4564"/>
      <c r="B292" s="4623"/>
      <c r="C292" s="5717"/>
      <c r="D292" s="5652"/>
      <c r="E292" s="5652"/>
      <c r="F292" s="5652"/>
      <c r="G292" s="5652"/>
      <c r="H292" s="5652"/>
      <c r="I292" s="5652"/>
      <c r="J292" s="5652"/>
      <c r="K292" s="5652"/>
      <c r="L292" s="5652"/>
      <c r="M292" s="5652"/>
      <c r="N292" s="5652"/>
      <c r="O292" s="5652"/>
      <c r="P292" s="5652"/>
      <c r="Q292" s="5652"/>
      <c r="R292" s="5656"/>
      <c r="S292" s="1452"/>
      <c r="T292" s="1473"/>
      <c r="U292" s="1473"/>
      <c r="V292" s="1388"/>
      <c r="W292" s="1394"/>
      <c r="X292" s="1395"/>
      <c r="Y292" s="1377"/>
      <c r="Z292" s="1377"/>
      <c r="AA292" s="1377"/>
      <c r="AB292" s="1378"/>
      <c r="AC292" s="1395"/>
      <c r="AD292" s="1395"/>
      <c r="AE292" s="449"/>
      <c r="AF292" s="4717"/>
    </row>
    <row r="293" spans="1:32" ht="64.5" customHeight="1">
      <c r="A293" s="4564"/>
      <c r="B293" s="4623"/>
      <c r="C293" s="5718"/>
      <c r="D293" s="5653"/>
      <c r="E293" s="5653"/>
      <c r="F293" s="5653"/>
      <c r="G293" s="5653"/>
      <c r="H293" s="5653"/>
      <c r="I293" s="5653"/>
      <c r="J293" s="5653"/>
      <c r="K293" s="5653"/>
      <c r="L293" s="5653"/>
      <c r="M293" s="5653"/>
      <c r="N293" s="5653"/>
      <c r="O293" s="5653"/>
      <c r="P293" s="5653"/>
      <c r="Q293" s="5653"/>
      <c r="R293" s="5657"/>
      <c r="S293" s="1460"/>
      <c r="T293" s="1477"/>
      <c r="U293" s="1477"/>
      <c r="V293" s="450"/>
      <c r="W293" s="1383"/>
      <c r="X293" s="448"/>
      <c r="Y293" s="1384"/>
      <c r="Z293" s="1384"/>
      <c r="AA293" s="1384"/>
      <c r="AB293" s="1385"/>
      <c r="AC293" s="448"/>
      <c r="AD293" s="448"/>
      <c r="AE293" s="451"/>
      <c r="AF293" s="4718"/>
    </row>
    <row r="294" spans="1:32" ht="43.5" customHeight="1">
      <c r="A294" s="4564"/>
      <c r="B294" s="4623"/>
      <c r="C294" s="5716" t="s">
        <v>235</v>
      </c>
      <c r="D294" s="5651" t="s">
        <v>236</v>
      </c>
      <c r="E294" s="5651" t="s">
        <v>237</v>
      </c>
      <c r="F294" s="5651" t="s">
        <v>326</v>
      </c>
      <c r="G294" s="5664" t="s">
        <v>239</v>
      </c>
      <c r="H294" s="5651" t="s">
        <v>240</v>
      </c>
      <c r="I294" s="5651" t="s">
        <v>257</v>
      </c>
      <c r="J294" s="5651" t="s">
        <v>3540</v>
      </c>
      <c r="K294" s="5651" t="s">
        <v>1763</v>
      </c>
      <c r="L294" s="5651" t="s">
        <v>3541</v>
      </c>
      <c r="M294" s="5654">
        <v>1</v>
      </c>
      <c r="N294" s="5654">
        <v>1</v>
      </c>
      <c r="O294" s="5654">
        <v>1</v>
      </c>
      <c r="P294" s="5651" t="s">
        <v>3542</v>
      </c>
      <c r="Q294" s="5651" t="s">
        <v>3543</v>
      </c>
      <c r="R294" s="5659" t="s">
        <v>3528</v>
      </c>
      <c r="S294" s="1451"/>
      <c r="T294" s="2154"/>
      <c r="U294" s="2154"/>
      <c r="V294" s="2138"/>
      <c r="W294" s="2139"/>
      <c r="X294" s="1921"/>
      <c r="Y294" s="2140"/>
      <c r="Z294" s="2140"/>
      <c r="AA294" s="2140"/>
      <c r="AB294" s="2141"/>
      <c r="AC294" s="1921"/>
      <c r="AD294" s="2142"/>
      <c r="AE294" s="2142"/>
      <c r="AF294" s="5684"/>
    </row>
    <row r="295" spans="1:32" ht="43.5" customHeight="1">
      <c r="A295" s="4564"/>
      <c r="B295" s="4623"/>
      <c r="C295" s="5717"/>
      <c r="D295" s="5652"/>
      <c r="E295" s="5652"/>
      <c r="F295" s="5652"/>
      <c r="G295" s="5652"/>
      <c r="H295" s="5652"/>
      <c r="I295" s="5652"/>
      <c r="J295" s="5652"/>
      <c r="K295" s="5652"/>
      <c r="L295" s="5652"/>
      <c r="M295" s="5652"/>
      <c r="N295" s="5652"/>
      <c r="O295" s="5652"/>
      <c r="P295" s="5652"/>
      <c r="Q295" s="5652"/>
      <c r="R295" s="5656"/>
      <c r="S295" s="1452"/>
      <c r="T295" s="1473"/>
      <c r="U295" s="1473"/>
      <c r="V295" s="1388"/>
      <c r="W295" s="1394"/>
      <c r="X295" s="1395"/>
      <c r="Y295" s="1377"/>
      <c r="Z295" s="1377"/>
      <c r="AA295" s="1377"/>
      <c r="AB295" s="1378"/>
      <c r="AC295" s="1395"/>
      <c r="AD295" s="449"/>
      <c r="AE295" s="449"/>
      <c r="AF295" s="4717"/>
    </row>
    <row r="296" spans="1:32" ht="43.5" customHeight="1">
      <c r="A296" s="4564"/>
      <c r="B296" s="4623"/>
      <c r="C296" s="5717"/>
      <c r="D296" s="5652"/>
      <c r="E296" s="5652"/>
      <c r="F296" s="5652"/>
      <c r="G296" s="5652"/>
      <c r="H296" s="5652"/>
      <c r="I296" s="5652"/>
      <c r="J296" s="5652"/>
      <c r="K296" s="5652"/>
      <c r="L296" s="5652"/>
      <c r="M296" s="5652"/>
      <c r="N296" s="5652"/>
      <c r="O296" s="5652"/>
      <c r="P296" s="5652"/>
      <c r="Q296" s="5652"/>
      <c r="R296" s="5656"/>
      <c r="S296" s="1452"/>
      <c r="T296" s="1473"/>
      <c r="U296" s="1473"/>
      <c r="V296" s="1388"/>
      <c r="W296" s="1394"/>
      <c r="X296" s="1395"/>
      <c r="Y296" s="1377"/>
      <c r="Z296" s="1377"/>
      <c r="AA296" s="1377"/>
      <c r="AB296" s="1378"/>
      <c r="AC296" s="1395"/>
      <c r="AD296" s="449"/>
      <c r="AE296" s="449"/>
      <c r="AF296" s="4717"/>
    </row>
    <row r="297" spans="1:32" ht="43.5" customHeight="1">
      <c r="A297" s="4564"/>
      <c r="B297" s="4623"/>
      <c r="C297" s="5717"/>
      <c r="D297" s="5652"/>
      <c r="E297" s="5652"/>
      <c r="F297" s="5652"/>
      <c r="G297" s="5652"/>
      <c r="H297" s="5652"/>
      <c r="I297" s="5652"/>
      <c r="J297" s="5652"/>
      <c r="K297" s="5652"/>
      <c r="L297" s="5652"/>
      <c r="M297" s="5652"/>
      <c r="N297" s="5652"/>
      <c r="O297" s="5652"/>
      <c r="P297" s="5652"/>
      <c r="Q297" s="5652"/>
      <c r="R297" s="5656"/>
      <c r="S297" s="1452"/>
      <c r="T297" s="1473"/>
      <c r="U297" s="1473"/>
      <c r="V297" s="1388"/>
      <c r="W297" s="1394"/>
      <c r="X297" s="1395"/>
      <c r="Y297" s="1377"/>
      <c r="Z297" s="1377"/>
      <c r="AA297" s="1377"/>
      <c r="AB297" s="1378"/>
      <c r="AC297" s="1395"/>
      <c r="AD297" s="449"/>
      <c r="AE297" s="449"/>
      <c r="AF297" s="4717"/>
    </row>
    <row r="298" spans="1:32" ht="43.5" customHeight="1" thickBot="1">
      <c r="A298" s="4564"/>
      <c r="B298" s="4623"/>
      <c r="C298" s="5720"/>
      <c r="D298" s="5653"/>
      <c r="E298" s="5653"/>
      <c r="F298" s="5653"/>
      <c r="G298" s="5653"/>
      <c r="H298" s="5653"/>
      <c r="I298" s="5653"/>
      <c r="J298" s="5653"/>
      <c r="K298" s="5653"/>
      <c r="L298" s="5653"/>
      <c r="M298" s="5653"/>
      <c r="N298" s="5653"/>
      <c r="O298" s="5653"/>
      <c r="P298" s="5653"/>
      <c r="Q298" s="5653"/>
      <c r="R298" s="5657"/>
      <c r="S298" s="1460"/>
      <c r="T298" s="1477"/>
      <c r="U298" s="1477"/>
      <c r="V298" s="450"/>
      <c r="W298" s="1383"/>
      <c r="X298" s="448"/>
      <c r="Y298" s="1384"/>
      <c r="Z298" s="1384"/>
      <c r="AA298" s="1384"/>
      <c r="AB298" s="1385"/>
      <c r="AC298" s="448"/>
      <c r="AD298" s="451"/>
      <c r="AE298" s="451"/>
      <c r="AF298" s="4718"/>
    </row>
    <row r="299" spans="1:32" ht="36" customHeight="1">
      <c r="A299" s="4564"/>
      <c r="B299" s="4623"/>
      <c r="C299" s="5725" t="s">
        <v>235</v>
      </c>
      <c r="D299" s="5651" t="s">
        <v>236</v>
      </c>
      <c r="E299" s="5651" t="s">
        <v>237</v>
      </c>
      <c r="F299" s="5651" t="s">
        <v>326</v>
      </c>
      <c r="G299" s="5664" t="s">
        <v>239</v>
      </c>
      <c r="H299" s="5651" t="s">
        <v>240</v>
      </c>
      <c r="I299" s="5651" t="s">
        <v>257</v>
      </c>
      <c r="J299" s="5651" t="s">
        <v>3544</v>
      </c>
      <c r="K299" s="5651" t="s">
        <v>1768</v>
      </c>
      <c r="L299" s="5651" t="s">
        <v>3545</v>
      </c>
      <c r="M299" s="5654" t="s">
        <v>905</v>
      </c>
      <c r="N299" s="5654" t="s">
        <v>905</v>
      </c>
      <c r="O299" s="5654" t="s">
        <v>905</v>
      </c>
      <c r="P299" s="5680" t="s">
        <v>3546</v>
      </c>
      <c r="Q299" s="5651" t="s">
        <v>3547</v>
      </c>
      <c r="R299" s="5659" t="s">
        <v>3528</v>
      </c>
      <c r="S299" s="1451"/>
      <c r="T299" s="2154"/>
      <c r="U299" s="2154"/>
      <c r="V299" s="2138"/>
      <c r="W299" s="2139"/>
      <c r="X299" s="1921"/>
      <c r="Y299" s="2140"/>
      <c r="Z299" s="2140"/>
      <c r="AA299" s="2140"/>
      <c r="AB299" s="2141"/>
      <c r="AC299" s="1921"/>
      <c r="AD299" s="2142"/>
      <c r="AE299" s="2142"/>
      <c r="AF299" s="5684"/>
    </row>
    <row r="300" spans="1:32" ht="36" customHeight="1">
      <c r="A300" s="4564"/>
      <c r="B300" s="4623"/>
      <c r="C300" s="5717"/>
      <c r="D300" s="5652"/>
      <c r="E300" s="5652"/>
      <c r="F300" s="5652"/>
      <c r="G300" s="5652"/>
      <c r="H300" s="5652"/>
      <c r="I300" s="5652"/>
      <c r="J300" s="5652"/>
      <c r="K300" s="5652"/>
      <c r="L300" s="5652"/>
      <c r="M300" s="5652"/>
      <c r="N300" s="5652"/>
      <c r="O300" s="5652"/>
      <c r="P300" s="5652"/>
      <c r="Q300" s="5652"/>
      <c r="R300" s="5656"/>
      <c r="S300" s="1452"/>
      <c r="T300" s="1473"/>
      <c r="U300" s="1473"/>
      <c r="V300" s="1388"/>
      <c r="W300" s="1394"/>
      <c r="X300" s="1395"/>
      <c r="Y300" s="1377"/>
      <c r="Z300" s="1377"/>
      <c r="AA300" s="1377"/>
      <c r="AB300" s="1378"/>
      <c r="AC300" s="1395"/>
      <c r="AD300" s="449"/>
      <c r="AE300" s="449"/>
      <c r="AF300" s="4717"/>
    </row>
    <row r="301" spans="1:32" ht="36" customHeight="1">
      <c r="A301" s="4564"/>
      <c r="B301" s="4623"/>
      <c r="C301" s="5717"/>
      <c r="D301" s="5652"/>
      <c r="E301" s="5652"/>
      <c r="F301" s="5652"/>
      <c r="G301" s="5652"/>
      <c r="H301" s="5652"/>
      <c r="I301" s="5652"/>
      <c r="J301" s="5652"/>
      <c r="K301" s="5652"/>
      <c r="L301" s="5652"/>
      <c r="M301" s="5652"/>
      <c r="N301" s="5652"/>
      <c r="O301" s="5652"/>
      <c r="P301" s="5652"/>
      <c r="Q301" s="5652"/>
      <c r="R301" s="5656"/>
      <c r="S301" s="1452"/>
      <c r="T301" s="1473"/>
      <c r="U301" s="1473"/>
      <c r="V301" s="1388"/>
      <c r="W301" s="1394"/>
      <c r="X301" s="1395"/>
      <c r="Y301" s="1377"/>
      <c r="Z301" s="1377"/>
      <c r="AA301" s="1377"/>
      <c r="AB301" s="1378"/>
      <c r="AC301" s="1395"/>
      <c r="AD301" s="449"/>
      <c r="AE301" s="449"/>
      <c r="AF301" s="4717"/>
    </row>
    <row r="302" spans="1:32" ht="36" customHeight="1">
      <c r="A302" s="4564"/>
      <c r="B302" s="4623"/>
      <c r="C302" s="5717"/>
      <c r="D302" s="5652"/>
      <c r="E302" s="5652"/>
      <c r="F302" s="5652"/>
      <c r="G302" s="5652"/>
      <c r="H302" s="5652"/>
      <c r="I302" s="5652"/>
      <c r="J302" s="5652"/>
      <c r="K302" s="5652"/>
      <c r="L302" s="5652"/>
      <c r="M302" s="5652"/>
      <c r="N302" s="5652"/>
      <c r="O302" s="5652"/>
      <c r="P302" s="5652"/>
      <c r="Q302" s="5652"/>
      <c r="R302" s="5656"/>
      <c r="S302" s="1459"/>
      <c r="T302" s="1474"/>
      <c r="U302" s="1474"/>
      <c r="V302" s="1388"/>
      <c r="W302" s="1394"/>
      <c r="X302" s="1395"/>
      <c r="Y302" s="1377"/>
      <c r="Z302" s="1377"/>
      <c r="AA302" s="1377"/>
      <c r="AB302" s="1378"/>
      <c r="AC302" s="1395"/>
      <c r="AD302" s="449"/>
      <c r="AE302" s="449"/>
      <c r="AF302" s="4717"/>
    </row>
    <row r="303" spans="1:32" ht="36" customHeight="1">
      <c r="A303" s="4564"/>
      <c r="B303" s="4623"/>
      <c r="C303" s="5718"/>
      <c r="D303" s="5653"/>
      <c r="E303" s="5653"/>
      <c r="F303" s="5653"/>
      <c r="G303" s="5653"/>
      <c r="H303" s="5653"/>
      <c r="I303" s="5653"/>
      <c r="J303" s="5653"/>
      <c r="K303" s="5653"/>
      <c r="L303" s="5653"/>
      <c r="M303" s="5653"/>
      <c r="N303" s="5653"/>
      <c r="O303" s="5653"/>
      <c r="P303" s="5653"/>
      <c r="Q303" s="5653"/>
      <c r="R303" s="5657"/>
      <c r="S303" s="1460"/>
      <c r="T303" s="1477"/>
      <c r="U303" s="1477"/>
      <c r="V303" s="450"/>
      <c r="W303" s="1383"/>
      <c r="X303" s="448"/>
      <c r="Y303" s="1384"/>
      <c r="Z303" s="1384"/>
      <c r="AA303" s="1384"/>
      <c r="AB303" s="1385"/>
      <c r="AC303" s="448"/>
      <c r="AD303" s="451"/>
      <c r="AE303" s="451"/>
      <c r="AF303" s="4718"/>
    </row>
    <row r="304" spans="1:32" ht="24" customHeight="1">
      <c r="A304" s="4564"/>
      <c r="B304" s="4623"/>
      <c r="C304" s="5716" t="s">
        <v>235</v>
      </c>
      <c r="D304" s="5651" t="s">
        <v>236</v>
      </c>
      <c r="E304" s="5651" t="s">
        <v>244</v>
      </c>
      <c r="F304" s="5651" t="s">
        <v>292</v>
      </c>
      <c r="G304" s="5664" t="s">
        <v>239</v>
      </c>
      <c r="H304" s="5651" t="s">
        <v>240</v>
      </c>
      <c r="I304" s="5651" t="s">
        <v>257</v>
      </c>
      <c r="J304" s="5651" t="s">
        <v>3548</v>
      </c>
      <c r="K304" s="5651" t="s">
        <v>338</v>
      </c>
      <c r="L304" s="5651" t="s">
        <v>3549</v>
      </c>
      <c r="M304" s="5654">
        <v>0</v>
      </c>
      <c r="N304" s="5654">
        <v>1</v>
      </c>
      <c r="O304" s="5654">
        <v>1</v>
      </c>
      <c r="P304" s="5651" t="s">
        <v>3550</v>
      </c>
      <c r="Q304" s="5651" t="s">
        <v>3365</v>
      </c>
      <c r="R304" s="5659" t="s">
        <v>3528</v>
      </c>
      <c r="S304" s="1451"/>
      <c r="T304" s="2154"/>
      <c r="U304" s="2154"/>
      <c r="V304" s="2138"/>
      <c r="W304" s="2139"/>
      <c r="X304" s="1921"/>
      <c r="Y304" s="2140"/>
      <c r="Z304" s="2140"/>
      <c r="AA304" s="2140"/>
      <c r="AB304" s="2141"/>
      <c r="AC304" s="1921"/>
      <c r="AD304" s="2146"/>
      <c r="AE304" s="2146"/>
      <c r="AF304" s="5684"/>
    </row>
    <row r="305" spans="1:32" ht="24" customHeight="1">
      <c r="A305" s="4564"/>
      <c r="B305" s="4623"/>
      <c r="C305" s="5717"/>
      <c r="D305" s="5652"/>
      <c r="E305" s="5652"/>
      <c r="F305" s="5652"/>
      <c r="G305" s="5652"/>
      <c r="H305" s="5652"/>
      <c r="I305" s="5652"/>
      <c r="J305" s="5652"/>
      <c r="K305" s="5652"/>
      <c r="L305" s="5652"/>
      <c r="M305" s="5652"/>
      <c r="N305" s="5652"/>
      <c r="O305" s="5652"/>
      <c r="P305" s="5652"/>
      <c r="Q305" s="5652"/>
      <c r="R305" s="5656"/>
      <c r="S305" s="1452"/>
      <c r="T305" s="1473"/>
      <c r="U305" s="1473"/>
      <c r="V305" s="1388"/>
      <c r="W305" s="1394"/>
      <c r="X305" s="1395"/>
      <c r="Y305" s="1377"/>
      <c r="Z305" s="1377"/>
      <c r="AA305" s="1377"/>
      <c r="AB305" s="1378"/>
      <c r="AC305" s="1395"/>
      <c r="AD305" s="1395"/>
      <c r="AE305" s="1396"/>
      <c r="AF305" s="4717"/>
    </row>
    <row r="306" spans="1:32" ht="24" customHeight="1">
      <c r="A306" s="4564"/>
      <c r="B306" s="4623"/>
      <c r="C306" s="5717"/>
      <c r="D306" s="5652"/>
      <c r="E306" s="5652"/>
      <c r="F306" s="5652"/>
      <c r="G306" s="5652"/>
      <c r="H306" s="5652"/>
      <c r="I306" s="5652"/>
      <c r="J306" s="5652"/>
      <c r="K306" s="5652"/>
      <c r="L306" s="5652"/>
      <c r="M306" s="5652"/>
      <c r="N306" s="5652"/>
      <c r="O306" s="5652"/>
      <c r="P306" s="5652"/>
      <c r="Q306" s="5652"/>
      <c r="R306" s="5656"/>
      <c r="S306" s="1452"/>
      <c r="T306" s="1473"/>
      <c r="U306" s="1473"/>
      <c r="V306" s="1388"/>
      <c r="W306" s="1394"/>
      <c r="X306" s="1395"/>
      <c r="Y306" s="1377"/>
      <c r="Z306" s="1377"/>
      <c r="AA306" s="1377"/>
      <c r="AB306" s="1378"/>
      <c r="AC306" s="1395"/>
      <c r="AD306" s="1395"/>
      <c r="AE306" s="449"/>
      <c r="AF306" s="4717"/>
    </row>
    <row r="307" spans="1:32" ht="24" customHeight="1">
      <c r="A307" s="4564"/>
      <c r="B307" s="4623"/>
      <c r="C307" s="5717"/>
      <c r="D307" s="5652"/>
      <c r="E307" s="5652"/>
      <c r="F307" s="5652"/>
      <c r="G307" s="5652"/>
      <c r="H307" s="5652"/>
      <c r="I307" s="5652"/>
      <c r="J307" s="5652"/>
      <c r="K307" s="5652"/>
      <c r="L307" s="5652"/>
      <c r="M307" s="5652"/>
      <c r="N307" s="5652"/>
      <c r="O307" s="5652"/>
      <c r="P307" s="5652"/>
      <c r="Q307" s="5652"/>
      <c r="R307" s="5656"/>
      <c r="S307" s="1452"/>
      <c r="T307" s="1473"/>
      <c r="U307" s="1473"/>
      <c r="V307" s="1388"/>
      <c r="W307" s="1394"/>
      <c r="X307" s="1395"/>
      <c r="Y307" s="1377"/>
      <c r="Z307" s="1377"/>
      <c r="AA307" s="1377"/>
      <c r="AB307" s="1378"/>
      <c r="AC307" s="1395"/>
      <c r="AD307" s="1395"/>
      <c r="AE307" s="449"/>
      <c r="AF307" s="4717"/>
    </row>
    <row r="308" spans="1:32" ht="24" customHeight="1">
      <c r="A308" s="4564"/>
      <c r="B308" s="4623"/>
      <c r="C308" s="5718"/>
      <c r="D308" s="5653"/>
      <c r="E308" s="5653"/>
      <c r="F308" s="5653"/>
      <c r="G308" s="5653"/>
      <c r="H308" s="5653"/>
      <c r="I308" s="5653"/>
      <c r="J308" s="5653"/>
      <c r="K308" s="5653"/>
      <c r="L308" s="5653"/>
      <c r="M308" s="5653"/>
      <c r="N308" s="5653"/>
      <c r="O308" s="5653"/>
      <c r="P308" s="5653"/>
      <c r="Q308" s="5653"/>
      <c r="R308" s="5657"/>
      <c r="S308" s="1460"/>
      <c r="T308" s="1477"/>
      <c r="U308" s="1477"/>
      <c r="V308" s="450"/>
      <c r="W308" s="1383"/>
      <c r="X308" s="448"/>
      <c r="Y308" s="1384"/>
      <c r="Z308" s="1384"/>
      <c r="AA308" s="1384"/>
      <c r="AB308" s="1385"/>
      <c r="AC308" s="448"/>
      <c r="AD308" s="448"/>
      <c r="AE308" s="451"/>
      <c r="AF308" s="4718"/>
    </row>
    <row r="309" spans="1:32" ht="39" customHeight="1">
      <c r="A309" s="4564"/>
      <c r="B309" s="4623"/>
      <c r="C309" s="5716" t="s">
        <v>235</v>
      </c>
      <c r="D309" s="5651" t="s">
        <v>236</v>
      </c>
      <c r="E309" s="5651" t="s">
        <v>237</v>
      </c>
      <c r="F309" s="5651" t="s">
        <v>326</v>
      </c>
      <c r="G309" s="5664" t="s">
        <v>239</v>
      </c>
      <c r="H309" s="5651" t="s">
        <v>240</v>
      </c>
      <c r="I309" s="5651" t="s">
        <v>257</v>
      </c>
      <c r="J309" s="5651" t="s">
        <v>3551</v>
      </c>
      <c r="K309" s="5651" t="s">
        <v>707</v>
      </c>
      <c r="L309" s="5651" t="s">
        <v>3552</v>
      </c>
      <c r="M309" s="5654">
        <v>3</v>
      </c>
      <c r="N309" s="5654">
        <v>3</v>
      </c>
      <c r="O309" s="5654">
        <v>3</v>
      </c>
      <c r="P309" s="5651" t="s">
        <v>3553</v>
      </c>
      <c r="Q309" s="5651" t="s">
        <v>3554</v>
      </c>
      <c r="R309" s="5659" t="s">
        <v>3528</v>
      </c>
      <c r="S309" s="1451"/>
      <c r="T309" s="2154"/>
      <c r="U309" s="2154"/>
      <c r="V309" s="2138"/>
      <c r="W309" s="2139"/>
      <c r="X309" s="1921"/>
      <c r="Y309" s="2140"/>
      <c r="Z309" s="2140"/>
      <c r="AA309" s="2140"/>
      <c r="AB309" s="2141"/>
      <c r="AC309" s="1921"/>
      <c r="AD309" s="2142"/>
      <c r="AE309" s="2142"/>
      <c r="AF309" s="5684"/>
    </row>
    <row r="310" spans="1:32" ht="39" customHeight="1">
      <c r="A310" s="4564"/>
      <c r="B310" s="4623"/>
      <c r="C310" s="5717"/>
      <c r="D310" s="5652"/>
      <c r="E310" s="5652"/>
      <c r="F310" s="5652"/>
      <c r="G310" s="5652"/>
      <c r="H310" s="5652"/>
      <c r="I310" s="5652"/>
      <c r="J310" s="5652"/>
      <c r="K310" s="5652"/>
      <c r="L310" s="5652"/>
      <c r="M310" s="5652"/>
      <c r="N310" s="5652"/>
      <c r="O310" s="5652"/>
      <c r="P310" s="5652"/>
      <c r="Q310" s="5652"/>
      <c r="R310" s="5656"/>
      <c r="S310" s="1452"/>
      <c r="T310" s="1473"/>
      <c r="U310" s="1473"/>
      <c r="V310" s="1388"/>
      <c r="W310" s="1394"/>
      <c r="X310" s="1395"/>
      <c r="Y310" s="1377"/>
      <c r="Z310" s="1377"/>
      <c r="AA310" s="1377"/>
      <c r="AB310" s="1378"/>
      <c r="AC310" s="1395"/>
      <c r="AD310" s="449"/>
      <c r="AE310" s="449"/>
      <c r="AF310" s="4717"/>
    </row>
    <row r="311" spans="1:32" ht="39" customHeight="1">
      <c r="A311" s="4564"/>
      <c r="B311" s="4623"/>
      <c r="C311" s="5717"/>
      <c r="D311" s="5652"/>
      <c r="E311" s="5652"/>
      <c r="F311" s="5652"/>
      <c r="G311" s="5652"/>
      <c r="H311" s="5652"/>
      <c r="I311" s="5652"/>
      <c r="J311" s="5652"/>
      <c r="K311" s="5652"/>
      <c r="L311" s="5652"/>
      <c r="M311" s="5652"/>
      <c r="N311" s="5652"/>
      <c r="O311" s="5652"/>
      <c r="P311" s="5652"/>
      <c r="Q311" s="5652"/>
      <c r="R311" s="5656"/>
      <c r="S311" s="1452"/>
      <c r="T311" s="1473"/>
      <c r="U311" s="1473"/>
      <c r="V311" s="1388"/>
      <c r="W311" s="1394"/>
      <c r="X311" s="1395"/>
      <c r="Y311" s="1377"/>
      <c r="Z311" s="1377"/>
      <c r="AA311" s="1377"/>
      <c r="AB311" s="1378"/>
      <c r="AC311" s="1395"/>
      <c r="AD311" s="449"/>
      <c r="AE311" s="449"/>
      <c r="AF311" s="4717"/>
    </row>
    <row r="312" spans="1:32" ht="39" customHeight="1">
      <c r="A312" s="4564"/>
      <c r="B312" s="4623"/>
      <c r="C312" s="5717"/>
      <c r="D312" s="5652"/>
      <c r="E312" s="5652"/>
      <c r="F312" s="5652"/>
      <c r="G312" s="5652"/>
      <c r="H312" s="5652"/>
      <c r="I312" s="5652"/>
      <c r="J312" s="5652"/>
      <c r="K312" s="5652"/>
      <c r="L312" s="5652"/>
      <c r="M312" s="5652"/>
      <c r="N312" s="5652"/>
      <c r="O312" s="5652"/>
      <c r="P312" s="5652"/>
      <c r="Q312" s="5652"/>
      <c r="R312" s="5656"/>
      <c r="S312" s="1452"/>
      <c r="T312" s="1473"/>
      <c r="U312" s="1473"/>
      <c r="V312" s="1388"/>
      <c r="W312" s="1394"/>
      <c r="X312" s="1395"/>
      <c r="Y312" s="1377"/>
      <c r="Z312" s="1377"/>
      <c r="AA312" s="1377"/>
      <c r="AB312" s="1378"/>
      <c r="AC312" s="1395"/>
      <c r="AD312" s="449"/>
      <c r="AE312" s="449"/>
      <c r="AF312" s="4717"/>
    </row>
    <row r="313" spans="1:32" ht="39" customHeight="1" thickBot="1">
      <c r="A313" s="4564"/>
      <c r="B313" s="4623"/>
      <c r="C313" s="5720"/>
      <c r="D313" s="5658"/>
      <c r="E313" s="5658"/>
      <c r="F313" s="5658"/>
      <c r="G313" s="5658"/>
      <c r="H313" s="5658"/>
      <c r="I313" s="5658"/>
      <c r="J313" s="5658"/>
      <c r="K313" s="5658"/>
      <c r="L313" s="5658"/>
      <c r="M313" s="5658"/>
      <c r="N313" s="5658"/>
      <c r="O313" s="5658"/>
      <c r="P313" s="5658"/>
      <c r="Q313" s="5658"/>
      <c r="R313" s="5660"/>
      <c r="S313" s="1470"/>
      <c r="T313" s="1478"/>
      <c r="U313" s="1478"/>
      <c r="V313" s="1417"/>
      <c r="W313" s="1418"/>
      <c r="X313" s="1419"/>
      <c r="Y313" s="1420"/>
      <c r="Z313" s="1420"/>
      <c r="AA313" s="1420"/>
      <c r="AB313" s="1421"/>
      <c r="AC313" s="1419"/>
      <c r="AD313" s="1422"/>
      <c r="AE313" s="1422"/>
      <c r="AF313" s="4444"/>
    </row>
    <row r="314" spans="1:32" ht="25.5" customHeight="1" thickBot="1">
      <c r="A314" s="4564"/>
      <c r="B314" s="4620"/>
      <c r="C314" s="5673"/>
      <c r="D314" s="4567"/>
      <c r="E314" s="4567"/>
      <c r="F314" s="4567"/>
      <c r="G314" s="4567"/>
      <c r="H314" s="4567"/>
      <c r="I314" s="4567"/>
      <c r="J314" s="4567"/>
      <c r="K314" s="4567"/>
      <c r="L314" s="4567"/>
      <c r="M314" s="4567"/>
      <c r="N314" s="4567"/>
      <c r="O314" s="4567"/>
      <c r="P314" s="4567"/>
      <c r="Q314" s="4567"/>
      <c r="R314" s="5674"/>
      <c r="S314" s="5707" t="s">
        <v>1779</v>
      </c>
      <c r="T314" s="5111"/>
      <c r="U314" s="5111"/>
      <c r="V314" s="5111"/>
      <c r="W314" s="5111"/>
      <c r="X314" s="5111"/>
      <c r="Y314" s="5111"/>
      <c r="Z314" s="5708"/>
      <c r="AA314" s="2147" t="s">
        <v>340</v>
      </c>
      <c r="AB314" s="2148">
        <f>SUM(AB254:AB313)</f>
        <v>0</v>
      </c>
      <c r="AC314" s="5686"/>
      <c r="AD314" s="5111"/>
      <c r="AE314" s="5111"/>
      <c r="AF314" s="4717"/>
    </row>
    <row r="315" spans="1:32" ht="28.5" customHeight="1">
      <c r="A315" s="4564"/>
      <c r="B315" s="5727" t="s">
        <v>1780</v>
      </c>
      <c r="C315" s="5725" t="s">
        <v>235</v>
      </c>
      <c r="D315" s="5661" t="s">
        <v>236</v>
      </c>
      <c r="E315" s="5661" t="s">
        <v>237</v>
      </c>
      <c r="F315" s="5661" t="s">
        <v>326</v>
      </c>
      <c r="G315" s="5666" t="s">
        <v>239</v>
      </c>
      <c r="H315" s="5661" t="s">
        <v>240</v>
      </c>
      <c r="I315" s="5661" t="s">
        <v>257</v>
      </c>
      <c r="J315" s="5661" t="s">
        <v>3555</v>
      </c>
      <c r="K315" s="5661" t="s">
        <v>1781</v>
      </c>
      <c r="L315" s="5661" t="s">
        <v>3556</v>
      </c>
      <c r="M315" s="5662">
        <v>200</v>
      </c>
      <c r="N315" s="5662">
        <v>200</v>
      </c>
      <c r="O315" s="5662">
        <v>200</v>
      </c>
      <c r="P315" s="5661" t="s">
        <v>3557</v>
      </c>
      <c r="Q315" s="5661" t="s">
        <v>3558</v>
      </c>
      <c r="R315" s="5663" t="s">
        <v>3559</v>
      </c>
      <c r="S315" s="1471"/>
      <c r="T315" s="1472"/>
      <c r="U315" s="1472"/>
      <c r="V315" s="1369"/>
      <c r="W315" s="1370"/>
      <c r="X315" s="1371"/>
      <c r="Y315" s="1372"/>
      <c r="Z315" s="1372"/>
      <c r="AA315" s="1372"/>
      <c r="AB315" s="1373"/>
      <c r="AC315" s="1371"/>
      <c r="AD315" s="1374"/>
      <c r="AE315" s="1374"/>
      <c r="AF315" s="5687"/>
    </row>
    <row r="316" spans="1:32" ht="28.5" customHeight="1">
      <c r="A316" s="4564"/>
      <c r="B316" s="4623"/>
      <c r="C316" s="5717"/>
      <c r="D316" s="5652"/>
      <c r="E316" s="5652"/>
      <c r="F316" s="5652"/>
      <c r="G316" s="5652"/>
      <c r="H316" s="5652"/>
      <c r="I316" s="5652"/>
      <c r="J316" s="5652"/>
      <c r="K316" s="5652"/>
      <c r="L316" s="5652"/>
      <c r="M316" s="5652"/>
      <c r="N316" s="5652"/>
      <c r="O316" s="5652"/>
      <c r="P316" s="5652"/>
      <c r="Q316" s="5652"/>
      <c r="R316" s="5656"/>
      <c r="S316" s="1452"/>
      <c r="T316" s="1473"/>
      <c r="U316" s="1473"/>
      <c r="V316" s="1388"/>
      <c r="W316" s="1394"/>
      <c r="X316" s="1395"/>
      <c r="Y316" s="1377"/>
      <c r="Z316" s="1377"/>
      <c r="AA316" s="1377"/>
      <c r="AB316" s="1378"/>
      <c r="AC316" s="1395"/>
      <c r="AD316" s="449"/>
      <c r="AE316" s="449"/>
      <c r="AF316" s="5688"/>
    </row>
    <row r="317" spans="1:32" ht="28.5" customHeight="1">
      <c r="A317" s="4564"/>
      <c r="B317" s="4623"/>
      <c r="C317" s="5717"/>
      <c r="D317" s="5652"/>
      <c r="E317" s="5652"/>
      <c r="F317" s="5652"/>
      <c r="G317" s="5652"/>
      <c r="H317" s="5652"/>
      <c r="I317" s="5652"/>
      <c r="J317" s="5652"/>
      <c r="K317" s="5652"/>
      <c r="L317" s="5652"/>
      <c r="M317" s="5652"/>
      <c r="N317" s="5652"/>
      <c r="O317" s="5652"/>
      <c r="P317" s="5652"/>
      <c r="Q317" s="5652"/>
      <c r="R317" s="5656"/>
      <c r="S317" s="1452"/>
      <c r="T317" s="1473"/>
      <c r="U317" s="1473"/>
      <c r="V317" s="1388"/>
      <c r="W317" s="1394"/>
      <c r="X317" s="1395"/>
      <c r="Y317" s="1377"/>
      <c r="Z317" s="1377"/>
      <c r="AA317" s="1377"/>
      <c r="AB317" s="1378"/>
      <c r="AC317" s="1395"/>
      <c r="AD317" s="449"/>
      <c r="AE317" s="449"/>
      <c r="AF317" s="5688"/>
    </row>
    <row r="318" spans="1:32" ht="28.5" customHeight="1">
      <c r="A318" s="4564"/>
      <c r="B318" s="4623"/>
      <c r="C318" s="5717"/>
      <c r="D318" s="5652"/>
      <c r="E318" s="5652"/>
      <c r="F318" s="5652"/>
      <c r="G318" s="5652"/>
      <c r="H318" s="5652"/>
      <c r="I318" s="5652"/>
      <c r="J318" s="5652"/>
      <c r="K318" s="5652"/>
      <c r="L318" s="5652"/>
      <c r="M318" s="5652"/>
      <c r="N318" s="5652"/>
      <c r="O318" s="5652"/>
      <c r="P318" s="5652"/>
      <c r="Q318" s="5652"/>
      <c r="R318" s="5656"/>
      <c r="S318" s="1459"/>
      <c r="T318" s="1474"/>
      <c r="U318" s="1474"/>
      <c r="V318" s="1388"/>
      <c r="W318" s="1394"/>
      <c r="X318" s="1395"/>
      <c r="Y318" s="1377"/>
      <c r="Z318" s="1377"/>
      <c r="AA318" s="1377"/>
      <c r="AB318" s="1378"/>
      <c r="AC318" s="1395"/>
      <c r="AD318" s="449"/>
      <c r="AE318" s="449"/>
      <c r="AF318" s="5688"/>
    </row>
    <row r="319" spans="1:32" ht="28.5" customHeight="1">
      <c r="A319" s="4564"/>
      <c r="B319" s="4623"/>
      <c r="C319" s="5718"/>
      <c r="D319" s="5653"/>
      <c r="E319" s="5653"/>
      <c r="F319" s="5653"/>
      <c r="G319" s="5653"/>
      <c r="H319" s="5653"/>
      <c r="I319" s="5653"/>
      <c r="J319" s="5653"/>
      <c r="K319" s="5653"/>
      <c r="L319" s="5653"/>
      <c r="M319" s="5653"/>
      <c r="N319" s="5653"/>
      <c r="O319" s="5653"/>
      <c r="P319" s="5653"/>
      <c r="Q319" s="5653"/>
      <c r="R319" s="5657"/>
      <c r="S319" s="1460"/>
      <c r="T319" s="1477"/>
      <c r="U319" s="1477"/>
      <c r="V319" s="450"/>
      <c r="W319" s="1383"/>
      <c r="X319" s="448"/>
      <c r="Y319" s="1384"/>
      <c r="Z319" s="1384"/>
      <c r="AA319" s="1384"/>
      <c r="AB319" s="1385"/>
      <c r="AC319" s="448"/>
      <c r="AD319" s="451"/>
      <c r="AE319" s="451"/>
      <c r="AF319" s="5689"/>
    </row>
    <row r="320" spans="1:32" ht="22.5" customHeight="1">
      <c r="A320" s="4564"/>
      <c r="B320" s="4623"/>
      <c r="C320" s="5716" t="s">
        <v>235</v>
      </c>
      <c r="D320" s="5651" t="s">
        <v>236</v>
      </c>
      <c r="E320" s="5651" t="s">
        <v>237</v>
      </c>
      <c r="F320" s="5651" t="s">
        <v>326</v>
      </c>
      <c r="G320" s="5664" t="s">
        <v>239</v>
      </c>
      <c r="H320" s="5651" t="s">
        <v>240</v>
      </c>
      <c r="I320" s="5651" t="s">
        <v>257</v>
      </c>
      <c r="J320" s="5651" t="s">
        <v>3560</v>
      </c>
      <c r="K320" s="5651" t="s">
        <v>1786</v>
      </c>
      <c r="L320" s="5651" t="s">
        <v>3561</v>
      </c>
      <c r="M320" s="5669">
        <v>280</v>
      </c>
      <c r="N320" s="5669">
        <v>280</v>
      </c>
      <c r="O320" s="5669">
        <v>290</v>
      </c>
      <c r="P320" s="5651" t="s">
        <v>3562</v>
      </c>
      <c r="Q320" s="5651" t="s">
        <v>2656</v>
      </c>
      <c r="R320" s="5659" t="s">
        <v>3563</v>
      </c>
      <c r="S320" s="1451"/>
      <c r="T320" s="2154"/>
      <c r="U320" s="2154"/>
      <c r="V320" s="2138"/>
      <c r="W320" s="2139"/>
      <c r="X320" s="1921"/>
      <c r="Y320" s="2140"/>
      <c r="Z320" s="2140"/>
      <c r="AA320" s="2140"/>
      <c r="AB320" s="2141"/>
      <c r="AC320" s="1921"/>
      <c r="AD320" s="2142"/>
      <c r="AE320" s="2142"/>
      <c r="AF320" s="5690"/>
    </row>
    <row r="321" spans="1:32" ht="22.5" customHeight="1">
      <c r="A321" s="4564"/>
      <c r="B321" s="4623"/>
      <c r="C321" s="5717"/>
      <c r="D321" s="5652"/>
      <c r="E321" s="5652"/>
      <c r="F321" s="5652"/>
      <c r="G321" s="5652"/>
      <c r="H321" s="5652"/>
      <c r="I321" s="5652"/>
      <c r="J321" s="5652"/>
      <c r="K321" s="5652"/>
      <c r="L321" s="5652"/>
      <c r="M321" s="5652"/>
      <c r="N321" s="5652"/>
      <c r="O321" s="5652"/>
      <c r="P321" s="5652"/>
      <c r="Q321" s="5652"/>
      <c r="R321" s="5656"/>
      <c r="S321" s="1452"/>
      <c r="T321" s="1473"/>
      <c r="U321" s="1473"/>
      <c r="V321" s="1388"/>
      <c r="W321" s="1394"/>
      <c r="X321" s="1395"/>
      <c r="Y321" s="1377"/>
      <c r="Z321" s="1377"/>
      <c r="AA321" s="1377"/>
      <c r="AB321" s="1378"/>
      <c r="AC321" s="1395"/>
      <c r="AD321" s="449"/>
      <c r="AE321" s="449"/>
      <c r="AF321" s="5688"/>
    </row>
    <row r="322" spans="1:32" ht="22.5" customHeight="1">
      <c r="A322" s="4564"/>
      <c r="B322" s="4623"/>
      <c r="C322" s="5717"/>
      <c r="D322" s="5652"/>
      <c r="E322" s="5652"/>
      <c r="F322" s="5652"/>
      <c r="G322" s="5652"/>
      <c r="H322" s="5652"/>
      <c r="I322" s="5652"/>
      <c r="J322" s="5652"/>
      <c r="K322" s="5652"/>
      <c r="L322" s="5652"/>
      <c r="M322" s="5652"/>
      <c r="N322" s="5652"/>
      <c r="O322" s="5652"/>
      <c r="P322" s="5652"/>
      <c r="Q322" s="5652"/>
      <c r="R322" s="5656"/>
      <c r="S322" s="1452"/>
      <c r="T322" s="1473"/>
      <c r="U322" s="1473"/>
      <c r="V322" s="1388"/>
      <c r="W322" s="1394"/>
      <c r="X322" s="1395"/>
      <c r="Y322" s="1377"/>
      <c r="Z322" s="1377"/>
      <c r="AA322" s="1377"/>
      <c r="AB322" s="1378"/>
      <c r="AC322" s="1395"/>
      <c r="AD322" s="449"/>
      <c r="AE322" s="449"/>
      <c r="AF322" s="5688"/>
    </row>
    <row r="323" spans="1:32" ht="22.5" customHeight="1">
      <c r="A323" s="4564"/>
      <c r="B323" s="4623"/>
      <c r="C323" s="5717"/>
      <c r="D323" s="5652"/>
      <c r="E323" s="5652"/>
      <c r="F323" s="5652"/>
      <c r="G323" s="5652"/>
      <c r="H323" s="5652"/>
      <c r="I323" s="5652"/>
      <c r="J323" s="5652"/>
      <c r="K323" s="5652"/>
      <c r="L323" s="5652"/>
      <c r="M323" s="5652"/>
      <c r="N323" s="5652"/>
      <c r="O323" s="5652"/>
      <c r="P323" s="5652"/>
      <c r="Q323" s="5652"/>
      <c r="R323" s="5656"/>
      <c r="S323" s="1459"/>
      <c r="T323" s="1474"/>
      <c r="U323" s="1474"/>
      <c r="V323" s="1388"/>
      <c r="W323" s="1394"/>
      <c r="X323" s="1395"/>
      <c r="Y323" s="1377"/>
      <c r="Z323" s="1377"/>
      <c r="AA323" s="1377"/>
      <c r="AB323" s="1378"/>
      <c r="AC323" s="1395"/>
      <c r="AD323" s="449"/>
      <c r="AE323" s="449"/>
      <c r="AF323" s="5688"/>
    </row>
    <row r="324" spans="1:32" ht="22.5" customHeight="1">
      <c r="A324" s="4564"/>
      <c r="B324" s="4623"/>
      <c r="C324" s="5718"/>
      <c r="D324" s="5653"/>
      <c r="E324" s="5653"/>
      <c r="F324" s="5653"/>
      <c r="G324" s="5653"/>
      <c r="H324" s="5653"/>
      <c r="I324" s="5653"/>
      <c r="J324" s="5653"/>
      <c r="K324" s="5653"/>
      <c r="L324" s="5653"/>
      <c r="M324" s="5653"/>
      <c r="N324" s="5653"/>
      <c r="O324" s="5653"/>
      <c r="P324" s="5653"/>
      <c r="Q324" s="5653"/>
      <c r="R324" s="5657"/>
      <c r="S324" s="1460"/>
      <c r="T324" s="1477"/>
      <c r="U324" s="1477"/>
      <c r="V324" s="450"/>
      <c r="W324" s="1383"/>
      <c r="X324" s="448"/>
      <c r="Y324" s="1384"/>
      <c r="Z324" s="1384"/>
      <c r="AA324" s="1384"/>
      <c r="AB324" s="1385"/>
      <c r="AC324" s="448"/>
      <c r="AD324" s="451"/>
      <c r="AE324" s="451"/>
      <c r="AF324" s="5689"/>
    </row>
    <row r="325" spans="1:32" ht="24" customHeight="1">
      <c r="A325" s="4564"/>
      <c r="B325" s="4623"/>
      <c r="C325" s="5716" t="s">
        <v>235</v>
      </c>
      <c r="D325" s="5651" t="s">
        <v>236</v>
      </c>
      <c r="E325" s="5651" t="s">
        <v>237</v>
      </c>
      <c r="F325" s="5651" t="s">
        <v>326</v>
      </c>
      <c r="G325" s="5664" t="s">
        <v>239</v>
      </c>
      <c r="H325" s="5651" t="s">
        <v>240</v>
      </c>
      <c r="I325" s="5651" t="s">
        <v>257</v>
      </c>
      <c r="J325" s="5651" t="s">
        <v>3564</v>
      </c>
      <c r="K325" s="5651" t="s">
        <v>1791</v>
      </c>
      <c r="L325" s="5671" t="s">
        <v>3565</v>
      </c>
      <c r="M325" s="5669">
        <v>300</v>
      </c>
      <c r="N325" s="5675">
        <v>300</v>
      </c>
      <c r="O325" s="5669">
        <v>300</v>
      </c>
      <c r="P325" s="5651" t="s">
        <v>3566</v>
      </c>
      <c r="Q325" s="5651" t="s">
        <v>2661</v>
      </c>
      <c r="R325" s="5659" t="s">
        <v>3563</v>
      </c>
      <c r="S325" s="1451"/>
      <c r="T325" s="2154"/>
      <c r="U325" s="2154"/>
      <c r="V325" s="2138"/>
      <c r="W325" s="2139"/>
      <c r="X325" s="1921"/>
      <c r="Y325" s="2140"/>
      <c r="Z325" s="2140"/>
      <c r="AA325" s="2140"/>
      <c r="AB325" s="2141"/>
      <c r="AC325" s="1921"/>
      <c r="AD325" s="2142"/>
      <c r="AE325" s="2142"/>
      <c r="AF325" s="5690"/>
    </row>
    <row r="326" spans="1:32" ht="24" customHeight="1">
      <c r="A326" s="4564"/>
      <c r="B326" s="4623"/>
      <c r="C326" s="5717"/>
      <c r="D326" s="5652"/>
      <c r="E326" s="5652"/>
      <c r="F326" s="5652"/>
      <c r="G326" s="5652"/>
      <c r="H326" s="5652"/>
      <c r="I326" s="5652"/>
      <c r="J326" s="5652"/>
      <c r="K326" s="5652"/>
      <c r="L326" s="5652"/>
      <c r="M326" s="5652"/>
      <c r="N326" s="5652"/>
      <c r="O326" s="5652"/>
      <c r="P326" s="5652"/>
      <c r="Q326" s="5652"/>
      <c r="R326" s="5656"/>
      <c r="S326" s="1452"/>
      <c r="T326" s="1473"/>
      <c r="U326" s="1473"/>
      <c r="V326" s="1388"/>
      <c r="W326" s="1394"/>
      <c r="X326" s="1395"/>
      <c r="Y326" s="1377"/>
      <c r="Z326" s="1377"/>
      <c r="AA326" s="1377"/>
      <c r="AB326" s="1378"/>
      <c r="AC326" s="1395"/>
      <c r="AD326" s="449"/>
      <c r="AE326" s="449"/>
      <c r="AF326" s="5688"/>
    </row>
    <row r="327" spans="1:32" ht="24" customHeight="1">
      <c r="A327" s="4564"/>
      <c r="B327" s="4623"/>
      <c r="C327" s="5717"/>
      <c r="D327" s="5652"/>
      <c r="E327" s="5652"/>
      <c r="F327" s="5652"/>
      <c r="G327" s="5652"/>
      <c r="H327" s="5652"/>
      <c r="I327" s="5652"/>
      <c r="J327" s="5652"/>
      <c r="K327" s="5652"/>
      <c r="L327" s="5652"/>
      <c r="M327" s="5652"/>
      <c r="N327" s="5652"/>
      <c r="O327" s="5652"/>
      <c r="P327" s="5652"/>
      <c r="Q327" s="5652"/>
      <c r="R327" s="5656"/>
      <c r="S327" s="1452"/>
      <c r="T327" s="1473"/>
      <c r="U327" s="1473"/>
      <c r="V327" s="1388"/>
      <c r="W327" s="1394"/>
      <c r="X327" s="1395"/>
      <c r="Y327" s="1377"/>
      <c r="Z327" s="1377"/>
      <c r="AA327" s="1377"/>
      <c r="AB327" s="1378"/>
      <c r="AC327" s="1395"/>
      <c r="AD327" s="449"/>
      <c r="AE327" s="449"/>
      <c r="AF327" s="5688"/>
    </row>
    <row r="328" spans="1:32" ht="24" customHeight="1">
      <c r="A328" s="4564"/>
      <c r="B328" s="4623"/>
      <c r="C328" s="5717"/>
      <c r="D328" s="5652"/>
      <c r="E328" s="5652"/>
      <c r="F328" s="5652"/>
      <c r="G328" s="5652"/>
      <c r="H328" s="5652"/>
      <c r="I328" s="5652"/>
      <c r="J328" s="5652"/>
      <c r="K328" s="5652"/>
      <c r="L328" s="5652"/>
      <c r="M328" s="5652"/>
      <c r="N328" s="5652"/>
      <c r="O328" s="5652"/>
      <c r="P328" s="5652"/>
      <c r="Q328" s="5652"/>
      <c r="R328" s="5656"/>
      <c r="S328" s="1459"/>
      <c r="T328" s="1474"/>
      <c r="U328" s="1474"/>
      <c r="V328" s="1388"/>
      <c r="W328" s="1394"/>
      <c r="X328" s="1395"/>
      <c r="Y328" s="1377"/>
      <c r="Z328" s="1377"/>
      <c r="AA328" s="1377"/>
      <c r="AB328" s="1378"/>
      <c r="AC328" s="1395"/>
      <c r="AD328" s="449"/>
      <c r="AE328" s="449"/>
      <c r="AF328" s="5688"/>
    </row>
    <row r="329" spans="1:32" ht="24" customHeight="1">
      <c r="A329" s="4564"/>
      <c r="B329" s="4623"/>
      <c r="C329" s="5718"/>
      <c r="D329" s="5653"/>
      <c r="E329" s="5653"/>
      <c r="F329" s="5653"/>
      <c r="G329" s="5653"/>
      <c r="H329" s="5653"/>
      <c r="I329" s="5653"/>
      <c r="J329" s="5653"/>
      <c r="K329" s="5653"/>
      <c r="L329" s="5653"/>
      <c r="M329" s="5653"/>
      <c r="N329" s="5653"/>
      <c r="O329" s="5653"/>
      <c r="P329" s="5653"/>
      <c r="Q329" s="5653"/>
      <c r="R329" s="5657"/>
      <c r="S329" s="1453"/>
      <c r="T329" s="1475"/>
      <c r="U329" s="1475"/>
      <c r="V329" s="455"/>
      <c r="W329" s="1455"/>
      <c r="X329" s="456"/>
      <c r="Y329" s="1456"/>
      <c r="Z329" s="1456"/>
      <c r="AA329" s="1456"/>
      <c r="AB329" s="1457"/>
      <c r="AC329" s="456"/>
      <c r="AD329" s="457"/>
      <c r="AE329" s="457"/>
      <c r="AF329" s="5691"/>
    </row>
    <row r="330" spans="1:32" ht="22.5" customHeight="1">
      <c r="A330" s="4564"/>
      <c r="B330" s="4623"/>
      <c r="C330" s="5724" t="s">
        <v>235</v>
      </c>
      <c r="D330" s="5665" t="s">
        <v>236</v>
      </c>
      <c r="E330" s="5665" t="s">
        <v>237</v>
      </c>
      <c r="F330" s="5665" t="s">
        <v>326</v>
      </c>
      <c r="G330" s="5667" t="s">
        <v>239</v>
      </c>
      <c r="H330" s="5665" t="s">
        <v>240</v>
      </c>
      <c r="I330" s="5665" t="s">
        <v>257</v>
      </c>
      <c r="J330" s="5665" t="s">
        <v>3567</v>
      </c>
      <c r="K330" s="5665" t="s">
        <v>1796</v>
      </c>
      <c r="L330" s="5665" t="s">
        <v>3568</v>
      </c>
      <c r="M330" s="5668">
        <v>2</v>
      </c>
      <c r="N330" s="5668">
        <v>2</v>
      </c>
      <c r="O330" s="5668">
        <v>2</v>
      </c>
      <c r="P330" s="5665" t="s">
        <v>3569</v>
      </c>
      <c r="Q330" s="5665" t="s">
        <v>3570</v>
      </c>
      <c r="R330" s="5670" t="s">
        <v>3571</v>
      </c>
      <c r="S330" s="1458"/>
      <c r="T330" s="1476"/>
      <c r="U330" s="1476"/>
      <c r="V330" s="452"/>
      <c r="W330" s="1425"/>
      <c r="X330" s="453"/>
      <c r="Y330" s="1426"/>
      <c r="Z330" s="1426"/>
      <c r="AA330" s="1426"/>
      <c r="AB330" s="1427"/>
      <c r="AC330" s="453"/>
      <c r="AD330" s="454"/>
      <c r="AE330" s="454"/>
      <c r="AF330" s="5692"/>
    </row>
    <row r="331" spans="1:32" ht="22.5" customHeight="1">
      <c r="A331" s="4564"/>
      <c r="B331" s="4623"/>
      <c r="C331" s="5717"/>
      <c r="D331" s="5652"/>
      <c r="E331" s="5652"/>
      <c r="F331" s="5652"/>
      <c r="G331" s="5652"/>
      <c r="H331" s="5652"/>
      <c r="I331" s="5652"/>
      <c r="J331" s="5652"/>
      <c r="K331" s="5652"/>
      <c r="L331" s="5652"/>
      <c r="M331" s="5652"/>
      <c r="N331" s="5652"/>
      <c r="O331" s="5652"/>
      <c r="P331" s="5652"/>
      <c r="Q331" s="5652"/>
      <c r="R331" s="5656"/>
      <c r="S331" s="1452"/>
      <c r="T331" s="1473"/>
      <c r="U331" s="1473"/>
      <c r="V331" s="1388"/>
      <c r="W331" s="1394"/>
      <c r="X331" s="1395"/>
      <c r="Y331" s="1377"/>
      <c r="Z331" s="1377"/>
      <c r="AA331" s="1377"/>
      <c r="AB331" s="1378"/>
      <c r="AC331" s="1395"/>
      <c r="AD331" s="449"/>
      <c r="AE331" s="449"/>
      <c r="AF331" s="5688"/>
    </row>
    <row r="332" spans="1:32" ht="22.5" customHeight="1">
      <c r="A332" s="4564"/>
      <c r="B332" s="4623"/>
      <c r="C332" s="5717"/>
      <c r="D332" s="5652"/>
      <c r="E332" s="5652"/>
      <c r="F332" s="5652"/>
      <c r="G332" s="5652"/>
      <c r="H332" s="5652"/>
      <c r="I332" s="5652"/>
      <c r="J332" s="5652"/>
      <c r="K332" s="5652"/>
      <c r="L332" s="5652"/>
      <c r="M332" s="5652"/>
      <c r="N332" s="5652"/>
      <c r="O332" s="5652"/>
      <c r="P332" s="5652"/>
      <c r="Q332" s="5652"/>
      <c r="R332" s="5656"/>
      <c r="S332" s="1452"/>
      <c r="T332" s="1473"/>
      <c r="U332" s="1473"/>
      <c r="V332" s="1388"/>
      <c r="W332" s="1394"/>
      <c r="X332" s="1395"/>
      <c r="Y332" s="1377"/>
      <c r="Z332" s="1377"/>
      <c r="AA332" s="1377"/>
      <c r="AB332" s="1378"/>
      <c r="AC332" s="1395"/>
      <c r="AD332" s="449"/>
      <c r="AE332" s="449"/>
      <c r="AF332" s="5688"/>
    </row>
    <row r="333" spans="1:32" ht="22.5" customHeight="1">
      <c r="A333" s="4564"/>
      <c r="B333" s="4623"/>
      <c r="C333" s="5717"/>
      <c r="D333" s="5652"/>
      <c r="E333" s="5652"/>
      <c r="F333" s="5652"/>
      <c r="G333" s="5652"/>
      <c r="H333" s="5652"/>
      <c r="I333" s="5652"/>
      <c r="J333" s="5652"/>
      <c r="K333" s="5652"/>
      <c r="L333" s="5652"/>
      <c r="M333" s="5652"/>
      <c r="N333" s="5652"/>
      <c r="O333" s="5652"/>
      <c r="P333" s="5652"/>
      <c r="Q333" s="5652"/>
      <c r="R333" s="5656"/>
      <c r="S333" s="1459"/>
      <c r="T333" s="1474"/>
      <c r="U333" s="1474"/>
      <c r="V333" s="1388"/>
      <c r="W333" s="1394"/>
      <c r="X333" s="1395"/>
      <c r="Y333" s="1377"/>
      <c r="Z333" s="1377"/>
      <c r="AA333" s="1377"/>
      <c r="AB333" s="1378"/>
      <c r="AC333" s="1395"/>
      <c r="AD333" s="449"/>
      <c r="AE333" s="449"/>
      <c r="AF333" s="5688"/>
    </row>
    <row r="334" spans="1:32" ht="22.5" customHeight="1">
      <c r="A334" s="4564"/>
      <c r="B334" s="4623"/>
      <c r="C334" s="5718"/>
      <c r="D334" s="5653"/>
      <c r="E334" s="5653"/>
      <c r="F334" s="5653"/>
      <c r="G334" s="5653"/>
      <c r="H334" s="5653"/>
      <c r="I334" s="5653"/>
      <c r="J334" s="5653"/>
      <c r="K334" s="5653"/>
      <c r="L334" s="5653"/>
      <c r="M334" s="5653"/>
      <c r="N334" s="5653"/>
      <c r="O334" s="5653"/>
      <c r="P334" s="5653"/>
      <c r="Q334" s="5653"/>
      <c r="R334" s="5657"/>
      <c r="S334" s="1460"/>
      <c r="T334" s="1477"/>
      <c r="U334" s="1477"/>
      <c r="V334" s="450"/>
      <c r="W334" s="1383"/>
      <c r="X334" s="448"/>
      <c r="Y334" s="1384"/>
      <c r="Z334" s="1384"/>
      <c r="AA334" s="1384"/>
      <c r="AB334" s="1385"/>
      <c r="AC334" s="448"/>
      <c r="AD334" s="451"/>
      <c r="AE334" s="451"/>
      <c r="AF334" s="5689"/>
    </row>
    <row r="335" spans="1:32" ht="22.5" customHeight="1">
      <c r="A335" s="4564"/>
      <c r="B335" s="4623"/>
      <c r="C335" s="5716" t="s">
        <v>235</v>
      </c>
      <c r="D335" s="5651" t="s">
        <v>236</v>
      </c>
      <c r="E335" s="5651" t="s">
        <v>237</v>
      </c>
      <c r="F335" s="5651" t="s">
        <v>326</v>
      </c>
      <c r="G335" s="5664" t="s">
        <v>239</v>
      </c>
      <c r="H335" s="5651" t="s">
        <v>240</v>
      </c>
      <c r="I335" s="5651" t="s">
        <v>257</v>
      </c>
      <c r="J335" s="5651" t="s">
        <v>3572</v>
      </c>
      <c r="K335" s="5651" t="s">
        <v>1801</v>
      </c>
      <c r="L335" s="5671" t="s">
        <v>3573</v>
      </c>
      <c r="M335" s="5654">
        <v>3</v>
      </c>
      <c r="N335" s="5654">
        <v>3</v>
      </c>
      <c r="O335" s="5654">
        <v>4</v>
      </c>
      <c r="P335" s="5651" t="s">
        <v>3574</v>
      </c>
      <c r="Q335" s="5651" t="s">
        <v>3575</v>
      </c>
      <c r="R335" s="5659" t="s">
        <v>3571</v>
      </c>
      <c r="S335" s="1451"/>
      <c r="T335" s="2154"/>
      <c r="U335" s="2154"/>
      <c r="V335" s="2138"/>
      <c r="W335" s="2139"/>
      <c r="X335" s="1921"/>
      <c r="Y335" s="2140"/>
      <c r="Z335" s="2140"/>
      <c r="AA335" s="2140"/>
      <c r="AB335" s="2141"/>
      <c r="AC335" s="1921"/>
      <c r="AD335" s="2146"/>
      <c r="AE335" s="2146"/>
      <c r="AF335" s="5690"/>
    </row>
    <row r="336" spans="1:32" ht="22.5" customHeight="1">
      <c r="A336" s="4564"/>
      <c r="B336" s="4623"/>
      <c r="C336" s="5717"/>
      <c r="D336" s="5652"/>
      <c r="E336" s="5652"/>
      <c r="F336" s="5652"/>
      <c r="G336" s="5652"/>
      <c r="H336" s="5652"/>
      <c r="I336" s="5652"/>
      <c r="J336" s="5652"/>
      <c r="K336" s="5652"/>
      <c r="L336" s="5652"/>
      <c r="M336" s="5652"/>
      <c r="N336" s="5652"/>
      <c r="O336" s="5652"/>
      <c r="P336" s="5652"/>
      <c r="Q336" s="5652"/>
      <c r="R336" s="5656"/>
      <c r="S336" s="1452"/>
      <c r="T336" s="1473"/>
      <c r="U336" s="1473"/>
      <c r="V336" s="1388"/>
      <c r="W336" s="1394"/>
      <c r="X336" s="1395"/>
      <c r="Y336" s="1377"/>
      <c r="Z336" s="1377"/>
      <c r="AA336" s="1377"/>
      <c r="AB336" s="1378"/>
      <c r="AC336" s="1395"/>
      <c r="AD336" s="1395"/>
      <c r="AE336" s="1396"/>
      <c r="AF336" s="5688"/>
    </row>
    <row r="337" spans="1:32" ht="22.5" customHeight="1">
      <c r="A337" s="4564"/>
      <c r="B337" s="4623"/>
      <c r="C337" s="5717"/>
      <c r="D337" s="5652"/>
      <c r="E337" s="5652"/>
      <c r="F337" s="5652"/>
      <c r="G337" s="5652"/>
      <c r="H337" s="5652"/>
      <c r="I337" s="5652"/>
      <c r="J337" s="5652"/>
      <c r="K337" s="5652"/>
      <c r="L337" s="5652"/>
      <c r="M337" s="5652"/>
      <c r="N337" s="5652"/>
      <c r="O337" s="5652"/>
      <c r="P337" s="5652"/>
      <c r="Q337" s="5652"/>
      <c r="R337" s="5656"/>
      <c r="S337" s="1452"/>
      <c r="T337" s="1473"/>
      <c r="U337" s="1473"/>
      <c r="V337" s="1388"/>
      <c r="W337" s="1394"/>
      <c r="X337" s="1395"/>
      <c r="Y337" s="1377"/>
      <c r="Z337" s="1377"/>
      <c r="AA337" s="1377"/>
      <c r="AB337" s="1378"/>
      <c r="AC337" s="1395"/>
      <c r="AD337" s="1395"/>
      <c r="AE337" s="449"/>
      <c r="AF337" s="5688"/>
    </row>
    <row r="338" spans="1:32" ht="22.5" customHeight="1">
      <c r="A338" s="4564"/>
      <c r="B338" s="4623"/>
      <c r="C338" s="5717"/>
      <c r="D338" s="5652"/>
      <c r="E338" s="5652"/>
      <c r="F338" s="5652"/>
      <c r="G338" s="5652"/>
      <c r="H338" s="5652"/>
      <c r="I338" s="5652"/>
      <c r="J338" s="5652"/>
      <c r="K338" s="5652"/>
      <c r="L338" s="5652"/>
      <c r="M338" s="5652"/>
      <c r="N338" s="5652"/>
      <c r="O338" s="5652"/>
      <c r="P338" s="5652"/>
      <c r="Q338" s="5652"/>
      <c r="R338" s="5656"/>
      <c r="S338" s="1452"/>
      <c r="T338" s="1473"/>
      <c r="U338" s="1473"/>
      <c r="V338" s="1388"/>
      <c r="W338" s="1394"/>
      <c r="X338" s="1395"/>
      <c r="Y338" s="1377"/>
      <c r="Z338" s="1377"/>
      <c r="AA338" s="1377"/>
      <c r="AB338" s="1378"/>
      <c r="AC338" s="1395"/>
      <c r="AD338" s="1395"/>
      <c r="AE338" s="449"/>
      <c r="AF338" s="5688"/>
    </row>
    <row r="339" spans="1:32" ht="22.5" customHeight="1">
      <c r="A339" s="4564"/>
      <c r="B339" s="4623"/>
      <c r="C339" s="5718"/>
      <c r="D339" s="5653"/>
      <c r="E339" s="5653"/>
      <c r="F339" s="5653"/>
      <c r="G339" s="5653"/>
      <c r="H339" s="5653"/>
      <c r="I339" s="5653"/>
      <c r="J339" s="5653"/>
      <c r="K339" s="5653"/>
      <c r="L339" s="5653"/>
      <c r="M339" s="5653"/>
      <c r="N339" s="5653"/>
      <c r="O339" s="5653"/>
      <c r="P339" s="5653"/>
      <c r="Q339" s="5653"/>
      <c r="R339" s="5657"/>
      <c r="S339" s="1460"/>
      <c r="T339" s="1477"/>
      <c r="U339" s="1477"/>
      <c r="V339" s="450"/>
      <c r="W339" s="1383"/>
      <c r="X339" s="448"/>
      <c r="Y339" s="1384"/>
      <c r="Z339" s="1384"/>
      <c r="AA339" s="1384"/>
      <c r="AB339" s="1385"/>
      <c r="AC339" s="448"/>
      <c r="AD339" s="448"/>
      <c r="AE339" s="451"/>
      <c r="AF339" s="5689"/>
    </row>
    <row r="340" spans="1:32" ht="22.5" customHeight="1">
      <c r="A340" s="4564"/>
      <c r="B340" s="4623"/>
      <c r="C340" s="5716" t="s">
        <v>235</v>
      </c>
      <c r="D340" s="5651" t="s">
        <v>236</v>
      </c>
      <c r="E340" s="5651" t="s">
        <v>237</v>
      </c>
      <c r="F340" s="5651" t="s">
        <v>326</v>
      </c>
      <c r="G340" s="5664" t="s">
        <v>239</v>
      </c>
      <c r="H340" s="5651" t="s">
        <v>240</v>
      </c>
      <c r="I340" s="5651" t="s">
        <v>257</v>
      </c>
      <c r="J340" s="5651" t="s">
        <v>3576</v>
      </c>
      <c r="K340" s="5671" t="s">
        <v>2673</v>
      </c>
      <c r="L340" s="5671" t="s">
        <v>3577</v>
      </c>
      <c r="M340" s="5677">
        <v>180</v>
      </c>
      <c r="N340" s="5678">
        <v>180</v>
      </c>
      <c r="O340" s="5677">
        <v>180</v>
      </c>
      <c r="P340" s="5671" t="s">
        <v>3578</v>
      </c>
      <c r="Q340" s="5671" t="s">
        <v>3579</v>
      </c>
      <c r="R340" s="5659" t="s">
        <v>3571</v>
      </c>
      <c r="S340" s="1451"/>
      <c r="T340" s="2154"/>
      <c r="U340" s="2154"/>
      <c r="V340" s="2138"/>
      <c r="W340" s="2139"/>
      <c r="X340" s="1921"/>
      <c r="Y340" s="2140"/>
      <c r="Z340" s="2140"/>
      <c r="AA340" s="2140"/>
      <c r="AB340" s="2141"/>
      <c r="AC340" s="1921"/>
      <c r="AD340" s="2142"/>
      <c r="AE340" s="2142"/>
      <c r="AF340" s="5690"/>
    </row>
    <row r="341" spans="1:32" ht="22.5" customHeight="1">
      <c r="A341" s="4564"/>
      <c r="B341" s="4623"/>
      <c r="C341" s="5717"/>
      <c r="D341" s="5652"/>
      <c r="E341" s="5652"/>
      <c r="F341" s="5652"/>
      <c r="G341" s="5652"/>
      <c r="H341" s="5652"/>
      <c r="I341" s="5652"/>
      <c r="J341" s="5652"/>
      <c r="K341" s="5652"/>
      <c r="L341" s="5652"/>
      <c r="M341" s="5652"/>
      <c r="N341" s="5652"/>
      <c r="O341" s="5652"/>
      <c r="P341" s="5652"/>
      <c r="Q341" s="5652"/>
      <c r="R341" s="5656"/>
      <c r="S341" s="1452"/>
      <c r="T341" s="1473"/>
      <c r="U341" s="1473"/>
      <c r="V341" s="1388"/>
      <c r="W341" s="1394"/>
      <c r="X341" s="1395"/>
      <c r="Y341" s="1377"/>
      <c r="Z341" s="1377"/>
      <c r="AA341" s="1377"/>
      <c r="AB341" s="1378"/>
      <c r="AC341" s="1395"/>
      <c r="AD341" s="449"/>
      <c r="AE341" s="449"/>
      <c r="AF341" s="5688"/>
    </row>
    <row r="342" spans="1:32" ht="22.5" customHeight="1">
      <c r="A342" s="4564"/>
      <c r="B342" s="4623"/>
      <c r="C342" s="5717"/>
      <c r="D342" s="5652"/>
      <c r="E342" s="5652"/>
      <c r="F342" s="5652"/>
      <c r="G342" s="5652"/>
      <c r="H342" s="5652"/>
      <c r="I342" s="5652"/>
      <c r="J342" s="5652"/>
      <c r="K342" s="5652"/>
      <c r="L342" s="5652"/>
      <c r="M342" s="5652"/>
      <c r="N342" s="5652"/>
      <c r="O342" s="5652"/>
      <c r="P342" s="5652"/>
      <c r="Q342" s="5652"/>
      <c r="R342" s="5656"/>
      <c r="S342" s="1452"/>
      <c r="T342" s="1473"/>
      <c r="U342" s="1473"/>
      <c r="V342" s="1388"/>
      <c r="W342" s="1394"/>
      <c r="X342" s="1395"/>
      <c r="Y342" s="1377"/>
      <c r="Z342" s="1377"/>
      <c r="AA342" s="1377"/>
      <c r="AB342" s="1378"/>
      <c r="AC342" s="1395"/>
      <c r="AD342" s="449"/>
      <c r="AE342" s="449"/>
      <c r="AF342" s="5688"/>
    </row>
    <row r="343" spans="1:32" ht="22.5" customHeight="1">
      <c r="A343" s="4564"/>
      <c r="B343" s="4623"/>
      <c r="C343" s="5717"/>
      <c r="D343" s="5652"/>
      <c r="E343" s="5652"/>
      <c r="F343" s="5652"/>
      <c r="G343" s="5652"/>
      <c r="H343" s="5652"/>
      <c r="I343" s="5652"/>
      <c r="J343" s="5652"/>
      <c r="K343" s="5652"/>
      <c r="L343" s="5652"/>
      <c r="M343" s="5652"/>
      <c r="N343" s="5652"/>
      <c r="O343" s="5652"/>
      <c r="P343" s="5652"/>
      <c r="Q343" s="5652"/>
      <c r="R343" s="5656"/>
      <c r="S343" s="1452"/>
      <c r="T343" s="1473"/>
      <c r="U343" s="1473"/>
      <c r="V343" s="1388"/>
      <c r="W343" s="1394"/>
      <c r="X343" s="1395"/>
      <c r="Y343" s="1377"/>
      <c r="Z343" s="1377"/>
      <c r="AA343" s="1377"/>
      <c r="AB343" s="1378"/>
      <c r="AC343" s="1395"/>
      <c r="AD343" s="449"/>
      <c r="AE343" s="449"/>
      <c r="AF343" s="5688"/>
    </row>
    <row r="344" spans="1:32" ht="22.5" customHeight="1">
      <c r="A344" s="4564"/>
      <c r="B344" s="4623"/>
      <c r="C344" s="5718"/>
      <c r="D344" s="5653"/>
      <c r="E344" s="5653"/>
      <c r="F344" s="5653"/>
      <c r="G344" s="5653"/>
      <c r="H344" s="5653"/>
      <c r="I344" s="5653"/>
      <c r="J344" s="5653"/>
      <c r="K344" s="5653"/>
      <c r="L344" s="5653"/>
      <c r="M344" s="5653"/>
      <c r="N344" s="5653"/>
      <c r="O344" s="5653"/>
      <c r="P344" s="5653"/>
      <c r="Q344" s="5653"/>
      <c r="R344" s="5657"/>
      <c r="S344" s="1460"/>
      <c r="T344" s="1477"/>
      <c r="U344" s="1477"/>
      <c r="V344" s="450"/>
      <c r="W344" s="1383"/>
      <c r="X344" s="448"/>
      <c r="Y344" s="1384"/>
      <c r="Z344" s="1384"/>
      <c r="AA344" s="1384"/>
      <c r="AB344" s="1385"/>
      <c r="AC344" s="448"/>
      <c r="AD344" s="451"/>
      <c r="AE344" s="451"/>
      <c r="AF344" s="5689"/>
    </row>
    <row r="345" spans="1:32" ht="22.5" customHeight="1">
      <c r="A345" s="4564"/>
      <c r="B345" s="4623"/>
      <c r="C345" s="5716" t="s">
        <v>235</v>
      </c>
      <c r="D345" s="5651" t="s">
        <v>236</v>
      </c>
      <c r="E345" s="5651" t="s">
        <v>237</v>
      </c>
      <c r="F345" s="5651" t="s">
        <v>326</v>
      </c>
      <c r="G345" s="5664" t="s">
        <v>239</v>
      </c>
      <c r="H345" s="5651" t="s">
        <v>240</v>
      </c>
      <c r="I345" s="5651" t="s">
        <v>257</v>
      </c>
      <c r="J345" s="5651" t="s">
        <v>3580</v>
      </c>
      <c r="K345" s="5651" t="s">
        <v>338</v>
      </c>
      <c r="L345" s="5671" t="s">
        <v>3581</v>
      </c>
      <c r="M345" s="5669">
        <v>0</v>
      </c>
      <c r="N345" s="5672">
        <v>1</v>
      </c>
      <c r="O345" s="5669">
        <v>1</v>
      </c>
      <c r="P345" s="5651" t="s">
        <v>3582</v>
      </c>
      <c r="Q345" s="5651" t="s">
        <v>3583</v>
      </c>
      <c r="R345" s="5659" t="s">
        <v>3584</v>
      </c>
      <c r="S345" s="1451"/>
      <c r="T345" s="2154"/>
      <c r="U345" s="2154"/>
      <c r="V345" s="2138"/>
      <c r="W345" s="2139"/>
      <c r="X345" s="1921"/>
      <c r="Y345" s="2140"/>
      <c r="Z345" s="2140"/>
      <c r="AA345" s="2140"/>
      <c r="AB345" s="2141"/>
      <c r="AC345" s="1921"/>
      <c r="AD345" s="2142"/>
      <c r="AE345" s="2142"/>
      <c r="AF345" s="5690"/>
    </row>
    <row r="346" spans="1:32" ht="22.5" customHeight="1">
      <c r="A346" s="4564"/>
      <c r="B346" s="4623"/>
      <c r="C346" s="5717"/>
      <c r="D346" s="5652"/>
      <c r="E346" s="5652"/>
      <c r="F346" s="5652"/>
      <c r="G346" s="5652"/>
      <c r="H346" s="5652"/>
      <c r="I346" s="5652"/>
      <c r="J346" s="5652"/>
      <c r="K346" s="5652"/>
      <c r="L346" s="5652"/>
      <c r="M346" s="5652"/>
      <c r="N346" s="5652"/>
      <c r="O346" s="5652"/>
      <c r="P346" s="5652"/>
      <c r="Q346" s="5652"/>
      <c r="R346" s="5656"/>
      <c r="S346" s="1452"/>
      <c r="T346" s="1473"/>
      <c r="U346" s="1473"/>
      <c r="V346" s="1388"/>
      <c r="W346" s="1394"/>
      <c r="X346" s="1395"/>
      <c r="Y346" s="1377"/>
      <c r="Z346" s="1377"/>
      <c r="AA346" s="1377"/>
      <c r="AB346" s="1378"/>
      <c r="AC346" s="1395"/>
      <c r="AD346" s="449"/>
      <c r="AE346" s="449"/>
      <c r="AF346" s="5688"/>
    </row>
    <row r="347" spans="1:32" ht="22.5" customHeight="1">
      <c r="A347" s="4564"/>
      <c r="B347" s="4623"/>
      <c r="C347" s="5717"/>
      <c r="D347" s="5652"/>
      <c r="E347" s="5652"/>
      <c r="F347" s="5652"/>
      <c r="G347" s="5652"/>
      <c r="H347" s="5652"/>
      <c r="I347" s="5652"/>
      <c r="J347" s="5652"/>
      <c r="K347" s="5652"/>
      <c r="L347" s="5652"/>
      <c r="M347" s="5652"/>
      <c r="N347" s="5652"/>
      <c r="O347" s="5652"/>
      <c r="P347" s="5652"/>
      <c r="Q347" s="5652"/>
      <c r="R347" s="5656"/>
      <c r="S347" s="1452"/>
      <c r="T347" s="1473"/>
      <c r="U347" s="1473"/>
      <c r="V347" s="1388"/>
      <c r="W347" s="1394"/>
      <c r="X347" s="1395"/>
      <c r="Y347" s="1377"/>
      <c r="Z347" s="1377"/>
      <c r="AA347" s="1377"/>
      <c r="AB347" s="1378"/>
      <c r="AC347" s="1395"/>
      <c r="AD347" s="449"/>
      <c r="AE347" s="449"/>
      <c r="AF347" s="5688"/>
    </row>
    <row r="348" spans="1:32" ht="22.5" customHeight="1">
      <c r="A348" s="4564"/>
      <c r="B348" s="4623"/>
      <c r="C348" s="5717"/>
      <c r="D348" s="5652"/>
      <c r="E348" s="5652"/>
      <c r="F348" s="5652"/>
      <c r="G348" s="5652"/>
      <c r="H348" s="5652"/>
      <c r="I348" s="5652"/>
      <c r="J348" s="5652"/>
      <c r="K348" s="5652"/>
      <c r="L348" s="5652"/>
      <c r="M348" s="5652"/>
      <c r="N348" s="5652"/>
      <c r="O348" s="5652"/>
      <c r="P348" s="5652"/>
      <c r="Q348" s="5652"/>
      <c r="R348" s="5656"/>
      <c r="S348" s="1452"/>
      <c r="T348" s="1473"/>
      <c r="U348" s="1473"/>
      <c r="V348" s="1388"/>
      <c r="W348" s="1394"/>
      <c r="X348" s="1395"/>
      <c r="Y348" s="1377"/>
      <c r="Z348" s="1377"/>
      <c r="AA348" s="1377"/>
      <c r="AB348" s="1378"/>
      <c r="AC348" s="1395"/>
      <c r="AD348" s="449"/>
      <c r="AE348" s="449"/>
      <c r="AF348" s="5688"/>
    </row>
    <row r="349" spans="1:32" ht="22.5" customHeight="1">
      <c r="A349" s="4564"/>
      <c r="B349" s="4623"/>
      <c r="C349" s="5718"/>
      <c r="D349" s="5653"/>
      <c r="E349" s="5653"/>
      <c r="F349" s="5653"/>
      <c r="G349" s="5653"/>
      <c r="H349" s="5653"/>
      <c r="I349" s="5653"/>
      <c r="J349" s="5653"/>
      <c r="K349" s="5653"/>
      <c r="L349" s="5653"/>
      <c r="M349" s="5653"/>
      <c r="N349" s="5653"/>
      <c r="O349" s="5653"/>
      <c r="P349" s="5653"/>
      <c r="Q349" s="5653"/>
      <c r="R349" s="5657"/>
      <c r="S349" s="1460"/>
      <c r="T349" s="1477"/>
      <c r="U349" s="1477"/>
      <c r="V349" s="450"/>
      <c r="W349" s="1383"/>
      <c r="X349" s="448"/>
      <c r="Y349" s="1384"/>
      <c r="Z349" s="1384"/>
      <c r="AA349" s="1384"/>
      <c r="AB349" s="1385"/>
      <c r="AC349" s="448"/>
      <c r="AD349" s="451"/>
      <c r="AE349" s="451"/>
      <c r="AF349" s="5689"/>
    </row>
    <row r="350" spans="1:32" ht="22.5" customHeight="1">
      <c r="A350" s="4564"/>
      <c r="B350" s="4623"/>
      <c r="C350" s="5716" t="s">
        <v>235</v>
      </c>
      <c r="D350" s="5651" t="s">
        <v>236</v>
      </c>
      <c r="E350" s="5651" t="s">
        <v>237</v>
      </c>
      <c r="F350" s="5651" t="s">
        <v>326</v>
      </c>
      <c r="G350" s="5664" t="s">
        <v>239</v>
      </c>
      <c r="H350" s="5651" t="s">
        <v>240</v>
      </c>
      <c r="I350" s="5651" t="s">
        <v>257</v>
      </c>
      <c r="J350" s="5651" t="s">
        <v>3585</v>
      </c>
      <c r="K350" s="5651" t="s">
        <v>1814</v>
      </c>
      <c r="L350" s="5651" t="s">
        <v>3586</v>
      </c>
      <c r="M350" s="5654">
        <v>1</v>
      </c>
      <c r="N350" s="5668">
        <v>1</v>
      </c>
      <c r="O350" s="5654">
        <v>2</v>
      </c>
      <c r="P350" s="5651" t="s">
        <v>3587</v>
      </c>
      <c r="Q350" s="5651" t="s">
        <v>708</v>
      </c>
      <c r="R350" s="5659" t="s">
        <v>3588</v>
      </c>
      <c r="S350" s="1451"/>
      <c r="T350" s="2154"/>
      <c r="U350" s="2154"/>
      <c r="V350" s="2138"/>
      <c r="W350" s="2139"/>
      <c r="X350" s="1921"/>
      <c r="Y350" s="2140"/>
      <c r="Z350" s="2140"/>
      <c r="AA350" s="2140"/>
      <c r="AB350" s="2141"/>
      <c r="AC350" s="1921"/>
      <c r="AD350" s="2142"/>
      <c r="AE350" s="2142"/>
      <c r="AF350" s="5690"/>
    </row>
    <row r="351" spans="1:32" ht="22.5" customHeight="1">
      <c r="A351" s="4564"/>
      <c r="B351" s="4623"/>
      <c r="C351" s="5717"/>
      <c r="D351" s="5652"/>
      <c r="E351" s="5652"/>
      <c r="F351" s="5652"/>
      <c r="G351" s="5652"/>
      <c r="H351" s="5652"/>
      <c r="I351" s="5652"/>
      <c r="J351" s="5652"/>
      <c r="K351" s="5652"/>
      <c r="L351" s="5652"/>
      <c r="M351" s="5652"/>
      <c r="N351" s="5652"/>
      <c r="O351" s="5652"/>
      <c r="P351" s="5652"/>
      <c r="Q351" s="5652"/>
      <c r="R351" s="5656"/>
      <c r="S351" s="1452"/>
      <c r="T351" s="1473"/>
      <c r="U351" s="1473"/>
      <c r="V351" s="1388"/>
      <c r="W351" s="1394"/>
      <c r="X351" s="1395"/>
      <c r="Y351" s="1377"/>
      <c r="Z351" s="1377"/>
      <c r="AA351" s="1377"/>
      <c r="AB351" s="1378"/>
      <c r="AC351" s="1395"/>
      <c r="AD351" s="449"/>
      <c r="AE351" s="449"/>
      <c r="AF351" s="5688"/>
    </row>
    <row r="352" spans="1:32" ht="22.5" customHeight="1">
      <c r="A352" s="4564"/>
      <c r="B352" s="4623"/>
      <c r="C352" s="5717"/>
      <c r="D352" s="5652"/>
      <c r="E352" s="5652"/>
      <c r="F352" s="5652"/>
      <c r="G352" s="5652"/>
      <c r="H352" s="5652"/>
      <c r="I352" s="5652"/>
      <c r="J352" s="5652"/>
      <c r="K352" s="5652"/>
      <c r="L352" s="5652"/>
      <c r="M352" s="5652"/>
      <c r="N352" s="5652"/>
      <c r="O352" s="5652"/>
      <c r="P352" s="5652"/>
      <c r="Q352" s="5652"/>
      <c r="R352" s="5656"/>
      <c r="S352" s="1452"/>
      <c r="T352" s="1473"/>
      <c r="U352" s="1473"/>
      <c r="V352" s="1388"/>
      <c r="W352" s="1394"/>
      <c r="X352" s="1395"/>
      <c r="Y352" s="1377"/>
      <c r="Z352" s="1377"/>
      <c r="AA352" s="1377"/>
      <c r="AB352" s="1378"/>
      <c r="AC352" s="1395"/>
      <c r="AD352" s="449"/>
      <c r="AE352" s="449"/>
      <c r="AF352" s="5688"/>
    </row>
    <row r="353" spans="1:32" ht="22.5" customHeight="1">
      <c r="A353" s="4564"/>
      <c r="B353" s="4623"/>
      <c r="C353" s="5717"/>
      <c r="D353" s="5652"/>
      <c r="E353" s="5652"/>
      <c r="F353" s="5652"/>
      <c r="G353" s="5652"/>
      <c r="H353" s="5652"/>
      <c r="I353" s="5652"/>
      <c r="J353" s="5652"/>
      <c r="K353" s="5652"/>
      <c r="L353" s="5652"/>
      <c r="M353" s="5652"/>
      <c r="N353" s="5652"/>
      <c r="O353" s="5652"/>
      <c r="P353" s="5652"/>
      <c r="Q353" s="5652"/>
      <c r="R353" s="5656"/>
      <c r="S353" s="1459"/>
      <c r="T353" s="1474"/>
      <c r="U353" s="1474"/>
      <c r="V353" s="1388"/>
      <c r="W353" s="1394"/>
      <c r="X353" s="1395"/>
      <c r="Y353" s="1377"/>
      <c r="Z353" s="1377"/>
      <c r="AA353" s="1377"/>
      <c r="AB353" s="1378"/>
      <c r="AC353" s="1395"/>
      <c r="AD353" s="449"/>
      <c r="AE353" s="449"/>
      <c r="AF353" s="5688"/>
    </row>
    <row r="354" spans="1:32" ht="22.5" customHeight="1" thickBot="1">
      <c r="A354" s="4564"/>
      <c r="B354" s="4623"/>
      <c r="C354" s="5720"/>
      <c r="D354" s="5658"/>
      <c r="E354" s="5658"/>
      <c r="F354" s="5658"/>
      <c r="G354" s="5658"/>
      <c r="H354" s="5658"/>
      <c r="I354" s="5658"/>
      <c r="J354" s="5658"/>
      <c r="K354" s="5658"/>
      <c r="L354" s="5658"/>
      <c r="M354" s="5658"/>
      <c r="N354" s="5658"/>
      <c r="O354" s="5658"/>
      <c r="P354" s="5658"/>
      <c r="Q354" s="5658"/>
      <c r="R354" s="5660"/>
      <c r="S354" s="1470"/>
      <c r="T354" s="1478"/>
      <c r="U354" s="1478"/>
      <c r="V354" s="1417"/>
      <c r="W354" s="1418"/>
      <c r="X354" s="1419"/>
      <c r="Y354" s="1420"/>
      <c r="Z354" s="1420"/>
      <c r="AA354" s="1420"/>
      <c r="AB354" s="1421"/>
      <c r="AC354" s="1419"/>
      <c r="AD354" s="1422"/>
      <c r="AE354" s="1422"/>
      <c r="AF354" s="5704"/>
    </row>
    <row r="355" spans="1:32" ht="22.5" customHeight="1" thickBot="1">
      <c r="A355" s="4564"/>
      <c r="B355" s="4620"/>
      <c r="C355" s="5673"/>
      <c r="D355" s="4567"/>
      <c r="E355" s="4567"/>
      <c r="F355" s="4567"/>
      <c r="G355" s="4567"/>
      <c r="H355" s="4567"/>
      <c r="I355" s="4567"/>
      <c r="J355" s="4567"/>
      <c r="K355" s="4567"/>
      <c r="L355" s="4567"/>
      <c r="M355" s="4567"/>
      <c r="N355" s="4567"/>
      <c r="O355" s="4567"/>
      <c r="P355" s="4567"/>
      <c r="Q355" s="4567"/>
      <c r="R355" s="5674"/>
      <c r="S355" s="5707" t="s">
        <v>1819</v>
      </c>
      <c r="T355" s="5111"/>
      <c r="U355" s="5111"/>
      <c r="V355" s="5111"/>
      <c r="W355" s="5111"/>
      <c r="X355" s="5111"/>
      <c r="Y355" s="5111"/>
      <c r="Z355" s="5708"/>
      <c r="AA355" s="2147" t="s">
        <v>340</v>
      </c>
      <c r="AB355" s="2148">
        <f>SUM(AB315:AB354)</f>
        <v>0</v>
      </c>
      <c r="AC355" s="5686"/>
      <c r="AD355" s="5111"/>
      <c r="AE355" s="5111"/>
      <c r="AF355" s="4717"/>
    </row>
    <row r="356" spans="1:32" ht="18" customHeight="1">
      <c r="A356" s="4564"/>
      <c r="B356" s="5727" t="s">
        <v>3589</v>
      </c>
      <c r="C356" s="5725" t="s">
        <v>272</v>
      </c>
      <c r="D356" s="5661" t="s">
        <v>302</v>
      </c>
      <c r="E356" s="5661" t="s">
        <v>303</v>
      </c>
      <c r="F356" s="5661" t="s">
        <v>318</v>
      </c>
      <c r="G356" s="5666" t="s">
        <v>305</v>
      </c>
      <c r="H356" s="5661" t="s">
        <v>240</v>
      </c>
      <c r="I356" s="5661" t="s">
        <v>241</v>
      </c>
      <c r="J356" s="5661" t="s">
        <v>3590</v>
      </c>
      <c r="K356" s="5676" t="s">
        <v>3591</v>
      </c>
      <c r="L356" s="5661" t="s">
        <v>3592</v>
      </c>
      <c r="M356" s="5662">
        <v>1</v>
      </c>
      <c r="N356" s="5662">
        <v>0</v>
      </c>
      <c r="O356" s="5662">
        <v>1</v>
      </c>
      <c r="P356" s="5661" t="s">
        <v>3593</v>
      </c>
      <c r="Q356" s="5661" t="s">
        <v>3594</v>
      </c>
      <c r="R356" s="5663" t="s">
        <v>3595</v>
      </c>
      <c r="S356" s="1471"/>
      <c r="T356" s="1472"/>
      <c r="U356" s="1472"/>
      <c r="V356" s="1369"/>
      <c r="W356" s="1370"/>
      <c r="X356" s="1371"/>
      <c r="Y356" s="1372"/>
      <c r="Z356" s="1372"/>
      <c r="AA356" s="1372"/>
      <c r="AB356" s="1373"/>
      <c r="AC356" s="1371"/>
      <c r="AD356" s="1374"/>
      <c r="AE356" s="1374"/>
      <c r="AF356" s="5687"/>
    </row>
    <row r="357" spans="1:32" ht="18" customHeight="1">
      <c r="A357" s="4564"/>
      <c r="B357" s="4623"/>
      <c r="C357" s="5717"/>
      <c r="D357" s="5652"/>
      <c r="E357" s="5652"/>
      <c r="F357" s="5652"/>
      <c r="G357" s="5652"/>
      <c r="H357" s="5652"/>
      <c r="I357" s="5652"/>
      <c r="J357" s="5652"/>
      <c r="K357" s="5652"/>
      <c r="L357" s="5652"/>
      <c r="M357" s="5652"/>
      <c r="N357" s="5652"/>
      <c r="O357" s="5652"/>
      <c r="P357" s="5652"/>
      <c r="Q357" s="5652"/>
      <c r="R357" s="5656"/>
      <c r="S357" s="1452"/>
      <c r="T357" s="1473"/>
      <c r="U357" s="1473"/>
      <c r="V357" s="1388"/>
      <c r="W357" s="1394"/>
      <c r="X357" s="1395"/>
      <c r="Y357" s="1377"/>
      <c r="Z357" s="1377"/>
      <c r="AA357" s="1377"/>
      <c r="AB357" s="1378"/>
      <c r="AC357" s="1395"/>
      <c r="AD357" s="449"/>
      <c r="AE357" s="449"/>
      <c r="AF357" s="5688"/>
    </row>
    <row r="358" spans="1:32" ht="18" customHeight="1">
      <c r="A358" s="4564"/>
      <c r="B358" s="4623"/>
      <c r="C358" s="5717"/>
      <c r="D358" s="5652"/>
      <c r="E358" s="5652"/>
      <c r="F358" s="5652"/>
      <c r="G358" s="5652"/>
      <c r="H358" s="5652"/>
      <c r="I358" s="5652"/>
      <c r="J358" s="5652"/>
      <c r="K358" s="5652"/>
      <c r="L358" s="5652"/>
      <c r="M358" s="5652"/>
      <c r="N358" s="5652"/>
      <c r="O358" s="5652"/>
      <c r="P358" s="5652"/>
      <c r="Q358" s="5652"/>
      <c r="R358" s="5656"/>
      <c r="S358" s="1452"/>
      <c r="T358" s="1473"/>
      <c r="U358" s="1473"/>
      <c r="V358" s="1388"/>
      <c r="W358" s="1394"/>
      <c r="X358" s="1395"/>
      <c r="Y358" s="1377"/>
      <c r="Z358" s="1377"/>
      <c r="AA358" s="1377"/>
      <c r="AB358" s="1378"/>
      <c r="AC358" s="1395"/>
      <c r="AD358" s="449"/>
      <c r="AE358" s="449"/>
      <c r="AF358" s="5688"/>
    </row>
    <row r="359" spans="1:32" ht="18" customHeight="1">
      <c r="A359" s="4564"/>
      <c r="B359" s="4623"/>
      <c r="C359" s="5717"/>
      <c r="D359" s="5652"/>
      <c r="E359" s="5652"/>
      <c r="F359" s="5652"/>
      <c r="G359" s="5652"/>
      <c r="H359" s="5652"/>
      <c r="I359" s="5652"/>
      <c r="J359" s="5652"/>
      <c r="K359" s="5652"/>
      <c r="L359" s="5652"/>
      <c r="M359" s="5652"/>
      <c r="N359" s="5652"/>
      <c r="O359" s="5652"/>
      <c r="P359" s="5652"/>
      <c r="Q359" s="5652"/>
      <c r="R359" s="5656"/>
      <c r="S359" s="1459"/>
      <c r="T359" s="1474"/>
      <c r="U359" s="1474"/>
      <c r="V359" s="1388"/>
      <c r="W359" s="1394"/>
      <c r="X359" s="1395"/>
      <c r="Y359" s="1377"/>
      <c r="Z359" s="1377"/>
      <c r="AA359" s="1377"/>
      <c r="AB359" s="1378"/>
      <c r="AC359" s="1395"/>
      <c r="AD359" s="449"/>
      <c r="AE359" s="449"/>
      <c r="AF359" s="5688"/>
    </row>
    <row r="360" spans="1:32" ht="26.25" customHeight="1">
      <c r="A360" s="4564"/>
      <c r="B360" s="4623"/>
      <c r="C360" s="5718"/>
      <c r="D360" s="5653"/>
      <c r="E360" s="5653"/>
      <c r="F360" s="5653"/>
      <c r="G360" s="5653"/>
      <c r="H360" s="5653"/>
      <c r="I360" s="5653"/>
      <c r="J360" s="5653"/>
      <c r="K360" s="5653"/>
      <c r="L360" s="5653"/>
      <c r="M360" s="5653"/>
      <c r="N360" s="5653"/>
      <c r="O360" s="5653"/>
      <c r="P360" s="5653"/>
      <c r="Q360" s="5653"/>
      <c r="R360" s="5657"/>
      <c r="S360" s="1460"/>
      <c r="T360" s="1477"/>
      <c r="U360" s="1477"/>
      <c r="V360" s="450"/>
      <c r="W360" s="1383"/>
      <c r="X360" s="448"/>
      <c r="Y360" s="1384"/>
      <c r="Z360" s="1384"/>
      <c r="AA360" s="1384"/>
      <c r="AB360" s="1385"/>
      <c r="AC360" s="448"/>
      <c r="AD360" s="451"/>
      <c r="AE360" s="451"/>
      <c r="AF360" s="5689"/>
    </row>
    <row r="361" spans="1:32" ht="24" customHeight="1">
      <c r="A361" s="4564"/>
      <c r="B361" s="4623"/>
      <c r="C361" s="5716" t="s">
        <v>272</v>
      </c>
      <c r="D361" s="5651" t="s">
        <v>302</v>
      </c>
      <c r="E361" s="5651" t="s">
        <v>274</v>
      </c>
      <c r="F361" s="5651" t="s">
        <v>885</v>
      </c>
      <c r="G361" s="5664" t="s">
        <v>305</v>
      </c>
      <c r="H361" s="5651" t="s">
        <v>262</v>
      </c>
      <c r="I361" s="5651" t="s">
        <v>241</v>
      </c>
      <c r="J361" s="5651" t="s">
        <v>3596</v>
      </c>
      <c r="K361" s="5671" t="s">
        <v>3597</v>
      </c>
      <c r="L361" s="5651" t="s">
        <v>3598</v>
      </c>
      <c r="M361" s="5654">
        <v>1</v>
      </c>
      <c r="N361" s="5654">
        <v>0</v>
      </c>
      <c r="O361" s="5654">
        <v>1</v>
      </c>
      <c r="P361" s="5651" t="s">
        <v>3025</v>
      </c>
      <c r="Q361" s="5651" t="s">
        <v>1604</v>
      </c>
      <c r="R361" s="5659" t="s">
        <v>3599</v>
      </c>
      <c r="S361" s="1451"/>
      <c r="T361" s="2154"/>
      <c r="U361" s="2154"/>
      <c r="V361" s="2138"/>
      <c r="W361" s="2139"/>
      <c r="X361" s="1921"/>
      <c r="Y361" s="2140"/>
      <c r="Z361" s="2140"/>
      <c r="AA361" s="2140"/>
      <c r="AB361" s="2141"/>
      <c r="AC361" s="1921"/>
      <c r="AD361" s="2142"/>
      <c r="AE361" s="2142"/>
      <c r="AF361" s="5690"/>
    </row>
    <row r="362" spans="1:32" ht="24" customHeight="1">
      <c r="A362" s="4564"/>
      <c r="B362" s="4623"/>
      <c r="C362" s="5717"/>
      <c r="D362" s="5652"/>
      <c r="E362" s="5652"/>
      <c r="F362" s="5652"/>
      <c r="G362" s="5652"/>
      <c r="H362" s="5652"/>
      <c r="I362" s="5652"/>
      <c r="J362" s="5652"/>
      <c r="K362" s="5652"/>
      <c r="L362" s="5652"/>
      <c r="M362" s="5652"/>
      <c r="N362" s="5652"/>
      <c r="O362" s="5652"/>
      <c r="P362" s="5652"/>
      <c r="Q362" s="5652"/>
      <c r="R362" s="5656"/>
      <c r="S362" s="1452"/>
      <c r="T362" s="1473"/>
      <c r="U362" s="1473"/>
      <c r="V362" s="1388"/>
      <c r="W362" s="1394"/>
      <c r="X362" s="1395"/>
      <c r="Y362" s="1377"/>
      <c r="Z362" s="1377"/>
      <c r="AA362" s="1377"/>
      <c r="AB362" s="1378"/>
      <c r="AC362" s="1395"/>
      <c r="AD362" s="449"/>
      <c r="AE362" s="449"/>
      <c r="AF362" s="5688"/>
    </row>
    <row r="363" spans="1:32" ht="24" customHeight="1">
      <c r="A363" s="4564"/>
      <c r="B363" s="4623"/>
      <c r="C363" s="5717"/>
      <c r="D363" s="5652"/>
      <c r="E363" s="5652"/>
      <c r="F363" s="5652"/>
      <c r="G363" s="5652"/>
      <c r="H363" s="5652"/>
      <c r="I363" s="5652"/>
      <c r="J363" s="5652"/>
      <c r="K363" s="5652"/>
      <c r="L363" s="5652"/>
      <c r="M363" s="5652"/>
      <c r="N363" s="5652"/>
      <c r="O363" s="5652"/>
      <c r="P363" s="5652"/>
      <c r="Q363" s="5652"/>
      <c r="R363" s="5656"/>
      <c r="S363" s="1452"/>
      <c r="T363" s="1473"/>
      <c r="U363" s="1473"/>
      <c r="V363" s="1388"/>
      <c r="W363" s="1394"/>
      <c r="X363" s="1395"/>
      <c r="Y363" s="1377"/>
      <c r="Z363" s="1377"/>
      <c r="AA363" s="1377"/>
      <c r="AB363" s="1378"/>
      <c r="AC363" s="1395"/>
      <c r="AD363" s="449"/>
      <c r="AE363" s="449"/>
      <c r="AF363" s="5688"/>
    </row>
    <row r="364" spans="1:32" ht="24" customHeight="1">
      <c r="A364" s="4564"/>
      <c r="B364" s="4623"/>
      <c r="C364" s="5717"/>
      <c r="D364" s="5652"/>
      <c r="E364" s="5652"/>
      <c r="F364" s="5652"/>
      <c r="G364" s="5652"/>
      <c r="H364" s="5652"/>
      <c r="I364" s="5652"/>
      <c r="J364" s="5652"/>
      <c r="K364" s="5652"/>
      <c r="L364" s="5652"/>
      <c r="M364" s="5652"/>
      <c r="N364" s="5652"/>
      <c r="O364" s="5652"/>
      <c r="P364" s="5652"/>
      <c r="Q364" s="5652"/>
      <c r="R364" s="5656"/>
      <c r="S364" s="1459"/>
      <c r="T364" s="1474"/>
      <c r="U364" s="1474"/>
      <c r="V364" s="1388"/>
      <c r="W364" s="1394"/>
      <c r="X364" s="1395"/>
      <c r="Y364" s="1377"/>
      <c r="Z364" s="1377"/>
      <c r="AA364" s="1377"/>
      <c r="AB364" s="1378"/>
      <c r="AC364" s="1395"/>
      <c r="AD364" s="449"/>
      <c r="AE364" s="449"/>
      <c r="AF364" s="5688"/>
    </row>
    <row r="365" spans="1:32" ht="24" customHeight="1">
      <c r="A365" s="4564"/>
      <c r="B365" s="4623"/>
      <c r="C365" s="5718"/>
      <c r="D365" s="5653"/>
      <c r="E365" s="5653"/>
      <c r="F365" s="5653"/>
      <c r="G365" s="5653"/>
      <c r="H365" s="5653"/>
      <c r="I365" s="5653"/>
      <c r="J365" s="5653"/>
      <c r="K365" s="5653"/>
      <c r="L365" s="5653"/>
      <c r="M365" s="5653"/>
      <c r="N365" s="5653"/>
      <c r="O365" s="5653"/>
      <c r="P365" s="5653"/>
      <c r="Q365" s="5653"/>
      <c r="R365" s="5657"/>
      <c r="S365" s="1460"/>
      <c r="T365" s="1477"/>
      <c r="U365" s="1477"/>
      <c r="V365" s="450"/>
      <c r="W365" s="1383"/>
      <c r="X365" s="448"/>
      <c r="Y365" s="1384"/>
      <c r="Z365" s="1384"/>
      <c r="AA365" s="1384"/>
      <c r="AB365" s="1385"/>
      <c r="AC365" s="448"/>
      <c r="AD365" s="451"/>
      <c r="AE365" s="451"/>
      <c r="AF365" s="5689"/>
    </row>
    <row r="366" spans="1:32" ht="31.5" customHeight="1">
      <c r="A366" s="4564"/>
      <c r="B366" s="4623"/>
      <c r="C366" s="5716" t="s">
        <v>272</v>
      </c>
      <c r="D366" s="5651" t="s">
        <v>302</v>
      </c>
      <c r="E366" s="5651" t="s">
        <v>680</v>
      </c>
      <c r="F366" s="5651" t="s">
        <v>681</v>
      </c>
      <c r="G366" s="5664" t="s">
        <v>305</v>
      </c>
      <c r="H366" s="5651" t="s">
        <v>262</v>
      </c>
      <c r="I366" s="5651" t="s">
        <v>241</v>
      </c>
      <c r="J366" s="5651" t="s">
        <v>3600</v>
      </c>
      <c r="K366" s="5671" t="s">
        <v>3601</v>
      </c>
      <c r="L366" s="5651" t="s">
        <v>3602</v>
      </c>
      <c r="M366" s="5654">
        <v>1</v>
      </c>
      <c r="N366" s="5654">
        <v>0</v>
      </c>
      <c r="O366" s="5654">
        <v>1</v>
      </c>
      <c r="P366" s="5651" t="s">
        <v>3603</v>
      </c>
      <c r="Q366" s="5651" t="s">
        <v>3604</v>
      </c>
      <c r="R366" s="5655" t="s">
        <v>3605</v>
      </c>
      <c r="S366" s="1451"/>
      <c r="T366" s="2154"/>
      <c r="U366" s="2154"/>
      <c r="V366" s="2138"/>
      <c r="W366" s="2139"/>
      <c r="X366" s="1921"/>
      <c r="Y366" s="2140"/>
      <c r="Z366" s="2140"/>
      <c r="AA366" s="2140"/>
      <c r="AB366" s="2141"/>
      <c r="AC366" s="1921"/>
      <c r="AD366" s="2142"/>
      <c r="AE366" s="2142"/>
      <c r="AF366" s="5690"/>
    </row>
    <row r="367" spans="1:32" ht="31.5" customHeight="1">
      <c r="A367" s="4564"/>
      <c r="B367" s="4623"/>
      <c r="C367" s="5717"/>
      <c r="D367" s="5652"/>
      <c r="E367" s="5652"/>
      <c r="F367" s="5652"/>
      <c r="G367" s="5652"/>
      <c r="H367" s="5652"/>
      <c r="I367" s="5652"/>
      <c r="J367" s="5652"/>
      <c r="K367" s="5652"/>
      <c r="L367" s="5652"/>
      <c r="M367" s="5652"/>
      <c r="N367" s="5652"/>
      <c r="O367" s="5652"/>
      <c r="P367" s="5652"/>
      <c r="Q367" s="5652"/>
      <c r="R367" s="5656"/>
      <c r="S367" s="1452"/>
      <c r="T367" s="1473"/>
      <c r="U367" s="1473"/>
      <c r="V367" s="1388"/>
      <c r="W367" s="1394"/>
      <c r="X367" s="1395"/>
      <c r="Y367" s="1377"/>
      <c r="Z367" s="1377"/>
      <c r="AA367" s="1377"/>
      <c r="AB367" s="1378"/>
      <c r="AC367" s="1395"/>
      <c r="AD367" s="449"/>
      <c r="AE367" s="449"/>
      <c r="AF367" s="5688"/>
    </row>
    <row r="368" spans="1:32" ht="31.5" customHeight="1">
      <c r="A368" s="4564"/>
      <c r="B368" s="4623"/>
      <c r="C368" s="5717"/>
      <c r="D368" s="5652"/>
      <c r="E368" s="5652"/>
      <c r="F368" s="5652"/>
      <c r="G368" s="5652"/>
      <c r="H368" s="5652"/>
      <c r="I368" s="5652"/>
      <c r="J368" s="5652"/>
      <c r="K368" s="5652"/>
      <c r="L368" s="5652"/>
      <c r="M368" s="5652"/>
      <c r="N368" s="5652"/>
      <c r="O368" s="5652"/>
      <c r="P368" s="5652"/>
      <c r="Q368" s="5652"/>
      <c r="R368" s="5656"/>
      <c r="S368" s="1452"/>
      <c r="T368" s="1473"/>
      <c r="U368" s="1473"/>
      <c r="V368" s="1388"/>
      <c r="W368" s="1394"/>
      <c r="X368" s="1395"/>
      <c r="Y368" s="1377"/>
      <c r="Z368" s="1377"/>
      <c r="AA368" s="1377"/>
      <c r="AB368" s="1378"/>
      <c r="AC368" s="1395"/>
      <c r="AD368" s="449"/>
      <c r="AE368" s="449"/>
      <c r="AF368" s="5688"/>
    </row>
    <row r="369" spans="1:32" ht="31.5" customHeight="1">
      <c r="A369" s="4564"/>
      <c r="B369" s="4623"/>
      <c r="C369" s="5717"/>
      <c r="D369" s="5652"/>
      <c r="E369" s="5652"/>
      <c r="F369" s="5652"/>
      <c r="G369" s="5652"/>
      <c r="H369" s="5652"/>
      <c r="I369" s="5652"/>
      <c r="J369" s="5652"/>
      <c r="K369" s="5652"/>
      <c r="L369" s="5652"/>
      <c r="M369" s="5652"/>
      <c r="N369" s="5652"/>
      <c r="O369" s="5652"/>
      <c r="P369" s="5652"/>
      <c r="Q369" s="5652"/>
      <c r="R369" s="5656"/>
      <c r="S369" s="1459"/>
      <c r="T369" s="1474"/>
      <c r="U369" s="1474"/>
      <c r="V369" s="1388"/>
      <c r="W369" s="1394"/>
      <c r="X369" s="1395"/>
      <c r="Y369" s="1377"/>
      <c r="Z369" s="1377"/>
      <c r="AA369" s="1377"/>
      <c r="AB369" s="1378"/>
      <c r="AC369" s="1395"/>
      <c r="AD369" s="449"/>
      <c r="AE369" s="449"/>
      <c r="AF369" s="5688"/>
    </row>
    <row r="370" spans="1:32" ht="31.5" customHeight="1">
      <c r="A370" s="4564"/>
      <c r="B370" s="4623"/>
      <c r="C370" s="5718"/>
      <c r="D370" s="5653"/>
      <c r="E370" s="5653"/>
      <c r="F370" s="5653"/>
      <c r="G370" s="5653"/>
      <c r="H370" s="5653"/>
      <c r="I370" s="5653"/>
      <c r="J370" s="5653"/>
      <c r="K370" s="5653"/>
      <c r="L370" s="5653"/>
      <c r="M370" s="5653"/>
      <c r="N370" s="5653"/>
      <c r="O370" s="5653"/>
      <c r="P370" s="5653"/>
      <c r="Q370" s="5653"/>
      <c r="R370" s="5657"/>
      <c r="S370" s="1460"/>
      <c r="T370" s="1477"/>
      <c r="U370" s="1477"/>
      <c r="V370" s="450"/>
      <c r="W370" s="1383"/>
      <c r="X370" s="448"/>
      <c r="Y370" s="1384"/>
      <c r="Z370" s="1384"/>
      <c r="AA370" s="1384"/>
      <c r="AB370" s="1385"/>
      <c r="AC370" s="448"/>
      <c r="AD370" s="451"/>
      <c r="AE370" s="451"/>
      <c r="AF370" s="5689"/>
    </row>
    <row r="371" spans="1:32" ht="18" customHeight="1">
      <c r="A371" s="4564"/>
      <c r="B371" s="4623"/>
      <c r="C371" s="5716" t="s">
        <v>272</v>
      </c>
      <c r="D371" s="5651" t="s">
        <v>302</v>
      </c>
      <c r="E371" s="5651" t="s">
        <v>388</v>
      </c>
      <c r="F371" s="5651" t="s">
        <v>944</v>
      </c>
      <c r="G371" s="5664" t="s">
        <v>305</v>
      </c>
      <c r="H371" s="5651" t="s">
        <v>262</v>
      </c>
      <c r="I371" s="5651" t="s">
        <v>241</v>
      </c>
      <c r="J371" s="5651" t="s">
        <v>3606</v>
      </c>
      <c r="K371" s="5671" t="s">
        <v>3607</v>
      </c>
      <c r="L371" s="5651" t="s">
        <v>3608</v>
      </c>
      <c r="M371" s="5654">
        <v>1</v>
      </c>
      <c r="N371" s="5654">
        <v>0</v>
      </c>
      <c r="O371" s="5654">
        <v>1</v>
      </c>
      <c r="P371" s="5651" t="s">
        <v>3609</v>
      </c>
      <c r="Q371" s="5651" t="s">
        <v>3610</v>
      </c>
      <c r="R371" s="5659" t="s">
        <v>3595</v>
      </c>
      <c r="S371" s="1451"/>
      <c r="T371" s="2154"/>
      <c r="U371" s="2154"/>
      <c r="V371" s="2138"/>
      <c r="W371" s="2139"/>
      <c r="X371" s="1921"/>
      <c r="Y371" s="2140"/>
      <c r="Z371" s="2140"/>
      <c r="AA371" s="2140"/>
      <c r="AB371" s="2141"/>
      <c r="AC371" s="1921"/>
      <c r="AD371" s="2142"/>
      <c r="AE371" s="2142"/>
      <c r="AF371" s="5690"/>
    </row>
    <row r="372" spans="1:32" ht="18" customHeight="1">
      <c r="A372" s="4564"/>
      <c r="B372" s="4623"/>
      <c r="C372" s="5717"/>
      <c r="D372" s="5652"/>
      <c r="E372" s="5652"/>
      <c r="F372" s="5652"/>
      <c r="G372" s="5652"/>
      <c r="H372" s="5652"/>
      <c r="I372" s="5652"/>
      <c r="J372" s="5652"/>
      <c r="K372" s="5652"/>
      <c r="L372" s="5652"/>
      <c r="M372" s="5652"/>
      <c r="N372" s="5652"/>
      <c r="O372" s="5652"/>
      <c r="P372" s="5652"/>
      <c r="Q372" s="5652"/>
      <c r="R372" s="5656"/>
      <c r="S372" s="1452"/>
      <c r="T372" s="1473"/>
      <c r="U372" s="1473"/>
      <c r="V372" s="1388"/>
      <c r="W372" s="1394"/>
      <c r="X372" s="1395"/>
      <c r="Y372" s="1377"/>
      <c r="Z372" s="1377"/>
      <c r="AA372" s="1377"/>
      <c r="AB372" s="1378"/>
      <c r="AC372" s="1395"/>
      <c r="AD372" s="449"/>
      <c r="AE372" s="449"/>
      <c r="AF372" s="5688"/>
    </row>
    <row r="373" spans="1:32" ht="18" customHeight="1">
      <c r="A373" s="4564"/>
      <c r="B373" s="4623"/>
      <c r="C373" s="5717"/>
      <c r="D373" s="5652"/>
      <c r="E373" s="5652"/>
      <c r="F373" s="5652"/>
      <c r="G373" s="5652"/>
      <c r="H373" s="5652"/>
      <c r="I373" s="5652"/>
      <c r="J373" s="5652"/>
      <c r="K373" s="5652"/>
      <c r="L373" s="5652"/>
      <c r="M373" s="5652"/>
      <c r="N373" s="5652"/>
      <c r="O373" s="5652"/>
      <c r="P373" s="5652"/>
      <c r="Q373" s="5652"/>
      <c r="R373" s="5656"/>
      <c r="S373" s="1452"/>
      <c r="T373" s="1473"/>
      <c r="U373" s="1473"/>
      <c r="V373" s="1388"/>
      <c r="W373" s="1394"/>
      <c r="X373" s="1395"/>
      <c r="Y373" s="1377"/>
      <c r="Z373" s="1377"/>
      <c r="AA373" s="1377"/>
      <c r="AB373" s="1378"/>
      <c r="AC373" s="1395"/>
      <c r="AD373" s="449"/>
      <c r="AE373" s="449"/>
      <c r="AF373" s="5688"/>
    </row>
    <row r="374" spans="1:32" ht="18" customHeight="1">
      <c r="A374" s="4564"/>
      <c r="B374" s="4623"/>
      <c r="C374" s="5717"/>
      <c r="D374" s="5652"/>
      <c r="E374" s="5652"/>
      <c r="F374" s="5652"/>
      <c r="G374" s="5652"/>
      <c r="H374" s="5652"/>
      <c r="I374" s="5652"/>
      <c r="J374" s="5652"/>
      <c r="K374" s="5652"/>
      <c r="L374" s="5652"/>
      <c r="M374" s="5652"/>
      <c r="N374" s="5652"/>
      <c r="O374" s="5652"/>
      <c r="P374" s="5652"/>
      <c r="Q374" s="5652"/>
      <c r="R374" s="5656"/>
      <c r="S374" s="1459"/>
      <c r="T374" s="1474"/>
      <c r="U374" s="1474"/>
      <c r="V374" s="1388"/>
      <c r="W374" s="1394"/>
      <c r="X374" s="1395"/>
      <c r="Y374" s="1377"/>
      <c r="Z374" s="1377"/>
      <c r="AA374" s="1377"/>
      <c r="AB374" s="1378"/>
      <c r="AC374" s="1395"/>
      <c r="AD374" s="449"/>
      <c r="AE374" s="449"/>
      <c r="AF374" s="5688"/>
    </row>
    <row r="375" spans="1:32" ht="18" customHeight="1" thickBot="1">
      <c r="A375" s="4564"/>
      <c r="B375" s="4623"/>
      <c r="C375" s="5720"/>
      <c r="D375" s="5658"/>
      <c r="E375" s="5658"/>
      <c r="F375" s="5658"/>
      <c r="G375" s="5658"/>
      <c r="H375" s="5658"/>
      <c r="I375" s="5658"/>
      <c r="J375" s="5658"/>
      <c r="K375" s="5658"/>
      <c r="L375" s="5658"/>
      <c r="M375" s="5658"/>
      <c r="N375" s="5658"/>
      <c r="O375" s="5658"/>
      <c r="P375" s="5658"/>
      <c r="Q375" s="5658"/>
      <c r="R375" s="5660"/>
      <c r="S375" s="1470"/>
      <c r="T375" s="1478"/>
      <c r="U375" s="1478"/>
      <c r="V375" s="1417"/>
      <c r="W375" s="1418"/>
      <c r="X375" s="1419"/>
      <c r="Y375" s="1420"/>
      <c r="Z375" s="1420"/>
      <c r="AA375" s="1420"/>
      <c r="AB375" s="1421"/>
      <c r="AC375" s="1419"/>
      <c r="AD375" s="1422"/>
      <c r="AE375" s="1422"/>
      <c r="AF375" s="5704"/>
    </row>
    <row r="376" spans="1:32" ht="22.5" customHeight="1" thickBot="1">
      <c r="A376" s="4564"/>
      <c r="B376" s="4620"/>
      <c r="C376" s="5673"/>
      <c r="D376" s="4567"/>
      <c r="E376" s="4567"/>
      <c r="F376" s="4567"/>
      <c r="G376" s="4567"/>
      <c r="H376" s="4567"/>
      <c r="I376" s="4567"/>
      <c r="J376" s="4567"/>
      <c r="K376" s="4567"/>
      <c r="L376" s="4567"/>
      <c r="M376" s="4567"/>
      <c r="N376" s="4567"/>
      <c r="O376" s="4567"/>
      <c r="P376" s="4567"/>
      <c r="Q376" s="4567"/>
      <c r="R376" s="5674"/>
      <c r="S376" s="5707" t="s">
        <v>3611</v>
      </c>
      <c r="T376" s="5111"/>
      <c r="U376" s="5111"/>
      <c r="V376" s="5111"/>
      <c r="W376" s="5111"/>
      <c r="X376" s="5111"/>
      <c r="Y376" s="5111"/>
      <c r="Z376" s="5708"/>
      <c r="AA376" s="2147" t="s">
        <v>340</v>
      </c>
      <c r="AB376" s="2148">
        <f>SUM(AB356:AB375)</f>
        <v>0</v>
      </c>
      <c r="AC376" s="5686"/>
      <c r="AD376" s="5111"/>
      <c r="AE376" s="5111"/>
      <c r="AF376" s="4717"/>
    </row>
    <row r="377" spans="1:32" ht="18" customHeight="1">
      <c r="A377" s="4564"/>
      <c r="B377" s="5727" t="s">
        <v>3612</v>
      </c>
      <c r="C377" s="5725" t="s">
        <v>272</v>
      </c>
      <c r="D377" s="5661" t="s">
        <v>302</v>
      </c>
      <c r="E377" s="5661" t="s">
        <v>303</v>
      </c>
      <c r="F377" s="5661" t="s">
        <v>318</v>
      </c>
      <c r="G377" s="5666" t="s">
        <v>305</v>
      </c>
      <c r="H377" s="5661" t="s">
        <v>240</v>
      </c>
      <c r="I377" s="5661" t="s">
        <v>241</v>
      </c>
      <c r="J377" s="5661" t="s">
        <v>3613</v>
      </c>
      <c r="K377" s="5676" t="s">
        <v>3591</v>
      </c>
      <c r="L377" s="5661" t="s">
        <v>3592</v>
      </c>
      <c r="M377" s="5662">
        <v>1</v>
      </c>
      <c r="N377" s="5662">
        <v>0</v>
      </c>
      <c r="O377" s="5662">
        <v>1</v>
      </c>
      <c r="P377" s="5661" t="s">
        <v>3593</v>
      </c>
      <c r="Q377" s="5661" t="s">
        <v>3594</v>
      </c>
      <c r="R377" s="5663" t="s">
        <v>3614</v>
      </c>
      <c r="S377" s="1471"/>
      <c r="T377" s="1472"/>
      <c r="U377" s="1472"/>
      <c r="V377" s="1369"/>
      <c r="W377" s="1370"/>
      <c r="X377" s="1371"/>
      <c r="Y377" s="1372"/>
      <c r="Z377" s="1372"/>
      <c r="AA377" s="1372"/>
      <c r="AB377" s="1373"/>
      <c r="AC377" s="1371"/>
      <c r="AD377" s="1374"/>
      <c r="AE377" s="1374"/>
      <c r="AF377" s="5706" t="s">
        <v>3615</v>
      </c>
    </row>
    <row r="378" spans="1:32" ht="18" customHeight="1">
      <c r="A378" s="4564"/>
      <c r="B378" s="4623"/>
      <c r="C378" s="5717"/>
      <c r="D378" s="5652"/>
      <c r="E378" s="5652"/>
      <c r="F378" s="5652"/>
      <c r="G378" s="5652"/>
      <c r="H378" s="5652"/>
      <c r="I378" s="5652"/>
      <c r="J378" s="5652"/>
      <c r="K378" s="5652"/>
      <c r="L378" s="5652"/>
      <c r="M378" s="5652"/>
      <c r="N378" s="5652"/>
      <c r="O378" s="5652"/>
      <c r="P378" s="5652"/>
      <c r="Q378" s="5652"/>
      <c r="R378" s="5656"/>
      <c r="S378" s="1452"/>
      <c r="T378" s="1473"/>
      <c r="U378" s="1473"/>
      <c r="V378" s="1388"/>
      <c r="W378" s="1394"/>
      <c r="X378" s="1395"/>
      <c r="Y378" s="1377"/>
      <c r="Z378" s="1377"/>
      <c r="AA378" s="1377"/>
      <c r="AB378" s="1378"/>
      <c r="AC378" s="1395"/>
      <c r="AD378" s="449"/>
      <c r="AE378" s="449"/>
      <c r="AF378" s="4717"/>
    </row>
    <row r="379" spans="1:32" ht="18" customHeight="1">
      <c r="A379" s="4564"/>
      <c r="B379" s="4623"/>
      <c r="C379" s="5717"/>
      <c r="D379" s="5652"/>
      <c r="E379" s="5652"/>
      <c r="F379" s="5652"/>
      <c r="G379" s="5652"/>
      <c r="H379" s="5652"/>
      <c r="I379" s="5652"/>
      <c r="J379" s="5652"/>
      <c r="K379" s="5652"/>
      <c r="L379" s="5652"/>
      <c r="M379" s="5652"/>
      <c r="N379" s="5652"/>
      <c r="O379" s="5652"/>
      <c r="P379" s="5652"/>
      <c r="Q379" s="5652"/>
      <c r="R379" s="5656"/>
      <c r="S379" s="1452"/>
      <c r="T379" s="1473"/>
      <c r="U379" s="1473"/>
      <c r="V379" s="1388"/>
      <c r="W379" s="1394"/>
      <c r="X379" s="1395"/>
      <c r="Y379" s="1377"/>
      <c r="Z379" s="1377"/>
      <c r="AA379" s="1377"/>
      <c r="AB379" s="1378"/>
      <c r="AC379" s="1395"/>
      <c r="AD379" s="449"/>
      <c r="AE379" s="449"/>
      <c r="AF379" s="4717"/>
    </row>
    <row r="380" spans="1:32" ht="18" customHeight="1">
      <c r="A380" s="4564"/>
      <c r="B380" s="4623"/>
      <c r="C380" s="5717"/>
      <c r="D380" s="5652"/>
      <c r="E380" s="5652"/>
      <c r="F380" s="5652"/>
      <c r="G380" s="5652"/>
      <c r="H380" s="5652"/>
      <c r="I380" s="5652"/>
      <c r="J380" s="5652"/>
      <c r="K380" s="5652"/>
      <c r="L380" s="5652"/>
      <c r="M380" s="5652"/>
      <c r="N380" s="5652"/>
      <c r="O380" s="5652"/>
      <c r="P380" s="5652"/>
      <c r="Q380" s="5652"/>
      <c r="R380" s="5656"/>
      <c r="S380" s="1459"/>
      <c r="T380" s="1474"/>
      <c r="U380" s="1474"/>
      <c r="V380" s="1388"/>
      <c r="W380" s="1394"/>
      <c r="X380" s="1395"/>
      <c r="Y380" s="1377"/>
      <c r="Z380" s="1377"/>
      <c r="AA380" s="1377"/>
      <c r="AB380" s="1378"/>
      <c r="AC380" s="1395"/>
      <c r="AD380" s="449"/>
      <c r="AE380" s="449"/>
      <c r="AF380" s="4717"/>
    </row>
    <row r="381" spans="1:32" ht="18" customHeight="1">
      <c r="A381" s="4564"/>
      <c r="B381" s="4623"/>
      <c r="C381" s="5718"/>
      <c r="D381" s="5653"/>
      <c r="E381" s="5653"/>
      <c r="F381" s="5653"/>
      <c r="G381" s="5653"/>
      <c r="H381" s="5653"/>
      <c r="I381" s="5653"/>
      <c r="J381" s="5653"/>
      <c r="K381" s="5653"/>
      <c r="L381" s="5653"/>
      <c r="M381" s="5653"/>
      <c r="N381" s="5653"/>
      <c r="O381" s="5653"/>
      <c r="P381" s="5653"/>
      <c r="Q381" s="5653"/>
      <c r="R381" s="5657"/>
      <c r="S381" s="1460"/>
      <c r="T381" s="1477"/>
      <c r="U381" s="1477"/>
      <c r="V381" s="450"/>
      <c r="W381" s="1383"/>
      <c r="X381" s="448"/>
      <c r="Y381" s="1384"/>
      <c r="Z381" s="1384"/>
      <c r="AA381" s="1384"/>
      <c r="AB381" s="1385"/>
      <c r="AC381" s="448"/>
      <c r="AD381" s="451"/>
      <c r="AE381" s="451"/>
      <c r="AF381" s="4718"/>
    </row>
    <row r="382" spans="1:32" ht="24" customHeight="1">
      <c r="A382" s="4564"/>
      <c r="B382" s="4623"/>
      <c r="C382" s="5716" t="s">
        <v>272</v>
      </c>
      <c r="D382" s="5651" t="s">
        <v>302</v>
      </c>
      <c r="E382" s="5651" t="s">
        <v>274</v>
      </c>
      <c r="F382" s="5651" t="s">
        <v>885</v>
      </c>
      <c r="G382" s="5664" t="s">
        <v>305</v>
      </c>
      <c r="H382" s="5651" t="s">
        <v>262</v>
      </c>
      <c r="I382" s="5651" t="s">
        <v>241</v>
      </c>
      <c r="J382" s="5651" t="s">
        <v>3616</v>
      </c>
      <c r="K382" s="5671" t="s">
        <v>3597</v>
      </c>
      <c r="L382" s="5651" t="s">
        <v>3598</v>
      </c>
      <c r="M382" s="5654">
        <v>1</v>
      </c>
      <c r="N382" s="5654">
        <v>0</v>
      </c>
      <c r="O382" s="5654">
        <v>1</v>
      </c>
      <c r="P382" s="5651" t="s">
        <v>3025</v>
      </c>
      <c r="Q382" s="5651" t="s">
        <v>1604</v>
      </c>
      <c r="R382" s="5659" t="s">
        <v>3617</v>
      </c>
      <c r="S382" s="1451"/>
      <c r="T382" s="2154"/>
      <c r="U382" s="2154"/>
      <c r="V382" s="2138"/>
      <c r="W382" s="2139"/>
      <c r="X382" s="1921"/>
      <c r="Y382" s="2140"/>
      <c r="Z382" s="2140"/>
      <c r="AA382" s="2140"/>
      <c r="AB382" s="2141"/>
      <c r="AC382" s="1921"/>
      <c r="AD382" s="2142"/>
      <c r="AE382" s="2142"/>
      <c r="AF382" s="5684"/>
    </row>
    <row r="383" spans="1:32" ht="24" customHeight="1">
      <c r="A383" s="4564"/>
      <c r="B383" s="4623"/>
      <c r="C383" s="5717"/>
      <c r="D383" s="5652"/>
      <c r="E383" s="5652"/>
      <c r="F383" s="5652"/>
      <c r="G383" s="5652"/>
      <c r="H383" s="5652"/>
      <c r="I383" s="5652"/>
      <c r="J383" s="5652"/>
      <c r="K383" s="5652"/>
      <c r="L383" s="5652"/>
      <c r="M383" s="5652"/>
      <c r="N383" s="5652"/>
      <c r="O383" s="5652"/>
      <c r="P383" s="5652"/>
      <c r="Q383" s="5652"/>
      <c r="R383" s="5656"/>
      <c r="S383" s="1452"/>
      <c r="T383" s="1473"/>
      <c r="U383" s="1473"/>
      <c r="V383" s="1388"/>
      <c r="W383" s="1394"/>
      <c r="X383" s="1395"/>
      <c r="Y383" s="1377"/>
      <c r="Z383" s="1377"/>
      <c r="AA383" s="1377"/>
      <c r="AB383" s="1378"/>
      <c r="AC383" s="1395"/>
      <c r="AD383" s="449"/>
      <c r="AE383" s="449"/>
      <c r="AF383" s="4717"/>
    </row>
    <row r="384" spans="1:32" ht="24" customHeight="1">
      <c r="A384" s="4564"/>
      <c r="B384" s="4623"/>
      <c r="C384" s="5717"/>
      <c r="D384" s="5652"/>
      <c r="E384" s="5652"/>
      <c r="F384" s="5652"/>
      <c r="G384" s="5652"/>
      <c r="H384" s="5652"/>
      <c r="I384" s="5652"/>
      <c r="J384" s="5652"/>
      <c r="K384" s="5652"/>
      <c r="L384" s="5652"/>
      <c r="M384" s="5652"/>
      <c r="N384" s="5652"/>
      <c r="O384" s="5652"/>
      <c r="P384" s="5652"/>
      <c r="Q384" s="5652"/>
      <c r="R384" s="5656"/>
      <c r="S384" s="1452"/>
      <c r="T384" s="1473"/>
      <c r="U384" s="1473"/>
      <c r="V384" s="1388"/>
      <c r="W384" s="1394"/>
      <c r="X384" s="1395"/>
      <c r="Y384" s="1377"/>
      <c r="Z384" s="1377"/>
      <c r="AA384" s="1377"/>
      <c r="AB384" s="1378"/>
      <c r="AC384" s="1395"/>
      <c r="AD384" s="449"/>
      <c r="AE384" s="449"/>
      <c r="AF384" s="4717"/>
    </row>
    <row r="385" spans="1:32" ht="24" customHeight="1">
      <c r="A385" s="4564"/>
      <c r="B385" s="4623"/>
      <c r="C385" s="5717"/>
      <c r="D385" s="5652"/>
      <c r="E385" s="5652"/>
      <c r="F385" s="5652"/>
      <c r="G385" s="5652"/>
      <c r="H385" s="5652"/>
      <c r="I385" s="5652"/>
      <c r="J385" s="5652"/>
      <c r="K385" s="5652"/>
      <c r="L385" s="5652"/>
      <c r="M385" s="5652"/>
      <c r="N385" s="5652"/>
      <c r="O385" s="5652"/>
      <c r="P385" s="5652"/>
      <c r="Q385" s="5652"/>
      <c r="R385" s="5656"/>
      <c r="S385" s="1459"/>
      <c r="T385" s="1474"/>
      <c r="U385" s="1474"/>
      <c r="V385" s="1388"/>
      <c r="W385" s="1394"/>
      <c r="X385" s="1395"/>
      <c r="Y385" s="1377"/>
      <c r="Z385" s="1377"/>
      <c r="AA385" s="1377"/>
      <c r="AB385" s="1378"/>
      <c r="AC385" s="1395"/>
      <c r="AD385" s="449"/>
      <c r="AE385" s="449"/>
      <c r="AF385" s="4717"/>
    </row>
    <row r="386" spans="1:32" ht="24" customHeight="1">
      <c r="A386" s="4564"/>
      <c r="B386" s="4623"/>
      <c r="C386" s="5718"/>
      <c r="D386" s="5653"/>
      <c r="E386" s="5653"/>
      <c r="F386" s="5653"/>
      <c r="G386" s="5653"/>
      <c r="H386" s="5653"/>
      <c r="I386" s="5653"/>
      <c r="J386" s="5653"/>
      <c r="K386" s="5653"/>
      <c r="L386" s="5653"/>
      <c r="M386" s="5653"/>
      <c r="N386" s="5653"/>
      <c r="O386" s="5653"/>
      <c r="P386" s="5653"/>
      <c r="Q386" s="5653"/>
      <c r="R386" s="5657"/>
      <c r="S386" s="1460"/>
      <c r="T386" s="1477"/>
      <c r="U386" s="1477"/>
      <c r="V386" s="450"/>
      <c r="W386" s="1383"/>
      <c r="X386" s="448"/>
      <c r="Y386" s="1384"/>
      <c r="Z386" s="1384"/>
      <c r="AA386" s="1384"/>
      <c r="AB386" s="1385"/>
      <c r="AC386" s="448"/>
      <c r="AD386" s="451"/>
      <c r="AE386" s="451"/>
      <c r="AF386" s="4718"/>
    </row>
    <row r="387" spans="1:32" ht="33" customHeight="1">
      <c r="A387" s="4564"/>
      <c r="B387" s="4623"/>
      <c r="C387" s="5716" t="s">
        <v>272</v>
      </c>
      <c r="D387" s="5651" t="s">
        <v>302</v>
      </c>
      <c r="E387" s="5651" t="s">
        <v>680</v>
      </c>
      <c r="F387" s="5651" t="s">
        <v>681</v>
      </c>
      <c r="G387" s="5664" t="s">
        <v>305</v>
      </c>
      <c r="H387" s="5651" t="s">
        <v>262</v>
      </c>
      <c r="I387" s="5651" t="s">
        <v>241</v>
      </c>
      <c r="J387" s="5651" t="s">
        <v>3618</v>
      </c>
      <c r="K387" s="5671" t="s">
        <v>3601</v>
      </c>
      <c r="L387" s="5651" t="s">
        <v>3602</v>
      </c>
      <c r="M387" s="5654">
        <v>1</v>
      </c>
      <c r="N387" s="5654">
        <v>0</v>
      </c>
      <c r="O387" s="5654">
        <v>1</v>
      </c>
      <c r="P387" s="5651" t="s">
        <v>3603</v>
      </c>
      <c r="Q387" s="5651" t="s">
        <v>3604</v>
      </c>
      <c r="R387" s="5655" t="s">
        <v>3619</v>
      </c>
      <c r="S387" s="1451"/>
      <c r="T387" s="2154"/>
      <c r="U387" s="2154"/>
      <c r="V387" s="2138"/>
      <c r="W387" s="2139"/>
      <c r="X387" s="1921"/>
      <c r="Y387" s="2140"/>
      <c r="Z387" s="2140"/>
      <c r="AA387" s="2140"/>
      <c r="AB387" s="2141"/>
      <c r="AC387" s="1921"/>
      <c r="AD387" s="2142"/>
      <c r="AE387" s="2142"/>
      <c r="AF387" s="5684"/>
    </row>
    <row r="388" spans="1:32" ht="33" customHeight="1">
      <c r="A388" s="4564"/>
      <c r="B388" s="4623"/>
      <c r="C388" s="5717"/>
      <c r="D388" s="5652"/>
      <c r="E388" s="5652"/>
      <c r="F388" s="5652"/>
      <c r="G388" s="5652"/>
      <c r="H388" s="5652"/>
      <c r="I388" s="5652"/>
      <c r="J388" s="5652"/>
      <c r="K388" s="5652"/>
      <c r="L388" s="5652"/>
      <c r="M388" s="5652"/>
      <c r="N388" s="5652"/>
      <c r="O388" s="5652"/>
      <c r="P388" s="5652"/>
      <c r="Q388" s="5652"/>
      <c r="R388" s="5656"/>
      <c r="S388" s="1452"/>
      <c r="T388" s="1473"/>
      <c r="U388" s="1473"/>
      <c r="V388" s="1388"/>
      <c r="W388" s="1394"/>
      <c r="X388" s="1395"/>
      <c r="Y388" s="1377"/>
      <c r="Z388" s="1377"/>
      <c r="AA388" s="1377"/>
      <c r="AB388" s="1378"/>
      <c r="AC388" s="1395"/>
      <c r="AD388" s="449"/>
      <c r="AE388" s="449"/>
      <c r="AF388" s="4717"/>
    </row>
    <row r="389" spans="1:32" ht="33" customHeight="1">
      <c r="A389" s="4564"/>
      <c r="B389" s="4623"/>
      <c r="C389" s="5717"/>
      <c r="D389" s="5652"/>
      <c r="E389" s="5652"/>
      <c r="F389" s="5652"/>
      <c r="G389" s="5652"/>
      <c r="H389" s="5652"/>
      <c r="I389" s="5652"/>
      <c r="J389" s="5652"/>
      <c r="K389" s="5652"/>
      <c r="L389" s="5652"/>
      <c r="M389" s="5652"/>
      <c r="N389" s="5652"/>
      <c r="O389" s="5652"/>
      <c r="P389" s="5652"/>
      <c r="Q389" s="5652"/>
      <c r="R389" s="5656"/>
      <c r="S389" s="1452"/>
      <c r="T389" s="1473"/>
      <c r="U389" s="1473"/>
      <c r="V389" s="1388"/>
      <c r="W389" s="1394"/>
      <c r="X389" s="1395"/>
      <c r="Y389" s="1377"/>
      <c r="Z389" s="1377"/>
      <c r="AA389" s="1377"/>
      <c r="AB389" s="1378"/>
      <c r="AC389" s="1395"/>
      <c r="AD389" s="449"/>
      <c r="AE389" s="449"/>
      <c r="AF389" s="4717"/>
    </row>
    <row r="390" spans="1:32" ht="33" customHeight="1">
      <c r="A390" s="4564"/>
      <c r="B390" s="4623"/>
      <c r="C390" s="5717"/>
      <c r="D390" s="5652"/>
      <c r="E390" s="5652"/>
      <c r="F390" s="5652"/>
      <c r="G390" s="5652"/>
      <c r="H390" s="5652"/>
      <c r="I390" s="5652"/>
      <c r="J390" s="5652"/>
      <c r="K390" s="5652"/>
      <c r="L390" s="5652"/>
      <c r="M390" s="5652"/>
      <c r="N390" s="5652"/>
      <c r="O390" s="5652"/>
      <c r="P390" s="5652"/>
      <c r="Q390" s="5652"/>
      <c r="R390" s="5656"/>
      <c r="S390" s="1459"/>
      <c r="T390" s="1474"/>
      <c r="U390" s="1474"/>
      <c r="V390" s="1388"/>
      <c r="W390" s="1394"/>
      <c r="X390" s="1395"/>
      <c r="Y390" s="1377"/>
      <c r="Z390" s="1377"/>
      <c r="AA390" s="1377"/>
      <c r="AB390" s="1378"/>
      <c r="AC390" s="1395"/>
      <c r="AD390" s="449"/>
      <c r="AE390" s="449"/>
      <c r="AF390" s="4717"/>
    </row>
    <row r="391" spans="1:32" ht="33" customHeight="1">
      <c r="A391" s="4564"/>
      <c r="B391" s="4623"/>
      <c r="C391" s="5718"/>
      <c r="D391" s="5653"/>
      <c r="E391" s="5653"/>
      <c r="F391" s="5653"/>
      <c r="G391" s="5653"/>
      <c r="H391" s="5653"/>
      <c r="I391" s="5653"/>
      <c r="J391" s="5653"/>
      <c r="K391" s="5653"/>
      <c r="L391" s="5653"/>
      <c r="M391" s="5653"/>
      <c r="N391" s="5653"/>
      <c r="O391" s="5653"/>
      <c r="P391" s="5653"/>
      <c r="Q391" s="5653"/>
      <c r="R391" s="5657"/>
      <c r="S391" s="1460"/>
      <c r="T391" s="1477"/>
      <c r="U391" s="1477"/>
      <c r="V391" s="450"/>
      <c r="W391" s="1383"/>
      <c r="X391" s="448"/>
      <c r="Y391" s="1384"/>
      <c r="Z391" s="1384"/>
      <c r="AA391" s="1384"/>
      <c r="AB391" s="1385"/>
      <c r="AC391" s="448"/>
      <c r="AD391" s="451"/>
      <c r="AE391" s="451"/>
      <c r="AF391" s="4718"/>
    </row>
    <row r="392" spans="1:32" ht="18" customHeight="1">
      <c r="A392" s="4564"/>
      <c r="B392" s="4623"/>
      <c r="C392" s="5716" t="s">
        <v>272</v>
      </c>
      <c r="D392" s="5651" t="s">
        <v>302</v>
      </c>
      <c r="E392" s="5651" t="s">
        <v>388</v>
      </c>
      <c r="F392" s="5651" t="s">
        <v>944</v>
      </c>
      <c r="G392" s="5664" t="s">
        <v>305</v>
      </c>
      <c r="H392" s="5651" t="s">
        <v>262</v>
      </c>
      <c r="I392" s="5651" t="s">
        <v>241</v>
      </c>
      <c r="J392" s="5651" t="s">
        <v>3620</v>
      </c>
      <c r="K392" s="5671" t="s">
        <v>3607</v>
      </c>
      <c r="L392" s="5651" t="s">
        <v>3608</v>
      </c>
      <c r="M392" s="5654">
        <v>1</v>
      </c>
      <c r="N392" s="5654">
        <v>0</v>
      </c>
      <c r="O392" s="5654">
        <v>1</v>
      </c>
      <c r="P392" s="5651" t="s">
        <v>3609</v>
      </c>
      <c r="Q392" s="5651" t="s">
        <v>3610</v>
      </c>
      <c r="R392" s="5659" t="s">
        <v>3614</v>
      </c>
      <c r="S392" s="1451"/>
      <c r="T392" s="2154"/>
      <c r="U392" s="2154"/>
      <c r="V392" s="2138"/>
      <c r="W392" s="2139"/>
      <c r="X392" s="1921"/>
      <c r="Y392" s="2140"/>
      <c r="Z392" s="2140"/>
      <c r="AA392" s="2140"/>
      <c r="AB392" s="2141"/>
      <c r="AC392" s="1921"/>
      <c r="AD392" s="2142"/>
      <c r="AE392" s="2142"/>
      <c r="AF392" s="5684"/>
    </row>
    <row r="393" spans="1:32" ht="18" customHeight="1">
      <c r="A393" s="4564"/>
      <c r="B393" s="4623"/>
      <c r="C393" s="5717"/>
      <c r="D393" s="5652"/>
      <c r="E393" s="5652"/>
      <c r="F393" s="5652"/>
      <c r="G393" s="5652"/>
      <c r="H393" s="5652"/>
      <c r="I393" s="5652"/>
      <c r="J393" s="5652"/>
      <c r="K393" s="5652"/>
      <c r="L393" s="5652"/>
      <c r="M393" s="5652"/>
      <c r="N393" s="5652"/>
      <c r="O393" s="5652"/>
      <c r="P393" s="5652"/>
      <c r="Q393" s="5652"/>
      <c r="R393" s="5656"/>
      <c r="S393" s="1452"/>
      <c r="T393" s="1473"/>
      <c r="U393" s="1473"/>
      <c r="V393" s="1388"/>
      <c r="W393" s="1394"/>
      <c r="X393" s="1395"/>
      <c r="Y393" s="1377"/>
      <c r="Z393" s="1377"/>
      <c r="AA393" s="1377"/>
      <c r="AB393" s="1378"/>
      <c r="AC393" s="1395"/>
      <c r="AD393" s="449"/>
      <c r="AE393" s="449"/>
      <c r="AF393" s="4717"/>
    </row>
    <row r="394" spans="1:32" ht="18" customHeight="1">
      <c r="A394" s="4564"/>
      <c r="B394" s="4623"/>
      <c r="C394" s="5717"/>
      <c r="D394" s="5652"/>
      <c r="E394" s="5652"/>
      <c r="F394" s="5652"/>
      <c r="G394" s="5652"/>
      <c r="H394" s="5652"/>
      <c r="I394" s="5652"/>
      <c r="J394" s="5652"/>
      <c r="K394" s="5652"/>
      <c r="L394" s="5652"/>
      <c r="M394" s="5652"/>
      <c r="N394" s="5652"/>
      <c r="O394" s="5652"/>
      <c r="P394" s="5652"/>
      <c r="Q394" s="5652"/>
      <c r="R394" s="5656"/>
      <c r="S394" s="1452"/>
      <c r="T394" s="1473"/>
      <c r="U394" s="1473"/>
      <c r="V394" s="1388"/>
      <c r="W394" s="1394"/>
      <c r="X394" s="1395"/>
      <c r="Y394" s="1377"/>
      <c r="Z394" s="1377"/>
      <c r="AA394" s="1377"/>
      <c r="AB394" s="1378"/>
      <c r="AC394" s="1395"/>
      <c r="AD394" s="449"/>
      <c r="AE394" s="449"/>
      <c r="AF394" s="4717"/>
    </row>
    <row r="395" spans="1:32" ht="18" customHeight="1">
      <c r="A395" s="4564"/>
      <c r="B395" s="4623"/>
      <c r="C395" s="5717"/>
      <c r="D395" s="5652"/>
      <c r="E395" s="5652"/>
      <c r="F395" s="5652"/>
      <c r="G395" s="5652"/>
      <c r="H395" s="5652"/>
      <c r="I395" s="5652"/>
      <c r="J395" s="5652"/>
      <c r="K395" s="5652"/>
      <c r="L395" s="5652"/>
      <c r="M395" s="5652"/>
      <c r="N395" s="5652"/>
      <c r="O395" s="5652"/>
      <c r="P395" s="5652"/>
      <c r="Q395" s="5652"/>
      <c r="R395" s="5656"/>
      <c r="S395" s="1459"/>
      <c r="T395" s="1474"/>
      <c r="U395" s="1474"/>
      <c r="V395" s="1388"/>
      <c r="W395" s="1394"/>
      <c r="X395" s="1395"/>
      <c r="Y395" s="1377"/>
      <c r="Z395" s="1377"/>
      <c r="AA395" s="1377"/>
      <c r="AB395" s="1378"/>
      <c r="AC395" s="1395"/>
      <c r="AD395" s="449"/>
      <c r="AE395" s="449"/>
      <c r="AF395" s="4717"/>
    </row>
    <row r="396" spans="1:32" ht="18" customHeight="1" thickBot="1">
      <c r="A396" s="4564"/>
      <c r="B396" s="4623"/>
      <c r="C396" s="5720"/>
      <c r="D396" s="5658"/>
      <c r="E396" s="5658"/>
      <c r="F396" s="5658"/>
      <c r="G396" s="5658"/>
      <c r="H396" s="5658"/>
      <c r="I396" s="5658"/>
      <c r="J396" s="5658"/>
      <c r="K396" s="5658"/>
      <c r="L396" s="5658"/>
      <c r="M396" s="5658"/>
      <c r="N396" s="5658"/>
      <c r="O396" s="5658"/>
      <c r="P396" s="5658"/>
      <c r="Q396" s="5658"/>
      <c r="R396" s="5660"/>
      <c r="S396" s="1470"/>
      <c r="T396" s="1478"/>
      <c r="U396" s="1478"/>
      <c r="V396" s="1417"/>
      <c r="W396" s="1418"/>
      <c r="X396" s="1419"/>
      <c r="Y396" s="1420"/>
      <c r="Z396" s="1420"/>
      <c r="AA396" s="1420"/>
      <c r="AB396" s="1421"/>
      <c r="AC396" s="1419"/>
      <c r="AD396" s="1422"/>
      <c r="AE396" s="1422"/>
      <c r="AF396" s="4444"/>
    </row>
    <row r="397" spans="1:32" ht="22.5" customHeight="1" thickBot="1">
      <c r="A397" s="4564"/>
      <c r="B397" s="4620"/>
      <c r="C397" s="5673"/>
      <c r="D397" s="4567"/>
      <c r="E397" s="4567"/>
      <c r="F397" s="4567"/>
      <c r="G397" s="4567"/>
      <c r="H397" s="4567"/>
      <c r="I397" s="4567"/>
      <c r="J397" s="4567"/>
      <c r="K397" s="4567"/>
      <c r="L397" s="4567"/>
      <c r="M397" s="4567"/>
      <c r="N397" s="4567"/>
      <c r="O397" s="4567"/>
      <c r="P397" s="4567"/>
      <c r="Q397" s="4567"/>
      <c r="R397" s="5719"/>
      <c r="S397" s="5709" t="s">
        <v>3621</v>
      </c>
      <c r="T397" s="5111"/>
      <c r="U397" s="5111"/>
      <c r="V397" s="5111"/>
      <c r="W397" s="5111"/>
      <c r="X397" s="5111"/>
      <c r="Y397" s="5111"/>
      <c r="Z397" s="5708"/>
      <c r="AA397" s="2147" t="s">
        <v>340</v>
      </c>
      <c r="AB397" s="2148">
        <f>SUM(AB377:AB396)</f>
        <v>0</v>
      </c>
      <c r="AC397" s="5686"/>
      <c r="AD397" s="5111"/>
      <c r="AE397" s="5111"/>
      <c r="AF397" s="4717"/>
    </row>
    <row r="398" spans="1:32" ht="25.5" customHeight="1">
      <c r="A398" s="4564"/>
      <c r="B398" s="5727" t="s">
        <v>3622</v>
      </c>
      <c r="C398" s="5725" t="s">
        <v>272</v>
      </c>
      <c r="D398" s="5661" t="s">
        <v>302</v>
      </c>
      <c r="E398" s="5661" t="s">
        <v>303</v>
      </c>
      <c r="F398" s="5661" t="s">
        <v>318</v>
      </c>
      <c r="G398" s="5666" t="s">
        <v>305</v>
      </c>
      <c r="H398" s="5661" t="s">
        <v>240</v>
      </c>
      <c r="I398" s="5661" t="s">
        <v>241</v>
      </c>
      <c r="J398" s="5661" t="s">
        <v>3623</v>
      </c>
      <c r="K398" s="5676" t="s">
        <v>3591</v>
      </c>
      <c r="L398" s="5661" t="s">
        <v>3592</v>
      </c>
      <c r="M398" s="5662">
        <v>1</v>
      </c>
      <c r="N398" s="5662">
        <v>0</v>
      </c>
      <c r="O398" s="5662">
        <v>1</v>
      </c>
      <c r="P398" s="5661" t="s">
        <v>3593</v>
      </c>
      <c r="Q398" s="5661" t="s">
        <v>3594</v>
      </c>
      <c r="R398" s="5663" t="s">
        <v>3624</v>
      </c>
      <c r="S398" s="1471"/>
      <c r="T398" s="1472"/>
      <c r="U398" s="1472"/>
      <c r="V398" s="1369"/>
      <c r="W398" s="1370"/>
      <c r="X398" s="1371"/>
      <c r="Y398" s="1372"/>
      <c r="Z398" s="1372"/>
      <c r="AA398" s="1372"/>
      <c r="AB398" s="1373"/>
      <c r="AC398" s="1371"/>
      <c r="AD398" s="1374"/>
      <c r="AE398" s="1374"/>
      <c r="AF398" s="5693" t="s">
        <v>3625</v>
      </c>
    </row>
    <row r="399" spans="1:32" ht="25.5" customHeight="1">
      <c r="A399" s="4564"/>
      <c r="B399" s="4623"/>
      <c r="C399" s="5717"/>
      <c r="D399" s="5652"/>
      <c r="E399" s="5652"/>
      <c r="F399" s="5652"/>
      <c r="G399" s="5652"/>
      <c r="H399" s="5652"/>
      <c r="I399" s="5652"/>
      <c r="J399" s="5652"/>
      <c r="K399" s="5652"/>
      <c r="L399" s="5652"/>
      <c r="M399" s="5652"/>
      <c r="N399" s="5652"/>
      <c r="O399" s="5652"/>
      <c r="P399" s="5652"/>
      <c r="Q399" s="5652"/>
      <c r="R399" s="5656"/>
      <c r="S399" s="1452"/>
      <c r="T399" s="1473"/>
      <c r="U399" s="1473"/>
      <c r="V399" s="1388"/>
      <c r="W399" s="1394"/>
      <c r="X399" s="1395"/>
      <c r="Y399" s="1377"/>
      <c r="Z399" s="1377"/>
      <c r="AA399" s="1377"/>
      <c r="AB399" s="1378"/>
      <c r="AC399" s="1395"/>
      <c r="AD399" s="449"/>
      <c r="AE399" s="449"/>
      <c r="AF399" s="4717"/>
    </row>
    <row r="400" spans="1:32" ht="25.5" customHeight="1">
      <c r="A400" s="4564"/>
      <c r="B400" s="4623"/>
      <c r="C400" s="5717"/>
      <c r="D400" s="5652"/>
      <c r="E400" s="5652"/>
      <c r="F400" s="5652"/>
      <c r="G400" s="5652"/>
      <c r="H400" s="5652"/>
      <c r="I400" s="5652"/>
      <c r="J400" s="5652"/>
      <c r="K400" s="5652"/>
      <c r="L400" s="5652"/>
      <c r="M400" s="5652"/>
      <c r="N400" s="5652"/>
      <c r="O400" s="5652"/>
      <c r="P400" s="5652"/>
      <c r="Q400" s="5652"/>
      <c r="R400" s="5656"/>
      <c r="S400" s="1452"/>
      <c r="T400" s="1473"/>
      <c r="U400" s="1473"/>
      <c r="V400" s="1388"/>
      <c r="W400" s="1394"/>
      <c r="X400" s="1395"/>
      <c r="Y400" s="1377"/>
      <c r="Z400" s="1377"/>
      <c r="AA400" s="1377"/>
      <c r="AB400" s="1378"/>
      <c r="AC400" s="1395"/>
      <c r="AD400" s="449"/>
      <c r="AE400" s="449"/>
      <c r="AF400" s="4717"/>
    </row>
    <row r="401" spans="1:32" ht="25.5" customHeight="1">
      <c r="A401" s="4564"/>
      <c r="B401" s="4623"/>
      <c r="C401" s="5717"/>
      <c r="D401" s="5652"/>
      <c r="E401" s="5652"/>
      <c r="F401" s="5652"/>
      <c r="G401" s="5652"/>
      <c r="H401" s="5652"/>
      <c r="I401" s="5652"/>
      <c r="J401" s="5652"/>
      <c r="K401" s="5652"/>
      <c r="L401" s="5652"/>
      <c r="M401" s="5652"/>
      <c r="N401" s="5652"/>
      <c r="O401" s="5652"/>
      <c r="P401" s="5652"/>
      <c r="Q401" s="5652"/>
      <c r="R401" s="5656"/>
      <c r="S401" s="1459"/>
      <c r="T401" s="1474"/>
      <c r="U401" s="1474"/>
      <c r="V401" s="1388"/>
      <c r="W401" s="1394"/>
      <c r="X401" s="1395"/>
      <c r="Y401" s="1377"/>
      <c r="Z401" s="1377"/>
      <c r="AA401" s="1377"/>
      <c r="AB401" s="1378"/>
      <c r="AC401" s="1395"/>
      <c r="AD401" s="449"/>
      <c r="AE401" s="449"/>
      <c r="AF401" s="4717"/>
    </row>
    <row r="402" spans="1:32" ht="25.5" customHeight="1">
      <c r="A402" s="4564"/>
      <c r="B402" s="4623"/>
      <c r="C402" s="5718"/>
      <c r="D402" s="5653"/>
      <c r="E402" s="5653"/>
      <c r="F402" s="5653"/>
      <c r="G402" s="5653"/>
      <c r="H402" s="5653"/>
      <c r="I402" s="5653"/>
      <c r="J402" s="5653"/>
      <c r="K402" s="5653"/>
      <c r="L402" s="5653"/>
      <c r="M402" s="5653"/>
      <c r="N402" s="5653"/>
      <c r="O402" s="5653"/>
      <c r="P402" s="5653"/>
      <c r="Q402" s="5653"/>
      <c r="R402" s="5657"/>
      <c r="S402" s="1460"/>
      <c r="T402" s="1477"/>
      <c r="U402" s="1477"/>
      <c r="V402" s="450"/>
      <c r="W402" s="1383"/>
      <c r="X402" s="448"/>
      <c r="Y402" s="1384"/>
      <c r="Z402" s="1384"/>
      <c r="AA402" s="1384"/>
      <c r="AB402" s="1385"/>
      <c r="AC402" s="448"/>
      <c r="AD402" s="451"/>
      <c r="AE402" s="451"/>
      <c r="AF402" s="4718"/>
    </row>
    <row r="403" spans="1:32" ht="31.5" customHeight="1">
      <c r="A403" s="4564"/>
      <c r="B403" s="4623"/>
      <c r="C403" s="5716" t="s">
        <v>272</v>
      </c>
      <c r="D403" s="5651" t="s">
        <v>302</v>
      </c>
      <c r="E403" s="5651" t="s">
        <v>274</v>
      </c>
      <c r="F403" s="5651" t="s">
        <v>885</v>
      </c>
      <c r="G403" s="5664" t="s">
        <v>305</v>
      </c>
      <c r="H403" s="5651" t="s">
        <v>262</v>
      </c>
      <c r="I403" s="5651" t="s">
        <v>241</v>
      </c>
      <c r="J403" s="5651" t="s">
        <v>3626</v>
      </c>
      <c r="K403" s="5671" t="s">
        <v>3597</v>
      </c>
      <c r="L403" s="5651" t="s">
        <v>3598</v>
      </c>
      <c r="M403" s="5654">
        <v>1</v>
      </c>
      <c r="N403" s="5654">
        <v>0</v>
      </c>
      <c r="O403" s="5654">
        <v>1</v>
      </c>
      <c r="P403" s="5651" t="s">
        <v>3025</v>
      </c>
      <c r="Q403" s="5651" t="s">
        <v>1604</v>
      </c>
      <c r="R403" s="5655" t="s">
        <v>3619</v>
      </c>
      <c r="S403" s="1451"/>
      <c r="T403" s="2154"/>
      <c r="U403" s="2154"/>
      <c r="V403" s="2138"/>
      <c r="W403" s="2139"/>
      <c r="X403" s="1921"/>
      <c r="Y403" s="2140"/>
      <c r="Z403" s="2140"/>
      <c r="AA403" s="2140"/>
      <c r="AB403" s="2141"/>
      <c r="AC403" s="1921"/>
      <c r="AD403" s="2142"/>
      <c r="AE403" s="2142"/>
      <c r="AF403" s="5684"/>
    </row>
    <row r="404" spans="1:32" ht="31.5" customHeight="1">
      <c r="A404" s="4564"/>
      <c r="B404" s="4623"/>
      <c r="C404" s="5717"/>
      <c r="D404" s="5652"/>
      <c r="E404" s="5652"/>
      <c r="F404" s="5652"/>
      <c r="G404" s="5652"/>
      <c r="H404" s="5652"/>
      <c r="I404" s="5652"/>
      <c r="J404" s="5652"/>
      <c r="K404" s="5652"/>
      <c r="L404" s="5652"/>
      <c r="M404" s="5652"/>
      <c r="N404" s="5652"/>
      <c r="O404" s="5652"/>
      <c r="P404" s="5652"/>
      <c r="Q404" s="5652"/>
      <c r="R404" s="5656"/>
      <c r="S404" s="1452"/>
      <c r="T404" s="1473"/>
      <c r="U404" s="1473"/>
      <c r="V404" s="1388"/>
      <c r="W404" s="1394"/>
      <c r="X404" s="1395"/>
      <c r="Y404" s="1377"/>
      <c r="Z404" s="1377"/>
      <c r="AA404" s="1377"/>
      <c r="AB404" s="1378"/>
      <c r="AC404" s="1395"/>
      <c r="AD404" s="449"/>
      <c r="AE404" s="449"/>
      <c r="AF404" s="4717"/>
    </row>
    <row r="405" spans="1:32" ht="31.5" customHeight="1">
      <c r="A405" s="4564"/>
      <c r="B405" s="4623"/>
      <c r="C405" s="5717"/>
      <c r="D405" s="5652"/>
      <c r="E405" s="5652"/>
      <c r="F405" s="5652"/>
      <c r="G405" s="5652"/>
      <c r="H405" s="5652"/>
      <c r="I405" s="5652"/>
      <c r="J405" s="5652"/>
      <c r="K405" s="5652"/>
      <c r="L405" s="5652"/>
      <c r="M405" s="5652"/>
      <c r="N405" s="5652"/>
      <c r="O405" s="5652"/>
      <c r="P405" s="5652"/>
      <c r="Q405" s="5652"/>
      <c r="R405" s="5656"/>
      <c r="S405" s="1452"/>
      <c r="T405" s="1473"/>
      <c r="U405" s="1473"/>
      <c r="V405" s="1388"/>
      <c r="W405" s="1394"/>
      <c r="X405" s="1395"/>
      <c r="Y405" s="1377"/>
      <c r="Z405" s="1377"/>
      <c r="AA405" s="1377"/>
      <c r="AB405" s="1378"/>
      <c r="AC405" s="1395"/>
      <c r="AD405" s="449"/>
      <c r="AE405" s="449"/>
      <c r="AF405" s="4717"/>
    </row>
    <row r="406" spans="1:32" ht="31.5" customHeight="1">
      <c r="A406" s="4564"/>
      <c r="B406" s="4623"/>
      <c r="C406" s="5717"/>
      <c r="D406" s="5652"/>
      <c r="E406" s="5652"/>
      <c r="F406" s="5652"/>
      <c r="G406" s="5652"/>
      <c r="H406" s="5652"/>
      <c r="I406" s="5652"/>
      <c r="J406" s="5652"/>
      <c r="K406" s="5652"/>
      <c r="L406" s="5652"/>
      <c r="M406" s="5652"/>
      <c r="N406" s="5652"/>
      <c r="O406" s="5652"/>
      <c r="P406" s="5652"/>
      <c r="Q406" s="5652"/>
      <c r="R406" s="5656"/>
      <c r="S406" s="1459"/>
      <c r="T406" s="1474"/>
      <c r="U406" s="1474"/>
      <c r="V406" s="1388"/>
      <c r="W406" s="1394"/>
      <c r="X406" s="1395"/>
      <c r="Y406" s="1377"/>
      <c r="Z406" s="1377"/>
      <c r="AA406" s="1377"/>
      <c r="AB406" s="1378"/>
      <c r="AC406" s="1395"/>
      <c r="AD406" s="449"/>
      <c r="AE406" s="449"/>
      <c r="AF406" s="4717"/>
    </row>
    <row r="407" spans="1:32" ht="31.5" customHeight="1">
      <c r="A407" s="4564"/>
      <c r="B407" s="4623"/>
      <c r="C407" s="5718"/>
      <c r="D407" s="5653"/>
      <c r="E407" s="5653"/>
      <c r="F407" s="5653"/>
      <c r="G407" s="5653"/>
      <c r="H407" s="5653"/>
      <c r="I407" s="5653"/>
      <c r="J407" s="5653"/>
      <c r="K407" s="5653"/>
      <c r="L407" s="5653"/>
      <c r="M407" s="5653"/>
      <c r="N407" s="5653"/>
      <c r="O407" s="5653"/>
      <c r="P407" s="5653"/>
      <c r="Q407" s="5653"/>
      <c r="R407" s="5657"/>
      <c r="S407" s="1460"/>
      <c r="T407" s="1477"/>
      <c r="U407" s="1477"/>
      <c r="V407" s="450"/>
      <c r="W407" s="1383"/>
      <c r="X407" s="448"/>
      <c r="Y407" s="1384"/>
      <c r="Z407" s="1384"/>
      <c r="AA407" s="1384"/>
      <c r="AB407" s="1385"/>
      <c r="AC407" s="448"/>
      <c r="AD407" s="451"/>
      <c r="AE407" s="451"/>
      <c r="AF407" s="4718"/>
    </row>
    <row r="408" spans="1:32" ht="33" customHeight="1">
      <c r="A408" s="4564"/>
      <c r="B408" s="4623"/>
      <c r="C408" s="5716" t="s">
        <v>272</v>
      </c>
      <c r="D408" s="5651" t="s">
        <v>302</v>
      </c>
      <c r="E408" s="5651" t="s">
        <v>680</v>
      </c>
      <c r="F408" s="5651" t="s">
        <v>681</v>
      </c>
      <c r="G408" s="5664" t="s">
        <v>305</v>
      </c>
      <c r="H408" s="5651" t="s">
        <v>262</v>
      </c>
      <c r="I408" s="5651" t="s">
        <v>241</v>
      </c>
      <c r="J408" s="5651" t="s">
        <v>3627</v>
      </c>
      <c r="K408" s="5671" t="s">
        <v>3601</v>
      </c>
      <c r="L408" s="5651" t="s">
        <v>3602</v>
      </c>
      <c r="M408" s="5654">
        <v>1</v>
      </c>
      <c r="N408" s="5654">
        <v>0</v>
      </c>
      <c r="O408" s="5654">
        <v>1</v>
      </c>
      <c r="P408" s="5651" t="s">
        <v>3603</v>
      </c>
      <c r="Q408" s="5651" t="s">
        <v>3604</v>
      </c>
      <c r="R408" s="5655" t="s">
        <v>3619</v>
      </c>
      <c r="S408" s="1451"/>
      <c r="T408" s="2154"/>
      <c r="U408" s="2154"/>
      <c r="V408" s="2138"/>
      <c r="W408" s="2139"/>
      <c r="X408" s="1921"/>
      <c r="Y408" s="2140"/>
      <c r="Z408" s="2140"/>
      <c r="AA408" s="2140"/>
      <c r="AB408" s="2141"/>
      <c r="AC408" s="1921"/>
      <c r="AD408" s="2142"/>
      <c r="AE408" s="2142"/>
      <c r="AF408" s="5684"/>
    </row>
    <row r="409" spans="1:32" ht="33" customHeight="1">
      <c r="A409" s="4564"/>
      <c r="B409" s="4623"/>
      <c r="C409" s="5717"/>
      <c r="D409" s="5652"/>
      <c r="E409" s="5652"/>
      <c r="F409" s="5652"/>
      <c r="G409" s="5652"/>
      <c r="H409" s="5652"/>
      <c r="I409" s="5652"/>
      <c r="J409" s="5652"/>
      <c r="K409" s="5652"/>
      <c r="L409" s="5652"/>
      <c r="M409" s="5652"/>
      <c r="N409" s="5652"/>
      <c r="O409" s="5652"/>
      <c r="P409" s="5652"/>
      <c r="Q409" s="5652"/>
      <c r="R409" s="5656"/>
      <c r="S409" s="1452"/>
      <c r="T409" s="1473"/>
      <c r="U409" s="1473"/>
      <c r="V409" s="1388"/>
      <c r="W409" s="1394"/>
      <c r="X409" s="1395"/>
      <c r="Y409" s="1377"/>
      <c r="Z409" s="1377"/>
      <c r="AA409" s="1377"/>
      <c r="AB409" s="1378"/>
      <c r="AC409" s="1395"/>
      <c r="AD409" s="449"/>
      <c r="AE409" s="449"/>
      <c r="AF409" s="4717"/>
    </row>
    <row r="410" spans="1:32" ht="33" customHeight="1">
      <c r="A410" s="4564"/>
      <c r="B410" s="4623"/>
      <c r="C410" s="5717"/>
      <c r="D410" s="5652"/>
      <c r="E410" s="5652"/>
      <c r="F410" s="5652"/>
      <c r="G410" s="5652"/>
      <c r="H410" s="5652"/>
      <c r="I410" s="5652"/>
      <c r="J410" s="5652"/>
      <c r="K410" s="5652"/>
      <c r="L410" s="5652"/>
      <c r="M410" s="5652"/>
      <c r="N410" s="5652"/>
      <c r="O410" s="5652"/>
      <c r="P410" s="5652"/>
      <c r="Q410" s="5652"/>
      <c r="R410" s="5656"/>
      <c r="S410" s="1452"/>
      <c r="T410" s="1473"/>
      <c r="U410" s="1473"/>
      <c r="V410" s="1388"/>
      <c r="W410" s="1394"/>
      <c r="X410" s="1395"/>
      <c r="Y410" s="1377"/>
      <c r="Z410" s="1377"/>
      <c r="AA410" s="1377"/>
      <c r="AB410" s="1378"/>
      <c r="AC410" s="1395"/>
      <c r="AD410" s="449"/>
      <c r="AE410" s="449"/>
      <c r="AF410" s="4717"/>
    </row>
    <row r="411" spans="1:32" ht="33" customHeight="1">
      <c r="A411" s="4564"/>
      <c r="B411" s="4623"/>
      <c r="C411" s="5717"/>
      <c r="D411" s="5652"/>
      <c r="E411" s="5652"/>
      <c r="F411" s="5652"/>
      <c r="G411" s="5652"/>
      <c r="H411" s="5652"/>
      <c r="I411" s="5652"/>
      <c r="J411" s="5652"/>
      <c r="K411" s="5652"/>
      <c r="L411" s="5652"/>
      <c r="M411" s="5652"/>
      <c r="N411" s="5652"/>
      <c r="O411" s="5652"/>
      <c r="P411" s="5652"/>
      <c r="Q411" s="5652"/>
      <c r="R411" s="5656"/>
      <c r="S411" s="1459"/>
      <c r="T411" s="1474"/>
      <c r="U411" s="1474"/>
      <c r="V411" s="1388"/>
      <c r="W411" s="1394"/>
      <c r="X411" s="1395"/>
      <c r="Y411" s="1377"/>
      <c r="Z411" s="1377"/>
      <c r="AA411" s="1377"/>
      <c r="AB411" s="1378"/>
      <c r="AC411" s="1395"/>
      <c r="AD411" s="449"/>
      <c r="AE411" s="449"/>
      <c r="AF411" s="4717"/>
    </row>
    <row r="412" spans="1:32" ht="33" customHeight="1">
      <c r="A412" s="4564"/>
      <c r="B412" s="4623"/>
      <c r="C412" s="5718"/>
      <c r="D412" s="5653"/>
      <c r="E412" s="5653"/>
      <c r="F412" s="5653"/>
      <c r="G412" s="5653"/>
      <c r="H412" s="5653"/>
      <c r="I412" s="5653"/>
      <c r="J412" s="5653"/>
      <c r="K412" s="5653"/>
      <c r="L412" s="5653"/>
      <c r="M412" s="5653"/>
      <c r="N412" s="5653"/>
      <c r="O412" s="5653"/>
      <c r="P412" s="5653"/>
      <c r="Q412" s="5653"/>
      <c r="R412" s="5657"/>
      <c r="S412" s="1460"/>
      <c r="T412" s="1477"/>
      <c r="U412" s="1477"/>
      <c r="V412" s="450"/>
      <c r="W412" s="1383"/>
      <c r="X412" s="448"/>
      <c r="Y412" s="1384"/>
      <c r="Z412" s="1384"/>
      <c r="AA412" s="1384"/>
      <c r="AB412" s="1385"/>
      <c r="AC412" s="448"/>
      <c r="AD412" s="451"/>
      <c r="AE412" s="451"/>
      <c r="AF412" s="4718"/>
    </row>
    <row r="413" spans="1:32" ht="25.5" customHeight="1">
      <c r="A413" s="4564"/>
      <c r="B413" s="4623"/>
      <c r="C413" s="5728" t="s">
        <v>272</v>
      </c>
      <c r="D413" s="5651" t="s">
        <v>302</v>
      </c>
      <c r="E413" s="5651" t="s">
        <v>388</v>
      </c>
      <c r="F413" s="5651" t="s">
        <v>944</v>
      </c>
      <c r="G413" s="5664" t="s">
        <v>305</v>
      </c>
      <c r="H413" s="5651" t="s">
        <v>262</v>
      </c>
      <c r="I413" s="5651" t="s">
        <v>241</v>
      </c>
      <c r="J413" s="5651" t="s">
        <v>3628</v>
      </c>
      <c r="K413" s="5671" t="s">
        <v>3607</v>
      </c>
      <c r="L413" s="5651" t="s">
        <v>3608</v>
      </c>
      <c r="M413" s="5654">
        <v>1</v>
      </c>
      <c r="N413" s="5654">
        <v>0</v>
      </c>
      <c r="O413" s="5654">
        <v>1</v>
      </c>
      <c r="P413" s="5651" t="s">
        <v>3609</v>
      </c>
      <c r="Q413" s="5651" t="s">
        <v>3610</v>
      </c>
      <c r="R413" s="5659" t="s">
        <v>3624</v>
      </c>
      <c r="S413" s="1451"/>
      <c r="T413" s="2154"/>
      <c r="U413" s="2154"/>
      <c r="V413" s="2138"/>
      <c r="W413" s="2139"/>
      <c r="X413" s="1921"/>
      <c r="Y413" s="2140"/>
      <c r="Z413" s="2140"/>
      <c r="AA413" s="2140"/>
      <c r="AB413" s="2141"/>
      <c r="AC413" s="1921"/>
      <c r="AD413" s="2142"/>
      <c r="AE413" s="2142"/>
      <c r="AF413" s="5684"/>
    </row>
    <row r="414" spans="1:32" ht="25.5" customHeight="1">
      <c r="A414" s="4564"/>
      <c r="B414" s="4623"/>
      <c r="C414" s="5717"/>
      <c r="D414" s="5652"/>
      <c r="E414" s="5652"/>
      <c r="F414" s="5652"/>
      <c r="G414" s="5652"/>
      <c r="H414" s="5652"/>
      <c r="I414" s="5652"/>
      <c r="J414" s="5652"/>
      <c r="K414" s="5652"/>
      <c r="L414" s="5652"/>
      <c r="M414" s="5652"/>
      <c r="N414" s="5652"/>
      <c r="O414" s="5652"/>
      <c r="P414" s="5652"/>
      <c r="Q414" s="5652"/>
      <c r="R414" s="5656"/>
      <c r="S414" s="1452"/>
      <c r="T414" s="1473"/>
      <c r="U414" s="1473"/>
      <c r="V414" s="1388"/>
      <c r="W414" s="1394"/>
      <c r="X414" s="1395"/>
      <c r="Y414" s="1377"/>
      <c r="Z414" s="1377"/>
      <c r="AA414" s="1377"/>
      <c r="AB414" s="1378"/>
      <c r="AC414" s="1395"/>
      <c r="AD414" s="449"/>
      <c r="AE414" s="449"/>
      <c r="AF414" s="4717"/>
    </row>
    <row r="415" spans="1:32" ht="25.5" customHeight="1">
      <c r="A415" s="4564"/>
      <c r="B415" s="4623"/>
      <c r="C415" s="5717"/>
      <c r="D415" s="5652"/>
      <c r="E415" s="5652"/>
      <c r="F415" s="5652"/>
      <c r="G415" s="5652"/>
      <c r="H415" s="5652"/>
      <c r="I415" s="5652"/>
      <c r="J415" s="5652"/>
      <c r="K415" s="5652"/>
      <c r="L415" s="5652"/>
      <c r="M415" s="5652"/>
      <c r="N415" s="5652"/>
      <c r="O415" s="5652"/>
      <c r="P415" s="5652"/>
      <c r="Q415" s="5652"/>
      <c r="R415" s="5656"/>
      <c r="S415" s="1452"/>
      <c r="T415" s="1473"/>
      <c r="U415" s="1473"/>
      <c r="V415" s="1388"/>
      <c r="W415" s="1394"/>
      <c r="X415" s="1395"/>
      <c r="Y415" s="1377"/>
      <c r="Z415" s="1377"/>
      <c r="AA415" s="1377"/>
      <c r="AB415" s="1378"/>
      <c r="AC415" s="1395"/>
      <c r="AD415" s="449"/>
      <c r="AE415" s="449"/>
      <c r="AF415" s="4717"/>
    </row>
    <row r="416" spans="1:32" ht="25.5" customHeight="1">
      <c r="A416" s="4564"/>
      <c r="B416" s="4623"/>
      <c r="C416" s="5717"/>
      <c r="D416" s="5652"/>
      <c r="E416" s="5652"/>
      <c r="F416" s="5652"/>
      <c r="G416" s="5652"/>
      <c r="H416" s="5652"/>
      <c r="I416" s="5652"/>
      <c r="J416" s="5652"/>
      <c r="K416" s="5652"/>
      <c r="L416" s="5652"/>
      <c r="M416" s="5652"/>
      <c r="N416" s="5652"/>
      <c r="O416" s="5652"/>
      <c r="P416" s="5652"/>
      <c r="Q416" s="5652"/>
      <c r="R416" s="5656"/>
      <c r="S416" s="1459"/>
      <c r="T416" s="1474"/>
      <c r="U416" s="1474"/>
      <c r="V416" s="1388"/>
      <c r="W416" s="1394"/>
      <c r="X416" s="1395"/>
      <c r="Y416" s="1377"/>
      <c r="Z416" s="1377"/>
      <c r="AA416" s="1377"/>
      <c r="AB416" s="1378"/>
      <c r="AC416" s="1395"/>
      <c r="AD416" s="449"/>
      <c r="AE416" s="449"/>
      <c r="AF416" s="4717"/>
    </row>
    <row r="417" spans="1:32" ht="25.5" customHeight="1" thickBot="1">
      <c r="A417" s="4564"/>
      <c r="B417" s="4623"/>
      <c r="C417" s="5720"/>
      <c r="D417" s="5658"/>
      <c r="E417" s="5658"/>
      <c r="F417" s="5658"/>
      <c r="G417" s="5658"/>
      <c r="H417" s="5658"/>
      <c r="I417" s="5658"/>
      <c r="J417" s="5658"/>
      <c r="K417" s="5658"/>
      <c r="L417" s="5658"/>
      <c r="M417" s="5658"/>
      <c r="N417" s="5658"/>
      <c r="O417" s="5658"/>
      <c r="P417" s="5658"/>
      <c r="Q417" s="5658"/>
      <c r="R417" s="5660"/>
      <c r="S417" s="1470"/>
      <c r="T417" s="1478"/>
      <c r="U417" s="1478"/>
      <c r="V417" s="1417"/>
      <c r="W417" s="1418"/>
      <c r="X417" s="1419"/>
      <c r="Y417" s="1420"/>
      <c r="Z417" s="1420"/>
      <c r="AA417" s="1420"/>
      <c r="AB417" s="1421"/>
      <c r="AC417" s="1419"/>
      <c r="AD417" s="1422"/>
      <c r="AE417" s="1422"/>
      <c r="AF417" s="4444"/>
    </row>
    <row r="418" spans="1:32" ht="22.5" customHeight="1" thickBot="1">
      <c r="A418" s="4564"/>
      <c r="B418" s="4620"/>
      <c r="C418" s="5673"/>
      <c r="D418" s="4540"/>
      <c r="E418" s="4540"/>
      <c r="F418" s="4540"/>
      <c r="G418" s="4540"/>
      <c r="H418" s="4540"/>
      <c r="I418" s="4540"/>
      <c r="J418" s="4540"/>
      <c r="K418" s="4540"/>
      <c r="L418" s="4540"/>
      <c r="M418" s="4540"/>
      <c r="N418" s="4540"/>
      <c r="O418" s="4540"/>
      <c r="P418" s="4540"/>
      <c r="Q418" s="4540"/>
      <c r="R418" s="4540"/>
      <c r="S418" s="5710" t="s">
        <v>3629</v>
      </c>
      <c r="T418" s="4500"/>
      <c r="U418" s="4500"/>
      <c r="V418" s="4500"/>
      <c r="W418" s="4500"/>
      <c r="X418" s="4500"/>
      <c r="Y418" s="4500"/>
      <c r="Z418" s="4500"/>
      <c r="AA418" s="2398" t="s">
        <v>340</v>
      </c>
      <c r="AB418" s="2233">
        <f>SUM(AB398:AB417)</f>
        <v>0</v>
      </c>
      <c r="AC418" s="5705"/>
      <c r="AD418" s="4443"/>
      <c r="AE418" s="4443"/>
      <c r="AF418" s="4444"/>
    </row>
    <row r="419" spans="1:32" ht="22.5" customHeight="1" thickBot="1">
      <c r="A419" s="4362"/>
      <c r="B419" s="2191"/>
      <c r="C419" s="2192"/>
      <c r="D419" s="2192"/>
      <c r="E419" s="2192"/>
      <c r="F419" s="2192"/>
      <c r="G419" s="2192"/>
      <c r="H419" s="2192"/>
      <c r="I419" s="2192"/>
      <c r="J419" s="2192"/>
      <c r="K419" s="2192"/>
      <c r="L419" s="2192"/>
      <c r="M419" s="2192"/>
      <c r="N419" s="2192"/>
      <c r="O419" s="2192"/>
      <c r="P419" s="2192"/>
      <c r="Q419" s="2192"/>
      <c r="R419" s="2192"/>
      <c r="S419" s="5054" t="s">
        <v>3630</v>
      </c>
      <c r="T419" s="5054"/>
      <c r="U419" s="5054"/>
      <c r="V419" s="5054"/>
      <c r="W419" s="5054"/>
      <c r="X419" s="5054"/>
      <c r="Y419" s="5054"/>
      <c r="Z419" s="5054"/>
      <c r="AA419" s="2175" t="s">
        <v>340</v>
      </c>
      <c r="AB419" s="1989">
        <f>SUM(AB87,AB253,AB314,AB355,AB376,AB397,AB418)</f>
        <v>1204725.6612</v>
      </c>
      <c r="AC419" s="4505"/>
      <c r="AD419" s="4506"/>
      <c r="AE419" s="4506"/>
      <c r="AF419" s="4507"/>
    </row>
    <row r="420" spans="1:32" ht="17.25" thickTop="1">
      <c r="A420" s="221"/>
      <c r="B420" s="12"/>
      <c r="C420" s="12" t="s">
        <v>442</v>
      </c>
      <c r="D420" s="1479" t="s">
        <v>3631</v>
      </c>
      <c r="E420" s="221"/>
      <c r="F420" s="221"/>
      <c r="G420" s="221"/>
      <c r="H420" s="221"/>
      <c r="I420" s="221"/>
      <c r="J420" s="221"/>
      <c r="K420" s="221"/>
      <c r="L420" s="221"/>
      <c r="M420" s="1480"/>
      <c r="N420" s="1480"/>
      <c r="O420" s="1480"/>
      <c r="P420" s="221"/>
      <c r="Q420" s="221"/>
      <c r="R420" s="221"/>
      <c r="S420" s="5711" t="s">
        <v>3632</v>
      </c>
      <c r="T420" s="4150"/>
      <c r="U420" s="4150"/>
      <c r="V420" s="4150"/>
      <c r="W420" s="4150"/>
      <c r="X420" s="4150"/>
      <c r="Y420" s="4150"/>
      <c r="Z420" s="4150"/>
      <c r="AA420" s="4150"/>
      <c r="AB420" s="4150"/>
      <c r="AC420" s="4150"/>
      <c r="AD420" s="4150"/>
      <c r="AE420" s="4150"/>
      <c r="AF420" s="4150"/>
    </row>
    <row r="421" spans="1:32" ht="16.5" customHeight="1">
      <c r="A421" s="221"/>
      <c r="B421" s="12"/>
      <c r="C421" s="12" t="s">
        <v>444</v>
      </c>
      <c r="D421" s="2167">
        <v>44824</v>
      </c>
      <c r="E421" s="221"/>
      <c r="F421" s="221"/>
      <c r="G421" s="221"/>
      <c r="H421" s="221"/>
      <c r="I421" s="221"/>
      <c r="J421" s="221"/>
      <c r="K421" s="221"/>
      <c r="L421" s="221"/>
      <c r="M421" s="1480"/>
      <c r="N421" s="1480"/>
      <c r="O421" s="1480"/>
      <c r="P421" s="221"/>
      <c r="Q421" s="221"/>
      <c r="R421" s="221"/>
      <c r="S421" s="221"/>
      <c r="T421" s="221"/>
      <c r="U421" s="1884"/>
      <c r="V421" s="1884"/>
      <c r="W421" s="1884"/>
      <c r="X421" s="1884"/>
      <c r="Y421" s="1884"/>
      <c r="Z421" s="1884"/>
      <c r="AA421" s="221"/>
      <c r="AB421" s="221"/>
      <c r="AC421" s="221"/>
      <c r="AD421" s="221"/>
      <c r="AE421" s="221"/>
    </row>
    <row r="422" spans="1:32" ht="18">
      <c r="A422" s="221"/>
      <c r="B422" s="221"/>
      <c r="C422" s="221"/>
      <c r="D422" s="221"/>
      <c r="E422" s="221"/>
      <c r="F422" s="221"/>
      <c r="G422" s="221"/>
      <c r="H422" s="221"/>
      <c r="I422" s="221"/>
      <c r="J422" s="221"/>
      <c r="K422" s="221"/>
      <c r="L422" s="221"/>
      <c r="M422" s="1480"/>
      <c r="N422" s="1480"/>
      <c r="O422" s="1480"/>
      <c r="P422" s="221"/>
      <c r="Q422" s="221"/>
      <c r="R422" s="221"/>
      <c r="S422" s="221"/>
      <c r="T422" s="135"/>
      <c r="U422" s="5308" t="s">
        <v>1242</v>
      </c>
      <c r="V422" s="5309"/>
      <c r="W422" s="5309"/>
      <c r="X422" s="5309"/>
      <c r="Y422" s="5309"/>
      <c r="Z422" s="5309"/>
      <c r="AA422" s="586"/>
      <c r="AB422" s="221"/>
      <c r="AC422" s="221"/>
      <c r="AD422" s="221"/>
      <c r="AE422" s="221"/>
    </row>
    <row r="423" spans="1:32" ht="16.5" customHeight="1" thickBot="1">
      <c r="A423" s="221"/>
      <c r="B423" s="221"/>
      <c r="C423" s="221"/>
      <c r="D423" s="221"/>
      <c r="E423" s="221"/>
      <c r="F423" s="221"/>
      <c r="G423" s="221"/>
      <c r="H423" s="221"/>
      <c r="I423" s="221"/>
      <c r="J423" s="221"/>
      <c r="K423" s="221"/>
      <c r="L423" s="221"/>
      <c r="M423" s="1480"/>
      <c r="N423" s="1480"/>
      <c r="O423" s="1480"/>
      <c r="P423" s="221"/>
      <c r="Q423" s="221"/>
      <c r="R423" s="221"/>
      <c r="S423" s="221"/>
      <c r="T423" s="221"/>
      <c r="U423" s="2199"/>
      <c r="V423" s="2199"/>
      <c r="W423" s="2199"/>
      <c r="X423" s="2199"/>
      <c r="Y423" s="2199"/>
      <c r="Z423" s="2199"/>
      <c r="AA423" s="221"/>
      <c r="AB423" s="221"/>
      <c r="AC423" s="221"/>
      <c r="AD423" s="221"/>
      <c r="AE423" s="221"/>
    </row>
    <row r="424" spans="1:32" ht="16.5" customHeight="1" thickTop="1" thickBot="1">
      <c r="A424" s="221"/>
      <c r="B424" s="221"/>
      <c r="C424" s="221"/>
      <c r="D424" s="221"/>
      <c r="E424" s="221"/>
      <c r="F424" s="221"/>
      <c r="G424" s="221"/>
      <c r="H424" s="221"/>
      <c r="I424" s="221"/>
      <c r="J424" s="221"/>
      <c r="K424" s="221"/>
      <c r="L424" s="221"/>
      <c r="M424" s="1480"/>
      <c r="N424" s="1480"/>
      <c r="O424" s="1480"/>
      <c r="P424" s="221"/>
      <c r="Q424" s="221"/>
      <c r="R424" s="221"/>
      <c r="S424" s="587"/>
      <c r="T424" s="135"/>
      <c r="U424" s="2330" t="s">
        <v>4</v>
      </c>
      <c r="V424" s="2331" t="s">
        <v>5</v>
      </c>
      <c r="W424" s="2368" t="s">
        <v>6</v>
      </c>
      <c r="X424" s="2333" t="s">
        <v>2426</v>
      </c>
      <c r="Y424" s="2333" t="s">
        <v>8</v>
      </c>
      <c r="Z424" s="2369" t="s">
        <v>346</v>
      </c>
      <c r="AA424" s="221"/>
      <c r="AB424" s="221"/>
      <c r="AC424" s="221"/>
      <c r="AD424" s="221"/>
      <c r="AE424" s="221"/>
    </row>
    <row r="425" spans="1:32" ht="49.5">
      <c r="A425" s="221"/>
      <c r="B425" s="221"/>
      <c r="C425" s="221"/>
      <c r="D425" s="221"/>
      <c r="E425" s="221"/>
      <c r="F425" s="221"/>
      <c r="G425" s="221"/>
      <c r="H425" s="221"/>
      <c r="I425" s="221"/>
      <c r="J425" s="221"/>
      <c r="K425" s="221"/>
      <c r="L425" s="221"/>
      <c r="M425" s="1480"/>
      <c r="N425" s="1480"/>
      <c r="O425" s="1480"/>
      <c r="P425" s="221"/>
      <c r="Q425" s="1481"/>
      <c r="R425" s="135"/>
      <c r="S425" s="135"/>
      <c r="T425" s="135"/>
      <c r="U425" s="2371" t="s">
        <v>39</v>
      </c>
      <c r="V425" s="2372" t="s">
        <v>16</v>
      </c>
      <c r="W425" s="2365">
        <v>530402</v>
      </c>
      <c r="X425" s="2366" t="s">
        <v>13</v>
      </c>
      <c r="Y425" s="2366" t="s">
        <v>14</v>
      </c>
      <c r="Z425" s="2367">
        <f>SUM(AB123)</f>
        <v>6720.0000000000009</v>
      </c>
      <c r="AA425" s="233"/>
      <c r="AB425" s="221"/>
      <c r="AC425" s="221"/>
      <c r="AD425" s="221"/>
      <c r="AE425" s="221"/>
    </row>
    <row r="426" spans="1:32" ht="33">
      <c r="A426" s="221"/>
      <c r="B426" s="221"/>
      <c r="C426" s="221"/>
      <c r="D426" s="221"/>
      <c r="E426" s="221"/>
      <c r="F426" s="221"/>
      <c r="G426" s="221"/>
      <c r="H426" s="221"/>
      <c r="I426" s="221"/>
      <c r="J426" s="221"/>
      <c r="K426" s="221"/>
      <c r="L426" s="221"/>
      <c r="M426" s="1480"/>
      <c r="N426" s="1480"/>
      <c r="O426" s="1480"/>
      <c r="P426" s="221"/>
      <c r="Q426" s="1481"/>
      <c r="R426" s="135"/>
      <c r="S426" s="135"/>
      <c r="T426" s="135"/>
      <c r="U426" s="2339" t="s">
        <v>39</v>
      </c>
      <c r="V426" s="2373" t="s">
        <v>32</v>
      </c>
      <c r="W426" s="2319">
        <v>530404</v>
      </c>
      <c r="X426" s="2318" t="s">
        <v>13</v>
      </c>
      <c r="Y426" s="2318" t="s">
        <v>14</v>
      </c>
      <c r="Z426" s="2327">
        <f>SUM(AB128)</f>
        <v>4024.4512</v>
      </c>
      <c r="AA426" s="233"/>
      <c r="AB426" s="221"/>
      <c r="AC426" s="221"/>
      <c r="AD426" s="221"/>
      <c r="AE426" s="221"/>
    </row>
    <row r="427" spans="1:32" ht="33">
      <c r="A427" s="221"/>
      <c r="B427" s="221"/>
      <c r="C427" s="221"/>
      <c r="D427" s="221"/>
      <c r="E427" s="221"/>
      <c r="F427" s="221"/>
      <c r="G427" s="221"/>
      <c r="H427" s="221"/>
      <c r="I427" s="221"/>
      <c r="J427" s="221"/>
      <c r="K427" s="221"/>
      <c r="L427" s="221"/>
      <c r="M427" s="1480"/>
      <c r="N427" s="1480"/>
      <c r="O427" s="1480"/>
      <c r="P427" s="221"/>
      <c r="Q427" s="1482"/>
      <c r="R427" s="135"/>
      <c r="S427" s="135"/>
      <c r="T427" s="135"/>
      <c r="U427" s="2339" t="s">
        <v>17</v>
      </c>
      <c r="V427" s="2341" t="s">
        <v>162</v>
      </c>
      <c r="W427" s="2364">
        <v>530204</v>
      </c>
      <c r="X427" s="2318" t="s">
        <v>13</v>
      </c>
      <c r="Y427" s="2318" t="s">
        <v>14</v>
      </c>
      <c r="Z427" s="2327">
        <f>SUM(AB29)</f>
        <v>1120</v>
      </c>
      <c r="AA427" s="233"/>
      <c r="AB427" s="221"/>
      <c r="AC427" s="221"/>
      <c r="AD427" s="221"/>
      <c r="AE427" s="221"/>
    </row>
    <row r="428" spans="1:32" ht="33">
      <c r="A428" s="221"/>
      <c r="B428" s="221"/>
      <c r="C428" s="221"/>
      <c r="D428" s="221"/>
      <c r="E428" s="221"/>
      <c r="F428" s="221"/>
      <c r="G428" s="221"/>
      <c r="H428" s="221"/>
      <c r="I428" s="221"/>
      <c r="J428" s="221"/>
      <c r="K428" s="221"/>
      <c r="L428" s="221"/>
      <c r="M428" s="1480"/>
      <c r="N428" s="1480"/>
      <c r="O428" s="1480"/>
      <c r="P428" s="221"/>
      <c r="Q428" s="1481"/>
      <c r="R428" s="135"/>
      <c r="S428" s="135"/>
      <c r="T428" s="135"/>
      <c r="U428" s="2339" t="s">
        <v>17</v>
      </c>
      <c r="V428" s="2341" t="s">
        <v>32</v>
      </c>
      <c r="W428" s="2319">
        <v>530404</v>
      </c>
      <c r="X428" s="2318" t="s">
        <v>13</v>
      </c>
      <c r="Y428" s="2318" t="s">
        <v>14</v>
      </c>
      <c r="Z428" s="2327">
        <f>SUM(AB195)</f>
        <v>1250</v>
      </c>
      <c r="AA428" s="1483"/>
      <c r="AB428" s="221"/>
      <c r="AC428" s="221"/>
      <c r="AD428" s="221"/>
      <c r="AE428" s="221"/>
    </row>
    <row r="429" spans="1:32" ht="33">
      <c r="A429" s="221"/>
      <c r="B429" s="221"/>
      <c r="C429" s="221"/>
      <c r="D429" s="221"/>
      <c r="E429" s="221"/>
      <c r="F429" s="221"/>
      <c r="G429" s="221"/>
      <c r="H429" s="221"/>
      <c r="I429" s="221"/>
      <c r="J429" s="221"/>
      <c r="K429" s="221"/>
      <c r="L429" s="221"/>
      <c r="M429" s="1480"/>
      <c r="N429" s="1480"/>
      <c r="O429" s="1480"/>
      <c r="P429" s="221"/>
      <c r="Q429" s="1482"/>
      <c r="R429" s="135"/>
      <c r="S429" s="135"/>
      <c r="T429" s="135"/>
      <c r="U429" s="2339" t="s">
        <v>17</v>
      </c>
      <c r="V429" s="2341" t="s">
        <v>73</v>
      </c>
      <c r="W429" s="2364">
        <v>530829</v>
      </c>
      <c r="X429" s="2318" t="s">
        <v>13</v>
      </c>
      <c r="Y429" s="2318" t="s">
        <v>14</v>
      </c>
      <c r="Z429" s="2327">
        <f>SUM(AB34)</f>
        <v>10080.000000000002</v>
      </c>
      <c r="AA429" s="233"/>
      <c r="AB429" s="221"/>
      <c r="AC429" s="221"/>
      <c r="AD429" s="221"/>
      <c r="AE429" s="221"/>
    </row>
    <row r="430" spans="1:32" ht="16.5" customHeight="1">
      <c r="A430" s="221"/>
      <c r="B430" s="221"/>
      <c r="C430" s="221"/>
      <c r="D430" s="221"/>
      <c r="E430" s="221"/>
      <c r="F430" s="221"/>
      <c r="G430" s="221"/>
      <c r="H430" s="221"/>
      <c r="I430" s="221"/>
      <c r="J430" s="221"/>
      <c r="K430" s="221"/>
      <c r="L430" s="221"/>
      <c r="M430" s="1480"/>
      <c r="N430" s="1480"/>
      <c r="O430" s="1480"/>
      <c r="P430" s="221"/>
      <c r="Q430" s="1481"/>
      <c r="R430" s="135"/>
      <c r="S430" s="135"/>
      <c r="T430" s="135"/>
      <c r="U430" s="2339" t="s">
        <v>17</v>
      </c>
      <c r="V430" s="2373" t="s">
        <v>24</v>
      </c>
      <c r="W430" s="2319">
        <v>531404</v>
      </c>
      <c r="X430" s="2318" t="s">
        <v>13</v>
      </c>
      <c r="Y430" s="2318" t="s">
        <v>14</v>
      </c>
      <c r="Z430" s="2327">
        <f>SUM(AB178)</f>
        <v>394.63</v>
      </c>
      <c r="AA430" s="221"/>
      <c r="AB430" s="221"/>
      <c r="AC430" s="221"/>
      <c r="AD430" s="221"/>
      <c r="AE430" s="221"/>
    </row>
    <row r="431" spans="1:32" ht="16.5" customHeight="1">
      <c r="A431" s="221"/>
      <c r="B431" s="221"/>
      <c r="C431" s="221"/>
      <c r="D431" s="221"/>
      <c r="E431" s="221"/>
      <c r="F431" s="221"/>
      <c r="G431" s="221"/>
      <c r="H431" s="221"/>
      <c r="I431" s="221"/>
      <c r="J431" s="221"/>
      <c r="K431" s="221"/>
      <c r="L431" s="221"/>
      <c r="M431" s="1480"/>
      <c r="N431" s="1480"/>
      <c r="O431" s="1480"/>
      <c r="P431" s="221"/>
      <c r="Q431" s="1481"/>
      <c r="R431" s="135"/>
      <c r="S431" s="135"/>
      <c r="T431" s="135"/>
      <c r="U431" s="2337" t="s">
        <v>17</v>
      </c>
      <c r="V431" s="2374" t="s">
        <v>22</v>
      </c>
      <c r="W431" s="2315">
        <v>840103</v>
      </c>
      <c r="X431" s="2316" t="s">
        <v>13</v>
      </c>
      <c r="Y431" s="2316" t="s">
        <v>23</v>
      </c>
      <c r="Z431" s="2325">
        <f>SUM(AB188)</f>
        <v>6370</v>
      </c>
      <c r="AA431" s="221"/>
      <c r="AB431" s="221"/>
      <c r="AC431" s="221"/>
      <c r="AD431" s="221"/>
      <c r="AE431" s="221"/>
    </row>
    <row r="432" spans="1:32" ht="16.5" customHeight="1">
      <c r="A432" s="221"/>
      <c r="B432" s="221"/>
      <c r="C432" s="221"/>
      <c r="D432" s="221"/>
      <c r="E432" s="221"/>
      <c r="F432" s="221"/>
      <c r="G432" s="221"/>
      <c r="H432" s="221"/>
      <c r="I432" s="221"/>
      <c r="J432" s="221"/>
      <c r="K432" s="221"/>
      <c r="L432" s="221"/>
      <c r="M432" s="1480"/>
      <c r="N432" s="1480"/>
      <c r="O432" s="1480"/>
      <c r="P432" s="221"/>
      <c r="Q432" s="1481"/>
      <c r="R432" s="135"/>
      <c r="S432" s="135"/>
      <c r="T432" s="135"/>
      <c r="U432" s="2337" t="s">
        <v>17</v>
      </c>
      <c r="V432" s="2374" t="s">
        <v>24</v>
      </c>
      <c r="W432" s="2315">
        <v>840104</v>
      </c>
      <c r="X432" s="2316" t="s">
        <v>13</v>
      </c>
      <c r="Y432" s="2316" t="s">
        <v>23</v>
      </c>
      <c r="Z432" s="2325">
        <f>SUM(AB133)</f>
        <v>924169.72</v>
      </c>
      <c r="AA432" s="221"/>
      <c r="AB432" s="221"/>
      <c r="AC432" s="221"/>
      <c r="AD432" s="221"/>
      <c r="AE432" s="221"/>
    </row>
    <row r="433" spans="1:31" ht="16.5" customHeight="1">
      <c r="A433" s="221"/>
      <c r="B433" s="221"/>
      <c r="C433" s="221"/>
      <c r="D433" s="221"/>
      <c r="E433" s="221"/>
      <c r="F433" s="221"/>
      <c r="G433" s="221"/>
      <c r="H433" s="221"/>
      <c r="I433" s="221"/>
      <c r="J433" s="221"/>
      <c r="K433" s="221"/>
      <c r="L433" s="221"/>
      <c r="M433" s="1480"/>
      <c r="N433" s="1480"/>
      <c r="O433" s="1480"/>
      <c r="P433" s="221"/>
      <c r="Q433" s="1481"/>
      <c r="R433" s="135"/>
      <c r="S433" s="135"/>
      <c r="T433" s="135"/>
      <c r="U433" s="2337" t="s">
        <v>17</v>
      </c>
      <c r="V433" s="2374" t="s">
        <v>20</v>
      </c>
      <c r="W433" s="2315">
        <v>840107</v>
      </c>
      <c r="X433" s="2316" t="s">
        <v>13</v>
      </c>
      <c r="Y433" s="2316" t="s">
        <v>23</v>
      </c>
      <c r="Z433" s="2325">
        <f>SUM(AB183)</f>
        <v>244548.86000000002</v>
      </c>
      <c r="AA433" s="221"/>
      <c r="AB433" s="221"/>
      <c r="AC433" s="221"/>
      <c r="AD433" s="221"/>
      <c r="AE433" s="221"/>
    </row>
    <row r="434" spans="1:31" ht="49.5">
      <c r="A434" s="221"/>
      <c r="B434" s="221"/>
      <c r="C434" s="221"/>
      <c r="D434" s="221"/>
      <c r="E434" s="221"/>
      <c r="F434" s="221"/>
      <c r="G434" s="221"/>
      <c r="H434" s="221"/>
      <c r="I434" s="221"/>
      <c r="J434" s="221"/>
      <c r="K434" s="221"/>
      <c r="L434" s="221"/>
      <c r="M434" s="1480"/>
      <c r="N434" s="1480"/>
      <c r="O434" s="1480"/>
      <c r="P434" s="221"/>
      <c r="Q434" s="1482"/>
      <c r="R434" s="135"/>
      <c r="S434" s="135"/>
      <c r="T434" s="135"/>
      <c r="U434" s="2375" t="s">
        <v>29</v>
      </c>
      <c r="V434" s="2341" t="s">
        <v>16</v>
      </c>
      <c r="W434" s="2364">
        <v>530402</v>
      </c>
      <c r="X434" s="2318" t="s">
        <v>13</v>
      </c>
      <c r="Y434" s="2318" t="s">
        <v>14</v>
      </c>
      <c r="Z434" s="2327">
        <f>SUM(AB38)</f>
        <v>0</v>
      </c>
      <c r="AA434" s="221"/>
      <c r="AB434" s="221"/>
      <c r="AC434" s="221"/>
      <c r="AD434" s="221"/>
      <c r="AE434" s="221"/>
    </row>
    <row r="435" spans="1:31" ht="17.25" thickBot="1">
      <c r="A435" s="221"/>
      <c r="B435" s="221"/>
      <c r="C435" s="221"/>
      <c r="D435" s="221"/>
      <c r="E435" s="221"/>
      <c r="F435" s="221"/>
      <c r="G435" s="221"/>
      <c r="H435" s="221"/>
      <c r="I435" s="221"/>
      <c r="J435" s="221"/>
      <c r="K435" s="221"/>
      <c r="L435" s="221"/>
      <c r="M435" s="1480"/>
      <c r="N435" s="1480"/>
      <c r="O435" s="1480"/>
      <c r="P435" s="221"/>
      <c r="Q435" s="1482"/>
      <c r="R435" s="135"/>
      <c r="S435" s="135"/>
      <c r="T435" s="135"/>
      <c r="U435" s="2376" t="s">
        <v>17</v>
      </c>
      <c r="V435" s="2358" t="s">
        <v>24</v>
      </c>
      <c r="W435" s="2370">
        <v>840104</v>
      </c>
      <c r="X435" s="2351" t="s">
        <v>13</v>
      </c>
      <c r="Y435" s="2351" t="s">
        <v>23</v>
      </c>
      <c r="Z435" s="2359">
        <f>SUM(AB43)</f>
        <v>6048.0000000000009</v>
      </c>
      <c r="AA435" s="221"/>
      <c r="AB435" s="221"/>
      <c r="AC435" s="221"/>
      <c r="AD435" s="221"/>
      <c r="AE435" s="221"/>
    </row>
    <row r="436" spans="1:31" ht="16.5" customHeight="1" thickBot="1">
      <c r="A436" s="221"/>
      <c r="B436" s="221"/>
      <c r="C436" s="221"/>
      <c r="D436" s="221"/>
      <c r="E436" s="221"/>
      <c r="F436" s="221"/>
      <c r="G436" s="221"/>
      <c r="H436" s="221"/>
      <c r="I436" s="221"/>
      <c r="J436" s="221"/>
      <c r="K436" s="221"/>
      <c r="L436" s="221"/>
      <c r="M436" s="1480"/>
      <c r="N436" s="1480"/>
      <c r="O436" s="1480"/>
      <c r="P436" s="221"/>
      <c r="Q436" s="135"/>
      <c r="R436" s="135"/>
      <c r="S436" s="135"/>
      <c r="T436" s="135"/>
      <c r="U436" s="2345"/>
      <c r="V436" s="2346" t="s">
        <v>183</v>
      </c>
      <c r="W436" s="2347"/>
      <c r="X436" s="2347"/>
      <c r="Y436" s="2246" t="s">
        <v>340</v>
      </c>
      <c r="Z436" s="2329">
        <f>SUM(Z425:Z435)</f>
        <v>1204725.6612</v>
      </c>
      <c r="AA436" s="221"/>
      <c r="AB436" s="221"/>
      <c r="AC436" s="221"/>
      <c r="AD436" s="221"/>
      <c r="AE436" s="221"/>
    </row>
    <row r="437" spans="1:31" ht="16.5" customHeight="1" thickTop="1">
      <c r="A437" s="221"/>
      <c r="B437" s="221"/>
      <c r="C437" s="221"/>
      <c r="D437" s="221"/>
      <c r="E437" s="221"/>
      <c r="F437" s="221"/>
      <c r="G437" s="221"/>
      <c r="H437" s="221"/>
      <c r="I437" s="221"/>
      <c r="J437" s="221"/>
      <c r="K437" s="221"/>
      <c r="L437" s="221"/>
      <c r="M437" s="1480"/>
      <c r="N437" s="1480"/>
      <c r="O437" s="1480"/>
      <c r="P437" s="221"/>
      <c r="Q437" s="221"/>
      <c r="R437" s="221"/>
      <c r="S437" s="587"/>
      <c r="T437" s="221"/>
      <c r="U437" s="2199"/>
      <c r="V437" s="2199" t="s">
        <v>347</v>
      </c>
      <c r="W437" s="2225"/>
      <c r="X437" s="2199"/>
      <c r="Y437" s="2199"/>
      <c r="Z437" s="2199"/>
      <c r="AA437" s="221"/>
      <c r="AB437" s="221"/>
      <c r="AC437" s="221"/>
      <c r="AD437" s="221"/>
      <c r="AE437" s="221"/>
    </row>
    <row r="438" spans="1:31" ht="16.5" customHeight="1" thickBot="1">
      <c r="A438" s="221"/>
      <c r="B438" s="221"/>
      <c r="C438" s="221"/>
      <c r="D438" s="221"/>
      <c r="E438" s="221"/>
      <c r="F438" s="221"/>
      <c r="G438" s="221"/>
      <c r="H438" s="221"/>
      <c r="I438" s="221"/>
      <c r="J438" s="221"/>
      <c r="K438" s="221"/>
      <c r="L438" s="221"/>
      <c r="M438" s="1480"/>
      <c r="N438" s="1480"/>
      <c r="O438" s="1480"/>
      <c r="P438" s="221"/>
      <c r="Q438" s="221"/>
      <c r="R438" s="221"/>
      <c r="S438" s="587"/>
      <c r="T438" s="587"/>
      <c r="U438" s="2199"/>
      <c r="V438" s="2199"/>
      <c r="W438" s="2199"/>
      <c r="X438" s="2199"/>
      <c r="Y438" s="2199"/>
      <c r="Z438" s="2199"/>
      <c r="AA438" s="221"/>
      <c r="AB438" s="221"/>
      <c r="AC438" s="221"/>
      <c r="AD438" s="221"/>
      <c r="AE438" s="221"/>
    </row>
    <row r="439" spans="1:31" ht="16.5" customHeight="1" thickTop="1">
      <c r="A439" s="221"/>
      <c r="B439" s="221"/>
      <c r="C439" s="221"/>
      <c r="D439" s="221"/>
      <c r="E439" s="221"/>
      <c r="F439" s="221"/>
      <c r="G439" s="221"/>
      <c r="H439" s="221"/>
      <c r="I439" s="221"/>
      <c r="J439" s="221"/>
      <c r="K439" s="221"/>
      <c r="L439" s="221"/>
      <c r="M439" s="1480"/>
      <c r="N439" s="1480"/>
      <c r="O439" s="1480"/>
      <c r="P439" s="221"/>
      <c r="Q439" s="221"/>
      <c r="R439" s="221"/>
      <c r="S439" s="221"/>
      <c r="T439" s="221"/>
      <c r="U439" s="5312" t="s">
        <v>348</v>
      </c>
      <c r="V439" s="5313"/>
      <c r="W439" s="5314"/>
      <c r="X439" s="2199"/>
      <c r="Y439" s="2226" t="s">
        <v>349</v>
      </c>
      <c r="Z439" s="2203" t="str">
        <f>IF(Z436=AB419,"OK","NO")</f>
        <v>OK</v>
      </c>
      <c r="AA439" s="221"/>
      <c r="AB439" s="221"/>
      <c r="AC439" s="221"/>
      <c r="AD439" s="221"/>
      <c r="AE439" s="221"/>
    </row>
    <row r="440" spans="1:31" ht="16.5" customHeight="1">
      <c r="A440" s="221"/>
      <c r="B440" s="221"/>
      <c r="C440" s="221"/>
      <c r="D440" s="221"/>
      <c r="E440" s="221"/>
      <c r="F440" s="221"/>
      <c r="G440" s="221"/>
      <c r="H440" s="221"/>
      <c r="I440" s="221"/>
      <c r="J440" s="221"/>
      <c r="K440" s="221"/>
      <c r="L440" s="221"/>
      <c r="M440" s="1480"/>
      <c r="N440" s="1480"/>
      <c r="O440" s="1480"/>
      <c r="P440" s="221"/>
      <c r="Q440" s="221"/>
      <c r="R440" s="221"/>
      <c r="S440" s="221"/>
      <c r="T440" s="221"/>
      <c r="U440" s="5315" t="s">
        <v>3942</v>
      </c>
      <c r="V440" s="4636"/>
      <c r="W440" s="2384">
        <v>0</v>
      </c>
      <c r="X440" s="2199"/>
      <c r="Y440" s="2199"/>
      <c r="Z440" s="2203" t="str">
        <f>IF(W444=AB419,"OK","NO")</f>
        <v>OK</v>
      </c>
      <c r="AA440" s="221"/>
      <c r="AB440" s="221"/>
      <c r="AC440" s="221"/>
      <c r="AD440" s="221"/>
      <c r="AE440" s="221"/>
    </row>
    <row r="441" spans="1:31" ht="16.5" customHeight="1">
      <c r="A441" s="221"/>
      <c r="B441" s="221"/>
      <c r="C441" s="221"/>
      <c r="D441" s="221"/>
      <c r="E441" s="221"/>
      <c r="F441" s="221"/>
      <c r="G441" s="221"/>
      <c r="H441" s="221"/>
      <c r="I441" s="221"/>
      <c r="J441" s="221"/>
      <c r="K441" s="221"/>
      <c r="L441" s="221"/>
      <c r="M441" s="1480"/>
      <c r="N441" s="1480"/>
      <c r="O441" s="1480"/>
      <c r="P441" s="221"/>
      <c r="Q441" s="221"/>
      <c r="R441" s="221"/>
      <c r="S441" s="221"/>
      <c r="T441" s="221"/>
      <c r="U441" s="5316" t="s">
        <v>3943</v>
      </c>
      <c r="V441" s="4638"/>
      <c r="W441" s="2385">
        <v>0</v>
      </c>
      <c r="X441" s="2199"/>
      <c r="Y441" s="2199"/>
      <c r="Z441" s="2203" t="str">
        <f>IF(W454=AB419,"OK","NO")</f>
        <v>OK</v>
      </c>
      <c r="AA441" s="221"/>
      <c r="AB441" s="221"/>
      <c r="AC441" s="221"/>
      <c r="AD441" s="221"/>
      <c r="AE441" s="221"/>
    </row>
    <row r="442" spans="1:31" ht="16.5" customHeight="1">
      <c r="A442" s="221"/>
      <c r="B442" s="221"/>
      <c r="C442" s="221"/>
      <c r="D442" s="221"/>
      <c r="E442" s="221"/>
      <c r="F442" s="221"/>
      <c r="G442" s="221"/>
      <c r="H442" s="221"/>
      <c r="I442" s="221"/>
      <c r="J442" s="221"/>
      <c r="K442" s="221"/>
      <c r="L442" s="221"/>
      <c r="M442" s="1480"/>
      <c r="N442" s="1480"/>
      <c r="O442" s="1480"/>
      <c r="P442" s="221"/>
      <c r="Q442" s="221"/>
      <c r="R442" s="221"/>
      <c r="S442" s="221"/>
      <c r="T442" s="221"/>
      <c r="U442" s="5316" t="s">
        <v>3944</v>
      </c>
      <c r="V442" s="4638"/>
      <c r="W442" s="2385">
        <f>+Z425+Z426+Z427+Z428+Z429+Z430+Z434</f>
        <v>23589.081200000004</v>
      </c>
      <c r="X442" s="2225"/>
      <c r="Y442" s="2199"/>
      <c r="Z442" s="145" t="str">
        <f>IF(Resumen!C369=AB419,"OK","NO")</f>
        <v>OK</v>
      </c>
      <c r="AA442" s="221"/>
      <c r="AB442" s="221"/>
      <c r="AC442" s="221"/>
      <c r="AD442" s="221"/>
      <c r="AE442" s="221"/>
    </row>
    <row r="443" spans="1:31" ht="16.5" customHeight="1">
      <c r="A443" s="221"/>
      <c r="B443" s="221"/>
      <c r="C443" s="221"/>
      <c r="D443" s="221"/>
      <c r="E443" s="221"/>
      <c r="F443" s="221"/>
      <c r="G443" s="221"/>
      <c r="H443" s="221"/>
      <c r="I443" s="221"/>
      <c r="J443" s="221"/>
      <c r="K443" s="221"/>
      <c r="L443" s="221"/>
      <c r="M443" s="1480"/>
      <c r="N443" s="1480"/>
      <c r="O443" s="1480"/>
      <c r="P443" s="221"/>
      <c r="Q443" s="221"/>
      <c r="R443" s="221"/>
      <c r="S443" s="221"/>
      <c r="T443" s="221"/>
      <c r="U443" s="5316" t="s">
        <v>3945</v>
      </c>
      <c r="V443" s="4638"/>
      <c r="W443" s="2386">
        <f>+Z431+Z432+Z433+Z435</f>
        <v>1181136.58</v>
      </c>
      <c r="X443" s="2225"/>
      <c r="Y443" s="2199"/>
      <c r="Z443" s="2199"/>
      <c r="AA443" s="221"/>
      <c r="AB443" s="221"/>
      <c r="AC443" s="221"/>
      <c r="AD443" s="587"/>
      <c r="AE443" s="587"/>
    </row>
    <row r="444" spans="1:31" ht="16.5" customHeight="1">
      <c r="A444" s="221"/>
      <c r="B444" s="221"/>
      <c r="C444" s="221"/>
      <c r="D444" s="221"/>
      <c r="E444" s="221"/>
      <c r="F444" s="221"/>
      <c r="G444" s="221"/>
      <c r="H444" s="221"/>
      <c r="I444" s="221"/>
      <c r="J444" s="221"/>
      <c r="K444" s="221"/>
      <c r="L444" s="221"/>
      <c r="M444" s="1480"/>
      <c r="N444" s="1480"/>
      <c r="O444" s="1480"/>
      <c r="P444" s="221"/>
      <c r="Q444" s="221"/>
      <c r="R444" s="221"/>
      <c r="S444" s="221"/>
      <c r="T444" s="221"/>
      <c r="U444" s="5296" t="s">
        <v>183</v>
      </c>
      <c r="V444" s="5221"/>
      <c r="W444" s="2348">
        <f>SUM(W440:W443)</f>
        <v>1204725.6612</v>
      </c>
      <c r="X444" s="2225"/>
      <c r="Y444" s="2199"/>
      <c r="Z444" s="2199"/>
      <c r="AA444" s="221"/>
      <c r="AB444" s="221"/>
      <c r="AC444" s="221"/>
      <c r="AD444" s="587"/>
      <c r="AE444" s="587"/>
    </row>
    <row r="445" spans="1:31" ht="16.5" customHeight="1">
      <c r="A445" s="221"/>
      <c r="B445" s="221"/>
      <c r="C445" s="221"/>
      <c r="D445" s="221"/>
      <c r="E445" s="221"/>
      <c r="F445" s="221"/>
      <c r="G445" s="221"/>
      <c r="H445" s="221"/>
      <c r="I445" s="221"/>
      <c r="J445" s="221"/>
      <c r="K445" s="221"/>
      <c r="L445" s="221"/>
      <c r="M445" s="1480"/>
      <c r="N445" s="1480"/>
      <c r="O445" s="1480"/>
      <c r="P445" s="221"/>
      <c r="Q445" s="221"/>
      <c r="R445" s="221"/>
      <c r="S445" s="221"/>
      <c r="T445" s="221"/>
      <c r="U445" s="5317" t="s">
        <v>350</v>
      </c>
      <c r="V445" s="5318"/>
      <c r="W445" s="5319"/>
      <c r="X445" s="2227"/>
      <c r="Y445" s="2199"/>
      <c r="Z445" s="2199"/>
      <c r="AA445" s="221"/>
      <c r="AB445" s="221"/>
      <c r="AC445" s="221"/>
      <c r="AD445" s="587"/>
      <c r="AE445" s="587"/>
    </row>
    <row r="446" spans="1:31" ht="16.5" customHeight="1">
      <c r="A446" s="221"/>
      <c r="B446" s="221"/>
      <c r="C446" s="221"/>
      <c r="D446" s="221"/>
      <c r="E446" s="221"/>
      <c r="F446" s="221"/>
      <c r="G446" s="221"/>
      <c r="H446" s="221"/>
      <c r="I446" s="221"/>
      <c r="J446" s="221"/>
      <c r="K446" s="221"/>
      <c r="L446" s="221"/>
      <c r="M446" s="1480"/>
      <c r="N446" s="1480"/>
      <c r="O446" s="1480"/>
      <c r="P446" s="221"/>
      <c r="Q446" s="221"/>
      <c r="R446" s="221"/>
      <c r="S446" s="221"/>
      <c r="T446" s="221"/>
      <c r="U446" s="5297" t="s">
        <v>3946</v>
      </c>
      <c r="V446" s="4636"/>
      <c r="W446" s="2384">
        <v>0</v>
      </c>
      <c r="X446" s="2227"/>
      <c r="Y446" s="2199"/>
      <c r="Z446" s="2199"/>
      <c r="AA446" s="221"/>
      <c r="AB446" s="221"/>
      <c r="AC446" s="221"/>
      <c r="AD446" s="587"/>
      <c r="AE446" s="587"/>
    </row>
    <row r="447" spans="1:31" ht="16.5" customHeight="1">
      <c r="A447" s="221"/>
      <c r="B447" s="221"/>
      <c r="C447" s="221"/>
      <c r="D447" s="221"/>
      <c r="E447" s="221"/>
      <c r="F447" s="221"/>
      <c r="G447" s="221"/>
      <c r="H447" s="221"/>
      <c r="I447" s="221"/>
      <c r="J447" s="221"/>
      <c r="K447" s="221"/>
      <c r="L447" s="221"/>
      <c r="M447" s="1480"/>
      <c r="N447" s="1480"/>
      <c r="O447" s="1480"/>
      <c r="P447" s="221"/>
      <c r="Q447" s="221"/>
      <c r="R447" s="221"/>
      <c r="S447" s="221"/>
      <c r="T447" s="221"/>
      <c r="U447" s="5298" t="s">
        <v>3947</v>
      </c>
      <c r="V447" s="4638"/>
      <c r="W447" s="2385">
        <f>+SUM(Z425:Z430)+Z434</f>
        <v>23589.081200000004</v>
      </c>
      <c r="X447" s="2227"/>
      <c r="Y447" s="2199"/>
      <c r="Z447" s="2199"/>
      <c r="AA447" s="221"/>
      <c r="AB447" s="221"/>
      <c r="AC447" s="221"/>
      <c r="AD447" s="587"/>
      <c r="AE447" s="587"/>
    </row>
    <row r="448" spans="1:31" ht="16.5" customHeight="1">
      <c r="A448" s="221"/>
      <c r="B448" s="221"/>
      <c r="C448" s="221"/>
      <c r="D448" s="221"/>
      <c r="E448" s="221"/>
      <c r="F448" s="221"/>
      <c r="G448" s="221"/>
      <c r="H448" s="221"/>
      <c r="I448" s="221"/>
      <c r="J448" s="221"/>
      <c r="K448" s="221"/>
      <c r="L448" s="221"/>
      <c r="M448" s="1480"/>
      <c r="N448" s="1480"/>
      <c r="O448" s="1480"/>
      <c r="P448" s="221"/>
      <c r="Q448" s="221"/>
      <c r="R448" s="221"/>
      <c r="S448" s="221"/>
      <c r="T448" s="221"/>
      <c r="U448" s="5298" t="s">
        <v>3948</v>
      </c>
      <c r="V448" s="4638"/>
      <c r="W448" s="2385">
        <v>0</v>
      </c>
      <c r="X448" s="2228"/>
      <c r="Y448" s="2199"/>
      <c r="Z448" s="2199"/>
      <c r="AA448" s="221"/>
      <c r="AB448" s="221"/>
      <c r="AC448" s="221"/>
      <c r="AD448" s="1484"/>
      <c r="AE448" s="587"/>
    </row>
    <row r="449" spans="1:31" ht="16.5" customHeight="1">
      <c r="A449" s="221"/>
      <c r="B449" s="221"/>
      <c r="C449" s="221"/>
      <c r="D449" s="221"/>
      <c r="E449" s="221"/>
      <c r="F449" s="221"/>
      <c r="G449" s="221"/>
      <c r="H449" s="221"/>
      <c r="I449" s="221"/>
      <c r="J449" s="221"/>
      <c r="K449" s="221"/>
      <c r="L449" s="221"/>
      <c r="M449" s="1480"/>
      <c r="N449" s="1480"/>
      <c r="O449" s="1480"/>
      <c r="P449" s="221"/>
      <c r="Q449" s="221"/>
      <c r="R449" s="221"/>
      <c r="S449" s="221"/>
      <c r="T449" s="221"/>
      <c r="U449" s="5298" t="s">
        <v>3949</v>
      </c>
      <c r="V449" s="4638"/>
      <c r="W449" s="2385">
        <v>0</v>
      </c>
      <c r="X449" s="2225"/>
      <c r="Y449" s="2199"/>
      <c r="Z449" s="2199"/>
      <c r="AA449" s="221"/>
      <c r="AB449" s="221"/>
      <c r="AC449" s="221"/>
      <c r="AD449" s="587"/>
      <c r="AE449" s="587"/>
    </row>
    <row r="450" spans="1:31" ht="16.5" customHeight="1">
      <c r="A450" s="221"/>
      <c r="B450" s="221"/>
      <c r="C450" s="221"/>
      <c r="D450" s="221"/>
      <c r="E450" s="221"/>
      <c r="F450" s="221"/>
      <c r="G450" s="221"/>
      <c r="H450" s="221"/>
      <c r="I450" s="221"/>
      <c r="J450" s="221"/>
      <c r="K450" s="221"/>
      <c r="L450" s="221"/>
      <c r="M450" s="1480"/>
      <c r="N450" s="1480"/>
      <c r="O450" s="1480"/>
      <c r="P450" s="221"/>
      <c r="Q450" s="221"/>
      <c r="R450" s="221"/>
      <c r="S450" s="221"/>
      <c r="T450" s="221"/>
      <c r="U450" s="5298" t="s">
        <v>3954</v>
      </c>
      <c r="V450" s="4638"/>
      <c r="W450" s="2385">
        <v>0</v>
      </c>
      <c r="X450" s="2229"/>
      <c r="Y450" s="2199"/>
      <c r="Z450" s="2199"/>
      <c r="AA450" s="221"/>
      <c r="AB450" s="221"/>
      <c r="AC450" s="221"/>
      <c r="AD450" s="245"/>
      <c r="AE450" s="221"/>
    </row>
    <row r="451" spans="1:31" ht="16.5" customHeight="1">
      <c r="A451" s="221"/>
      <c r="B451" s="221"/>
      <c r="C451" s="221"/>
      <c r="D451" s="221"/>
      <c r="E451" s="221"/>
      <c r="F451" s="221"/>
      <c r="G451" s="221"/>
      <c r="H451" s="221"/>
      <c r="I451" s="221"/>
      <c r="J451" s="221"/>
      <c r="K451" s="221"/>
      <c r="L451" s="221"/>
      <c r="M451" s="1480"/>
      <c r="N451" s="1480"/>
      <c r="O451" s="1480"/>
      <c r="P451" s="221"/>
      <c r="Q451" s="221"/>
      <c r="R451" s="221"/>
      <c r="S451" s="221"/>
      <c r="T451" s="221"/>
      <c r="U451" s="5298" t="s">
        <v>3951</v>
      </c>
      <c r="V451" s="4638"/>
      <c r="W451" s="2385">
        <v>0</v>
      </c>
      <c r="X451" s="2229"/>
      <c r="Y451" s="2199"/>
      <c r="Z451" s="2199"/>
      <c r="AA451" s="221"/>
      <c r="AB451" s="221"/>
      <c r="AC451" s="221"/>
      <c r="AD451" s="221"/>
      <c r="AE451" s="221"/>
    </row>
    <row r="452" spans="1:31" ht="16.5" customHeight="1">
      <c r="A452" s="221"/>
      <c r="B452" s="221"/>
      <c r="C452" s="221"/>
      <c r="D452" s="221"/>
      <c r="E452" s="221"/>
      <c r="F452" s="221"/>
      <c r="G452" s="221"/>
      <c r="H452" s="221"/>
      <c r="I452" s="221"/>
      <c r="J452" s="221"/>
      <c r="K452" s="221"/>
      <c r="L452" s="221"/>
      <c r="M452" s="1480"/>
      <c r="N452" s="1480"/>
      <c r="O452" s="1480"/>
      <c r="P452" s="221"/>
      <c r="Q452" s="221"/>
      <c r="R452" s="221"/>
      <c r="S452" s="221"/>
      <c r="T452" s="221"/>
      <c r="U452" s="5298" t="s">
        <v>3952</v>
      </c>
      <c r="V452" s="4638"/>
      <c r="W452" s="2385">
        <f>+SUM(Z431:Z433)+Z435</f>
        <v>1181136.58</v>
      </c>
      <c r="X452" s="2229"/>
      <c r="Y452" s="2199"/>
      <c r="Z452" s="2199"/>
      <c r="AA452" s="221"/>
      <c r="AB452" s="221"/>
      <c r="AC452" s="221"/>
      <c r="AD452" s="221"/>
      <c r="AE452" s="221"/>
    </row>
    <row r="453" spans="1:31" ht="16.5" customHeight="1">
      <c r="A453" s="221"/>
      <c r="B453" s="221"/>
      <c r="C453" s="221"/>
      <c r="D453" s="221"/>
      <c r="E453" s="221"/>
      <c r="F453" s="221"/>
      <c r="G453" s="221"/>
      <c r="H453" s="221"/>
      <c r="I453" s="221"/>
      <c r="J453" s="221"/>
      <c r="K453" s="221"/>
      <c r="L453" s="221"/>
      <c r="M453" s="1480"/>
      <c r="N453" s="1480"/>
      <c r="O453" s="1480"/>
      <c r="P453" s="221"/>
      <c r="Q453" s="221"/>
      <c r="R453" s="221"/>
      <c r="S453" s="221"/>
      <c r="T453" s="221"/>
      <c r="U453" s="5298" t="s">
        <v>3953</v>
      </c>
      <c r="V453" s="4638"/>
      <c r="W453" s="2386">
        <v>0</v>
      </c>
      <c r="X453" s="2230"/>
      <c r="Y453" s="2199"/>
      <c r="Z453" s="2199"/>
      <c r="AA453" s="221"/>
      <c r="AB453" s="221"/>
      <c r="AC453" s="221"/>
      <c r="AD453" s="221"/>
      <c r="AE453" s="221"/>
    </row>
    <row r="454" spans="1:31" ht="16.5" customHeight="1" thickBot="1">
      <c r="A454" s="221"/>
      <c r="B454" s="221"/>
      <c r="C454" s="221"/>
      <c r="D454" s="221"/>
      <c r="E454" s="221"/>
      <c r="F454" s="221"/>
      <c r="G454" s="221"/>
      <c r="H454" s="221"/>
      <c r="I454" s="221"/>
      <c r="J454" s="221"/>
      <c r="K454" s="221"/>
      <c r="L454" s="221"/>
      <c r="M454" s="1480"/>
      <c r="N454" s="1480"/>
      <c r="O454" s="1480"/>
      <c r="P454" s="221"/>
      <c r="Q454" s="221"/>
      <c r="R454" s="221"/>
      <c r="S454" s="221"/>
      <c r="T454" s="221"/>
      <c r="U454" s="5299" t="s">
        <v>183</v>
      </c>
      <c r="V454" s="5300"/>
      <c r="W454" s="2349">
        <f>SUM(W447:W453)</f>
        <v>1204725.6612</v>
      </c>
      <c r="X454" s="2228"/>
      <c r="Y454" s="2199"/>
      <c r="Z454" s="2199"/>
      <c r="AA454" s="221"/>
      <c r="AB454" s="221"/>
      <c r="AC454" s="221"/>
      <c r="AD454" s="221"/>
      <c r="AE454" s="221"/>
    </row>
    <row r="455" spans="1:31" ht="16.5" customHeight="1" thickTop="1">
      <c r="A455" s="221"/>
      <c r="B455" s="221"/>
      <c r="C455" s="221"/>
      <c r="D455" s="221"/>
      <c r="E455" s="221"/>
      <c r="F455" s="221"/>
      <c r="G455" s="221"/>
      <c r="H455" s="221"/>
      <c r="I455" s="221"/>
      <c r="J455" s="221"/>
      <c r="K455" s="221"/>
      <c r="L455" s="221"/>
      <c r="M455" s="1480"/>
      <c r="N455" s="1480"/>
      <c r="O455" s="1480"/>
      <c r="P455" s="221"/>
      <c r="Q455" s="221"/>
      <c r="R455" s="221"/>
      <c r="S455" s="221"/>
      <c r="T455" s="221"/>
      <c r="U455" s="2199"/>
      <c r="V455" s="2199"/>
      <c r="W455" s="2228"/>
      <c r="X455" s="2199"/>
      <c r="Y455" s="2199"/>
      <c r="Z455" s="2199"/>
      <c r="AA455" s="221"/>
      <c r="AB455" s="221"/>
      <c r="AC455" s="221"/>
      <c r="AD455" s="221"/>
      <c r="AE455" s="221"/>
    </row>
  </sheetData>
  <mergeCells count="1135">
    <mergeCell ref="B315:B355"/>
    <mergeCell ref="C315:C319"/>
    <mergeCell ref="C320:C324"/>
    <mergeCell ref="C325:C329"/>
    <mergeCell ref="C330:C334"/>
    <mergeCell ref="C335:C339"/>
    <mergeCell ref="C340:C344"/>
    <mergeCell ref="D345:D349"/>
    <mergeCell ref="D350:D354"/>
    <mergeCell ref="D309:D313"/>
    <mergeCell ref="H361:H365"/>
    <mergeCell ref="I361:I365"/>
    <mergeCell ref="G366:G370"/>
    <mergeCell ref="H366:H370"/>
    <mergeCell ref="I366:I370"/>
    <mergeCell ref="H408:H412"/>
    <mergeCell ref="I408:I412"/>
    <mergeCell ref="E325:E329"/>
    <mergeCell ref="E330:E334"/>
    <mergeCell ref="E335:E339"/>
    <mergeCell ref="F315:F319"/>
    <mergeCell ref="E377:E381"/>
    <mergeCell ref="E382:E386"/>
    <mergeCell ref="E387:E391"/>
    <mergeCell ref="E345:E349"/>
    <mergeCell ref="E350:E354"/>
    <mergeCell ref="E356:E360"/>
    <mergeCell ref="E361:E365"/>
    <mergeCell ref="E366:E370"/>
    <mergeCell ref="E371:E375"/>
    <mergeCell ref="F320:F324"/>
    <mergeCell ref="F325:F329"/>
    <mergeCell ref="G413:G417"/>
    <mergeCell ref="H413:H417"/>
    <mergeCell ref="I413:I417"/>
    <mergeCell ref="E403:E407"/>
    <mergeCell ref="F403:F407"/>
    <mergeCell ref="D269:D273"/>
    <mergeCell ref="C274:C278"/>
    <mergeCell ref="D274:D278"/>
    <mergeCell ref="C279:C283"/>
    <mergeCell ref="D279:D283"/>
    <mergeCell ref="C284:C288"/>
    <mergeCell ref="D284:D288"/>
    <mergeCell ref="C289:C293"/>
    <mergeCell ref="D289:D293"/>
    <mergeCell ref="C294:C298"/>
    <mergeCell ref="D294:D298"/>
    <mergeCell ref="D315:D319"/>
    <mergeCell ref="C350:C354"/>
    <mergeCell ref="I356:I360"/>
    <mergeCell ref="H320:H324"/>
    <mergeCell ref="I320:I324"/>
    <mergeCell ref="G325:G329"/>
    <mergeCell ref="H325:H329"/>
    <mergeCell ref="I325:I329"/>
    <mergeCell ref="H330:H334"/>
    <mergeCell ref="I330:I334"/>
    <mergeCell ref="G330:G334"/>
    <mergeCell ref="G350:G354"/>
    <mergeCell ref="G356:G360"/>
    <mergeCell ref="H356:H360"/>
    <mergeCell ref="I309:I313"/>
    <mergeCell ref="F299:F303"/>
    <mergeCell ref="C418:R418"/>
    <mergeCell ref="P382:P386"/>
    <mergeCell ref="Q382:Q386"/>
    <mergeCell ref="R382:R386"/>
    <mergeCell ref="L387:L391"/>
    <mergeCell ref="M387:M391"/>
    <mergeCell ref="N387:N391"/>
    <mergeCell ref="O387:O391"/>
    <mergeCell ref="P387:P391"/>
    <mergeCell ref="Q387:Q391"/>
    <mergeCell ref="R387:R391"/>
    <mergeCell ref="L392:L396"/>
    <mergeCell ref="C403:C407"/>
    <mergeCell ref="D403:D407"/>
    <mergeCell ref="C408:C412"/>
    <mergeCell ref="D408:D412"/>
    <mergeCell ref="C413:C417"/>
    <mergeCell ref="D413:D417"/>
    <mergeCell ref="E408:E412"/>
    <mergeCell ref="F408:F412"/>
    <mergeCell ref="E413:E417"/>
    <mergeCell ref="F413:F417"/>
    <mergeCell ref="E392:E396"/>
    <mergeCell ref="F392:F396"/>
    <mergeCell ref="E398:E402"/>
    <mergeCell ref="F398:F402"/>
    <mergeCell ref="G392:G396"/>
    <mergeCell ref="H392:H396"/>
    <mergeCell ref="I392:I396"/>
    <mergeCell ref="J392:J396"/>
    <mergeCell ref="K392:K396"/>
    <mergeCell ref="H398:H402"/>
    <mergeCell ref="A9:A419"/>
    <mergeCell ref="B9:B87"/>
    <mergeCell ref="D9:D13"/>
    <mergeCell ref="D14:D18"/>
    <mergeCell ref="B88:B253"/>
    <mergeCell ref="D356:D360"/>
    <mergeCell ref="C361:C365"/>
    <mergeCell ref="D361:D365"/>
    <mergeCell ref="C366:C370"/>
    <mergeCell ref="D366:D370"/>
    <mergeCell ref="C371:C375"/>
    <mergeCell ref="D371:D375"/>
    <mergeCell ref="B377:B397"/>
    <mergeCell ref="C377:C381"/>
    <mergeCell ref="C382:C386"/>
    <mergeCell ref="C387:C391"/>
    <mergeCell ref="D320:D324"/>
    <mergeCell ref="B398:B418"/>
    <mergeCell ref="C398:C402"/>
    <mergeCell ref="D325:D329"/>
    <mergeCell ref="D330:D334"/>
    <mergeCell ref="D335:D339"/>
    <mergeCell ref="D340:D344"/>
    <mergeCell ref="C345:C349"/>
    <mergeCell ref="B254:B314"/>
    <mergeCell ref="C299:C303"/>
    <mergeCell ref="C304:C308"/>
    <mergeCell ref="C309:C313"/>
    <mergeCell ref="D299:D303"/>
    <mergeCell ref="D304:D308"/>
    <mergeCell ref="B356:B376"/>
    <mergeCell ref="C356:C360"/>
    <mergeCell ref="D254:D258"/>
    <mergeCell ref="D259:D263"/>
    <mergeCell ref="C264:C268"/>
    <mergeCell ref="D264:D268"/>
    <mergeCell ref="C248:C252"/>
    <mergeCell ref="D248:D252"/>
    <mergeCell ref="C254:C258"/>
    <mergeCell ref="C259:C263"/>
    <mergeCell ref="E284:E288"/>
    <mergeCell ref="F284:F288"/>
    <mergeCell ref="E289:E293"/>
    <mergeCell ref="F289:F293"/>
    <mergeCell ref="E294:E298"/>
    <mergeCell ref="F294:F298"/>
    <mergeCell ref="C113:C197"/>
    <mergeCell ref="D113:D197"/>
    <mergeCell ref="C223:C227"/>
    <mergeCell ref="D223:D227"/>
    <mergeCell ref="C269:C273"/>
    <mergeCell ref="E259:E263"/>
    <mergeCell ref="F259:F263"/>
    <mergeCell ref="F264:F268"/>
    <mergeCell ref="E264:E268"/>
    <mergeCell ref="E269:E273"/>
    <mergeCell ref="E274:E278"/>
    <mergeCell ref="E279:E283"/>
    <mergeCell ref="F279:F283"/>
    <mergeCell ref="C238:C242"/>
    <mergeCell ref="D238:D242"/>
    <mergeCell ref="C243:C247"/>
    <mergeCell ref="D243:D247"/>
    <mergeCell ref="F304:F308"/>
    <mergeCell ref="E304:E308"/>
    <mergeCell ref="E309:E313"/>
    <mergeCell ref="F309:F313"/>
    <mergeCell ref="E299:E303"/>
    <mergeCell ref="E223:E227"/>
    <mergeCell ref="H223:H227"/>
    <mergeCell ref="F233:F237"/>
    <mergeCell ref="F238:F242"/>
    <mergeCell ref="E238:E242"/>
    <mergeCell ref="E243:E247"/>
    <mergeCell ref="E248:E252"/>
    <mergeCell ref="G248:G252"/>
    <mergeCell ref="F382:F386"/>
    <mergeCell ref="F387:F391"/>
    <mergeCell ref="F345:F349"/>
    <mergeCell ref="F350:F354"/>
    <mergeCell ref="F356:F360"/>
    <mergeCell ref="F361:F365"/>
    <mergeCell ref="F366:F370"/>
    <mergeCell ref="F371:F375"/>
    <mergeCell ref="F377:F381"/>
    <mergeCell ref="F243:F247"/>
    <mergeCell ref="F248:F252"/>
    <mergeCell ref="E254:E258"/>
    <mergeCell ref="F254:F258"/>
    <mergeCell ref="G299:G303"/>
    <mergeCell ref="G279:G283"/>
    <mergeCell ref="F269:F273"/>
    <mergeCell ref="F274:F278"/>
    <mergeCell ref="E315:E319"/>
    <mergeCell ref="E320:E324"/>
    <mergeCell ref="F330:F334"/>
    <mergeCell ref="F335:F339"/>
    <mergeCell ref="F340:F344"/>
    <mergeCell ref="E340:E344"/>
    <mergeCell ref="C9:C13"/>
    <mergeCell ref="C88:C92"/>
    <mergeCell ref="C198:C202"/>
    <mergeCell ref="D198:D202"/>
    <mergeCell ref="C203:C207"/>
    <mergeCell ref="D203:D207"/>
    <mergeCell ref="C208:C212"/>
    <mergeCell ref="D208:D212"/>
    <mergeCell ref="C213:C217"/>
    <mergeCell ref="D213:D217"/>
    <mergeCell ref="C218:C222"/>
    <mergeCell ref="D218:D222"/>
    <mergeCell ref="I24:I28"/>
    <mergeCell ref="G72:G76"/>
    <mergeCell ref="C108:C112"/>
    <mergeCell ref="D108:D112"/>
    <mergeCell ref="E113:E197"/>
    <mergeCell ref="C29:C46"/>
    <mergeCell ref="D29:D46"/>
    <mergeCell ref="C77:C81"/>
    <mergeCell ref="D77:D81"/>
    <mergeCell ref="C82:C86"/>
    <mergeCell ref="D82:D86"/>
    <mergeCell ref="D88:D92"/>
    <mergeCell ref="C93:C97"/>
    <mergeCell ref="D93:D97"/>
    <mergeCell ref="C98:C102"/>
    <mergeCell ref="D98:D102"/>
    <mergeCell ref="C103:C107"/>
    <mergeCell ref="D103:D107"/>
    <mergeCell ref="C62:C66"/>
    <mergeCell ref="F29:F46"/>
    <mergeCell ref="C67:C71"/>
    <mergeCell ref="D67:D71"/>
    <mergeCell ref="C72:C76"/>
    <mergeCell ref="D72:D76"/>
    <mergeCell ref="E72:E76"/>
    <mergeCell ref="F72:F76"/>
    <mergeCell ref="E52:E56"/>
    <mergeCell ref="F52:F56"/>
    <mergeCell ref="E98:E102"/>
    <mergeCell ref="F98:F102"/>
    <mergeCell ref="C228:C232"/>
    <mergeCell ref="D228:D232"/>
    <mergeCell ref="C233:C237"/>
    <mergeCell ref="D233:D237"/>
    <mergeCell ref="F57:F61"/>
    <mergeCell ref="E218:E222"/>
    <mergeCell ref="E108:E112"/>
    <mergeCell ref="F108:F112"/>
    <mergeCell ref="E208:E212"/>
    <mergeCell ref="F208:F212"/>
    <mergeCell ref="F213:F217"/>
    <mergeCell ref="E213:E217"/>
    <mergeCell ref="F113:F197"/>
    <mergeCell ref="F77:F81"/>
    <mergeCell ref="E228:E232"/>
    <mergeCell ref="F228:F232"/>
    <mergeCell ref="E233:E237"/>
    <mergeCell ref="D62:D66"/>
    <mergeCell ref="K398:K402"/>
    <mergeCell ref="K387:K391"/>
    <mergeCell ref="C397:R397"/>
    <mergeCell ref="D387:D391"/>
    <mergeCell ref="D392:D396"/>
    <mergeCell ref="C392:C396"/>
    <mergeCell ref="D377:D381"/>
    <mergeCell ref="D382:D386"/>
    <mergeCell ref="L398:L402"/>
    <mergeCell ref="M398:M402"/>
    <mergeCell ref="L382:L386"/>
    <mergeCell ref="M382:M386"/>
    <mergeCell ref="N382:N386"/>
    <mergeCell ref="O382:O386"/>
    <mergeCell ref="D398:D402"/>
    <mergeCell ref="N377:N381"/>
    <mergeCell ref="O377:O381"/>
    <mergeCell ref="P377:P381"/>
    <mergeCell ref="Q377:Q381"/>
    <mergeCell ref="R377:R381"/>
    <mergeCell ref="M392:M396"/>
    <mergeCell ref="N392:N396"/>
    <mergeCell ref="O392:O396"/>
    <mergeCell ref="P392:P396"/>
    <mergeCell ref="Q392:Q396"/>
    <mergeCell ref="R392:R396"/>
    <mergeCell ref="N398:N402"/>
    <mergeCell ref="O398:O402"/>
    <mergeCell ref="I377:I381"/>
    <mergeCell ref="G382:G386"/>
    <mergeCell ref="J345:J349"/>
    <mergeCell ref="K345:K349"/>
    <mergeCell ref="J350:J354"/>
    <mergeCell ref="K350:K354"/>
    <mergeCell ref="J371:J375"/>
    <mergeCell ref="K371:K375"/>
    <mergeCell ref="H371:H375"/>
    <mergeCell ref="I371:I375"/>
    <mergeCell ref="H382:H386"/>
    <mergeCell ref="I382:I386"/>
    <mergeCell ref="G387:G391"/>
    <mergeCell ref="H387:H391"/>
    <mergeCell ref="I387:I391"/>
    <mergeCell ref="J387:J391"/>
    <mergeCell ref="I350:I354"/>
    <mergeCell ref="J361:J365"/>
    <mergeCell ref="K361:K365"/>
    <mergeCell ref="J366:J370"/>
    <mergeCell ref="K366:K370"/>
    <mergeCell ref="J382:J386"/>
    <mergeCell ref="K382:K386"/>
    <mergeCell ref="G371:G375"/>
    <mergeCell ref="G377:G381"/>
    <mergeCell ref="H377:H381"/>
    <mergeCell ref="J377:J381"/>
    <mergeCell ref="K377:K381"/>
    <mergeCell ref="C24:C28"/>
    <mergeCell ref="D24:D28"/>
    <mergeCell ref="Q19:Q23"/>
    <mergeCell ref="R19:R23"/>
    <mergeCell ref="Q14:Q18"/>
    <mergeCell ref="R14:R18"/>
    <mergeCell ref="J24:J28"/>
    <mergeCell ref="K24:K28"/>
    <mergeCell ref="E62:E66"/>
    <mergeCell ref="F62:F66"/>
    <mergeCell ref="G62:G66"/>
    <mergeCell ref="L14:L18"/>
    <mergeCell ref="M14:M18"/>
    <mergeCell ref="E14:E18"/>
    <mergeCell ref="F14:F18"/>
    <mergeCell ref="G14:G18"/>
    <mergeCell ref="H14:H18"/>
    <mergeCell ref="I14:I18"/>
    <mergeCell ref="J14:J18"/>
    <mergeCell ref="K14:K18"/>
    <mergeCell ref="J19:J23"/>
    <mergeCell ref="K19:K23"/>
    <mergeCell ref="N29:N46"/>
    <mergeCell ref="O29:O46"/>
    <mergeCell ref="P29:P46"/>
    <mergeCell ref="Q29:Q46"/>
    <mergeCell ref="R29:R46"/>
    <mergeCell ref="E29:E46"/>
    <mergeCell ref="G29:G46"/>
    <mergeCell ref="H29:H46"/>
    <mergeCell ref="L62:L66"/>
    <mergeCell ref="C14:C18"/>
    <mergeCell ref="M62:M66"/>
    <mergeCell ref="N62:N66"/>
    <mergeCell ref="O62:O66"/>
    <mergeCell ref="P62:P66"/>
    <mergeCell ref="Q62:Q66"/>
    <mergeCell ref="R62:R66"/>
    <mergeCell ref="AF62:AF66"/>
    <mergeCell ref="D19:D23"/>
    <mergeCell ref="H62:H66"/>
    <mergeCell ref="I62:I66"/>
    <mergeCell ref="J62:J66"/>
    <mergeCell ref="K62:K66"/>
    <mergeCell ref="AF47:AF51"/>
    <mergeCell ref="AF52:AF56"/>
    <mergeCell ref="N47:N51"/>
    <mergeCell ref="O47:O51"/>
    <mergeCell ref="P47:P51"/>
    <mergeCell ref="Q47:Q51"/>
    <mergeCell ref="R47:R51"/>
    <mergeCell ref="N57:N61"/>
    <mergeCell ref="O57:O61"/>
    <mergeCell ref="P57:P61"/>
    <mergeCell ref="Q57:Q61"/>
    <mergeCell ref="R57:R61"/>
    <mergeCell ref="AF57:AF61"/>
    <mergeCell ref="E57:E61"/>
    <mergeCell ref="G57:G61"/>
    <mergeCell ref="H57:H61"/>
    <mergeCell ref="I57:I61"/>
    <mergeCell ref="J57:J61"/>
    <mergeCell ref="K57:K61"/>
    <mergeCell ref="G52:G56"/>
    <mergeCell ref="C19:C23"/>
    <mergeCell ref="E19:E23"/>
    <mergeCell ref="F19:F23"/>
    <mergeCell ref="G19:G23"/>
    <mergeCell ref="H19:H23"/>
    <mergeCell ref="I19:I23"/>
    <mergeCell ref="A1:AF1"/>
    <mergeCell ref="A2:AF2"/>
    <mergeCell ref="A3:AF3"/>
    <mergeCell ref="A4:AF4"/>
    <mergeCell ref="P14:P18"/>
    <mergeCell ref="C47:C51"/>
    <mergeCell ref="D47:D51"/>
    <mergeCell ref="C52:C56"/>
    <mergeCell ref="D52:D56"/>
    <mergeCell ref="C57:C61"/>
    <mergeCell ref="D57:D61"/>
    <mergeCell ref="E47:E51"/>
    <mergeCell ref="F47:F51"/>
    <mergeCell ref="G47:G51"/>
    <mergeCell ref="H47:H51"/>
    <mergeCell ref="I47:I51"/>
    <mergeCell ref="J47:J51"/>
    <mergeCell ref="K47:K51"/>
    <mergeCell ref="L52:L56"/>
    <mergeCell ref="M52:M56"/>
    <mergeCell ref="L29:L46"/>
    <mergeCell ref="M29:M46"/>
    <mergeCell ref="L47:L51"/>
    <mergeCell ref="M47:M51"/>
    <mergeCell ref="L57:L61"/>
    <mergeCell ref="M57:M61"/>
    <mergeCell ref="H52:H56"/>
    <mergeCell ref="I52:I56"/>
    <mergeCell ref="J52:J56"/>
    <mergeCell ref="K52:K56"/>
    <mergeCell ref="N52:N56"/>
    <mergeCell ref="O52:O56"/>
    <mergeCell ref="P52:P56"/>
    <mergeCell ref="Q52:Q56"/>
    <mergeCell ref="R52:R56"/>
    <mergeCell ref="L19:L23"/>
    <mergeCell ref="M19:M23"/>
    <mergeCell ref="N19:N23"/>
    <mergeCell ref="O19:O23"/>
    <mergeCell ref="P19:P23"/>
    <mergeCell ref="N14:N18"/>
    <mergeCell ref="O14:O18"/>
    <mergeCell ref="I29:I46"/>
    <mergeCell ref="J29:J46"/>
    <mergeCell ref="K29:K46"/>
    <mergeCell ref="L24:L28"/>
    <mergeCell ref="M24:M28"/>
    <mergeCell ref="N24:N28"/>
    <mergeCell ref="O24:O28"/>
    <mergeCell ref="P24:P28"/>
    <mergeCell ref="Q24:Q28"/>
    <mergeCell ref="R24:R28"/>
    <mergeCell ref="G24:G28"/>
    <mergeCell ref="H24:H28"/>
    <mergeCell ref="Q9:Q13"/>
    <mergeCell ref="R9:R13"/>
    <mergeCell ref="AF9:AF13"/>
    <mergeCell ref="J9:J13"/>
    <mergeCell ref="K9:K13"/>
    <mergeCell ref="L9:L13"/>
    <mergeCell ref="M9:M13"/>
    <mergeCell ref="N9:N13"/>
    <mergeCell ref="O9:O13"/>
    <mergeCell ref="P9:P13"/>
    <mergeCell ref="AF14:AF18"/>
    <mergeCell ref="AF19:AF23"/>
    <mergeCell ref="AF24:AF28"/>
    <mergeCell ref="AF29:AF46"/>
    <mergeCell ref="E9:E13"/>
    <mergeCell ref="F9:F13"/>
    <mergeCell ref="G9:G13"/>
    <mergeCell ref="H9:H13"/>
    <mergeCell ref="I9:I13"/>
    <mergeCell ref="E24:E28"/>
    <mergeCell ref="F24:F28"/>
    <mergeCell ref="R67:R71"/>
    <mergeCell ref="AF67:AF71"/>
    <mergeCell ref="E67:E71"/>
    <mergeCell ref="F67:F71"/>
    <mergeCell ref="G67:G71"/>
    <mergeCell ref="H67:H71"/>
    <mergeCell ref="I67:I71"/>
    <mergeCell ref="J67:J71"/>
    <mergeCell ref="K67:K71"/>
    <mergeCell ref="Q72:Q76"/>
    <mergeCell ref="R72:R76"/>
    <mergeCell ref="AF72:AF76"/>
    <mergeCell ref="K72:K76"/>
    <mergeCell ref="L72:L76"/>
    <mergeCell ref="M72:M76"/>
    <mergeCell ref="N72:N76"/>
    <mergeCell ref="O72:O76"/>
    <mergeCell ref="P72:P76"/>
    <mergeCell ref="H72:H76"/>
    <mergeCell ref="I72:I76"/>
    <mergeCell ref="J72:J76"/>
    <mergeCell ref="E77:E81"/>
    <mergeCell ref="G77:G81"/>
    <mergeCell ref="H77:H81"/>
    <mergeCell ref="I77:I81"/>
    <mergeCell ref="J77:J81"/>
    <mergeCell ref="K77:K81"/>
    <mergeCell ref="L77:L81"/>
    <mergeCell ref="M77:M81"/>
    <mergeCell ref="N77:N81"/>
    <mergeCell ref="O77:O81"/>
    <mergeCell ref="P77:P81"/>
    <mergeCell ref="Q77:Q81"/>
    <mergeCell ref="L67:L71"/>
    <mergeCell ref="M67:M71"/>
    <mergeCell ref="N67:N71"/>
    <mergeCell ref="O67:O71"/>
    <mergeCell ref="P67:P71"/>
    <mergeCell ref="Q67:Q71"/>
    <mergeCell ref="E82:E86"/>
    <mergeCell ref="F82:F86"/>
    <mergeCell ref="G82:G86"/>
    <mergeCell ref="H82:H86"/>
    <mergeCell ref="I82:I86"/>
    <mergeCell ref="J82:J86"/>
    <mergeCell ref="K82:K86"/>
    <mergeCell ref="C87:R87"/>
    <mergeCell ref="R82:R86"/>
    <mergeCell ref="S87:Z87"/>
    <mergeCell ref="L82:L86"/>
    <mergeCell ref="M82:M86"/>
    <mergeCell ref="N82:N86"/>
    <mergeCell ref="O82:O86"/>
    <mergeCell ref="P82:P86"/>
    <mergeCell ref="Q82:Q86"/>
    <mergeCell ref="AF82:AF86"/>
    <mergeCell ref="AC87:AF87"/>
    <mergeCell ref="I218:I222"/>
    <mergeCell ref="J233:J237"/>
    <mergeCell ref="K233:K237"/>
    <mergeCell ref="G233:G237"/>
    <mergeCell ref="AF77:AF81"/>
    <mergeCell ref="G113:G197"/>
    <mergeCell ref="H113:H197"/>
    <mergeCell ref="I113:I197"/>
    <mergeCell ref="I203:I207"/>
    <mergeCell ref="J108:J112"/>
    <mergeCell ref="K108:K112"/>
    <mergeCell ref="L108:L112"/>
    <mergeCell ref="M108:M112"/>
    <mergeCell ref="N108:N112"/>
    <mergeCell ref="O108:O112"/>
    <mergeCell ref="P108:P112"/>
    <mergeCell ref="Q108:Q112"/>
    <mergeCell ref="R108:R112"/>
    <mergeCell ref="H108:H112"/>
    <mergeCell ref="I108:I112"/>
    <mergeCell ref="G203:G207"/>
    <mergeCell ref="J203:J207"/>
    <mergeCell ref="L88:L92"/>
    <mergeCell ref="M88:M92"/>
    <mergeCell ref="N88:N92"/>
    <mergeCell ref="O88:O92"/>
    <mergeCell ref="P88:P92"/>
    <mergeCell ref="Q88:Q92"/>
    <mergeCell ref="R88:R92"/>
    <mergeCell ref="AF88:AF92"/>
    <mergeCell ref="R77:R81"/>
    <mergeCell ref="J113:J197"/>
    <mergeCell ref="J213:J217"/>
    <mergeCell ref="K213:K217"/>
    <mergeCell ref="J218:J222"/>
    <mergeCell ref="N243:N247"/>
    <mergeCell ref="O243:O247"/>
    <mergeCell ref="P243:P247"/>
    <mergeCell ref="Q243:Q247"/>
    <mergeCell ref="R243:R247"/>
    <mergeCell ref="C253:R253"/>
    <mergeCell ref="L233:L237"/>
    <mergeCell ref="M233:M237"/>
    <mergeCell ref="N233:N237"/>
    <mergeCell ref="G108:G112"/>
    <mergeCell ref="R103:R107"/>
    <mergeCell ref="G98:G102"/>
    <mergeCell ref="H98:H102"/>
    <mergeCell ref="I98:I102"/>
    <mergeCell ref="J98:J102"/>
    <mergeCell ref="I223:I227"/>
    <mergeCell ref="H228:H232"/>
    <mergeCell ref="I228:I232"/>
    <mergeCell ref="J228:J232"/>
    <mergeCell ref="G208:G212"/>
    <mergeCell ref="H208:H212"/>
    <mergeCell ref="I208:I212"/>
    <mergeCell ref="G213:G217"/>
    <mergeCell ref="H213:H217"/>
    <mergeCell ref="I213:I217"/>
    <mergeCell ref="G218:G222"/>
    <mergeCell ref="H218:H222"/>
    <mergeCell ref="H243:H247"/>
    <mergeCell ref="I243:I247"/>
    <mergeCell ref="U441:V441"/>
    <mergeCell ref="U442:V442"/>
    <mergeCell ref="G345:G349"/>
    <mergeCell ref="S314:Z314"/>
    <mergeCell ref="R269:R273"/>
    <mergeCell ref="AF233:AF237"/>
    <mergeCell ref="AF238:AF242"/>
    <mergeCell ref="AF243:AF247"/>
    <mergeCell ref="S253:Z253"/>
    <mergeCell ref="AC253:AF253"/>
    <mergeCell ref="N294:N298"/>
    <mergeCell ref="O294:O298"/>
    <mergeCell ref="P294:P298"/>
    <mergeCell ref="Q294:Q298"/>
    <mergeCell ref="R294:R298"/>
    <mergeCell ref="L289:L293"/>
    <mergeCell ref="M289:M293"/>
    <mergeCell ref="P289:P293"/>
    <mergeCell ref="Q289:Q293"/>
    <mergeCell ref="R289:R293"/>
    <mergeCell ref="Q238:Q242"/>
    <mergeCell ref="R238:R242"/>
    <mergeCell ref="L243:L247"/>
    <mergeCell ref="M243:M247"/>
    <mergeCell ref="L269:L273"/>
    <mergeCell ref="M269:M273"/>
    <mergeCell ref="N269:N273"/>
    <mergeCell ref="O269:O273"/>
    <mergeCell ref="P269:P273"/>
    <mergeCell ref="Q269:Q273"/>
    <mergeCell ref="O238:O242"/>
    <mergeCell ref="P238:P242"/>
    <mergeCell ref="U443:V443"/>
    <mergeCell ref="U451:V451"/>
    <mergeCell ref="U452:V452"/>
    <mergeCell ref="U453:V453"/>
    <mergeCell ref="AF345:AF349"/>
    <mergeCell ref="AF350:AF354"/>
    <mergeCell ref="AC355:AF355"/>
    <mergeCell ref="AF356:AF360"/>
    <mergeCell ref="AF392:AF396"/>
    <mergeCell ref="AC397:AF397"/>
    <mergeCell ref="AF398:AF402"/>
    <mergeCell ref="AF403:AF407"/>
    <mergeCell ref="AF408:AF412"/>
    <mergeCell ref="AF413:AF417"/>
    <mergeCell ref="AC418:AF418"/>
    <mergeCell ref="AC419:AF419"/>
    <mergeCell ref="AF361:AF365"/>
    <mergeCell ref="AF366:AF370"/>
    <mergeCell ref="AF371:AF375"/>
    <mergeCell ref="AF377:AF381"/>
    <mergeCell ref="AF382:AF386"/>
    <mergeCell ref="AF387:AF391"/>
    <mergeCell ref="AC376:AF376"/>
    <mergeCell ref="S419:Z419"/>
    <mergeCell ref="S355:Z355"/>
    <mergeCell ref="S376:Z376"/>
    <mergeCell ref="S397:Z397"/>
    <mergeCell ref="S418:Z418"/>
    <mergeCell ref="S420:AF420"/>
    <mergeCell ref="U422:Z422"/>
    <mergeCell ref="U439:W439"/>
    <mergeCell ref="U440:V440"/>
    <mergeCell ref="K259:K263"/>
    <mergeCell ref="J264:J268"/>
    <mergeCell ref="K264:K268"/>
    <mergeCell ref="J269:J273"/>
    <mergeCell ref="K269:K273"/>
    <mergeCell ref="P254:P258"/>
    <mergeCell ref="Q254:Q258"/>
    <mergeCell ref="U454:V454"/>
    <mergeCell ref="U444:V444"/>
    <mergeCell ref="U445:W445"/>
    <mergeCell ref="U446:V446"/>
    <mergeCell ref="U447:V447"/>
    <mergeCell ref="U448:V448"/>
    <mergeCell ref="U449:V449"/>
    <mergeCell ref="U450:V450"/>
    <mergeCell ref="L123:L197"/>
    <mergeCell ref="M123:M197"/>
    <mergeCell ref="N123:N197"/>
    <mergeCell ref="O123:O197"/>
    <mergeCell ref="P123:P197"/>
    <mergeCell ref="Q123:Q197"/>
    <mergeCell ref="R123:R197"/>
    <mergeCell ref="L198:L202"/>
    <mergeCell ref="M198:M202"/>
    <mergeCell ref="N198:N202"/>
    <mergeCell ref="O198:O202"/>
    <mergeCell ref="P198:P202"/>
    <mergeCell ref="Q198:Q202"/>
    <mergeCell ref="R198:R202"/>
    <mergeCell ref="L208:L212"/>
    <mergeCell ref="M208:M212"/>
    <mergeCell ref="N208:N212"/>
    <mergeCell ref="J238:J242"/>
    <mergeCell ref="K238:K242"/>
    <mergeCell ref="J243:J247"/>
    <mergeCell ref="K243:K247"/>
    <mergeCell ref="M248:M252"/>
    <mergeCell ref="N248:N252"/>
    <mergeCell ref="O248:O252"/>
    <mergeCell ref="P248:P252"/>
    <mergeCell ref="Q248:Q252"/>
    <mergeCell ref="R248:R252"/>
    <mergeCell ref="L254:L258"/>
    <mergeCell ref="M254:M258"/>
    <mergeCell ref="L238:L242"/>
    <mergeCell ref="M238:M242"/>
    <mergeCell ref="N238:N242"/>
    <mergeCell ref="H248:H252"/>
    <mergeCell ref="I248:I252"/>
    <mergeCell ref="J248:J252"/>
    <mergeCell ref="K248:K252"/>
    <mergeCell ref="L248:L252"/>
    <mergeCell ref="R254:R258"/>
    <mergeCell ref="E88:E92"/>
    <mergeCell ref="F88:F92"/>
    <mergeCell ref="G88:G92"/>
    <mergeCell ref="H88:H92"/>
    <mergeCell ref="I88:I92"/>
    <mergeCell ref="J88:J92"/>
    <mergeCell ref="K88:K92"/>
    <mergeCell ref="L93:L97"/>
    <mergeCell ref="M93:M97"/>
    <mergeCell ref="N93:N97"/>
    <mergeCell ref="O93:O97"/>
    <mergeCell ref="P93:P97"/>
    <mergeCell ref="Q93:Q97"/>
    <mergeCell ref="R93:R97"/>
    <mergeCell ref="AF93:AF97"/>
    <mergeCell ref="E93:E97"/>
    <mergeCell ref="F93:F97"/>
    <mergeCell ref="G93:G97"/>
    <mergeCell ref="H93:H97"/>
    <mergeCell ref="I93:I97"/>
    <mergeCell ref="AF340:AF344"/>
    <mergeCell ref="J93:J97"/>
    <mergeCell ref="K93:K97"/>
    <mergeCell ref="AF98:AF102"/>
    <mergeCell ref="W133:AA133"/>
    <mergeCell ref="W178:AA178"/>
    <mergeCell ref="W183:AA183"/>
    <mergeCell ref="W188:AA188"/>
    <mergeCell ref="W195:AA195"/>
    <mergeCell ref="L203:L207"/>
    <mergeCell ref="M203:M207"/>
    <mergeCell ref="N203:N207"/>
    <mergeCell ref="O203:O207"/>
    <mergeCell ref="P203:P207"/>
    <mergeCell ref="Q203:Q207"/>
    <mergeCell ref="R203:R207"/>
    <mergeCell ref="AF223:AF227"/>
    <mergeCell ref="R218:R222"/>
    <mergeCell ref="AF269:AF273"/>
    <mergeCell ref="AF228:AF232"/>
    <mergeCell ref="AF108:AF112"/>
    <mergeCell ref="AF113:AF197"/>
    <mergeCell ref="AF198:AF202"/>
    <mergeCell ref="AF203:AF207"/>
    <mergeCell ref="AF208:AF212"/>
    <mergeCell ref="AF213:AF217"/>
    <mergeCell ref="AF218:AF222"/>
    <mergeCell ref="L223:L227"/>
    <mergeCell ref="M223:M227"/>
    <mergeCell ref="N223:N227"/>
    <mergeCell ref="O223:O227"/>
    <mergeCell ref="N289:N293"/>
    <mergeCell ref="AF274:AF278"/>
    <mergeCell ref="AF279:AF283"/>
    <mergeCell ref="AF284:AF288"/>
    <mergeCell ref="AF289:AF293"/>
    <mergeCell ref="AF294:AF298"/>
    <mergeCell ref="AF299:AF303"/>
    <mergeCell ref="AF304:AF308"/>
    <mergeCell ref="AF309:AF313"/>
    <mergeCell ref="AC314:AF314"/>
    <mergeCell ref="AF315:AF319"/>
    <mergeCell ref="AF320:AF324"/>
    <mergeCell ref="AF325:AF329"/>
    <mergeCell ref="AF330:AF334"/>
    <mergeCell ref="AF335:AF339"/>
    <mergeCell ref="Q223:Q227"/>
    <mergeCell ref="O213:O217"/>
    <mergeCell ref="P213:P217"/>
    <mergeCell ref="R223:R227"/>
    <mergeCell ref="O233:O237"/>
    <mergeCell ref="P233:P237"/>
    <mergeCell ref="Q233:Q237"/>
    <mergeCell ref="R233:R237"/>
    <mergeCell ref="AF248:AF252"/>
    <mergeCell ref="P284:P288"/>
    <mergeCell ref="Q284:Q288"/>
    <mergeCell ref="R284:R288"/>
    <mergeCell ref="AF254:AF258"/>
    <mergeCell ref="AF259:AF263"/>
    <mergeCell ref="AF264:AF268"/>
    <mergeCell ref="Q299:Q303"/>
    <mergeCell ref="R299:R303"/>
    <mergeCell ref="O325:O329"/>
    <mergeCell ref="AF103:AF107"/>
    <mergeCell ref="K223:K227"/>
    <mergeCell ref="K218:K222"/>
    <mergeCell ref="J208:J212"/>
    <mergeCell ref="K208:K212"/>
    <mergeCell ref="G198:G202"/>
    <mergeCell ref="H198:H202"/>
    <mergeCell ref="I198:I202"/>
    <mergeCell ref="J198:J202"/>
    <mergeCell ref="K198:K202"/>
    <mergeCell ref="H203:H207"/>
    <mergeCell ref="K203:K207"/>
    <mergeCell ref="E198:E202"/>
    <mergeCell ref="F198:F202"/>
    <mergeCell ref="E203:E207"/>
    <mergeCell ref="F203:F207"/>
    <mergeCell ref="Q218:Q222"/>
    <mergeCell ref="L103:L107"/>
    <mergeCell ref="M103:M107"/>
    <mergeCell ref="N103:N107"/>
    <mergeCell ref="O103:O107"/>
    <mergeCell ref="P103:P107"/>
    <mergeCell ref="Q103:Q107"/>
    <mergeCell ref="E103:E107"/>
    <mergeCell ref="F103:F107"/>
    <mergeCell ref="G103:G107"/>
    <mergeCell ref="H103:H107"/>
    <mergeCell ref="I103:I107"/>
    <mergeCell ref="F218:F222"/>
    <mergeCell ref="F223:F227"/>
    <mergeCell ref="J103:J107"/>
    <mergeCell ref="J223:J227"/>
    <mergeCell ref="K98:K102"/>
    <mergeCell ref="L98:L102"/>
    <mergeCell ref="M98:M102"/>
    <mergeCell ref="N98:N102"/>
    <mergeCell ref="O98:O102"/>
    <mergeCell ref="P98:P102"/>
    <mergeCell ref="Q98:Q102"/>
    <mergeCell ref="R98:R102"/>
    <mergeCell ref="L228:L232"/>
    <mergeCell ref="M228:M232"/>
    <mergeCell ref="N228:N232"/>
    <mergeCell ref="O228:O232"/>
    <mergeCell ref="P228:P232"/>
    <mergeCell ref="Q228:Q232"/>
    <mergeCell ref="R228:R232"/>
    <mergeCell ref="Q213:Q217"/>
    <mergeCell ref="R213:R217"/>
    <mergeCell ref="L218:L222"/>
    <mergeCell ref="M218:M222"/>
    <mergeCell ref="N218:N222"/>
    <mergeCell ref="O218:O222"/>
    <mergeCell ref="P218:P222"/>
    <mergeCell ref="K103:K107"/>
    <mergeCell ref="K113:K197"/>
    <mergeCell ref="O208:O212"/>
    <mergeCell ref="P208:P212"/>
    <mergeCell ref="Q208:Q212"/>
    <mergeCell ref="R208:R212"/>
    <mergeCell ref="L213:L217"/>
    <mergeCell ref="M213:M217"/>
    <mergeCell ref="N213:N217"/>
    <mergeCell ref="P223:P227"/>
    <mergeCell ref="G223:G227"/>
    <mergeCell ref="G228:G232"/>
    <mergeCell ref="N335:N339"/>
    <mergeCell ref="O335:O339"/>
    <mergeCell ref="P335:P339"/>
    <mergeCell ref="K228:K232"/>
    <mergeCell ref="L279:L283"/>
    <mergeCell ref="M279:M283"/>
    <mergeCell ref="N279:N283"/>
    <mergeCell ref="O279:O283"/>
    <mergeCell ref="P279:P283"/>
    <mergeCell ref="Q279:Q283"/>
    <mergeCell ref="R279:R283"/>
    <mergeCell ref="L284:L288"/>
    <mergeCell ref="M284:M288"/>
    <mergeCell ref="N284:N288"/>
    <mergeCell ref="O284:O288"/>
    <mergeCell ref="L259:L263"/>
    <mergeCell ref="M259:M263"/>
    <mergeCell ref="N259:N263"/>
    <mergeCell ref="O259:O263"/>
    <mergeCell ref="P259:P263"/>
    <mergeCell ref="Q259:Q263"/>
    <mergeCell ref="R259:R263"/>
    <mergeCell ref="L264:L268"/>
    <mergeCell ref="M264:M268"/>
    <mergeCell ref="N264:N268"/>
    <mergeCell ref="O264:O268"/>
    <mergeCell ref="P264:P268"/>
    <mergeCell ref="Q264:Q268"/>
    <mergeCell ref="R264:R268"/>
    <mergeCell ref="P299:P303"/>
    <mergeCell ref="O274:O278"/>
    <mergeCell ref="P274:P278"/>
    <mergeCell ref="Q274:Q278"/>
    <mergeCell ref="R274:R278"/>
    <mergeCell ref="Q345:Q349"/>
    <mergeCell ref="R345:R349"/>
    <mergeCell ref="L350:L354"/>
    <mergeCell ref="M350:M354"/>
    <mergeCell ref="N350:N354"/>
    <mergeCell ref="Q335:Q339"/>
    <mergeCell ref="R335:R339"/>
    <mergeCell ref="L340:L344"/>
    <mergeCell ref="M340:M344"/>
    <mergeCell ref="N340:N344"/>
    <mergeCell ref="O340:O344"/>
    <mergeCell ref="P340:P344"/>
    <mergeCell ref="Q340:Q344"/>
    <mergeCell ref="R340:R344"/>
    <mergeCell ref="Q350:Q354"/>
    <mergeCell ref="R350:R354"/>
    <mergeCell ref="O350:O354"/>
    <mergeCell ref="P350:P354"/>
    <mergeCell ref="L335:L339"/>
    <mergeCell ref="M335:M339"/>
    <mergeCell ref="C314:R314"/>
    <mergeCell ref="Q325:Q329"/>
    <mergeCell ref="R325:R329"/>
    <mergeCell ref="L320:L324"/>
    <mergeCell ref="L325:L329"/>
    <mergeCell ref="L330:L334"/>
    <mergeCell ref="N330:N334"/>
    <mergeCell ref="L309:L313"/>
    <mergeCell ref="Q413:Q417"/>
    <mergeCell ref="R413:R417"/>
    <mergeCell ref="L408:L412"/>
    <mergeCell ref="M408:M412"/>
    <mergeCell ref="N408:N412"/>
    <mergeCell ref="M325:M329"/>
    <mergeCell ref="M330:M334"/>
    <mergeCell ref="N325:N329"/>
    <mergeCell ref="O408:O412"/>
    <mergeCell ref="P408:P412"/>
    <mergeCell ref="Q408:Q412"/>
    <mergeCell ref="R408:R412"/>
    <mergeCell ref="C355:R355"/>
    <mergeCell ref="N356:N360"/>
    <mergeCell ref="O356:O360"/>
    <mergeCell ref="P356:P360"/>
    <mergeCell ref="Q356:Q360"/>
    <mergeCell ref="R356:R360"/>
    <mergeCell ref="L361:L365"/>
    <mergeCell ref="M361:M365"/>
    <mergeCell ref="N361:N365"/>
    <mergeCell ref="O361:O365"/>
    <mergeCell ref="P361:P365"/>
    <mergeCell ref="Q403:Q407"/>
    <mergeCell ref="R403:R407"/>
    <mergeCell ref="J356:J360"/>
    <mergeCell ref="K356:K360"/>
    <mergeCell ref="G361:G365"/>
    <mergeCell ref="Q361:Q365"/>
    <mergeCell ref="R361:R365"/>
    <mergeCell ref="J408:J412"/>
    <mergeCell ref="L413:L417"/>
    <mergeCell ref="M413:M417"/>
    <mergeCell ref="N413:N417"/>
    <mergeCell ref="O413:O417"/>
    <mergeCell ref="P413:P417"/>
    <mergeCell ref="O330:O334"/>
    <mergeCell ref="P330:P334"/>
    <mergeCell ref="L345:L349"/>
    <mergeCell ref="M345:M349"/>
    <mergeCell ref="N345:N349"/>
    <mergeCell ref="O345:O349"/>
    <mergeCell ref="P345:P349"/>
    <mergeCell ref="P320:P324"/>
    <mergeCell ref="N320:N324"/>
    <mergeCell ref="C376:R376"/>
    <mergeCell ref="J315:J319"/>
    <mergeCell ref="K315:K319"/>
    <mergeCell ref="G320:G324"/>
    <mergeCell ref="K408:K412"/>
    <mergeCell ref="G403:G407"/>
    <mergeCell ref="H403:H407"/>
    <mergeCell ref="I403:I407"/>
    <mergeCell ref="J403:J407"/>
    <mergeCell ref="K403:K407"/>
    <mergeCell ref="G408:G412"/>
    <mergeCell ref="I398:I402"/>
    <mergeCell ref="J398:J402"/>
    <mergeCell ref="J413:J417"/>
    <mergeCell ref="K413:K417"/>
    <mergeCell ref="G398:G402"/>
    <mergeCell ref="J340:J344"/>
    <mergeCell ref="K340:K344"/>
    <mergeCell ref="P325:P329"/>
    <mergeCell ref="M309:M313"/>
    <mergeCell ref="L315:L319"/>
    <mergeCell ref="M315:M319"/>
    <mergeCell ref="M320:M324"/>
    <mergeCell ref="Q330:Q334"/>
    <mergeCell ref="R330:R334"/>
    <mergeCell ref="Q320:Q324"/>
    <mergeCell ref="N315:N319"/>
    <mergeCell ref="O315:O319"/>
    <mergeCell ref="P315:P319"/>
    <mergeCell ref="Q315:Q319"/>
    <mergeCell ref="R315:R319"/>
    <mergeCell ref="O320:O324"/>
    <mergeCell ref="R320:R324"/>
    <mergeCell ref="P304:P308"/>
    <mergeCell ref="Q304:Q308"/>
    <mergeCell ref="R304:R308"/>
    <mergeCell ref="N309:N313"/>
    <mergeCell ref="O309:O313"/>
    <mergeCell ref="P309:P313"/>
    <mergeCell ref="Q309:Q313"/>
    <mergeCell ref="R309:R313"/>
    <mergeCell ref="G254:G258"/>
    <mergeCell ref="N304:N308"/>
    <mergeCell ref="O304:O308"/>
    <mergeCell ref="N299:N303"/>
    <mergeCell ref="O299:O303"/>
    <mergeCell ref="G304:G308"/>
    <mergeCell ref="H304:H308"/>
    <mergeCell ref="O289:O293"/>
    <mergeCell ref="K284:K288"/>
    <mergeCell ref="J289:J293"/>
    <mergeCell ref="K289:K293"/>
    <mergeCell ref="H279:H283"/>
    <mergeCell ref="I279:I283"/>
    <mergeCell ref="G284:G288"/>
    <mergeCell ref="H284:H288"/>
    <mergeCell ref="I284:I288"/>
    <mergeCell ref="H289:H293"/>
    <mergeCell ref="I289:I293"/>
    <mergeCell ref="K294:K298"/>
    <mergeCell ref="H299:H303"/>
    <mergeCell ref="I299:I303"/>
    <mergeCell ref="H254:H258"/>
    <mergeCell ref="N254:N258"/>
    <mergeCell ref="O254:O258"/>
    <mergeCell ref="K279:K283"/>
    <mergeCell ref="J284:J288"/>
    <mergeCell ref="L304:L308"/>
    <mergeCell ref="M304:M308"/>
    <mergeCell ref="L274:L278"/>
    <mergeCell ref="M274:M278"/>
    <mergeCell ref="N274:N278"/>
    <mergeCell ref="J259:J263"/>
    <mergeCell ref="J309:J313"/>
    <mergeCell ref="H233:H237"/>
    <mergeCell ref="I233:I237"/>
    <mergeCell ref="G238:G242"/>
    <mergeCell ref="H238:H242"/>
    <mergeCell ref="I238:I242"/>
    <mergeCell ref="G243:G247"/>
    <mergeCell ref="J279:J283"/>
    <mergeCell ref="I254:I258"/>
    <mergeCell ref="J254:J258"/>
    <mergeCell ref="K254:K258"/>
    <mergeCell ref="G259:G263"/>
    <mergeCell ref="H259:H263"/>
    <mergeCell ref="I259:I263"/>
    <mergeCell ref="G264:G268"/>
    <mergeCell ref="H264:H268"/>
    <mergeCell ref="I264:I268"/>
    <mergeCell ref="H269:H273"/>
    <mergeCell ref="I269:I273"/>
    <mergeCell ref="G269:G273"/>
    <mergeCell ref="G274:G278"/>
    <mergeCell ref="H274:H278"/>
    <mergeCell ref="I274:I278"/>
    <mergeCell ref="J274:J278"/>
    <mergeCell ref="K274:K278"/>
    <mergeCell ref="J299:J303"/>
    <mergeCell ref="K299:K303"/>
    <mergeCell ref="G289:G293"/>
    <mergeCell ref="G294:G298"/>
    <mergeCell ref="H294:H298"/>
    <mergeCell ref="I294:I298"/>
    <mergeCell ref="J294:J298"/>
    <mergeCell ref="L356:L360"/>
    <mergeCell ref="M356:M360"/>
    <mergeCell ref="L299:L303"/>
    <mergeCell ref="M299:M303"/>
    <mergeCell ref="L294:L298"/>
    <mergeCell ref="M294:M298"/>
    <mergeCell ref="G335:G339"/>
    <mergeCell ref="H335:H339"/>
    <mergeCell ref="I335:I339"/>
    <mergeCell ref="J335:J339"/>
    <mergeCell ref="K335:K339"/>
    <mergeCell ref="G340:G344"/>
    <mergeCell ref="H340:H344"/>
    <mergeCell ref="I340:I344"/>
    <mergeCell ref="H345:H349"/>
    <mergeCell ref="I345:I349"/>
    <mergeCell ref="H350:H354"/>
    <mergeCell ref="I304:I308"/>
    <mergeCell ref="J304:J308"/>
    <mergeCell ref="K304:K308"/>
    <mergeCell ref="H309:H313"/>
    <mergeCell ref="K309:K313"/>
    <mergeCell ref="J320:J324"/>
    <mergeCell ref="K320:K324"/>
    <mergeCell ref="J325:J329"/>
    <mergeCell ref="K325:K329"/>
    <mergeCell ref="J330:J334"/>
    <mergeCell ref="K330:K334"/>
    <mergeCell ref="G309:G313"/>
    <mergeCell ref="G315:G319"/>
    <mergeCell ref="H315:H319"/>
    <mergeCell ref="I315:I319"/>
    <mergeCell ref="L403:L407"/>
    <mergeCell ref="M403:M407"/>
    <mergeCell ref="N403:N407"/>
    <mergeCell ref="O403:O407"/>
    <mergeCell ref="P403:P407"/>
    <mergeCell ref="L366:L370"/>
    <mergeCell ref="M366:M370"/>
    <mergeCell ref="N366:N370"/>
    <mergeCell ref="O366:O370"/>
    <mergeCell ref="P366:P370"/>
    <mergeCell ref="Q366:Q370"/>
    <mergeCell ref="R366:R370"/>
    <mergeCell ref="L371:L375"/>
    <mergeCell ref="M371:M375"/>
    <mergeCell ref="N371:N375"/>
    <mergeCell ref="O371:O375"/>
    <mergeCell ref="P371:P375"/>
    <mergeCell ref="Q371:Q375"/>
    <mergeCell ref="R371:R375"/>
    <mergeCell ref="L377:L381"/>
    <mergeCell ref="M377:M381"/>
    <mergeCell ref="P398:P402"/>
    <mergeCell ref="Q398:Q402"/>
    <mergeCell ref="R398:R402"/>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5">
    <dataValidation type="list" allowBlank="1" showInputMessage="1" showErrorMessage="1" prompt="Orientación: - Escoja un Lineamiento Estratégico de la lista despegable." sqref="F9 F88 F93 F254 F315 F356 F377 F398 F403 F408 F413">
      <formula1>INDIRECT($E9)</formula1>
    </dataValidation>
    <dataValidation type="list" allowBlank="1" showInputMessage="1" showErrorMessage="1" prompt="Orientación: - Escoja un Eje Estratégico de la lista despegable." sqref="E9 E88 E93 E254 E315 E356 E377 E398 E403 E408 E413">
      <formula1>INDIRECT($G9)</formula1>
    </dataValidation>
    <dataValidation type="list" allowBlank="1" showErrorMessage="1" sqref="F14 F19 F24 F29 F47 F52 F57 F62 F67 F72 F77 F82 F98 F103 F108 F113 F198 F203 F208 F213 F218 F223 F228 F233 F238 F243 F248 F259 F264 F269 F274 F279 F284 F289 F294 F299 F304 F309 F320 F325 F330 F335 F340 F345 F350 F361 F366 F371 F382 F387 F392">
      <formula1>INDIRECT($E14)</formula1>
    </dataValidation>
    <dataValidation type="list" allowBlank="1" showErrorMessage="1" sqref="E14 E19 E24 E29 E47 E52 E57 E62 E67 E72 E77 E82 E98 E103 E108 E113 E198 E203 E208 E213 E218 E223 E228 E233 E238 E243 E248 E259 E264 E269 E274 E279 E284 E289 E294 E299 E304 E309 E320 E325 E330 E335 E340 E345 E350 E361 E366 E371 E382 E387 E392">
      <formula1>INDIRECT($G14)</formula1>
    </dataValidation>
    <dataValidation type="decimal" allowBlank="1" showInputMessage="1" showErrorMessage="1" prompt="DPLAN - Sólo debe ingresar valores, NO porcentajes." sqref="M9:O9 M29:O29 M47:O47 M62:O62 M67:O67 M77:O77 M82:O82 M88:O88 M108:O108 M113:O123 M198:O198 M208:O208 M213:O213 M223:O223 M228:O228 M233:O233 M238:O238 M243:O243 M248:O248 M254:O254 M274:O274 M279:O279 M289:O289 M294:O294 M304:O304 M309:O309 M315:O315 M335:O335 M340:O340 M345:O345 M356:O356 M377:O377 M398:O398 M403:O403 M408:O408 M413:O413">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&amp;"Cambria,Cursiva"&amp;12&amp;K0070C0Facultad de Ingeniería Civil&amp;C&amp;"Century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prompt="Orientación: - Escoja un OEI de la lista despegable.">
          <x14:formula1>
            <xm:f>PEDI!#REF!</xm:f>
          </x14:formula1>
          <xm:sqref>G9 G88 G254 G315 G356 G377 G398 G403 G408 G413</xm:sqref>
        </x14:dataValidation>
        <x14:dataValidation type="list" allowBlank="1" showInputMessage="1" showErrorMessage="1" prompt="Orientación: - Escoja una Estrategia DAFO de la lista despegable.">
          <x14:formula1>
            <xm:f>INDIRECT('Estrategias DAFO'!#REF!)</xm:f>
          </x14:formula1>
          <xm:sqref>I88 I254 I315 I356 I377 I398 I403 I408 I413</xm:sqref>
        </x14:dataValidation>
        <x14:dataValidation type="list" allowBlank="1" showInputMessage="1" showErrorMessage="1" prompt="Orientación: - Escoja una Política Pública/Meta Nacional de la lista despegable.">
          <x14:formula1>
            <xm:f>PND!#REF!</xm:f>
          </x14:formula1>
          <xm:sqref>D9 D88 D254 D315 D356 D377 D398 D403 D408 D413</xm:sqref>
        </x14:dataValidation>
        <x14:dataValidation type="list" allowBlank="1" showErrorMessage="1">
          <x14:formula1>
            <xm:f>INDIRECT('Estrategias DAFO'!#REF!)</xm:f>
          </x14:formula1>
          <xm:sqref>I9 I14 I19 I24 I29 I47 I52 I57 I62 I67 I72 I77 I82 I93 I98 I103 I108 I198 I203 I208 I213 I218 I223 I228 I238 I243 I248 I259 I264 I269 I274 I279 I284 I289 I294 I299 I304 I309 I320 I325 I330 I335 I345 I350 I361 I366 I371 I382 I387 I392</xm:sqref>
        </x14:dataValidation>
        <x14:dataValidation type="list" allowBlank="1" showErrorMessage="1">
          <x14:formula1>
            <xm:f>PND!#REF!</xm:f>
          </x14:formula1>
          <xm:sqref>C14:D14 C19:D19 C24:D24 C29:D29 C47:D47 C52:D52 C57:D57 C62:D62 C67:D67 C72:D72 C77:D77 C82:D82 C93:D93 C98:D98 C103:D103 C108:D108 C198:D198 C203:D203 C208:D208 C213:D213 C218:D218 C223:D223 C228:D228 C238:D238 C243:D243 C248:D248 C259:D259 C264:D264 C269:D269 C274:D274 C279:D279 C284:D284 C289:D289 C294:D294 C299:D299 C304:D304 C309:D309 C320:D320 C325:D325 C330:D330 C335:D335 C345:D345 C350:D350 C361:D361 C366:D366 C371:D371 C382:D382 C387:D387 C392:D392</xm:sqref>
        </x14:dataValidation>
        <x14:dataValidation type="list" allowBlank="1" showErrorMessage="1">
          <x14:formula1>
            <xm:f>(PEDI!#REF!)</xm:f>
          </x14:formula1>
          <xm:sqref>H14 H19 H24 H29 H47 H52 H57 H62 H67 H72 H77 H82 H93 H98 H103 H108 H198 H203 H208 H213 H218 H223 H228 H238 H243 H248 H259 H264 H269 H274 H279 H284 H289 H294 H299 H304 H309 H320 H325 H330 H335 H345 H350 H361 H366 H371 H382 H387 H392</xm:sqref>
        </x14:dataValidation>
        <x14:dataValidation type="list" allowBlank="1" showInputMessage="1" showErrorMessage="1" prompt="Orientación: - Escoja un Objetivo Nacional de la lista despegable.">
          <x14:formula1>
            <xm:f>PND!#REF!</xm:f>
          </x14:formula1>
          <xm:sqref>C9 C88 C254 C315 C356 C377 C398 C403 C408 C413</xm:sqref>
        </x14:dataValidation>
        <x14:dataValidation type="list" allowBlank="1" showErrorMessage="1">
          <x14:formula1>
            <xm:f>PEDI!#REF!</xm:f>
          </x14:formula1>
          <xm:sqref>G14 G19 G24 G29 G47 G52 G57 G62 G67 G72 G77 G82 G93 G98 G103 G108 G198 G203 G208 G213 G218 G223 G228 G238 G243 G248 G259 G264 G269 G274 G279 G284 G289 G294 G299 G304 G309 G320 G325 G330 G335 G345 G350 G361 G366 G371 G382 G387 G392</xm:sqref>
        </x14:dataValidation>
        <x14:dataValidation type="list" allowBlank="1" showInputMessage="1" showErrorMessage="1" prompt="Orientación: - Escoja un Producto Institucional de la lista despegable.">
          <x14:formula1>
            <xm:f>(PEDI!#REF!)</xm:f>
          </x14:formula1>
          <xm:sqref>H9 H88 H254 H315 H356 H377 H398 H403 H408 H413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pageSetUpPr fitToPage="1"/>
  </sheetPr>
  <dimension ref="A1:AF80"/>
  <sheetViews>
    <sheetView showGridLines="0" topLeftCell="R52" workbookViewId="0">
      <selection activeCell="Z69" sqref="Z69"/>
    </sheetView>
  </sheetViews>
  <sheetFormatPr baseColWidth="10" defaultColWidth="12.5703125" defaultRowHeight="15.75" customHeight="1"/>
  <cols>
    <col min="1" max="2" width="5" customWidth="1"/>
    <col min="3" max="7" width="22.42578125" customWidth="1"/>
    <col min="8" max="8" width="20.7109375" customWidth="1"/>
    <col min="9" max="9" width="17.7109375" customWidth="1"/>
    <col min="10" max="12" width="22.42578125" customWidth="1"/>
    <col min="13" max="15" width="8.7109375" customWidth="1"/>
    <col min="16" max="16" width="33.7109375" customWidth="1"/>
    <col min="17" max="17" width="22.42578125" customWidth="1"/>
    <col min="18" max="18" width="25.7109375" customWidth="1"/>
    <col min="19" max="19" width="23.7109375" customWidth="1"/>
    <col min="20" max="20" width="15.42578125" customWidth="1"/>
    <col min="21" max="21" width="24.28515625" customWidth="1"/>
    <col min="22" max="22" width="47.42578125" customWidth="1"/>
    <col min="23" max="23" width="12.7109375" customWidth="1"/>
    <col min="24" max="24" width="13.7109375" customWidth="1"/>
    <col min="25" max="28" width="12" customWidth="1"/>
    <col min="29" max="31" width="7.7109375" customWidth="1"/>
    <col min="32" max="32" width="19.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254" t="s">
        <v>351</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68"/>
      <c r="B5" s="68"/>
      <c r="C5" s="68"/>
      <c r="D5" s="68"/>
      <c r="E5" s="68"/>
      <c r="F5" s="68"/>
      <c r="G5" s="68"/>
      <c r="H5" s="68"/>
      <c r="I5" s="68"/>
      <c r="J5" s="68"/>
      <c r="K5" s="68"/>
      <c r="L5" s="68"/>
      <c r="M5" s="68"/>
      <c r="N5" s="68"/>
      <c r="O5" s="68"/>
      <c r="P5" s="68"/>
      <c r="Q5" s="68"/>
      <c r="R5" s="68"/>
      <c r="S5" s="68"/>
      <c r="T5" s="68"/>
      <c r="U5" s="153"/>
      <c r="V5" s="68"/>
      <c r="W5" s="68"/>
      <c r="X5" s="68"/>
      <c r="Y5" s="68"/>
      <c r="Z5" s="68"/>
      <c r="AA5" s="68"/>
      <c r="AB5" s="68"/>
      <c r="AC5" s="68"/>
      <c r="AD5" s="68"/>
      <c r="AE5" s="68"/>
      <c r="AF5" s="68"/>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39" customHeight="1">
      <c r="A9" s="4358" t="s">
        <v>351</v>
      </c>
      <c r="B9" s="4359"/>
      <c r="C9" s="4364" t="s">
        <v>235</v>
      </c>
      <c r="D9" s="4355" t="s">
        <v>236</v>
      </c>
      <c r="E9" s="4355" t="s">
        <v>244</v>
      </c>
      <c r="F9" s="4355" t="s">
        <v>309</v>
      </c>
      <c r="G9" s="4366" t="s">
        <v>239</v>
      </c>
      <c r="H9" s="4355" t="s">
        <v>240</v>
      </c>
      <c r="I9" s="4355" t="s">
        <v>257</v>
      </c>
      <c r="J9" s="4353" t="s">
        <v>3727</v>
      </c>
      <c r="K9" s="4355" t="s">
        <v>352</v>
      </c>
      <c r="L9" s="4347" t="s">
        <v>3776</v>
      </c>
      <c r="M9" s="4356">
        <v>150</v>
      </c>
      <c r="N9" s="4356">
        <v>150</v>
      </c>
      <c r="O9" s="4356">
        <v>100</v>
      </c>
      <c r="P9" s="4347" t="s">
        <v>3896</v>
      </c>
      <c r="Q9" s="4347" t="s">
        <v>3895</v>
      </c>
      <c r="R9" s="4349" t="s">
        <v>3704</v>
      </c>
      <c r="S9" s="1760" t="s">
        <v>11</v>
      </c>
      <c r="T9" s="1761">
        <v>840107</v>
      </c>
      <c r="U9" s="1761"/>
      <c r="V9" s="1762" t="s">
        <v>20</v>
      </c>
      <c r="W9" s="1763"/>
      <c r="X9" s="1764"/>
      <c r="Y9" s="1765"/>
      <c r="Z9" s="1765"/>
      <c r="AA9" s="1765"/>
      <c r="AB9" s="1766">
        <f>SUM($AA$10:$AA$13)</f>
        <v>0</v>
      </c>
      <c r="AC9" s="1764"/>
      <c r="AD9" s="1767"/>
      <c r="AE9" s="1767"/>
      <c r="AF9" s="4351" t="s">
        <v>3898</v>
      </c>
    </row>
    <row r="10" spans="1:32" ht="39" customHeight="1">
      <c r="A10" s="4360"/>
      <c r="B10" s="4361"/>
      <c r="C10" s="4241"/>
      <c r="D10" s="4215"/>
      <c r="E10" s="4215"/>
      <c r="F10" s="4215"/>
      <c r="G10" s="4215"/>
      <c r="H10" s="4215"/>
      <c r="I10" s="4215"/>
      <c r="J10" s="4340"/>
      <c r="K10" s="4215"/>
      <c r="L10" s="4215"/>
      <c r="M10" s="4226"/>
      <c r="N10" s="4226"/>
      <c r="O10" s="4226"/>
      <c r="P10" s="4215"/>
      <c r="Q10" s="4215"/>
      <c r="R10" s="4233"/>
      <c r="S10" s="1593"/>
      <c r="T10" s="1768"/>
      <c r="U10" s="1768">
        <v>452200016</v>
      </c>
      <c r="V10" s="1621" t="s">
        <v>1080</v>
      </c>
      <c r="W10" s="1601">
        <v>1</v>
      </c>
      <c r="X10" s="170" t="s">
        <v>269</v>
      </c>
      <c r="Y10" s="1606">
        <v>1500</v>
      </c>
      <c r="Z10" s="1606">
        <f t="shared" ref="Z10:Z13" si="0">+W10*Y10</f>
        <v>1500</v>
      </c>
      <c r="AA10" s="1606" t="s">
        <v>353</v>
      </c>
      <c r="AB10" s="1607"/>
      <c r="AC10" s="170" t="s">
        <v>251</v>
      </c>
      <c r="AD10" s="282"/>
      <c r="AE10" s="282"/>
      <c r="AF10" s="4311"/>
    </row>
    <row r="11" spans="1:32" ht="39" customHeight="1">
      <c r="A11" s="4360"/>
      <c r="B11" s="4361"/>
      <c r="C11" s="4241"/>
      <c r="D11" s="4215"/>
      <c r="E11" s="4215"/>
      <c r="F11" s="4215"/>
      <c r="G11" s="4215"/>
      <c r="H11" s="4215"/>
      <c r="I11" s="4215"/>
      <c r="J11" s="4340"/>
      <c r="K11" s="4215"/>
      <c r="L11" s="4215"/>
      <c r="M11" s="4226"/>
      <c r="N11" s="4226"/>
      <c r="O11" s="4226"/>
      <c r="P11" s="4215"/>
      <c r="Q11" s="4215"/>
      <c r="R11" s="4233"/>
      <c r="S11" s="1769"/>
      <c r="T11" s="1770"/>
      <c r="U11" s="1770">
        <v>451700424</v>
      </c>
      <c r="V11" s="1622" t="s">
        <v>3705</v>
      </c>
      <c r="W11" s="1602">
        <v>1</v>
      </c>
      <c r="X11" s="170" t="s">
        <v>269</v>
      </c>
      <c r="Y11" s="1608">
        <v>700</v>
      </c>
      <c r="Z11" s="1606">
        <f t="shared" si="0"/>
        <v>700</v>
      </c>
      <c r="AA11" s="1606" t="s">
        <v>353</v>
      </c>
      <c r="AB11" s="1607"/>
      <c r="AC11" s="170" t="s">
        <v>251</v>
      </c>
      <c r="AD11" s="282"/>
      <c r="AE11" s="282"/>
      <c r="AF11" s="4311"/>
    </row>
    <row r="12" spans="1:32" ht="39" customHeight="1">
      <c r="A12" s="4360"/>
      <c r="B12" s="4361"/>
      <c r="C12" s="4241"/>
      <c r="D12" s="4215"/>
      <c r="E12" s="4215"/>
      <c r="F12" s="4215"/>
      <c r="G12" s="4215"/>
      <c r="H12" s="4215"/>
      <c r="I12" s="4215"/>
      <c r="J12" s="4340"/>
      <c r="K12" s="4215"/>
      <c r="L12" s="4215"/>
      <c r="M12" s="4226"/>
      <c r="N12" s="4226"/>
      <c r="O12" s="4226"/>
      <c r="P12" s="4215"/>
      <c r="Q12" s="4215"/>
      <c r="R12" s="4233"/>
      <c r="S12" s="1594"/>
      <c r="T12" s="1771"/>
      <c r="U12" s="1772">
        <v>4516003171</v>
      </c>
      <c r="V12" s="1773" t="s">
        <v>3706</v>
      </c>
      <c r="W12" s="1774">
        <v>1</v>
      </c>
      <c r="X12" s="1775" t="s">
        <v>269</v>
      </c>
      <c r="Y12" s="1776">
        <v>500</v>
      </c>
      <c r="Z12" s="1777">
        <f t="shared" si="0"/>
        <v>500</v>
      </c>
      <c r="AA12" s="1606" t="s">
        <v>353</v>
      </c>
      <c r="AB12" s="1607"/>
      <c r="AC12" s="170" t="s">
        <v>251</v>
      </c>
      <c r="AD12" s="282"/>
      <c r="AE12" s="282"/>
      <c r="AF12" s="4311"/>
    </row>
    <row r="13" spans="1:32" ht="39" customHeight="1">
      <c r="A13" s="4360"/>
      <c r="B13" s="4361"/>
      <c r="C13" s="4365"/>
      <c r="D13" s="4348"/>
      <c r="E13" s="4348"/>
      <c r="F13" s="4348"/>
      <c r="G13" s="4348"/>
      <c r="H13" s="4348"/>
      <c r="I13" s="4348"/>
      <c r="J13" s="4354"/>
      <c r="K13" s="4348"/>
      <c r="L13" s="4348"/>
      <c r="M13" s="4357"/>
      <c r="N13" s="4357"/>
      <c r="O13" s="4357"/>
      <c r="P13" s="4348"/>
      <c r="Q13" s="4348"/>
      <c r="R13" s="4350"/>
      <c r="S13" s="1778"/>
      <c r="T13" s="1779"/>
      <c r="U13" s="1779">
        <v>45220009</v>
      </c>
      <c r="V13" s="1780" t="s">
        <v>354</v>
      </c>
      <c r="W13" s="1781">
        <v>1</v>
      </c>
      <c r="X13" s="1782" t="s">
        <v>269</v>
      </c>
      <c r="Y13" s="1783">
        <v>1100</v>
      </c>
      <c r="Z13" s="1783">
        <f t="shared" si="0"/>
        <v>1100</v>
      </c>
      <c r="AA13" s="1784" t="s">
        <v>353</v>
      </c>
      <c r="AB13" s="1785"/>
      <c r="AC13" s="1786" t="s">
        <v>251</v>
      </c>
      <c r="AD13" s="1787"/>
      <c r="AE13" s="1787"/>
      <c r="AF13" s="4352"/>
    </row>
    <row r="14" spans="1:32" ht="51">
      <c r="A14" s="4360"/>
      <c r="B14" s="4361"/>
      <c r="C14" s="4327" t="s">
        <v>235</v>
      </c>
      <c r="D14" s="4328" t="s">
        <v>236</v>
      </c>
      <c r="E14" s="4328" t="s">
        <v>237</v>
      </c>
      <c r="F14" s="4328" t="s">
        <v>355</v>
      </c>
      <c r="G14" s="4329" t="s">
        <v>239</v>
      </c>
      <c r="H14" s="4328" t="s">
        <v>240</v>
      </c>
      <c r="I14" s="4328" t="s">
        <v>278</v>
      </c>
      <c r="J14" s="4339" t="s">
        <v>3728</v>
      </c>
      <c r="K14" s="4342" t="s">
        <v>356</v>
      </c>
      <c r="L14" s="4345" t="s">
        <v>3775</v>
      </c>
      <c r="M14" s="4344">
        <v>20</v>
      </c>
      <c r="N14" s="4344">
        <v>10</v>
      </c>
      <c r="O14" s="4344">
        <v>10</v>
      </c>
      <c r="P14" s="4345" t="s">
        <v>3897</v>
      </c>
      <c r="Q14" s="4345" t="s">
        <v>3692</v>
      </c>
      <c r="R14" s="4346" t="s">
        <v>3704</v>
      </c>
      <c r="S14" s="1758" t="s">
        <v>11</v>
      </c>
      <c r="T14" s="1759">
        <v>530204</v>
      </c>
      <c r="U14" s="1759"/>
      <c r="V14" s="1600" t="s">
        <v>357</v>
      </c>
      <c r="W14" s="1602"/>
      <c r="X14" s="414"/>
      <c r="Y14" s="1608"/>
      <c r="Z14" s="1608"/>
      <c r="AA14" s="1608"/>
      <c r="AB14" s="1610">
        <f>SUM($AA$15:$AA$16)</f>
        <v>3595.2000000000003</v>
      </c>
      <c r="AC14" s="414"/>
      <c r="AD14" s="168"/>
      <c r="AE14" s="168"/>
      <c r="AF14" s="4324" t="s">
        <v>3899</v>
      </c>
    </row>
    <row r="15" spans="1:32" ht="30" customHeight="1">
      <c r="A15" s="4360"/>
      <c r="B15" s="4361"/>
      <c r="C15" s="4241"/>
      <c r="D15" s="4215"/>
      <c r="E15" s="4215"/>
      <c r="F15" s="4215"/>
      <c r="G15" s="4215"/>
      <c r="H15" s="4215"/>
      <c r="I15" s="4215"/>
      <c r="J15" s="4340"/>
      <c r="K15" s="4334"/>
      <c r="L15" s="4215"/>
      <c r="M15" s="4226"/>
      <c r="N15" s="4226"/>
      <c r="O15" s="4226"/>
      <c r="P15" s="4215"/>
      <c r="Q15" s="4215"/>
      <c r="R15" s="4233"/>
      <c r="S15" s="1593"/>
      <c r="T15" s="1768"/>
      <c r="U15" s="1768">
        <v>843000011</v>
      </c>
      <c r="V15" s="1599" t="s">
        <v>358</v>
      </c>
      <c r="W15" s="1601">
        <v>13</v>
      </c>
      <c r="X15" s="170" t="s">
        <v>250</v>
      </c>
      <c r="Y15" s="1606">
        <v>170</v>
      </c>
      <c r="Z15" s="1606">
        <f t="shared" ref="Z15:Z16" si="1">+W15*Y15</f>
        <v>2210</v>
      </c>
      <c r="AA15" s="1606">
        <f t="shared" ref="AA15:AA16" si="2">+Z15*1.12</f>
        <v>2475.2000000000003</v>
      </c>
      <c r="AB15" s="1607"/>
      <c r="AC15" s="170" t="s">
        <v>251</v>
      </c>
      <c r="AD15" s="170" t="s">
        <v>251</v>
      </c>
      <c r="AE15" s="171" t="s">
        <v>251</v>
      </c>
      <c r="AF15" s="4311"/>
    </row>
    <row r="16" spans="1:32" ht="30" customHeight="1">
      <c r="A16" s="4360"/>
      <c r="B16" s="4361"/>
      <c r="C16" s="4241"/>
      <c r="D16" s="4215"/>
      <c r="E16" s="4215"/>
      <c r="F16" s="4215"/>
      <c r="G16" s="4215"/>
      <c r="H16" s="4215"/>
      <c r="I16" s="4215"/>
      <c r="J16" s="4340"/>
      <c r="K16" s="4334"/>
      <c r="L16" s="4215"/>
      <c r="M16" s="4226"/>
      <c r="N16" s="4226"/>
      <c r="O16" s="4226"/>
      <c r="P16" s="4215"/>
      <c r="Q16" s="4215"/>
      <c r="R16" s="4233"/>
      <c r="S16" s="1593"/>
      <c r="T16" s="1768"/>
      <c r="U16" s="1768"/>
      <c r="V16" s="1599" t="s">
        <v>359</v>
      </c>
      <c r="W16" s="1601">
        <v>1</v>
      </c>
      <c r="X16" s="170" t="s">
        <v>250</v>
      </c>
      <c r="Y16" s="1606">
        <v>1000</v>
      </c>
      <c r="Z16" s="1606">
        <f t="shared" si="1"/>
        <v>1000</v>
      </c>
      <c r="AA16" s="1606">
        <f t="shared" si="2"/>
        <v>1120</v>
      </c>
      <c r="AB16" s="1607"/>
      <c r="AC16" s="170" t="s">
        <v>251</v>
      </c>
      <c r="AD16" s="170" t="s">
        <v>251</v>
      </c>
      <c r="AE16" s="282" t="s">
        <v>251</v>
      </c>
      <c r="AF16" s="4311"/>
    </row>
    <row r="17" spans="1:32" ht="30" customHeight="1">
      <c r="A17" s="4360"/>
      <c r="B17" s="4361"/>
      <c r="C17" s="4241"/>
      <c r="D17" s="4215"/>
      <c r="E17" s="4215"/>
      <c r="F17" s="4215"/>
      <c r="G17" s="4215"/>
      <c r="H17" s="4215"/>
      <c r="I17" s="4215"/>
      <c r="J17" s="4340"/>
      <c r="K17" s="4334"/>
      <c r="L17" s="4215"/>
      <c r="M17" s="4226"/>
      <c r="N17" s="4226"/>
      <c r="O17" s="4226"/>
      <c r="P17" s="4215"/>
      <c r="Q17" s="4215"/>
      <c r="R17" s="4233"/>
      <c r="S17" s="1990"/>
      <c r="T17" s="1991"/>
      <c r="U17" s="1991"/>
      <c r="V17" s="1948"/>
      <c r="W17" s="1992"/>
      <c r="X17" s="1775"/>
      <c r="Y17" s="1777"/>
      <c r="Z17" s="1777"/>
      <c r="AA17" s="1777"/>
      <c r="AB17" s="1993"/>
      <c r="AC17" s="1775"/>
      <c r="AD17" s="1775"/>
      <c r="AE17" s="1946"/>
      <c r="AF17" s="4311"/>
    </row>
    <row r="18" spans="1:32" ht="30" customHeight="1">
      <c r="A18" s="4360"/>
      <c r="B18" s="4361"/>
      <c r="C18" s="4242"/>
      <c r="D18" s="4216"/>
      <c r="E18" s="4216"/>
      <c r="F18" s="4216"/>
      <c r="G18" s="4216"/>
      <c r="H18" s="4216"/>
      <c r="I18" s="4216"/>
      <c r="J18" s="4341"/>
      <c r="K18" s="4335"/>
      <c r="L18" s="4216"/>
      <c r="M18" s="4247"/>
      <c r="N18" s="4247"/>
      <c r="O18" s="4247"/>
      <c r="P18" s="4216"/>
      <c r="Q18" s="4216"/>
      <c r="R18" s="4258"/>
      <c r="S18" s="1595"/>
      <c r="T18" s="1994"/>
      <c r="U18" s="1994"/>
      <c r="V18" s="411"/>
      <c r="W18" s="1603"/>
      <c r="X18" s="165"/>
      <c r="Y18" s="1611"/>
      <c r="Z18" s="1611"/>
      <c r="AA18" s="1611"/>
      <c r="AB18" s="1609"/>
      <c r="AC18" s="165"/>
      <c r="AD18" s="165"/>
      <c r="AE18" s="166"/>
      <c r="AF18" s="4325"/>
    </row>
    <row r="19" spans="1:32" ht="36.75" customHeight="1">
      <c r="A19" s="4360"/>
      <c r="B19" s="4361"/>
      <c r="C19" s="4337" t="s">
        <v>235</v>
      </c>
      <c r="D19" s="4273" t="s">
        <v>236</v>
      </c>
      <c r="E19" s="4273" t="s">
        <v>237</v>
      </c>
      <c r="F19" s="4273" t="s">
        <v>360</v>
      </c>
      <c r="G19" s="4338" t="s">
        <v>239</v>
      </c>
      <c r="H19" s="4273" t="s">
        <v>293</v>
      </c>
      <c r="I19" s="4273" t="s">
        <v>294</v>
      </c>
      <c r="J19" s="4330" t="s">
        <v>3729</v>
      </c>
      <c r="K19" s="4343" t="s">
        <v>3889</v>
      </c>
      <c r="L19" s="4228" t="s">
        <v>3774</v>
      </c>
      <c r="M19" s="4336">
        <v>3</v>
      </c>
      <c r="N19" s="4336">
        <v>5</v>
      </c>
      <c r="O19" s="4336">
        <v>5</v>
      </c>
      <c r="P19" s="4228" t="s">
        <v>3693</v>
      </c>
      <c r="Q19" s="4228" t="s">
        <v>3894</v>
      </c>
      <c r="R19" s="4322" t="s">
        <v>3707</v>
      </c>
      <c r="S19" s="1758"/>
      <c r="T19" s="1759"/>
      <c r="U19" s="1759"/>
      <c r="V19" s="1943"/>
      <c r="W19" s="1602"/>
      <c r="X19" s="414"/>
      <c r="Y19" s="1608"/>
      <c r="Z19" s="1608"/>
      <c r="AA19" s="1608"/>
      <c r="AB19" s="1610"/>
      <c r="AC19" s="414"/>
      <c r="AD19" s="174"/>
      <c r="AE19" s="174"/>
      <c r="AF19" s="4310"/>
    </row>
    <row r="20" spans="1:32" ht="36.75" customHeight="1">
      <c r="A20" s="4360"/>
      <c r="B20" s="4361"/>
      <c r="C20" s="4241"/>
      <c r="D20" s="4215"/>
      <c r="E20" s="4215"/>
      <c r="F20" s="4215"/>
      <c r="G20" s="4215"/>
      <c r="H20" s="4215"/>
      <c r="I20" s="4215"/>
      <c r="J20" s="4331"/>
      <c r="K20" s="4334"/>
      <c r="L20" s="4215"/>
      <c r="M20" s="4226"/>
      <c r="N20" s="4226"/>
      <c r="O20" s="4226"/>
      <c r="P20" s="4215"/>
      <c r="Q20" s="4215"/>
      <c r="R20" s="4233"/>
      <c r="S20" s="1769"/>
      <c r="T20" s="1770"/>
      <c r="U20" s="1770"/>
      <c r="V20" s="169"/>
      <c r="W20" s="1601"/>
      <c r="X20" s="170"/>
      <c r="Y20" s="1606"/>
      <c r="Z20" s="1606"/>
      <c r="AA20" s="1606"/>
      <c r="AB20" s="1607"/>
      <c r="AC20" s="170"/>
      <c r="AD20" s="282"/>
      <c r="AE20" s="282"/>
      <c r="AF20" s="4311"/>
    </row>
    <row r="21" spans="1:32" ht="36.75" customHeight="1">
      <c r="A21" s="4360"/>
      <c r="B21" s="4361"/>
      <c r="C21" s="4241"/>
      <c r="D21" s="4215"/>
      <c r="E21" s="4215"/>
      <c r="F21" s="4215"/>
      <c r="G21" s="4215"/>
      <c r="H21" s="4215"/>
      <c r="I21" s="4215"/>
      <c r="J21" s="4331"/>
      <c r="K21" s="4334"/>
      <c r="L21" s="4215"/>
      <c r="M21" s="4226"/>
      <c r="N21" s="4226"/>
      <c r="O21" s="4226"/>
      <c r="P21" s="4215"/>
      <c r="Q21" s="4215"/>
      <c r="R21" s="4233"/>
      <c r="S21" s="1593"/>
      <c r="T21" s="1768"/>
      <c r="U21" s="1768"/>
      <c r="V21" s="169"/>
      <c r="W21" s="1601"/>
      <c r="X21" s="170"/>
      <c r="Y21" s="1606"/>
      <c r="Z21" s="1606"/>
      <c r="AA21" s="1606"/>
      <c r="AB21" s="1607"/>
      <c r="AC21" s="170"/>
      <c r="AD21" s="282"/>
      <c r="AE21" s="282"/>
      <c r="AF21" s="4311"/>
    </row>
    <row r="22" spans="1:32" ht="36.75" customHeight="1">
      <c r="A22" s="4360"/>
      <c r="B22" s="4361"/>
      <c r="C22" s="4241"/>
      <c r="D22" s="4215"/>
      <c r="E22" s="4215"/>
      <c r="F22" s="4215"/>
      <c r="G22" s="4215"/>
      <c r="H22" s="4215"/>
      <c r="I22" s="4215"/>
      <c r="J22" s="4331"/>
      <c r="K22" s="4334"/>
      <c r="L22" s="4215"/>
      <c r="M22" s="4226"/>
      <c r="N22" s="4226"/>
      <c r="O22" s="4226"/>
      <c r="P22" s="4215"/>
      <c r="Q22" s="4215"/>
      <c r="R22" s="4233"/>
      <c r="S22" s="1990"/>
      <c r="T22" s="1991"/>
      <c r="U22" s="1991"/>
      <c r="V22" s="1948"/>
      <c r="W22" s="1992"/>
      <c r="X22" s="170"/>
      <c r="Y22" s="1777"/>
      <c r="Z22" s="1606"/>
      <c r="AA22" s="1606"/>
      <c r="AB22" s="1993"/>
      <c r="AC22" s="170"/>
      <c r="AD22" s="1946"/>
      <c r="AE22" s="1946"/>
      <c r="AF22" s="4311"/>
    </row>
    <row r="23" spans="1:32" ht="36.75" customHeight="1">
      <c r="A23" s="4360"/>
      <c r="B23" s="4361"/>
      <c r="C23" s="4242"/>
      <c r="D23" s="4216"/>
      <c r="E23" s="4216"/>
      <c r="F23" s="4216"/>
      <c r="G23" s="4216"/>
      <c r="H23" s="4216"/>
      <c r="I23" s="4216"/>
      <c r="J23" s="4332"/>
      <c r="K23" s="4335"/>
      <c r="L23" s="4216"/>
      <c r="M23" s="4247"/>
      <c r="N23" s="4247"/>
      <c r="O23" s="4247"/>
      <c r="P23" s="4216"/>
      <c r="Q23" s="4216"/>
      <c r="R23" s="4258"/>
      <c r="S23" s="1595"/>
      <c r="T23" s="1994"/>
      <c r="U23" s="1598"/>
      <c r="V23" s="411"/>
      <c r="W23" s="1603"/>
      <c r="X23" s="165"/>
      <c r="Y23" s="1611"/>
      <c r="Z23" s="1995"/>
      <c r="AA23" s="1995"/>
      <c r="AB23" s="1609"/>
      <c r="AC23" s="165"/>
      <c r="AD23" s="166"/>
      <c r="AE23" s="166"/>
      <c r="AF23" s="4325"/>
    </row>
    <row r="24" spans="1:32" ht="27.75" customHeight="1">
      <c r="A24" s="4360"/>
      <c r="B24" s="4361"/>
      <c r="C24" s="4337" t="s">
        <v>235</v>
      </c>
      <c r="D24" s="4273" t="s">
        <v>236</v>
      </c>
      <c r="E24" s="4273" t="s">
        <v>244</v>
      </c>
      <c r="F24" s="4273" t="s">
        <v>309</v>
      </c>
      <c r="G24" s="4338" t="s">
        <v>239</v>
      </c>
      <c r="H24" s="4273" t="s">
        <v>240</v>
      </c>
      <c r="I24" s="4273" t="s">
        <v>278</v>
      </c>
      <c r="J24" s="4330" t="s">
        <v>3730</v>
      </c>
      <c r="K24" s="4333" t="s">
        <v>361</v>
      </c>
      <c r="L24" s="4273" t="s">
        <v>362</v>
      </c>
      <c r="M24" s="4246">
        <v>3</v>
      </c>
      <c r="N24" s="4246">
        <v>3</v>
      </c>
      <c r="O24" s="4246">
        <v>2</v>
      </c>
      <c r="P24" s="4228" t="s">
        <v>3694</v>
      </c>
      <c r="Q24" s="4228" t="s">
        <v>3696</v>
      </c>
      <c r="R24" s="4322" t="s">
        <v>3708</v>
      </c>
      <c r="S24" s="1758"/>
      <c r="T24" s="1759"/>
      <c r="U24" s="1759"/>
      <c r="V24" s="176"/>
      <c r="W24" s="1602"/>
      <c r="X24" s="414"/>
      <c r="Y24" s="1608"/>
      <c r="Z24" s="1608"/>
      <c r="AA24" s="1608"/>
      <c r="AB24" s="1610"/>
      <c r="AC24" s="414"/>
      <c r="AD24" s="174"/>
      <c r="AE24" s="174"/>
      <c r="AF24" s="4310"/>
    </row>
    <row r="25" spans="1:32" ht="27.75" customHeight="1">
      <c r="A25" s="4360"/>
      <c r="B25" s="4361"/>
      <c r="C25" s="4241"/>
      <c r="D25" s="4215"/>
      <c r="E25" s="4215"/>
      <c r="F25" s="4215"/>
      <c r="G25" s="4215"/>
      <c r="H25" s="4215"/>
      <c r="I25" s="4215"/>
      <c r="J25" s="4331"/>
      <c r="K25" s="4334"/>
      <c r="L25" s="4215"/>
      <c r="M25" s="4226"/>
      <c r="N25" s="4226"/>
      <c r="O25" s="4226"/>
      <c r="P25" s="4215"/>
      <c r="Q25" s="4215"/>
      <c r="R25" s="4233"/>
      <c r="S25" s="1593"/>
      <c r="T25" s="1768"/>
      <c r="U25" s="1768"/>
      <c r="V25" s="169"/>
      <c r="W25" s="1601"/>
      <c r="X25" s="170"/>
      <c r="Y25" s="1606"/>
      <c r="Z25" s="1606"/>
      <c r="AA25" s="1606"/>
      <c r="AB25" s="1607"/>
      <c r="AC25" s="170"/>
      <c r="AD25" s="170"/>
      <c r="AE25" s="282"/>
      <c r="AF25" s="4311"/>
    </row>
    <row r="26" spans="1:32" ht="27.75" customHeight="1">
      <c r="A26" s="4360"/>
      <c r="B26" s="4361"/>
      <c r="C26" s="4241"/>
      <c r="D26" s="4215"/>
      <c r="E26" s="4215"/>
      <c r="F26" s="4215"/>
      <c r="G26" s="4215"/>
      <c r="H26" s="4215"/>
      <c r="I26" s="4215"/>
      <c r="J26" s="4331"/>
      <c r="K26" s="4334"/>
      <c r="L26" s="4215"/>
      <c r="M26" s="4226"/>
      <c r="N26" s="4226"/>
      <c r="O26" s="4226"/>
      <c r="P26" s="4215"/>
      <c r="Q26" s="4215"/>
      <c r="R26" s="4233"/>
      <c r="S26" s="1593"/>
      <c r="T26" s="1768"/>
      <c r="U26" s="1768"/>
      <c r="V26" s="169"/>
      <c r="W26" s="1601"/>
      <c r="X26" s="170"/>
      <c r="Y26" s="1606"/>
      <c r="Z26" s="1606"/>
      <c r="AA26" s="1606"/>
      <c r="AB26" s="1607"/>
      <c r="AC26" s="170"/>
      <c r="AD26" s="282"/>
      <c r="AE26" s="282"/>
      <c r="AF26" s="4311"/>
    </row>
    <row r="27" spans="1:32" ht="27.75" customHeight="1">
      <c r="A27" s="4360"/>
      <c r="B27" s="4361"/>
      <c r="C27" s="4241"/>
      <c r="D27" s="4215"/>
      <c r="E27" s="4215"/>
      <c r="F27" s="4215"/>
      <c r="G27" s="4215"/>
      <c r="H27" s="4215"/>
      <c r="I27" s="4215"/>
      <c r="J27" s="4331"/>
      <c r="K27" s="4334"/>
      <c r="L27" s="4215"/>
      <c r="M27" s="4226"/>
      <c r="N27" s="4226"/>
      <c r="O27" s="4226"/>
      <c r="P27" s="4215"/>
      <c r="Q27" s="4215"/>
      <c r="R27" s="4233"/>
      <c r="S27" s="1593"/>
      <c r="T27" s="1768"/>
      <c r="U27" s="1768"/>
      <c r="V27" s="169"/>
      <c r="W27" s="1601"/>
      <c r="X27" s="170"/>
      <c r="Y27" s="1606"/>
      <c r="Z27" s="1606"/>
      <c r="AA27" s="1606"/>
      <c r="AB27" s="1607"/>
      <c r="AC27" s="170"/>
      <c r="AD27" s="170"/>
      <c r="AE27" s="282"/>
      <c r="AF27" s="4311"/>
    </row>
    <row r="28" spans="1:32" ht="27.75" customHeight="1">
      <c r="A28" s="4360"/>
      <c r="B28" s="4361"/>
      <c r="C28" s="4242"/>
      <c r="D28" s="4216"/>
      <c r="E28" s="4216"/>
      <c r="F28" s="4216"/>
      <c r="G28" s="4216"/>
      <c r="H28" s="4216"/>
      <c r="I28" s="4216"/>
      <c r="J28" s="4332"/>
      <c r="K28" s="4335"/>
      <c r="L28" s="4216"/>
      <c r="M28" s="4247"/>
      <c r="N28" s="4247"/>
      <c r="O28" s="4247"/>
      <c r="P28" s="4216"/>
      <c r="Q28" s="4216"/>
      <c r="R28" s="4258"/>
      <c r="S28" s="1595"/>
      <c r="T28" s="1994"/>
      <c r="U28" s="1994"/>
      <c r="V28" s="411"/>
      <c r="W28" s="1603"/>
      <c r="X28" s="165"/>
      <c r="Y28" s="1611"/>
      <c r="Z28" s="1611"/>
      <c r="AA28" s="1611"/>
      <c r="AB28" s="1609"/>
      <c r="AC28" s="165"/>
      <c r="AD28" s="166"/>
      <c r="AE28" s="166"/>
      <c r="AF28" s="4325"/>
    </row>
    <row r="29" spans="1:32" ht="44.25" customHeight="1">
      <c r="A29" s="4360"/>
      <c r="B29" s="4361"/>
      <c r="C29" s="4337" t="s">
        <v>272</v>
      </c>
      <c r="D29" s="4273" t="s">
        <v>302</v>
      </c>
      <c r="E29" s="4273" t="s">
        <v>303</v>
      </c>
      <c r="F29" s="4273" t="s">
        <v>363</v>
      </c>
      <c r="G29" s="4338" t="s">
        <v>305</v>
      </c>
      <c r="H29" s="4273" t="s">
        <v>256</v>
      </c>
      <c r="I29" s="4273" t="s">
        <v>241</v>
      </c>
      <c r="J29" s="4330" t="s">
        <v>3731</v>
      </c>
      <c r="K29" s="4343" t="s">
        <v>3890</v>
      </c>
      <c r="L29" s="4273" t="s">
        <v>364</v>
      </c>
      <c r="M29" s="4336">
        <v>20</v>
      </c>
      <c r="N29" s="4336">
        <v>20</v>
      </c>
      <c r="O29" s="4336">
        <v>20</v>
      </c>
      <c r="P29" s="4228" t="s">
        <v>3695</v>
      </c>
      <c r="Q29" s="4228" t="s">
        <v>3893</v>
      </c>
      <c r="R29" s="4322" t="s">
        <v>3704</v>
      </c>
      <c r="S29" s="1996"/>
      <c r="T29" s="1759"/>
      <c r="U29" s="1759"/>
      <c r="V29" s="176"/>
      <c r="W29" s="1602"/>
      <c r="X29" s="414"/>
      <c r="Y29" s="1608"/>
      <c r="Z29" s="1608"/>
      <c r="AA29" s="1608"/>
      <c r="AB29" s="1610"/>
      <c r="AC29" s="414"/>
      <c r="AD29" s="174"/>
      <c r="AE29" s="174"/>
      <c r="AF29" s="4310"/>
    </row>
    <row r="30" spans="1:32" ht="44.25" customHeight="1">
      <c r="A30" s="4360"/>
      <c r="B30" s="4361"/>
      <c r="C30" s="4241"/>
      <c r="D30" s="4215"/>
      <c r="E30" s="4215"/>
      <c r="F30" s="4215"/>
      <c r="G30" s="4215"/>
      <c r="H30" s="4215"/>
      <c r="I30" s="4215"/>
      <c r="J30" s="4331"/>
      <c r="K30" s="4334"/>
      <c r="L30" s="4215"/>
      <c r="M30" s="4226"/>
      <c r="N30" s="4226"/>
      <c r="O30" s="4226"/>
      <c r="P30" s="4215"/>
      <c r="Q30" s="4215"/>
      <c r="R30" s="4233"/>
      <c r="S30" s="1593"/>
      <c r="T30" s="1768"/>
      <c r="U30" s="1768"/>
      <c r="V30" s="169"/>
      <c r="W30" s="1601"/>
      <c r="X30" s="170" t="s">
        <v>365</v>
      </c>
      <c r="Y30" s="1606"/>
      <c r="Z30" s="1606"/>
      <c r="AA30" s="1606"/>
      <c r="AB30" s="1607"/>
      <c r="AC30" s="170"/>
      <c r="AD30" s="282"/>
      <c r="AE30" s="282"/>
      <c r="AF30" s="4311"/>
    </row>
    <row r="31" spans="1:32" ht="44.25" customHeight="1">
      <c r="A31" s="4360"/>
      <c r="B31" s="4361"/>
      <c r="C31" s="4241"/>
      <c r="D31" s="4215"/>
      <c r="E31" s="4215"/>
      <c r="F31" s="4215"/>
      <c r="G31" s="4215"/>
      <c r="H31" s="4215"/>
      <c r="I31" s="4215"/>
      <c r="J31" s="4331"/>
      <c r="K31" s="4334"/>
      <c r="L31" s="4215"/>
      <c r="M31" s="4226"/>
      <c r="N31" s="4226"/>
      <c r="O31" s="4226"/>
      <c r="P31" s="4215"/>
      <c r="Q31" s="4215"/>
      <c r="R31" s="4233"/>
      <c r="S31" s="1593"/>
      <c r="T31" s="1768"/>
      <c r="U31" s="1768"/>
      <c r="V31" s="169"/>
      <c r="W31" s="1601"/>
      <c r="X31" s="170"/>
      <c r="Y31" s="1606"/>
      <c r="Z31" s="1606"/>
      <c r="AA31" s="1606"/>
      <c r="AB31" s="1607"/>
      <c r="AC31" s="170"/>
      <c r="AD31" s="282"/>
      <c r="AE31" s="282"/>
      <c r="AF31" s="4311"/>
    </row>
    <row r="32" spans="1:32" ht="44.25" customHeight="1">
      <c r="A32" s="4360"/>
      <c r="B32" s="4361"/>
      <c r="C32" s="4241"/>
      <c r="D32" s="4215"/>
      <c r="E32" s="4215"/>
      <c r="F32" s="4215"/>
      <c r="G32" s="4215"/>
      <c r="H32" s="4215"/>
      <c r="I32" s="4215"/>
      <c r="J32" s="4331"/>
      <c r="K32" s="4334"/>
      <c r="L32" s="4215"/>
      <c r="M32" s="4226"/>
      <c r="N32" s="4226"/>
      <c r="O32" s="4226"/>
      <c r="P32" s="4215"/>
      <c r="Q32" s="4215"/>
      <c r="R32" s="4233"/>
      <c r="S32" s="1593"/>
      <c r="T32" s="1768"/>
      <c r="U32" s="1768"/>
      <c r="V32" s="169"/>
      <c r="W32" s="1601"/>
      <c r="X32" s="170"/>
      <c r="Y32" s="1606"/>
      <c r="Z32" s="1606"/>
      <c r="AA32" s="1606"/>
      <c r="AB32" s="1607"/>
      <c r="AC32" s="170"/>
      <c r="AD32" s="282"/>
      <c r="AE32" s="282"/>
      <c r="AF32" s="4311"/>
    </row>
    <row r="33" spans="1:32" ht="44.25" customHeight="1">
      <c r="A33" s="4360"/>
      <c r="B33" s="4361"/>
      <c r="C33" s="4242"/>
      <c r="D33" s="4216"/>
      <c r="E33" s="4216"/>
      <c r="F33" s="4216"/>
      <c r="G33" s="4216"/>
      <c r="H33" s="4216"/>
      <c r="I33" s="4216"/>
      <c r="J33" s="4332"/>
      <c r="K33" s="4335"/>
      <c r="L33" s="4216"/>
      <c r="M33" s="4247"/>
      <c r="N33" s="4247"/>
      <c r="O33" s="4247"/>
      <c r="P33" s="4216"/>
      <c r="Q33" s="4216"/>
      <c r="R33" s="4258"/>
      <c r="S33" s="1595"/>
      <c r="T33" s="1994"/>
      <c r="U33" s="1994"/>
      <c r="V33" s="411"/>
      <c r="W33" s="1603"/>
      <c r="X33" s="165"/>
      <c r="Y33" s="1611"/>
      <c r="Z33" s="1611"/>
      <c r="AA33" s="1611"/>
      <c r="AB33" s="1609"/>
      <c r="AC33" s="165"/>
      <c r="AD33" s="166"/>
      <c r="AE33" s="166"/>
      <c r="AF33" s="4325"/>
    </row>
    <row r="34" spans="1:32" ht="53.25" customHeight="1">
      <c r="A34" s="4360"/>
      <c r="B34" s="4361"/>
      <c r="C34" s="4327" t="s">
        <v>235</v>
      </c>
      <c r="D34" s="4328" t="s">
        <v>236</v>
      </c>
      <c r="E34" s="4328" t="s">
        <v>237</v>
      </c>
      <c r="F34" s="4328" t="s">
        <v>255</v>
      </c>
      <c r="G34" s="4329" t="s">
        <v>239</v>
      </c>
      <c r="H34" s="4328" t="s">
        <v>240</v>
      </c>
      <c r="I34" s="4328" t="s">
        <v>278</v>
      </c>
      <c r="J34" s="4330" t="s">
        <v>3732</v>
      </c>
      <c r="K34" s="4333" t="s">
        <v>366</v>
      </c>
      <c r="L34" s="4345" t="s">
        <v>3773</v>
      </c>
      <c r="M34" s="4249">
        <v>2</v>
      </c>
      <c r="N34" s="4246">
        <v>3</v>
      </c>
      <c r="O34" s="4249">
        <v>2</v>
      </c>
      <c r="P34" s="4345" t="s">
        <v>3698</v>
      </c>
      <c r="Q34" s="4345" t="s">
        <v>3697</v>
      </c>
      <c r="R34" s="4346" t="s">
        <v>3704</v>
      </c>
      <c r="S34" s="1758" t="s">
        <v>11</v>
      </c>
      <c r="T34" s="1759">
        <v>530239</v>
      </c>
      <c r="U34" s="1759"/>
      <c r="V34" s="1600" t="s">
        <v>27</v>
      </c>
      <c r="W34" s="1602"/>
      <c r="X34" s="414"/>
      <c r="Y34" s="1608"/>
      <c r="Z34" s="1608"/>
      <c r="AA34" s="1608"/>
      <c r="AB34" s="1610">
        <f>SUM($AA$35:$AA$37)</f>
        <v>10080.000000000002</v>
      </c>
      <c r="AC34" s="414"/>
      <c r="AD34" s="174"/>
      <c r="AE34" s="174"/>
      <c r="AF34" s="4324" t="s">
        <v>3900</v>
      </c>
    </row>
    <row r="35" spans="1:32" ht="53.25" customHeight="1">
      <c r="A35" s="4360"/>
      <c r="B35" s="4361"/>
      <c r="C35" s="4241"/>
      <c r="D35" s="4215"/>
      <c r="E35" s="4215"/>
      <c r="F35" s="4215"/>
      <c r="G35" s="4215"/>
      <c r="H35" s="4215"/>
      <c r="I35" s="4215"/>
      <c r="J35" s="4331"/>
      <c r="K35" s="4334"/>
      <c r="L35" s="4215"/>
      <c r="M35" s="4226"/>
      <c r="N35" s="4226"/>
      <c r="O35" s="4226"/>
      <c r="P35" s="4215"/>
      <c r="Q35" s="4215"/>
      <c r="R35" s="4233"/>
      <c r="S35" s="1593"/>
      <c r="T35" s="1768"/>
      <c r="U35" s="1768"/>
      <c r="V35" s="1599" t="s">
        <v>367</v>
      </c>
      <c r="W35" s="1601">
        <v>1</v>
      </c>
      <c r="X35" s="170" t="s">
        <v>269</v>
      </c>
      <c r="Y35" s="1606">
        <v>9000</v>
      </c>
      <c r="Z35" s="1606">
        <f>+W35*Y35</f>
        <v>9000</v>
      </c>
      <c r="AA35" s="1606">
        <f>+Z35*1.12</f>
        <v>10080.000000000002</v>
      </c>
      <c r="AB35" s="1607"/>
      <c r="AC35" s="170"/>
      <c r="AD35" s="170" t="s">
        <v>251</v>
      </c>
      <c r="AE35" s="282"/>
      <c r="AF35" s="4311"/>
    </row>
    <row r="36" spans="1:32" ht="53.25" customHeight="1">
      <c r="A36" s="4360"/>
      <c r="B36" s="4361"/>
      <c r="C36" s="4241"/>
      <c r="D36" s="4215"/>
      <c r="E36" s="4215"/>
      <c r="F36" s="4215"/>
      <c r="G36" s="4215"/>
      <c r="H36" s="4215"/>
      <c r="I36" s="4215"/>
      <c r="J36" s="4331"/>
      <c r="K36" s="4334"/>
      <c r="L36" s="4215"/>
      <c r="M36" s="4226"/>
      <c r="N36" s="4226"/>
      <c r="O36" s="4226"/>
      <c r="P36" s="4215"/>
      <c r="Q36" s="4215"/>
      <c r="R36" s="4233"/>
      <c r="S36" s="1593"/>
      <c r="T36" s="1768"/>
      <c r="U36" s="1768"/>
      <c r="V36" s="169"/>
      <c r="W36" s="1601"/>
      <c r="X36" s="170"/>
      <c r="Y36" s="1606"/>
      <c r="Z36" s="1606"/>
      <c r="AA36" s="1606"/>
      <c r="AB36" s="1607"/>
      <c r="AC36" s="170"/>
      <c r="AD36" s="170"/>
      <c r="AE36" s="282"/>
      <c r="AF36" s="4311"/>
    </row>
    <row r="37" spans="1:32" ht="53.25" customHeight="1">
      <c r="A37" s="4360"/>
      <c r="B37" s="4361"/>
      <c r="C37" s="4241"/>
      <c r="D37" s="4215"/>
      <c r="E37" s="4215"/>
      <c r="F37" s="4215"/>
      <c r="G37" s="4215"/>
      <c r="H37" s="4215"/>
      <c r="I37" s="4215"/>
      <c r="J37" s="4331"/>
      <c r="K37" s="4334"/>
      <c r="L37" s="4215"/>
      <c r="M37" s="4226"/>
      <c r="N37" s="4226"/>
      <c r="O37" s="4226"/>
      <c r="P37" s="4215"/>
      <c r="Q37" s="4215"/>
      <c r="R37" s="4233"/>
      <c r="S37" s="1593"/>
      <c r="T37" s="1768"/>
      <c r="U37" s="1768"/>
      <c r="V37" s="169"/>
      <c r="W37" s="1601"/>
      <c r="X37" s="170"/>
      <c r="Y37" s="1606"/>
      <c r="Z37" s="1606"/>
      <c r="AA37" s="1606"/>
      <c r="AB37" s="1607"/>
      <c r="AC37" s="170"/>
      <c r="AD37" s="170"/>
      <c r="AE37" s="282"/>
      <c r="AF37" s="4311"/>
    </row>
    <row r="38" spans="1:32" ht="53.25" customHeight="1">
      <c r="A38" s="4360"/>
      <c r="B38" s="4361"/>
      <c r="C38" s="4242"/>
      <c r="D38" s="4216"/>
      <c r="E38" s="4216"/>
      <c r="F38" s="4216"/>
      <c r="G38" s="4216"/>
      <c r="H38" s="4216"/>
      <c r="I38" s="4216"/>
      <c r="J38" s="4332"/>
      <c r="K38" s="4335"/>
      <c r="L38" s="4216"/>
      <c r="M38" s="4247"/>
      <c r="N38" s="4247"/>
      <c r="O38" s="4247"/>
      <c r="P38" s="4216"/>
      <c r="Q38" s="4216"/>
      <c r="R38" s="4258"/>
      <c r="S38" s="1595"/>
      <c r="T38" s="1994"/>
      <c r="U38" s="1994"/>
      <c r="V38" s="411"/>
      <c r="W38" s="1603"/>
      <c r="X38" s="165"/>
      <c r="Y38" s="1611"/>
      <c r="Z38" s="1611"/>
      <c r="AA38" s="1611"/>
      <c r="AB38" s="1609"/>
      <c r="AC38" s="165"/>
      <c r="AD38" s="166"/>
      <c r="AE38" s="166"/>
      <c r="AF38" s="4325"/>
    </row>
    <row r="39" spans="1:32" ht="39" customHeight="1">
      <c r="A39" s="4360"/>
      <c r="B39" s="4361"/>
      <c r="C39" s="4327" t="s">
        <v>235</v>
      </c>
      <c r="D39" s="4328" t="s">
        <v>236</v>
      </c>
      <c r="E39" s="4328" t="s">
        <v>244</v>
      </c>
      <c r="F39" s="4328" t="s">
        <v>309</v>
      </c>
      <c r="G39" s="4329" t="s">
        <v>239</v>
      </c>
      <c r="H39" s="4328" t="s">
        <v>240</v>
      </c>
      <c r="I39" s="4328" t="s">
        <v>257</v>
      </c>
      <c r="J39" s="4369" t="s">
        <v>3733</v>
      </c>
      <c r="K39" s="4343" t="s">
        <v>3891</v>
      </c>
      <c r="L39" s="4328" t="s">
        <v>368</v>
      </c>
      <c r="M39" s="4249">
        <v>5</v>
      </c>
      <c r="N39" s="4249">
        <v>5</v>
      </c>
      <c r="O39" s="4249">
        <v>5</v>
      </c>
      <c r="P39" s="4345" t="s">
        <v>3699</v>
      </c>
      <c r="Q39" s="4345" t="s">
        <v>3892</v>
      </c>
      <c r="R39" s="4346" t="s">
        <v>3704</v>
      </c>
      <c r="S39" s="1996"/>
      <c r="T39" s="1759"/>
      <c r="U39" s="1759"/>
      <c r="V39" s="176"/>
      <c r="W39" s="1602"/>
      <c r="X39" s="414"/>
      <c r="Y39" s="1608"/>
      <c r="Z39" s="1608"/>
      <c r="AA39" s="1608"/>
      <c r="AB39" s="1610"/>
      <c r="AC39" s="414"/>
      <c r="AD39" s="168"/>
      <c r="AE39" s="168"/>
      <c r="AF39" s="4310"/>
    </row>
    <row r="40" spans="1:32" ht="39" customHeight="1">
      <c r="A40" s="4360"/>
      <c r="B40" s="4361"/>
      <c r="C40" s="4241"/>
      <c r="D40" s="4215"/>
      <c r="E40" s="4215"/>
      <c r="F40" s="4215"/>
      <c r="G40" s="4215"/>
      <c r="H40" s="4215"/>
      <c r="I40" s="4215"/>
      <c r="J40" s="4340"/>
      <c r="K40" s="4334"/>
      <c r="L40" s="4215"/>
      <c r="M40" s="4226"/>
      <c r="N40" s="4226"/>
      <c r="O40" s="4226"/>
      <c r="P40" s="4215"/>
      <c r="Q40" s="4215"/>
      <c r="R40" s="4233"/>
      <c r="S40" s="1593"/>
      <c r="T40" s="1768"/>
      <c r="U40" s="1768"/>
      <c r="V40" s="169"/>
      <c r="W40" s="1601"/>
      <c r="X40" s="170"/>
      <c r="Y40" s="1606"/>
      <c r="Z40" s="1606"/>
      <c r="AA40" s="1606"/>
      <c r="AB40" s="1607"/>
      <c r="AC40" s="170"/>
      <c r="AD40" s="170"/>
      <c r="AE40" s="171"/>
      <c r="AF40" s="4311"/>
    </row>
    <row r="41" spans="1:32" ht="39" customHeight="1">
      <c r="A41" s="4360"/>
      <c r="B41" s="4361"/>
      <c r="C41" s="4241"/>
      <c r="D41" s="4215"/>
      <c r="E41" s="4215"/>
      <c r="F41" s="4215"/>
      <c r="G41" s="4215"/>
      <c r="H41" s="4215"/>
      <c r="I41" s="4215"/>
      <c r="J41" s="4340"/>
      <c r="K41" s="4334"/>
      <c r="L41" s="4215"/>
      <c r="M41" s="4226"/>
      <c r="N41" s="4226"/>
      <c r="O41" s="4226"/>
      <c r="P41" s="4215"/>
      <c r="Q41" s="4215"/>
      <c r="R41" s="4233"/>
      <c r="S41" s="1593"/>
      <c r="T41" s="1768"/>
      <c r="U41" s="1768"/>
      <c r="V41" s="169"/>
      <c r="W41" s="1601"/>
      <c r="X41" s="170"/>
      <c r="Y41" s="1606"/>
      <c r="Z41" s="1606"/>
      <c r="AA41" s="1606"/>
      <c r="AB41" s="1607"/>
      <c r="AC41" s="170"/>
      <c r="AD41" s="170"/>
      <c r="AE41" s="282"/>
      <c r="AF41" s="4311"/>
    </row>
    <row r="42" spans="1:32" ht="39" customHeight="1">
      <c r="A42" s="4360"/>
      <c r="B42" s="4361"/>
      <c r="C42" s="4241"/>
      <c r="D42" s="4215"/>
      <c r="E42" s="4215"/>
      <c r="F42" s="4215"/>
      <c r="G42" s="4215"/>
      <c r="H42" s="4215"/>
      <c r="I42" s="4215"/>
      <c r="J42" s="4340"/>
      <c r="K42" s="4334"/>
      <c r="L42" s="4215"/>
      <c r="M42" s="4226"/>
      <c r="N42" s="4226"/>
      <c r="O42" s="4226"/>
      <c r="P42" s="4215"/>
      <c r="Q42" s="4215"/>
      <c r="R42" s="4233"/>
      <c r="S42" s="1593"/>
      <c r="T42" s="1768"/>
      <c r="U42" s="1768"/>
      <c r="V42" s="169"/>
      <c r="W42" s="1601"/>
      <c r="X42" s="170"/>
      <c r="Y42" s="1606"/>
      <c r="Z42" s="1606"/>
      <c r="AA42" s="1606"/>
      <c r="AB42" s="1607"/>
      <c r="AC42" s="170"/>
      <c r="AD42" s="170"/>
      <c r="AE42" s="282"/>
      <c r="AF42" s="4311"/>
    </row>
    <row r="43" spans="1:32" ht="39" customHeight="1">
      <c r="A43" s="4360"/>
      <c r="B43" s="4361"/>
      <c r="C43" s="4242"/>
      <c r="D43" s="4216"/>
      <c r="E43" s="4216"/>
      <c r="F43" s="4216"/>
      <c r="G43" s="4216"/>
      <c r="H43" s="4216"/>
      <c r="I43" s="4216"/>
      <c r="J43" s="4341"/>
      <c r="K43" s="4335"/>
      <c r="L43" s="4216"/>
      <c r="M43" s="4247"/>
      <c r="N43" s="4247"/>
      <c r="O43" s="4247"/>
      <c r="P43" s="4216"/>
      <c r="Q43" s="4216"/>
      <c r="R43" s="4258"/>
      <c r="S43" s="1990"/>
      <c r="T43" s="1991"/>
      <c r="U43" s="1991"/>
      <c r="V43" s="1948"/>
      <c r="W43" s="1992"/>
      <c r="X43" s="1775"/>
      <c r="Y43" s="1777"/>
      <c r="Z43" s="1777"/>
      <c r="AA43" s="1777"/>
      <c r="AB43" s="1993"/>
      <c r="AC43" s="1775"/>
      <c r="AD43" s="1775"/>
      <c r="AE43" s="1946"/>
      <c r="AF43" s="4325"/>
    </row>
    <row r="44" spans="1:32" ht="33" customHeight="1">
      <c r="A44" s="4360"/>
      <c r="B44" s="4361"/>
      <c r="C44" s="4337" t="s">
        <v>235</v>
      </c>
      <c r="D44" s="4273" t="s">
        <v>236</v>
      </c>
      <c r="E44" s="4273" t="s">
        <v>244</v>
      </c>
      <c r="F44" s="4273" t="s">
        <v>337</v>
      </c>
      <c r="G44" s="4338" t="s">
        <v>239</v>
      </c>
      <c r="H44" s="4273" t="s">
        <v>240</v>
      </c>
      <c r="I44" s="4273" t="s">
        <v>257</v>
      </c>
      <c r="J44" s="4330" t="s">
        <v>3734</v>
      </c>
      <c r="K44" s="4333" t="s">
        <v>338</v>
      </c>
      <c r="L44" s="4273" t="s">
        <v>369</v>
      </c>
      <c r="M44" s="4336">
        <v>0</v>
      </c>
      <c r="N44" s="4246">
        <v>1</v>
      </c>
      <c r="O44" s="4246">
        <v>1</v>
      </c>
      <c r="P44" s="4228" t="s">
        <v>3702</v>
      </c>
      <c r="Q44" s="4368" t="s">
        <v>3700</v>
      </c>
      <c r="R44" s="4322" t="s">
        <v>3709</v>
      </c>
      <c r="S44" s="1596"/>
      <c r="T44" s="1997"/>
      <c r="U44" s="1997"/>
      <c r="V44" s="1958"/>
      <c r="W44" s="1604"/>
      <c r="X44" s="178"/>
      <c r="Y44" s="1612"/>
      <c r="Z44" s="1612"/>
      <c r="AA44" s="1612"/>
      <c r="AB44" s="1613"/>
      <c r="AC44" s="178"/>
      <c r="AD44" s="181"/>
      <c r="AE44" s="181"/>
      <c r="AF44" s="4326"/>
    </row>
    <row r="45" spans="1:32" ht="33" customHeight="1">
      <c r="A45" s="4360"/>
      <c r="B45" s="4361"/>
      <c r="C45" s="4241"/>
      <c r="D45" s="4215"/>
      <c r="E45" s="4215"/>
      <c r="F45" s="4215"/>
      <c r="G45" s="4215"/>
      <c r="H45" s="4215"/>
      <c r="I45" s="4215"/>
      <c r="J45" s="4331"/>
      <c r="K45" s="4334"/>
      <c r="L45" s="4215"/>
      <c r="M45" s="4226"/>
      <c r="N45" s="4226"/>
      <c r="O45" s="4226"/>
      <c r="P45" s="4215"/>
      <c r="Q45" s="4215"/>
      <c r="R45" s="4233"/>
      <c r="S45" s="1769"/>
      <c r="T45" s="1770"/>
      <c r="U45" s="1770"/>
      <c r="V45" s="169"/>
      <c r="W45" s="1601"/>
      <c r="X45" s="170"/>
      <c r="Y45" s="1606"/>
      <c r="Z45" s="1606"/>
      <c r="AA45" s="1606"/>
      <c r="AB45" s="1607"/>
      <c r="AC45" s="170"/>
      <c r="AD45" s="282"/>
      <c r="AE45" s="282"/>
      <c r="AF45" s="4311"/>
    </row>
    <row r="46" spans="1:32" ht="33" customHeight="1">
      <c r="A46" s="4360"/>
      <c r="B46" s="4361"/>
      <c r="C46" s="4241"/>
      <c r="D46" s="4215"/>
      <c r="E46" s="4215"/>
      <c r="F46" s="4215"/>
      <c r="G46" s="4215"/>
      <c r="H46" s="4215"/>
      <c r="I46" s="4215"/>
      <c r="J46" s="4331"/>
      <c r="K46" s="4334"/>
      <c r="L46" s="4215"/>
      <c r="M46" s="4226"/>
      <c r="N46" s="4226"/>
      <c r="O46" s="4226"/>
      <c r="P46" s="4215"/>
      <c r="Q46" s="4215"/>
      <c r="R46" s="4233"/>
      <c r="S46" s="1769"/>
      <c r="T46" s="1770"/>
      <c r="U46" s="1770"/>
      <c r="V46" s="169"/>
      <c r="W46" s="1601"/>
      <c r="X46" s="170"/>
      <c r="Y46" s="1606"/>
      <c r="Z46" s="1606"/>
      <c r="AA46" s="1606"/>
      <c r="AB46" s="1607"/>
      <c r="AC46" s="170"/>
      <c r="AD46" s="282"/>
      <c r="AE46" s="282"/>
      <c r="AF46" s="4311"/>
    </row>
    <row r="47" spans="1:32" ht="33" customHeight="1">
      <c r="A47" s="4360"/>
      <c r="B47" s="4361"/>
      <c r="C47" s="4241"/>
      <c r="D47" s="4215"/>
      <c r="E47" s="4215"/>
      <c r="F47" s="4215"/>
      <c r="G47" s="4215"/>
      <c r="H47" s="4215"/>
      <c r="I47" s="4215"/>
      <c r="J47" s="4331"/>
      <c r="K47" s="4334"/>
      <c r="L47" s="4215"/>
      <c r="M47" s="4226"/>
      <c r="N47" s="4226"/>
      <c r="O47" s="4226"/>
      <c r="P47" s="4215"/>
      <c r="Q47" s="4215"/>
      <c r="R47" s="4233"/>
      <c r="S47" s="1593"/>
      <c r="T47" s="1768"/>
      <c r="U47" s="1768"/>
      <c r="V47" s="169"/>
      <c r="W47" s="1601"/>
      <c r="X47" s="170"/>
      <c r="Y47" s="1606"/>
      <c r="Z47" s="1606"/>
      <c r="AA47" s="1606"/>
      <c r="AB47" s="1607"/>
      <c r="AC47" s="170"/>
      <c r="AD47" s="282"/>
      <c r="AE47" s="282"/>
      <c r="AF47" s="4311"/>
    </row>
    <row r="48" spans="1:32" ht="33" customHeight="1">
      <c r="A48" s="4360"/>
      <c r="B48" s="4361"/>
      <c r="C48" s="4242"/>
      <c r="D48" s="4216"/>
      <c r="E48" s="4216"/>
      <c r="F48" s="4216"/>
      <c r="G48" s="4216"/>
      <c r="H48" s="4216"/>
      <c r="I48" s="4216"/>
      <c r="J48" s="4332"/>
      <c r="K48" s="4335"/>
      <c r="L48" s="4216"/>
      <c r="M48" s="4247"/>
      <c r="N48" s="4247"/>
      <c r="O48" s="4247"/>
      <c r="P48" s="4216"/>
      <c r="Q48" s="4216"/>
      <c r="R48" s="4258"/>
      <c r="S48" s="1595"/>
      <c r="T48" s="1994"/>
      <c r="U48" s="1994"/>
      <c r="V48" s="411"/>
      <c r="W48" s="1603"/>
      <c r="X48" s="165"/>
      <c r="Y48" s="1611"/>
      <c r="Z48" s="1611"/>
      <c r="AA48" s="1611"/>
      <c r="AB48" s="1609"/>
      <c r="AC48" s="165"/>
      <c r="AD48" s="166"/>
      <c r="AE48" s="166"/>
      <c r="AF48" s="4325"/>
    </row>
    <row r="49" spans="1:32" ht="30.75" customHeight="1">
      <c r="A49" s="4360"/>
      <c r="B49" s="4361"/>
      <c r="C49" s="4337" t="s">
        <v>235</v>
      </c>
      <c r="D49" s="4273" t="s">
        <v>236</v>
      </c>
      <c r="E49" s="4273" t="s">
        <v>237</v>
      </c>
      <c r="F49" s="4273" t="s">
        <v>370</v>
      </c>
      <c r="G49" s="4338" t="s">
        <v>239</v>
      </c>
      <c r="H49" s="4273" t="s">
        <v>240</v>
      </c>
      <c r="I49" s="4273" t="s">
        <v>257</v>
      </c>
      <c r="J49" s="4330" t="s">
        <v>3735</v>
      </c>
      <c r="K49" s="4333" t="s">
        <v>371</v>
      </c>
      <c r="L49" s="4228" t="s">
        <v>3772</v>
      </c>
      <c r="M49" s="4246">
        <v>3</v>
      </c>
      <c r="N49" s="4246">
        <v>3</v>
      </c>
      <c r="O49" s="4246">
        <v>2</v>
      </c>
      <c r="P49" s="4228" t="s">
        <v>3703</v>
      </c>
      <c r="Q49" s="4228" t="s">
        <v>3701</v>
      </c>
      <c r="R49" s="4322" t="s">
        <v>3710</v>
      </c>
      <c r="S49" s="1996"/>
      <c r="T49" s="1759"/>
      <c r="U49" s="1759"/>
      <c r="V49" s="176"/>
      <c r="W49" s="1602"/>
      <c r="X49" s="414"/>
      <c r="Y49" s="1608"/>
      <c r="Z49" s="1608"/>
      <c r="AA49" s="1608"/>
      <c r="AB49" s="1610"/>
      <c r="AC49" s="414"/>
      <c r="AD49" s="174"/>
      <c r="AE49" s="174"/>
      <c r="AF49" s="4310"/>
    </row>
    <row r="50" spans="1:32" ht="30.75" customHeight="1">
      <c r="A50" s="4360"/>
      <c r="B50" s="4361"/>
      <c r="C50" s="4241"/>
      <c r="D50" s="4215"/>
      <c r="E50" s="4215"/>
      <c r="F50" s="4215"/>
      <c r="G50" s="4215"/>
      <c r="H50" s="4215"/>
      <c r="I50" s="4215"/>
      <c r="J50" s="4331"/>
      <c r="K50" s="4334"/>
      <c r="L50" s="4215"/>
      <c r="M50" s="4226"/>
      <c r="N50" s="4226"/>
      <c r="O50" s="4226"/>
      <c r="P50" s="4215"/>
      <c r="Q50" s="4215"/>
      <c r="R50" s="4233"/>
      <c r="S50" s="1593"/>
      <c r="T50" s="1768"/>
      <c r="U50" s="1768"/>
      <c r="V50" s="169"/>
      <c r="W50" s="1601"/>
      <c r="X50" s="170"/>
      <c r="Y50" s="1606"/>
      <c r="Z50" s="1606"/>
      <c r="AA50" s="1606"/>
      <c r="AB50" s="1607"/>
      <c r="AC50" s="170"/>
      <c r="AD50" s="282"/>
      <c r="AE50" s="282"/>
      <c r="AF50" s="4311"/>
    </row>
    <row r="51" spans="1:32" ht="30.75" customHeight="1">
      <c r="A51" s="4360"/>
      <c r="B51" s="4361"/>
      <c r="C51" s="4241"/>
      <c r="D51" s="4215"/>
      <c r="E51" s="4215"/>
      <c r="F51" s="4215"/>
      <c r="G51" s="4215"/>
      <c r="H51" s="4215"/>
      <c r="I51" s="4215"/>
      <c r="J51" s="4331"/>
      <c r="K51" s="4334"/>
      <c r="L51" s="4215"/>
      <c r="M51" s="4226"/>
      <c r="N51" s="4226"/>
      <c r="O51" s="4226"/>
      <c r="P51" s="4215"/>
      <c r="Q51" s="4215"/>
      <c r="R51" s="4233"/>
      <c r="S51" s="1593"/>
      <c r="T51" s="1768"/>
      <c r="U51" s="1768"/>
      <c r="V51" s="169"/>
      <c r="W51" s="1601"/>
      <c r="X51" s="170"/>
      <c r="Y51" s="1606"/>
      <c r="Z51" s="1606"/>
      <c r="AA51" s="1606"/>
      <c r="AB51" s="1607"/>
      <c r="AC51" s="170"/>
      <c r="AD51" s="282"/>
      <c r="AE51" s="282"/>
      <c r="AF51" s="4311"/>
    </row>
    <row r="52" spans="1:32" ht="30.75" customHeight="1">
      <c r="A52" s="4360"/>
      <c r="B52" s="4361"/>
      <c r="C52" s="4241"/>
      <c r="D52" s="4215"/>
      <c r="E52" s="4215"/>
      <c r="F52" s="4215"/>
      <c r="G52" s="4215"/>
      <c r="H52" s="4215"/>
      <c r="I52" s="4215"/>
      <c r="J52" s="4331"/>
      <c r="K52" s="4334"/>
      <c r="L52" s="4215"/>
      <c r="M52" s="4226"/>
      <c r="N52" s="4226"/>
      <c r="O52" s="4226"/>
      <c r="P52" s="4215"/>
      <c r="Q52" s="4215"/>
      <c r="R52" s="4233"/>
      <c r="S52" s="1593"/>
      <c r="T52" s="1768"/>
      <c r="U52" s="1768"/>
      <c r="V52" s="169"/>
      <c r="W52" s="1601"/>
      <c r="X52" s="170"/>
      <c r="Y52" s="1606"/>
      <c r="Z52" s="1606"/>
      <c r="AA52" s="1606"/>
      <c r="AB52" s="1607"/>
      <c r="AC52" s="170"/>
      <c r="AD52" s="282"/>
      <c r="AE52" s="282"/>
      <c r="AF52" s="4311"/>
    </row>
    <row r="53" spans="1:32" ht="30.75" customHeight="1" thickBot="1">
      <c r="A53" s="4360"/>
      <c r="B53" s="4361"/>
      <c r="C53" s="4367"/>
      <c r="D53" s="4321"/>
      <c r="E53" s="4321"/>
      <c r="F53" s="4321"/>
      <c r="G53" s="4321"/>
      <c r="H53" s="4321"/>
      <c r="I53" s="4321"/>
      <c r="J53" s="4370"/>
      <c r="K53" s="4371"/>
      <c r="L53" s="4321"/>
      <c r="M53" s="4320"/>
      <c r="N53" s="4320"/>
      <c r="O53" s="4320"/>
      <c r="P53" s="4321"/>
      <c r="Q53" s="4321"/>
      <c r="R53" s="4323"/>
      <c r="S53" s="1597"/>
      <c r="T53" s="1998"/>
      <c r="U53" s="1998"/>
      <c r="V53" s="182"/>
      <c r="W53" s="1605"/>
      <c r="X53" s="183"/>
      <c r="Y53" s="1614"/>
      <c r="Z53" s="1614"/>
      <c r="AA53" s="1614"/>
      <c r="AB53" s="1615"/>
      <c r="AC53" s="183"/>
      <c r="AD53" s="184"/>
      <c r="AE53" s="184"/>
      <c r="AF53" s="4312"/>
    </row>
    <row r="54" spans="1:32" ht="22.5" customHeight="1" thickBot="1">
      <c r="A54" s="4362"/>
      <c r="B54" s="4363"/>
      <c r="C54" s="2170"/>
      <c r="D54" s="1999"/>
      <c r="E54" s="1999"/>
      <c r="F54" s="1999"/>
      <c r="G54" s="1999"/>
      <c r="H54" s="1999"/>
      <c r="I54" s="1999"/>
      <c r="J54" s="1999"/>
      <c r="K54" s="1999"/>
      <c r="L54" s="1999"/>
      <c r="M54" s="1999"/>
      <c r="N54" s="1999"/>
      <c r="O54" s="1999"/>
      <c r="P54" s="1999"/>
      <c r="Q54" s="1999"/>
      <c r="R54" s="1999"/>
      <c r="S54" s="4313" t="s">
        <v>3922</v>
      </c>
      <c r="T54" s="4314"/>
      <c r="U54" s="4314"/>
      <c r="V54" s="4314"/>
      <c r="W54" s="4314"/>
      <c r="X54" s="4314"/>
      <c r="Y54" s="4314"/>
      <c r="Z54" s="4314"/>
      <c r="AA54" s="2186" t="s">
        <v>340</v>
      </c>
      <c r="AB54" s="2178">
        <f>SUM(AB9:AB53)</f>
        <v>13675.200000000003</v>
      </c>
      <c r="AC54" s="4315"/>
      <c r="AD54" s="4316"/>
      <c r="AE54" s="4316"/>
      <c r="AF54" s="4317"/>
    </row>
    <row r="55" spans="1:32" ht="15" thickTop="1">
      <c r="A55" s="185"/>
      <c r="B55" s="186"/>
      <c r="C55" s="1901" t="s">
        <v>3901</v>
      </c>
      <c r="D55" s="185"/>
      <c r="E55" s="185"/>
      <c r="F55" s="185"/>
      <c r="G55" s="185"/>
      <c r="H55" s="185"/>
      <c r="I55" s="185"/>
      <c r="J55" s="185"/>
      <c r="K55" s="185"/>
      <c r="L55" s="187" t="s">
        <v>365</v>
      </c>
      <c r="M55" s="185"/>
      <c r="N55" s="185"/>
      <c r="O55" s="185"/>
      <c r="P55" s="185"/>
      <c r="Q55" s="185"/>
      <c r="R55" s="185"/>
      <c r="S55" s="4318" t="s">
        <v>3919</v>
      </c>
      <c r="T55" s="4319"/>
      <c r="U55" s="4319"/>
      <c r="V55" s="4319"/>
      <c r="W55" s="4319"/>
      <c r="X55" s="4319"/>
      <c r="Y55" s="4319"/>
      <c r="Z55" s="4319"/>
      <c r="AA55" s="4319"/>
      <c r="AB55" s="4319"/>
      <c r="AC55" s="4319"/>
      <c r="AD55" s="4319"/>
      <c r="AE55" s="4319"/>
      <c r="AF55" s="4319"/>
    </row>
    <row r="56" spans="1:32" s="1487" customFormat="1" ht="12.75">
      <c r="A56" s="187"/>
      <c r="B56" s="392"/>
      <c r="C56" s="1901" t="s">
        <v>3902</v>
      </c>
      <c r="D56" s="187"/>
      <c r="E56" s="187"/>
      <c r="F56" s="187"/>
      <c r="G56" s="187"/>
      <c r="H56" s="187"/>
      <c r="I56" s="187"/>
      <c r="J56" s="187"/>
      <c r="K56" s="187"/>
      <c r="L56" s="187"/>
      <c r="M56" s="187"/>
      <c r="N56" s="187"/>
      <c r="O56" s="187"/>
      <c r="P56" s="187"/>
      <c r="Q56" s="187"/>
      <c r="R56" s="187"/>
      <c r="S56" s="1488"/>
    </row>
    <row r="57" spans="1:32" ht="16.5" customHeight="1">
      <c r="A57" s="185"/>
      <c r="B57" s="186"/>
      <c r="D57" s="185"/>
      <c r="E57" s="185"/>
      <c r="F57" s="185"/>
      <c r="G57" s="185"/>
      <c r="H57" s="185"/>
      <c r="I57" s="185"/>
      <c r="J57" s="185"/>
      <c r="K57" s="185"/>
      <c r="L57" s="185"/>
      <c r="M57" s="185"/>
      <c r="N57" s="185"/>
      <c r="O57" s="185"/>
      <c r="P57" s="185"/>
      <c r="Q57" s="185"/>
      <c r="R57" s="185"/>
      <c r="S57" s="185"/>
      <c r="T57" s="185"/>
      <c r="U57" s="4222" t="s">
        <v>343</v>
      </c>
      <c r="V57" s="4223"/>
      <c r="W57" s="4223"/>
      <c r="X57" s="4223"/>
      <c r="Y57" s="4223"/>
      <c r="Z57" s="4223"/>
      <c r="AA57" s="188"/>
      <c r="AB57" s="185"/>
      <c r="AC57" s="185"/>
      <c r="AD57" s="185"/>
      <c r="AE57" s="185"/>
    </row>
    <row r="58" spans="1:32" ht="15" thickBot="1">
      <c r="A58" s="185"/>
      <c r="B58" s="185"/>
      <c r="C58" s="185"/>
      <c r="D58" s="185"/>
      <c r="E58" s="185"/>
      <c r="F58" s="185"/>
      <c r="G58" s="185"/>
      <c r="H58" s="185"/>
      <c r="I58" s="185"/>
      <c r="J58" s="185"/>
      <c r="K58" s="185"/>
      <c r="L58" s="185"/>
      <c r="M58" s="185"/>
      <c r="N58" s="185"/>
      <c r="O58" s="185"/>
      <c r="P58" s="185"/>
      <c r="Q58" s="185"/>
      <c r="R58" s="185"/>
      <c r="S58" s="185"/>
      <c r="T58" s="189"/>
      <c r="U58" s="190"/>
      <c r="V58" s="131"/>
      <c r="W58" s="131"/>
      <c r="X58" s="131"/>
      <c r="Y58" s="131"/>
      <c r="Z58" s="131"/>
      <c r="AA58" s="191"/>
      <c r="AB58" s="185"/>
      <c r="AC58" s="185"/>
      <c r="AD58" s="185"/>
      <c r="AE58" s="185"/>
    </row>
    <row r="59" spans="1:32" ht="16.5" customHeight="1">
      <c r="A59" s="185"/>
      <c r="B59" s="185"/>
      <c r="C59" s="185"/>
      <c r="D59" s="185"/>
      <c r="E59" s="185"/>
      <c r="F59" s="185"/>
      <c r="G59" s="185"/>
      <c r="H59" s="185"/>
      <c r="I59" s="185"/>
      <c r="J59" s="185"/>
      <c r="K59" s="185"/>
      <c r="L59" s="185"/>
      <c r="M59" s="185"/>
      <c r="N59" s="185"/>
      <c r="O59" s="185"/>
      <c r="P59" s="185"/>
      <c r="Q59" s="185"/>
      <c r="R59" s="185"/>
      <c r="S59" s="192"/>
      <c r="T59" s="192"/>
      <c r="U59" s="2238" t="s">
        <v>4</v>
      </c>
      <c r="V59" s="2239" t="s">
        <v>344</v>
      </c>
      <c r="W59" s="2240" t="s">
        <v>6</v>
      </c>
      <c r="X59" s="2241" t="s">
        <v>345</v>
      </c>
      <c r="Y59" s="2241" t="s">
        <v>8</v>
      </c>
      <c r="Z59" s="2242" t="s">
        <v>346</v>
      </c>
      <c r="AA59" s="193"/>
      <c r="AB59" s="185"/>
      <c r="AC59" s="185"/>
      <c r="AD59" s="185"/>
      <c r="AE59" s="185"/>
    </row>
    <row r="60" spans="1:32" ht="66">
      <c r="A60" s="185"/>
      <c r="B60" s="185"/>
      <c r="C60" s="185"/>
      <c r="D60" s="185"/>
      <c r="E60" s="185"/>
      <c r="F60" s="185"/>
      <c r="G60" s="185"/>
      <c r="H60" s="185"/>
      <c r="I60" s="185"/>
      <c r="J60" s="185"/>
      <c r="K60" s="185"/>
      <c r="L60" s="185"/>
      <c r="M60" s="185"/>
      <c r="N60" s="185"/>
      <c r="O60" s="185"/>
      <c r="P60" s="185"/>
      <c r="Q60" s="185"/>
      <c r="R60" s="185"/>
      <c r="S60" s="185"/>
      <c r="T60" s="185"/>
      <c r="U60" s="1617" t="s">
        <v>11</v>
      </c>
      <c r="V60" s="1618" t="s">
        <v>357</v>
      </c>
      <c r="W60" s="1616">
        <v>530204</v>
      </c>
      <c r="X60" s="137" t="s">
        <v>13</v>
      </c>
      <c r="Y60" s="1568" t="s">
        <v>14</v>
      </c>
      <c r="Z60" s="1619">
        <f>SUM($AA$15:$AA$16)</f>
        <v>3595.2000000000003</v>
      </c>
      <c r="AA60" s="194"/>
      <c r="AB60" s="185"/>
      <c r="AC60" s="185"/>
      <c r="AD60" s="185"/>
      <c r="AE60" s="185"/>
    </row>
    <row r="61" spans="1:32" ht="16.5">
      <c r="A61" s="185"/>
      <c r="B61" s="185"/>
      <c r="C61" s="185"/>
      <c r="D61" s="185"/>
      <c r="E61" s="185"/>
      <c r="F61" s="185"/>
      <c r="G61" s="185"/>
      <c r="H61" s="185"/>
      <c r="I61" s="185"/>
      <c r="J61" s="185"/>
      <c r="K61" s="185"/>
      <c r="L61" s="185"/>
      <c r="M61" s="185"/>
      <c r="N61" s="185"/>
      <c r="O61" s="185"/>
      <c r="P61" s="185"/>
      <c r="Q61" s="195"/>
      <c r="R61" s="196"/>
      <c r="S61" s="195"/>
      <c r="T61" s="197"/>
      <c r="U61" s="1617" t="s">
        <v>11</v>
      </c>
      <c r="V61" s="1618" t="s">
        <v>27</v>
      </c>
      <c r="W61" s="198">
        <v>530239</v>
      </c>
      <c r="X61" s="137" t="s">
        <v>13</v>
      </c>
      <c r="Y61" s="1568" t="s">
        <v>14</v>
      </c>
      <c r="Z61" s="1619">
        <f>SUM($AA$35:$AA$37)</f>
        <v>10080.000000000002</v>
      </c>
      <c r="AA61" s="199"/>
      <c r="AB61" s="185"/>
      <c r="AC61" s="185"/>
      <c r="AD61" s="185"/>
      <c r="AE61" s="185"/>
    </row>
    <row r="62" spans="1:32" ht="21" customHeight="1" thickBot="1">
      <c r="A62" s="185"/>
      <c r="B62" s="185"/>
      <c r="C62" s="185"/>
      <c r="D62" s="185"/>
      <c r="E62" s="185"/>
      <c r="F62" s="185"/>
      <c r="G62" s="185"/>
      <c r="H62" s="185"/>
      <c r="I62" s="185"/>
      <c r="J62" s="185"/>
      <c r="K62" s="185"/>
      <c r="L62" s="185"/>
      <c r="M62" s="185"/>
      <c r="N62" s="185"/>
      <c r="O62" s="185"/>
      <c r="P62" s="185"/>
      <c r="Q62" s="195"/>
      <c r="R62" s="196"/>
      <c r="S62" s="195"/>
      <c r="T62" s="197"/>
      <c r="U62" s="2243"/>
      <c r="V62" s="2245" t="s">
        <v>183</v>
      </c>
      <c r="W62" s="2244"/>
      <c r="X62" s="2244"/>
      <c r="Y62" s="2246" t="s">
        <v>340</v>
      </c>
      <c r="Z62" s="140">
        <f>SUM(Z60:Z61)</f>
        <v>13675.200000000003</v>
      </c>
      <c r="AA62" s="199"/>
      <c r="AB62" s="185"/>
      <c r="AC62" s="185"/>
      <c r="AD62" s="185"/>
      <c r="AE62" s="185"/>
    </row>
    <row r="63" spans="1:32" ht="16.5" customHeight="1" thickTop="1">
      <c r="A63" s="185"/>
      <c r="B63" s="185"/>
      <c r="C63" s="185"/>
      <c r="D63" s="185"/>
      <c r="E63" s="185"/>
      <c r="F63" s="185"/>
      <c r="G63" s="185"/>
      <c r="H63" s="185"/>
      <c r="I63" s="185"/>
      <c r="J63" s="185"/>
      <c r="K63" s="185"/>
      <c r="L63" s="185"/>
      <c r="M63" s="185"/>
      <c r="N63" s="185"/>
      <c r="O63" s="185"/>
      <c r="P63" s="185"/>
      <c r="Q63" s="185"/>
      <c r="R63" s="185"/>
      <c r="S63" s="185"/>
      <c r="T63" s="185"/>
      <c r="U63" s="190"/>
      <c r="V63" s="131"/>
      <c r="W63" s="142" t="s">
        <v>347</v>
      </c>
      <c r="X63" s="143"/>
      <c r="Y63" s="131"/>
      <c r="Z63" s="131"/>
      <c r="AA63" s="188"/>
      <c r="AB63" s="185"/>
      <c r="AC63" s="185"/>
      <c r="AD63" s="185"/>
      <c r="AE63" s="185"/>
    </row>
    <row r="64" spans="1:32" ht="16.5" customHeight="1">
      <c r="A64" s="185"/>
      <c r="B64" s="185"/>
      <c r="C64" s="185"/>
      <c r="D64" s="185"/>
      <c r="E64" s="185"/>
      <c r="F64" s="185"/>
      <c r="G64" s="185"/>
      <c r="H64" s="185"/>
      <c r="I64" s="185"/>
      <c r="J64" s="185"/>
      <c r="K64" s="185"/>
      <c r="L64" s="185"/>
      <c r="M64" s="185"/>
      <c r="N64" s="185"/>
      <c r="O64" s="185"/>
      <c r="P64" s="185"/>
      <c r="Q64" s="185"/>
      <c r="R64" s="185"/>
      <c r="S64" s="185"/>
      <c r="T64" s="185"/>
      <c r="U64" s="190"/>
      <c r="V64" s="131"/>
      <c r="W64" s="131"/>
      <c r="X64" s="131"/>
      <c r="Y64" s="131"/>
      <c r="Z64" s="131"/>
      <c r="AA64" s="185"/>
      <c r="AB64" s="185"/>
      <c r="AC64" s="185"/>
      <c r="AD64" s="185"/>
      <c r="AE64" s="185"/>
    </row>
    <row r="65" spans="1:31" ht="16.5" customHeight="1">
      <c r="A65" s="185"/>
      <c r="B65" s="185"/>
      <c r="C65" s="185"/>
      <c r="D65" s="185"/>
      <c r="E65" s="185"/>
      <c r="F65" s="185"/>
      <c r="G65" s="185"/>
      <c r="H65" s="185"/>
      <c r="I65" s="185"/>
      <c r="J65" s="185"/>
      <c r="K65" s="185"/>
      <c r="L65" s="185"/>
      <c r="M65" s="185"/>
      <c r="N65" s="185"/>
      <c r="O65" s="185"/>
      <c r="P65" s="185"/>
      <c r="Q65" s="185"/>
      <c r="R65" s="185"/>
      <c r="S65" s="185"/>
      <c r="T65" s="185"/>
      <c r="U65" s="4303" t="s">
        <v>348</v>
      </c>
      <c r="V65" s="4304"/>
      <c r="W65" s="4305"/>
      <c r="X65" s="131"/>
      <c r="Y65" s="144" t="s">
        <v>349</v>
      </c>
      <c r="Z65" s="145" t="str">
        <f>IF(Z62=AB54,"OK","NO")</f>
        <v>OK</v>
      </c>
      <c r="AA65" s="185"/>
      <c r="AB65" s="185"/>
      <c r="AC65" s="185"/>
      <c r="AD65" s="185"/>
      <c r="AE65" s="185"/>
    </row>
    <row r="66" spans="1:31" ht="16.5" customHeight="1">
      <c r="A66" s="185"/>
      <c r="B66" s="185"/>
      <c r="C66" s="185"/>
      <c r="D66" s="185"/>
      <c r="E66" s="185"/>
      <c r="F66" s="185"/>
      <c r="G66" s="185"/>
      <c r="H66" s="185"/>
      <c r="I66" s="185"/>
      <c r="J66" s="185"/>
      <c r="K66" s="185"/>
      <c r="L66" s="185"/>
      <c r="M66" s="185"/>
      <c r="N66" s="185"/>
      <c r="O66" s="185"/>
      <c r="P66" s="185"/>
      <c r="Q66" s="185"/>
      <c r="R66" s="185"/>
      <c r="S66" s="185"/>
      <c r="T66" s="185"/>
      <c r="U66" s="4306" t="s">
        <v>3680</v>
      </c>
      <c r="V66" s="4307"/>
      <c r="W66" s="516">
        <v>0</v>
      </c>
      <c r="X66" s="143"/>
      <c r="Y66" s="131"/>
      <c r="Z66" s="145" t="str">
        <f>IF(W70=AB54,"OK","NO")</f>
        <v>OK</v>
      </c>
      <c r="AA66" s="185"/>
      <c r="AB66" s="185"/>
      <c r="AC66" s="185"/>
      <c r="AD66" s="185"/>
      <c r="AE66" s="185"/>
    </row>
    <row r="67" spans="1:31" ht="16.5" customHeight="1">
      <c r="A67" s="185"/>
      <c r="B67" s="185"/>
      <c r="C67" s="185"/>
      <c r="D67" s="185"/>
      <c r="E67" s="185"/>
      <c r="F67" s="185"/>
      <c r="G67" s="185"/>
      <c r="H67" s="185"/>
      <c r="I67" s="185"/>
      <c r="J67" s="185"/>
      <c r="K67" s="185"/>
      <c r="L67" s="185"/>
      <c r="M67" s="185"/>
      <c r="N67" s="185"/>
      <c r="O67" s="185"/>
      <c r="P67" s="185"/>
      <c r="Q67" s="185"/>
      <c r="R67" s="185"/>
      <c r="S67" s="185"/>
      <c r="T67" s="185"/>
      <c r="U67" s="4308" t="s">
        <v>3681</v>
      </c>
      <c r="V67" s="4301"/>
      <c r="W67" s="515">
        <v>0</v>
      </c>
      <c r="X67" s="143"/>
      <c r="Y67" s="131"/>
      <c r="Z67" s="145" t="str">
        <f>IF(W80=AB54,"OK","NO")</f>
        <v>OK</v>
      </c>
      <c r="AA67" s="185"/>
      <c r="AB67" s="185"/>
      <c r="AC67" s="185"/>
      <c r="AD67" s="185"/>
      <c r="AE67" s="185"/>
    </row>
    <row r="68" spans="1:31" ht="16.5" customHeight="1">
      <c r="A68" s="185"/>
      <c r="B68" s="185"/>
      <c r="C68" s="185"/>
      <c r="D68" s="185"/>
      <c r="E68" s="185"/>
      <c r="F68" s="185"/>
      <c r="G68" s="185"/>
      <c r="H68" s="185"/>
      <c r="I68" s="185"/>
      <c r="J68" s="185"/>
      <c r="K68" s="185"/>
      <c r="L68" s="185"/>
      <c r="M68" s="185"/>
      <c r="N68" s="185"/>
      <c r="O68" s="185"/>
      <c r="P68" s="185"/>
      <c r="Q68" s="185"/>
      <c r="R68" s="185"/>
      <c r="S68" s="185"/>
      <c r="T68" s="185"/>
      <c r="U68" s="4308" t="s">
        <v>3682</v>
      </c>
      <c r="V68" s="4301"/>
      <c r="W68" s="515">
        <f>SUM(Z60,Z61)</f>
        <v>13675.200000000003</v>
      </c>
      <c r="X68" s="143"/>
      <c r="Y68" s="143"/>
      <c r="Z68" s="145" t="str">
        <f>IF(Resumen!C346=AB54,"OK","NO")</f>
        <v>OK</v>
      </c>
      <c r="AA68" s="185"/>
      <c r="AB68" s="185"/>
      <c r="AC68" s="185"/>
      <c r="AD68" s="185"/>
      <c r="AE68" s="185"/>
    </row>
    <row r="69" spans="1:31" ht="16.5" customHeight="1">
      <c r="A69" s="185"/>
      <c r="B69" s="185"/>
      <c r="C69" s="185"/>
      <c r="D69" s="185"/>
      <c r="E69" s="185"/>
      <c r="F69" s="185"/>
      <c r="G69" s="185"/>
      <c r="H69" s="185"/>
      <c r="I69" s="185"/>
      <c r="J69" s="185"/>
      <c r="K69" s="185"/>
      <c r="L69" s="185"/>
      <c r="M69" s="185"/>
      <c r="N69" s="185"/>
      <c r="O69" s="185"/>
      <c r="P69" s="185"/>
      <c r="Q69" s="185"/>
      <c r="R69" s="185"/>
      <c r="S69" s="185"/>
      <c r="T69" s="185"/>
      <c r="U69" s="4308" t="s">
        <v>3683</v>
      </c>
      <c r="V69" s="4301"/>
      <c r="W69" s="517">
        <v>0</v>
      </c>
      <c r="X69" s="143"/>
      <c r="Y69" s="143"/>
      <c r="Z69" s="131"/>
      <c r="AA69" s="185"/>
      <c r="AB69" s="185"/>
      <c r="AC69" s="185"/>
      <c r="AD69" s="185"/>
      <c r="AE69" s="185"/>
    </row>
    <row r="70" spans="1:31" ht="16.5" customHeight="1">
      <c r="A70" s="185"/>
      <c r="B70" s="185"/>
      <c r="C70" s="185"/>
      <c r="D70" s="185"/>
      <c r="E70" s="185"/>
      <c r="F70" s="185"/>
      <c r="G70" s="185"/>
      <c r="H70" s="185"/>
      <c r="I70" s="185"/>
      <c r="J70" s="185"/>
      <c r="K70" s="185"/>
      <c r="L70" s="185"/>
      <c r="M70" s="185"/>
      <c r="N70" s="185"/>
      <c r="O70" s="185"/>
      <c r="P70" s="185"/>
      <c r="Q70" s="185"/>
      <c r="R70" s="185"/>
      <c r="S70" s="185"/>
      <c r="T70" s="185"/>
      <c r="U70" s="4309" t="s">
        <v>183</v>
      </c>
      <c r="V70" s="4201"/>
      <c r="W70" s="1620">
        <f>SUM(W66:W69)</f>
        <v>13675.200000000003</v>
      </c>
      <c r="X70" s="143"/>
      <c r="Y70" s="143"/>
      <c r="Z70" s="131"/>
      <c r="AA70" s="185"/>
      <c r="AB70" s="185"/>
      <c r="AC70" s="185"/>
      <c r="AD70" s="185"/>
      <c r="AE70" s="185"/>
    </row>
    <row r="71" spans="1:31" ht="16.5" customHeight="1">
      <c r="A71" s="185"/>
      <c r="B71" s="185"/>
      <c r="C71" s="185"/>
      <c r="D71" s="185"/>
      <c r="E71" s="185"/>
      <c r="F71" s="185"/>
      <c r="G71" s="185"/>
      <c r="H71" s="185"/>
      <c r="I71" s="185"/>
      <c r="J71" s="185"/>
      <c r="K71" s="185"/>
      <c r="L71" s="185"/>
      <c r="M71" s="185"/>
      <c r="N71" s="185"/>
      <c r="O71" s="185"/>
      <c r="P71" s="185"/>
      <c r="Q71" s="185"/>
      <c r="R71" s="185"/>
      <c r="S71" s="185"/>
      <c r="T71" s="185"/>
      <c r="U71" s="4297" t="s">
        <v>350</v>
      </c>
      <c r="V71" s="4298"/>
      <c r="W71" s="4299"/>
      <c r="X71" s="147"/>
      <c r="Y71" s="147"/>
      <c r="Z71" s="131"/>
      <c r="AA71" s="185"/>
      <c r="AB71" s="185"/>
      <c r="AC71" s="185"/>
      <c r="AD71" s="185"/>
      <c r="AE71" s="185"/>
    </row>
    <row r="72" spans="1:31" ht="16.5" customHeight="1">
      <c r="A72" s="185"/>
      <c r="B72" s="185"/>
      <c r="C72" s="185"/>
      <c r="D72" s="185"/>
      <c r="E72" s="185"/>
      <c r="F72" s="185"/>
      <c r="G72" s="185"/>
      <c r="H72" s="185"/>
      <c r="I72" s="185"/>
      <c r="J72" s="185"/>
      <c r="K72" s="185"/>
      <c r="L72" s="185"/>
      <c r="M72" s="185"/>
      <c r="N72" s="185"/>
      <c r="O72" s="185"/>
      <c r="P72" s="185"/>
      <c r="Q72" s="185"/>
      <c r="R72" s="185"/>
      <c r="S72" s="185"/>
      <c r="T72" s="185"/>
      <c r="U72" s="4300" t="s">
        <v>3684</v>
      </c>
      <c r="V72" s="4301"/>
      <c r="W72" s="515">
        <v>0</v>
      </c>
      <c r="X72" s="147"/>
      <c r="Y72" s="147"/>
      <c r="Z72" s="131"/>
      <c r="AA72" s="185"/>
      <c r="AB72" s="185"/>
      <c r="AC72" s="185"/>
      <c r="AD72" s="185"/>
      <c r="AE72" s="185"/>
    </row>
    <row r="73" spans="1:31" ht="16.5" customHeight="1">
      <c r="A73" s="185"/>
      <c r="B73" s="185"/>
      <c r="C73" s="185"/>
      <c r="D73" s="185"/>
      <c r="E73" s="185"/>
      <c r="F73" s="185"/>
      <c r="G73" s="185"/>
      <c r="H73" s="185"/>
      <c r="I73" s="185"/>
      <c r="J73" s="185"/>
      <c r="K73" s="185"/>
      <c r="L73" s="185"/>
      <c r="M73" s="185"/>
      <c r="N73" s="185"/>
      <c r="O73" s="185"/>
      <c r="P73" s="185"/>
      <c r="Q73" s="185"/>
      <c r="R73" s="185"/>
      <c r="S73" s="185"/>
      <c r="T73" s="185"/>
      <c r="U73" s="4302" t="s">
        <v>3685</v>
      </c>
      <c r="V73" s="4301"/>
      <c r="W73" s="515">
        <f t="shared" ref="W73:W74" si="3">SUM(Z60)</f>
        <v>3595.2000000000003</v>
      </c>
      <c r="X73" s="147"/>
      <c r="Y73" s="147"/>
      <c r="Z73" s="131"/>
      <c r="AA73" s="185"/>
      <c r="AB73" s="185"/>
      <c r="AC73" s="185"/>
      <c r="AD73" s="185"/>
      <c r="AE73" s="185"/>
    </row>
    <row r="74" spans="1:31" ht="16.5" customHeight="1">
      <c r="A74" s="185"/>
      <c r="B74" s="185"/>
      <c r="C74" s="185"/>
      <c r="D74" s="185"/>
      <c r="E74" s="185"/>
      <c r="F74" s="185"/>
      <c r="G74" s="185"/>
      <c r="H74" s="185"/>
      <c r="I74" s="185"/>
      <c r="J74" s="185"/>
      <c r="K74" s="185"/>
      <c r="L74" s="185"/>
      <c r="M74" s="185"/>
      <c r="N74" s="185"/>
      <c r="O74" s="185"/>
      <c r="P74" s="185"/>
      <c r="Q74" s="185"/>
      <c r="R74" s="185"/>
      <c r="S74" s="185"/>
      <c r="T74" s="185"/>
      <c r="U74" s="4302" t="s">
        <v>3686</v>
      </c>
      <c r="V74" s="4301"/>
      <c r="W74" s="515">
        <f t="shared" si="3"/>
        <v>10080.000000000002</v>
      </c>
      <c r="X74" s="150"/>
      <c r="Y74" s="150"/>
      <c r="Z74" s="131"/>
      <c r="AA74" s="185"/>
      <c r="AB74" s="185"/>
      <c r="AC74" s="185"/>
      <c r="AD74" s="185"/>
      <c r="AE74" s="185"/>
    </row>
    <row r="75" spans="1:31" ht="16.5" customHeight="1">
      <c r="A75" s="185"/>
      <c r="B75" s="185"/>
      <c r="C75" s="185"/>
      <c r="D75" s="185"/>
      <c r="E75" s="185"/>
      <c r="F75" s="185"/>
      <c r="G75" s="185"/>
      <c r="H75" s="185"/>
      <c r="I75" s="185"/>
      <c r="J75" s="185"/>
      <c r="K75" s="185"/>
      <c r="L75" s="185"/>
      <c r="M75" s="185"/>
      <c r="N75" s="185"/>
      <c r="O75" s="185"/>
      <c r="P75" s="185"/>
      <c r="Q75" s="185"/>
      <c r="R75" s="185"/>
      <c r="S75" s="185"/>
      <c r="T75" s="185"/>
      <c r="U75" s="4302" t="s">
        <v>3687</v>
      </c>
      <c r="V75" s="4301"/>
      <c r="W75" s="515">
        <v>0</v>
      </c>
      <c r="X75" s="143"/>
      <c r="Y75" s="143"/>
      <c r="Z75" s="131"/>
      <c r="AA75" s="185"/>
      <c r="AB75" s="185"/>
      <c r="AC75" s="185"/>
      <c r="AD75" s="185"/>
      <c r="AE75" s="185"/>
    </row>
    <row r="76" spans="1:31" ht="16.5" customHeight="1">
      <c r="A76" s="185"/>
      <c r="B76" s="185"/>
      <c r="C76" s="185"/>
      <c r="D76" s="185"/>
      <c r="E76" s="185"/>
      <c r="F76" s="185"/>
      <c r="G76" s="185"/>
      <c r="H76" s="185"/>
      <c r="I76" s="185"/>
      <c r="J76" s="185"/>
      <c r="K76" s="185"/>
      <c r="L76" s="185"/>
      <c r="M76" s="185"/>
      <c r="N76" s="185"/>
      <c r="O76" s="185"/>
      <c r="P76" s="185"/>
      <c r="Q76" s="185"/>
      <c r="R76" s="185"/>
      <c r="S76" s="185"/>
      <c r="T76" s="185"/>
      <c r="U76" s="4302" t="s">
        <v>3688</v>
      </c>
      <c r="V76" s="4301"/>
      <c r="W76" s="515">
        <v>0</v>
      </c>
      <c r="X76" s="151"/>
      <c r="Y76" s="151"/>
      <c r="Z76" s="131"/>
      <c r="AA76" s="185"/>
      <c r="AB76" s="185"/>
      <c r="AC76" s="185"/>
      <c r="AD76" s="185"/>
      <c r="AE76" s="185"/>
    </row>
    <row r="77" spans="1:31" ht="16.5" customHeight="1">
      <c r="A77" s="185"/>
      <c r="B77" s="185"/>
      <c r="C77" s="185"/>
      <c r="D77" s="185"/>
      <c r="E77" s="185"/>
      <c r="F77" s="185"/>
      <c r="G77" s="185"/>
      <c r="H77" s="185"/>
      <c r="I77" s="185"/>
      <c r="J77" s="185"/>
      <c r="K77" s="185"/>
      <c r="L77" s="185"/>
      <c r="M77" s="185"/>
      <c r="N77" s="185"/>
      <c r="O77" s="185"/>
      <c r="P77" s="185"/>
      <c r="Q77" s="185"/>
      <c r="R77" s="185"/>
      <c r="S77" s="185"/>
      <c r="T77" s="185"/>
      <c r="U77" s="4302" t="s">
        <v>3689</v>
      </c>
      <c r="V77" s="4301"/>
      <c r="W77" s="515">
        <v>0</v>
      </c>
      <c r="X77" s="151"/>
      <c r="Y77" s="151"/>
      <c r="Z77" s="131"/>
      <c r="AA77" s="185"/>
      <c r="AB77" s="185"/>
      <c r="AC77" s="185"/>
      <c r="AD77" s="185"/>
      <c r="AE77" s="185"/>
    </row>
    <row r="78" spans="1:31" ht="16.5" customHeight="1">
      <c r="A78" s="185"/>
      <c r="B78" s="185"/>
      <c r="C78" s="185"/>
      <c r="D78" s="185"/>
      <c r="E78" s="185"/>
      <c r="F78" s="185"/>
      <c r="G78" s="185"/>
      <c r="H78" s="185"/>
      <c r="I78" s="185"/>
      <c r="J78" s="185"/>
      <c r="K78" s="185"/>
      <c r="L78" s="185"/>
      <c r="M78" s="185"/>
      <c r="N78" s="185"/>
      <c r="O78" s="185"/>
      <c r="P78" s="185"/>
      <c r="Q78" s="185"/>
      <c r="R78" s="185"/>
      <c r="S78" s="185"/>
      <c r="T78" s="185"/>
      <c r="U78" s="4302" t="s">
        <v>3690</v>
      </c>
      <c r="V78" s="4301"/>
      <c r="W78" s="515">
        <v>0</v>
      </c>
      <c r="X78" s="151"/>
      <c r="Y78" s="151"/>
      <c r="Z78" s="131"/>
      <c r="AA78" s="185"/>
      <c r="AB78" s="185"/>
      <c r="AC78" s="185"/>
      <c r="AD78" s="185"/>
      <c r="AE78" s="185"/>
    </row>
    <row r="79" spans="1:31" ht="16.5" customHeight="1">
      <c r="A79" s="185"/>
      <c r="B79" s="185"/>
      <c r="C79" s="185"/>
      <c r="D79" s="185"/>
      <c r="E79" s="185"/>
      <c r="F79" s="185"/>
      <c r="G79" s="185"/>
      <c r="H79" s="185"/>
      <c r="I79" s="185"/>
      <c r="J79" s="185"/>
      <c r="K79" s="185"/>
      <c r="L79" s="185"/>
      <c r="M79" s="185"/>
      <c r="N79" s="185"/>
      <c r="O79" s="185"/>
      <c r="P79" s="185"/>
      <c r="Q79" s="185"/>
      <c r="R79" s="185"/>
      <c r="S79" s="185"/>
      <c r="T79" s="185"/>
      <c r="U79" s="4302" t="s">
        <v>3691</v>
      </c>
      <c r="V79" s="4301"/>
      <c r="W79" s="517">
        <v>0</v>
      </c>
      <c r="X79" s="152"/>
      <c r="Y79" s="152"/>
      <c r="Z79" s="131"/>
      <c r="AA79" s="185"/>
      <c r="AB79" s="185"/>
      <c r="AC79" s="185"/>
      <c r="AD79" s="185"/>
      <c r="AE79" s="185"/>
    </row>
    <row r="80" spans="1:31" ht="16.5" customHeight="1">
      <c r="A80" s="185"/>
      <c r="B80" s="185"/>
      <c r="C80" s="185"/>
      <c r="D80" s="185"/>
      <c r="E80" s="185"/>
      <c r="F80" s="185"/>
      <c r="G80" s="185"/>
      <c r="H80" s="185"/>
      <c r="I80" s="185"/>
      <c r="J80" s="185"/>
      <c r="K80" s="185"/>
      <c r="L80" s="185"/>
      <c r="M80" s="185"/>
      <c r="N80" s="185"/>
      <c r="O80" s="185"/>
      <c r="P80" s="185"/>
      <c r="Q80" s="185"/>
      <c r="R80" s="185"/>
      <c r="S80" s="185"/>
      <c r="T80" s="185"/>
      <c r="U80" s="4295" t="s">
        <v>183</v>
      </c>
      <c r="V80" s="4296"/>
      <c r="W80" s="1572">
        <f>SUM(W72:W79)</f>
        <v>13675.200000000003</v>
      </c>
      <c r="X80" s="150"/>
      <c r="Y80" s="150"/>
      <c r="Z80" s="131"/>
      <c r="AA80" s="185"/>
      <c r="AB80" s="185"/>
      <c r="AC80" s="185"/>
      <c r="AD80" s="185"/>
      <c r="AE80" s="185"/>
    </row>
  </sheetData>
  <mergeCells count="201">
    <mergeCell ref="D24:D28"/>
    <mergeCell ref="E24:E28"/>
    <mergeCell ref="F24:F28"/>
    <mergeCell ref="G24:G28"/>
    <mergeCell ref="H24:H28"/>
    <mergeCell ref="I24:I28"/>
    <mergeCell ref="Q24:Q28"/>
    <mergeCell ref="R24:R28"/>
    <mergeCell ref="J24:J28"/>
    <mergeCell ref="K24:K28"/>
    <mergeCell ref="L24:L28"/>
    <mergeCell ref="M24:M28"/>
    <mergeCell ref="N24:N28"/>
    <mergeCell ref="O24:O28"/>
    <mergeCell ref="P24:P28"/>
    <mergeCell ref="L34:L38"/>
    <mergeCell ref="M34:M38"/>
    <mergeCell ref="N34:N38"/>
    <mergeCell ref="O34:O38"/>
    <mergeCell ref="P34:P38"/>
    <mergeCell ref="Q34:Q38"/>
    <mergeCell ref="R34:R38"/>
    <mergeCell ref="J29:J33"/>
    <mergeCell ref="K29:K33"/>
    <mergeCell ref="L29:L33"/>
    <mergeCell ref="M29:M33"/>
    <mergeCell ref="N29:N33"/>
    <mergeCell ref="O29:O33"/>
    <mergeCell ref="P29:P33"/>
    <mergeCell ref="Q29:Q33"/>
    <mergeCell ref="R29:R33"/>
    <mergeCell ref="G49:G53"/>
    <mergeCell ref="Q44:Q48"/>
    <mergeCell ref="R44:R48"/>
    <mergeCell ref="C39:C43"/>
    <mergeCell ref="D39:D43"/>
    <mergeCell ref="E39:E43"/>
    <mergeCell ref="F39:F43"/>
    <mergeCell ref="G39:G43"/>
    <mergeCell ref="H39:H43"/>
    <mergeCell ref="I39:I43"/>
    <mergeCell ref="Q39:Q43"/>
    <mergeCell ref="R39:R43"/>
    <mergeCell ref="J39:J43"/>
    <mergeCell ref="K39:K43"/>
    <mergeCell ref="L39:L43"/>
    <mergeCell ref="M39:M43"/>
    <mergeCell ref="N39:N43"/>
    <mergeCell ref="O39:O43"/>
    <mergeCell ref="P39:P43"/>
    <mergeCell ref="H49:H53"/>
    <mergeCell ref="I49:I53"/>
    <mergeCell ref="J49:J53"/>
    <mergeCell ref="K49:K53"/>
    <mergeCell ref="A1:AF1"/>
    <mergeCell ref="A2:AF2"/>
    <mergeCell ref="A3:AF3"/>
    <mergeCell ref="A4:AF4"/>
    <mergeCell ref="A9:B54"/>
    <mergeCell ref="C9:C13"/>
    <mergeCell ref="D9:D13"/>
    <mergeCell ref="C14:C18"/>
    <mergeCell ref="D14:D18"/>
    <mergeCell ref="L49:L53"/>
    <mergeCell ref="M49:M53"/>
    <mergeCell ref="L14:L18"/>
    <mergeCell ref="M14:M18"/>
    <mergeCell ref="E9:E13"/>
    <mergeCell ref="F9:F13"/>
    <mergeCell ref="G9:G13"/>
    <mergeCell ref="H9:H13"/>
    <mergeCell ref="I9:I13"/>
    <mergeCell ref="J34:J38"/>
    <mergeCell ref="K34:K38"/>
    <mergeCell ref="C49:C53"/>
    <mergeCell ref="D49:D53"/>
    <mergeCell ref="E49:E53"/>
    <mergeCell ref="F49:F53"/>
    <mergeCell ref="Q9:Q13"/>
    <mergeCell ref="R9:R13"/>
    <mergeCell ref="AF9:AF13"/>
    <mergeCell ref="J9:J13"/>
    <mergeCell ref="K9:K13"/>
    <mergeCell ref="L9:L13"/>
    <mergeCell ref="M9:M13"/>
    <mergeCell ref="N9:N13"/>
    <mergeCell ref="O9:O13"/>
    <mergeCell ref="P9:P13"/>
    <mergeCell ref="AF14:AF18"/>
    <mergeCell ref="E14:E18"/>
    <mergeCell ref="F14:F18"/>
    <mergeCell ref="G14:G18"/>
    <mergeCell ref="H14:H18"/>
    <mergeCell ref="I14:I18"/>
    <mergeCell ref="J14:J18"/>
    <mergeCell ref="K14:K18"/>
    <mergeCell ref="J19:J23"/>
    <mergeCell ref="K19:K23"/>
    <mergeCell ref="AF19:AF23"/>
    <mergeCell ref="N14:N18"/>
    <mergeCell ref="O14:O18"/>
    <mergeCell ref="P14:P18"/>
    <mergeCell ref="Q14:Q18"/>
    <mergeCell ref="R14:R18"/>
    <mergeCell ref="AF24:AF28"/>
    <mergeCell ref="AF29:AF33"/>
    <mergeCell ref="C19:C23"/>
    <mergeCell ref="D19:D23"/>
    <mergeCell ref="E19:E23"/>
    <mergeCell ref="F19:F23"/>
    <mergeCell ref="G19:G23"/>
    <mergeCell ref="H19:H23"/>
    <mergeCell ref="I19:I23"/>
    <mergeCell ref="Q19:Q23"/>
    <mergeCell ref="R19:R23"/>
    <mergeCell ref="L19:L23"/>
    <mergeCell ref="M19:M23"/>
    <mergeCell ref="N19:N23"/>
    <mergeCell ref="O19:O23"/>
    <mergeCell ref="P19:P23"/>
    <mergeCell ref="C29:C33"/>
    <mergeCell ref="D29:D33"/>
    <mergeCell ref="E29:E33"/>
    <mergeCell ref="F29:F33"/>
    <mergeCell ref="G29:G33"/>
    <mergeCell ref="H29:H33"/>
    <mergeCell ref="I29:I33"/>
    <mergeCell ref="C24:C28"/>
    <mergeCell ref="AF34:AF38"/>
    <mergeCell ref="AF39:AF43"/>
    <mergeCell ref="AF44:AF48"/>
    <mergeCell ref="C34:C38"/>
    <mergeCell ref="D34:D38"/>
    <mergeCell ref="E34:E38"/>
    <mergeCell ref="F34:F38"/>
    <mergeCell ref="G34:G38"/>
    <mergeCell ref="H34:H38"/>
    <mergeCell ref="I34:I38"/>
    <mergeCell ref="J44:J48"/>
    <mergeCell ref="K44:K48"/>
    <mergeCell ref="L44:L48"/>
    <mergeCell ref="M44:M48"/>
    <mergeCell ref="N44:N48"/>
    <mergeCell ref="O44:O48"/>
    <mergeCell ref="P44:P48"/>
    <mergeCell ref="C44:C48"/>
    <mergeCell ref="D44:D48"/>
    <mergeCell ref="E44:E48"/>
    <mergeCell ref="F44:F48"/>
    <mergeCell ref="G44:G48"/>
    <mergeCell ref="H44:H48"/>
    <mergeCell ref="I44:I48"/>
    <mergeCell ref="AF49:AF53"/>
    <mergeCell ref="S54:Z54"/>
    <mergeCell ref="AC54:AF54"/>
    <mergeCell ref="S55:AF55"/>
    <mergeCell ref="U57:Z57"/>
    <mergeCell ref="N49:N53"/>
    <mergeCell ref="O49:O53"/>
    <mergeCell ref="P49:P53"/>
    <mergeCell ref="Q49:Q53"/>
    <mergeCell ref="R49:R53"/>
    <mergeCell ref="U80:V80"/>
    <mergeCell ref="U71:W71"/>
    <mergeCell ref="U72:V72"/>
    <mergeCell ref="U73:V73"/>
    <mergeCell ref="U74:V74"/>
    <mergeCell ref="U75:V75"/>
    <mergeCell ref="U76:V76"/>
    <mergeCell ref="U77:V77"/>
    <mergeCell ref="U65:W65"/>
    <mergeCell ref="U66:V66"/>
    <mergeCell ref="U67:V67"/>
    <mergeCell ref="U68:V68"/>
    <mergeCell ref="U69:V69"/>
    <mergeCell ref="U70:V70"/>
    <mergeCell ref="U78:V78"/>
    <mergeCell ref="U79:V79"/>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3">
    <dataValidation type="list" allowBlank="1" showErrorMessage="1" sqref="F9 F14 F19 F24 F29 F34 F39 F44 F49">
      <formula1>INDIRECT($E9)</formula1>
    </dataValidation>
    <dataValidation type="list" allowBlank="1" showErrorMessage="1" sqref="E9 E14 E19 E24 E29 E34 E39 E44 E49">
      <formula1>INDIRECT($G9)</formula1>
    </dataValidation>
    <dataValidation type="decimal" allowBlank="1" showInputMessage="1" showErrorMessage="1" prompt="DPLAN - Sólo debe ingresar valores, NO porcentajes." sqref="M14:O14 M19:O19 M24:O24 M29:O29 M39:O39 M44:O44 M49:O49">
      <formula1>0</formula1>
      <formula2>1000000</formula2>
    </dataValidation>
  </dataValidations>
  <printOptions horizontalCentered="1"/>
  <pageMargins left="0" right="0" top="0.78740157480314965" bottom="0.35433070866141736" header="0" footer="0"/>
  <pageSetup paperSize="9" scale="26" fitToHeight="0" pageOrder="overThenDown" orientation="landscape" r:id="rId1"/>
  <headerFooter>
    <oddHeader>&amp;L&amp;"Britannic Bold,Normal"&amp;12&amp;K002060Plan Operativo Anual 2023&amp;"-,Normal"&amp;10&amp;K000000
&amp;"Cambria,Cursiva"&amp;12&amp;K0070C0Administración Central&amp;C&amp;"Century Schoolbook,Normal"&amp;12&amp;K002060&amp;P</oddHeader>
  </headerFooter>
  <ignoredErrors>
    <ignoredError sqref="X60:Y61" numberStoredAsText="1"/>
  </ignoredErrors>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C14:D14 C19:D19 C24:D24 C29:D29 C34:D34 C39:D39 C44:D44 C49:D49</xm:sqref>
        </x14:dataValidation>
        <x14:dataValidation type="list" allowBlank="1" showErrorMessage="1">
          <x14:formula1>
            <xm:f>(PEDI!#REF!)</xm:f>
          </x14:formula1>
          <xm:sqref>H9 H14 H19 H24 H29 H34 H39 H44 H49</xm:sqref>
        </x14:dataValidation>
        <x14:dataValidation type="list" allowBlank="1" showErrorMessage="1">
          <x14:formula1>
            <xm:f>PEDI!#REF!</xm:f>
          </x14:formula1>
          <xm:sqref>G9 G14 G19 G24 G29 G34 G39 G44 G49</xm:sqref>
        </x14:dataValidation>
        <x14:dataValidation type="list" allowBlank="1" showErrorMessage="1">
          <x14:formula1>
            <xm:f>INDIRECT('Estrategias DAFO'!#REF!)</xm:f>
          </x14:formula1>
          <xm:sqref>I9 I14 I19 I24 I29 I34 I39 I44 I49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pageSetUpPr fitToPage="1"/>
  </sheetPr>
  <dimension ref="A1:AF89"/>
  <sheetViews>
    <sheetView showGridLines="0" topLeftCell="R56" workbookViewId="0">
      <selection activeCell="Z77" sqref="Z77"/>
    </sheetView>
  </sheetViews>
  <sheetFormatPr baseColWidth="10" defaultColWidth="12.5703125" defaultRowHeight="15.75" customHeight="1"/>
  <cols>
    <col min="1" max="2" width="5" customWidth="1"/>
    <col min="3" max="11" width="22.42578125" customWidth="1"/>
    <col min="12" max="12" width="26.140625" customWidth="1"/>
    <col min="13" max="15" width="8.7109375" customWidth="1"/>
    <col min="16" max="18" width="22.42578125" customWidth="1"/>
    <col min="19" max="19" width="22.7109375" customWidth="1"/>
    <col min="20" max="20" width="13.85546875" customWidth="1"/>
    <col min="21" max="21" width="26.28515625" customWidth="1"/>
    <col min="22" max="22" width="44.85546875" customWidth="1"/>
    <col min="23" max="23" width="13.140625" customWidth="1"/>
    <col min="24" max="24" width="13.7109375" customWidth="1"/>
    <col min="25" max="25" width="12" customWidth="1"/>
    <col min="26" max="26" width="13.42578125" customWidth="1"/>
    <col min="27" max="27" width="12" customWidth="1"/>
    <col min="28" max="28" width="13.28515625" customWidth="1"/>
    <col min="29" max="31" width="7.7109375" customWidth="1"/>
    <col min="32" max="32" width="19.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254" t="s">
        <v>372</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68"/>
      <c r="B5" s="68"/>
      <c r="C5" s="68"/>
      <c r="D5" s="68"/>
      <c r="E5" s="68"/>
      <c r="F5" s="68"/>
      <c r="G5" s="68"/>
      <c r="H5" s="68"/>
      <c r="I5" s="68"/>
      <c r="J5" s="68"/>
      <c r="K5" s="68"/>
      <c r="L5" s="68"/>
      <c r="M5" s="68"/>
      <c r="N5" s="68"/>
      <c r="O5" s="68"/>
      <c r="P5" s="68"/>
      <c r="Q5" s="68"/>
      <c r="R5" s="68"/>
      <c r="S5" s="68"/>
      <c r="T5" s="153"/>
      <c r="U5" s="68"/>
      <c r="V5" s="68"/>
      <c r="W5" s="68"/>
      <c r="X5" s="68"/>
      <c r="Y5" s="68"/>
      <c r="Z5" s="68"/>
      <c r="AA5" s="68"/>
      <c r="AB5" s="68"/>
      <c r="AC5" s="68"/>
      <c r="AD5" s="68"/>
      <c r="AE5" s="68"/>
      <c r="AF5" s="200"/>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18" customHeight="1">
      <c r="A9" s="4358" t="s">
        <v>372</v>
      </c>
      <c r="B9" s="4407" t="s">
        <v>372</v>
      </c>
      <c r="C9" s="4417" t="s">
        <v>235</v>
      </c>
      <c r="D9" s="4410" t="s">
        <v>236</v>
      </c>
      <c r="E9" s="4410" t="s">
        <v>237</v>
      </c>
      <c r="F9" s="4410" t="s">
        <v>373</v>
      </c>
      <c r="G9" s="4427" t="s">
        <v>239</v>
      </c>
      <c r="H9" s="4410" t="s">
        <v>240</v>
      </c>
      <c r="I9" s="4410" t="s">
        <v>241</v>
      </c>
      <c r="J9" s="4424" t="s">
        <v>3736</v>
      </c>
      <c r="K9" s="4425" t="s">
        <v>374</v>
      </c>
      <c r="L9" s="4421" t="s">
        <v>3744</v>
      </c>
      <c r="M9" s="4426">
        <v>60</v>
      </c>
      <c r="N9" s="4426">
        <v>60</v>
      </c>
      <c r="O9" s="4426">
        <v>60</v>
      </c>
      <c r="P9" s="4421" t="s">
        <v>3752</v>
      </c>
      <c r="Q9" s="4421" t="s">
        <v>3753</v>
      </c>
      <c r="R9" s="4422" t="s">
        <v>375</v>
      </c>
      <c r="S9" s="1681" t="s">
        <v>11</v>
      </c>
      <c r="T9" s="1623">
        <v>530207</v>
      </c>
      <c r="U9" s="1623"/>
      <c r="V9" s="1629" t="s">
        <v>31</v>
      </c>
      <c r="W9" s="1635"/>
      <c r="X9" s="201"/>
      <c r="Y9" s="1641"/>
      <c r="Z9" s="1641"/>
      <c r="AA9" s="1641"/>
      <c r="AB9" s="1642">
        <f>SUM($AA$10:$AA$10)</f>
        <v>45920.000000000007</v>
      </c>
      <c r="AC9" s="201"/>
      <c r="AD9" s="202"/>
      <c r="AE9" s="1652"/>
      <c r="AF9" s="4423"/>
    </row>
    <row r="10" spans="1:32" ht="33.950000000000003" customHeight="1">
      <c r="A10" s="4360"/>
      <c r="B10" s="4408"/>
      <c r="C10" s="4404"/>
      <c r="D10" s="4378"/>
      <c r="E10" s="4378"/>
      <c r="F10" s="4378"/>
      <c r="G10" s="4378"/>
      <c r="H10" s="4378"/>
      <c r="I10" s="4378"/>
      <c r="J10" s="4378"/>
      <c r="K10" s="4378"/>
      <c r="L10" s="4378"/>
      <c r="M10" s="4393"/>
      <c r="N10" s="4393"/>
      <c r="O10" s="4393"/>
      <c r="P10" s="4378"/>
      <c r="Q10" s="4378"/>
      <c r="R10" s="4381"/>
      <c r="S10" s="1682"/>
      <c r="T10" s="1624"/>
      <c r="U10" s="1624">
        <v>836100011</v>
      </c>
      <c r="V10" s="1630" t="s">
        <v>376</v>
      </c>
      <c r="W10" s="1636">
        <v>1</v>
      </c>
      <c r="X10" s="209" t="s">
        <v>250</v>
      </c>
      <c r="Y10" s="1643">
        <v>41000</v>
      </c>
      <c r="Z10" s="1644">
        <f t="shared" ref="Z10" si="0">+W10*Y10</f>
        <v>41000</v>
      </c>
      <c r="AA10" s="1644">
        <f t="shared" ref="AA10" si="1">+Z10*1.12</f>
        <v>45920.000000000007</v>
      </c>
      <c r="AB10" s="1645"/>
      <c r="AC10" s="209" t="s">
        <v>251</v>
      </c>
      <c r="AD10" s="209" t="s">
        <v>251</v>
      </c>
      <c r="AE10" s="1653" t="s">
        <v>251</v>
      </c>
      <c r="AF10" s="4384"/>
    </row>
    <row r="11" spans="1:32" ht="55.5" customHeight="1">
      <c r="A11" s="4360"/>
      <c r="B11" s="4408"/>
      <c r="C11" s="4404"/>
      <c r="D11" s="4378"/>
      <c r="E11" s="4378"/>
      <c r="F11" s="4378"/>
      <c r="G11" s="4378"/>
      <c r="H11" s="4378"/>
      <c r="I11" s="4378"/>
      <c r="J11" s="4378"/>
      <c r="K11" s="4378"/>
      <c r="L11" s="4378"/>
      <c r="M11" s="4393"/>
      <c r="N11" s="4393"/>
      <c r="O11" s="4393"/>
      <c r="P11" s="4378"/>
      <c r="Q11" s="4378"/>
      <c r="R11" s="4381"/>
      <c r="S11" s="1696" t="s">
        <v>29</v>
      </c>
      <c r="T11" s="1660">
        <v>530204</v>
      </c>
      <c r="U11" s="1660"/>
      <c r="V11" s="1661" t="s">
        <v>26</v>
      </c>
      <c r="W11" s="1662"/>
      <c r="X11" s="1663"/>
      <c r="Y11" s="1664"/>
      <c r="Z11" s="1664"/>
      <c r="AA11" s="1664"/>
      <c r="AB11" s="1665">
        <f>SUM($AA$12:$AA$12)</f>
        <v>24640.000000000004</v>
      </c>
      <c r="AC11" s="1663"/>
      <c r="AD11" s="1666"/>
      <c r="AE11" s="1658"/>
      <c r="AF11" s="4384"/>
    </row>
    <row r="12" spans="1:32" ht="18" customHeight="1">
      <c r="A12" s="4360"/>
      <c r="B12" s="4408"/>
      <c r="C12" s="4404"/>
      <c r="D12" s="4378"/>
      <c r="E12" s="4378"/>
      <c r="F12" s="4378"/>
      <c r="G12" s="4378"/>
      <c r="H12" s="4378"/>
      <c r="I12" s="4378"/>
      <c r="J12" s="4378"/>
      <c r="K12" s="4378"/>
      <c r="L12" s="4378"/>
      <c r="M12" s="4393"/>
      <c r="N12" s="4393"/>
      <c r="O12" s="4393"/>
      <c r="P12" s="4378"/>
      <c r="Q12" s="4378"/>
      <c r="R12" s="4381"/>
      <c r="S12" s="1682"/>
      <c r="T12" s="1624"/>
      <c r="U12" s="1624">
        <v>325300019</v>
      </c>
      <c r="V12" s="1630" t="s">
        <v>377</v>
      </c>
      <c r="W12" s="1636">
        <v>1</v>
      </c>
      <c r="X12" s="209" t="s">
        <v>269</v>
      </c>
      <c r="Y12" s="1643">
        <v>22000</v>
      </c>
      <c r="Z12" s="1644">
        <f t="shared" ref="Z12" si="2">+W12*Y12</f>
        <v>22000</v>
      </c>
      <c r="AA12" s="1644">
        <f t="shared" ref="AA12" si="3">+Z12*1.12</f>
        <v>24640.000000000004</v>
      </c>
      <c r="AB12" s="1645"/>
      <c r="AC12" s="209" t="s">
        <v>251</v>
      </c>
      <c r="AD12" s="209" t="s">
        <v>251</v>
      </c>
      <c r="AE12" s="1653" t="s">
        <v>251</v>
      </c>
      <c r="AF12" s="4384"/>
    </row>
    <row r="13" spans="1:32" ht="18" customHeight="1">
      <c r="A13" s="4360"/>
      <c r="B13" s="4408"/>
      <c r="C13" s="4413"/>
      <c r="D13" s="4396"/>
      <c r="E13" s="4396"/>
      <c r="F13" s="4396"/>
      <c r="G13" s="4396"/>
      <c r="H13" s="4396"/>
      <c r="I13" s="4396"/>
      <c r="J13" s="4396"/>
      <c r="K13" s="4396"/>
      <c r="L13" s="4396"/>
      <c r="M13" s="4402"/>
      <c r="N13" s="4402"/>
      <c r="O13" s="4402"/>
      <c r="P13" s="4396"/>
      <c r="Q13" s="4396"/>
      <c r="R13" s="4398"/>
      <c r="S13" s="1684"/>
      <c r="T13" s="1627"/>
      <c r="U13" s="1627"/>
      <c r="V13" s="1632"/>
      <c r="W13" s="1638"/>
      <c r="X13" s="210"/>
      <c r="Y13" s="1648"/>
      <c r="Z13" s="1648"/>
      <c r="AA13" s="1648"/>
      <c r="AB13" s="1649"/>
      <c r="AC13" s="210"/>
      <c r="AD13" s="210"/>
      <c r="AE13" s="1655"/>
      <c r="AF13" s="4415"/>
    </row>
    <row r="14" spans="1:32" ht="18" customHeight="1">
      <c r="A14" s="4360"/>
      <c r="B14" s="4408"/>
      <c r="C14" s="4403" t="s">
        <v>235</v>
      </c>
      <c r="D14" s="4390" t="s">
        <v>236</v>
      </c>
      <c r="E14" s="4390" t="s">
        <v>244</v>
      </c>
      <c r="F14" s="4390" t="s">
        <v>292</v>
      </c>
      <c r="G14" s="4406" t="s">
        <v>239</v>
      </c>
      <c r="H14" s="4390" t="s">
        <v>293</v>
      </c>
      <c r="I14" s="4390" t="s">
        <v>257</v>
      </c>
      <c r="J14" s="4377" t="s">
        <v>3737</v>
      </c>
      <c r="K14" s="4431" t="s">
        <v>378</v>
      </c>
      <c r="L14" s="4377" t="s">
        <v>3745</v>
      </c>
      <c r="M14" s="4392">
        <v>0</v>
      </c>
      <c r="N14" s="4392">
        <v>0</v>
      </c>
      <c r="O14" s="4392">
        <v>1000</v>
      </c>
      <c r="P14" s="4377" t="s">
        <v>3755</v>
      </c>
      <c r="Q14" s="4377" t="s">
        <v>3754</v>
      </c>
      <c r="R14" s="4380" t="s">
        <v>379</v>
      </c>
      <c r="S14" s="1685" t="s">
        <v>11</v>
      </c>
      <c r="T14" s="1626">
        <v>840104</v>
      </c>
      <c r="U14" s="1626"/>
      <c r="V14" s="1631" t="s">
        <v>24</v>
      </c>
      <c r="W14" s="1637"/>
      <c r="X14" s="206"/>
      <c r="Y14" s="1646"/>
      <c r="Z14" s="1646"/>
      <c r="AA14" s="1646"/>
      <c r="AB14" s="1647">
        <f>SUM($AA$15:$AA$20)</f>
        <v>19554.080000000002</v>
      </c>
      <c r="AC14" s="206"/>
      <c r="AD14" s="212"/>
      <c r="AE14" s="1669"/>
      <c r="AF14" s="4428" t="s">
        <v>380</v>
      </c>
    </row>
    <row r="15" spans="1:32" ht="16.5" customHeight="1">
      <c r="A15" s="4360"/>
      <c r="B15" s="4408"/>
      <c r="C15" s="4404"/>
      <c r="D15" s="4378"/>
      <c r="E15" s="4378"/>
      <c r="F15" s="4378"/>
      <c r="G15" s="4378"/>
      <c r="H15" s="4378"/>
      <c r="I15" s="4378"/>
      <c r="J15" s="4378"/>
      <c r="K15" s="4378"/>
      <c r="L15" s="4378"/>
      <c r="M15" s="4393"/>
      <c r="N15" s="4393"/>
      <c r="O15" s="4393"/>
      <c r="P15" s="4378"/>
      <c r="Q15" s="4378"/>
      <c r="R15" s="4381"/>
      <c r="S15" s="1682"/>
      <c r="T15" s="1624"/>
      <c r="U15" s="1624">
        <v>732900013</v>
      </c>
      <c r="V15" s="1630" t="s">
        <v>381</v>
      </c>
      <c r="W15" s="1636">
        <v>1</v>
      </c>
      <c r="X15" s="209" t="s">
        <v>269</v>
      </c>
      <c r="Y15" s="1643">
        <v>6659</v>
      </c>
      <c r="Z15" s="1643">
        <f t="shared" ref="Z15:Z20" si="4">+W15*Y15</f>
        <v>6659</v>
      </c>
      <c r="AA15" s="1643">
        <f t="shared" ref="AA15:AA20" si="5">+Z15*1.12</f>
        <v>7458.0800000000008</v>
      </c>
      <c r="AB15" s="1645"/>
      <c r="AC15" s="209" t="s">
        <v>251</v>
      </c>
      <c r="AD15" s="209"/>
      <c r="AE15" s="1670"/>
      <c r="AF15" s="4384"/>
    </row>
    <row r="16" spans="1:32" ht="18" customHeight="1">
      <c r="A16" s="4360"/>
      <c r="B16" s="4408"/>
      <c r="C16" s="4404"/>
      <c r="D16" s="4378"/>
      <c r="E16" s="4378"/>
      <c r="F16" s="4378"/>
      <c r="G16" s="4378"/>
      <c r="H16" s="4378"/>
      <c r="I16" s="4378"/>
      <c r="J16" s="4378"/>
      <c r="K16" s="4378"/>
      <c r="L16" s="4378"/>
      <c r="M16" s="4393"/>
      <c r="N16" s="4393"/>
      <c r="O16" s="4393"/>
      <c r="P16" s="4378"/>
      <c r="Q16" s="4378"/>
      <c r="R16" s="4381"/>
      <c r="S16" s="1682"/>
      <c r="T16" s="1624"/>
      <c r="U16" s="1624">
        <v>452300064</v>
      </c>
      <c r="V16" s="1630" t="s">
        <v>382</v>
      </c>
      <c r="W16" s="1636">
        <v>1</v>
      </c>
      <c r="X16" s="209" t="s">
        <v>269</v>
      </c>
      <c r="Y16" s="1643">
        <v>6200</v>
      </c>
      <c r="Z16" s="1643">
        <f t="shared" si="4"/>
        <v>6200</v>
      </c>
      <c r="AA16" s="1643">
        <f t="shared" si="5"/>
        <v>6944.0000000000009</v>
      </c>
      <c r="AB16" s="1645"/>
      <c r="AC16" s="209" t="s">
        <v>251</v>
      </c>
      <c r="AD16" s="209"/>
      <c r="AE16" s="1667"/>
      <c r="AF16" s="4384"/>
    </row>
    <row r="17" spans="1:32" ht="18" customHeight="1">
      <c r="A17" s="4360"/>
      <c r="B17" s="4408"/>
      <c r="C17" s="4404"/>
      <c r="D17" s="4378"/>
      <c r="E17" s="4378"/>
      <c r="F17" s="4378"/>
      <c r="G17" s="4378"/>
      <c r="H17" s="4378"/>
      <c r="I17" s="4378"/>
      <c r="J17" s="4378"/>
      <c r="K17" s="4378"/>
      <c r="L17" s="4378"/>
      <c r="M17" s="4393"/>
      <c r="N17" s="4393"/>
      <c r="O17" s="4393"/>
      <c r="P17" s="4378"/>
      <c r="Q17" s="4378"/>
      <c r="R17" s="4381"/>
      <c r="S17" s="1682"/>
      <c r="T17" s="1624"/>
      <c r="U17" s="1624">
        <v>452200026</v>
      </c>
      <c r="V17" s="1630" t="s">
        <v>383</v>
      </c>
      <c r="W17" s="1636">
        <v>2</v>
      </c>
      <c r="X17" s="209" t="s">
        <v>269</v>
      </c>
      <c r="Y17" s="1643">
        <v>200</v>
      </c>
      <c r="Z17" s="1643">
        <f t="shared" si="4"/>
        <v>400</v>
      </c>
      <c r="AA17" s="1643">
        <f t="shared" si="5"/>
        <v>448.00000000000006</v>
      </c>
      <c r="AB17" s="1645"/>
      <c r="AC17" s="209" t="s">
        <v>251</v>
      </c>
      <c r="AD17" s="209"/>
      <c r="AE17" s="1667"/>
      <c r="AF17" s="4384"/>
    </row>
    <row r="18" spans="1:32" ht="18" customHeight="1">
      <c r="A18" s="4360"/>
      <c r="B18" s="4408"/>
      <c r="C18" s="4404"/>
      <c r="D18" s="4378"/>
      <c r="E18" s="4378"/>
      <c r="F18" s="4378"/>
      <c r="G18" s="4378"/>
      <c r="H18" s="4378"/>
      <c r="I18" s="4378"/>
      <c r="J18" s="4378"/>
      <c r="K18" s="4378"/>
      <c r="L18" s="4378"/>
      <c r="M18" s="4393"/>
      <c r="N18" s="4393"/>
      <c r="O18" s="4393"/>
      <c r="P18" s="4378"/>
      <c r="Q18" s="4378"/>
      <c r="R18" s="4381"/>
      <c r="S18" s="1682"/>
      <c r="T18" s="1624"/>
      <c r="U18" s="1624">
        <v>451700428</v>
      </c>
      <c r="V18" s="1630" t="s">
        <v>384</v>
      </c>
      <c r="W18" s="1636">
        <v>1</v>
      </c>
      <c r="X18" s="209" t="s">
        <v>269</v>
      </c>
      <c r="Y18" s="1643">
        <v>2300</v>
      </c>
      <c r="Z18" s="1643">
        <f t="shared" si="4"/>
        <v>2300</v>
      </c>
      <c r="AA18" s="1643">
        <f t="shared" si="5"/>
        <v>2576.0000000000005</v>
      </c>
      <c r="AB18" s="1645"/>
      <c r="AC18" s="209" t="s">
        <v>251</v>
      </c>
      <c r="AD18" s="209"/>
      <c r="AE18" s="1667"/>
      <c r="AF18" s="4384"/>
    </row>
    <row r="19" spans="1:32" ht="18" customHeight="1">
      <c r="A19" s="4360"/>
      <c r="B19" s="4408"/>
      <c r="C19" s="4404"/>
      <c r="D19" s="4378"/>
      <c r="E19" s="4378"/>
      <c r="F19" s="4378"/>
      <c r="G19" s="4378"/>
      <c r="H19" s="4378"/>
      <c r="I19" s="4378"/>
      <c r="J19" s="4378"/>
      <c r="K19" s="4378"/>
      <c r="L19" s="4378"/>
      <c r="M19" s="4393"/>
      <c r="N19" s="4393"/>
      <c r="O19" s="4393"/>
      <c r="P19" s="4378"/>
      <c r="Q19" s="4378"/>
      <c r="R19" s="4381"/>
      <c r="S19" s="1682"/>
      <c r="T19" s="1624"/>
      <c r="U19" s="1624">
        <v>451700421</v>
      </c>
      <c r="V19" s="1630" t="s">
        <v>385</v>
      </c>
      <c r="W19" s="1636">
        <v>1</v>
      </c>
      <c r="X19" s="209" t="s">
        <v>269</v>
      </c>
      <c r="Y19" s="1643">
        <v>400</v>
      </c>
      <c r="Z19" s="1643">
        <f t="shared" si="4"/>
        <v>400</v>
      </c>
      <c r="AA19" s="1643">
        <f t="shared" si="5"/>
        <v>448.00000000000006</v>
      </c>
      <c r="AB19" s="1645"/>
      <c r="AC19" s="209" t="s">
        <v>251</v>
      </c>
      <c r="AD19" s="209"/>
      <c r="AE19" s="1667"/>
      <c r="AF19" s="4384"/>
    </row>
    <row r="20" spans="1:32" ht="18" customHeight="1">
      <c r="A20" s="4360"/>
      <c r="B20" s="4408"/>
      <c r="C20" s="4404"/>
      <c r="D20" s="4378"/>
      <c r="E20" s="4378"/>
      <c r="F20" s="4378"/>
      <c r="G20" s="4378"/>
      <c r="H20" s="4378"/>
      <c r="I20" s="4378"/>
      <c r="J20" s="4378"/>
      <c r="K20" s="4378"/>
      <c r="L20" s="4378"/>
      <c r="M20" s="4393"/>
      <c r="N20" s="4393"/>
      <c r="O20" s="4393"/>
      <c r="P20" s="4378"/>
      <c r="Q20" s="4378"/>
      <c r="R20" s="4381"/>
      <c r="S20" s="1682"/>
      <c r="T20" s="1624"/>
      <c r="U20" s="1624">
        <v>451700422</v>
      </c>
      <c r="V20" s="1630" t="s">
        <v>386</v>
      </c>
      <c r="W20" s="1636">
        <v>1</v>
      </c>
      <c r="X20" s="209" t="s">
        <v>269</v>
      </c>
      <c r="Y20" s="1643">
        <v>1500</v>
      </c>
      <c r="Z20" s="1643">
        <f t="shared" si="4"/>
        <v>1500</v>
      </c>
      <c r="AA20" s="1643">
        <f t="shared" si="5"/>
        <v>1680.0000000000002</v>
      </c>
      <c r="AB20" s="1645"/>
      <c r="AC20" s="209" t="s">
        <v>251</v>
      </c>
      <c r="AD20" s="209"/>
      <c r="AE20" s="1667"/>
      <c r="AF20" s="4384"/>
    </row>
    <row r="21" spans="1:32" ht="94.5" customHeight="1">
      <c r="A21" s="4360"/>
      <c r="B21" s="4408"/>
      <c r="C21" s="4404"/>
      <c r="D21" s="4378"/>
      <c r="E21" s="4378"/>
      <c r="F21" s="4378"/>
      <c r="G21" s="4378"/>
      <c r="H21" s="4378"/>
      <c r="I21" s="4378"/>
      <c r="J21" s="4378"/>
      <c r="K21" s="4378"/>
      <c r="L21" s="4378"/>
      <c r="M21" s="4393"/>
      <c r="N21" s="4393"/>
      <c r="O21" s="4393"/>
      <c r="P21" s="4378"/>
      <c r="Q21" s="4378"/>
      <c r="R21" s="4381"/>
      <c r="S21" s="1683" t="s">
        <v>11</v>
      </c>
      <c r="T21" s="1660">
        <v>530204</v>
      </c>
      <c r="U21" s="1668"/>
      <c r="V21" s="1661" t="s">
        <v>26</v>
      </c>
      <c r="W21" s="1662"/>
      <c r="X21" s="1663"/>
      <c r="Y21" s="1664"/>
      <c r="Z21" s="1664"/>
      <c r="AA21" s="1664"/>
      <c r="AB21" s="1665">
        <f>SUM($AA$22:$AA$23)</f>
        <v>9670.0800000000017</v>
      </c>
      <c r="AC21" s="1663"/>
      <c r="AD21" s="1666"/>
      <c r="AE21" s="1671"/>
      <c r="AF21" s="4384"/>
    </row>
    <row r="22" spans="1:32" ht="18" customHeight="1">
      <c r="A22" s="4360"/>
      <c r="B22" s="4408"/>
      <c r="C22" s="4404"/>
      <c r="D22" s="4378"/>
      <c r="E22" s="4378"/>
      <c r="F22" s="4378"/>
      <c r="G22" s="4378"/>
      <c r="H22" s="4378"/>
      <c r="I22" s="4378"/>
      <c r="J22" s="4378"/>
      <c r="K22" s="4378"/>
      <c r="L22" s="4378"/>
      <c r="M22" s="4393"/>
      <c r="N22" s="4393"/>
      <c r="O22" s="4393"/>
      <c r="P22" s="4378"/>
      <c r="Q22" s="4378"/>
      <c r="R22" s="4381"/>
      <c r="S22" s="1682"/>
      <c r="T22" s="1624"/>
      <c r="U22" s="1624">
        <v>323000011</v>
      </c>
      <c r="V22" s="1630" t="s">
        <v>387</v>
      </c>
      <c r="W22" s="1636">
        <v>2920</v>
      </c>
      <c r="X22" s="209" t="s">
        <v>269</v>
      </c>
      <c r="Y22" s="1643">
        <v>0.5</v>
      </c>
      <c r="Z22" s="1643">
        <f t="shared" ref="Z22:Z23" si="6">+W22*Y22</f>
        <v>1460</v>
      </c>
      <c r="AA22" s="1643">
        <f t="shared" ref="AA22:AA23" si="7">+Z22*1.12</f>
        <v>1635.2</v>
      </c>
      <c r="AB22" s="1645"/>
      <c r="AC22" s="209" t="s">
        <v>251</v>
      </c>
      <c r="AD22" s="209" t="s">
        <v>251</v>
      </c>
      <c r="AE22" s="1667" t="s">
        <v>251</v>
      </c>
      <c r="AF22" s="4384"/>
    </row>
    <row r="23" spans="1:32" ht="18" customHeight="1">
      <c r="A23" s="4360"/>
      <c r="B23" s="4408"/>
      <c r="C23" s="4416"/>
      <c r="D23" s="4411"/>
      <c r="E23" s="4411"/>
      <c r="F23" s="4411"/>
      <c r="G23" s="4411"/>
      <c r="H23" s="4411"/>
      <c r="I23" s="4411"/>
      <c r="J23" s="4411"/>
      <c r="K23" s="4411"/>
      <c r="L23" s="4411"/>
      <c r="M23" s="4420"/>
      <c r="N23" s="4420"/>
      <c r="O23" s="4420"/>
      <c r="P23" s="4411"/>
      <c r="Q23" s="4411"/>
      <c r="R23" s="4419"/>
      <c r="S23" s="1686"/>
      <c r="T23" s="1672"/>
      <c r="U23" s="1672">
        <v>325300019</v>
      </c>
      <c r="V23" s="1673" t="s">
        <v>377</v>
      </c>
      <c r="W23" s="1674">
        <v>1</v>
      </c>
      <c r="X23" s="1675" t="s">
        <v>269</v>
      </c>
      <c r="Y23" s="1676">
        <v>7174</v>
      </c>
      <c r="Z23" s="1677">
        <f t="shared" si="6"/>
        <v>7174</v>
      </c>
      <c r="AA23" s="1677">
        <f t="shared" si="7"/>
        <v>8034.880000000001</v>
      </c>
      <c r="AB23" s="1678"/>
      <c r="AC23" s="1675" t="s">
        <v>251</v>
      </c>
      <c r="AD23" s="1675" t="s">
        <v>251</v>
      </c>
      <c r="AE23" s="1679" t="s">
        <v>251</v>
      </c>
      <c r="AF23" s="4429"/>
    </row>
    <row r="24" spans="1:32" ht="21" customHeight="1">
      <c r="A24" s="4360"/>
      <c r="B24" s="4408"/>
      <c r="C24" s="4412" t="s">
        <v>272</v>
      </c>
      <c r="D24" s="4400" t="s">
        <v>273</v>
      </c>
      <c r="E24" s="4400" t="s">
        <v>388</v>
      </c>
      <c r="F24" s="4400" t="s">
        <v>389</v>
      </c>
      <c r="G24" s="4414" t="s">
        <v>276</v>
      </c>
      <c r="H24" s="4400" t="s">
        <v>314</v>
      </c>
      <c r="I24" s="4400" t="s">
        <v>257</v>
      </c>
      <c r="J24" s="4399" t="s">
        <v>3738</v>
      </c>
      <c r="K24" s="4418" t="s">
        <v>390</v>
      </c>
      <c r="L24" s="4395" t="s">
        <v>3746</v>
      </c>
      <c r="M24" s="4401">
        <v>150</v>
      </c>
      <c r="N24" s="4401">
        <v>150</v>
      </c>
      <c r="O24" s="4401">
        <v>150</v>
      </c>
      <c r="P24" s="4395" t="s">
        <v>3757</v>
      </c>
      <c r="Q24" s="4395" t="s">
        <v>3756</v>
      </c>
      <c r="R24" s="4397" t="s">
        <v>391</v>
      </c>
      <c r="S24" s="1687" t="s">
        <v>11</v>
      </c>
      <c r="T24" s="1660">
        <v>840107</v>
      </c>
      <c r="U24" s="1660"/>
      <c r="V24" s="1661" t="s">
        <v>20</v>
      </c>
      <c r="W24" s="1662"/>
      <c r="X24" s="1663"/>
      <c r="Y24" s="1664"/>
      <c r="Z24" s="1664"/>
      <c r="AA24" s="1664"/>
      <c r="AB24" s="1665">
        <f>SUM($AA$25:$AA$25)</f>
        <v>2800.0000000000005</v>
      </c>
      <c r="AC24" s="1663"/>
      <c r="AD24" s="1666"/>
      <c r="AE24" s="1658"/>
      <c r="AF24" s="4383"/>
    </row>
    <row r="25" spans="1:32" ht="21" customHeight="1">
      <c r="A25" s="4360"/>
      <c r="B25" s="4408"/>
      <c r="C25" s="4404"/>
      <c r="D25" s="4378"/>
      <c r="E25" s="4378"/>
      <c r="F25" s="4378"/>
      <c r="G25" s="4378"/>
      <c r="H25" s="4378"/>
      <c r="I25" s="4378"/>
      <c r="J25" s="4378"/>
      <c r="K25" s="4378"/>
      <c r="L25" s="4378"/>
      <c r="M25" s="4393"/>
      <c r="N25" s="4393"/>
      <c r="O25" s="4393"/>
      <c r="P25" s="4378"/>
      <c r="Q25" s="4378"/>
      <c r="R25" s="4381"/>
      <c r="S25" s="1682"/>
      <c r="T25" s="1624"/>
      <c r="U25" s="1624">
        <v>4523000391</v>
      </c>
      <c r="V25" s="1633" t="s">
        <v>392</v>
      </c>
      <c r="W25" s="1636">
        <v>1</v>
      </c>
      <c r="X25" s="209" t="s">
        <v>269</v>
      </c>
      <c r="Y25" s="1643">
        <v>2500</v>
      </c>
      <c r="Z25" s="1643">
        <f t="shared" ref="Z25" si="8">+W25*Y25</f>
        <v>2500</v>
      </c>
      <c r="AA25" s="1643">
        <f t="shared" ref="AA25" si="9">+Z25*1.12</f>
        <v>2800.0000000000005</v>
      </c>
      <c r="AB25" s="1645"/>
      <c r="AC25" s="209" t="s">
        <v>251</v>
      </c>
      <c r="AD25" s="205"/>
      <c r="AE25" s="1667"/>
      <c r="AF25" s="4384"/>
    </row>
    <row r="26" spans="1:32" ht="21" customHeight="1">
      <c r="A26" s="4360"/>
      <c r="B26" s="4408"/>
      <c r="C26" s="4404"/>
      <c r="D26" s="4378"/>
      <c r="E26" s="4378"/>
      <c r="F26" s="4378"/>
      <c r="G26" s="4378"/>
      <c r="H26" s="4378"/>
      <c r="I26" s="4378"/>
      <c r="J26" s="4378"/>
      <c r="K26" s="4378"/>
      <c r="L26" s="4378"/>
      <c r="M26" s="4393"/>
      <c r="N26" s="4393"/>
      <c r="O26" s="4393"/>
      <c r="P26" s="4378"/>
      <c r="Q26" s="4378"/>
      <c r="R26" s="4381"/>
      <c r="S26" s="1683" t="s">
        <v>11</v>
      </c>
      <c r="T26" s="1660">
        <v>840104</v>
      </c>
      <c r="U26" s="1668"/>
      <c r="V26" s="1680" t="s">
        <v>24</v>
      </c>
      <c r="W26" s="1662"/>
      <c r="X26" s="1663"/>
      <c r="Y26" s="1664"/>
      <c r="Z26" s="1664"/>
      <c r="AA26" s="1664"/>
      <c r="AB26" s="1665">
        <f>SUM($AA$27:$AA$30)</f>
        <v>1135.68</v>
      </c>
      <c r="AC26" s="1663"/>
      <c r="AD26" s="1666"/>
      <c r="AE26" s="1658"/>
      <c r="AF26" s="4384"/>
    </row>
    <row r="27" spans="1:32" ht="21" customHeight="1">
      <c r="A27" s="4360"/>
      <c r="B27" s="4408"/>
      <c r="C27" s="4404"/>
      <c r="D27" s="4378"/>
      <c r="E27" s="4378"/>
      <c r="F27" s="4378"/>
      <c r="G27" s="4378"/>
      <c r="H27" s="4378"/>
      <c r="I27" s="4378"/>
      <c r="J27" s="4378"/>
      <c r="K27" s="4378"/>
      <c r="L27" s="4378"/>
      <c r="M27" s="4393"/>
      <c r="N27" s="4393"/>
      <c r="O27" s="4393"/>
      <c r="P27" s="4378"/>
      <c r="Q27" s="4378"/>
      <c r="R27" s="4381"/>
      <c r="S27" s="1682"/>
      <c r="T27" s="1624"/>
      <c r="U27" s="1624">
        <v>473310513</v>
      </c>
      <c r="V27" s="1630" t="s">
        <v>393</v>
      </c>
      <c r="W27" s="1636">
        <v>1</v>
      </c>
      <c r="X27" s="209" t="s">
        <v>269</v>
      </c>
      <c r="Y27" s="1643">
        <v>269</v>
      </c>
      <c r="Z27" s="1643">
        <f t="shared" ref="Z27:Z30" si="10">+W27*Y27</f>
        <v>269</v>
      </c>
      <c r="AA27" s="1643">
        <f t="shared" ref="AA27:AA30" si="11">+Z27*1.12</f>
        <v>301.28000000000003</v>
      </c>
      <c r="AB27" s="1645"/>
      <c r="AC27" s="209"/>
      <c r="AD27" s="205" t="s">
        <v>251</v>
      </c>
      <c r="AE27" s="1653"/>
      <c r="AF27" s="4384"/>
    </row>
    <row r="28" spans="1:32" ht="21" customHeight="1">
      <c r="A28" s="4360"/>
      <c r="B28" s="4408"/>
      <c r="C28" s="4404"/>
      <c r="D28" s="4378"/>
      <c r="E28" s="4378"/>
      <c r="F28" s="4378"/>
      <c r="G28" s="4378"/>
      <c r="H28" s="4378"/>
      <c r="I28" s="4378"/>
      <c r="J28" s="4378"/>
      <c r="K28" s="4378"/>
      <c r="L28" s="4378"/>
      <c r="M28" s="4393"/>
      <c r="N28" s="4393"/>
      <c r="O28" s="4393"/>
      <c r="P28" s="4378"/>
      <c r="Q28" s="4378"/>
      <c r="R28" s="4381"/>
      <c r="S28" s="1682"/>
      <c r="T28" s="1624"/>
      <c r="U28" s="1624">
        <v>452900031</v>
      </c>
      <c r="V28" s="1630" t="s">
        <v>394</v>
      </c>
      <c r="W28" s="1636">
        <v>1</v>
      </c>
      <c r="X28" s="209" t="s">
        <v>269</v>
      </c>
      <c r="Y28" s="1643">
        <v>125</v>
      </c>
      <c r="Z28" s="1643">
        <f t="shared" si="10"/>
        <v>125</v>
      </c>
      <c r="AA28" s="1643">
        <f t="shared" si="11"/>
        <v>140</v>
      </c>
      <c r="AB28" s="1645"/>
      <c r="AC28" s="209"/>
      <c r="AD28" s="205" t="s">
        <v>251</v>
      </c>
      <c r="AE28" s="1653"/>
      <c r="AF28" s="4384"/>
    </row>
    <row r="29" spans="1:32" ht="21" customHeight="1">
      <c r="A29" s="4360"/>
      <c r="B29" s="4408"/>
      <c r="C29" s="4404"/>
      <c r="D29" s="4378"/>
      <c r="E29" s="4378"/>
      <c r="F29" s="4378"/>
      <c r="G29" s="4378"/>
      <c r="H29" s="4378"/>
      <c r="I29" s="4378"/>
      <c r="J29" s="4378"/>
      <c r="K29" s="4378"/>
      <c r="L29" s="4378"/>
      <c r="M29" s="4393"/>
      <c r="N29" s="4393"/>
      <c r="O29" s="4393"/>
      <c r="P29" s="4378"/>
      <c r="Q29" s="4378"/>
      <c r="R29" s="4381"/>
      <c r="S29" s="1682"/>
      <c r="T29" s="1624"/>
      <c r="U29" s="1624">
        <v>473310011</v>
      </c>
      <c r="V29" s="1630" t="s">
        <v>395</v>
      </c>
      <c r="W29" s="1636">
        <v>1</v>
      </c>
      <c r="X29" s="209" t="s">
        <v>269</v>
      </c>
      <c r="Y29" s="1643">
        <v>120</v>
      </c>
      <c r="Z29" s="1643">
        <f t="shared" si="10"/>
        <v>120</v>
      </c>
      <c r="AA29" s="1643">
        <f t="shared" si="11"/>
        <v>134.4</v>
      </c>
      <c r="AB29" s="1645"/>
      <c r="AC29" s="209"/>
      <c r="AD29" s="205" t="s">
        <v>251</v>
      </c>
      <c r="AE29" s="1653"/>
      <c r="AF29" s="4384"/>
    </row>
    <row r="30" spans="1:32" ht="21" customHeight="1">
      <c r="A30" s="4360"/>
      <c r="B30" s="4408"/>
      <c r="C30" s="4413"/>
      <c r="D30" s="4396"/>
      <c r="E30" s="4396"/>
      <c r="F30" s="4396"/>
      <c r="G30" s="4396"/>
      <c r="H30" s="4396"/>
      <c r="I30" s="4396"/>
      <c r="J30" s="4396"/>
      <c r="K30" s="4396"/>
      <c r="L30" s="4396"/>
      <c r="M30" s="4402"/>
      <c r="N30" s="4402"/>
      <c r="O30" s="4402"/>
      <c r="P30" s="4396"/>
      <c r="Q30" s="4396"/>
      <c r="R30" s="4398"/>
      <c r="S30" s="1682"/>
      <c r="T30" s="1624"/>
      <c r="U30" s="1624">
        <v>452400011</v>
      </c>
      <c r="V30" s="1630" t="s">
        <v>396</v>
      </c>
      <c r="W30" s="1636">
        <v>1</v>
      </c>
      <c r="X30" s="209" t="s">
        <v>269</v>
      </c>
      <c r="Y30" s="1643">
        <v>500</v>
      </c>
      <c r="Z30" s="1643">
        <f t="shared" si="10"/>
        <v>500</v>
      </c>
      <c r="AA30" s="1643">
        <f t="shared" si="11"/>
        <v>560</v>
      </c>
      <c r="AB30" s="1645"/>
      <c r="AC30" s="209"/>
      <c r="AD30" s="205" t="s">
        <v>251</v>
      </c>
      <c r="AE30" s="1653"/>
      <c r="AF30" s="4429"/>
    </row>
    <row r="31" spans="1:32" ht="48.75" customHeight="1">
      <c r="A31" s="4360"/>
      <c r="B31" s="4408"/>
      <c r="C31" s="4403" t="s">
        <v>235</v>
      </c>
      <c r="D31" s="4390" t="s">
        <v>236</v>
      </c>
      <c r="E31" s="4390" t="s">
        <v>244</v>
      </c>
      <c r="F31" s="4390" t="s">
        <v>292</v>
      </c>
      <c r="G31" s="4406" t="s">
        <v>239</v>
      </c>
      <c r="H31" s="4390" t="s">
        <v>293</v>
      </c>
      <c r="I31" s="4390" t="s">
        <v>257</v>
      </c>
      <c r="J31" s="4391" t="s">
        <v>3739</v>
      </c>
      <c r="K31" s="4431" t="s">
        <v>397</v>
      </c>
      <c r="L31" s="4377" t="s">
        <v>3747</v>
      </c>
      <c r="M31" s="4392">
        <v>200</v>
      </c>
      <c r="N31" s="4392">
        <v>200</v>
      </c>
      <c r="O31" s="4392">
        <v>200</v>
      </c>
      <c r="P31" s="4377" t="s">
        <v>3906</v>
      </c>
      <c r="Q31" s="4377" t="s">
        <v>3903</v>
      </c>
      <c r="R31" s="4380" t="s">
        <v>398</v>
      </c>
      <c r="S31" s="1685" t="s">
        <v>11</v>
      </c>
      <c r="T31" s="1626">
        <v>530404</v>
      </c>
      <c r="U31" s="1626"/>
      <c r="V31" s="1631" t="s">
        <v>32</v>
      </c>
      <c r="W31" s="1637"/>
      <c r="X31" s="206"/>
      <c r="Y31" s="1646"/>
      <c r="Z31" s="1646"/>
      <c r="AA31" s="1646"/>
      <c r="AB31" s="1647">
        <f>SUM($AA$32:$AA$32)</f>
        <v>7816.0300000000007</v>
      </c>
      <c r="AC31" s="206"/>
      <c r="AD31" s="207"/>
      <c r="AE31" s="1654"/>
      <c r="AF31" s="4383" t="s">
        <v>399</v>
      </c>
    </row>
    <row r="32" spans="1:32" ht="48.75" customHeight="1">
      <c r="A32" s="4360"/>
      <c r="B32" s="4408"/>
      <c r="C32" s="4404"/>
      <c r="D32" s="4378"/>
      <c r="E32" s="4378"/>
      <c r="F32" s="4378"/>
      <c r="G32" s="4378"/>
      <c r="H32" s="4378"/>
      <c r="I32" s="4378"/>
      <c r="J32" s="4378"/>
      <c r="K32" s="4378"/>
      <c r="L32" s="4378"/>
      <c r="M32" s="4393"/>
      <c r="N32" s="4393"/>
      <c r="O32" s="4393"/>
      <c r="P32" s="4378"/>
      <c r="Q32" s="4378"/>
      <c r="R32" s="4381"/>
      <c r="S32" s="1682"/>
      <c r="T32" s="1624"/>
      <c r="U32" s="1624">
        <v>871591413</v>
      </c>
      <c r="V32" s="1630" t="s">
        <v>400</v>
      </c>
      <c r="W32" s="1636">
        <v>1</v>
      </c>
      <c r="X32" s="209" t="s">
        <v>250</v>
      </c>
      <c r="Y32" s="1643">
        <v>7000</v>
      </c>
      <c r="Z32" s="1643">
        <f t="shared" ref="Z32" si="12">+W32*Y32</f>
        <v>7000</v>
      </c>
      <c r="AA32" s="1643">
        <f>(+Z32*1.12)-23.97</f>
        <v>7816.0300000000007</v>
      </c>
      <c r="AB32" s="1645"/>
      <c r="AC32" s="209" t="s">
        <v>251</v>
      </c>
      <c r="AD32" s="205"/>
      <c r="AE32" s="1667"/>
      <c r="AF32" s="4384"/>
    </row>
    <row r="33" spans="1:32" ht="48.75" customHeight="1">
      <c r="A33" s="4360"/>
      <c r="B33" s="4408"/>
      <c r="C33" s="4404"/>
      <c r="D33" s="4378"/>
      <c r="E33" s="4378"/>
      <c r="F33" s="4378"/>
      <c r="G33" s="4378"/>
      <c r="H33" s="4378"/>
      <c r="I33" s="4378"/>
      <c r="J33" s="4378"/>
      <c r="K33" s="4378"/>
      <c r="L33" s="4378"/>
      <c r="M33" s="4393"/>
      <c r="N33" s="4393"/>
      <c r="O33" s="4393"/>
      <c r="P33" s="4378"/>
      <c r="Q33" s="4378"/>
      <c r="R33" s="4381"/>
      <c r="S33" s="1683"/>
      <c r="T33" s="1660"/>
      <c r="U33" s="1668"/>
      <c r="V33" s="1661"/>
      <c r="W33" s="1662"/>
      <c r="X33" s="1663"/>
      <c r="Y33" s="1664"/>
      <c r="Z33" s="1664"/>
      <c r="AA33" s="1664"/>
      <c r="AB33" s="1665"/>
      <c r="AC33" s="1663"/>
      <c r="AD33" s="1666"/>
      <c r="AE33" s="1658"/>
      <c r="AF33" s="4384"/>
    </row>
    <row r="34" spans="1:32" ht="48.75" customHeight="1">
      <c r="A34" s="4360"/>
      <c r="B34" s="4408"/>
      <c r="C34" s="4404"/>
      <c r="D34" s="4378"/>
      <c r="E34" s="4378"/>
      <c r="F34" s="4378"/>
      <c r="G34" s="4378"/>
      <c r="H34" s="4378"/>
      <c r="I34" s="4378"/>
      <c r="J34" s="4378"/>
      <c r="K34" s="4378"/>
      <c r="L34" s="4378"/>
      <c r="M34" s="4393"/>
      <c r="N34" s="4393"/>
      <c r="O34" s="4393"/>
      <c r="P34" s="4378"/>
      <c r="Q34" s="4378"/>
      <c r="R34" s="4381"/>
      <c r="S34" s="1682"/>
      <c r="T34" s="1624"/>
      <c r="U34" s="1624"/>
      <c r="V34" s="1630"/>
      <c r="W34" s="1636"/>
      <c r="X34" s="209"/>
      <c r="Y34" s="1643"/>
      <c r="Z34" s="1643"/>
      <c r="AA34" s="1643"/>
      <c r="AB34" s="1645"/>
      <c r="AC34" s="209"/>
      <c r="AD34" s="205"/>
      <c r="AE34" s="1653"/>
      <c r="AF34" s="4384"/>
    </row>
    <row r="35" spans="1:32" ht="48.75" customHeight="1">
      <c r="A35" s="4360"/>
      <c r="B35" s="4408"/>
      <c r="C35" s="4416"/>
      <c r="D35" s="4411"/>
      <c r="E35" s="4411"/>
      <c r="F35" s="4411"/>
      <c r="G35" s="4411"/>
      <c r="H35" s="4411"/>
      <c r="I35" s="4411"/>
      <c r="J35" s="4411"/>
      <c r="K35" s="4411"/>
      <c r="L35" s="4411"/>
      <c r="M35" s="4420"/>
      <c r="N35" s="4420"/>
      <c r="O35" s="4420"/>
      <c r="P35" s="4411"/>
      <c r="Q35" s="4411"/>
      <c r="R35" s="4419"/>
      <c r="S35" s="1682"/>
      <c r="T35" s="1624"/>
      <c r="U35" s="1624"/>
      <c r="V35" s="1733"/>
      <c r="W35" s="1639"/>
      <c r="X35" s="209"/>
      <c r="Y35" s="1644"/>
      <c r="Z35" s="1643"/>
      <c r="AA35" s="1643"/>
      <c r="AB35" s="1645"/>
      <c r="AC35" s="209"/>
      <c r="AD35" s="205"/>
      <c r="AE35" s="1653"/>
      <c r="AF35" s="4384"/>
    </row>
    <row r="36" spans="1:32" ht="30.75" customHeight="1">
      <c r="A36" s="4360"/>
      <c r="B36" s="4408"/>
      <c r="C36" s="4412" t="s">
        <v>235</v>
      </c>
      <c r="D36" s="4400" t="s">
        <v>236</v>
      </c>
      <c r="E36" s="4400" t="s">
        <v>237</v>
      </c>
      <c r="F36" s="4400" t="s">
        <v>402</v>
      </c>
      <c r="G36" s="4414" t="s">
        <v>239</v>
      </c>
      <c r="H36" s="4400" t="s">
        <v>262</v>
      </c>
      <c r="I36" s="4400" t="s">
        <v>241</v>
      </c>
      <c r="J36" s="4399" t="s">
        <v>3740</v>
      </c>
      <c r="K36" s="4418" t="s">
        <v>403</v>
      </c>
      <c r="L36" s="4395" t="s">
        <v>3748</v>
      </c>
      <c r="M36" s="4401">
        <v>1</v>
      </c>
      <c r="N36" s="4401">
        <v>1</v>
      </c>
      <c r="O36" s="4401">
        <v>1</v>
      </c>
      <c r="P36" s="4395" t="s">
        <v>3907</v>
      </c>
      <c r="Q36" s="4395" t="s">
        <v>3904</v>
      </c>
      <c r="R36" s="4397" t="s">
        <v>375</v>
      </c>
      <c r="S36" s="1685" t="s">
        <v>11</v>
      </c>
      <c r="T36" s="1626">
        <v>531404</v>
      </c>
      <c r="U36" s="1626"/>
      <c r="V36" s="1631" t="s">
        <v>24</v>
      </c>
      <c r="W36" s="1637"/>
      <c r="X36" s="206"/>
      <c r="Y36" s="1646"/>
      <c r="Z36" s="1646"/>
      <c r="AA36" s="1646"/>
      <c r="AB36" s="1647">
        <f>SUM($AA$37:$AA$39)</f>
        <v>896.00000000000011</v>
      </c>
      <c r="AC36" s="206"/>
      <c r="AD36" s="207"/>
      <c r="AE36" s="1654"/>
      <c r="AF36" s="4430"/>
    </row>
    <row r="37" spans="1:32" ht="30.75" customHeight="1">
      <c r="A37" s="4360"/>
      <c r="B37" s="4408"/>
      <c r="C37" s="4404"/>
      <c r="D37" s="4378"/>
      <c r="E37" s="4378"/>
      <c r="F37" s="4378"/>
      <c r="G37" s="4378"/>
      <c r="H37" s="4378"/>
      <c r="I37" s="4378"/>
      <c r="J37" s="4378"/>
      <c r="K37" s="4378"/>
      <c r="L37" s="4378"/>
      <c r="M37" s="4393"/>
      <c r="N37" s="4393"/>
      <c r="O37" s="4393"/>
      <c r="P37" s="4378"/>
      <c r="Q37" s="4378"/>
      <c r="R37" s="4381"/>
      <c r="S37" s="1682"/>
      <c r="T37" s="1624"/>
      <c r="U37" s="1624">
        <v>483530011</v>
      </c>
      <c r="V37" s="1630" t="s">
        <v>404</v>
      </c>
      <c r="W37" s="1636">
        <v>1</v>
      </c>
      <c r="X37" s="209" t="s">
        <v>269</v>
      </c>
      <c r="Y37" s="1643">
        <v>800</v>
      </c>
      <c r="Z37" s="1643">
        <f t="shared" ref="Z37" si="13">+W37*Y37</f>
        <v>800</v>
      </c>
      <c r="AA37" s="1643">
        <f t="shared" ref="AA37" si="14">+Z37*1.12</f>
        <v>896.00000000000011</v>
      </c>
      <c r="AB37" s="1645"/>
      <c r="AC37" s="209" t="s">
        <v>251</v>
      </c>
      <c r="AD37" s="205"/>
      <c r="AE37" s="1653"/>
      <c r="AF37" s="4384"/>
    </row>
    <row r="38" spans="1:32" ht="30.75" customHeight="1">
      <c r="A38" s="4360"/>
      <c r="B38" s="4408"/>
      <c r="C38" s="4404"/>
      <c r="D38" s="4378"/>
      <c r="E38" s="4378"/>
      <c r="F38" s="4378"/>
      <c r="G38" s="4378"/>
      <c r="H38" s="4378"/>
      <c r="I38" s="4378"/>
      <c r="J38" s="4378"/>
      <c r="K38" s="4378"/>
      <c r="L38" s="4378"/>
      <c r="M38" s="4393"/>
      <c r="N38" s="4393"/>
      <c r="O38" s="4393"/>
      <c r="P38" s="4378"/>
      <c r="Q38" s="4378"/>
      <c r="R38" s="4381"/>
      <c r="S38" s="1682"/>
      <c r="T38" s="1624"/>
      <c r="U38" s="1624"/>
      <c r="V38" s="1630"/>
      <c r="W38" s="1636"/>
      <c r="X38" s="209"/>
      <c r="Y38" s="1643"/>
      <c r="Z38" s="1643"/>
      <c r="AA38" s="1643"/>
      <c r="AB38" s="1645"/>
      <c r="AC38" s="209"/>
      <c r="AD38" s="205"/>
      <c r="AE38" s="1653"/>
      <c r="AF38" s="4384"/>
    </row>
    <row r="39" spans="1:32" ht="30.75" customHeight="1">
      <c r="A39" s="4360"/>
      <c r="B39" s="4408"/>
      <c r="C39" s="4404"/>
      <c r="D39" s="4378"/>
      <c r="E39" s="4378"/>
      <c r="F39" s="4378"/>
      <c r="G39" s="4378"/>
      <c r="H39" s="4378"/>
      <c r="I39" s="4378"/>
      <c r="J39" s="4378"/>
      <c r="K39" s="4378"/>
      <c r="L39" s="4378"/>
      <c r="M39" s="4393"/>
      <c r="N39" s="4393"/>
      <c r="O39" s="4393"/>
      <c r="P39" s="4378"/>
      <c r="Q39" s="4378"/>
      <c r="R39" s="4381"/>
      <c r="S39" s="1682"/>
      <c r="T39" s="1624"/>
      <c r="U39" s="1624"/>
      <c r="V39" s="1630"/>
      <c r="W39" s="1636"/>
      <c r="X39" s="209"/>
      <c r="Y39" s="1643"/>
      <c r="Z39" s="1643"/>
      <c r="AA39" s="1643"/>
      <c r="AB39" s="1645"/>
      <c r="AC39" s="209"/>
      <c r="AD39" s="205"/>
      <c r="AE39" s="1653"/>
      <c r="AF39" s="4384"/>
    </row>
    <row r="40" spans="1:32" ht="30.75" customHeight="1">
      <c r="A40" s="4360"/>
      <c r="B40" s="4408"/>
      <c r="C40" s="4413"/>
      <c r="D40" s="4396"/>
      <c r="E40" s="4396"/>
      <c r="F40" s="4396"/>
      <c r="G40" s="4396"/>
      <c r="H40" s="4396"/>
      <c r="I40" s="4396"/>
      <c r="J40" s="4396"/>
      <c r="K40" s="4396"/>
      <c r="L40" s="4396"/>
      <c r="M40" s="4402"/>
      <c r="N40" s="4402"/>
      <c r="O40" s="4402"/>
      <c r="P40" s="4396"/>
      <c r="Q40" s="4396"/>
      <c r="R40" s="4398"/>
      <c r="S40" s="1684"/>
      <c r="T40" s="1627"/>
      <c r="U40" s="1627"/>
      <c r="V40" s="1632"/>
      <c r="W40" s="1638"/>
      <c r="X40" s="210"/>
      <c r="Y40" s="1648"/>
      <c r="Z40" s="1648"/>
      <c r="AA40" s="1648"/>
      <c r="AB40" s="1649"/>
      <c r="AC40" s="210"/>
      <c r="AD40" s="215"/>
      <c r="AE40" s="1655"/>
      <c r="AF40" s="4415"/>
    </row>
    <row r="41" spans="1:32" ht="23.25" customHeight="1">
      <c r="A41" s="4360"/>
      <c r="B41" s="4408"/>
      <c r="C41" s="4403" t="s">
        <v>272</v>
      </c>
      <c r="D41" s="4390" t="s">
        <v>273</v>
      </c>
      <c r="E41" s="4390" t="s">
        <v>388</v>
      </c>
      <c r="F41" s="4390" t="s">
        <v>389</v>
      </c>
      <c r="G41" s="4406" t="s">
        <v>276</v>
      </c>
      <c r="H41" s="4390" t="s">
        <v>314</v>
      </c>
      <c r="I41" s="4390" t="s">
        <v>257</v>
      </c>
      <c r="J41" s="4391" t="s">
        <v>3741</v>
      </c>
      <c r="K41" s="4390" t="s">
        <v>405</v>
      </c>
      <c r="L41" s="4377" t="s">
        <v>3749</v>
      </c>
      <c r="M41" s="4392">
        <v>0</v>
      </c>
      <c r="N41" s="4392">
        <v>0</v>
      </c>
      <c r="O41" s="4392">
        <v>1000</v>
      </c>
      <c r="P41" s="4377" t="s">
        <v>3908</v>
      </c>
      <c r="Q41" s="4377" t="s">
        <v>3905</v>
      </c>
      <c r="R41" s="4380" t="s">
        <v>406</v>
      </c>
      <c r="S41" s="1685"/>
      <c r="T41" s="1626"/>
      <c r="U41" s="1626"/>
      <c r="V41" s="1631"/>
      <c r="W41" s="1637"/>
      <c r="X41" s="206"/>
      <c r="Y41" s="1646"/>
      <c r="Z41" s="1646"/>
      <c r="AA41" s="1646"/>
      <c r="AB41" s="1647"/>
      <c r="AC41" s="206"/>
      <c r="AD41" s="207"/>
      <c r="AE41" s="1654"/>
      <c r="AF41" s="4383"/>
    </row>
    <row r="42" spans="1:32" ht="23.25" customHeight="1">
      <c r="A42" s="4360"/>
      <c r="B42" s="4408"/>
      <c r="C42" s="4404"/>
      <c r="D42" s="4378"/>
      <c r="E42" s="4378"/>
      <c r="F42" s="4378"/>
      <c r="G42" s="4378"/>
      <c r="H42" s="4378"/>
      <c r="I42" s="4378"/>
      <c r="J42" s="4378"/>
      <c r="K42" s="4378"/>
      <c r="L42" s="4378"/>
      <c r="M42" s="4393"/>
      <c r="N42" s="4393"/>
      <c r="O42" s="4393"/>
      <c r="P42" s="4378"/>
      <c r="Q42" s="4378"/>
      <c r="R42" s="4381"/>
      <c r="S42" s="1682"/>
      <c r="T42" s="1624"/>
      <c r="U42" s="1624"/>
      <c r="V42" s="1630"/>
      <c r="W42" s="1636"/>
      <c r="X42" s="209"/>
      <c r="Y42" s="1643"/>
      <c r="Z42" s="1643"/>
      <c r="AA42" s="1643"/>
      <c r="AB42" s="1645"/>
      <c r="AC42" s="209"/>
      <c r="AD42" s="205"/>
      <c r="AE42" s="1653"/>
      <c r="AF42" s="4384"/>
    </row>
    <row r="43" spans="1:32" ht="23.25" customHeight="1">
      <c r="A43" s="4360"/>
      <c r="B43" s="4408"/>
      <c r="C43" s="4404"/>
      <c r="D43" s="4378"/>
      <c r="E43" s="4378"/>
      <c r="F43" s="4378"/>
      <c r="G43" s="4378"/>
      <c r="H43" s="4378"/>
      <c r="I43" s="4378"/>
      <c r="J43" s="4378"/>
      <c r="K43" s="4378"/>
      <c r="L43" s="4378"/>
      <c r="M43" s="4393"/>
      <c r="N43" s="4393"/>
      <c r="O43" s="4393"/>
      <c r="P43" s="4378"/>
      <c r="Q43" s="4378"/>
      <c r="R43" s="4381"/>
      <c r="S43" s="1682"/>
      <c r="T43" s="1624"/>
      <c r="U43" s="1624"/>
      <c r="V43" s="1630"/>
      <c r="W43" s="1636"/>
      <c r="X43" s="209"/>
      <c r="Y43" s="1643"/>
      <c r="Z43" s="1643"/>
      <c r="AA43" s="1643"/>
      <c r="AB43" s="1645"/>
      <c r="AC43" s="209"/>
      <c r="AD43" s="205"/>
      <c r="AE43" s="1653"/>
      <c r="AF43" s="4384"/>
    </row>
    <row r="44" spans="1:32" ht="23.25" customHeight="1">
      <c r="A44" s="4360"/>
      <c r="B44" s="4408"/>
      <c r="C44" s="4404"/>
      <c r="D44" s="4378"/>
      <c r="E44" s="4378"/>
      <c r="F44" s="4378"/>
      <c r="G44" s="4378"/>
      <c r="H44" s="4378"/>
      <c r="I44" s="4378"/>
      <c r="J44" s="4378"/>
      <c r="K44" s="4378"/>
      <c r="L44" s="4378"/>
      <c r="M44" s="4393"/>
      <c r="N44" s="4393"/>
      <c r="O44" s="4393"/>
      <c r="P44" s="4378"/>
      <c r="Q44" s="4378"/>
      <c r="R44" s="4381"/>
      <c r="S44" s="1683"/>
      <c r="T44" s="1625"/>
      <c r="U44" s="1625"/>
      <c r="V44" s="1630"/>
      <c r="W44" s="1636"/>
      <c r="X44" s="209"/>
      <c r="Y44" s="1643"/>
      <c r="Z44" s="1643"/>
      <c r="AA44" s="1643"/>
      <c r="AB44" s="1645"/>
      <c r="AC44" s="209"/>
      <c r="AD44" s="205"/>
      <c r="AE44" s="1653"/>
      <c r="AF44" s="4384"/>
    </row>
    <row r="45" spans="1:32" ht="23.25" customHeight="1">
      <c r="A45" s="4360"/>
      <c r="B45" s="4408"/>
      <c r="C45" s="4416"/>
      <c r="D45" s="4411"/>
      <c r="E45" s="4411"/>
      <c r="F45" s="4411"/>
      <c r="G45" s="4411"/>
      <c r="H45" s="4411"/>
      <c r="I45" s="4411"/>
      <c r="J45" s="4411"/>
      <c r="K45" s="4411"/>
      <c r="L45" s="4411"/>
      <c r="M45" s="4420"/>
      <c r="N45" s="4420"/>
      <c r="O45" s="4420"/>
      <c r="P45" s="4411"/>
      <c r="Q45" s="4411"/>
      <c r="R45" s="4419"/>
      <c r="S45" s="1684"/>
      <c r="T45" s="1627"/>
      <c r="U45" s="1627"/>
      <c r="V45" s="1632"/>
      <c r="W45" s="1638"/>
      <c r="X45" s="210"/>
      <c r="Y45" s="1648"/>
      <c r="Z45" s="1648"/>
      <c r="AA45" s="1648"/>
      <c r="AB45" s="1649"/>
      <c r="AC45" s="210"/>
      <c r="AD45" s="215"/>
      <c r="AE45" s="1655"/>
      <c r="AF45" s="4415"/>
    </row>
    <row r="46" spans="1:32" ht="30.75" customHeight="1">
      <c r="A46" s="4360"/>
      <c r="B46" s="4408"/>
      <c r="C46" s="4412" t="s">
        <v>235</v>
      </c>
      <c r="D46" s="4400" t="s">
        <v>236</v>
      </c>
      <c r="E46" s="4400" t="s">
        <v>237</v>
      </c>
      <c r="F46" s="4400" t="s">
        <v>255</v>
      </c>
      <c r="G46" s="4414" t="s">
        <v>239</v>
      </c>
      <c r="H46" s="4400" t="s">
        <v>256</v>
      </c>
      <c r="I46" s="4400" t="s">
        <v>257</v>
      </c>
      <c r="J46" s="4399" t="s">
        <v>3742</v>
      </c>
      <c r="K46" s="4400" t="s">
        <v>338</v>
      </c>
      <c r="L46" s="4395" t="s">
        <v>3750</v>
      </c>
      <c r="M46" s="4401">
        <v>0</v>
      </c>
      <c r="N46" s="4401">
        <v>1</v>
      </c>
      <c r="O46" s="4401">
        <v>1</v>
      </c>
      <c r="P46" s="4395" t="s">
        <v>3910</v>
      </c>
      <c r="Q46" s="4395" t="s">
        <v>3909</v>
      </c>
      <c r="R46" s="4397" t="s">
        <v>407</v>
      </c>
      <c r="S46" s="1685"/>
      <c r="T46" s="1626"/>
      <c r="U46" s="1626"/>
      <c r="V46" s="1631"/>
      <c r="W46" s="1637"/>
      <c r="X46" s="206"/>
      <c r="Y46" s="1646"/>
      <c r="Z46" s="1646"/>
      <c r="AA46" s="1646"/>
      <c r="AB46" s="1647"/>
      <c r="AC46" s="206"/>
      <c r="AD46" s="212"/>
      <c r="AE46" s="1656"/>
      <c r="AF46" s="4383"/>
    </row>
    <row r="47" spans="1:32" ht="30.75" customHeight="1">
      <c r="A47" s="4360"/>
      <c r="B47" s="4408"/>
      <c r="C47" s="4404"/>
      <c r="D47" s="4378"/>
      <c r="E47" s="4378"/>
      <c r="F47" s="4378"/>
      <c r="G47" s="4378"/>
      <c r="H47" s="4378"/>
      <c r="I47" s="4378"/>
      <c r="J47" s="4378"/>
      <c r="K47" s="4378"/>
      <c r="L47" s="4378"/>
      <c r="M47" s="4393"/>
      <c r="N47" s="4393"/>
      <c r="O47" s="4393"/>
      <c r="P47" s="4378"/>
      <c r="Q47" s="4378"/>
      <c r="R47" s="4381"/>
      <c r="S47" s="1682"/>
      <c r="T47" s="1624"/>
      <c r="U47" s="1624"/>
      <c r="V47" s="1630"/>
      <c r="W47" s="1636"/>
      <c r="X47" s="209"/>
      <c r="Y47" s="1643"/>
      <c r="Z47" s="1643"/>
      <c r="AA47" s="1643"/>
      <c r="AB47" s="1645"/>
      <c r="AC47" s="209"/>
      <c r="AD47" s="209"/>
      <c r="AE47" s="1657"/>
      <c r="AF47" s="4384"/>
    </row>
    <row r="48" spans="1:32" ht="30.75" customHeight="1">
      <c r="A48" s="4360"/>
      <c r="B48" s="4408"/>
      <c r="C48" s="4404"/>
      <c r="D48" s="4378"/>
      <c r="E48" s="4378"/>
      <c r="F48" s="4378"/>
      <c r="G48" s="4378"/>
      <c r="H48" s="4378"/>
      <c r="I48" s="4378"/>
      <c r="J48" s="4378"/>
      <c r="K48" s="4378"/>
      <c r="L48" s="4378"/>
      <c r="M48" s="4393"/>
      <c r="N48" s="4393"/>
      <c r="O48" s="4393"/>
      <c r="P48" s="4378"/>
      <c r="Q48" s="4378"/>
      <c r="R48" s="4381"/>
      <c r="S48" s="1682"/>
      <c r="T48" s="1624"/>
      <c r="U48" s="1624"/>
      <c r="V48" s="1630"/>
      <c r="W48" s="1636"/>
      <c r="X48" s="209"/>
      <c r="Y48" s="1643"/>
      <c r="Z48" s="1643"/>
      <c r="AA48" s="1643"/>
      <c r="AB48" s="1645"/>
      <c r="AC48" s="209"/>
      <c r="AD48" s="209"/>
      <c r="AE48" s="1653"/>
      <c r="AF48" s="4384"/>
    </row>
    <row r="49" spans="1:32" ht="30.75" customHeight="1">
      <c r="A49" s="4360"/>
      <c r="B49" s="4408"/>
      <c r="C49" s="4404"/>
      <c r="D49" s="4378"/>
      <c r="E49" s="4378"/>
      <c r="F49" s="4378"/>
      <c r="G49" s="4378"/>
      <c r="H49" s="4378"/>
      <c r="I49" s="4378"/>
      <c r="J49" s="4378"/>
      <c r="K49" s="4378"/>
      <c r="L49" s="4378"/>
      <c r="M49" s="4393"/>
      <c r="N49" s="4393"/>
      <c r="O49" s="4393"/>
      <c r="P49" s="4378"/>
      <c r="Q49" s="4378"/>
      <c r="R49" s="4381"/>
      <c r="S49" s="1682"/>
      <c r="T49" s="1624"/>
      <c r="U49" s="1624"/>
      <c r="V49" s="1630"/>
      <c r="W49" s="1636"/>
      <c r="X49" s="209"/>
      <c r="Y49" s="1643"/>
      <c r="Z49" s="1643"/>
      <c r="AA49" s="1643"/>
      <c r="AB49" s="1645"/>
      <c r="AC49" s="209"/>
      <c r="AD49" s="209"/>
      <c r="AE49" s="1653"/>
      <c r="AF49" s="4384"/>
    </row>
    <row r="50" spans="1:32" ht="30.75" customHeight="1">
      <c r="A50" s="4360"/>
      <c r="B50" s="4408"/>
      <c r="C50" s="4413"/>
      <c r="D50" s="4396"/>
      <c r="E50" s="4396"/>
      <c r="F50" s="4396"/>
      <c r="G50" s="4396"/>
      <c r="H50" s="4396"/>
      <c r="I50" s="4396"/>
      <c r="J50" s="4396"/>
      <c r="K50" s="4396"/>
      <c r="L50" s="4396"/>
      <c r="M50" s="4402"/>
      <c r="N50" s="4402"/>
      <c r="O50" s="4402"/>
      <c r="P50" s="4396"/>
      <c r="Q50" s="4396"/>
      <c r="R50" s="4398"/>
      <c r="S50" s="1684"/>
      <c r="T50" s="1627"/>
      <c r="U50" s="1627"/>
      <c r="V50" s="1632"/>
      <c r="W50" s="1638"/>
      <c r="X50" s="210"/>
      <c r="Y50" s="1648"/>
      <c r="Z50" s="1648"/>
      <c r="AA50" s="1648"/>
      <c r="AB50" s="1649"/>
      <c r="AC50" s="210"/>
      <c r="AD50" s="210"/>
      <c r="AE50" s="1655"/>
      <c r="AF50" s="4415"/>
    </row>
    <row r="51" spans="1:32" ht="30.75" customHeight="1">
      <c r="A51" s="4360"/>
      <c r="B51" s="4408"/>
      <c r="C51" s="4403" t="s">
        <v>235</v>
      </c>
      <c r="D51" s="4390" t="s">
        <v>236</v>
      </c>
      <c r="E51" s="4390" t="s">
        <v>237</v>
      </c>
      <c r="F51" s="4390" t="s">
        <v>326</v>
      </c>
      <c r="G51" s="4406" t="s">
        <v>239</v>
      </c>
      <c r="H51" s="4390" t="s">
        <v>240</v>
      </c>
      <c r="I51" s="4390" t="s">
        <v>257</v>
      </c>
      <c r="J51" s="4391" t="s">
        <v>3743</v>
      </c>
      <c r="K51" s="4390" t="s">
        <v>371</v>
      </c>
      <c r="L51" s="4377" t="s">
        <v>3751</v>
      </c>
      <c r="M51" s="4392">
        <v>100</v>
      </c>
      <c r="N51" s="4392">
        <v>100</v>
      </c>
      <c r="O51" s="4392">
        <v>100</v>
      </c>
      <c r="P51" s="4377" t="s">
        <v>3912</v>
      </c>
      <c r="Q51" s="4377" t="s">
        <v>3911</v>
      </c>
      <c r="R51" s="4380" t="s">
        <v>409</v>
      </c>
      <c r="S51" s="1685"/>
      <c r="T51" s="1626"/>
      <c r="U51" s="1626"/>
      <c r="V51" s="1631"/>
      <c r="W51" s="1637"/>
      <c r="X51" s="206"/>
      <c r="Y51" s="1646"/>
      <c r="Z51" s="1646"/>
      <c r="AA51" s="1646"/>
      <c r="AB51" s="1647"/>
      <c r="AC51" s="206"/>
      <c r="AD51" s="207"/>
      <c r="AE51" s="1654"/>
      <c r="AF51" s="4383"/>
    </row>
    <row r="52" spans="1:32" ht="30.75" customHeight="1">
      <c r="A52" s="4360"/>
      <c r="B52" s="4408"/>
      <c r="C52" s="4404"/>
      <c r="D52" s="4378"/>
      <c r="E52" s="4378"/>
      <c r="F52" s="4378"/>
      <c r="G52" s="4378"/>
      <c r="H52" s="4378"/>
      <c r="I52" s="4378"/>
      <c r="J52" s="4378"/>
      <c r="K52" s="4378"/>
      <c r="L52" s="4378"/>
      <c r="M52" s="4393"/>
      <c r="N52" s="4393"/>
      <c r="O52" s="4393"/>
      <c r="P52" s="4378"/>
      <c r="Q52" s="4378"/>
      <c r="R52" s="4381"/>
      <c r="S52" s="1682"/>
      <c r="T52" s="1624"/>
      <c r="U52" s="1624"/>
      <c r="V52" s="1630"/>
      <c r="W52" s="1636"/>
      <c r="X52" s="209"/>
      <c r="Y52" s="1643"/>
      <c r="Z52" s="1643"/>
      <c r="AA52" s="1643"/>
      <c r="AB52" s="1645"/>
      <c r="AC52" s="209"/>
      <c r="AD52" s="205"/>
      <c r="AE52" s="1653"/>
      <c r="AF52" s="4384"/>
    </row>
    <row r="53" spans="1:32" ht="30.75" customHeight="1">
      <c r="A53" s="4360"/>
      <c r="B53" s="4408"/>
      <c r="C53" s="4404"/>
      <c r="D53" s="4378"/>
      <c r="E53" s="4378"/>
      <c r="F53" s="4378"/>
      <c r="G53" s="4378"/>
      <c r="H53" s="4378"/>
      <c r="I53" s="4378"/>
      <c r="J53" s="4378"/>
      <c r="K53" s="4378"/>
      <c r="L53" s="4378"/>
      <c r="M53" s="4393"/>
      <c r="N53" s="4393"/>
      <c r="O53" s="4393"/>
      <c r="P53" s="4378"/>
      <c r="Q53" s="4378"/>
      <c r="R53" s="4381"/>
      <c r="S53" s="1682"/>
      <c r="T53" s="1624"/>
      <c r="U53" s="1624"/>
      <c r="V53" s="1630"/>
      <c r="W53" s="1636"/>
      <c r="X53" s="209"/>
      <c r="Y53" s="1643"/>
      <c r="Z53" s="1643"/>
      <c r="AA53" s="1643"/>
      <c r="AB53" s="1645"/>
      <c r="AC53" s="209"/>
      <c r="AD53" s="205"/>
      <c r="AE53" s="1653"/>
      <c r="AF53" s="4384"/>
    </row>
    <row r="54" spans="1:32" ht="30.75" customHeight="1">
      <c r="A54" s="4360"/>
      <c r="B54" s="4408"/>
      <c r="C54" s="4404"/>
      <c r="D54" s="4378"/>
      <c r="E54" s="4378"/>
      <c r="F54" s="4378"/>
      <c r="G54" s="4378"/>
      <c r="H54" s="4378"/>
      <c r="I54" s="4378"/>
      <c r="J54" s="4378"/>
      <c r="K54" s="4378"/>
      <c r="L54" s="4378"/>
      <c r="M54" s="4393"/>
      <c r="N54" s="4393"/>
      <c r="O54" s="4393"/>
      <c r="P54" s="4378"/>
      <c r="Q54" s="4378"/>
      <c r="R54" s="4381"/>
      <c r="S54" s="1682"/>
      <c r="T54" s="1624"/>
      <c r="U54" s="1624"/>
      <c r="V54" s="1630"/>
      <c r="W54" s="1636"/>
      <c r="X54" s="209"/>
      <c r="Y54" s="1643"/>
      <c r="Z54" s="1643"/>
      <c r="AA54" s="1643"/>
      <c r="AB54" s="1645"/>
      <c r="AC54" s="209"/>
      <c r="AD54" s="205"/>
      <c r="AE54" s="1653"/>
      <c r="AF54" s="4384"/>
    </row>
    <row r="55" spans="1:32" ht="30.75" customHeight="1" thickBot="1">
      <c r="A55" s="4360"/>
      <c r="B55" s="4409"/>
      <c r="C55" s="4405"/>
      <c r="D55" s="4379"/>
      <c r="E55" s="4379"/>
      <c r="F55" s="4379"/>
      <c r="G55" s="4379"/>
      <c r="H55" s="4379"/>
      <c r="I55" s="4379"/>
      <c r="J55" s="4379"/>
      <c r="K55" s="4379"/>
      <c r="L55" s="4379"/>
      <c r="M55" s="4394"/>
      <c r="N55" s="4394"/>
      <c r="O55" s="4394"/>
      <c r="P55" s="4379"/>
      <c r="Q55" s="4379"/>
      <c r="R55" s="4382"/>
      <c r="S55" s="1688"/>
      <c r="T55" s="1628"/>
      <c r="U55" s="1628"/>
      <c r="V55" s="1634"/>
      <c r="W55" s="1640"/>
      <c r="X55" s="216"/>
      <c r="Y55" s="1650"/>
      <c r="Z55" s="1650"/>
      <c r="AA55" s="1650"/>
      <c r="AB55" s="1651"/>
      <c r="AC55" s="216"/>
      <c r="AD55" s="217"/>
      <c r="AE55" s="1659"/>
      <c r="AF55" s="4385"/>
    </row>
    <row r="56" spans="1:32" ht="22.5" customHeight="1" thickBot="1">
      <c r="A56" s="4362"/>
      <c r="B56" s="1988"/>
      <c r="C56" s="1927"/>
      <c r="D56" s="1926"/>
      <c r="E56" s="1926"/>
      <c r="F56" s="1926"/>
      <c r="G56" s="1926"/>
      <c r="H56" s="1926"/>
      <c r="I56" s="1926"/>
      <c r="J56" s="1926"/>
      <c r="K56" s="1926"/>
      <c r="L56" s="1926"/>
      <c r="M56" s="1926"/>
      <c r="N56" s="1926"/>
      <c r="O56" s="1926"/>
      <c r="P56" s="1926"/>
      <c r="Q56" s="1926"/>
      <c r="R56" s="1926"/>
      <c r="S56" s="4313" t="s">
        <v>3923</v>
      </c>
      <c r="T56" s="4386"/>
      <c r="U56" s="4386"/>
      <c r="V56" s="4386"/>
      <c r="W56" s="4386"/>
      <c r="X56" s="4386"/>
      <c r="Y56" s="4386"/>
      <c r="Z56" s="4386"/>
      <c r="AA56" s="2171" t="s">
        <v>340</v>
      </c>
      <c r="AB56" s="1989">
        <f>SUM(AB9:AB55)</f>
        <v>112431.87000000001</v>
      </c>
      <c r="AC56" s="4387"/>
      <c r="AD56" s="4316"/>
      <c r="AE56" s="4316"/>
      <c r="AF56" s="4317"/>
    </row>
    <row r="57" spans="1:32" ht="16.5" thickTop="1">
      <c r="A57" s="100"/>
      <c r="B57" s="218"/>
      <c r="C57" s="219" t="s">
        <v>410</v>
      </c>
      <c r="D57" s="100"/>
      <c r="E57" s="100"/>
      <c r="F57" s="100"/>
      <c r="G57" s="100"/>
      <c r="H57" s="100"/>
      <c r="I57" s="100"/>
      <c r="J57" s="100"/>
      <c r="K57" s="100"/>
      <c r="L57" s="100"/>
      <c r="M57" s="100"/>
      <c r="N57" s="100"/>
      <c r="O57" s="100"/>
      <c r="P57" s="100"/>
      <c r="Q57" s="100"/>
      <c r="R57" s="100"/>
      <c r="S57" s="4388" t="s">
        <v>411</v>
      </c>
      <c r="T57" s="4150"/>
      <c r="U57" s="4150"/>
      <c r="V57" s="4150"/>
      <c r="W57" s="4150"/>
      <c r="X57" s="4150"/>
      <c r="Y57" s="4150"/>
      <c r="Z57" s="4150"/>
      <c r="AA57" s="4150"/>
      <c r="AB57" s="4150"/>
      <c r="AC57" s="4150"/>
      <c r="AD57" s="4150"/>
      <c r="AE57" s="4150"/>
      <c r="AF57" s="4150"/>
    </row>
    <row r="58" spans="1:32" s="1487" customFormat="1" ht="16.5">
      <c r="A58" s="1486"/>
      <c r="B58" s="219"/>
      <c r="C58" s="219" t="s">
        <v>412</v>
      </c>
      <c r="D58" s="1486"/>
      <c r="E58" s="1486"/>
      <c r="F58" s="1486"/>
      <c r="G58" s="1486"/>
      <c r="H58" s="1486"/>
      <c r="I58" s="1486"/>
      <c r="J58" s="1486"/>
      <c r="K58" s="1486"/>
      <c r="L58" s="1486"/>
      <c r="M58" s="1486"/>
      <c r="N58" s="1486"/>
      <c r="O58" s="1486"/>
      <c r="P58" s="1486"/>
      <c r="Q58" s="1486"/>
      <c r="R58" s="1486"/>
      <c r="S58" s="1489"/>
    </row>
    <row r="59" spans="1:32" ht="16.5" customHeight="1">
      <c r="A59" s="100"/>
      <c r="B59" s="218"/>
      <c r="D59" s="100"/>
      <c r="E59" s="100"/>
      <c r="F59" s="100"/>
      <c r="G59" s="100"/>
      <c r="H59" s="100"/>
      <c r="I59" s="100"/>
      <c r="J59" s="100"/>
      <c r="K59" s="100"/>
      <c r="L59" s="100"/>
      <c r="M59" s="100"/>
      <c r="N59" s="100"/>
      <c r="O59" s="100"/>
      <c r="P59" s="100"/>
      <c r="Q59" s="100"/>
      <c r="R59" s="100"/>
      <c r="S59" s="221"/>
      <c r="T59" s="222"/>
      <c r="U59" s="4222" t="s">
        <v>343</v>
      </c>
      <c r="V59" s="4223"/>
      <c r="W59" s="4223"/>
      <c r="X59" s="4223"/>
      <c r="Y59" s="4223"/>
      <c r="Z59" s="4223"/>
      <c r="AA59" s="4389"/>
      <c r="AB59" s="4150"/>
      <c r="AC59" s="221"/>
      <c r="AD59" s="221"/>
      <c r="AE59" s="223"/>
    </row>
    <row r="60" spans="1:32" ht="17.25" thickBot="1">
      <c r="A60" s="100"/>
      <c r="B60" s="100"/>
      <c r="C60" s="100"/>
      <c r="D60" s="100"/>
      <c r="E60" s="100"/>
      <c r="F60" s="100"/>
      <c r="G60" s="100"/>
      <c r="H60" s="100"/>
      <c r="I60" s="100"/>
      <c r="J60" s="100"/>
      <c r="K60" s="100"/>
      <c r="L60" s="100"/>
      <c r="M60" s="100"/>
      <c r="N60" s="100"/>
      <c r="O60" s="100"/>
      <c r="P60" s="100"/>
      <c r="Q60" s="100"/>
      <c r="R60" s="100"/>
      <c r="S60" s="221"/>
      <c r="T60" s="224"/>
      <c r="U60" s="221"/>
      <c r="V60" s="221"/>
      <c r="W60" s="221"/>
      <c r="X60" s="221"/>
      <c r="Y60" s="221"/>
      <c r="Z60" s="221"/>
      <c r="AA60" s="225"/>
      <c r="AB60" s="225"/>
      <c r="AC60" s="221"/>
      <c r="AD60" s="221"/>
      <c r="AE60" s="223"/>
    </row>
    <row r="61" spans="1:32" ht="16.5" customHeight="1" thickTop="1">
      <c r="A61" s="100"/>
      <c r="B61" s="100"/>
      <c r="C61" s="100"/>
      <c r="D61" s="100"/>
      <c r="E61" s="100"/>
      <c r="F61" s="100"/>
      <c r="G61" s="100"/>
      <c r="H61" s="100"/>
      <c r="I61" s="100"/>
      <c r="J61" s="100"/>
      <c r="K61" s="100"/>
      <c r="L61" s="100"/>
      <c r="M61" s="100"/>
      <c r="N61" s="100"/>
      <c r="O61" s="100"/>
      <c r="P61" s="98"/>
      <c r="Q61" s="98"/>
      <c r="R61" s="98"/>
      <c r="S61" s="226"/>
      <c r="T61" s="190"/>
      <c r="U61" s="2238" t="s">
        <v>4</v>
      </c>
      <c r="V61" s="2239" t="s">
        <v>344</v>
      </c>
      <c r="W61" s="2240" t="s">
        <v>6</v>
      </c>
      <c r="X61" s="2241" t="s">
        <v>345</v>
      </c>
      <c r="Y61" s="2241" t="s">
        <v>8</v>
      </c>
      <c r="Z61" s="2242" t="s">
        <v>346</v>
      </c>
      <c r="AA61" s="227"/>
      <c r="AB61" s="227"/>
      <c r="AC61" s="221"/>
      <c r="AD61" s="221"/>
      <c r="AE61" s="223"/>
    </row>
    <row r="62" spans="1:32" ht="66">
      <c r="A62" s="100"/>
      <c r="B62" s="100"/>
      <c r="C62" s="100"/>
      <c r="D62" s="100"/>
      <c r="E62" s="100"/>
      <c r="F62" s="100"/>
      <c r="G62" s="100"/>
      <c r="H62" s="100"/>
      <c r="I62" s="100"/>
      <c r="J62" s="100"/>
      <c r="K62" s="100"/>
      <c r="L62" s="100"/>
      <c r="M62" s="100"/>
      <c r="N62" s="100"/>
      <c r="O62" s="100"/>
      <c r="P62" s="98"/>
      <c r="Q62" s="98"/>
      <c r="R62" s="98"/>
      <c r="S62" s="225"/>
      <c r="T62" s="224"/>
      <c r="U62" s="1617" t="s">
        <v>29</v>
      </c>
      <c r="V62" s="1618" t="s">
        <v>26</v>
      </c>
      <c r="W62" s="1616">
        <v>530204</v>
      </c>
      <c r="X62" s="1568" t="s">
        <v>13</v>
      </c>
      <c r="Y62" s="1568" t="s">
        <v>30</v>
      </c>
      <c r="Z62" s="1619">
        <f>SUM($AA$12:$AA$12)</f>
        <v>24640.000000000004</v>
      </c>
      <c r="AA62" s="228"/>
      <c r="AB62" s="229"/>
      <c r="AC62" s="221"/>
      <c r="AD62" s="221"/>
      <c r="AE62" s="223"/>
    </row>
    <row r="63" spans="1:32" ht="66">
      <c r="A63" s="100"/>
      <c r="B63" s="100"/>
      <c r="C63" s="100"/>
      <c r="D63" s="100"/>
      <c r="E63" s="100"/>
      <c r="F63" s="100"/>
      <c r="G63" s="100"/>
      <c r="H63" s="100"/>
      <c r="I63" s="100"/>
      <c r="J63" s="100"/>
      <c r="K63" s="100"/>
      <c r="L63" s="100"/>
      <c r="M63" s="100"/>
      <c r="N63" s="100"/>
      <c r="O63" s="100"/>
      <c r="P63" s="98"/>
      <c r="Q63" s="135"/>
      <c r="R63" s="135"/>
      <c r="S63" s="135"/>
      <c r="T63" s="224"/>
      <c r="U63" s="1689" t="s">
        <v>11</v>
      </c>
      <c r="V63" s="1618" t="s">
        <v>26</v>
      </c>
      <c r="W63" s="1616">
        <v>530204</v>
      </c>
      <c r="X63" s="1568" t="s">
        <v>13</v>
      </c>
      <c r="Y63" s="1568" t="s">
        <v>14</v>
      </c>
      <c r="Z63" s="1619">
        <f>SUM($AA$22:$AA$23)</f>
        <v>9670.0800000000017</v>
      </c>
      <c r="AA63" s="230"/>
      <c r="AB63" s="229"/>
      <c r="AC63" s="221"/>
      <c r="AD63" s="221"/>
      <c r="AE63" s="223"/>
    </row>
    <row r="64" spans="1:32" ht="16.5">
      <c r="A64" s="100"/>
      <c r="B64" s="100"/>
      <c r="C64" s="100"/>
      <c r="D64" s="100"/>
      <c r="E64" s="100"/>
      <c r="F64" s="100"/>
      <c r="G64" s="100"/>
      <c r="H64" s="100"/>
      <c r="I64" s="100"/>
      <c r="J64" s="100"/>
      <c r="K64" s="100"/>
      <c r="L64" s="100"/>
      <c r="M64" s="100"/>
      <c r="N64" s="100"/>
      <c r="O64" s="100"/>
      <c r="P64" s="98"/>
      <c r="Q64" s="135"/>
      <c r="R64" s="135"/>
      <c r="S64" s="135"/>
      <c r="T64" s="224"/>
      <c r="U64" s="1689" t="s">
        <v>11</v>
      </c>
      <c r="V64" s="1618" t="s">
        <v>31</v>
      </c>
      <c r="W64" s="1616">
        <v>530207</v>
      </c>
      <c r="X64" s="1568" t="s">
        <v>13</v>
      </c>
      <c r="Y64" s="1568" t="s">
        <v>14</v>
      </c>
      <c r="Z64" s="1619">
        <f>SUM($AA$10:$AA$10)</f>
        <v>45920.000000000007</v>
      </c>
      <c r="AA64" s="227"/>
      <c r="AB64" s="231"/>
      <c r="AC64" s="221"/>
      <c r="AD64" s="221"/>
      <c r="AE64" s="223"/>
    </row>
    <row r="65" spans="1:31" ht="33">
      <c r="A65" s="100"/>
      <c r="B65" s="100"/>
      <c r="C65" s="100"/>
      <c r="D65" s="100"/>
      <c r="E65" s="100"/>
      <c r="F65" s="100"/>
      <c r="G65" s="100"/>
      <c r="H65" s="100"/>
      <c r="I65" s="100"/>
      <c r="J65" s="100"/>
      <c r="K65" s="100"/>
      <c r="L65" s="100"/>
      <c r="M65" s="100"/>
      <c r="N65" s="100"/>
      <c r="O65" s="100"/>
      <c r="P65" s="98"/>
      <c r="Q65" s="135"/>
      <c r="R65" s="135"/>
      <c r="S65" s="135"/>
      <c r="T65" s="224"/>
      <c r="U65" s="1689" t="s">
        <v>11</v>
      </c>
      <c r="V65" s="1618" t="s">
        <v>32</v>
      </c>
      <c r="W65" s="1616">
        <v>530404</v>
      </c>
      <c r="X65" s="1568" t="s">
        <v>13</v>
      </c>
      <c r="Y65" s="1568" t="s">
        <v>14</v>
      </c>
      <c r="Z65" s="1619">
        <f>SUM($AA$32:$AA$32)</f>
        <v>7816.0300000000007</v>
      </c>
      <c r="AA65" s="232"/>
      <c r="AB65" s="232"/>
      <c r="AC65" s="221"/>
      <c r="AD65" s="221"/>
      <c r="AE65" s="223"/>
    </row>
    <row r="66" spans="1:31" ht="16.5" customHeight="1">
      <c r="A66" s="100"/>
      <c r="B66" s="100"/>
      <c r="C66" s="100"/>
      <c r="D66" s="100"/>
      <c r="E66" s="100"/>
      <c r="F66" s="100"/>
      <c r="G66" s="100"/>
      <c r="H66" s="100"/>
      <c r="I66" s="100"/>
      <c r="J66" s="100"/>
      <c r="K66" s="100"/>
      <c r="L66" s="100"/>
      <c r="M66" s="100"/>
      <c r="N66" s="100"/>
      <c r="O66" s="100"/>
      <c r="P66" s="98"/>
      <c r="Q66" s="135"/>
      <c r="R66" s="135"/>
      <c r="S66" s="135"/>
      <c r="T66" s="224"/>
      <c r="U66" s="1689" t="s">
        <v>11</v>
      </c>
      <c r="V66" s="1618" t="s">
        <v>24</v>
      </c>
      <c r="W66" s="1616">
        <v>531404</v>
      </c>
      <c r="X66" s="1568" t="s">
        <v>13</v>
      </c>
      <c r="Y66" s="1568" t="s">
        <v>14</v>
      </c>
      <c r="Z66" s="1619">
        <f>SUM($AA$37:$AA$39)</f>
        <v>896.00000000000011</v>
      </c>
      <c r="AA66" s="232"/>
      <c r="AB66" s="232"/>
      <c r="AC66" s="221"/>
      <c r="AD66" s="221"/>
      <c r="AE66" s="223"/>
    </row>
    <row r="67" spans="1:31" ht="16.5" customHeight="1">
      <c r="A67" s="100"/>
      <c r="B67" s="100"/>
      <c r="C67" s="100"/>
      <c r="D67" s="100"/>
      <c r="E67" s="100"/>
      <c r="F67" s="100"/>
      <c r="G67" s="100"/>
      <c r="H67" s="100"/>
      <c r="I67" s="100"/>
      <c r="J67" s="100"/>
      <c r="K67" s="100"/>
      <c r="L67" s="100"/>
      <c r="M67" s="100"/>
      <c r="N67" s="100"/>
      <c r="O67" s="100"/>
      <c r="P67" s="98"/>
      <c r="Q67" s="135"/>
      <c r="R67" s="135"/>
      <c r="S67" s="135"/>
      <c r="T67" s="224"/>
      <c r="U67" s="1689" t="s">
        <v>11</v>
      </c>
      <c r="V67" s="1618" t="s">
        <v>24</v>
      </c>
      <c r="W67" s="1616">
        <v>840104</v>
      </c>
      <c r="X67" s="1568" t="s">
        <v>13</v>
      </c>
      <c r="Y67" s="1570" t="s">
        <v>14</v>
      </c>
      <c r="Z67" s="1619">
        <f>SUM($AA$15:$AA$20)</f>
        <v>19554.080000000002</v>
      </c>
      <c r="AA67" s="232"/>
      <c r="AB67" s="232"/>
      <c r="AC67" s="221"/>
      <c r="AD67" s="221"/>
      <c r="AE67" s="223"/>
    </row>
    <row r="68" spans="1:31" ht="16.5" customHeight="1">
      <c r="A68" s="100"/>
      <c r="B68" s="100"/>
      <c r="C68" s="100"/>
      <c r="D68" s="100"/>
      <c r="E68" s="100"/>
      <c r="F68" s="100"/>
      <c r="G68" s="100"/>
      <c r="H68" s="100"/>
      <c r="I68" s="100"/>
      <c r="J68" s="100"/>
      <c r="K68" s="100"/>
      <c r="L68" s="100"/>
      <c r="M68" s="100"/>
      <c r="N68" s="100"/>
      <c r="O68" s="100"/>
      <c r="P68" s="98"/>
      <c r="Q68" s="135"/>
      <c r="R68" s="135"/>
      <c r="S68" s="135"/>
      <c r="T68" s="224"/>
      <c r="U68" s="1689" t="s">
        <v>11</v>
      </c>
      <c r="V68" s="1618" t="s">
        <v>24</v>
      </c>
      <c r="W68" s="1616">
        <v>840104</v>
      </c>
      <c r="X68" s="1568" t="s">
        <v>13</v>
      </c>
      <c r="Y68" s="1570" t="s">
        <v>14</v>
      </c>
      <c r="Z68" s="1619">
        <f>SUM($AA$27:$AA$30)</f>
        <v>1135.68</v>
      </c>
      <c r="AA68" s="221"/>
      <c r="AB68" s="221"/>
      <c r="AC68" s="221"/>
      <c r="AD68" s="221"/>
      <c r="AE68" s="223"/>
    </row>
    <row r="69" spans="1:31" ht="16.5">
      <c r="A69" s="100"/>
      <c r="B69" s="100"/>
      <c r="C69" s="100"/>
      <c r="D69" s="100"/>
      <c r="E69" s="100"/>
      <c r="F69" s="100"/>
      <c r="G69" s="100"/>
      <c r="H69" s="100"/>
      <c r="I69" s="100"/>
      <c r="J69" s="100"/>
      <c r="K69" s="100"/>
      <c r="L69" s="100"/>
      <c r="M69" s="100"/>
      <c r="N69" s="100"/>
      <c r="O69" s="100"/>
      <c r="P69" s="98"/>
      <c r="Q69" s="135"/>
      <c r="R69" s="135"/>
      <c r="S69" s="135"/>
      <c r="T69" s="224"/>
      <c r="U69" s="1689" t="s">
        <v>11</v>
      </c>
      <c r="V69" s="1618" t="s">
        <v>20</v>
      </c>
      <c r="W69" s="1616">
        <v>840107</v>
      </c>
      <c r="X69" s="1568" t="s">
        <v>13</v>
      </c>
      <c r="Y69" s="1570" t="s">
        <v>14</v>
      </c>
      <c r="Z69" s="1619">
        <f>SUM($AA$25:$AA$25)</f>
        <v>2800.0000000000005</v>
      </c>
      <c r="AA69" s="221"/>
      <c r="AB69" s="221"/>
      <c r="AC69" s="221"/>
      <c r="AD69" s="221"/>
      <c r="AE69" s="223"/>
    </row>
    <row r="70" spans="1:31" ht="17.25" thickBot="1">
      <c r="A70" s="100"/>
      <c r="B70" s="100"/>
      <c r="C70" s="100"/>
      <c r="D70" s="100"/>
      <c r="E70" s="100"/>
      <c r="F70" s="100"/>
      <c r="G70" s="100"/>
      <c r="H70" s="100"/>
      <c r="I70" s="100"/>
      <c r="J70" s="100"/>
      <c r="K70" s="100"/>
      <c r="L70" s="100"/>
      <c r="M70" s="100"/>
      <c r="N70" s="100"/>
      <c r="O70" s="100"/>
      <c r="P70" s="98"/>
      <c r="Q70" s="135"/>
      <c r="R70" s="135"/>
      <c r="S70" s="135"/>
      <c r="T70" s="224"/>
      <c r="U70" s="2243"/>
      <c r="V70" s="2245" t="s">
        <v>183</v>
      </c>
      <c r="W70" s="2244"/>
      <c r="X70" s="2244"/>
      <c r="Y70" s="2246" t="s">
        <v>340</v>
      </c>
      <c r="Z70" s="1690">
        <f>SUM(Z62:Z69)</f>
        <v>112431.87000000001</v>
      </c>
      <c r="AA70" s="221"/>
      <c r="AB70" s="221"/>
      <c r="AC70" s="221"/>
      <c r="AD70" s="221"/>
      <c r="AE70" s="223"/>
    </row>
    <row r="71" spans="1:31" ht="16.5" customHeight="1" thickTop="1">
      <c r="A71" s="100"/>
      <c r="B71" s="100"/>
      <c r="C71" s="100"/>
      <c r="D71" s="100"/>
      <c r="E71" s="100"/>
      <c r="F71" s="100"/>
      <c r="G71" s="100"/>
      <c r="H71" s="100"/>
      <c r="I71" s="100"/>
      <c r="J71" s="100"/>
      <c r="K71" s="100"/>
      <c r="L71" s="100"/>
      <c r="M71" s="100"/>
      <c r="N71" s="100"/>
      <c r="O71" s="100"/>
      <c r="P71" s="98"/>
      <c r="Q71" s="135"/>
      <c r="R71" s="135"/>
      <c r="S71" s="135"/>
      <c r="T71" s="224"/>
      <c r="U71" s="221"/>
      <c r="V71" s="221" t="s">
        <v>347</v>
      </c>
      <c r="W71" s="233"/>
      <c r="X71" s="221"/>
      <c r="Y71" s="221"/>
      <c r="Z71" s="221"/>
      <c r="AA71" s="221"/>
      <c r="AB71" s="234"/>
      <c r="AC71" s="221"/>
      <c r="AD71" s="221"/>
      <c r="AE71" s="223"/>
    </row>
    <row r="72" spans="1:31" ht="16.5" customHeight="1" thickBot="1">
      <c r="A72" s="100"/>
      <c r="B72" s="100"/>
      <c r="C72" s="100"/>
      <c r="D72" s="100"/>
      <c r="E72" s="100"/>
      <c r="F72" s="100"/>
      <c r="G72" s="100"/>
      <c r="H72" s="100"/>
      <c r="I72" s="100"/>
      <c r="J72" s="100"/>
      <c r="K72" s="100"/>
      <c r="L72" s="100"/>
      <c r="M72" s="100"/>
      <c r="N72" s="100"/>
      <c r="O72" s="100"/>
      <c r="P72" s="98"/>
      <c r="Q72" s="235"/>
      <c r="R72" s="235"/>
      <c r="S72" s="235"/>
      <c r="T72" s="190"/>
      <c r="U72" s="221"/>
      <c r="V72" s="221"/>
      <c r="W72" s="221"/>
      <c r="X72" s="221"/>
      <c r="Y72" s="221"/>
      <c r="Z72" s="221"/>
      <c r="AA72" s="221"/>
      <c r="AB72" s="221"/>
      <c r="AC72" s="221"/>
      <c r="AD72" s="221"/>
      <c r="AE72" s="223"/>
    </row>
    <row r="73" spans="1:31" ht="16.5" customHeight="1" thickTop="1">
      <c r="A73" s="100"/>
      <c r="B73" s="100"/>
      <c r="C73" s="100"/>
      <c r="D73" s="100"/>
      <c r="E73" s="100"/>
      <c r="F73" s="100"/>
      <c r="G73" s="100"/>
      <c r="H73" s="100"/>
      <c r="I73" s="100"/>
      <c r="J73" s="100"/>
      <c r="K73" s="100"/>
      <c r="L73" s="100"/>
      <c r="M73" s="100"/>
      <c r="N73" s="100"/>
      <c r="O73" s="100"/>
      <c r="P73" s="98"/>
      <c r="Q73" s="98"/>
      <c r="R73" s="98"/>
      <c r="S73" s="225"/>
      <c r="T73" s="228"/>
      <c r="U73" s="4303" t="s">
        <v>348</v>
      </c>
      <c r="V73" s="4304"/>
      <c r="W73" s="4305"/>
      <c r="X73" s="221"/>
      <c r="Y73" s="144" t="s">
        <v>349</v>
      </c>
      <c r="Z73" s="145" t="str">
        <f>IF(Z70=AB56,"OK","NO")</f>
        <v>OK</v>
      </c>
      <c r="AA73" s="221"/>
      <c r="AB73" s="221"/>
      <c r="AC73" s="221"/>
      <c r="AD73" s="221"/>
      <c r="AE73" s="223"/>
    </row>
    <row r="74" spans="1:31" ht="16.5" customHeight="1">
      <c r="A74" s="100"/>
      <c r="B74" s="100"/>
      <c r="C74" s="100"/>
      <c r="D74" s="100"/>
      <c r="E74" s="100"/>
      <c r="F74" s="100"/>
      <c r="G74" s="100"/>
      <c r="H74" s="100"/>
      <c r="I74" s="100"/>
      <c r="J74" s="100"/>
      <c r="K74" s="100"/>
      <c r="L74" s="100"/>
      <c r="M74" s="100"/>
      <c r="N74" s="100"/>
      <c r="O74" s="100"/>
      <c r="P74" s="100"/>
      <c r="Q74" s="100"/>
      <c r="R74" s="100"/>
      <c r="S74" s="221"/>
      <c r="T74" s="222"/>
      <c r="U74" s="4213" t="s">
        <v>3758</v>
      </c>
      <c r="V74" s="4307"/>
      <c r="W74" s="1691">
        <v>0</v>
      </c>
      <c r="X74" s="233"/>
      <c r="Y74" s="131"/>
      <c r="Z74" s="145" t="str">
        <f>IF(W78=AB56,"OK","NO")</f>
        <v>OK</v>
      </c>
      <c r="AA74" s="221"/>
      <c r="AB74" s="221"/>
      <c r="AC74" s="221"/>
      <c r="AD74" s="221"/>
      <c r="AE74" s="223"/>
    </row>
    <row r="75" spans="1:31" ht="16.5" customHeight="1">
      <c r="A75" s="100"/>
      <c r="B75" s="100"/>
      <c r="C75" s="100"/>
      <c r="D75" s="100"/>
      <c r="E75" s="100"/>
      <c r="F75" s="100"/>
      <c r="G75" s="100"/>
      <c r="H75" s="100"/>
      <c r="I75" s="100"/>
      <c r="J75" s="100"/>
      <c r="K75" s="100"/>
      <c r="L75" s="100"/>
      <c r="M75" s="100"/>
      <c r="N75" s="100"/>
      <c r="O75" s="100"/>
      <c r="P75" s="100"/>
      <c r="Q75" s="100"/>
      <c r="R75" s="100"/>
      <c r="S75" s="221"/>
      <c r="T75" s="222"/>
      <c r="U75" s="4200" t="s">
        <v>3759</v>
      </c>
      <c r="V75" s="4301"/>
      <c r="W75" s="1692">
        <f>SUM(Z62)</f>
        <v>24640.000000000004</v>
      </c>
      <c r="X75" s="233"/>
      <c r="Y75" s="131"/>
      <c r="Z75" s="145" t="str">
        <f>IF(W88=AB56,"OK","NO")</f>
        <v>OK</v>
      </c>
      <c r="AA75" s="221"/>
      <c r="AB75" s="221"/>
      <c r="AC75" s="221"/>
      <c r="AD75" s="221"/>
      <c r="AE75" s="223"/>
    </row>
    <row r="76" spans="1:31" ht="16.5" customHeight="1">
      <c r="A76" s="100"/>
      <c r="B76" s="100"/>
      <c r="C76" s="100"/>
      <c r="D76" s="100"/>
      <c r="E76" s="100"/>
      <c r="F76" s="100"/>
      <c r="G76" s="100"/>
      <c r="H76" s="100"/>
      <c r="I76" s="100"/>
      <c r="J76" s="100"/>
      <c r="K76" s="100"/>
      <c r="L76" s="100"/>
      <c r="M76" s="100"/>
      <c r="N76" s="100"/>
      <c r="O76" s="100"/>
      <c r="P76" s="100"/>
      <c r="Q76" s="100"/>
      <c r="R76" s="100"/>
      <c r="S76" s="221"/>
      <c r="T76" s="222"/>
      <c r="U76" s="4200" t="s">
        <v>3760</v>
      </c>
      <c r="V76" s="4301"/>
      <c r="W76" s="1692">
        <f>SUM(Z63,Z64,Z65,Z66,Z67,Z68,Z69)</f>
        <v>87791.87</v>
      </c>
      <c r="X76" s="233"/>
      <c r="Y76" s="143"/>
      <c r="Z76" s="145" t="str">
        <f>IF(Resumen!C347=AB56,"OK","NO")</f>
        <v>OK</v>
      </c>
      <c r="AA76" s="221"/>
      <c r="AB76" s="221"/>
      <c r="AC76" s="221"/>
      <c r="AD76" s="221"/>
      <c r="AE76" s="223"/>
    </row>
    <row r="77" spans="1:31" ht="16.5" customHeight="1">
      <c r="A77" s="100"/>
      <c r="B77" s="100"/>
      <c r="C77" s="100"/>
      <c r="D77" s="100"/>
      <c r="E77" s="100"/>
      <c r="F77" s="100"/>
      <c r="G77" s="100"/>
      <c r="H77" s="100"/>
      <c r="I77" s="100"/>
      <c r="J77" s="100"/>
      <c r="K77" s="100"/>
      <c r="L77" s="100"/>
      <c r="M77" s="100"/>
      <c r="N77" s="100"/>
      <c r="O77" s="100"/>
      <c r="P77" s="100"/>
      <c r="Q77" s="100"/>
      <c r="R77" s="100"/>
      <c r="S77" s="221"/>
      <c r="T77" s="222"/>
      <c r="U77" s="4200" t="s">
        <v>3761</v>
      </c>
      <c r="V77" s="4301"/>
      <c r="W77" s="1693">
        <v>0</v>
      </c>
      <c r="X77" s="233"/>
      <c r="Y77" s="233"/>
      <c r="Z77" s="221"/>
      <c r="AA77" s="221"/>
      <c r="AB77" s="221"/>
      <c r="AC77" s="221"/>
      <c r="AD77" s="221"/>
      <c r="AE77" s="223"/>
    </row>
    <row r="78" spans="1:31" ht="16.5" customHeight="1">
      <c r="A78" s="100"/>
      <c r="B78" s="100"/>
      <c r="C78" s="100"/>
      <c r="D78" s="100"/>
      <c r="E78" s="100"/>
      <c r="F78" s="100"/>
      <c r="G78" s="100"/>
      <c r="H78" s="100"/>
      <c r="I78" s="100"/>
      <c r="J78" s="100"/>
      <c r="K78" s="100"/>
      <c r="L78" s="100"/>
      <c r="M78" s="100"/>
      <c r="N78" s="100"/>
      <c r="O78" s="100"/>
      <c r="P78" s="100"/>
      <c r="Q78" s="100"/>
      <c r="R78" s="100"/>
      <c r="S78" s="221"/>
      <c r="T78" s="222"/>
      <c r="U78" s="4374" t="s">
        <v>183</v>
      </c>
      <c r="V78" s="4301"/>
      <c r="W78" s="1694">
        <f>SUM(W74:W77)</f>
        <v>112431.87</v>
      </c>
      <c r="X78" s="233"/>
      <c r="Y78" s="233"/>
      <c r="Z78" s="221"/>
      <c r="AA78" s="221"/>
      <c r="AB78" s="221"/>
      <c r="AC78" s="221"/>
      <c r="AD78" s="221"/>
      <c r="AE78" s="223"/>
    </row>
    <row r="79" spans="1:31" ht="16.5" customHeight="1">
      <c r="A79" s="100"/>
      <c r="B79" s="100"/>
      <c r="C79" s="100"/>
      <c r="D79" s="100"/>
      <c r="E79" s="100"/>
      <c r="F79" s="100"/>
      <c r="G79" s="100"/>
      <c r="H79" s="100"/>
      <c r="I79" s="100"/>
      <c r="J79" s="100"/>
      <c r="K79" s="100"/>
      <c r="L79" s="100"/>
      <c r="M79" s="100"/>
      <c r="N79" s="100"/>
      <c r="O79" s="100"/>
      <c r="P79" s="100"/>
      <c r="Q79" s="100"/>
      <c r="R79" s="100"/>
      <c r="S79" s="221"/>
      <c r="T79" s="222"/>
      <c r="U79" s="4297" t="s">
        <v>350</v>
      </c>
      <c r="V79" s="4298"/>
      <c r="W79" s="4299"/>
      <c r="X79" s="237"/>
      <c r="Y79" s="237"/>
      <c r="Z79" s="221"/>
      <c r="AA79" s="221"/>
      <c r="AB79" s="221"/>
      <c r="AC79" s="221"/>
      <c r="AD79" s="221"/>
      <c r="AE79" s="223"/>
    </row>
    <row r="80" spans="1:31" ht="16.5" customHeight="1">
      <c r="A80" s="100"/>
      <c r="B80" s="100"/>
      <c r="C80" s="100"/>
      <c r="D80" s="100"/>
      <c r="E80" s="100"/>
      <c r="F80" s="100"/>
      <c r="G80" s="100"/>
      <c r="H80" s="100"/>
      <c r="I80" s="100"/>
      <c r="J80" s="100"/>
      <c r="K80" s="100"/>
      <c r="L80" s="100"/>
      <c r="M80" s="100"/>
      <c r="N80" s="100"/>
      <c r="O80" s="100"/>
      <c r="P80" s="100"/>
      <c r="Q80" s="100"/>
      <c r="R80" s="100"/>
      <c r="S80" s="221"/>
      <c r="T80" s="222"/>
      <c r="U80" s="4375" t="s">
        <v>3762</v>
      </c>
      <c r="V80" s="4301"/>
      <c r="W80" s="1692">
        <v>0</v>
      </c>
      <c r="X80" s="237"/>
      <c r="Y80" s="237"/>
      <c r="Z80" s="221"/>
      <c r="AA80" s="221"/>
      <c r="AB80" s="221"/>
      <c r="AC80" s="221"/>
      <c r="AD80" s="221"/>
      <c r="AE80" s="223"/>
    </row>
    <row r="81" spans="1:31" ht="16.5" customHeight="1">
      <c r="A81" s="100"/>
      <c r="B81" s="100"/>
      <c r="C81" s="100"/>
      <c r="D81" s="100"/>
      <c r="E81" s="100"/>
      <c r="F81" s="100"/>
      <c r="G81" s="100"/>
      <c r="H81" s="100"/>
      <c r="I81" s="100"/>
      <c r="J81" s="100"/>
      <c r="K81" s="100"/>
      <c r="L81" s="100"/>
      <c r="M81" s="100"/>
      <c r="N81" s="100"/>
      <c r="O81" s="100"/>
      <c r="P81" s="100"/>
      <c r="Q81" s="100"/>
      <c r="R81" s="100"/>
      <c r="S81" s="221"/>
      <c r="T81" s="222"/>
      <c r="U81" s="4209" t="s">
        <v>3763</v>
      </c>
      <c r="V81" s="4301"/>
      <c r="W81" s="1692">
        <f>SUM(Z62:Z66)</f>
        <v>88942.110000000015</v>
      </c>
      <c r="X81" s="237"/>
      <c r="Y81" s="237"/>
      <c r="Z81" s="221"/>
      <c r="AA81" s="221"/>
      <c r="AB81" s="221"/>
      <c r="AC81" s="221"/>
      <c r="AD81" s="221"/>
      <c r="AE81" s="223"/>
    </row>
    <row r="82" spans="1:31" ht="16.5" customHeight="1">
      <c r="A82" s="100"/>
      <c r="B82" s="100"/>
      <c r="C82" s="100"/>
      <c r="D82" s="100"/>
      <c r="E82" s="100"/>
      <c r="F82" s="100"/>
      <c r="G82" s="100"/>
      <c r="H82" s="100"/>
      <c r="I82" s="100"/>
      <c r="J82" s="100"/>
      <c r="K82" s="100"/>
      <c r="L82" s="100"/>
      <c r="M82" s="100"/>
      <c r="N82" s="100"/>
      <c r="O82" s="100"/>
      <c r="P82" s="100"/>
      <c r="Q82" s="100"/>
      <c r="R82" s="100"/>
      <c r="S82" s="221"/>
      <c r="T82" s="222"/>
      <c r="U82" s="4209" t="s">
        <v>3764</v>
      </c>
      <c r="V82" s="4301"/>
      <c r="W82" s="1692">
        <v>0</v>
      </c>
      <c r="X82" s="238"/>
      <c r="Y82" s="238"/>
      <c r="Z82" s="221"/>
      <c r="AA82" s="221"/>
      <c r="AB82" s="221"/>
      <c r="AC82" s="221"/>
      <c r="AD82" s="221"/>
      <c r="AE82" s="223"/>
    </row>
    <row r="83" spans="1:31" ht="16.5" customHeight="1">
      <c r="A83" s="100"/>
      <c r="B83" s="100"/>
      <c r="C83" s="100"/>
      <c r="D83" s="100"/>
      <c r="E83" s="100"/>
      <c r="F83" s="100"/>
      <c r="G83" s="100"/>
      <c r="H83" s="100"/>
      <c r="I83" s="100"/>
      <c r="J83" s="100"/>
      <c r="K83" s="100"/>
      <c r="L83" s="100"/>
      <c r="M83" s="100"/>
      <c r="N83" s="100"/>
      <c r="O83" s="100"/>
      <c r="P83" s="100"/>
      <c r="Q83" s="100"/>
      <c r="R83" s="100"/>
      <c r="S83" s="221"/>
      <c r="T83" s="222"/>
      <c r="U83" s="4209" t="s">
        <v>3765</v>
      </c>
      <c r="V83" s="4301"/>
      <c r="W83" s="1692">
        <v>0</v>
      </c>
      <c r="X83" s="233"/>
      <c r="Y83" s="239"/>
      <c r="Z83" s="225"/>
      <c r="AA83" s="225"/>
      <c r="AB83" s="225"/>
      <c r="AC83" s="221"/>
      <c r="AD83" s="221"/>
      <c r="AE83" s="223"/>
    </row>
    <row r="84" spans="1:31" ht="16.5" customHeight="1">
      <c r="A84" s="100"/>
      <c r="B84" s="100"/>
      <c r="C84" s="100"/>
      <c r="D84" s="100"/>
      <c r="E84" s="100"/>
      <c r="F84" s="100"/>
      <c r="G84" s="100"/>
      <c r="H84" s="100"/>
      <c r="I84" s="100"/>
      <c r="J84" s="100"/>
      <c r="K84" s="100"/>
      <c r="L84" s="100"/>
      <c r="M84" s="100"/>
      <c r="N84" s="100"/>
      <c r="O84" s="100"/>
      <c r="P84" s="100"/>
      <c r="Q84" s="100"/>
      <c r="R84" s="100"/>
      <c r="S84" s="221"/>
      <c r="T84" s="222"/>
      <c r="U84" s="4209" t="s">
        <v>3766</v>
      </c>
      <c r="V84" s="4301"/>
      <c r="W84" s="1692">
        <v>0</v>
      </c>
      <c r="X84" s="240"/>
      <c r="Y84" s="241"/>
      <c r="Z84" s="4376"/>
      <c r="AA84" s="4150"/>
      <c r="AB84" s="4150"/>
      <c r="AC84" s="221"/>
      <c r="AD84" s="221"/>
      <c r="AE84" s="223"/>
    </row>
    <row r="85" spans="1:31" ht="16.5" customHeight="1">
      <c r="A85" s="100"/>
      <c r="B85" s="100"/>
      <c r="C85" s="100"/>
      <c r="D85" s="100"/>
      <c r="E85" s="100"/>
      <c r="F85" s="100"/>
      <c r="G85" s="100"/>
      <c r="H85" s="100"/>
      <c r="I85" s="100"/>
      <c r="J85" s="100"/>
      <c r="K85" s="100"/>
      <c r="L85" s="100"/>
      <c r="M85" s="100"/>
      <c r="N85" s="100"/>
      <c r="O85" s="100"/>
      <c r="P85" s="100"/>
      <c r="Q85" s="100"/>
      <c r="R85" s="100"/>
      <c r="S85" s="221"/>
      <c r="T85" s="222"/>
      <c r="U85" s="4209" t="s">
        <v>3767</v>
      </c>
      <c r="V85" s="4301"/>
      <c r="W85" s="1692">
        <v>0</v>
      </c>
      <c r="X85" s="240"/>
      <c r="Y85" s="241"/>
      <c r="Z85" s="242"/>
      <c r="AA85" s="227"/>
      <c r="AB85" s="242"/>
      <c r="AC85" s="221"/>
      <c r="AD85" s="221"/>
      <c r="AE85" s="223"/>
    </row>
    <row r="86" spans="1:31" ht="16.5" customHeight="1">
      <c r="A86" s="100"/>
      <c r="B86" s="100"/>
      <c r="C86" s="100"/>
      <c r="D86" s="100"/>
      <c r="E86" s="100"/>
      <c r="F86" s="100"/>
      <c r="G86" s="100"/>
      <c r="H86" s="100"/>
      <c r="I86" s="100"/>
      <c r="J86" s="100"/>
      <c r="K86" s="100"/>
      <c r="L86" s="100"/>
      <c r="M86" s="100"/>
      <c r="N86" s="100"/>
      <c r="O86" s="100"/>
      <c r="P86" s="100"/>
      <c r="Q86" s="100"/>
      <c r="R86" s="100"/>
      <c r="S86" s="221"/>
      <c r="T86" s="222"/>
      <c r="U86" s="4209" t="s">
        <v>3768</v>
      </c>
      <c r="V86" s="4301"/>
      <c r="W86" s="1692">
        <f>SUM(Z67:Z69)</f>
        <v>23489.760000000002</v>
      </c>
      <c r="X86" s="240"/>
      <c r="Y86" s="241"/>
      <c r="Z86" s="243"/>
      <c r="AA86" s="228"/>
      <c r="AB86" s="244"/>
      <c r="AC86" s="221"/>
      <c r="AD86" s="221"/>
      <c r="AE86" s="223"/>
    </row>
    <row r="87" spans="1:31" ht="16.5" customHeight="1">
      <c r="A87" s="100"/>
      <c r="B87" s="100"/>
      <c r="C87" s="100"/>
      <c r="D87" s="100"/>
      <c r="E87" s="100"/>
      <c r="F87" s="100"/>
      <c r="G87" s="100"/>
      <c r="H87" s="100"/>
      <c r="I87" s="100"/>
      <c r="J87" s="100"/>
      <c r="K87" s="100"/>
      <c r="L87" s="100"/>
      <c r="M87" s="100"/>
      <c r="N87" s="100"/>
      <c r="O87" s="100"/>
      <c r="P87" s="100"/>
      <c r="Q87" s="100"/>
      <c r="R87" s="100"/>
      <c r="S87" s="221"/>
      <c r="T87" s="222"/>
      <c r="U87" s="4209" t="s">
        <v>3769</v>
      </c>
      <c r="V87" s="4301"/>
      <c r="W87" s="1693">
        <v>0</v>
      </c>
      <c r="X87" s="245"/>
      <c r="Y87" s="245"/>
      <c r="Z87" s="246"/>
      <c r="AA87" s="246"/>
      <c r="AB87" s="221"/>
      <c r="AC87" s="221"/>
      <c r="AD87" s="221"/>
      <c r="AE87" s="223"/>
    </row>
    <row r="88" spans="1:31" ht="16.5" customHeight="1" thickBot="1">
      <c r="A88" s="100"/>
      <c r="B88" s="100"/>
      <c r="C88" s="100"/>
      <c r="D88" s="100"/>
      <c r="E88" s="100"/>
      <c r="F88" s="100"/>
      <c r="G88" s="100"/>
      <c r="H88" s="100"/>
      <c r="I88" s="100"/>
      <c r="J88" s="100"/>
      <c r="K88" s="100"/>
      <c r="L88" s="100"/>
      <c r="M88" s="100"/>
      <c r="N88" s="100"/>
      <c r="O88" s="100"/>
      <c r="P88" s="100"/>
      <c r="Q88" s="100"/>
      <c r="R88" s="100"/>
      <c r="S88" s="221"/>
      <c r="T88" s="222"/>
      <c r="U88" s="4372" t="s">
        <v>183</v>
      </c>
      <c r="V88" s="4373"/>
      <c r="W88" s="1695">
        <f>SUM(W80:W87)</f>
        <v>112431.87000000002</v>
      </c>
      <c r="X88" s="238"/>
      <c r="Y88" s="238"/>
      <c r="Z88" s="221"/>
      <c r="AA88" s="221"/>
      <c r="AB88" s="221"/>
      <c r="AC88" s="221"/>
      <c r="AD88" s="221"/>
      <c r="AE88" s="223"/>
    </row>
    <row r="89" spans="1:31" ht="15.75" customHeight="1" thickTop="1"/>
  </sheetData>
  <mergeCells count="187">
    <mergeCell ref="AF14:AF23"/>
    <mergeCell ref="AF24:AF30"/>
    <mergeCell ref="AF31:AF35"/>
    <mergeCell ref="AF36:AF40"/>
    <mergeCell ref="AF46:AF50"/>
    <mergeCell ref="E14:E23"/>
    <mergeCell ref="F14:F23"/>
    <mergeCell ref="G14:G23"/>
    <mergeCell ref="H14:H23"/>
    <mergeCell ref="I14:I23"/>
    <mergeCell ref="J14:J23"/>
    <mergeCell ref="K14:K23"/>
    <mergeCell ref="K31:K35"/>
    <mergeCell ref="L31:L35"/>
    <mergeCell ref="M31:M35"/>
    <mergeCell ref="N31:N35"/>
    <mergeCell ref="O31:O35"/>
    <mergeCell ref="P31:P35"/>
    <mergeCell ref="Q31:Q35"/>
    <mergeCell ref="R31:R35"/>
    <mergeCell ref="Q36:Q40"/>
    <mergeCell ref="R36:R40"/>
    <mergeCell ref="M36:M40"/>
    <mergeCell ref="N36:N40"/>
    <mergeCell ref="L41:L45"/>
    <mergeCell ref="M41:M45"/>
    <mergeCell ref="N41:N45"/>
    <mergeCell ref="O41:O45"/>
    <mergeCell ref="P41:P45"/>
    <mergeCell ref="O36:O40"/>
    <mergeCell ref="P36:P40"/>
    <mergeCell ref="J41:J45"/>
    <mergeCell ref="K41:K45"/>
    <mergeCell ref="J36:J40"/>
    <mergeCell ref="K36:K40"/>
    <mergeCell ref="L36:L40"/>
    <mergeCell ref="H46:H50"/>
    <mergeCell ref="I46:I50"/>
    <mergeCell ref="C14:C23"/>
    <mergeCell ref="C24:C30"/>
    <mergeCell ref="E24:E30"/>
    <mergeCell ref="F24:F30"/>
    <mergeCell ref="G24:G30"/>
    <mergeCell ref="H24:H30"/>
    <mergeCell ref="I24:I30"/>
    <mergeCell ref="D31:D35"/>
    <mergeCell ref="E31:E35"/>
    <mergeCell ref="F31:F35"/>
    <mergeCell ref="G31:G35"/>
    <mergeCell ref="H31:H35"/>
    <mergeCell ref="I31:I35"/>
    <mergeCell ref="D36:D40"/>
    <mergeCell ref="E36:E40"/>
    <mergeCell ref="F36:F40"/>
    <mergeCell ref="G36:G40"/>
    <mergeCell ref="H36:H40"/>
    <mergeCell ref="I36:I40"/>
    <mergeCell ref="A1:AF1"/>
    <mergeCell ref="A2:AF2"/>
    <mergeCell ref="A3:AF3"/>
    <mergeCell ref="A4:AF4"/>
    <mergeCell ref="Q9:Q13"/>
    <mergeCell ref="R9:R13"/>
    <mergeCell ref="AF9:AF13"/>
    <mergeCell ref="J9:J13"/>
    <mergeCell ref="K9:K13"/>
    <mergeCell ref="L9:L13"/>
    <mergeCell ref="M9:M13"/>
    <mergeCell ref="N9:N13"/>
    <mergeCell ref="O9:O13"/>
    <mergeCell ref="P9:P13"/>
    <mergeCell ref="E9:E13"/>
    <mergeCell ref="F9:F13"/>
    <mergeCell ref="G9:G13"/>
    <mergeCell ref="H9:H13"/>
    <mergeCell ref="I9:I13"/>
    <mergeCell ref="S6:AF6"/>
    <mergeCell ref="R7:R8"/>
    <mergeCell ref="S7:Y7"/>
    <mergeCell ref="Z7:AB7"/>
    <mergeCell ref="AC7:AE7"/>
    <mergeCell ref="Q14:Q23"/>
    <mergeCell ref="R14:R23"/>
    <mergeCell ref="L14:L23"/>
    <mergeCell ref="M14:M23"/>
    <mergeCell ref="J31:J35"/>
    <mergeCell ref="A6:B8"/>
    <mergeCell ref="C6:D6"/>
    <mergeCell ref="E6:I6"/>
    <mergeCell ref="C7:C8"/>
    <mergeCell ref="D7:D8"/>
    <mergeCell ref="E7:E8"/>
    <mergeCell ref="F7:F8"/>
    <mergeCell ref="G7:G8"/>
    <mergeCell ref="H7:H8"/>
    <mergeCell ref="I7:I8"/>
    <mergeCell ref="J7:J8"/>
    <mergeCell ref="K7:K8"/>
    <mergeCell ref="L7:L8"/>
    <mergeCell ref="M7:O7"/>
    <mergeCell ref="P7:P8"/>
    <mergeCell ref="Q7:Q8"/>
    <mergeCell ref="AF41:AF45"/>
    <mergeCell ref="C41:C45"/>
    <mergeCell ref="D41:D45"/>
    <mergeCell ref="E41:E45"/>
    <mergeCell ref="F41:F45"/>
    <mergeCell ref="G41:G45"/>
    <mergeCell ref="H41:H45"/>
    <mergeCell ref="I41:I45"/>
    <mergeCell ref="C9:C13"/>
    <mergeCell ref="C31:C35"/>
    <mergeCell ref="Q24:Q30"/>
    <mergeCell ref="R24:R30"/>
    <mergeCell ref="J24:J30"/>
    <mergeCell ref="K24:K30"/>
    <mergeCell ref="L24:L30"/>
    <mergeCell ref="M24:M30"/>
    <mergeCell ref="N24:N30"/>
    <mergeCell ref="O24:O30"/>
    <mergeCell ref="P24:P30"/>
    <mergeCell ref="Q41:Q45"/>
    <mergeCell ref="R41:R45"/>
    <mergeCell ref="N14:N23"/>
    <mergeCell ref="O14:O23"/>
    <mergeCell ref="P14:P23"/>
    <mergeCell ref="C51:C55"/>
    <mergeCell ref="D51:D55"/>
    <mergeCell ref="E51:E55"/>
    <mergeCell ref="F51:F55"/>
    <mergeCell ref="G51:G55"/>
    <mergeCell ref="A9:A56"/>
    <mergeCell ref="B9:B55"/>
    <mergeCell ref="D9:D13"/>
    <mergeCell ref="D14:D23"/>
    <mergeCell ref="D24:D30"/>
    <mergeCell ref="C46:C50"/>
    <mergeCell ref="D46:D50"/>
    <mergeCell ref="E46:E50"/>
    <mergeCell ref="F46:F50"/>
    <mergeCell ref="G46:G50"/>
    <mergeCell ref="C36:C40"/>
    <mergeCell ref="Q46:Q50"/>
    <mergeCell ref="R46:R50"/>
    <mergeCell ref="J46:J50"/>
    <mergeCell ref="K46:K50"/>
    <mergeCell ref="L46:L50"/>
    <mergeCell ref="M46:M50"/>
    <mergeCell ref="N46:N50"/>
    <mergeCell ref="O46:O50"/>
    <mergeCell ref="P46:P50"/>
    <mergeCell ref="S57:AF57"/>
    <mergeCell ref="U59:Z59"/>
    <mergeCell ref="AA59:AB59"/>
    <mergeCell ref="H51:H55"/>
    <mergeCell ref="I51:I55"/>
    <mergeCell ref="J51:J55"/>
    <mergeCell ref="K51:K55"/>
    <mergeCell ref="L51:L55"/>
    <mergeCell ref="M51:M55"/>
    <mergeCell ref="N51:N55"/>
    <mergeCell ref="O51:O55"/>
    <mergeCell ref="P51:P55"/>
    <mergeCell ref="AF7:AF8"/>
    <mergeCell ref="J6:R6"/>
    <mergeCell ref="U88:V88"/>
    <mergeCell ref="U76:V76"/>
    <mergeCell ref="U77:V77"/>
    <mergeCell ref="U78:V78"/>
    <mergeCell ref="U79:W79"/>
    <mergeCell ref="U80:V80"/>
    <mergeCell ref="U81:V81"/>
    <mergeCell ref="U82:V82"/>
    <mergeCell ref="U73:W73"/>
    <mergeCell ref="U74:V74"/>
    <mergeCell ref="U75:V75"/>
    <mergeCell ref="U83:V83"/>
    <mergeCell ref="U84:V84"/>
    <mergeCell ref="Z84:AB84"/>
    <mergeCell ref="U85:V85"/>
    <mergeCell ref="U86:V86"/>
    <mergeCell ref="U87:V87"/>
    <mergeCell ref="Q51:Q55"/>
    <mergeCell ref="R51:R55"/>
    <mergeCell ref="AF51:AF55"/>
    <mergeCell ref="S56:Z56"/>
    <mergeCell ref="AC56:AF56"/>
  </mergeCells>
  <dataValidations count="3">
    <dataValidation type="list" allowBlank="1" showErrorMessage="1" sqref="F9 F14 F24 F31 F36 F41 F46 F51">
      <formula1>INDIRECT($E9)</formula1>
    </dataValidation>
    <dataValidation type="list" allowBlank="1" showErrorMessage="1" sqref="E9 E14 E24 E31 E36 E41 E46 E51">
      <formula1>INDIRECT($G9)</formula1>
    </dataValidation>
    <dataValidation type="decimal" allowBlank="1" showInputMessage="1" showErrorMessage="1" prompt="DPLAN - Sólo debe ingresar valores, NO porcentajes." sqref="M14:O14 M24:O24 M31:O31 M36:O36 M46:O46 M51:O51">
      <formula1>0</formula1>
      <formula2>1000000</formula2>
    </dataValidation>
  </dataValidations>
  <printOptions horizontalCentered="1"/>
  <pageMargins left="0" right="0" top="0.78740157480314965" bottom="0.35433070866141736" header="0" footer="0"/>
  <pageSetup paperSize="9" scale="26" fitToHeight="0" pageOrder="overThenDown" orientation="landscape" r:id="rId1"/>
  <headerFooter>
    <oddHeader>&amp;L&amp;"Britannic Bold,Normal"&amp;12&amp;K002060POA 2023&amp;"-,Normal"&amp;10&amp;K000000
&amp;"Cambria,Cursiva"&amp;12&amp;K0070C0Administración Central&amp;C&amp;"Century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C14:D14 C24:D24 C31:D31 C36:D36 C41:D41 C46:D46 C51:D51</xm:sqref>
        </x14:dataValidation>
        <x14:dataValidation type="list" allowBlank="1" showErrorMessage="1">
          <x14:formula1>
            <xm:f>(PEDI!#REF!)</xm:f>
          </x14:formula1>
          <xm:sqref>H9 H14 H24 H31 H36 H41 H46 H51</xm:sqref>
        </x14:dataValidation>
        <x14:dataValidation type="list" allowBlank="1" showErrorMessage="1">
          <x14:formula1>
            <xm:f>PEDI!#REF!</xm:f>
          </x14:formula1>
          <xm:sqref>G9 G14 G24 G31 G36 G41 G46 G51</xm:sqref>
        </x14:dataValidation>
        <x14:dataValidation type="list" allowBlank="1" showErrorMessage="1">
          <x14:formula1>
            <xm:f>INDIRECT('Estrategias DAFO'!#REF!)</xm:f>
          </x14:formula1>
          <xm:sqref>I9 I14 I24 I31 I36 I41 I46 I51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pageSetUpPr fitToPage="1"/>
  </sheetPr>
  <dimension ref="A1:AF146"/>
  <sheetViews>
    <sheetView showGridLines="0" topLeftCell="R111" zoomScaleNormal="100" workbookViewId="0">
      <selection activeCell="Z134" sqref="Z134"/>
    </sheetView>
  </sheetViews>
  <sheetFormatPr baseColWidth="10" defaultColWidth="12.5703125" defaultRowHeight="15.75" customHeight="1"/>
  <cols>
    <col min="1" max="2" width="5" customWidth="1"/>
    <col min="3" max="3" width="30.7109375" customWidth="1"/>
    <col min="4" max="7" width="22.42578125" customWidth="1"/>
    <col min="8" max="8" width="20.7109375" customWidth="1"/>
    <col min="9" max="9" width="17.7109375" customWidth="1"/>
    <col min="10" max="12" width="22.42578125" customWidth="1"/>
    <col min="13" max="15" width="8.7109375" customWidth="1"/>
    <col min="16" max="16" width="30.7109375" customWidth="1"/>
    <col min="17" max="17" width="22.42578125" customWidth="1"/>
    <col min="18" max="18" width="28.5703125" customWidth="1"/>
    <col min="19" max="19" width="23.7109375" customWidth="1"/>
    <col min="20" max="20" width="16.42578125" customWidth="1"/>
    <col min="21" max="21" width="24.28515625" customWidth="1"/>
    <col min="22" max="22" width="40.7109375" customWidth="1"/>
    <col min="23" max="23" width="12.7109375" customWidth="1"/>
    <col min="24" max="24" width="10.85546875" customWidth="1"/>
    <col min="25" max="27" width="12" customWidth="1"/>
    <col min="28" max="28" width="16.42578125" customWidth="1"/>
    <col min="29" max="31" width="7.7109375" customWidth="1"/>
    <col min="32" max="32" width="20.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254" t="s">
        <v>413</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247"/>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18" customHeight="1">
      <c r="A9" s="4358" t="s">
        <v>413</v>
      </c>
      <c r="B9" s="4460" t="s">
        <v>413</v>
      </c>
      <c r="C9" s="4463" t="s">
        <v>235</v>
      </c>
      <c r="D9" s="4328" t="s">
        <v>236</v>
      </c>
      <c r="E9" s="4328" t="s">
        <v>244</v>
      </c>
      <c r="F9" s="4328" t="s">
        <v>245</v>
      </c>
      <c r="G9" s="4329" t="s">
        <v>239</v>
      </c>
      <c r="H9" s="4328" t="s">
        <v>240</v>
      </c>
      <c r="I9" s="4328" t="s">
        <v>257</v>
      </c>
      <c r="J9" s="4458" t="s">
        <v>3777</v>
      </c>
      <c r="K9" s="4273" t="s">
        <v>414</v>
      </c>
      <c r="L9" s="4345" t="s">
        <v>3803</v>
      </c>
      <c r="M9" s="4249">
        <v>15</v>
      </c>
      <c r="N9" s="4249">
        <v>15</v>
      </c>
      <c r="O9" s="4249">
        <v>15</v>
      </c>
      <c r="P9" s="4345" t="s">
        <v>3818</v>
      </c>
      <c r="Q9" s="4447" t="s">
        <v>3833</v>
      </c>
      <c r="R9" s="4459" t="s">
        <v>3856</v>
      </c>
      <c r="S9" s="1743"/>
      <c r="T9" s="1841"/>
      <c r="U9" s="1660"/>
      <c r="V9" s="1661"/>
      <c r="W9" s="1662"/>
      <c r="X9" s="1663"/>
      <c r="Y9" s="1664"/>
      <c r="Z9" s="1664"/>
      <c r="AA9" s="1664"/>
      <c r="AB9" s="1866"/>
      <c r="AC9" s="1744"/>
      <c r="AD9" s="1745"/>
      <c r="AE9" s="1746"/>
      <c r="AF9" s="4451"/>
    </row>
    <row r="10" spans="1:32" ht="18" customHeight="1">
      <c r="A10" s="4360"/>
      <c r="B10" s="4461"/>
      <c r="C10" s="4464"/>
      <c r="D10" s="4215"/>
      <c r="E10" s="4215"/>
      <c r="F10" s="4215"/>
      <c r="G10" s="4215"/>
      <c r="H10" s="4215"/>
      <c r="I10" s="4215"/>
      <c r="J10" s="4449"/>
      <c r="K10" s="4215"/>
      <c r="L10" s="4215"/>
      <c r="M10" s="4226"/>
      <c r="N10" s="4226"/>
      <c r="O10" s="4226"/>
      <c r="P10" s="4215"/>
      <c r="Q10" s="4215"/>
      <c r="R10" s="4449"/>
      <c r="S10" s="1735"/>
      <c r="T10" s="1842"/>
      <c r="U10" s="1624"/>
      <c r="V10" s="1630"/>
      <c r="W10" s="1636"/>
      <c r="X10" s="209"/>
      <c r="Y10" s="1643"/>
      <c r="Z10" s="1643"/>
      <c r="AA10" s="1643"/>
      <c r="AB10" s="1645"/>
      <c r="AC10" s="395"/>
      <c r="AD10" s="336"/>
      <c r="AE10" s="251"/>
      <c r="AF10" s="4436"/>
    </row>
    <row r="11" spans="1:32" ht="18" customHeight="1">
      <c r="A11" s="4360"/>
      <c r="B11" s="4461"/>
      <c r="C11" s="4464"/>
      <c r="D11" s="4215"/>
      <c r="E11" s="4215"/>
      <c r="F11" s="4215"/>
      <c r="G11" s="4215"/>
      <c r="H11" s="4215"/>
      <c r="I11" s="4215"/>
      <c r="J11" s="4449"/>
      <c r="K11" s="4215"/>
      <c r="L11" s="4215"/>
      <c r="M11" s="4226"/>
      <c r="N11" s="4226"/>
      <c r="O11" s="4226"/>
      <c r="P11" s="4215"/>
      <c r="Q11" s="4215"/>
      <c r="R11" s="4449"/>
      <c r="S11" s="1735"/>
      <c r="T11" s="1842"/>
      <c r="U11" s="1624"/>
      <c r="V11" s="1630"/>
      <c r="W11" s="1636"/>
      <c r="X11" s="209"/>
      <c r="Y11" s="1643"/>
      <c r="Z11" s="1643"/>
      <c r="AA11" s="1643"/>
      <c r="AB11" s="1645"/>
      <c r="AC11" s="395"/>
      <c r="AD11" s="336"/>
      <c r="AE11" s="251"/>
      <c r="AF11" s="4436"/>
    </row>
    <row r="12" spans="1:32" ht="18" customHeight="1">
      <c r="A12" s="4360"/>
      <c r="B12" s="4461"/>
      <c r="C12" s="4464"/>
      <c r="D12" s="4215"/>
      <c r="E12" s="4215"/>
      <c r="F12" s="4215"/>
      <c r="G12" s="4215"/>
      <c r="H12" s="4215"/>
      <c r="I12" s="4215"/>
      <c r="J12" s="4449"/>
      <c r="K12" s="4215"/>
      <c r="L12" s="4215"/>
      <c r="M12" s="4226"/>
      <c r="N12" s="4226"/>
      <c r="O12" s="4226"/>
      <c r="P12" s="4215"/>
      <c r="Q12" s="4215"/>
      <c r="R12" s="4449"/>
      <c r="S12" s="1736"/>
      <c r="T12" s="1843"/>
      <c r="U12" s="1625"/>
      <c r="V12" s="1630"/>
      <c r="W12" s="1636"/>
      <c r="X12" s="209"/>
      <c r="Y12" s="1643"/>
      <c r="Z12" s="1643"/>
      <c r="AA12" s="1643"/>
      <c r="AB12" s="1645"/>
      <c r="AC12" s="395"/>
      <c r="AD12" s="336"/>
      <c r="AE12" s="251"/>
      <c r="AF12" s="4436"/>
    </row>
    <row r="13" spans="1:32" ht="18" customHeight="1">
      <c r="A13" s="4360"/>
      <c r="B13" s="4461"/>
      <c r="C13" s="4465"/>
      <c r="D13" s="4216"/>
      <c r="E13" s="4216"/>
      <c r="F13" s="4216"/>
      <c r="G13" s="4216"/>
      <c r="H13" s="4216"/>
      <c r="I13" s="4216"/>
      <c r="J13" s="4450"/>
      <c r="K13" s="4216"/>
      <c r="L13" s="4216"/>
      <c r="M13" s="4247"/>
      <c r="N13" s="4247"/>
      <c r="O13" s="4247"/>
      <c r="P13" s="4216"/>
      <c r="Q13" s="4216"/>
      <c r="R13" s="4450"/>
      <c r="S13" s="1737"/>
      <c r="T13" s="1844"/>
      <c r="U13" s="1627"/>
      <c r="V13" s="1632"/>
      <c r="W13" s="1638"/>
      <c r="X13" s="210"/>
      <c r="Y13" s="1648"/>
      <c r="Z13" s="1648"/>
      <c r="AA13" s="1648"/>
      <c r="AB13" s="1649"/>
      <c r="AC13" s="443"/>
      <c r="AD13" s="252"/>
      <c r="AE13" s="253"/>
      <c r="AF13" s="4437"/>
    </row>
    <row r="14" spans="1:32" ht="18" customHeight="1">
      <c r="A14" s="4360"/>
      <c r="B14" s="4461"/>
      <c r="C14" s="4463" t="s">
        <v>235</v>
      </c>
      <c r="D14" s="4328" t="s">
        <v>236</v>
      </c>
      <c r="E14" s="4328" t="s">
        <v>244</v>
      </c>
      <c r="F14" s="4328" t="s">
        <v>309</v>
      </c>
      <c r="G14" s="4329" t="s">
        <v>239</v>
      </c>
      <c r="H14" s="4328" t="s">
        <v>240</v>
      </c>
      <c r="I14" s="4328" t="s">
        <v>257</v>
      </c>
      <c r="J14" s="4339" t="s">
        <v>3778</v>
      </c>
      <c r="K14" s="4328" t="s">
        <v>415</v>
      </c>
      <c r="L14" s="4345" t="s">
        <v>3804</v>
      </c>
      <c r="M14" s="4344">
        <v>0</v>
      </c>
      <c r="N14" s="4344">
        <v>0</v>
      </c>
      <c r="O14" s="4344">
        <v>10</v>
      </c>
      <c r="P14" s="4345" t="s">
        <v>3819</v>
      </c>
      <c r="Q14" s="4447" t="s">
        <v>3834</v>
      </c>
      <c r="R14" s="4459" t="s">
        <v>3857</v>
      </c>
      <c r="S14" s="1734"/>
      <c r="T14" s="1845"/>
      <c r="U14" s="1626"/>
      <c r="V14" s="1631"/>
      <c r="W14" s="1637"/>
      <c r="X14" s="206"/>
      <c r="Y14" s="1646"/>
      <c r="Z14" s="1646"/>
      <c r="AA14" s="1646"/>
      <c r="AB14" s="1647"/>
      <c r="AC14" s="442"/>
      <c r="AD14" s="254"/>
      <c r="AE14" s="255"/>
      <c r="AF14" s="4435" t="s">
        <v>3850</v>
      </c>
    </row>
    <row r="15" spans="1:32" ht="18" customHeight="1">
      <c r="A15" s="4360"/>
      <c r="B15" s="4461"/>
      <c r="C15" s="4464"/>
      <c r="D15" s="4215"/>
      <c r="E15" s="4215"/>
      <c r="F15" s="4215"/>
      <c r="G15" s="4215"/>
      <c r="H15" s="4215"/>
      <c r="I15" s="4215"/>
      <c r="J15" s="4340"/>
      <c r="K15" s="4215"/>
      <c r="L15" s="4215"/>
      <c r="M15" s="4226"/>
      <c r="N15" s="4226"/>
      <c r="O15" s="4226"/>
      <c r="P15" s="4215"/>
      <c r="Q15" s="4215"/>
      <c r="R15" s="4449"/>
      <c r="S15" s="1738"/>
      <c r="T15" s="1842"/>
      <c r="U15" s="1624"/>
      <c r="V15" s="1630"/>
      <c r="W15" s="1636"/>
      <c r="X15" s="209"/>
      <c r="Y15" s="1643"/>
      <c r="Z15" s="1643"/>
      <c r="AA15" s="1643"/>
      <c r="AB15" s="1645"/>
      <c r="AC15" s="395"/>
      <c r="AD15" s="395"/>
      <c r="AE15" s="256"/>
      <c r="AF15" s="4436"/>
    </row>
    <row r="16" spans="1:32" ht="18" customHeight="1">
      <c r="A16" s="4360"/>
      <c r="B16" s="4461"/>
      <c r="C16" s="4464"/>
      <c r="D16" s="4215"/>
      <c r="E16" s="4215"/>
      <c r="F16" s="4215"/>
      <c r="G16" s="4215"/>
      <c r="H16" s="4215"/>
      <c r="I16" s="4215"/>
      <c r="J16" s="4340"/>
      <c r="K16" s="4215"/>
      <c r="L16" s="4215"/>
      <c r="M16" s="4226"/>
      <c r="N16" s="4226"/>
      <c r="O16" s="4226"/>
      <c r="P16" s="4215"/>
      <c r="Q16" s="4215"/>
      <c r="R16" s="4449"/>
      <c r="S16" s="1735"/>
      <c r="T16" s="1842"/>
      <c r="U16" s="1842"/>
      <c r="V16" s="1630"/>
      <c r="W16" s="1636"/>
      <c r="X16" s="209"/>
      <c r="Y16" s="1643"/>
      <c r="Z16" s="1643"/>
      <c r="AA16" s="1643"/>
      <c r="AB16" s="1645"/>
      <c r="AC16" s="395"/>
      <c r="AD16" s="395"/>
      <c r="AE16" s="251"/>
      <c r="AF16" s="4436"/>
    </row>
    <row r="17" spans="1:32" ht="18" customHeight="1">
      <c r="A17" s="4360"/>
      <c r="B17" s="4461"/>
      <c r="C17" s="4464"/>
      <c r="D17" s="4215"/>
      <c r="E17" s="4215"/>
      <c r="F17" s="4215"/>
      <c r="G17" s="4215"/>
      <c r="H17" s="4215"/>
      <c r="I17" s="4215"/>
      <c r="J17" s="4340"/>
      <c r="K17" s="4215"/>
      <c r="L17" s="4215"/>
      <c r="M17" s="4226"/>
      <c r="N17" s="4226"/>
      <c r="O17" s="4226"/>
      <c r="P17" s="4215"/>
      <c r="Q17" s="4215"/>
      <c r="R17" s="4449"/>
      <c r="S17" s="1735"/>
      <c r="T17" s="1842"/>
      <c r="U17" s="1624"/>
      <c r="V17" s="1630"/>
      <c r="W17" s="1636"/>
      <c r="X17" s="209"/>
      <c r="Y17" s="1643"/>
      <c r="Z17" s="1643"/>
      <c r="AA17" s="1643"/>
      <c r="AB17" s="1645"/>
      <c r="AC17" s="395"/>
      <c r="AD17" s="395"/>
      <c r="AE17" s="251"/>
      <c r="AF17" s="4436"/>
    </row>
    <row r="18" spans="1:32" ht="18" customHeight="1">
      <c r="A18" s="4360"/>
      <c r="B18" s="4461"/>
      <c r="C18" s="4465"/>
      <c r="D18" s="4216"/>
      <c r="E18" s="4216"/>
      <c r="F18" s="4216"/>
      <c r="G18" s="4216"/>
      <c r="H18" s="4216"/>
      <c r="I18" s="4216"/>
      <c r="J18" s="4341"/>
      <c r="K18" s="4216"/>
      <c r="L18" s="4216"/>
      <c r="M18" s="4247"/>
      <c r="N18" s="4247"/>
      <c r="O18" s="4247"/>
      <c r="P18" s="4216"/>
      <c r="Q18" s="4216"/>
      <c r="R18" s="4450"/>
      <c r="S18" s="1737"/>
      <c r="T18" s="1844"/>
      <c r="U18" s="1627"/>
      <c r="V18" s="1632"/>
      <c r="W18" s="1638"/>
      <c r="X18" s="210"/>
      <c r="Y18" s="1648"/>
      <c r="Z18" s="1648"/>
      <c r="AA18" s="1648"/>
      <c r="AB18" s="1649"/>
      <c r="AC18" s="443"/>
      <c r="AD18" s="443"/>
      <c r="AE18" s="253"/>
      <c r="AF18" s="4437"/>
    </row>
    <row r="19" spans="1:32" ht="18" customHeight="1">
      <c r="A19" s="4360"/>
      <c r="B19" s="4461"/>
      <c r="C19" s="4467" t="s">
        <v>235</v>
      </c>
      <c r="D19" s="4273" t="s">
        <v>236</v>
      </c>
      <c r="E19" s="4273" t="s">
        <v>244</v>
      </c>
      <c r="F19" s="4273" t="s">
        <v>309</v>
      </c>
      <c r="G19" s="4338" t="s">
        <v>239</v>
      </c>
      <c r="H19" s="4273" t="s">
        <v>293</v>
      </c>
      <c r="I19" s="4273" t="s">
        <v>257</v>
      </c>
      <c r="J19" s="4330" t="s">
        <v>3779</v>
      </c>
      <c r="K19" s="4273" t="s">
        <v>416</v>
      </c>
      <c r="L19" s="4228" t="s">
        <v>3805</v>
      </c>
      <c r="M19" s="4246">
        <v>150</v>
      </c>
      <c r="N19" s="4246">
        <v>150</v>
      </c>
      <c r="O19" s="4246">
        <v>150</v>
      </c>
      <c r="P19" s="4228" t="s">
        <v>3820</v>
      </c>
      <c r="Q19" s="4447" t="s">
        <v>3834</v>
      </c>
      <c r="R19" s="4459" t="s">
        <v>3856</v>
      </c>
      <c r="S19" s="1734" t="s">
        <v>11</v>
      </c>
      <c r="T19" s="1845">
        <v>840107</v>
      </c>
      <c r="U19" s="1626"/>
      <c r="V19" s="1631" t="s">
        <v>20</v>
      </c>
      <c r="W19" s="1637"/>
      <c r="X19" s="206"/>
      <c r="Y19" s="1646"/>
      <c r="Z19" s="1646"/>
      <c r="AA19" s="1646"/>
      <c r="AB19" s="1647">
        <f>SUM($AA$20:$AA$22)</f>
        <v>1868.1600000000003</v>
      </c>
      <c r="AC19" s="442"/>
      <c r="AD19" s="249"/>
      <c r="AE19" s="250"/>
      <c r="AF19" s="4435" t="s">
        <v>3851</v>
      </c>
    </row>
    <row r="20" spans="1:32" ht="18" customHeight="1">
      <c r="A20" s="4360"/>
      <c r="B20" s="4461"/>
      <c r="C20" s="4464"/>
      <c r="D20" s="4215"/>
      <c r="E20" s="4215"/>
      <c r="F20" s="4215"/>
      <c r="G20" s="4215"/>
      <c r="H20" s="4215"/>
      <c r="I20" s="4215"/>
      <c r="J20" s="4331"/>
      <c r="K20" s="4215"/>
      <c r="L20" s="4215"/>
      <c r="M20" s="4226"/>
      <c r="N20" s="4226"/>
      <c r="O20" s="4226"/>
      <c r="P20" s="4215"/>
      <c r="Q20" s="4215"/>
      <c r="R20" s="4449"/>
      <c r="S20" s="1735"/>
      <c r="T20" s="1842"/>
      <c r="U20" s="1624">
        <v>451700424</v>
      </c>
      <c r="V20" s="1732" t="s">
        <v>3705</v>
      </c>
      <c r="W20" s="1862">
        <v>1</v>
      </c>
      <c r="X20" s="209" t="s">
        <v>269</v>
      </c>
      <c r="Y20" s="1867">
        <v>1100</v>
      </c>
      <c r="Z20" s="1867">
        <f t="shared" ref="Z20:Z22" si="0">+W20*Y20</f>
        <v>1100</v>
      </c>
      <c r="AA20" s="1867">
        <f t="shared" ref="AA20:AA22" si="1">+Z20*1.12</f>
        <v>1232.0000000000002</v>
      </c>
      <c r="AB20" s="1645"/>
      <c r="AC20" s="395" t="s">
        <v>251</v>
      </c>
      <c r="AD20" s="336"/>
      <c r="AE20" s="251"/>
      <c r="AF20" s="4436"/>
    </row>
    <row r="21" spans="1:32" ht="18" customHeight="1">
      <c r="A21" s="4360"/>
      <c r="B21" s="4461"/>
      <c r="C21" s="4464"/>
      <c r="D21" s="4215"/>
      <c r="E21" s="4215"/>
      <c r="F21" s="4215"/>
      <c r="G21" s="4215"/>
      <c r="H21" s="4215"/>
      <c r="I21" s="4215"/>
      <c r="J21" s="4331"/>
      <c r="K21" s="4215"/>
      <c r="L21" s="4215"/>
      <c r="M21" s="4226"/>
      <c r="N21" s="4226"/>
      <c r="O21" s="4226"/>
      <c r="P21" s="4215"/>
      <c r="Q21" s="4215"/>
      <c r="R21" s="4449"/>
      <c r="S21" s="1735"/>
      <c r="T21" s="1842"/>
      <c r="U21" s="1842">
        <v>452700024</v>
      </c>
      <c r="V21" s="1732" t="s">
        <v>3849</v>
      </c>
      <c r="W21" s="1636">
        <v>1</v>
      </c>
      <c r="X21" s="209" t="s">
        <v>269</v>
      </c>
      <c r="Y21" s="1643">
        <v>140</v>
      </c>
      <c r="Z21" s="1643">
        <f t="shared" si="0"/>
        <v>140</v>
      </c>
      <c r="AA21" s="1643">
        <f t="shared" si="1"/>
        <v>156.80000000000001</v>
      </c>
      <c r="AB21" s="1645"/>
      <c r="AC21" s="395" t="s">
        <v>251</v>
      </c>
      <c r="AD21" s="336"/>
      <c r="AE21" s="251"/>
      <c r="AF21" s="4436"/>
    </row>
    <row r="22" spans="1:32" ht="18" customHeight="1">
      <c r="A22" s="4360"/>
      <c r="B22" s="4461"/>
      <c r="C22" s="4464"/>
      <c r="D22" s="4215"/>
      <c r="E22" s="4215"/>
      <c r="F22" s="4215"/>
      <c r="G22" s="4215"/>
      <c r="H22" s="4215"/>
      <c r="I22" s="4215"/>
      <c r="J22" s="4331"/>
      <c r="K22" s="4215"/>
      <c r="L22" s="4215"/>
      <c r="M22" s="4226"/>
      <c r="N22" s="4226"/>
      <c r="O22" s="4226"/>
      <c r="P22" s="4215"/>
      <c r="Q22" s="4215"/>
      <c r="R22" s="4449"/>
      <c r="S22" s="1735"/>
      <c r="T22" s="1846"/>
      <c r="U22" s="1847">
        <v>4516003171</v>
      </c>
      <c r="V22" s="1882" t="s">
        <v>3706</v>
      </c>
      <c r="W22" s="1863">
        <v>1</v>
      </c>
      <c r="X22" s="1818" t="s">
        <v>269</v>
      </c>
      <c r="Y22" s="1868">
        <v>428</v>
      </c>
      <c r="Z22" s="1868">
        <f t="shared" si="0"/>
        <v>428</v>
      </c>
      <c r="AA22" s="1868">
        <f t="shared" si="1"/>
        <v>479.36000000000007</v>
      </c>
      <c r="AB22" s="1869"/>
      <c r="AC22" s="1819"/>
      <c r="AD22" s="1820" t="s">
        <v>251</v>
      </c>
      <c r="AE22" s="1821"/>
      <c r="AF22" s="4436"/>
    </row>
    <row r="23" spans="1:32" ht="18" customHeight="1">
      <c r="A23" s="4360"/>
      <c r="B23" s="4461"/>
      <c r="C23" s="4464"/>
      <c r="D23" s="4215"/>
      <c r="E23" s="4215"/>
      <c r="F23" s="4215"/>
      <c r="G23" s="4215"/>
      <c r="H23" s="4215"/>
      <c r="I23" s="4215"/>
      <c r="J23" s="4331"/>
      <c r="K23" s="4215"/>
      <c r="L23" s="4215"/>
      <c r="M23" s="4226"/>
      <c r="N23" s="4226"/>
      <c r="O23" s="4226"/>
      <c r="P23" s="4215"/>
      <c r="Q23" s="4215"/>
      <c r="R23" s="4449"/>
      <c r="S23" s="1739" t="s">
        <v>11</v>
      </c>
      <c r="T23" s="1841">
        <v>840103</v>
      </c>
      <c r="U23" s="1660"/>
      <c r="V23" s="1661" t="s">
        <v>22</v>
      </c>
      <c r="W23" s="1662"/>
      <c r="X23" s="1663"/>
      <c r="Y23" s="1664"/>
      <c r="Z23" s="1664"/>
      <c r="AA23" s="1664"/>
      <c r="AB23" s="1665">
        <f>SUM($AA$24:$AA$24)</f>
        <v>235.20000000000002</v>
      </c>
      <c r="AC23" s="1744"/>
      <c r="AD23" s="1745"/>
      <c r="AE23" s="1746"/>
      <c r="AF23" s="4436"/>
    </row>
    <row r="24" spans="1:32" ht="18" customHeight="1">
      <c r="A24" s="4360"/>
      <c r="B24" s="4461"/>
      <c r="C24" s="4464"/>
      <c r="D24" s="4215"/>
      <c r="E24" s="4215"/>
      <c r="F24" s="4215"/>
      <c r="G24" s="4215"/>
      <c r="H24" s="4215"/>
      <c r="I24" s="4215"/>
      <c r="J24" s="4331"/>
      <c r="K24" s="4215"/>
      <c r="L24" s="4215"/>
      <c r="M24" s="4226"/>
      <c r="N24" s="4226"/>
      <c r="O24" s="4226"/>
      <c r="P24" s="4215"/>
      <c r="Q24" s="4215"/>
      <c r="R24" s="4449"/>
      <c r="S24" s="1736"/>
      <c r="T24" s="1842"/>
      <c r="U24" s="1624">
        <v>3811102152</v>
      </c>
      <c r="V24" s="1630" t="s">
        <v>401</v>
      </c>
      <c r="W24" s="1636">
        <v>1</v>
      </c>
      <c r="X24" s="209" t="s">
        <v>269</v>
      </c>
      <c r="Y24" s="1643">
        <v>210</v>
      </c>
      <c r="Z24" s="1643">
        <f t="shared" ref="Z24" si="2">+W24*Y24</f>
        <v>210</v>
      </c>
      <c r="AA24" s="1643">
        <f t="shared" ref="AA24" si="3">+Z24*1.12</f>
        <v>235.20000000000002</v>
      </c>
      <c r="AB24" s="1645"/>
      <c r="AC24" s="395"/>
      <c r="AD24" s="336" t="s">
        <v>251</v>
      </c>
      <c r="AE24" s="251"/>
      <c r="AF24" s="4436"/>
    </row>
    <row r="25" spans="1:32" ht="18" customHeight="1">
      <c r="A25" s="4360"/>
      <c r="B25" s="4461"/>
      <c r="C25" s="4467" t="s">
        <v>235</v>
      </c>
      <c r="D25" s="4273" t="s">
        <v>236</v>
      </c>
      <c r="E25" s="4273" t="s">
        <v>244</v>
      </c>
      <c r="F25" s="4273" t="s">
        <v>292</v>
      </c>
      <c r="G25" s="4338" t="s">
        <v>239</v>
      </c>
      <c r="H25" s="4273" t="s">
        <v>240</v>
      </c>
      <c r="I25" s="4273" t="s">
        <v>257</v>
      </c>
      <c r="J25" s="4330" t="s">
        <v>3780</v>
      </c>
      <c r="K25" s="4273" t="s">
        <v>417</v>
      </c>
      <c r="L25" s="4228" t="s">
        <v>3806</v>
      </c>
      <c r="M25" s="4246">
        <v>150</v>
      </c>
      <c r="N25" s="4246">
        <v>150</v>
      </c>
      <c r="O25" s="4246">
        <v>150</v>
      </c>
      <c r="P25" s="4228" t="s">
        <v>3821</v>
      </c>
      <c r="Q25" s="4368" t="s">
        <v>3835</v>
      </c>
      <c r="R25" s="4458" t="s">
        <v>3856</v>
      </c>
      <c r="S25" s="1740"/>
      <c r="T25" s="1845"/>
      <c r="U25" s="1626"/>
      <c r="V25" s="1631"/>
      <c r="W25" s="1637"/>
      <c r="X25" s="206"/>
      <c r="Y25" s="1646"/>
      <c r="Z25" s="1646"/>
      <c r="AA25" s="1646"/>
      <c r="AB25" s="1647"/>
      <c r="AC25" s="442"/>
      <c r="AD25" s="249"/>
      <c r="AE25" s="250"/>
      <c r="AF25" s="4438"/>
    </row>
    <row r="26" spans="1:32" ht="18" customHeight="1">
      <c r="A26" s="4360"/>
      <c r="B26" s="4461"/>
      <c r="C26" s="4464"/>
      <c r="D26" s="4215"/>
      <c r="E26" s="4215"/>
      <c r="F26" s="4215"/>
      <c r="G26" s="4215"/>
      <c r="H26" s="4215"/>
      <c r="I26" s="4215"/>
      <c r="J26" s="4331"/>
      <c r="K26" s="4215"/>
      <c r="L26" s="4215"/>
      <c r="M26" s="4226"/>
      <c r="N26" s="4226"/>
      <c r="O26" s="4226"/>
      <c r="P26" s="4215"/>
      <c r="Q26" s="4215"/>
      <c r="R26" s="4449"/>
      <c r="S26" s="1735"/>
      <c r="T26" s="1842"/>
      <c r="U26" s="1624"/>
      <c r="V26" s="1630"/>
      <c r="W26" s="1636"/>
      <c r="X26" s="209"/>
      <c r="Y26" s="1643"/>
      <c r="Z26" s="1643"/>
      <c r="AA26" s="1643"/>
      <c r="AB26" s="1645"/>
      <c r="AC26" s="395"/>
      <c r="AD26" s="336"/>
      <c r="AE26" s="251"/>
      <c r="AF26" s="4436"/>
    </row>
    <row r="27" spans="1:32" ht="18" customHeight="1">
      <c r="A27" s="4360"/>
      <c r="B27" s="4461"/>
      <c r="C27" s="4464"/>
      <c r="D27" s="4215"/>
      <c r="E27" s="4215"/>
      <c r="F27" s="4215"/>
      <c r="G27" s="4215"/>
      <c r="H27" s="4215"/>
      <c r="I27" s="4215"/>
      <c r="J27" s="4331"/>
      <c r="K27" s="4215"/>
      <c r="L27" s="4215"/>
      <c r="M27" s="4226"/>
      <c r="N27" s="4226"/>
      <c r="O27" s="4226"/>
      <c r="P27" s="4215"/>
      <c r="Q27" s="4215"/>
      <c r="R27" s="4449"/>
      <c r="S27" s="1735"/>
      <c r="T27" s="1842"/>
      <c r="U27" s="1624"/>
      <c r="V27" s="1630"/>
      <c r="W27" s="1636"/>
      <c r="X27" s="209"/>
      <c r="Y27" s="1643"/>
      <c r="Z27" s="1643"/>
      <c r="AA27" s="1643"/>
      <c r="AB27" s="1645"/>
      <c r="AC27" s="395"/>
      <c r="AD27" s="336"/>
      <c r="AE27" s="251"/>
      <c r="AF27" s="4436"/>
    </row>
    <row r="28" spans="1:32" ht="18" customHeight="1">
      <c r="A28" s="4360"/>
      <c r="B28" s="4461"/>
      <c r="C28" s="4464"/>
      <c r="D28" s="4215"/>
      <c r="E28" s="4215"/>
      <c r="F28" s="4215"/>
      <c r="G28" s="4215"/>
      <c r="H28" s="4215"/>
      <c r="I28" s="4215"/>
      <c r="J28" s="4331"/>
      <c r="K28" s="4215"/>
      <c r="L28" s="4215"/>
      <c r="M28" s="4226"/>
      <c r="N28" s="4226"/>
      <c r="O28" s="4226"/>
      <c r="P28" s="4215"/>
      <c r="Q28" s="4215"/>
      <c r="R28" s="4449"/>
      <c r="S28" s="1735"/>
      <c r="T28" s="1842"/>
      <c r="U28" s="1624"/>
      <c r="V28" s="1630"/>
      <c r="W28" s="1636"/>
      <c r="X28" s="209"/>
      <c r="Y28" s="1643"/>
      <c r="Z28" s="1643"/>
      <c r="AA28" s="1643"/>
      <c r="AB28" s="1645"/>
      <c r="AC28" s="395"/>
      <c r="AD28" s="336"/>
      <c r="AE28" s="251"/>
      <c r="AF28" s="4436"/>
    </row>
    <row r="29" spans="1:32" ht="18" customHeight="1">
      <c r="A29" s="4360"/>
      <c r="B29" s="4461"/>
      <c r="C29" s="4465"/>
      <c r="D29" s="4216"/>
      <c r="E29" s="4216"/>
      <c r="F29" s="4216"/>
      <c r="G29" s="4216"/>
      <c r="H29" s="4216"/>
      <c r="I29" s="4216"/>
      <c r="J29" s="4332"/>
      <c r="K29" s="4216"/>
      <c r="L29" s="4216"/>
      <c r="M29" s="4247"/>
      <c r="N29" s="4247"/>
      <c r="O29" s="4247"/>
      <c r="P29" s="4216"/>
      <c r="Q29" s="4216"/>
      <c r="R29" s="4450"/>
      <c r="S29" s="1737"/>
      <c r="T29" s="1844"/>
      <c r="U29" s="1627"/>
      <c r="V29" s="1632"/>
      <c r="W29" s="1638"/>
      <c r="X29" s="210"/>
      <c r="Y29" s="1648"/>
      <c r="Z29" s="1648"/>
      <c r="AA29" s="1648"/>
      <c r="AB29" s="1649"/>
      <c r="AC29" s="443"/>
      <c r="AD29" s="252"/>
      <c r="AE29" s="253"/>
      <c r="AF29" s="4437"/>
    </row>
    <row r="30" spans="1:32" ht="18" customHeight="1">
      <c r="A30" s="4360"/>
      <c r="B30" s="4461"/>
      <c r="C30" s="4467" t="s">
        <v>235</v>
      </c>
      <c r="D30" s="4273" t="s">
        <v>236</v>
      </c>
      <c r="E30" s="4273" t="s">
        <v>237</v>
      </c>
      <c r="F30" s="4273" t="s">
        <v>326</v>
      </c>
      <c r="G30" s="4338" t="s">
        <v>239</v>
      </c>
      <c r="H30" s="4273" t="s">
        <v>240</v>
      </c>
      <c r="I30" s="4273" t="s">
        <v>257</v>
      </c>
      <c r="J30" s="4330" t="s">
        <v>3781</v>
      </c>
      <c r="K30" s="4273" t="s">
        <v>418</v>
      </c>
      <c r="L30" s="4228" t="s">
        <v>3807</v>
      </c>
      <c r="M30" s="4246">
        <v>40</v>
      </c>
      <c r="N30" s="4246">
        <v>40</v>
      </c>
      <c r="O30" s="4246">
        <v>40</v>
      </c>
      <c r="P30" s="4228" t="s">
        <v>3822</v>
      </c>
      <c r="Q30" s="4368" t="s">
        <v>3836</v>
      </c>
      <c r="R30" s="4458" t="s">
        <v>3858</v>
      </c>
      <c r="S30" s="1740"/>
      <c r="T30" s="1845"/>
      <c r="U30" s="1626"/>
      <c r="V30" s="1631"/>
      <c r="W30" s="1637"/>
      <c r="X30" s="206"/>
      <c r="Y30" s="1646"/>
      <c r="Z30" s="1646"/>
      <c r="AA30" s="1646"/>
      <c r="AB30" s="1647"/>
      <c r="AC30" s="442"/>
      <c r="AD30" s="249"/>
      <c r="AE30" s="250"/>
      <c r="AF30" s="4438"/>
    </row>
    <row r="31" spans="1:32" ht="18" customHeight="1">
      <c r="A31" s="4360"/>
      <c r="B31" s="4461"/>
      <c r="C31" s="4464"/>
      <c r="D31" s="4215"/>
      <c r="E31" s="4215"/>
      <c r="F31" s="4215"/>
      <c r="G31" s="4215"/>
      <c r="H31" s="4215"/>
      <c r="I31" s="4215"/>
      <c r="J31" s="4331"/>
      <c r="K31" s="4215"/>
      <c r="L31" s="4215"/>
      <c r="M31" s="4226"/>
      <c r="N31" s="4226"/>
      <c r="O31" s="4226"/>
      <c r="P31" s="4215"/>
      <c r="Q31" s="4215"/>
      <c r="R31" s="4449"/>
      <c r="S31" s="1735"/>
      <c r="T31" s="1842"/>
      <c r="U31" s="1624"/>
      <c r="V31" s="1630"/>
      <c r="W31" s="1636"/>
      <c r="X31" s="209"/>
      <c r="Y31" s="1643"/>
      <c r="Z31" s="1643"/>
      <c r="AA31" s="1643"/>
      <c r="AB31" s="1645"/>
      <c r="AC31" s="395"/>
      <c r="AD31" s="336"/>
      <c r="AE31" s="251"/>
      <c r="AF31" s="4436"/>
    </row>
    <row r="32" spans="1:32" ht="18" customHeight="1">
      <c r="A32" s="4360"/>
      <c r="B32" s="4461"/>
      <c r="C32" s="4464"/>
      <c r="D32" s="4215"/>
      <c r="E32" s="4215"/>
      <c r="F32" s="4215"/>
      <c r="G32" s="4215"/>
      <c r="H32" s="4215"/>
      <c r="I32" s="4215"/>
      <c r="J32" s="4331"/>
      <c r="K32" s="4215"/>
      <c r="L32" s="4215"/>
      <c r="M32" s="4226"/>
      <c r="N32" s="4226"/>
      <c r="O32" s="4226"/>
      <c r="P32" s="4215"/>
      <c r="Q32" s="4215"/>
      <c r="R32" s="4449"/>
      <c r="S32" s="1735"/>
      <c r="T32" s="1842"/>
      <c r="U32" s="1624"/>
      <c r="V32" s="1630"/>
      <c r="W32" s="1636"/>
      <c r="X32" s="209"/>
      <c r="Y32" s="1643"/>
      <c r="Z32" s="1643"/>
      <c r="AA32" s="1643"/>
      <c r="AB32" s="1645"/>
      <c r="AC32" s="395"/>
      <c r="AD32" s="336"/>
      <c r="AE32" s="251"/>
      <c r="AF32" s="4436"/>
    </row>
    <row r="33" spans="1:32" ht="18" customHeight="1">
      <c r="A33" s="4360"/>
      <c r="B33" s="4461"/>
      <c r="C33" s="4464"/>
      <c r="D33" s="4215"/>
      <c r="E33" s="4215"/>
      <c r="F33" s="4215"/>
      <c r="G33" s="4215"/>
      <c r="H33" s="4215"/>
      <c r="I33" s="4215"/>
      <c r="J33" s="4331"/>
      <c r="K33" s="4215"/>
      <c r="L33" s="4215"/>
      <c r="M33" s="4226"/>
      <c r="N33" s="4226"/>
      <c r="O33" s="4226"/>
      <c r="P33" s="4215"/>
      <c r="Q33" s="4215"/>
      <c r="R33" s="4449"/>
      <c r="S33" s="1735"/>
      <c r="T33" s="1842"/>
      <c r="U33" s="1624"/>
      <c r="V33" s="1630"/>
      <c r="W33" s="1636"/>
      <c r="X33" s="209"/>
      <c r="Y33" s="1643"/>
      <c r="Z33" s="1643"/>
      <c r="AA33" s="1643"/>
      <c r="AB33" s="1645"/>
      <c r="AC33" s="395"/>
      <c r="AD33" s="336"/>
      <c r="AE33" s="251"/>
      <c r="AF33" s="4436"/>
    </row>
    <row r="34" spans="1:32" ht="18" customHeight="1">
      <c r="A34" s="4360"/>
      <c r="B34" s="4461"/>
      <c r="C34" s="4465"/>
      <c r="D34" s="4216"/>
      <c r="E34" s="4216"/>
      <c r="F34" s="4216"/>
      <c r="G34" s="4216"/>
      <c r="H34" s="4216"/>
      <c r="I34" s="4216"/>
      <c r="J34" s="4332"/>
      <c r="K34" s="4216"/>
      <c r="L34" s="4216"/>
      <c r="M34" s="4247"/>
      <c r="N34" s="4247"/>
      <c r="O34" s="4247"/>
      <c r="P34" s="4216"/>
      <c r="Q34" s="4216"/>
      <c r="R34" s="4450"/>
      <c r="S34" s="1737"/>
      <c r="T34" s="1844"/>
      <c r="U34" s="1627"/>
      <c r="V34" s="1632"/>
      <c r="W34" s="1638"/>
      <c r="X34" s="210"/>
      <c r="Y34" s="1648"/>
      <c r="Z34" s="1648"/>
      <c r="AA34" s="1648"/>
      <c r="AB34" s="1649"/>
      <c r="AC34" s="443"/>
      <c r="AD34" s="252"/>
      <c r="AE34" s="253"/>
      <c r="AF34" s="4437"/>
    </row>
    <row r="35" spans="1:32" ht="18" customHeight="1">
      <c r="A35" s="4360"/>
      <c r="B35" s="4462"/>
      <c r="C35" s="4463" t="s">
        <v>235</v>
      </c>
      <c r="D35" s="4328" t="s">
        <v>236</v>
      </c>
      <c r="E35" s="4328" t="s">
        <v>244</v>
      </c>
      <c r="F35" s="4328" t="s">
        <v>245</v>
      </c>
      <c r="G35" s="4329" t="s">
        <v>239</v>
      </c>
      <c r="H35" s="4328" t="s">
        <v>240</v>
      </c>
      <c r="I35" s="4328" t="s">
        <v>257</v>
      </c>
      <c r="J35" s="4330" t="s">
        <v>3782</v>
      </c>
      <c r="K35" s="4273" t="s">
        <v>419</v>
      </c>
      <c r="L35" s="4345" t="s">
        <v>3808</v>
      </c>
      <c r="M35" s="4344">
        <v>380</v>
      </c>
      <c r="N35" s="4344">
        <v>10</v>
      </c>
      <c r="O35" s="4344">
        <v>380</v>
      </c>
      <c r="P35" s="4345" t="s">
        <v>3823</v>
      </c>
      <c r="Q35" s="4447" t="s">
        <v>3837</v>
      </c>
      <c r="R35" s="4459" t="s">
        <v>3859</v>
      </c>
      <c r="S35" s="1829" t="s">
        <v>11</v>
      </c>
      <c r="T35" s="1850">
        <v>531407</v>
      </c>
      <c r="U35" s="1849"/>
      <c r="V35" s="1856" t="s">
        <v>20</v>
      </c>
      <c r="W35" s="1864"/>
      <c r="X35" s="1824"/>
      <c r="Y35" s="1870"/>
      <c r="Z35" s="1870"/>
      <c r="AA35" s="1870"/>
      <c r="AB35" s="1871">
        <f>SUM($AA$36:$AA$37)</f>
        <v>235.20000000000002</v>
      </c>
      <c r="AC35" s="1825"/>
      <c r="AD35" s="1826"/>
      <c r="AE35" s="1822"/>
      <c r="AF35" s="4435" t="s">
        <v>3850</v>
      </c>
    </row>
    <row r="36" spans="1:32" ht="18" customHeight="1">
      <c r="A36" s="4360"/>
      <c r="B36" s="4477" t="s">
        <v>413</v>
      </c>
      <c r="C36" s="4464"/>
      <c r="D36" s="4215"/>
      <c r="E36" s="4215"/>
      <c r="F36" s="4215"/>
      <c r="G36" s="4215"/>
      <c r="H36" s="4215"/>
      <c r="I36" s="4215"/>
      <c r="J36" s="4331"/>
      <c r="K36" s="4215"/>
      <c r="L36" s="4215"/>
      <c r="M36" s="4226"/>
      <c r="N36" s="4226"/>
      <c r="O36" s="4226"/>
      <c r="P36" s="4215"/>
      <c r="Q36" s="4215"/>
      <c r="R36" s="4449"/>
      <c r="S36" s="1828"/>
      <c r="T36" s="1848"/>
      <c r="U36" s="1848" t="s">
        <v>420</v>
      </c>
      <c r="V36" s="1855" t="s">
        <v>421</v>
      </c>
      <c r="W36" s="1864">
        <v>2</v>
      </c>
      <c r="X36" s="1824" t="s">
        <v>269</v>
      </c>
      <c r="Y36" s="1870">
        <v>60</v>
      </c>
      <c r="Z36" s="1870">
        <f t="shared" ref="Z36:Z37" si="4">+W36*Y36</f>
        <v>120</v>
      </c>
      <c r="AA36" s="1870">
        <f t="shared" ref="AA36:AA37" si="5">+Z36*1.12</f>
        <v>134.4</v>
      </c>
      <c r="AB36" s="1871"/>
      <c r="AC36" s="1825" t="s">
        <v>251</v>
      </c>
      <c r="AD36" s="1826"/>
      <c r="AE36" s="1827"/>
      <c r="AF36" s="4436"/>
    </row>
    <row r="37" spans="1:32" ht="18" customHeight="1">
      <c r="A37" s="4360"/>
      <c r="B37" s="4478"/>
      <c r="C37" s="4464"/>
      <c r="D37" s="4215"/>
      <c r="E37" s="4215"/>
      <c r="F37" s="4215"/>
      <c r="G37" s="4215"/>
      <c r="H37" s="4215"/>
      <c r="I37" s="4215"/>
      <c r="J37" s="4331"/>
      <c r="K37" s="4215"/>
      <c r="L37" s="4215"/>
      <c r="M37" s="4226"/>
      <c r="N37" s="4226"/>
      <c r="O37" s="4226"/>
      <c r="P37" s="4215"/>
      <c r="Q37" s="4215"/>
      <c r="R37" s="4449"/>
      <c r="S37" s="1828"/>
      <c r="T37" s="1848"/>
      <c r="U37" s="1848" t="s">
        <v>420</v>
      </c>
      <c r="V37" s="1883" t="s">
        <v>3855</v>
      </c>
      <c r="W37" s="1864">
        <v>2</v>
      </c>
      <c r="X37" s="1824" t="s">
        <v>269</v>
      </c>
      <c r="Y37" s="1870">
        <v>45</v>
      </c>
      <c r="Z37" s="1870">
        <f t="shared" si="4"/>
        <v>90</v>
      </c>
      <c r="AA37" s="1870">
        <f t="shared" si="5"/>
        <v>100.80000000000001</v>
      </c>
      <c r="AB37" s="1871"/>
      <c r="AC37" s="1825"/>
      <c r="AD37" s="1825" t="s">
        <v>251</v>
      </c>
      <c r="AE37" s="1827"/>
      <c r="AF37" s="4436"/>
    </row>
    <row r="38" spans="1:32" ht="18" customHeight="1">
      <c r="A38" s="4360"/>
      <c r="B38" s="4478"/>
      <c r="C38" s="4464"/>
      <c r="D38" s="4215"/>
      <c r="E38" s="4215"/>
      <c r="F38" s="4215"/>
      <c r="G38" s="4215"/>
      <c r="H38" s="4215"/>
      <c r="I38" s="4215"/>
      <c r="J38" s="4331"/>
      <c r="K38" s="4215"/>
      <c r="L38" s="4215"/>
      <c r="M38" s="4226"/>
      <c r="N38" s="4226"/>
      <c r="O38" s="4226"/>
      <c r="P38" s="4215"/>
      <c r="Q38" s="4215"/>
      <c r="R38" s="4449"/>
      <c r="S38" s="1828"/>
      <c r="T38" s="1848"/>
      <c r="U38" s="1848"/>
      <c r="V38" s="1883"/>
      <c r="W38" s="1864"/>
      <c r="X38" s="1824"/>
      <c r="Y38" s="1870"/>
      <c r="Z38" s="1870"/>
      <c r="AA38" s="1870"/>
      <c r="AB38" s="1871"/>
      <c r="AC38" s="1825"/>
      <c r="AD38" s="1825"/>
      <c r="AE38" s="1827"/>
      <c r="AF38" s="4436"/>
    </row>
    <row r="39" spans="1:32" ht="18" customHeight="1">
      <c r="A39" s="4360"/>
      <c r="B39" s="4478"/>
      <c r="C39" s="4465"/>
      <c r="D39" s="4216"/>
      <c r="E39" s="4216"/>
      <c r="F39" s="4216"/>
      <c r="G39" s="4216"/>
      <c r="H39" s="4216"/>
      <c r="I39" s="4216"/>
      <c r="J39" s="4332"/>
      <c r="K39" s="4216"/>
      <c r="L39" s="4216"/>
      <c r="M39" s="4247"/>
      <c r="N39" s="4247"/>
      <c r="O39" s="4247"/>
      <c r="P39" s="4216"/>
      <c r="Q39" s="4216"/>
      <c r="R39" s="4450"/>
      <c r="S39" s="1830"/>
      <c r="T39" s="1851"/>
      <c r="U39" s="1851"/>
      <c r="V39" s="1857"/>
      <c r="W39" s="1865"/>
      <c r="X39" s="1831"/>
      <c r="Y39" s="1872"/>
      <c r="Z39" s="1872"/>
      <c r="AA39" s="1872"/>
      <c r="AB39" s="1873"/>
      <c r="AC39" s="1832"/>
      <c r="AD39" s="1833"/>
      <c r="AE39" s="1834"/>
      <c r="AF39" s="4437"/>
    </row>
    <row r="40" spans="1:32" ht="22.5" customHeight="1">
      <c r="A40" s="4360"/>
      <c r="B40" s="4478"/>
      <c r="C40" s="4463" t="s">
        <v>422</v>
      </c>
      <c r="D40" s="4328" t="s">
        <v>236</v>
      </c>
      <c r="E40" s="4328" t="s">
        <v>244</v>
      </c>
      <c r="F40" s="4328" t="s">
        <v>245</v>
      </c>
      <c r="G40" s="4329" t="s">
        <v>239</v>
      </c>
      <c r="H40" s="4328" t="s">
        <v>240</v>
      </c>
      <c r="I40" s="4328" t="s">
        <v>257</v>
      </c>
      <c r="J40" s="4330" t="s">
        <v>3783</v>
      </c>
      <c r="K40" s="4273" t="s">
        <v>423</v>
      </c>
      <c r="L40" s="4328"/>
      <c r="M40" s="4249">
        <v>0</v>
      </c>
      <c r="N40" s="4249">
        <v>0</v>
      </c>
      <c r="O40" s="4249">
        <v>0</v>
      </c>
      <c r="P40" s="4328"/>
      <c r="Q40" s="4328"/>
      <c r="R40" s="4459" t="s">
        <v>3860</v>
      </c>
      <c r="S40" s="1741"/>
      <c r="T40" s="1852"/>
      <c r="U40" s="1852"/>
      <c r="V40" s="1858"/>
      <c r="W40" s="1637"/>
      <c r="X40" s="206"/>
      <c r="Y40" s="1646"/>
      <c r="Z40" s="1646"/>
      <c r="AA40" s="1646"/>
      <c r="AB40" s="1647"/>
      <c r="AC40" s="442"/>
      <c r="AD40" s="249"/>
      <c r="AE40" s="250"/>
      <c r="AF40" s="4435" t="s">
        <v>3852</v>
      </c>
    </row>
    <row r="41" spans="1:32" ht="22.5" customHeight="1">
      <c r="A41" s="4360"/>
      <c r="B41" s="4478"/>
      <c r="C41" s="4464"/>
      <c r="D41" s="4215"/>
      <c r="E41" s="4215"/>
      <c r="F41" s="4215"/>
      <c r="G41" s="4215"/>
      <c r="H41" s="4215"/>
      <c r="I41" s="4215"/>
      <c r="J41" s="4331"/>
      <c r="K41" s="4215"/>
      <c r="L41" s="4215"/>
      <c r="M41" s="4226"/>
      <c r="N41" s="4226"/>
      <c r="O41" s="4226"/>
      <c r="P41" s="4215"/>
      <c r="Q41" s="4215"/>
      <c r="R41" s="4449"/>
      <c r="S41" s="1735"/>
      <c r="T41" s="1842"/>
      <c r="U41" s="1842"/>
      <c r="V41" s="1630"/>
      <c r="W41" s="1636"/>
      <c r="X41" s="209"/>
      <c r="Y41" s="1643"/>
      <c r="Z41" s="1643"/>
      <c r="AA41" s="1643"/>
      <c r="AB41" s="1645"/>
      <c r="AC41" s="395"/>
      <c r="AD41" s="336"/>
      <c r="AE41" s="251"/>
      <c r="AF41" s="4436"/>
    </row>
    <row r="42" spans="1:32" ht="22.5" customHeight="1">
      <c r="A42" s="4360"/>
      <c r="B42" s="4478"/>
      <c r="C42" s="4464"/>
      <c r="D42" s="4215"/>
      <c r="E42" s="4215"/>
      <c r="F42" s="4215"/>
      <c r="G42" s="4215"/>
      <c r="H42" s="4215"/>
      <c r="I42" s="4215"/>
      <c r="J42" s="4331"/>
      <c r="K42" s="4215"/>
      <c r="L42" s="4215"/>
      <c r="M42" s="4226"/>
      <c r="N42" s="4226"/>
      <c r="O42" s="4226"/>
      <c r="P42" s="4215"/>
      <c r="Q42" s="4215"/>
      <c r="R42" s="4449"/>
      <c r="S42" s="1735"/>
      <c r="T42" s="1842"/>
      <c r="U42" s="1842"/>
      <c r="V42" s="1630"/>
      <c r="W42" s="1636"/>
      <c r="X42" s="209"/>
      <c r="Y42" s="1643"/>
      <c r="Z42" s="1643"/>
      <c r="AA42" s="1643"/>
      <c r="AB42" s="1645"/>
      <c r="AC42" s="395"/>
      <c r="AD42" s="336"/>
      <c r="AE42" s="251"/>
      <c r="AF42" s="4436"/>
    </row>
    <row r="43" spans="1:32" ht="22.5" customHeight="1">
      <c r="A43" s="4360"/>
      <c r="B43" s="4478"/>
      <c r="C43" s="4464"/>
      <c r="D43" s="4215"/>
      <c r="E43" s="4215"/>
      <c r="F43" s="4215"/>
      <c r="G43" s="4215"/>
      <c r="H43" s="4215"/>
      <c r="I43" s="4215"/>
      <c r="J43" s="4331"/>
      <c r="K43" s="4215"/>
      <c r="L43" s="4215"/>
      <c r="M43" s="4226"/>
      <c r="N43" s="4226"/>
      <c r="O43" s="4226"/>
      <c r="P43" s="4215"/>
      <c r="Q43" s="4215"/>
      <c r="R43" s="4449"/>
      <c r="S43" s="1735"/>
      <c r="T43" s="1842"/>
      <c r="U43" s="1842"/>
      <c r="V43" s="1630"/>
      <c r="W43" s="1636"/>
      <c r="X43" s="209"/>
      <c r="Y43" s="1643"/>
      <c r="Z43" s="1643"/>
      <c r="AA43" s="1643"/>
      <c r="AB43" s="1645"/>
      <c r="AC43" s="395"/>
      <c r="AD43" s="336"/>
      <c r="AE43" s="251"/>
      <c r="AF43" s="4436"/>
    </row>
    <row r="44" spans="1:32" ht="22.5" customHeight="1">
      <c r="A44" s="4360"/>
      <c r="B44" s="4478"/>
      <c r="C44" s="4465"/>
      <c r="D44" s="4216"/>
      <c r="E44" s="4216"/>
      <c r="F44" s="4216"/>
      <c r="G44" s="4216"/>
      <c r="H44" s="4216"/>
      <c r="I44" s="4216"/>
      <c r="J44" s="4332"/>
      <c r="K44" s="4216"/>
      <c r="L44" s="4216"/>
      <c r="M44" s="4247"/>
      <c r="N44" s="4247"/>
      <c r="O44" s="4247"/>
      <c r="P44" s="4216"/>
      <c r="Q44" s="4216"/>
      <c r="R44" s="4450"/>
      <c r="S44" s="1737"/>
      <c r="T44" s="1844"/>
      <c r="U44" s="1844"/>
      <c r="V44" s="1632"/>
      <c r="W44" s="1638"/>
      <c r="X44" s="210"/>
      <c r="Y44" s="1648"/>
      <c r="Z44" s="1648"/>
      <c r="AA44" s="1648"/>
      <c r="AB44" s="1649"/>
      <c r="AC44" s="443"/>
      <c r="AD44" s="252"/>
      <c r="AE44" s="253"/>
      <c r="AF44" s="4437"/>
    </row>
    <row r="45" spans="1:32" ht="22.5" customHeight="1">
      <c r="A45" s="4360"/>
      <c r="B45" s="4478"/>
      <c r="C45" s="4463" t="s">
        <v>424</v>
      </c>
      <c r="D45" s="4328" t="s">
        <v>236</v>
      </c>
      <c r="E45" s="4328" t="s">
        <v>244</v>
      </c>
      <c r="F45" s="4328" t="s">
        <v>245</v>
      </c>
      <c r="G45" s="4329" t="s">
        <v>239</v>
      </c>
      <c r="H45" s="4328" t="s">
        <v>240</v>
      </c>
      <c r="I45" s="4328" t="s">
        <v>257</v>
      </c>
      <c r="J45" s="4330" t="s">
        <v>3784</v>
      </c>
      <c r="K45" s="4273" t="s">
        <v>425</v>
      </c>
      <c r="L45" s="4328"/>
      <c r="M45" s="4249">
        <v>0</v>
      </c>
      <c r="N45" s="4249">
        <v>0</v>
      </c>
      <c r="O45" s="4249">
        <v>0</v>
      </c>
      <c r="P45" s="1985"/>
      <c r="Q45" s="4328"/>
      <c r="R45" s="4459" t="s">
        <v>3860</v>
      </c>
      <c r="S45" s="1741"/>
      <c r="T45" s="1852"/>
      <c r="U45" s="1852"/>
      <c r="V45" s="1858"/>
      <c r="W45" s="1637"/>
      <c r="X45" s="206"/>
      <c r="Y45" s="1646"/>
      <c r="Z45" s="1646"/>
      <c r="AA45" s="1646"/>
      <c r="AB45" s="1647"/>
      <c r="AC45" s="442"/>
      <c r="AD45" s="249"/>
      <c r="AE45" s="250"/>
      <c r="AF45" s="4435" t="s">
        <v>3853</v>
      </c>
    </row>
    <row r="46" spans="1:32" ht="22.5" customHeight="1">
      <c r="A46" s="4360"/>
      <c r="B46" s="4478"/>
      <c r="C46" s="4464"/>
      <c r="D46" s="4215"/>
      <c r="E46" s="4215"/>
      <c r="F46" s="4215"/>
      <c r="G46" s="4215"/>
      <c r="H46" s="4215"/>
      <c r="I46" s="4215"/>
      <c r="J46" s="4331"/>
      <c r="K46" s="4215"/>
      <c r="L46" s="4215"/>
      <c r="M46" s="4226"/>
      <c r="N46" s="4226"/>
      <c r="O46" s="4226"/>
      <c r="P46" s="1985"/>
      <c r="Q46" s="4215"/>
      <c r="R46" s="4449"/>
      <c r="S46" s="1735"/>
      <c r="T46" s="1842"/>
      <c r="U46" s="1842"/>
      <c r="V46" s="1630"/>
      <c r="W46" s="1636"/>
      <c r="X46" s="209"/>
      <c r="Y46" s="1643"/>
      <c r="Z46" s="1643"/>
      <c r="AA46" s="1643"/>
      <c r="AB46" s="1645"/>
      <c r="AC46" s="395"/>
      <c r="AD46" s="336"/>
      <c r="AE46" s="251"/>
      <c r="AF46" s="4436"/>
    </row>
    <row r="47" spans="1:32" ht="22.5" customHeight="1">
      <c r="A47" s="4360"/>
      <c r="B47" s="4478"/>
      <c r="C47" s="4464"/>
      <c r="D47" s="4215"/>
      <c r="E47" s="4215"/>
      <c r="F47" s="4215"/>
      <c r="G47" s="4215"/>
      <c r="H47" s="4215"/>
      <c r="I47" s="4215"/>
      <c r="J47" s="4331"/>
      <c r="K47" s="4215"/>
      <c r="L47" s="4215"/>
      <c r="M47" s="4226"/>
      <c r="N47" s="4226"/>
      <c r="O47" s="4226"/>
      <c r="P47" s="1985"/>
      <c r="Q47" s="4215"/>
      <c r="R47" s="4449"/>
      <c r="S47" s="1735"/>
      <c r="T47" s="1842"/>
      <c r="U47" s="1842"/>
      <c r="V47" s="1630"/>
      <c r="W47" s="1636"/>
      <c r="X47" s="209"/>
      <c r="Y47" s="1643"/>
      <c r="Z47" s="1643"/>
      <c r="AA47" s="1643"/>
      <c r="AB47" s="1645"/>
      <c r="AC47" s="395"/>
      <c r="AD47" s="336"/>
      <c r="AE47" s="251"/>
      <c r="AF47" s="4436"/>
    </row>
    <row r="48" spans="1:32" ht="22.5" customHeight="1">
      <c r="A48" s="4360"/>
      <c r="B48" s="4478"/>
      <c r="C48" s="4464"/>
      <c r="D48" s="4215"/>
      <c r="E48" s="4215"/>
      <c r="F48" s="4215"/>
      <c r="G48" s="4215"/>
      <c r="H48" s="4215"/>
      <c r="I48" s="4215"/>
      <c r="J48" s="4331"/>
      <c r="K48" s="4215"/>
      <c r="L48" s="4215"/>
      <c r="M48" s="4226"/>
      <c r="N48" s="4226"/>
      <c r="O48" s="4226"/>
      <c r="P48" s="1985"/>
      <c r="Q48" s="4215"/>
      <c r="R48" s="4449"/>
      <c r="S48" s="1735"/>
      <c r="T48" s="1842"/>
      <c r="U48" s="1842"/>
      <c r="V48" s="1630"/>
      <c r="W48" s="1636"/>
      <c r="X48" s="209"/>
      <c r="Y48" s="1643"/>
      <c r="Z48" s="1643"/>
      <c r="AA48" s="1643"/>
      <c r="AB48" s="1645"/>
      <c r="AC48" s="395"/>
      <c r="AD48" s="336"/>
      <c r="AE48" s="251"/>
      <c r="AF48" s="4436"/>
    </row>
    <row r="49" spans="1:32" ht="22.5" customHeight="1">
      <c r="A49" s="4360"/>
      <c r="B49" s="4478"/>
      <c r="C49" s="4465"/>
      <c r="D49" s="4216"/>
      <c r="E49" s="4216"/>
      <c r="F49" s="4216"/>
      <c r="G49" s="4216"/>
      <c r="H49" s="4216"/>
      <c r="I49" s="4216"/>
      <c r="J49" s="4332"/>
      <c r="K49" s="4216"/>
      <c r="L49" s="4216"/>
      <c r="M49" s="4247"/>
      <c r="N49" s="4247"/>
      <c r="O49" s="4247"/>
      <c r="P49" s="1985"/>
      <c r="Q49" s="4216"/>
      <c r="R49" s="4450"/>
      <c r="S49" s="1737"/>
      <c r="T49" s="1844"/>
      <c r="U49" s="1844"/>
      <c r="V49" s="1632"/>
      <c r="W49" s="1638"/>
      <c r="X49" s="210"/>
      <c r="Y49" s="1648"/>
      <c r="Z49" s="1648"/>
      <c r="AA49" s="1648"/>
      <c r="AB49" s="1649"/>
      <c r="AC49" s="443"/>
      <c r="AD49" s="252"/>
      <c r="AE49" s="253"/>
      <c r="AF49" s="4437"/>
    </row>
    <row r="50" spans="1:32" ht="26.25" customHeight="1">
      <c r="A50" s="4360"/>
      <c r="B50" s="4478"/>
      <c r="C50" s="4467" t="s">
        <v>235</v>
      </c>
      <c r="D50" s="4273" t="s">
        <v>236</v>
      </c>
      <c r="E50" s="4273" t="s">
        <v>244</v>
      </c>
      <c r="F50" s="4273" t="s">
        <v>245</v>
      </c>
      <c r="G50" s="4338" t="s">
        <v>239</v>
      </c>
      <c r="H50" s="4273" t="s">
        <v>240</v>
      </c>
      <c r="I50" s="4273" t="s">
        <v>257</v>
      </c>
      <c r="J50" s="4473" t="s">
        <v>3785</v>
      </c>
      <c r="K50" s="4273" t="s">
        <v>338</v>
      </c>
      <c r="L50" s="4228" t="s">
        <v>3809</v>
      </c>
      <c r="M50" s="4246">
        <v>0</v>
      </c>
      <c r="N50" s="4246">
        <v>1</v>
      </c>
      <c r="O50" s="4246">
        <v>1</v>
      </c>
      <c r="P50" s="4228" t="s">
        <v>3824</v>
      </c>
      <c r="Q50" s="4368" t="s">
        <v>3838</v>
      </c>
      <c r="R50" s="4458" t="s">
        <v>3861</v>
      </c>
      <c r="S50" s="1740"/>
      <c r="T50" s="1845"/>
      <c r="U50" s="1626"/>
      <c r="V50" s="1631"/>
      <c r="W50" s="1637"/>
      <c r="X50" s="206"/>
      <c r="Y50" s="1646"/>
      <c r="Z50" s="1646"/>
      <c r="AA50" s="1646"/>
      <c r="AB50" s="1647"/>
      <c r="AC50" s="442"/>
      <c r="AD50" s="249"/>
      <c r="AE50" s="250"/>
      <c r="AF50" s="4438"/>
    </row>
    <row r="51" spans="1:32" ht="26.25" customHeight="1">
      <c r="A51" s="4360"/>
      <c r="B51" s="4478"/>
      <c r="C51" s="4464"/>
      <c r="D51" s="4215"/>
      <c r="E51" s="4215"/>
      <c r="F51" s="4215"/>
      <c r="G51" s="4215"/>
      <c r="H51" s="4215"/>
      <c r="I51" s="4215"/>
      <c r="J51" s="4331"/>
      <c r="K51" s="4215"/>
      <c r="L51" s="4215"/>
      <c r="M51" s="4226"/>
      <c r="N51" s="4226"/>
      <c r="O51" s="4226"/>
      <c r="P51" s="4215"/>
      <c r="Q51" s="4215"/>
      <c r="R51" s="4449"/>
      <c r="S51" s="1735"/>
      <c r="T51" s="1842"/>
      <c r="U51" s="1624"/>
      <c r="V51" s="1630"/>
      <c r="W51" s="1636"/>
      <c r="X51" s="209"/>
      <c r="Y51" s="1643"/>
      <c r="Z51" s="1643"/>
      <c r="AA51" s="1643"/>
      <c r="AB51" s="1645"/>
      <c r="AC51" s="395"/>
      <c r="AD51" s="336"/>
      <c r="AE51" s="251"/>
      <c r="AF51" s="4436"/>
    </row>
    <row r="52" spans="1:32" ht="26.25" customHeight="1">
      <c r="A52" s="4360"/>
      <c r="B52" s="4478"/>
      <c r="C52" s="4464"/>
      <c r="D52" s="4215"/>
      <c r="E52" s="4215"/>
      <c r="F52" s="4215"/>
      <c r="G52" s="4215"/>
      <c r="H52" s="4215"/>
      <c r="I52" s="4215"/>
      <c r="J52" s="4331"/>
      <c r="K52" s="4215"/>
      <c r="L52" s="4215"/>
      <c r="M52" s="4226"/>
      <c r="N52" s="4226"/>
      <c r="O52" s="4226"/>
      <c r="P52" s="4215"/>
      <c r="Q52" s="4215"/>
      <c r="R52" s="4449"/>
      <c r="S52" s="1735"/>
      <c r="T52" s="1842"/>
      <c r="U52" s="1624"/>
      <c r="V52" s="1630"/>
      <c r="W52" s="1636"/>
      <c r="X52" s="209"/>
      <c r="Y52" s="1643"/>
      <c r="Z52" s="1643"/>
      <c r="AA52" s="1643"/>
      <c r="AB52" s="1645"/>
      <c r="AC52" s="395"/>
      <c r="AD52" s="336"/>
      <c r="AE52" s="251"/>
      <c r="AF52" s="4436"/>
    </row>
    <row r="53" spans="1:32" ht="26.25" customHeight="1">
      <c r="A53" s="4360"/>
      <c r="B53" s="4478"/>
      <c r="C53" s="4464"/>
      <c r="D53" s="4215"/>
      <c r="E53" s="4215"/>
      <c r="F53" s="4215"/>
      <c r="G53" s="4215"/>
      <c r="H53" s="4215"/>
      <c r="I53" s="4215"/>
      <c r="J53" s="4331"/>
      <c r="K53" s="4215"/>
      <c r="L53" s="4215"/>
      <c r="M53" s="4226"/>
      <c r="N53" s="4226"/>
      <c r="O53" s="4226"/>
      <c r="P53" s="4215"/>
      <c r="Q53" s="4215"/>
      <c r="R53" s="4449"/>
      <c r="S53" s="1735"/>
      <c r="T53" s="1842"/>
      <c r="U53" s="1624"/>
      <c r="V53" s="1630"/>
      <c r="W53" s="1636"/>
      <c r="X53" s="209"/>
      <c r="Y53" s="1643"/>
      <c r="Z53" s="1643"/>
      <c r="AA53" s="1643"/>
      <c r="AB53" s="1645"/>
      <c r="AC53" s="395"/>
      <c r="AD53" s="336"/>
      <c r="AE53" s="251"/>
      <c r="AF53" s="4436"/>
    </row>
    <row r="54" spans="1:32" ht="26.25" customHeight="1">
      <c r="A54" s="4360"/>
      <c r="B54" s="4478"/>
      <c r="C54" s="4465"/>
      <c r="D54" s="4216"/>
      <c r="E54" s="4216"/>
      <c r="F54" s="4216"/>
      <c r="G54" s="4216"/>
      <c r="H54" s="4216"/>
      <c r="I54" s="4216"/>
      <c r="J54" s="4332"/>
      <c r="K54" s="4216"/>
      <c r="L54" s="4216"/>
      <c r="M54" s="4247"/>
      <c r="N54" s="4247"/>
      <c r="O54" s="4247"/>
      <c r="P54" s="4216"/>
      <c r="Q54" s="4216"/>
      <c r="R54" s="4450"/>
      <c r="S54" s="1737"/>
      <c r="T54" s="1844"/>
      <c r="U54" s="1627"/>
      <c r="V54" s="1632"/>
      <c r="W54" s="1638"/>
      <c r="X54" s="210"/>
      <c r="Y54" s="1648"/>
      <c r="Z54" s="1648"/>
      <c r="AA54" s="1648"/>
      <c r="AB54" s="1649"/>
      <c r="AC54" s="443"/>
      <c r="AD54" s="252"/>
      <c r="AE54" s="253"/>
      <c r="AF54" s="4437"/>
    </row>
    <row r="55" spans="1:32" ht="18" customHeight="1">
      <c r="A55" s="4360"/>
      <c r="B55" s="4478"/>
      <c r="C55" s="4467" t="s">
        <v>235</v>
      </c>
      <c r="D55" s="4273" t="s">
        <v>236</v>
      </c>
      <c r="E55" s="4273" t="s">
        <v>244</v>
      </c>
      <c r="F55" s="4273" t="s">
        <v>292</v>
      </c>
      <c r="G55" s="4338" t="s">
        <v>239</v>
      </c>
      <c r="H55" s="4273" t="s">
        <v>240</v>
      </c>
      <c r="I55" s="4273" t="s">
        <v>257</v>
      </c>
      <c r="J55" s="4330" t="s">
        <v>3786</v>
      </c>
      <c r="K55" s="4273" t="s">
        <v>371</v>
      </c>
      <c r="L55" s="4228" t="s">
        <v>3810</v>
      </c>
      <c r="M55" s="4246">
        <v>1</v>
      </c>
      <c r="N55" s="4246">
        <v>1</v>
      </c>
      <c r="O55" s="4246">
        <v>1</v>
      </c>
      <c r="P55" s="4228" t="s">
        <v>3825</v>
      </c>
      <c r="Q55" s="4368" t="s">
        <v>3839</v>
      </c>
      <c r="R55" s="4458" t="s">
        <v>3857</v>
      </c>
      <c r="S55" s="1734" t="s">
        <v>11</v>
      </c>
      <c r="T55" s="1845">
        <v>840103</v>
      </c>
      <c r="U55" s="1626"/>
      <c r="V55" s="1631" t="s">
        <v>22</v>
      </c>
      <c r="W55" s="1637"/>
      <c r="X55" s="206"/>
      <c r="Y55" s="1646"/>
      <c r="Z55" s="1646"/>
      <c r="AA55" s="1646"/>
      <c r="AB55" s="1647">
        <f>SUM($AA$56:$AA$56)</f>
        <v>761.3760000000002</v>
      </c>
      <c r="AC55" s="442"/>
      <c r="AD55" s="249"/>
      <c r="AE55" s="250"/>
      <c r="AF55" s="4438"/>
    </row>
    <row r="56" spans="1:32" ht="31.5" customHeight="1">
      <c r="A56" s="4360"/>
      <c r="B56" s="4478"/>
      <c r="C56" s="4464"/>
      <c r="D56" s="4215"/>
      <c r="E56" s="4215"/>
      <c r="F56" s="4215"/>
      <c r="G56" s="4215"/>
      <c r="H56" s="4215"/>
      <c r="I56" s="4215"/>
      <c r="J56" s="4331"/>
      <c r="K56" s="4215"/>
      <c r="L56" s="4215"/>
      <c r="M56" s="4226"/>
      <c r="N56" s="4226"/>
      <c r="O56" s="4226"/>
      <c r="P56" s="4215"/>
      <c r="Q56" s="4215"/>
      <c r="R56" s="4449"/>
      <c r="S56" s="1735"/>
      <c r="T56" s="1842"/>
      <c r="U56" s="1842">
        <v>4219000212</v>
      </c>
      <c r="V56" s="1881" t="s">
        <v>3848</v>
      </c>
      <c r="W56" s="1636">
        <v>5</v>
      </c>
      <c r="X56" s="209" t="s">
        <v>269</v>
      </c>
      <c r="Y56" s="1643">
        <v>135.96</v>
      </c>
      <c r="Z56" s="1643">
        <f t="shared" ref="Z56" si="6">+W56*Y56</f>
        <v>679.80000000000007</v>
      </c>
      <c r="AA56" s="1643">
        <f t="shared" ref="AA56" si="7">+Z56*1.12</f>
        <v>761.3760000000002</v>
      </c>
      <c r="AB56" s="1645"/>
      <c r="AC56" s="395" t="s">
        <v>251</v>
      </c>
      <c r="AD56" s="336"/>
      <c r="AE56" s="251"/>
      <c r="AF56" s="4436"/>
    </row>
    <row r="57" spans="1:32" ht="54" customHeight="1">
      <c r="A57" s="4360"/>
      <c r="B57" s="4478"/>
      <c r="C57" s="4464"/>
      <c r="D57" s="4215"/>
      <c r="E57" s="4215"/>
      <c r="F57" s="4215"/>
      <c r="G57" s="4215"/>
      <c r="H57" s="4215"/>
      <c r="I57" s="4215"/>
      <c r="J57" s="4331"/>
      <c r="K57" s="4215"/>
      <c r="L57" s="4215"/>
      <c r="M57" s="4226"/>
      <c r="N57" s="4226"/>
      <c r="O57" s="4226"/>
      <c r="P57" s="4215"/>
      <c r="Q57" s="4215"/>
      <c r="R57" s="4449"/>
      <c r="S57" s="1739" t="s">
        <v>11</v>
      </c>
      <c r="T57" s="1841">
        <v>530402</v>
      </c>
      <c r="U57" s="1853"/>
      <c r="V57" s="1880" t="s">
        <v>3847</v>
      </c>
      <c r="W57" s="1662"/>
      <c r="X57" s="1663"/>
      <c r="Y57" s="1664"/>
      <c r="Z57" s="1664"/>
      <c r="AA57" s="1664"/>
      <c r="AB57" s="1665">
        <f>SUM($AA$58:$AA$58)</f>
        <v>3584.0000000000005</v>
      </c>
      <c r="AC57" s="1744"/>
      <c r="AD57" s="1745"/>
      <c r="AE57" s="1746"/>
      <c r="AF57" s="4436"/>
    </row>
    <row r="58" spans="1:32" ht="36.75" customHeight="1">
      <c r="A58" s="4360"/>
      <c r="B58" s="4478"/>
      <c r="C58" s="4464"/>
      <c r="D58" s="4215"/>
      <c r="E58" s="4215"/>
      <c r="F58" s="4215"/>
      <c r="G58" s="4215"/>
      <c r="H58" s="4215"/>
      <c r="I58" s="4215"/>
      <c r="J58" s="4331"/>
      <c r="K58" s="4215"/>
      <c r="L58" s="4215"/>
      <c r="M58" s="4226"/>
      <c r="N58" s="4226"/>
      <c r="O58" s="4226"/>
      <c r="P58" s="4215"/>
      <c r="Q58" s="4215"/>
      <c r="R58" s="4449"/>
      <c r="S58" s="1736"/>
      <c r="T58" s="1842"/>
      <c r="U58" s="1842">
        <v>3812200501</v>
      </c>
      <c r="V58" s="1630" t="s">
        <v>427</v>
      </c>
      <c r="W58" s="1636">
        <v>1</v>
      </c>
      <c r="X58" s="209" t="s">
        <v>250</v>
      </c>
      <c r="Y58" s="1643">
        <v>3200</v>
      </c>
      <c r="Z58" s="1643">
        <f t="shared" ref="Z58" si="8">+W58*Y58</f>
        <v>3200</v>
      </c>
      <c r="AA58" s="1643">
        <f t="shared" ref="AA58" si="9">+Z58*1.12</f>
        <v>3584.0000000000005</v>
      </c>
      <c r="AB58" s="1645"/>
      <c r="AC58" s="395"/>
      <c r="AD58" s="336" t="s">
        <v>251</v>
      </c>
      <c r="AE58" s="251"/>
      <c r="AF58" s="4436"/>
    </row>
    <row r="59" spans="1:32" ht="18" customHeight="1">
      <c r="A59" s="4360"/>
      <c r="B59" s="4478"/>
      <c r="C59" s="4465"/>
      <c r="D59" s="4216"/>
      <c r="E59" s="4216"/>
      <c r="F59" s="4216"/>
      <c r="G59" s="4216"/>
      <c r="H59" s="4216"/>
      <c r="I59" s="4216"/>
      <c r="J59" s="4332"/>
      <c r="K59" s="4216"/>
      <c r="L59" s="4216"/>
      <c r="M59" s="4247"/>
      <c r="N59" s="4247"/>
      <c r="O59" s="4247"/>
      <c r="P59" s="4216"/>
      <c r="Q59" s="4216"/>
      <c r="R59" s="4450"/>
      <c r="S59" s="1737"/>
      <c r="T59" s="1627"/>
      <c r="U59" s="1627"/>
      <c r="V59" s="1632"/>
      <c r="W59" s="1638"/>
      <c r="X59" s="210"/>
      <c r="Y59" s="1648"/>
      <c r="Z59" s="1648"/>
      <c r="AA59" s="1648"/>
      <c r="AB59" s="1649"/>
      <c r="AC59" s="443"/>
      <c r="AD59" s="252"/>
      <c r="AE59" s="253"/>
      <c r="AF59" s="4437"/>
    </row>
    <row r="60" spans="1:32" ht="22.5" customHeight="1" thickBot="1">
      <c r="A60" s="4360"/>
      <c r="B60" s="4479"/>
      <c r="C60" s="1980"/>
      <c r="D60" s="1980"/>
      <c r="E60" s="1980"/>
      <c r="F60" s="1980"/>
      <c r="G60" s="1980"/>
      <c r="H60" s="1980"/>
      <c r="I60" s="1980"/>
      <c r="J60" s="1980"/>
      <c r="K60" s="1980"/>
      <c r="L60" s="1980"/>
      <c r="M60" s="1986"/>
      <c r="N60" s="1986"/>
      <c r="O60" s="1986"/>
      <c r="P60" s="1980"/>
      <c r="Q60" s="1980"/>
      <c r="R60" s="1980"/>
      <c r="S60" s="4452" t="s">
        <v>428</v>
      </c>
      <c r="T60" s="4453"/>
      <c r="U60" s="4453"/>
      <c r="V60" s="4453"/>
      <c r="W60" s="4453"/>
      <c r="X60" s="4453"/>
      <c r="Y60" s="4453"/>
      <c r="Z60" s="4454"/>
      <c r="AA60" s="1877" t="s">
        <v>340</v>
      </c>
      <c r="AB60" s="1878">
        <f>SUM(AB9:AB59)</f>
        <v>6683.9360000000006</v>
      </c>
      <c r="AC60" s="4455"/>
      <c r="AD60" s="4456"/>
      <c r="AE60" s="4456"/>
      <c r="AF60" s="4457"/>
    </row>
    <row r="61" spans="1:32" ht="18" customHeight="1">
      <c r="A61" s="4360"/>
      <c r="B61" s="4469" t="s">
        <v>429</v>
      </c>
      <c r="C61" s="4463" t="s">
        <v>235</v>
      </c>
      <c r="D61" s="4328" t="s">
        <v>236</v>
      </c>
      <c r="E61" s="4328" t="s">
        <v>244</v>
      </c>
      <c r="F61" s="4328" t="s">
        <v>430</v>
      </c>
      <c r="G61" s="4329" t="s">
        <v>239</v>
      </c>
      <c r="H61" s="4328" t="s">
        <v>240</v>
      </c>
      <c r="I61" s="4328" t="s">
        <v>278</v>
      </c>
      <c r="J61" s="4445" t="s">
        <v>3787</v>
      </c>
      <c r="K61" s="4228" t="s">
        <v>3802</v>
      </c>
      <c r="L61" s="4228" t="s">
        <v>3811</v>
      </c>
      <c r="M61" s="4249">
        <v>60</v>
      </c>
      <c r="N61" s="4246">
        <v>60</v>
      </c>
      <c r="O61" s="4249">
        <v>60</v>
      </c>
      <c r="P61" s="4345" t="s">
        <v>3826</v>
      </c>
      <c r="Q61" s="4447" t="s">
        <v>3840</v>
      </c>
      <c r="R61" s="4448" t="s">
        <v>3862</v>
      </c>
      <c r="S61" s="1829" t="s">
        <v>11</v>
      </c>
      <c r="T61" s="1891">
        <v>530106</v>
      </c>
      <c r="U61" s="1849"/>
      <c r="V61" s="1856" t="s">
        <v>34</v>
      </c>
      <c r="W61" s="1864"/>
      <c r="X61" s="1824"/>
      <c r="Y61" s="1870"/>
      <c r="Z61" s="1870"/>
      <c r="AA61" s="1870"/>
      <c r="AB61" s="1871">
        <f>+AA62</f>
        <v>3360.0000000000005</v>
      </c>
      <c r="AC61" s="1824"/>
      <c r="AD61" s="1888"/>
      <c r="AE61" s="1889"/>
      <c r="AF61" s="4451" t="s">
        <v>431</v>
      </c>
    </row>
    <row r="62" spans="1:32" ht="34.5" customHeight="1">
      <c r="A62" s="4360"/>
      <c r="B62" s="4461"/>
      <c r="C62" s="4464"/>
      <c r="D62" s="4215"/>
      <c r="E62" s="4215"/>
      <c r="F62" s="4215"/>
      <c r="G62" s="4215"/>
      <c r="H62" s="4215"/>
      <c r="I62" s="4215"/>
      <c r="J62" s="4446"/>
      <c r="K62" s="4215"/>
      <c r="L62" s="4215"/>
      <c r="M62" s="4226"/>
      <c r="N62" s="4226"/>
      <c r="O62" s="4226"/>
      <c r="P62" s="4215"/>
      <c r="Q62" s="4215"/>
      <c r="R62" s="4449"/>
      <c r="S62" s="1823"/>
      <c r="T62" s="1849"/>
      <c r="U62" s="1849">
        <v>681110112</v>
      </c>
      <c r="V62" s="1855" t="s">
        <v>432</v>
      </c>
      <c r="W62" s="1864">
        <v>1</v>
      </c>
      <c r="X62" s="1824" t="s">
        <v>250</v>
      </c>
      <c r="Y62" s="1870">
        <v>3000</v>
      </c>
      <c r="Z62" s="1870">
        <f t="shared" ref="Z62" si="10">+W62*Y62</f>
        <v>3000</v>
      </c>
      <c r="AA62" s="1870">
        <f t="shared" ref="AA62" si="11">+Z62*1.12</f>
        <v>3360.0000000000005</v>
      </c>
      <c r="AB62" s="1871"/>
      <c r="AC62" s="1824" t="s">
        <v>251</v>
      </c>
      <c r="AD62" s="1824"/>
      <c r="AE62" s="1890"/>
      <c r="AF62" s="4436"/>
    </row>
    <row r="63" spans="1:32" ht="23.25" customHeight="1">
      <c r="A63" s="4360"/>
      <c r="B63" s="4461"/>
      <c r="C63" s="4464"/>
      <c r="D63" s="4215"/>
      <c r="E63" s="4215"/>
      <c r="F63" s="4215"/>
      <c r="G63" s="4215"/>
      <c r="H63" s="4215"/>
      <c r="I63" s="4215"/>
      <c r="J63" s="4446"/>
      <c r="K63" s="4215"/>
      <c r="L63" s="4215"/>
      <c r="M63" s="4226"/>
      <c r="N63" s="4226"/>
      <c r="O63" s="4226"/>
      <c r="P63" s="4215"/>
      <c r="Q63" s="4215"/>
      <c r="R63" s="4449"/>
      <c r="S63" s="1823"/>
      <c r="T63" s="1849"/>
      <c r="U63" s="1849"/>
      <c r="V63" s="1855"/>
      <c r="W63" s="1864"/>
      <c r="X63" s="1824"/>
      <c r="Y63" s="1870"/>
      <c r="Z63" s="1870"/>
      <c r="AA63" s="1870"/>
      <c r="AB63" s="1871"/>
      <c r="AC63" s="1824"/>
      <c r="AD63" s="1824"/>
      <c r="AE63" s="1892"/>
      <c r="AF63" s="4436"/>
    </row>
    <row r="64" spans="1:32" ht="23.25" customHeight="1">
      <c r="A64" s="4360"/>
      <c r="B64" s="4461"/>
      <c r="C64" s="4464"/>
      <c r="D64" s="4215"/>
      <c r="E64" s="4215"/>
      <c r="F64" s="4215"/>
      <c r="G64" s="4215"/>
      <c r="H64" s="4215"/>
      <c r="I64" s="4215"/>
      <c r="J64" s="4446"/>
      <c r="K64" s="4215"/>
      <c r="L64" s="4215"/>
      <c r="M64" s="4226"/>
      <c r="N64" s="4226"/>
      <c r="O64" s="4226"/>
      <c r="P64" s="4215"/>
      <c r="Q64" s="4215"/>
      <c r="R64" s="4449"/>
      <c r="S64" s="1823"/>
      <c r="T64" s="1849"/>
      <c r="U64" s="1849"/>
      <c r="V64" s="1855"/>
      <c r="W64" s="1864"/>
      <c r="X64" s="1824"/>
      <c r="Y64" s="1870"/>
      <c r="Z64" s="1870"/>
      <c r="AA64" s="1870"/>
      <c r="AB64" s="1871"/>
      <c r="AC64" s="1824"/>
      <c r="AD64" s="1824"/>
      <c r="AE64" s="1892"/>
      <c r="AF64" s="4436"/>
    </row>
    <row r="65" spans="1:32" ht="23.25" customHeight="1">
      <c r="A65" s="4360"/>
      <c r="B65" s="4461"/>
      <c r="C65" s="4465"/>
      <c r="D65" s="4216"/>
      <c r="E65" s="4216"/>
      <c r="F65" s="4216"/>
      <c r="G65" s="4216"/>
      <c r="H65" s="4216"/>
      <c r="I65" s="4216"/>
      <c r="J65" s="4341"/>
      <c r="K65" s="4216"/>
      <c r="L65" s="4216"/>
      <c r="M65" s="4247"/>
      <c r="N65" s="4247"/>
      <c r="O65" s="4247"/>
      <c r="P65" s="4216"/>
      <c r="Q65" s="4216"/>
      <c r="R65" s="4450"/>
      <c r="S65" s="1893"/>
      <c r="T65" s="1894"/>
      <c r="U65" s="1894"/>
      <c r="V65" s="1857"/>
      <c r="W65" s="1865"/>
      <c r="X65" s="1831"/>
      <c r="Y65" s="1872"/>
      <c r="Z65" s="1872"/>
      <c r="AA65" s="1872"/>
      <c r="AB65" s="1873"/>
      <c r="AC65" s="1831"/>
      <c r="AD65" s="1831"/>
      <c r="AE65" s="1895"/>
      <c r="AF65" s="4437"/>
    </row>
    <row r="66" spans="1:32" ht="18" customHeight="1">
      <c r="A66" s="4360"/>
      <c r="B66" s="4461"/>
      <c r="C66" s="4463" t="s">
        <v>235</v>
      </c>
      <c r="D66" s="4328" t="s">
        <v>236</v>
      </c>
      <c r="E66" s="4328" t="s">
        <v>244</v>
      </c>
      <c r="F66" s="4328" t="s">
        <v>245</v>
      </c>
      <c r="G66" s="4329" t="s">
        <v>239</v>
      </c>
      <c r="H66" s="4328" t="s">
        <v>240</v>
      </c>
      <c r="I66" s="4328" t="s">
        <v>257</v>
      </c>
      <c r="J66" s="4445" t="s">
        <v>3788</v>
      </c>
      <c r="K66" s="4228" t="s">
        <v>3801</v>
      </c>
      <c r="L66" s="4228" t="s">
        <v>3812</v>
      </c>
      <c r="M66" s="4249">
        <v>0</v>
      </c>
      <c r="N66" s="4246">
        <v>1</v>
      </c>
      <c r="O66" s="4249">
        <v>0</v>
      </c>
      <c r="P66" s="4345" t="s">
        <v>3827</v>
      </c>
      <c r="Q66" s="4447" t="s">
        <v>3841</v>
      </c>
      <c r="R66" s="4448" t="s">
        <v>3863</v>
      </c>
      <c r="S66" s="1734"/>
      <c r="T66" s="1626"/>
      <c r="U66" s="1626"/>
      <c r="V66" s="1859"/>
      <c r="W66" s="1637"/>
      <c r="X66" s="206"/>
      <c r="Y66" s="1646"/>
      <c r="Z66" s="1646"/>
      <c r="AA66" s="1646"/>
      <c r="AB66" s="1647"/>
      <c r="AC66" s="206"/>
      <c r="AD66" s="212"/>
      <c r="AE66" s="213"/>
      <c r="AF66" s="4435" t="s">
        <v>3850</v>
      </c>
    </row>
    <row r="67" spans="1:32" ht="18" customHeight="1">
      <c r="A67" s="4360"/>
      <c r="B67" s="4461"/>
      <c r="C67" s="4464"/>
      <c r="D67" s="4215"/>
      <c r="E67" s="4215"/>
      <c r="F67" s="4215"/>
      <c r="G67" s="4215"/>
      <c r="H67" s="4215"/>
      <c r="I67" s="4215"/>
      <c r="J67" s="4446"/>
      <c r="K67" s="4215"/>
      <c r="L67" s="4215"/>
      <c r="M67" s="4226"/>
      <c r="N67" s="4226"/>
      <c r="O67" s="4226"/>
      <c r="P67" s="4215"/>
      <c r="Q67" s="4215"/>
      <c r="R67" s="4449"/>
      <c r="S67" s="1735"/>
      <c r="T67" s="1624"/>
      <c r="U67" s="1624"/>
      <c r="V67" s="1630"/>
      <c r="W67" s="1636"/>
      <c r="X67" s="209"/>
      <c r="Y67" s="1643"/>
      <c r="Z67" s="1643"/>
      <c r="AA67" s="1643"/>
      <c r="AB67" s="1645"/>
      <c r="AC67" s="209"/>
      <c r="AD67" s="209"/>
      <c r="AE67" s="214"/>
      <c r="AF67" s="4436"/>
    </row>
    <row r="68" spans="1:32" ht="18" customHeight="1">
      <c r="A68" s="4360"/>
      <c r="B68" s="4461"/>
      <c r="C68" s="4464"/>
      <c r="D68" s="4215"/>
      <c r="E68" s="4215"/>
      <c r="F68" s="4215"/>
      <c r="G68" s="4215"/>
      <c r="H68" s="4215"/>
      <c r="I68" s="4215"/>
      <c r="J68" s="4446"/>
      <c r="K68" s="4215"/>
      <c r="L68" s="4215"/>
      <c r="M68" s="4226"/>
      <c r="N68" s="4226"/>
      <c r="O68" s="4226"/>
      <c r="P68" s="4215"/>
      <c r="Q68" s="4215"/>
      <c r="R68" s="4449"/>
      <c r="S68" s="1735"/>
      <c r="T68" s="1624"/>
      <c r="U68" s="1624"/>
      <c r="V68" s="1630"/>
      <c r="W68" s="1636"/>
      <c r="X68" s="209"/>
      <c r="Y68" s="1643"/>
      <c r="Z68" s="1643"/>
      <c r="AA68" s="1643"/>
      <c r="AB68" s="1645"/>
      <c r="AC68" s="209"/>
      <c r="AD68" s="209"/>
      <c r="AE68" s="204"/>
      <c r="AF68" s="4436"/>
    </row>
    <row r="69" spans="1:32" ht="18" customHeight="1">
      <c r="A69" s="4360"/>
      <c r="B69" s="4461"/>
      <c r="C69" s="4464"/>
      <c r="D69" s="4215"/>
      <c r="E69" s="4215"/>
      <c r="F69" s="4215"/>
      <c r="G69" s="4215"/>
      <c r="H69" s="4215"/>
      <c r="I69" s="4215"/>
      <c r="J69" s="4446"/>
      <c r="K69" s="4215"/>
      <c r="L69" s="4215"/>
      <c r="M69" s="4226"/>
      <c r="N69" s="4226"/>
      <c r="O69" s="4226"/>
      <c r="P69" s="4215"/>
      <c r="Q69" s="4215"/>
      <c r="R69" s="4449"/>
      <c r="S69" s="1735"/>
      <c r="T69" s="1624"/>
      <c r="U69" s="1624"/>
      <c r="V69" s="1630"/>
      <c r="W69" s="1636"/>
      <c r="X69" s="209"/>
      <c r="Y69" s="1643"/>
      <c r="Z69" s="1643"/>
      <c r="AA69" s="1643"/>
      <c r="AB69" s="1645"/>
      <c r="AC69" s="209"/>
      <c r="AD69" s="209"/>
      <c r="AE69" s="204"/>
      <c r="AF69" s="4436"/>
    </row>
    <row r="70" spans="1:32" ht="18" customHeight="1">
      <c r="A70" s="4360"/>
      <c r="B70" s="4461"/>
      <c r="C70" s="4465"/>
      <c r="D70" s="4216"/>
      <c r="E70" s="4216"/>
      <c r="F70" s="4216"/>
      <c r="G70" s="4216"/>
      <c r="H70" s="4216"/>
      <c r="I70" s="4216"/>
      <c r="J70" s="4341"/>
      <c r="K70" s="4216"/>
      <c r="L70" s="4216"/>
      <c r="M70" s="4247"/>
      <c r="N70" s="4247"/>
      <c r="O70" s="4247"/>
      <c r="P70" s="4216"/>
      <c r="Q70" s="4216"/>
      <c r="R70" s="4450"/>
      <c r="S70" s="1737"/>
      <c r="T70" s="1627"/>
      <c r="U70" s="1627"/>
      <c r="V70" s="1632"/>
      <c r="W70" s="1638"/>
      <c r="X70" s="210"/>
      <c r="Y70" s="1648"/>
      <c r="Z70" s="1648"/>
      <c r="AA70" s="1648"/>
      <c r="AB70" s="1649"/>
      <c r="AC70" s="210"/>
      <c r="AD70" s="210"/>
      <c r="AE70" s="211"/>
      <c r="AF70" s="4437"/>
    </row>
    <row r="71" spans="1:32" ht="22.5" customHeight="1">
      <c r="A71" s="4360"/>
      <c r="B71" s="4461"/>
      <c r="C71" s="4463" t="s">
        <v>235</v>
      </c>
      <c r="D71" s="4328" t="s">
        <v>236</v>
      </c>
      <c r="E71" s="4273" t="s">
        <v>237</v>
      </c>
      <c r="F71" s="4273" t="s">
        <v>326</v>
      </c>
      <c r="G71" s="4329" t="s">
        <v>239</v>
      </c>
      <c r="H71" s="4328" t="s">
        <v>240</v>
      </c>
      <c r="I71" s="4328" t="s">
        <v>241</v>
      </c>
      <c r="J71" s="4445" t="s">
        <v>3789</v>
      </c>
      <c r="K71" s="4228" t="s">
        <v>3800</v>
      </c>
      <c r="L71" s="4228" t="s">
        <v>3813</v>
      </c>
      <c r="M71" s="4249">
        <v>0</v>
      </c>
      <c r="N71" s="4246">
        <v>0</v>
      </c>
      <c r="O71" s="4249">
        <v>1</v>
      </c>
      <c r="P71" s="4345" t="s">
        <v>3828</v>
      </c>
      <c r="Q71" s="4447" t="s">
        <v>3842</v>
      </c>
      <c r="R71" s="4448" t="s">
        <v>3864</v>
      </c>
      <c r="S71" s="1740"/>
      <c r="T71" s="1626"/>
      <c r="U71" s="1626"/>
      <c r="V71" s="1859"/>
      <c r="W71" s="1637"/>
      <c r="X71" s="206"/>
      <c r="Y71" s="1646"/>
      <c r="Z71" s="1646"/>
      <c r="AA71" s="1646"/>
      <c r="AB71" s="1647"/>
      <c r="AC71" s="206"/>
      <c r="AD71" s="212"/>
      <c r="AE71" s="213"/>
      <c r="AF71" s="4438"/>
    </row>
    <row r="72" spans="1:32" ht="22.5" customHeight="1">
      <c r="A72" s="4360"/>
      <c r="B72" s="4461"/>
      <c r="C72" s="4464"/>
      <c r="D72" s="4215"/>
      <c r="E72" s="4215"/>
      <c r="F72" s="4215"/>
      <c r="G72" s="4215"/>
      <c r="H72" s="4215"/>
      <c r="I72" s="4215"/>
      <c r="J72" s="4446"/>
      <c r="K72" s="4215"/>
      <c r="L72" s="4215"/>
      <c r="M72" s="4226"/>
      <c r="N72" s="4226"/>
      <c r="O72" s="4226"/>
      <c r="P72" s="4215"/>
      <c r="Q72" s="4215"/>
      <c r="R72" s="4449"/>
      <c r="S72" s="1735"/>
      <c r="T72" s="1624"/>
      <c r="U72" s="1624"/>
      <c r="V72" s="1633"/>
      <c r="W72" s="1636"/>
      <c r="X72" s="209"/>
      <c r="Y72" s="1643"/>
      <c r="Z72" s="1643"/>
      <c r="AA72" s="1643"/>
      <c r="AB72" s="1645"/>
      <c r="AC72" s="209"/>
      <c r="AD72" s="209"/>
      <c r="AE72" s="214"/>
      <c r="AF72" s="4436"/>
    </row>
    <row r="73" spans="1:32" ht="22.5" customHeight="1">
      <c r="A73" s="4360"/>
      <c r="B73" s="4461"/>
      <c r="C73" s="4464"/>
      <c r="D73" s="4215"/>
      <c r="E73" s="4215"/>
      <c r="F73" s="4215"/>
      <c r="G73" s="4215"/>
      <c r="H73" s="4215"/>
      <c r="I73" s="4215"/>
      <c r="J73" s="4446"/>
      <c r="K73" s="4215"/>
      <c r="L73" s="4215"/>
      <c r="M73" s="4226"/>
      <c r="N73" s="4226"/>
      <c r="O73" s="4226"/>
      <c r="P73" s="4215"/>
      <c r="Q73" s="4215"/>
      <c r="R73" s="4449"/>
      <c r="S73" s="1735"/>
      <c r="T73" s="1624"/>
      <c r="U73" s="1624"/>
      <c r="V73" s="1630"/>
      <c r="W73" s="1636"/>
      <c r="X73" s="209"/>
      <c r="Y73" s="1643"/>
      <c r="Z73" s="1643"/>
      <c r="AA73" s="1643"/>
      <c r="AB73" s="1645"/>
      <c r="AC73" s="209"/>
      <c r="AD73" s="209"/>
      <c r="AE73" s="204"/>
      <c r="AF73" s="4436"/>
    </row>
    <row r="74" spans="1:32" ht="22.5" customHeight="1">
      <c r="A74" s="4360"/>
      <c r="B74" s="4461"/>
      <c r="C74" s="4464"/>
      <c r="D74" s="4215"/>
      <c r="E74" s="4215"/>
      <c r="F74" s="4215"/>
      <c r="G74" s="4215"/>
      <c r="H74" s="4215"/>
      <c r="I74" s="4215"/>
      <c r="J74" s="4446"/>
      <c r="K74" s="4215"/>
      <c r="L74" s="4215"/>
      <c r="M74" s="4226"/>
      <c r="N74" s="4226"/>
      <c r="O74" s="4226"/>
      <c r="P74" s="4215"/>
      <c r="Q74" s="4215"/>
      <c r="R74" s="4449"/>
      <c r="S74" s="1735"/>
      <c r="T74" s="1624"/>
      <c r="U74" s="1624"/>
      <c r="V74" s="1630"/>
      <c r="W74" s="1636"/>
      <c r="X74" s="209"/>
      <c r="Y74" s="1643"/>
      <c r="Z74" s="1643"/>
      <c r="AA74" s="1643"/>
      <c r="AB74" s="1645"/>
      <c r="AC74" s="209"/>
      <c r="AD74" s="209"/>
      <c r="AE74" s="204"/>
      <c r="AF74" s="4436"/>
    </row>
    <row r="75" spans="1:32" ht="22.5" customHeight="1">
      <c r="A75" s="4360"/>
      <c r="B75" s="4461"/>
      <c r="C75" s="4465"/>
      <c r="D75" s="4216"/>
      <c r="E75" s="4216"/>
      <c r="F75" s="4216"/>
      <c r="G75" s="4216"/>
      <c r="H75" s="4216"/>
      <c r="I75" s="4216"/>
      <c r="J75" s="4341"/>
      <c r="K75" s="4216"/>
      <c r="L75" s="4216"/>
      <c r="M75" s="4247"/>
      <c r="N75" s="4247"/>
      <c r="O75" s="4247"/>
      <c r="P75" s="4216"/>
      <c r="Q75" s="4216"/>
      <c r="R75" s="4450"/>
      <c r="S75" s="1737"/>
      <c r="T75" s="1627"/>
      <c r="U75" s="1627"/>
      <c r="V75" s="1632"/>
      <c r="W75" s="1638"/>
      <c r="X75" s="210"/>
      <c r="Y75" s="1648"/>
      <c r="Z75" s="1648"/>
      <c r="AA75" s="1648"/>
      <c r="AB75" s="1649"/>
      <c r="AC75" s="210"/>
      <c r="AD75" s="210"/>
      <c r="AE75" s="211"/>
      <c r="AF75" s="4437"/>
    </row>
    <row r="76" spans="1:32" ht="24.75" customHeight="1">
      <c r="A76" s="4360"/>
      <c r="B76" s="4461"/>
      <c r="C76" s="4463" t="s">
        <v>235</v>
      </c>
      <c r="D76" s="4328" t="s">
        <v>236</v>
      </c>
      <c r="E76" s="4328" t="s">
        <v>244</v>
      </c>
      <c r="F76" s="4328" t="s">
        <v>430</v>
      </c>
      <c r="G76" s="4329" t="s">
        <v>239</v>
      </c>
      <c r="H76" s="4328" t="s">
        <v>240</v>
      </c>
      <c r="I76" s="4328" t="s">
        <v>294</v>
      </c>
      <c r="J76" s="4445" t="s">
        <v>3790</v>
      </c>
      <c r="K76" s="4228" t="s">
        <v>3799</v>
      </c>
      <c r="L76" s="4228" t="s">
        <v>3814</v>
      </c>
      <c r="M76" s="4249">
        <v>0</v>
      </c>
      <c r="N76" s="4246">
        <v>1</v>
      </c>
      <c r="O76" s="4249">
        <v>0</v>
      </c>
      <c r="P76" s="4345" t="s">
        <v>3829</v>
      </c>
      <c r="Q76" s="4447" t="s">
        <v>3843</v>
      </c>
      <c r="R76" s="4448" t="s">
        <v>3865</v>
      </c>
      <c r="S76" s="1734"/>
      <c r="T76" s="1626"/>
      <c r="U76" s="1626"/>
      <c r="V76" s="1859"/>
      <c r="W76" s="1637"/>
      <c r="X76" s="206"/>
      <c r="Y76" s="1646"/>
      <c r="Z76" s="1646"/>
      <c r="AA76" s="1646"/>
      <c r="AB76" s="1647"/>
      <c r="AC76" s="206"/>
      <c r="AD76" s="212"/>
      <c r="AE76" s="213"/>
      <c r="AF76" s="4435" t="s">
        <v>431</v>
      </c>
    </row>
    <row r="77" spans="1:32" ht="24.75" customHeight="1">
      <c r="A77" s="4360"/>
      <c r="B77" s="4461"/>
      <c r="C77" s="4464"/>
      <c r="D77" s="4215"/>
      <c r="E77" s="4215"/>
      <c r="F77" s="4215"/>
      <c r="G77" s="4215"/>
      <c r="H77" s="4215"/>
      <c r="I77" s="4215"/>
      <c r="J77" s="4446"/>
      <c r="K77" s="4215"/>
      <c r="L77" s="4215"/>
      <c r="M77" s="4226"/>
      <c r="N77" s="4226"/>
      <c r="O77" s="4226"/>
      <c r="P77" s="4215"/>
      <c r="Q77" s="4215"/>
      <c r="R77" s="4449"/>
      <c r="S77" s="1735"/>
      <c r="T77" s="1624"/>
      <c r="U77" s="1624"/>
      <c r="V77" s="1633"/>
      <c r="W77" s="1636"/>
      <c r="X77" s="209"/>
      <c r="Y77" s="1643"/>
      <c r="Z77" s="1643"/>
      <c r="AA77" s="1643"/>
      <c r="AB77" s="1645"/>
      <c r="AC77" s="209"/>
      <c r="AD77" s="209"/>
      <c r="AE77" s="214"/>
      <c r="AF77" s="4436"/>
    </row>
    <row r="78" spans="1:32" ht="24.75" customHeight="1">
      <c r="A78" s="4360"/>
      <c r="B78" s="4461"/>
      <c r="C78" s="4464"/>
      <c r="D78" s="4215"/>
      <c r="E78" s="4215"/>
      <c r="F78" s="4215"/>
      <c r="G78" s="4215"/>
      <c r="H78" s="4215"/>
      <c r="I78" s="4215"/>
      <c r="J78" s="4446"/>
      <c r="K78" s="4215"/>
      <c r="L78" s="4215"/>
      <c r="M78" s="4226"/>
      <c r="N78" s="4226"/>
      <c r="O78" s="4226"/>
      <c r="P78" s="4215"/>
      <c r="Q78" s="4215"/>
      <c r="R78" s="4449"/>
      <c r="S78" s="1735"/>
      <c r="T78" s="1625"/>
      <c r="U78" s="1624"/>
      <c r="V78" s="1860"/>
      <c r="W78" s="1636"/>
      <c r="X78" s="209"/>
      <c r="Y78" s="1643"/>
      <c r="Z78" s="1643"/>
      <c r="AA78" s="1643"/>
      <c r="AB78" s="1645"/>
      <c r="AC78" s="209"/>
      <c r="AD78" s="209"/>
      <c r="AE78" s="204"/>
      <c r="AF78" s="4436"/>
    </row>
    <row r="79" spans="1:32" ht="24.75" customHeight="1">
      <c r="A79" s="4360"/>
      <c r="B79" s="4461"/>
      <c r="C79" s="4464"/>
      <c r="D79" s="4215"/>
      <c r="E79" s="4215"/>
      <c r="F79" s="4215"/>
      <c r="G79" s="4215"/>
      <c r="H79" s="4215"/>
      <c r="I79" s="4215"/>
      <c r="J79" s="4446"/>
      <c r="K79" s="4215"/>
      <c r="L79" s="4215"/>
      <c r="M79" s="4226"/>
      <c r="N79" s="4226"/>
      <c r="O79" s="4226"/>
      <c r="P79" s="4215"/>
      <c r="Q79" s="4215"/>
      <c r="R79" s="4449"/>
      <c r="S79" s="1735"/>
      <c r="T79" s="1624"/>
      <c r="U79" s="1624"/>
      <c r="V79" s="1630"/>
      <c r="W79" s="1636"/>
      <c r="X79" s="209"/>
      <c r="Y79" s="1643"/>
      <c r="Z79" s="1643"/>
      <c r="AA79" s="1643"/>
      <c r="AB79" s="1645"/>
      <c r="AC79" s="209"/>
      <c r="AD79" s="209"/>
      <c r="AE79" s="204"/>
      <c r="AF79" s="4436"/>
    </row>
    <row r="80" spans="1:32" ht="24.75" customHeight="1">
      <c r="A80" s="4360"/>
      <c r="B80" s="4461"/>
      <c r="C80" s="4465"/>
      <c r="D80" s="4216"/>
      <c r="E80" s="4216"/>
      <c r="F80" s="4216"/>
      <c r="G80" s="4216"/>
      <c r="H80" s="4216"/>
      <c r="I80" s="4216"/>
      <c r="J80" s="4341"/>
      <c r="K80" s="4216"/>
      <c r="L80" s="4216"/>
      <c r="M80" s="4247"/>
      <c r="N80" s="4247"/>
      <c r="O80" s="4247"/>
      <c r="P80" s="4216"/>
      <c r="Q80" s="4216"/>
      <c r="R80" s="4450"/>
      <c r="S80" s="1737"/>
      <c r="T80" s="1627"/>
      <c r="U80" s="1627"/>
      <c r="V80" s="1632"/>
      <c r="W80" s="1638"/>
      <c r="X80" s="210"/>
      <c r="Y80" s="1648"/>
      <c r="Z80" s="1648"/>
      <c r="AA80" s="1648"/>
      <c r="AB80" s="1649"/>
      <c r="AC80" s="210"/>
      <c r="AD80" s="210"/>
      <c r="AE80" s="211"/>
      <c r="AF80" s="4437"/>
    </row>
    <row r="81" spans="1:32" ht="26.25" customHeight="1">
      <c r="A81" s="4360"/>
      <c r="B81" s="4461"/>
      <c r="C81" s="4463" t="s">
        <v>422</v>
      </c>
      <c r="D81" s="4328" t="s">
        <v>236</v>
      </c>
      <c r="E81" s="4328" t="s">
        <v>244</v>
      </c>
      <c r="F81" s="4328" t="s">
        <v>309</v>
      </c>
      <c r="G81" s="4329" t="s">
        <v>239</v>
      </c>
      <c r="H81" s="4328" t="s">
        <v>240</v>
      </c>
      <c r="I81" s="4328" t="s">
        <v>294</v>
      </c>
      <c r="J81" s="4445" t="s">
        <v>3791</v>
      </c>
      <c r="K81" s="4228" t="s">
        <v>3798</v>
      </c>
      <c r="L81" s="4228" t="s">
        <v>3815</v>
      </c>
      <c r="M81" s="4249">
        <v>0</v>
      </c>
      <c r="N81" s="4246">
        <v>0</v>
      </c>
      <c r="O81" s="4249">
        <v>0</v>
      </c>
      <c r="P81" s="4328"/>
      <c r="Q81" s="4475"/>
      <c r="R81" s="4448" t="s">
        <v>3866</v>
      </c>
      <c r="S81" s="1741"/>
      <c r="T81" s="1854"/>
      <c r="U81" s="1854"/>
      <c r="V81" s="1858"/>
      <c r="W81" s="1637"/>
      <c r="X81" s="206"/>
      <c r="Y81" s="1646"/>
      <c r="Z81" s="1646"/>
      <c r="AA81" s="1646"/>
      <c r="AB81" s="1647"/>
      <c r="AC81" s="206"/>
      <c r="AD81" s="206"/>
      <c r="AE81" s="208"/>
      <c r="AF81" s="4438" t="s">
        <v>433</v>
      </c>
    </row>
    <row r="82" spans="1:32" ht="26.25" customHeight="1">
      <c r="A82" s="4360"/>
      <c r="B82" s="4461"/>
      <c r="C82" s="4464"/>
      <c r="D82" s="4215"/>
      <c r="E82" s="4215"/>
      <c r="F82" s="4215"/>
      <c r="G82" s="4215"/>
      <c r="H82" s="4215"/>
      <c r="I82" s="4215"/>
      <c r="J82" s="4446"/>
      <c r="K82" s="4215"/>
      <c r="L82" s="4328"/>
      <c r="M82" s="4226"/>
      <c r="N82" s="4226"/>
      <c r="O82" s="4226"/>
      <c r="P82" s="4215"/>
      <c r="Q82" s="4215"/>
      <c r="R82" s="4449"/>
      <c r="S82" s="1735"/>
      <c r="T82" s="1624"/>
      <c r="U82" s="1624"/>
      <c r="V82" s="1630"/>
      <c r="W82" s="1636"/>
      <c r="X82" s="209"/>
      <c r="Y82" s="1643"/>
      <c r="Z82" s="1643"/>
      <c r="AA82" s="1643"/>
      <c r="AB82" s="1645"/>
      <c r="AC82" s="209"/>
      <c r="AD82" s="209"/>
      <c r="AE82" s="204"/>
      <c r="AF82" s="4436"/>
    </row>
    <row r="83" spans="1:32" ht="26.25" customHeight="1">
      <c r="A83" s="4360"/>
      <c r="B83" s="4461"/>
      <c r="C83" s="4464"/>
      <c r="D83" s="4215"/>
      <c r="E83" s="4215"/>
      <c r="F83" s="4215"/>
      <c r="G83" s="4215"/>
      <c r="H83" s="4215"/>
      <c r="I83" s="4215"/>
      <c r="J83" s="4446"/>
      <c r="K83" s="4215"/>
      <c r="L83" s="4328"/>
      <c r="M83" s="4226"/>
      <c r="N83" s="4226"/>
      <c r="O83" s="4226"/>
      <c r="P83" s="4215"/>
      <c r="Q83" s="4215"/>
      <c r="R83" s="4449"/>
      <c r="S83" s="1735"/>
      <c r="T83" s="1624"/>
      <c r="U83" s="1624"/>
      <c r="V83" s="1630"/>
      <c r="W83" s="1636"/>
      <c r="X83" s="209"/>
      <c r="Y83" s="1643"/>
      <c r="Z83" s="1643"/>
      <c r="AA83" s="1643"/>
      <c r="AB83" s="1645"/>
      <c r="AC83" s="209"/>
      <c r="AD83" s="209"/>
      <c r="AE83" s="204"/>
      <c r="AF83" s="4436"/>
    </row>
    <row r="84" spans="1:32" ht="26.25" customHeight="1">
      <c r="A84" s="4360"/>
      <c r="B84" s="4461"/>
      <c r="C84" s="4464"/>
      <c r="D84" s="4215"/>
      <c r="E84" s="4215"/>
      <c r="F84" s="4215"/>
      <c r="G84" s="4215"/>
      <c r="H84" s="4215"/>
      <c r="I84" s="4215"/>
      <c r="J84" s="4446"/>
      <c r="K84" s="4215"/>
      <c r="L84" s="4328"/>
      <c r="M84" s="4226"/>
      <c r="N84" s="4226"/>
      <c r="O84" s="4226"/>
      <c r="P84" s="4215"/>
      <c r="Q84" s="4215"/>
      <c r="R84" s="4449"/>
      <c r="S84" s="1735"/>
      <c r="T84" s="1624"/>
      <c r="U84" s="1624"/>
      <c r="V84" s="1630"/>
      <c r="W84" s="1636"/>
      <c r="X84" s="209"/>
      <c r="Y84" s="1643"/>
      <c r="Z84" s="1643"/>
      <c r="AA84" s="1643"/>
      <c r="AB84" s="1645"/>
      <c r="AC84" s="209"/>
      <c r="AD84" s="209"/>
      <c r="AE84" s="204"/>
      <c r="AF84" s="4436"/>
    </row>
    <row r="85" spans="1:32" ht="26.25" customHeight="1">
      <c r="A85" s="4360"/>
      <c r="B85" s="4461"/>
      <c r="C85" s="4465"/>
      <c r="D85" s="4216"/>
      <c r="E85" s="4216"/>
      <c r="F85" s="4216"/>
      <c r="G85" s="4216"/>
      <c r="H85" s="4216"/>
      <c r="I85" s="4216"/>
      <c r="J85" s="4341"/>
      <c r="K85" s="4216"/>
      <c r="L85" s="4476"/>
      <c r="M85" s="4247"/>
      <c r="N85" s="4247"/>
      <c r="O85" s="4247"/>
      <c r="P85" s="4216"/>
      <c r="Q85" s="4216"/>
      <c r="R85" s="4450"/>
      <c r="S85" s="1737"/>
      <c r="T85" s="1627"/>
      <c r="U85" s="1627"/>
      <c r="V85" s="1632"/>
      <c r="W85" s="1638"/>
      <c r="X85" s="210"/>
      <c r="Y85" s="1648"/>
      <c r="Z85" s="1648"/>
      <c r="AA85" s="1648"/>
      <c r="AB85" s="1649"/>
      <c r="AC85" s="210"/>
      <c r="AD85" s="210"/>
      <c r="AE85" s="211"/>
      <c r="AF85" s="4437"/>
    </row>
    <row r="86" spans="1:32" ht="24.75" customHeight="1">
      <c r="A86" s="4360"/>
      <c r="B86" s="4461"/>
      <c r="C86" s="4463" t="s">
        <v>235</v>
      </c>
      <c r="D86" s="4328" t="s">
        <v>236</v>
      </c>
      <c r="E86" s="4328" t="s">
        <v>244</v>
      </c>
      <c r="F86" s="4328" t="s">
        <v>292</v>
      </c>
      <c r="G86" s="4329" t="s">
        <v>239</v>
      </c>
      <c r="H86" s="4328" t="s">
        <v>240</v>
      </c>
      <c r="I86" s="4328" t="s">
        <v>257</v>
      </c>
      <c r="J86" s="4445" t="s">
        <v>3792</v>
      </c>
      <c r="K86" s="4273" t="s">
        <v>434</v>
      </c>
      <c r="L86" s="4228" t="s">
        <v>3816</v>
      </c>
      <c r="M86" s="4249">
        <v>3</v>
      </c>
      <c r="N86" s="4246">
        <v>3</v>
      </c>
      <c r="O86" s="4249">
        <v>3</v>
      </c>
      <c r="P86" s="4345" t="s">
        <v>3830</v>
      </c>
      <c r="Q86" s="4447" t="s">
        <v>3844</v>
      </c>
      <c r="R86" s="4448" t="s">
        <v>3867</v>
      </c>
      <c r="S86" s="1734"/>
      <c r="T86" s="1626"/>
      <c r="U86" s="1626"/>
      <c r="V86" s="1859"/>
      <c r="W86" s="1637"/>
      <c r="X86" s="206"/>
      <c r="Y86" s="1646"/>
      <c r="Z86" s="1646"/>
      <c r="AA86" s="1646"/>
      <c r="AB86" s="1647"/>
      <c r="AC86" s="206"/>
      <c r="AD86" s="212"/>
      <c r="AE86" s="213"/>
      <c r="AF86" s="4435" t="s">
        <v>3850</v>
      </c>
    </row>
    <row r="87" spans="1:32" ht="24.75" customHeight="1">
      <c r="A87" s="4360"/>
      <c r="B87" s="4461"/>
      <c r="C87" s="4464"/>
      <c r="D87" s="4215"/>
      <c r="E87" s="4215"/>
      <c r="F87" s="4215"/>
      <c r="G87" s="4215"/>
      <c r="H87" s="4215"/>
      <c r="I87" s="4215"/>
      <c r="J87" s="4446"/>
      <c r="K87" s="4215"/>
      <c r="L87" s="4215"/>
      <c r="M87" s="4226"/>
      <c r="N87" s="4226"/>
      <c r="O87" s="4226"/>
      <c r="P87" s="4215"/>
      <c r="Q87" s="4215"/>
      <c r="R87" s="4449"/>
      <c r="S87" s="1735"/>
      <c r="T87" s="1624"/>
      <c r="U87" s="1624"/>
      <c r="V87" s="1630"/>
      <c r="W87" s="1636"/>
      <c r="X87" s="209"/>
      <c r="Y87" s="1643"/>
      <c r="Z87" s="1643"/>
      <c r="AA87" s="1643"/>
      <c r="AB87" s="1645"/>
      <c r="AC87" s="209"/>
      <c r="AD87" s="209"/>
      <c r="AE87" s="214"/>
      <c r="AF87" s="4436"/>
    </row>
    <row r="88" spans="1:32" ht="24.75" customHeight="1">
      <c r="A88" s="4360"/>
      <c r="B88" s="4461"/>
      <c r="C88" s="4464"/>
      <c r="D88" s="4215"/>
      <c r="E88" s="4215"/>
      <c r="F88" s="4215"/>
      <c r="G88" s="4215"/>
      <c r="H88" s="4215"/>
      <c r="I88" s="4215"/>
      <c r="J88" s="4446"/>
      <c r="K88" s="4215"/>
      <c r="L88" s="4215"/>
      <c r="M88" s="4226"/>
      <c r="N88" s="4226"/>
      <c r="O88" s="4226"/>
      <c r="P88" s="4215"/>
      <c r="Q88" s="4215"/>
      <c r="R88" s="4449"/>
      <c r="S88" s="1735"/>
      <c r="T88" s="1624"/>
      <c r="U88" s="1624"/>
      <c r="V88" s="1633"/>
      <c r="W88" s="1636"/>
      <c r="X88" s="209"/>
      <c r="Y88" s="1643"/>
      <c r="Z88" s="1643"/>
      <c r="AA88" s="1643"/>
      <c r="AB88" s="1645"/>
      <c r="AC88" s="209"/>
      <c r="AD88" s="209"/>
      <c r="AE88" s="204"/>
      <c r="AF88" s="4436"/>
    </row>
    <row r="89" spans="1:32" ht="24.75" customHeight="1">
      <c r="A89" s="4360"/>
      <c r="B89" s="4461"/>
      <c r="C89" s="4464"/>
      <c r="D89" s="4215"/>
      <c r="E89" s="4215"/>
      <c r="F89" s="4215"/>
      <c r="G89" s="4215"/>
      <c r="H89" s="4215"/>
      <c r="I89" s="4215"/>
      <c r="J89" s="4446"/>
      <c r="K89" s="4215"/>
      <c r="L89" s="4215"/>
      <c r="M89" s="4226"/>
      <c r="N89" s="4226"/>
      <c r="O89" s="4226"/>
      <c r="P89" s="4215"/>
      <c r="Q89" s="4215"/>
      <c r="R89" s="4449"/>
      <c r="S89" s="1735"/>
      <c r="T89" s="1624"/>
      <c r="U89" s="1624"/>
      <c r="V89" s="1630"/>
      <c r="W89" s="1636"/>
      <c r="X89" s="209"/>
      <c r="Y89" s="1643"/>
      <c r="Z89" s="1643"/>
      <c r="AA89" s="1643"/>
      <c r="AB89" s="1645"/>
      <c r="AC89" s="209"/>
      <c r="AD89" s="209"/>
      <c r="AE89" s="204"/>
      <c r="AF89" s="4436"/>
    </row>
    <row r="90" spans="1:32" ht="24.75" customHeight="1">
      <c r="A90" s="4360"/>
      <c r="B90" s="4461"/>
      <c r="C90" s="4465"/>
      <c r="D90" s="4216"/>
      <c r="E90" s="4216"/>
      <c r="F90" s="4216"/>
      <c r="G90" s="4216"/>
      <c r="H90" s="4216"/>
      <c r="I90" s="4216"/>
      <c r="J90" s="4341"/>
      <c r="K90" s="4216"/>
      <c r="L90" s="4216"/>
      <c r="M90" s="4247"/>
      <c r="N90" s="4247"/>
      <c r="O90" s="4247"/>
      <c r="P90" s="4216"/>
      <c r="Q90" s="4216"/>
      <c r="R90" s="4450"/>
      <c r="S90" s="1737"/>
      <c r="T90" s="1627"/>
      <c r="U90" s="1627"/>
      <c r="V90" s="1632"/>
      <c r="W90" s="1638"/>
      <c r="X90" s="210"/>
      <c r="Y90" s="1648"/>
      <c r="Z90" s="1648"/>
      <c r="AA90" s="1648"/>
      <c r="AB90" s="1649"/>
      <c r="AC90" s="210"/>
      <c r="AD90" s="210"/>
      <c r="AE90" s="211"/>
      <c r="AF90" s="4437"/>
    </row>
    <row r="91" spans="1:32" ht="18" customHeight="1">
      <c r="A91" s="4360"/>
      <c r="B91" s="4461"/>
      <c r="C91" s="4463" t="s">
        <v>235</v>
      </c>
      <c r="D91" s="4328" t="s">
        <v>236</v>
      </c>
      <c r="E91" s="4328" t="s">
        <v>244</v>
      </c>
      <c r="F91" s="4328" t="s">
        <v>309</v>
      </c>
      <c r="G91" s="4329" t="s">
        <v>239</v>
      </c>
      <c r="H91" s="4328" t="s">
        <v>240</v>
      </c>
      <c r="I91" s="4328" t="s">
        <v>257</v>
      </c>
      <c r="J91" s="4445" t="s">
        <v>3793</v>
      </c>
      <c r="K91" s="4228" t="s">
        <v>3797</v>
      </c>
      <c r="L91" s="4228" t="s">
        <v>3817</v>
      </c>
      <c r="M91" s="4249">
        <v>0</v>
      </c>
      <c r="N91" s="4246">
        <v>0</v>
      </c>
      <c r="O91" s="4249">
        <v>1</v>
      </c>
      <c r="P91" s="4345" t="s">
        <v>3831</v>
      </c>
      <c r="Q91" s="4447" t="s">
        <v>3845</v>
      </c>
      <c r="R91" s="4448" t="s">
        <v>3868</v>
      </c>
      <c r="S91" s="1734"/>
      <c r="T91" s="1626"/>
      <c r="U91" s="1626"/>
      <c r="V91" s="1859"/>
      <c r="W91" s="1637"/>
      <c r="X91" s="206"/>
      <c r="Y91" s="1646"/>
      <c r="Z91" s="1646"/>
      <c r="AA91" s="1646"/>
      <c r="AB91" s="1647"/>
      <c r="AC91" s="206"/>
      <c r="AD91" s="212"/>
      <c r="AE91" s="213"/>
      <c r="AF91" s="4438"/>
    </row>
    <row r="92" spans="1:32" ht="18" customHeight="1">
      <c r="A92" s="4360"/>
      <c r="B92" s="4461"/>
      <c r="C92" s="4464"/>
      <c r="D92" s="4215"/>
      <c r="E92" s="4215"/>
      <c r="F92" s="4215"/>
      <c r="G92" s="4215"/>
      <c r="H92" s="4215"/>
      <c r="I92" s="4215"/>
      <c r="J92" s="4446"/>
      <c r="K92" s="4215"/>
      <c r="L92" s="4215"/>
      <c r="M92" s="4226"/>
      <c r="N92" s="4226"/>
      <c r="O92" s="4226"/>
      <c r="P92" s="4215"/>
      <c r="Q92" s="4215"/>
      <c r="R92" s="4449"/>
      <c r="S92" s="1735"/>
      <c r="T92" s="1624"/>
      <c r="U92" s="1624"/>
      <c r="V92" s="1630"/>
      <c r="W92" s="1636"/>
      <c r="X92" s="209"/>
      <c r="Y92" s="1643"/>
      <c r="Z92" s="1643"/>
      <c r="AA92" s="1643"/>
      <c r="AB92" s="1645"/>
      <c r="AC92" s="209"/>
      <c r="AD92" s="209"/>
      <c r="AE92" s="214"/>
      <c r="AF92" s="4436"/>
    </row>
    <row r="93" spans="1:32" ht="18" customHeight="1">
      <c r="A93" s="4360"/>
      <c r="B93" s="4461"/>
      <c r="C93" s="4464"/>
      <c r="D93" s="4215"/>
      <c r="E93" s="4215"/>
      <c r="F93" s="4215"/>
      <c r="G93" s="4215"/>
      <c r="H93" s="4215"/>
      <c r="I93" s="4215"/>
      <c r="J93" s="4446"/>
      <c r="K93" s="4215"/>
      <c r="L93" s="4215"/>
      <c r="M93" s="4226"/>
      <c r="N93" s="4226"/>
      <c r="O93" s="4226"/>
      <c r="P93" s="4215"/>
      <c r="Q93" s="4215"/>
      <c r="R93" s="4449"/>
      <c r="S93" s="1735"/>
      <c r="T93" s="1624"/>
      <c r="U93" s="1624"/>
      <c r="V93" s="1633"/>
      <c r="W93" s="1636"/>
      <c r="X93" s="209"/>
      <c r="Y93" s="1643"/>
      <c r="Z93" s="1643"/>
      <c r="AA93" s="1643"/>
      <c r="AB93" s="1645"/>
      <c r="AC93" s="209"/>
      <c r="AD93" s="209"/>
      <c r="AE93" s="204"/>
      <c r="AF93" s="4436"/>
    </row>
    <row r="94" spans="1:32" ht="18" customHeight="1">
      <c r="A94" s="4360"/>
      <c r="B94" s="4461"/>
      <c r="C94" s="4464"/>
      <c r="D94" s="4215"/>
      <c r="E94" s="4215"/>
      <c r="F94" s="4215"/>
      <c r="G94" s="4215"/>
      <c r="H94" s="4215"/>
      <c r="I94" s="4215"/>
      <c r="J94" s="4446"/>
      <c r="K94" s="4215"/>
      <c r="L94" s="4215"/>
      <c r="M94" s="4226"/>
      <c r="N94" s="4226"/>
      <c r="O94" s="4226"/>
      <c r="P94" s="4215"/>
      <c r="Q94" s="4215"/>
      <c r="R94" s="4449"/>
      <c r="S94" s="1735"/>
      <c r="T94" s="1624"/>
      <c r="U94" s="1624"/>
      <c r="V94" s="1630"/>
      <c r="W94" s="1636"/>
      <c r="X94" s="209"/>
      <c r="Y94" s="1643"/>
      <c r="Z94" s="1643"/>
      <c r="AA94" s="1643"/>
      <c r="AB94" s="1645"/>
      <c r="AC94" s="209"/>
      <c r="AD94" s="209"/>
      <c r="AE94" s="204"/>
      <c r="AF94" s="4436"/>
    </row>
    <row r="95" spans="1:32" ht="18" customHeight="1">
      <c r="A95" s="4360"/>
      <c r="B95" s="4461"/>
      <c r="C95" s="4465"/>
      <c r="D95" s="4216"/>
      <c r="E95" s="4216"/>
      <c r="F95" s="4216"/>
      <c r="G95" s="4216"/>
      <c r="H95" s="4216"/>
      <c r="I95" s="4216"/>
      <c r="J95" s="4341"/>
      <c r="K95" s="4216"/>
      <c r="L95" s="4216"/>
      <c r="M95" s="4247"/>
      <c r="N95" s="4247"/>
      <c r="O95" s="4247"/>
      <c r="P95" s="4216"/>
      <c r="Q95" s="4216"/>
      <c r="R95" s="4450"/>
      <c r="S95" s="1737"/>
      <c r="T95" s="1627"/>
      <c r="U95" s="1627"/>
      <c r="V95" s="1632"/>
      <c r="W95" s="1638"/>
      <c r="X95" s="210"/>
      <c r="Y95" s="1648"/>
      <c r="Z95" s="1648"/>
      <c r="AA95" s="1648"/>
      <c r="AB95" s="1649"/>
      <c r="AC95" s="210"/>
      <c r="AD95" s="210"/>
      <c r="AE95" s="211"/>
      <c r="AF95" s="4437"/>
    </row>
    <row r="96" spans="1:32" ht="33.75" customHeight="1">
      <c r="A96" s="4360"/>
      <c r="B96" s="4461"/>
      <c r="C96" s="4467" t="s">
        <v>235</v>
      </c>
      <c r="D96" s="4273" t="s">
        <v>236</v>
      </c>
      <c r="E96" s="4273" t="s">
        <v>244</v>
      </c>
      <c r="F96" s="4273" t="s">
        <v>245</v>
      </c>
      <c r="G96" s="4338" t="s">
        <v>239</v>
      </c>
      <c r="H96" s="4273" t="s">
        <v>240</v>
      </c>
      <c r="I96" s="4273" t="s">
        <v>257</v>
      </c>
      <c r="J96" s="4473" t="s">
        <v>3794</v>
      </c>
      <c r="K96" s="4273" t="s">
        <v>338</v>
      </c>
      <c r="L96" s="4228" t="s">
        <v>3809</v>
      </c>
      <c r="M96" s="4246">
        <v>0</v>
      </c>
      <c r="N96" s="4246">
        <v>1</v>
      </c>
      <c r="O96" s="4246">
        <v>1</v>
      </c>
      <c r="P96" s="4228" t="s">
        <v>3824</v>
      </c>
      <c r="Q96" s="4368" t="s">
        <v>3846</v>
      </c>
      <c r="R96" s="4471" t="s">
        <v>3869</v>
      </c>
      <c r="S96" s="1740"/>
      <c r="T96" s="1626"/>
      <c r="U96" s="1626"/>
      <c r="V96" s="1859"/>
      <c r="W96" s="1637"/>
      <c r="X96" s="206"/>
      <c r="Y96" s="1646"/>
      <c r="Z96" s="1646"/>
      <c r="AA96" s="1646"/>
      <c r="AB96" s="1647"/>
      <c r="AC96" s="206"/>
      <c r="AD96" s="207"/>
      <c r="AE96" s="208"/>
      <c r="AF96" s="4438"/>
    </row>
    <row r="97" spans="1:32" ht="33.75" customHeight="1">
      <c r="A97" s="4360"/>
      <c r="B97" s="4461"/>
      <c r="C97" s="4464"/>
      <c r="D97" s="4215"/>
      <c r="E97" s="4215"/>
      <c r="F97" s="4215"/>
      <c r="G97" s="4215"/>
      <c r="H97" s="4215"/>
      <c r="I97" s="4215"/>
      <c r="J97" s="4331"/>
      <c r="K97" s="4215"/>
      <c r="L97" s="4215"/>
      <c r="M97" s="4226"/>
      <c r="N97" s="4226"/>
      <c r="O97" s="4226"/>
      <c r="P97" s="4215"/>
      <c r="Q97" s="4215"/>
      <c r="R97" s="4449"/>
      <c r="S97" s="1735"/>
      <c r="T97" s="1624"/>
      <c r="U97" s="1624"/>
      <c r="V97" s="1633"/>
      <c r="W97" s="1636"/>
      <c r="X97" s="209"/>
      <c r="Y97" s="1643"/>
      <c r="Z97" s="1643"/>
      <c r="AA97" s="1643"/>
      <c r="AB97" s="1645"/>
      <c r="AC97" s="209"/>
      <c r="AD97" s="205"/>
      <c r="AE97" s="204"/>
      <c r="AF97" s="4436"/>
    </row>
    <row r="98" spans="1:32" ht="33.75" customHeight="1">
      <c r="A98" s="4360"/>
      <c r="B98" s="4461"/>
      <c r="C98" s="4464"/>
      <c r="D98" s="4215"/>
      <c r="E98" s="4215"/>
      <c r="F98" s="4215"/>
      <c r="G98" s="4215"/>
      <c r="H98" s="4215"/>
      <c r="I98" s="4215"/>
      <c r="J98" s="4331"/>
      <c r="K98" s="4215"/>
      <c r="L98" s="4215"/>
      <c r="M98" s="4226"/>
      <c r="N98" s="4226"/>
      <c r="O98" s="4226"/>
      <c r="P98" s="4215"/>
      <c r="Q98" s="4215"/>
      <c r="R98" s="4449"/>
      <c r="S98" s="1735"/>
      <c r="T98" s="1624"/>
      <c r="U98" s="1624"/>
      <c r="V98" s="1633"/>
      <c r="W98" s="1636"/>
      <c r="X98" s="209"/>
      <c r="Y98" s="1643"/>
      <c r="Z98" s="1643"/>
      <c r="AA98" s="1643"/>
      <c r="AB98" s="1645"/>
      <c r="AC98" s="209"/>
      <c r="AD98" s="205"/>
      <c r="AE98" s="204"/>
      <c r="AF98" s="4436"/>
    </row>
    <row r="99" spans="1:32" ht="33.75" customHeight="1">
      <c r="A99" s="4360"/>
      <c r="B99" s="4461"/>
      <c r="C99" s="4464"/>
      <c r="D99" s="4215"/>
      <c r="E99" s="4215"/>
      <c r="F99" s="4215"/>
      <c r="G99" s="4215"/>
      <c r="H99" s="4215"/>
      <c r="I99" s="4215"/>
      <c r="J99" s="4331"/>
      <c r="K99" s="4215"/>
      <c r="L99" s="4215"/>
      <c r="M99" s="4226"/>
      <c r="N99" s="4226"/>
      <c r="O99" s="4226"/>
      <c r="P99" s="4215"/>
      <c r="Q99" s="4215"/>
      <c r="R99" s="4449"/>
      <c r="S99" s="1735"/>
      <c r="T99" s="1624"/>
      <c r="U99" s="1624"/>
      <c r="V99" s="1633"/>
      <c r="W99" s="1636"/>
      <c r="X99" s="209"/>
      <c r="Y99" s="1643"/>
      <c r="Z99" s="1643"/>
      <c r="AA99" s="1643"/>
      <c r="AB99" s="1645"/>
      <c r="AC99" s="209"/>
      <c r="AD99" s="205"/>
      <c r="AE99" s="204"/>
      <c r="AF99" s="4436"/>
    </row>
    <row r="100" spans="1:32" ht="33.75" customHeight="1">
      <c r="A100" s="4360"/>
      <c r="B100" s="4461"/>
      <c r="C100" s="4465"/>
      <c r="D100" s="4216"/>
      <c r="E100" s="4216"/>
      <c r="F100" s="4216"/>
      <c r="G100" s="4216"/>
      <c r="H100" s="4216"/>
      <c r="I100" s="4216"/>
      <c r="J100" s="4332"/>
      <c r="K100" s="4216"/>
      <c r="L100" s="4216"/>
      <c r="M100" s="4247"/>
      <c r="N100" s="4247"/>
      <c r="O100" s="4247"/>
      <c r="P100" s="4216"/>
      <c r="Q100" s="4216"/>
      <c r="R100" s="4450"/>
      <c r="S100" s="1737"/>
      <c r="T100" s="1627"/>
      <c r="U100" s="1627"/>
      <c r="V100" s="1861"/>
      <c r="W100" s="1638"/>
      <c r="X100" s="210"/>
      <c r="Y100" s="1648"/>
      <c r="Z100" s="1648"/>
      <c r="AA100" s="1648"/>
      <c r="AB100" s="1649"/>
      <c r="AC100" s="210"/>
      <c r="AD100" s="215"/>
      <c r="AE100" s="211"/>
      <c r="AF100" s="4437"/>
    </row>
    <row r="101" spans="1:32" ht="20.25" customHeight="1">
      <c r="A101" s="4360"/>
      <c r="B101" s="4461"/>
      <c r="C101" s="4467" t="s">
        <v>235</v>
      </c>
      <c r="D101" s="4273" t="s">
        <v>236</v>
      </c>
      <c r="E101" s="4273" t="s">
        <v>244</v>
      </c>
      <c r="F101" s="4273" t="s">
        <v>309</v>
      </c>
      <c r="G101" s="4338" t="s">
        <v>239</v>
      </c>
      <c r="H101" s="4273" t="s">
        <v>240</v>
      </c>
      <c r="I101" s="4273" t="s">
        <v>257</v>
      </c>
      <c r="J101" s="4473" t="s">
        <v>3795</v>
      </c>
      <c r="K101" s="4273" t="s">
        <v>371</v>
      </c>
      <c r="L101" s="4228" t="s">
        <v>3810</v>
      </c>
      <c r="M101" s="4246">
        <v>5</v>
      </c>
      <c r="N101" s="4246">
        <v>5</v>
      </c>
      <c r="O101" s="4246">
        <v>5</v>
      </c>
      <c r="P101" s="4228" t="s">
        <v>3825</v>
      </c>
      <c r="Q101" s="4368" t="s">
        <v>3839</v>
      </c>
      <c r="R101" s="4458" t="s">
        <v>3870</v>
      </c>
      <c r="S101" s="1740"/>
      <c r="T101" s="1626"/>
      <c r="U101" s="1626"/>
      <c r="V101" s="1631"/>
      <c r="W101" s="1637"/>
      <c r="X101" s="206"/>
      <c r="Y101" s="1646"/>
      <c r="Z101" s="1646"/>
      <c r="AA101" s="1646"/>
      <c r="AB101" s="1647"/>
      <c r="AC101" s="206"/>
      <c r="AD101" s="207"/>
      <c r="AE101" s="208"/>
      <c r="AF101" s="4438"/>
    </row>
    <row r="102" spans="1:32" ht="20.25" customHeight="1">
      <c r="A102" s="4360"/>
      <c r="B102" s="4461"/>
      <c r="C102" s="4464"/>
      <c r="D102" s="4215"/>
      <c r="E102" s="4215"/>
      <c r="F102" s="4215"/>
      <c r="G102" s="4215"/>
      <c r="H102" s="4215"/>
      <c r="I102" s="4215"/>
      <c r="J102" s="4331"/>
      <c r="K102" s="4215"/>
      <c r="L102" s="4215"/>
      <c r="M102" s="4226"/>
      <c r="N102" s="4226"/>
      <c r="O102" s="4226"/>
      <c r="P102" s="4215"/>
      <c r="Q102" s="4215"/>
      <c r="R102" s="4449"/>
      <c r="S102" s="1735"/>
      <c r="T102" s="1624"/>
      <c r="U102" s="1624"/>
      <c r="V102" s="1630"/>
      <c r="W102" s="1636"/>
      <c r="X102" s="209"/>
      <c r="Y102" s="1643"/>
      <c r="Z102" s="1643"/>
      <c r="AA102" s="1643"/>
      <c r="AB102" s="1645"/>
      <c r="AC102" s="209"/>
      <c r="AD102" s="205"/>
      <c r="AE102" s="204"/>
      <c r="AF102" s="4436"/>
    </row>
    <row r="103" spans="1:32" ht="20.25" customHeight="1">
      <c r="A103" s="4360"/>
      <c r="B103" s="4461"/>
      <c r="C103" s="4464"/>
      <c r="D103" s="4215"/>
      <c r="E103" s="4215"/>
      <c r="F103" s="4215"/>
      <c r="G103" s="4215"/>
      <c r="H103" s="4215"/>
      <c r="I103" s="4215"/>
      <c r="J103" s="4331"/>
      <c r="K103" s="4215"/>
      <c r="L103" s="4215"/>
      <c r="M103" s="4226"/>
      <c r="N103" s="4226"/>
      <c r="O103" s="4226"/>
      <c r="P103" s="4215"/>
      <c r="Q103" s="4215"/>
      <c r="R103" s="4449"/>
      <c r="S103" s="1735"/>
      <c r="T103" s="1624"/>
      <c r="U103" s="1624"/>
      <c r="V103" s="1630"/>
      <c r="W103" s="1636"/>
      <c r="X103" s="209"/>
      <c r="Y103" s="1643"/>
      <c r="Z103" s="1643"/>
      <c r="AA103" s="1643"/>
      <c r="AB103" s="1645"/>
      <c r="AC103" s="209"/>
      <c r="AD103" s="205"/>
      <c r="AE103" s="204"/>
      <c r="AF103" s="4436"/>
    </row>
    <row r="104" spans="1:32" ht="20.25" customHeight="1">
      <c r="A104" s="4360"/>
      <c r="B104" s="4461"/>
      <c r="C104" s="4464"/>
      <c r="D104" s="4215"/>
      <c r="E104" s="4215"/>
      <c r="F104" s="4215"/>
      <c r="G104" s="4215"/>
      <c r="H104" s="4215"/>
      <c r="I104" s="4215"/>
      <c r="J104" s="4331"/>
      <c r="K104" s="4215"/>
      <c r="L104" s="4215"/>
      <c r="M104" s="4226"/>
      <c r="N104" s="4226"/>
      <c r="O104" s="4226"/>
      <c r="P104" s="4215"/>
      <c r="Q104" s="4215"/>
      <c r="R104" s="4449"/>
      <c r="S104" s="1735"/>
      <c r="T104" s="1624"/>
      <c r="U104" s="1624"/>
      <c r="V104" s="1630"/>
      <c r="W104" s="1636"/>
      <c r="X104" s="209"/>
      <c r="Y104" s="1643"/>
      <c r="Z104" s="1643"/>
      <c r="AA104" s="1643"/>
      <c r="AB104" s="1645"/>
      <c r="AC104" s="209"/>
      <c r="AD104" s="205"/>
      <c r="AE104" s="204"/>
      <c r="AF104" s="4436"/>
    </row>
    <row r="105" spans="1:32" ht="20.25" customHeight="1">
      <c r="A105" s="4360"/>
      <c r="B105" s="4461"/>
      <c r="C105" s="4465"/>
      <c r="D105" s="4216"/>
      <c r="E105" s="4216"/>
      <c r="F105" s="4216"/>
      <c r="G105" s="4216"/>
      <c r="H105" s="4216"/>
      <c r="I105" s="4216"/>
      <c r="J105" s="4332"/>
      <c r="K105" s="4216"/>
      <c r="L105" s="4216"/>
      <c r="M105" s="4247"/>
      <c r="N105" s="4247"/>
      <c r="O105" s="4247"/>
      <c r="P105" s="4216"/>
      <c r="Q105" s="4216"/>
      <c r="R105" s="4450"/>
      <c r="S105" s="1737"/>
      <c r="T105" s="1627"/>
      <c r="U105" s="1627"/>
      <c r="V105" s="1632"/>
      <c r="W105" s="1638"/>
      <c r="X105" s="210"/>
      <c r="Y105" s="1648"/>
      <c r="Z105" s="1648"/>
      <c r="AA105" s="1648"/>
      <c r="AB105" s="1649"/>
      <c r="AC105" s="210"/>
      <c r="AD105" s="215"/>
      <c r="AE105" s="211"/>
      <c r="AF105" s="4437"/>
    </row>
    <row r="106" spans="1:32" ht="18" customHeight="1">
      <c r="A106" s="4360"/>
      <c r="B106" s="4461"/>
      <c r="C106" s="4467" t="s">
        <v>235</v>
      </c>
      <c r="D106" s="4273" t="s">
        <v>236</v>
      </c>
      <c r="E106" s="4273" t="s">
        <v>244</v>
      </c>
      <c r="F106" s="4273" t="s">
        <v>309</v>
      </c>
      <c r="G106" s="4338" t="s">
        <v>239</v>
      </c>
      <c r="H106" s="4273" t="s">
        <v>240</v>
      </c>
      <c r="I106" s="4273" t="s">
        <v>257</v>
      </c>
      <c r="J106" s="4473" t="s">
        <v>3796</v>
      </c>
      <c r="K106" s="4273" t="s">
        <v>436</v>
      </c>
      <c r="L106" s="4228" t="s">
        <v>3810</v>
      </c>
      <c r="M106" s="4246">
        <v>3</v>
      </c>
      <c r="N106" s="4246">
        <v>4</v>
      </c>
      <c r="O106" s="4246">
        <v>4</v>
      </c>
      <c r="P106" s="4228" t="s">
        <v>3832</v>
      </c>
      <c r="Q106" s="4368" t="s">
        <v>3839</v>
      </c>
      <c r="R106" s="4471" t="s">
        <v>3871</v>
      </c>
      <c r="S106" s="1734" t="s">
        <v>11</v>
      </c>
      <c r="T106" s="1626">
        <v>840104</v>
      </c>
      <c r="U106" s="1626"/>
      <c r="V106" s="1879" t="s">
        <v>148</v>
      </c>
      <c r="W106" s="1637"/>
      <c r="X106" s="206"/>
      <c r="Y106" s="1646"/>
      <c r="Z106" s="1646"/>
      <c r="AA106" s="1646"/>
      <c r="AB106" s="1647">
        <f>SUM($AA$107:$AA$109)</f>
        <v>3360</v>
      </c>
      <c r="AC106" s="206"/>
      <c r="AD106" s="207"/>
      <c r="AE106" s="208"/>
      <c r="AF106" s="4435" t="s">
        <v>3854</v>
      </c>
    </row>
    <row r="107" spans="1:32" ht="18" customHeight="1">
      <c r="A107" s="4360"/>
      <c r="B107" s="4461"/>
      <c r="C107" s="4464"/>
      <c r="D107" s="4215"/>
      <c r="E107" s="4215"/>
      <c r="F107" s="4215"/>
      <c r="G107" s="4215"/>
      <c r="H107" s="4215"/>
      <c r="I107" s="4215"/>
      <c r="J107" s="4331"/>
      <c r="K107" s="4215"/>
      <c r="L107" s="4215"/>
      <c r="M107" s="4226"/>
      <c r="N107" s="4226"/>
      <c r="O107" s="4226"/>
      <c r="P107" s="4215"/>
      <c r="Q107" s="4215"/>
      <c r="R107" s="4449"/>
      <c r="S107" s="1736"/>
      <c r="T107" s="1624"/>
      <c r="U107" s="1624">
        <v>439120011</v>
      </c>
      <c r="V107" s="1633" t="s">
        <v>437</v>
      </c>
      <c r="W107" s="1636">
        <v>1</v>
      </c>
      <c r="X107" s="209" t="s">
        <v>269</v>
      </c>
      <c r="Y107" s="1643">
        <v>750</v>
      </c>
      <c r="Z107" s="1643">
        <f t="shared" ref="Z107:Z109" si="12">+W107*Y107</f>
        <v>750</v>
      </c>
      <c r="AA107" s="1643">
        <f t="shared" ref="AA107:AA109" si="13">+Z107*1.12</f>
        <v>840.00000000000011</v>
      </c>
      <c r="AB107" s="1645"/>
      <c r="AC107" s="209" t="s">
        <v>251</v>
      </c>
      <c r="AD107" s="205"/>
      <c r="AE107" s="204"/>
      <c r="AF107" s="4436"/>
    </row>
    <row r="108" spans="1:32" ht="18" customHeight="1">
      <c r="A108" s="4360"/>
      <c r="B108" s="4461"/>
      <c r="C108" s="4464"/>
      <c r="D108" s="4215"/>
      <c r="E108" s="4215"/>
      <c r="F108" s="4215"/>
      <c r="G108" s="4215"/>
      <c r="H108" s="4215"/>
      <c r="I108" s="4215"/>
      <c r="J108" s="4331"/>
      <c r="K108" s="4215"/>
      <c r="L108" s="4215"/>
      <c r="M108" s="4226"/>
      <c r="N108" s="4226"/>
      <c r="O108" s="4226"/>
      <c r="P108" s="4215"/>
      <c r="Q108" s="4215"/>
      <c r="R108" s="4449"/>
      <c r="S108" s="1736"/>
      <c r="T108" s="1624"/>
      <c r="U108" s="1624">
        <v>432300121</v>
      </c>
      <c r="V108" s="1633" t="s">
        <v>438</v>
      </c>
      <c r="W108" s="1636">
        <v>1</v>
      </c>
      <c r="X108" s="209" t="s">
        <v>269</v>
      </c>
      <c r="Y108" s="1643">
        <v>2000</v>
      </c>
      <c r="Z108" s="1643">
        <f t="shared" si="12"/>
        <v>2000</v>
      </c>
      <c r="AA108" s="1643">
        <f t="shared" si="13"/>
        <v>2240</v>
      </c>
      <c r="AB108" s="1645"/>
      <c r="AC108" s="209" t="s">
        <v>251</v>
      </c>
      <c r="AD108" s="205"/>
      <c r="AE108" s="204"/>
      <c r="AF108" s="4436"/>
    </row>
    <row r="109" spans="1:32" ht="18" customHeight="1">
      <c r="A109" s="4360"/>
      <c r="B109" s="4461"/>
      <c r="C109" s="4464"/>
      <c r="D109" s="4215"/>
      <c r="E109" s="4215"/>
      <c r="F109" s="4215"/>
      <c r="G109" s="4215"/>
      <c r="H109" s="4215"/>
      <c r="I109" s="4215"/>
      <c r="J109" s="4331"/>
      <c r="K109" s="4215"/>
      <c r="L109" s="4215"/>
      <c r="M109" s="4226"/>
      <c r="N109" s="4226"/>
      <c r="O109" s="4226"/>
      <c r="P109" s="4215"/>
      <c r="Q109" s="4215"/>
      <c r="R109" s="4449"/>
      <c r="S109" s="1742"/>
      <c r="T109" s="1625"/>
      <c r="U109" s="1624">
        <v>452300052</v>
      </c>
      <c r="V109" s="1633" t="s">
        <v>439</v>
      </c>
      <c r="W109" s="1636">
        <v>1</v>
      </c>
      <c r="X109" s="209" t="s">
        <v>269</v>
      </c>
      <c r="Y109" s="1643">
        <v>250</v>
      </c>
      <c r="Z109" s="1643">
        <f t="shared" si="12"/>
        <v>250</v>
      </c>
      <c r="AA109" s="1643">
        <f t="shared" si="13"/>
        <v>280</v>
      </c>
      <c r="AB109" s="1645"/>
      <c r="AC109" s="209" t="s">
        <v>251</v>
      </c>
      <c r="AD109" s="205"/>
      <c r="AE109" s="204"/>
      <c r="AF109" s="4436"/>
    </row>
    <row r="110" spans="1:32" ht="18" customHeight="1">
      <c r="A110" s="4360"/>
      <c r="B110" s="4461"/>
      <c r="C110" s="4464"/>
      <c r="D110" s="4215"/>
      <c r="E110" s="4215"/>
      <c r="F110" s="4215"/>
      <c r="G110" s="4215"/>
      <c r="H110" s="4215"/>
      <c r="I110" s="4215"/>
      <c r="J110" s="4331"/>
      <c r="K110" s="4215"/>
      <c r="L110" s="4215"/>
      <c r="M110" s="4226"/>
      <c r="N110" s="4226"/>
      <c r="O110" s="4226"/>
      <c r="P110" s="4215"/>
      <c r="Q110" s="4215"/>
      <c r="R110" s="4449"/>
      <c r="S110" s="1739" t="s">
        <v>11</v>
      </c>
      <c r="T110" s="1660">
        <v>530605</v>
      </c>
      <c r="U110" s="1660"/>
      <c r="V110" s="1661" t="s">
        <v>36</v>
      </c>
      <c r="W110" s="1662"/>
      <c r="X110" s="1663"/>
      <c r="Y110" s="1664"/>
      <c r="Z110" s="1664"/>
      <c r="AA110" s="1664"/>
      <c r="AB110" s="1665">
        <f>SUM($AA$111:$AA$111)</f>
        <v>30016.000000000004</v>
      </c>
      <c r="AC110" s="1663"/>
      <c r="AD110" s="1666"/>
      <c r="AE110" s="1756"/>
      <c r="AF110" s="4436"/>
    </row>
    <row r="111" spans="1:32" ht="33.950000000000003" customHeight="1">
      <c r="A111" s="4360"/>
      <c r="B111" s="4461"/>
      <c r="C111" s="4468"/>
      <c r="D111" s="4348"/>
      <c r="E111" s="4348"/>
      <c r="F111" s="4348"/>
      <c r="G111" s="4348"/>
      <c r="H111" s="4348"/>
      <c r="I111" s="4348"/>
      <c r="J111" s="4474"/>
      <c r="K111" s="4348"/>
      <c r="L111" s="4348"/>
      <c r="M111" s="4357"/>
      <c r="N111" s="4357"/>
      <c r="O111" s="4357"/>
      <c r="P111" s="4348"/>
      <c r="Q111" s="4348"/>
      <c r="R111" s="4472"/>
      <c r="S111" s="1835"/>
      <c r="T111" s="1672"/>
      <c r="U111" s="1672">
        <v>83111071</v>
      </c>
      <c r="V111" s="1673" t="s">
        <v>440</v>
      </c>
      <c r="W111" s="1674">
        <v>1</v>
      </c>
      <c r="X111" s="1675" t="s">
        <v>250</v>
      </c>
      <c r="Y111" s="1676">
        <v>26800</v>
      </c>
      <c r="Z111" s="1676">
        <f>+W111*Y111</f>
        <v>26800</v>
      </c>
      <c r="AA111" s="1676">
        <f>+Z111*1.12</f>
        <v>30016.000000000004</v>
      </c>
      <c r="AB111" s="1678"/>
      <c r="AC111" s="1675"/>
      <c r="AD111" s="1836" t="s">
        <v>251</v>
      </c>
      <c r="AE111" s="1837"/>
      <c r="AF111" s="4439"/>
    </row>
    <row r="112" spans="1:32" ht="22.5" customHeight="1" thickBot="1">
      <c r="A112" s="4360"/>
      <c r="B112" s="4470"/>
      <c r="C112" s="1987"/>
      <c r="D112" s="1987"/>
      <c r="E112" s="1987"/>
      <c r="F112" s="1987"/>
      <c r="G112" s="1987"/>
      <c r="H112" s="1987"/>
      <c r="I112" s="1987"/>
      <c r="J112" s="1987"/>
      <c r="K112" s="1987"/>
      <c r="L112" s="1987"/>
      <c r="M112" s="1987"/>
      <c r="N112" s="1987"/>
      <c r="O112" s="1987"/>
      <c r="P112" s="1987"/>
      <c r="Q112" s="1987"/>
      <c r="R112" s="1987"/>
      <c r="S112" s="4440" t="s">
        <v>441</v>
      </c>
      <c r="T112" s="4441"/>
      <c r="U112" s="4441"/>
      <c r="V112" s="4441"/>
      <c r="W112" s="4441"/>
      <c r="X112" s="4441"/>
      <c r="Y112" s="4441"/>
      <c r="Z112" s="4441"/>
      <c r="AA112" s="2172" t="s">
        <v>340</v>
      </c>
      <c r="AB112" s="2173">
        <f>SUM(AB61:AB111)</f>
        <v>36736</v>
      </c>
      <c r="AC112" s="4442"/>
      <c r="AD112" s="4443"/>
      <c r="AE112" s="4443"/>
      <c r="AF112" s="4444"/>
    </row>
    <row r="113" spans="1:32" ht="22.5" customHeight="1" thickBot="1">
      <c r="A113" s="4362"/>
      <c r="B113" s="4466"/>
      <c r="C113" s="4316"/>
      <c r="D113" s="4316"/>
      <c r="E113" s="4316"/>
      <c r="F113" s="4316"/>
      <c r="G113" s="4316"/>
      <c r="H113" s="4316"/>
      <c r="I113" s="4316"/>
      <c r="J113" s="4316"/>
      <c r="K113" s="4316"/>
      <c r="L113" s="4316"/>
      <c r="M113" s="4316"/>
      <c r="N113" s="4316"/>
      <c r="O113" s="4316"/>
      <c r="P113" s="4316"/>
      <c r="Q113" s="4316"/>
      <c r="R113" s="4316"/>
      <c r="S113" s="4432" t="s">
        <v>428</v>
      </c>
      <c r="T113" s="4433"/>
      <c r="U113" s="4433"/>
      <c r="V113" s="4433"/>
      <c r="W113" s="4433"/>
      <c r="X113" s="4433"/>
      <c r="Y113" s="4433"/>
      <c r="Z113" s="4433"/>
      <c r="AA113" s="2177" t="s">
        <v>340</v>
      </c>
      <c r="AB113" s="2178">
        <f>SUM(AB60,AB112)</f>
        <v>43419.936000000002</v>
      </c>
      <c r="AC113" s="4434"/>
      <c r="AD113" s="4316"/>
      <c r="AE113" s="4316"/>
      <c r="AF113" s="4317"/>
    </row>
    <row r="114" spans="1:32" ht="17.25" thickTop="1">
      <c r="A114" s="1"/>
      <c r="B114" s="12"/>
      <c r="C114" s="12" t="s">
        <v>442</v>
      </c>
      <c r="D114" s="258" t="s">
        <v>443</v>
      </c>
      <c r="E114" s="221"/>
      <c r="F114" s="221"/>
      <c r="G114" s="221"/>
      <c r="H114" s="221"/>
      <c r="I114" s="221"/>
      <c r="J114" s="221"/>
      <c r="K114" s="221"/>
      <c r="L114" s="221"/>
      <c r="M114" s="221"/>
      <c r="N114" s="221"/>
      <c r="O114" s="221"/>
      <c r="P114" s="221"/>
      <c r="Q114" s="221"/>
      <c r="R114" s="221"/>
      <c r="S114" s="4318" t="s">
        <v>3919</v>
      </c>
      <c r="T114" s="4319"/>
      <c r="U114" s="4319"/>
      <c r="V114" s="4319"/>
      <c r="W114" s="4319"/>
      <c r="X114" s="4319"/>
      <c r="Y114" s="4319"/>
      <c r="Z114" s="4319"/>
      <c r="AA114" s="4319"/>
      <c r="AB114" s="4319"/>
      <c r="AC114" s="4319"/>
      <c r="AD114" s="4319"/>
      <c r="AE114" s="4319"/>
      <c r="AF114" s="4319"/>
    </row>
    <row r="115" spans="1:32" s="1704" customFormat="1" ht="16.5">
      <c r="A115" s="1"/>
      <c r="B115" s="342"/>
      <c r="C115" s="12" t="s">
        <v>444</v>
      </c>
      <c r="D115" s="259" t="s">
        <v>445</v>
      </c>
      <c r="E115" s="246"/>
      <c r="F115" s="246"/>
      <c r="G115" s="246"/>
      <c r="H115" s="246"/>
      <c r="I115" s="246"/>
      <c r="J115" s="246"/>
      <c r="K115" s="246"/>
      <c r="L115" s="246"/>
      <c r="M115" s="246"/>
      <c r="N115" s="246"/>
      <c r="O115" s="246"/>
      <c r="P115" s="246"/>
      <c r="Q115" s="246"/>
      <c r="R115" s="246"/>
      <c r="S115" s="1705"/>
    </row>
    <row r="116" spans="1:32" ht="16.5" customHeight="1">
      <c r="A116" s="1"/>
      <c r="B116" s="12"/>
      <c r="E116" s="221"/>
      <c r="F116" s="221"/>
      <c r="G116" s="221"/>
      <c r="H116" s="221"/>
      <c r="I116" s="221"/>
      <c r="J116" s="221"/>
      <c r="K116" s="221"/>
      <c r="L116" s="221"/>
      <c r="M116" s="221"/>
      <c r="N116" s="221"/>
      <c r="O116" s="221"/>
      <c r="P116" s="221"/>
      <c r="Q116" s="221"/>
      <c r="R116" s="221"/>
      <c r="S116" s="221"/>
      <c r="T116" s="221"/>
      <c r="U116" s="4222" t="s">
        <v>343</v>
      </c>
      <c r="V116" s="4223"/>
      <c r="W116" s="4223"/>
      <c r="X116" s="4223"/>
      <c r="Y116" s="4223"/>
      <c r="Z116" s="4223"/>
      <c r="AA116" s="4389"/>
      <c r="AB116" s="4150"/>
      <c r="AC116" s="221"/>
      <c r="AD116" s="221"/>
      <c r="AE116" s="223"/>
    </row>
    <row r="117" spans="1:32" ht="17.25" thickBot="1">
      <c r="A117" s="1"/>
      <c r="B117" s="1"/>
      <c r="C117" s="221"/>
      <c r="D117" s="221"/>
      <c r="E117" s="221"/>
      <c r="F117" s="221"/>
      <c r="G117" s="221"/>
      <c r="H117" s="221"/>
      <c r="I117" s="221"/>
      <c r="J117" s="221"/>
      <c r="K117" s="221"/>
      <c r="L117" s="221"/>
      <c r="M117" s="221"/>
      <c r="N117" s="221"/>
      <c r="O117" s="221"/>
      <c r="P117" s="221"/>
      <c r="Q117" s="221"/>
      <c r="R117" s="221"/>
      <c r="S117" s="221"/>
      <c r="T117" s="135"/>
      <c r="U117" s="131"/>
      <c r="V117" s="131"/>
      <c r="W117" s="131"/>
      <c r="X117" s="131"/>
      <c r="Y117" s="131"/>
      <c r="Z117" s="131"/>
      <c r="AA117" s="225"/>
      <c r="AB117" s="225"/>
      <c r="AC117" s="221"/>
      <c r="AD117" s="221"/>
      <c r="AE117" s="223"/>
    </row>
    <row r="118" spans="1:32" ht="16.5" customHeight="1" thickTop="1">
      <c r="A118" s="1"/>
      <c r="B118" s="1"/>
      <c r="C118" s="221"/>
      <c r="D118" s="221"/>
      <c r="E118" s="221"/>
      <c r="F118" s="221"/>
      <c r="G118" s="221"/>
      <c r="H118" s="221"/>
      <c r="I118" s="221"/>
      <c r="J118" s="221"/>
      <c r="K118" s="221"/>
      <c r="L118" s="221"/>
      <c r="M118" s="221"/>
      <c r="N118" s="221"/>
      <c r="O118" s="221"/>
      <c r="P118" s="221"/>
      <c r="Q118" s="221"/>
      <c r="R118" s="221"/>
      <c r="S118" s="226"/>
      <c r="T118" s="131"/>
      <c r="U118" s="2238" t="s">
        <v>4</v>
      </c>
      <c r="V118" s="2239" t="s">
        <v>344</v>
      </c>
      <c r="W118" s="2240" t="s">
        <v>6</v>
      </c>
      <c r="X118" s="2241" t="s">
        <v>345</v>
      </c>
      <c r="Y118" s="2241" t="s">
        <v>8</v>
      </c>
      <c r="Z118" s="2242" t="s">
        <v>346</v>
      </c>
      <c r="AA118" s="227"/>
      <c r="AB118" s="227"/>
      <c r="AC118" s="221"/>
      <c r="AD118" s="221"/>
      <c r="AE118" s="223"/>
    </row>
    <row r="119" spans="1:32" ht="16.5" customHeight="1">
      <c r="A119" s="1"/>
      <c r="B119" s="1"/>
      <c r="C119" s="221"/>
      <c r="D119" s="221"/>
      <c r="E119" s="221"/>
      <c r="F119" s="221"/>
      <c r="G119" s="221"/>
      <c r="H119" s="221"/>
      <c r="I119" s="221"/>
      <c r="J119" s="221"/>
      <c r="K119" s="221"/>
      <c r="L119" s="221"/>
      <c r="M119" s="221"/>
      <c r="N119" s="221"/>
      <c r="O119" s="221"/>
      <c r="P119" s="260"/>
      <c r="Q119" s="222"/>
      <c r="R119" s="261"/>
      <c r="S119" s="262"/>
      <c r="T119" s="135"/>
      <c r="U119" s="1874" t="s">
        <v>11</v>
      </c>
      <c r="V119" s="1875" t="s">
        <v>34</v>
      </c>
      <c r="W119" s="263">
        <v>530106</v>
      </c>
      <c r="X119" s="137" t="s">
        <v>13</v>
      </c>
      <c r="Y119" s="1568" t="s">
        <v>14</v>
      </c>
      <c r="Z119" s="264">
        <f>+AB61</f>
        <v>3360.0000000000005</v>
      </c>
      <c r="AA119" s="228"/>
      <c r="AB119" s="229"/>
      <c r="AC119" s="221"/>
      <c r="AD119" s="221"/>
      <c r="AE119" s="223"/>
    </row>
    <row r="120" spans="1:32" ht="49.5">
      <c r="A120" s="1"/>
      <c r="B120" s="1"/>
      <c r="C120" s="221"/>
      <c r="D120" s="221"/>
      <c r="E120" s="221"/>
      <c r="F120" s="221"/>
      <c r="G120" s="221"/>
      <c r="H120" s="221"/>
      <c r="I120" s="221"/>
      <c r="J120" s="221"/>
      <c r="K120" s="221"/>
      <c r="L120" s="221"/>
      <c r="M120" s="221"/>
      <c r="N120" s="221"/>
      <c r="O120" s="221"/>
      <c r="P120" s="260"/>
      <c r="Q120" s="265"/>
      <c r="R120" s="261"/>
      <c r="S120" s="262"/>
      <c r="T120" s="135"/>
      <c r="U120" s="1874" t="s">
        <v>11</v>
      </c>
      <c r="V120" s="1875" t="s">
        <v>3847</v>
      </c>
      <c r="W120" s="266">
        <v>530402</v>
      </c>
      <c r="X120" s="137" t="s">
        <v>13</v>
      </c>
      <c r="Y120" s="1568" t="s">
        <v>14</v>
      </c>
      <c r="Z120" s="264">
        <f>SUM($AA$58:$AA$58)</f>
        <v>3584.0000000000005</v>
      </c>
      <c r="AA120" s="227"/>
      <c r="AB120" s="231"/>
      <c r="AC120" s="221"/>
      <c r="AD120" s="221"/>
      <c r="AE120" s="223"/>
    </row>
    <row r="121" spans="1:32" ht="16.5" customHeight="1">
      <c r="A121" s="1"/>
      <c r="B121" s="1"/>
      <c r="C121" s="221"/>
      <c r="D121" s="221"/>
      <c r="E121" s="221"/>
      <c r="F121" s="221"/>
      <c r="G121" s="221"/>
      <c r="H121" s="221"/>
      <c r="I121" s="221"/>
      <c r="J121" s="221"/>
      <c r="K121" s="221"/>
      <c r="L121" s="221"/>
      <c r="M121" s="221"/>
      <c r="N121" s="221"/>
      <c r="O121" s="221"/>
      <c r="P121" s="260"/>
      <c r="Q121" s="222"/>
      <c r="R121" s="267"/>
      <c r="S121" s="262"/>
      <c r="T121" s="135"/>
      <c r="U121" s="1874" t="s">
        <v>11</v>
      </c>
      <c r="V121" s="1875" t="s">
        <v>36</v>
      </c>
      <c r="W121" s="263">
        <v>530605</v>
      </c>
      <c r="X121" s="137" t="s">
        <v>13</v>
      </c>
      <c r="Y121" s="1568" t="s">
        <v>14</v>
      </c>
      <c r="Z121" s="264">
        <f>SUM($AA$111:$AA$111)</f>
        <v>30016.000000000004</v>
      </c>
      <c r="AA121" s="232"/>
      <c r="AB121" s="232"/>
      <c r="AC121" s="221"/>
      <c r="AD121" s="221"/>
      <c r="AE121" s="223"/>
    </row>
    <row r="122" spans="1:32" ht="16.5" customHeight="1">
      <c r="A122" s="1"/>
      <c r="B122" s="1"/>
      <c r="C122" s="221"/>
      <c r="D122" s="221"/>
      <c r="E122" s="221"/>
      <c r="F122" s="221"/>
      <c r="G122" s="221"/>
      <c r="H122" s="221"/>
      <c r="I122" s="221"/>
      <c r="J122" s="221"/>
      <c r="K122" s="221"/>
      <c r="L122" s="221"/>
      <c r="M122" s="221"/>
      <c r="N122" s="221"/>
      <c r="O122" s="221"/>
      <c r="P122" s="260"/>
      <c r="Q122" s="265"/>
      <c r="R122" s="261"/>
      <c r="S122" s="262"/>
      <c r="T122" s="135"/>
      <c r="U122" s="1874" t="s">
        <v>11</v>
      </c>
      <c r="V122" s="1875" t="s">
        <v>20</v>
      </c>
      <c r="W122" s="266">
        <v>531407</v>
      </c>
      <c r="X122" s="137" t="s">
        <v>13</v>
      </c>
      <c r="Y122" s="1568" t="s">
        <v>14</v>
      </c>
      <c r="Z122" s="264">
        <f>SUM($AA$36:$AA$37)</f>
        <v>235.20000000000002</v>
      </c>
      <c r="AA122" s="232"/>
      <c r="AB122" s="232"/>
      <c r="AC122" s="221"/>
      <c r="AD122" s="221"/>
      <c r="AE122" s="223"/>
    </row>
    <row r="123" spans="1:32" ht="16.5" customHeight="1">
      <c r="A123" s="1"/>
      <c r="B123" s="1"/>
      <c r="C123" s="221"/>
      <c r="D123" s="221"/>
      <c r="E123" s="221"/>
      <c r="F123" s="221"/>
      <c r="G123" s="221"/>
      <c r="H123" s="221"/>
      <c r="I123" s="221"/>
      <c r="J123" s="221"/>
      <c r="K123" s="221"/>
      <c r="L123" s="221"/>
      <c r="M123" s="221"/>
      <c r="N123" s="221"/>
      <c r="O123" s="221"/>
      <c r="P123" s="260"/>
      <c r="Q123" s="265"/>
      <c r="R123" s="261"/>
      <c r="S123" s="262"/>
      <c r="T123" s="135"/>
      <c r="U123" s="1874" t="s">
        <v>11</v>
      </c>
      <c r="V123" s="1875" t="s">
        <v>22</v>
      </c>
      <c r="W123" s="266">
        <v>840103</v>
      </c>
      <c r="X123" s="137" t="s">
        <v>13</v>
      </c>
      <c r="Y123" s="1570" t="s">
        <v>14</v>
      </c>
      <c r="Z123" s="264">
        <f>SUM($AA$24:$AA$24)</f>
        <v>235.20000000000002</v>
      </c>
      <c r="AA123" s="232"/>
      <c r="AB123" s="232"/>
      <c r="AC123" s="221"/>
      <c r="AD123" s="221"/>
      <c r="AE123" s="223"/>
    </row>
    <row r="124" spans="1:32" ht="16.5" customHeight="1">
      <c r="A124" s="1"/>
      <c r="B124" s="1"/>
      <c r="C124" s="221"/>
      <c r="D124" s="221"/>
      <c r="E124" s="221"/>
      <c r="F124" s="221"/>
      <c r="G124" s="221"/>
      <c r="H124" s="221"/>
      <c r="I124" s="221"/>
      <c r="J124" s="221"/>
      <c r="K124" s="221"/>
      <c r="L124" s="221"/>
      <c r="M124" s="221"/>
      <c r="N124" s="221"/>
      <c r="O124" s="221"/>
      <c r="P124" s="260"/>
      <c r="Q124" s="265"/>
      <c r="R124" s="261"/>
      <c r="S124" s="262"/>
      <c r="T124" s="135"/>
      <c r="U124" s="1874" t="s">
        <v>11</v>
      </c>
      <c r="V124" s="1875" t="s">
        <v>22</v>
      </c>
      <c r="W124" s="266">
        <v>840103</v>
      </c>
      <c r="X124" s="137" t="s">
        <v>13</v>
      </c>
      <c r="Y124" s="1570" t="s">
        <v>14</v>
      </c>
      <c r="Z124" s="264">
        <f>SUM($AA$56:$AA$56)</f>
        <v>761.3760000000002</v>
      </c>
      <c r="AA124" s="232"/>
      <c r="AB124" s="232"/>
      <c r="AC124" s="221"/>
      <c r="AD124" s="221"/>
      <c r="AE124" s="223"/>
    </row>
    <row r="125" spans="1:32" ht="16.5" customHeight="1">
      <c r="A125" s="1"/>
      <c r="B125" s="1"/>
      <c r="C125" s="221"/>
      <c r="D125" s="221"/>
      <c r="E125" s="221"/>
      <c r="F125" s="221"/>
      <c r="G125" s="221"/>
      <c r="H125" s="221"/>
      <c r="I125" s="221"/>
      <c r="J125" s="221"/>
      <c r="K125" s="221"/>
      <c r="L125" s="221"/>
      <c r="M125" s="221"/>
      <c r="N125" s="221"/>
      <c r="O125" s="221"/>
      <c r="P125" s="260"/>
      <c r="Q125" s="222"/>
      <c r="R125" s="221"/>
      <c r="S125" s="262"/>
      <c r="T125" s="135"/>
      <c r="U125" s="1874" t="s">
        <v>11</v>
      </c>
      <c r="V125" s="1876" t="s">
        <v>148</v>
      </c>
      <c r="W125" s="263">
        <v>840104</v>
      </c>
      <c r="X125" s="137" t="s">
        <v>13</v>
      </c>
      <c r="Y125" s="1570" t="s">
        <v>14</v>
      </c>
      <c r="Z125" s="264">
        <f>SUM($AA$107:$AA$109)</f>
        <v>3360</v>
      </c>
      <c r="AA125" s="232"/>
      <c r="AB125" s="232"/>
      <c r="AC125" s="221"/>
      <c r="AD125" s="221"/>
      <c r="AE125" s="223"/>
    </row>
    <row r="126" spans="1:32" ht="16.5" customHeight="1">
      <c r="A126" s="1"/>
      <c r="B126" s="1"/>
      <c r="C126" s="221"/>
      <c r="D126" s="221"/>
      <c r="E126" s="221"/>
      <c r="F126" s="221"/>
      <c r="G126" s="221"/>
      <c r="H126" s="221"/>
      <c r="I126" s="221"/>
      <c r="J126" s="221"/>
      <c r="K126" s="221"/>
      <c r="L126" s="221"/>
      <c r="M126" s="221"/>
      <c r="N126" s="221"/>
      <c r="O126" s="221"/>
      <c r="P126" s="260"/>
      <c r="Q126" s="265"/>
      <c r="R126" s="261"/>
      <c r="S126" s="262"/>
      <c r="T126" s="135"/>
      <c r="U126" s="1874" t="s">
        <v>11</v>
      </c>
      <c r="V126" s="1875" t="s">
        <v>20</v>
      </c>
      <c r="W126" s="266">
        <v>840107</v>
      </c>
      <c r="X126" s="137" t="s">
        <v>13</v>
      </c>
      <c r="Y126" s="1570" t="s">
        <v>14</v>
      </c>
      <c r="Z126" s="264">
        <f>SUM($AA$20:$AA$22)</f>
        <v>1868.1600000000003</v>
      </c>
      <c r="AA126" s="232"/>
      <c r="AB126" s="232"/>
      <c r="AC126" s="221"/>
      <c r="AD126" s="221"/>
      <c r="AE126" s="223"/>
    </row>
    <row r="127" spans="1:32" ht="16.5" customHeight="1" thickBot="1">
      <c r="A127" s="1"/>
      <c r="B127" s="1"/>
      <c r="C127" s="221"/>
      <c r="D127" s="221"/>
      <c r="E127" s="221"/>
      <c r="F127" s="221"/>
      <c r="G127" s="221"/>
      <c r="H127" s="221"/>
      <c r="I127" s="221"/>
      <c r="J127" s="221"/>
      <c r="K127" s="221"/>
      <c r="L127" s="221"/>
      <c r="M127" s="221"/>
      <c r="N127" s="221"/>
      <c r="O127" s="221"/>
      <c r="P127" s="260"/>
      <c r="Q127" s="265"/>
      <c r="R127" s="261"/>
      <c r="S127" s="262"/>
      <c r="T127" s="135"/>
      <c r="U127" s="2243"/>
      <c r="V127" s="2245" t="s">
        <v>183</v>
      </c>
      <c r="W127" s="2244"/>
      <c r="X127" s="2244"/>
      <c r="Y127" s="2246" t="s">
        <v>340</v>
      </c>
      <c r="Z127" s="140">
        <f>SUM(Z119:Z126)</f>
        <v>43419.936000000002</v>
      </c>
      <c r="AA127" s="221"/>
      <c r="AB127" s="221"/>
      <c r="AC127" s="221"/>
      <c r="AD127" s="221"/>
      <c r="AE127" s="223"/>
    </row>
    <row r="128" spans="1:32" ht="16.5" customHeight="1" thickTop="1">
      <c r="A128" s="1"/>
      <c r="B128" s="1"/>
      <c r="C128" s="221"/>
      <c r="D128" s="221"/>
      <c r="E128" s="221"/>
      <c r="F128" s="221"/>
      <c r="G128" s="221"/>
      <c r="H128" s="221"/>
      <c r="I128" s="221"/>
      <c r="J128" s="221"/>
      <c r="K128" s="221"/>
      <c r="L128" s="221"/>
      <c r="M128" s="221"/>
      <c r="N128" s="221"/>
      <c r="O128" s="221"/>
      <c r="P128" s="135"/>
      <c r="Q128" s="135"/>
      <c r="R128" s="135"/>
      <c r="S128" s="135"/>
      <c r="T128" s="135"/>
      <c r="U128" s="131"/>
      <c r="V128" s="142" t="s">
        <v>347</v>
      </c>
      <c r="W128" s="143"/>
      <c r="X128" s="131"/>
      <c r="Y128" s="131"/>
      <c r="Z128" s="131"/>
      <c r="AA128" s="221"/>
      <c r="AB128" s="234"/>
      <c r="AC128" s="221"/>
      <c r="AD128" s="221"/>
      <c r="AE128" s="223"/>
    </row>
    <row r="129" spans="1:31" ht="16.5" customHeight="1" thickBot="1">
      <c r="A129" s="1"/>
      <c r="B129" s="1"/>
      <c r="C129" s="221"/>
      <c r="D129" s="221"/>
      <c r="E129" s="221"/>
      <c r="F129" s="221"/>
      <c r="G129" s="221"/>
      <c r="H129" s="221"/>
      <c r="I129" s="221"/>
      <c r="J129" s="221"/>
      <c r="K129" s="221"/>
      <c r="L129" s="221"/>
      <c r="M129" s="221"/>
      <c r="N129" s="221"/>
      <c r="O129" s="221"/>
      <c r="P129" s="135"/>
      <c r="Q129" s="135"/>
      <c r="R129" s="135"/>
      <c r="S129" s="135"/>
      <c r="T129" s="131"/>
      <c r="U129" s="131"/>
      <c r="V129" s="131"/>
      <c r="W129" s="131"/>
      <c r="X129" s="131"/>
      <c r="Y129" s="131"/>
      <c r="Z129" s="131"/>
      <c r="AA129" s="131"/>
      <c r="AB129" s="221"/>
      <c r="AC129" s="221"/>
      <c r="AD129" s="221"/>
      <c r="AE129" s="223"/>
    </row>
    <row r="130" spans="1:31" ht="16.5" customHeight="1" thickTop="1">
      <c r="A130" s="1"/>
      <c r="B130" s="1"/>
      <c r="C130" s="221"/>
      <c r="D130" s="221"/>
      <c r="E130" s="221"/>
      <c r="F130" s="221"/>
      <c r="G130" s="221"/>
      <c r="H130" s="221"/>
      <c r="I130" s="221"/>
      <c r="J130" s="221"/>
      <c r="K130" s="221"/>
      <c r="L130" s="221"/>
      <c r="M130" s="221"/>
      <c r="N130" s="221"/>
      <c r="O130" s="221"/>
      <c r="P130" s="135"/>
      <c r="Q130" s="135"/>
      <c r="R130" s="135"/>
      <c r="S130" s="135"/>
      <c r="T130" s="135"/>
      <c r="U130" s="4303" t="s">
        <v>348</v>
      </c>
      <c r="V130" s="4304"/>
      <c r="W130" s="4305"/>
      <c r="X130" s="131"/>
      <c r="Y130" s="144" t="s">
        <v>349</v>
      </c>
      <c r="Z130" s="145" t="str">
        <f>IF(Z127=AB113,"OK","NO")</f>
        <v>OK</v>
      </c>
      <c r="AA130" s="131"/>
      <c r="AB130" s="268"/>
      <c r="AC130" s="221"/>
      <c r="AD130" s="221"/>
      <c r="AE130" s="223"/>
    </row>
    <row r="131" spans="1:31" ht="16.5" customHeight="1">
      <c r="A131" s="1"/>
      <c r="B131" s="1"/>
      <c r="C131" s="221"/>
      <c r="D131" s="221"/>
      <c r="E131" s="221"/>
      <c r="F131" s="221"/>
      <c r="G131" s="221"/>
      <c r="H131" s="221"/>
      <c r="I131" s="221"/>
      <c r="J131" s="221"/>
      <c r="K131" s="221"/>
      <c r="L131" s="221"/>
      <c r="M131" s="221"/>
      <c r="N131" s="221"/>
      <c r="O131" s="221"/>
      <c r="P131" s="135"/>
      <c r="Q131" s="135"/>
      <c r="R131" s="135"/>
      <c r="S131" s="135"/>
      <c r="T131" s="135"/>
      <c r="U131" s="4213" t="s">
        <v>3666</v>
      </c>
      <c r="V131" s="4208"/>
      <c r="W131" s="516">
        <v>0</v>
      </c>
      <c r="X131" s="143"/>
      <c r="Y131" s="131"/>
      <c r="Z131" s="145" t="str">
        <f>IF(W135=AB113,"OK","NO")</f>
        <v>OK</v>
      </c>
      <c r="AA131" s="131"/>
      <c r="AB131" s="268"/>
      <c r="AC131" s="221"/>
      <c r="AD131" s="221"/>
      <c r="AE131" s="223"/>
    </row>
    <row r="132" spans="1:31" ht="16.5" customHeight="1">
      <c r="A132" s="1"/>
      <c r="B132" s="1"/>
      <c r="C132" s="221"/>
      <c r="D132" s="221"/>
      <c r="E132" s="221"/>
      <c r="F132" s="221"/>
      <c r="G132" s="221"/>
      <c r="H132" s="221"/>
      <c r="I132" s="221"/>
      <c r="J132" s="221"/>
      <c r="K132" s="221"/>
      <c r="L132" s="221"/>
      <c r="M132" s="221"/>
      <c r="N132" s="221"/>
      <c r="O132" s="221"/>
      <c r="P132" s="221"/>
      <c r="Q132" s="221"/>
      <c r="R132" s="221"/>
      <c r="S132" s="221"/>
      <c r="T132" s="221"/>
      <c r="U132" s="4200" t="s">
        <v>3667</v>
      </c>
      <c r="V132" s="4201"/>
      <c r="W132" s="515">
        <v>0</v>
      </c>
      <c r="X132" s="143"/>
      <c r="Y132" s="131"/>
      <c r="Z132" s="145" t="str">
        <f>IF(W145=AB113,"OK","NO")</f>
        <v>OK</v>
      </c>
      <c r="AA132" s="131"/>
      <c r="AB132" s="268"/>
      <c r="AC132" s="221"/>
      <c r="AD132" s="221"/>
      <c r="AE132" s="223"/>
    </row>
    <row r="133" spans="1:31" ht="16.5" customHeight="1">
      <c r="A133" s="1"/>
      <c r="B133" s="1"/>
      <c r="C133" s="221"/>
      <c r="D133" s="221"/>
      <c r="E133" s="221"/>
      <c r="F133" s="221"/>
      <c r="G133" s="221"/>
      <c r="H133" s="221"/>
      <c r="I133" s="221"/>
      <c r="J133" s="221"/>
      <c r="K133" s="221"/>
      <c r="L133" s="221"/>
      <c r="M133" s="221"/>
      <c r="N133" s="221"/>
      <c r="O133" s="221"/>
      <c r="P133" s="221"/>
      <c r="Q133" s="221"/>
      <c r="R133" s="221"/>
      <c r="S133" s="221"/>
      <c r="T133" s="221"/>
      <c r="U133" s="4200" t="s">
        <v>3669</v>
      </c>
      <c r="V133" s="4201"/>
      <c r="W133" s="515">
        <f>SUM(Z119:Z126)</f>
        <v>43419.936000000002</v>
      </c>
      <c r="X133" s="143"/>
      <c r="Y133" s="143"/>
      <c r="Z133" s="145" t="str">
        <f>IF(Resumen!C348=AB113,"OK","NO")</f>
        <v>OK</v>
      </c>
      <c r="AA133" s="131"/>
      <c r="AB133" s="268"/>
      <c r="AC133" s="221"/>
      <c r="AD133" s="221"/>
      <c r="AE133" s="223"/>
    </row>
    <row r="134" spans="1:31" ht="16.5" customHeight="1">
      <c r="A134" s="1"/>
      <c r="B134" s="1"/>
      <c r="C134" s="221"/>
      <c r="D134" s="221"/>
      <c r="E134" s="221"/>
      <c r="F134" s="221"/>
      <c r="G134" s="221"/>
      <c r="H134" s="221"/>
      <c r="I134" s="221"/>
      <c r="J134" s="221"/>
      <c r="K134" s="221"/>
      <c r="L134" s="221"/>
      <c r="M134" s="221"/>
      <c r="N134" s="221"/>
      <c r="O134" s="221"/>
      <c r="P134" s="221"/>
      <c r="Q134" s="221"/>
      <c r="R134" s="221"/>
      <c r="S134" s="221"/>
      <c r="T134" s="221"/>
      <c r="U134" s="4200" t="s">
        <v>3668</v>
      </c>
      <c r="V134" s="4201"/>
      <c r="W134" s="517">
        <v>0</v>
      </c>
      <c r="X134" s="143"/>
      <c r="Y134" s="143"/>
      <c r="Z134" s="131"/>
      <c r="AA134" s="131"/>
      <c r="AB134" s="268"/>
      <c r="AC134" s="221"/>
      <c r="AD134" s="221"/>
      <c r="AE134" s="223"/>
    </row>
    <row r="135" spans="1:31" ht="16.5" customHeight="1">
      <c r="A135" s="1"/>
      <c r="B135" s="1"/>
      <c r="C135" s="221"/>
      <c r="D135" s="221"/>
      <c r="E135" s="221"/>
      <c r="F135" s="221"/>
      <c r="G135" s="221"/>
      <c r="H135" s="221"/>
      <c r="I135" s="221"/>
      <c r="J135" s="221"/>
      <c r="K135" s="221"/>
      <c r="L135" s="221"/>
      <c r="M135" s="221"/>
      <c r="N135" s="221"/>
      <c r="O135" s="221"/>
      <c r="P135" s="221"/>
      <c r="Q135" s="221"/>
      <c r="R135" s="221"/>
      <c r="S135" s="221"/>
      <c r="T135" s="221"/>
      <c r="U135" s="4309" t="s">
        <v>183</v>
      </c>
      <c r="V135" s="4201"/>
      <c r="W135" s="1620">
        <f>SUM(W131:W134)</f>
        <v>43419.936000000002</v>
      </c>
      <c r="X135" s="143"/>
      <c r="Y135" s="143"/>
      <c r="Z135" s="131"/>
      <c r="AA135" s="131"/>
      <c r="AB135" s="268"/>
      <c r="AC135" s="221"/>
      <c r="AD135" s="221"/>
      <c r="AE135" s="223"/>
    </row>
    <row r="136" spans="1:31" ht="16.5" customHeight="1">
      <c r="A136" s="1"/>
      <c r="B136" s="1"/>
      <c r="C136" s="221"/>
      <c r="D136" s="221"/>
      <c r="E136" s="221"/>
      <c r="F136" s="221"/>
      <c r="G136" s="221"/>
      <c r="H136" s="221"/>
      <c r="I136" s="221"/>
      <c r="J136" s="221"/>
      <c r="K136" s="221"/>
      <c r="L136" s="221"/>
      <c r="M136" s="221"/>
      <c r="N136" s="221"/>
      <c r="O136" s="221"/>
      <c r="P136" s="221"/>
      <c r="Q136" s="221"/>
      <c r="R136" s="221"/>
      <c r="S136" s="221"/>
      <c r="T136" s="221"/>
      <c r="U136" s="4297" t="s">
        <v>350</v>
      </c>
      <c r="V136" s="4298"/>
      <c r="W136" s="4299"/>
      <c r="X136" s="147"/>
      <c r="Y136" s="147"/>
      <c r="Z136" s="131"/>
      <c r="AA136" s="131"/>
      <c r="AB136" s="268"/>
      <c r="AC136" s="221"/>
      <c r="AD136" s="221"/>
      <c r="AE136" s="223"/>
    </row>
    <row r="137" spans="1:31" ht="16.5" customHeight="1">
      <c r="A137" s="1"/>
      <c r="B137" s="1"/>
      <c r="C137" s="221"/>
      <c r="D137" s="221"/>
      <c r="E137" s="221"/>
      <c r="F137" s="221"/>
      <c r="G137" s="221"/>
      <c r="H137" s="221"/>
      <c r="I137" s="221"/>
      <c r="J137" s="221"/>
      <c r="K137" s="221"/>
      <c r="L137" s="221"/>
      <c r="M137" s="221"/>
      <c r="N137" s="221"/>
      <c r="O137" s="221"/>
      <c r="P137" s="221"/>
      <c r="Q137" s="221"/>
      <c r="R137" s="221"/>
      <c r="S137" s="221"/>
      <c r="T137" s="221"/>
      <c r="U137" s="4375" t="s">
        <v>3670</v>
      </c>
      <c r="V137" s="4201"/>
      <c r="W137" s="515">
        <v>0</v>
      </c>
      <c r="X137" s="147"/>
      <c r="Y137" s="147"/>
      <c r="Z137" s="131"/>
      <c r="AA137" s="131"/>
      <c r="AB137" s="268"/>
      <c r="AC137" s="221"/>
      <c r="AD137" s="221"/>
      <c r="AE137" s="223"/>
    </row>
    <row r="138" spans="1:31" ht="16.5" customHeight="1">
      <c r="A138" s="1"/>
      <c r="B138" s="1"/>
      <c r="C138" s="221"/>
      <c r="D138" s="221"/>
      <c r="E138" s="221"/>
      <c r="F138" s="221"/>
      <c r="G138" s="221"/>
      <c r="H138" s="221"/>
      <c r="I138" s="221"/>
      <c r="J138" s="221"/>
      <c r="K138" s="221"/>
      <c r="L138" s="221"/>
      <c r="M138" s="221"/>
      <c r="N138" s="221"/>
      <c r="O138" s="221"/>
      <c r="P138" s="221"/>
      <c r="Q138" s="221"/>
      <c r="R138" s="221"/>
      <c r="S138" s="221"/>
      <c r="T138" s="221"/>
      <c r="U138" s="4209" t="s">
        <v>3671</v>
      </c>
      <c r="V138" s="4201"/>
      <c r="W138" s="515">
        <f>SUM(Z119:Z122)</f>
        <v>37195.200000000004</v>
      </c>
      <c r="X138" s="147"/>
      <c r="Y138" s="147"/>
      <c r="Z138" s="131"/>
      <c r="AA138" s="131"/>
      <c r="AB138" s="268"/>
      <c r="AC138" s="221"/>
      <c r="AD138" s="221"/>
      <c r="AE138" s="223"/>
    </row>
    <row r="139" spans="1:31" ht="16.5" customHeight="1">
      <c r="A139" s="1"/>
      <c r="B139" s="1"/>
      <c r="C139" s="221"/>
      <c r="D139" s="221"/>
      <c r="E139" s="221"/>
      <c r="F139" s="221"/>
      <c r="G139" s="221"/>
      <c r="H139" s="221"/>
      <c r="I139" s="221"/>
      <c r="J139" s="221"/>
      <c r="K139" s="221"/>
      <c r="L139" s="221"/>
      <c r="M139" s="221"/>
      <c r="N139" s="221"/>
      <c r="O139" s="221"/>
      <c r="P139" s="221"/>
      <c r="Q139" s="221"/>
      <c r="R139" s="221"/>
      <c r="S139" s="221"/>
      <c r="T139" s="221"/>
      <c r="U139" s="4209" t="s">
        <v>3672</v>
      </c>
      <c r="V139" s="4201"/>
      <c r="W139" s="515">
        <v>0</v>
      </c>
      <c r="X139" s="150"/>
      <c r="Y139" s="150"/>
      <c r="Z139" s="269"/>
      <c r="AA139" s="269"/>
      <c r="AB139" s="270"/>
      <c r="AC139" s="221"/>
      <c r="AD139" s="221"/>
      <c r="AE139" s="223"/>
    </row>
    <row r="140" spans="1:31" ht="16.5" customHeight="1">
      <c r="A140" s="1"/>
      <c r="B140" s="1"/>
      <c r="C140" s="221"/>
      <c r="D140" s="221"/>
      <c r="E140" s="221"/>
      <c r="F140" s="221"/>
      <c r="G140" s="221"/>
      <c r="H140" s="221"/>
      <c r="I140" s="221"/>
      <c r="J140" s="221"/>
      <c r="K140" s="221"/>
      <c r="L140" s="221"/>
      <c r="M140" s="221"/>
      <c r="N140" s="221"/>
      <c r="O140" s="221"/>
      <c r="P140" s="221"/>
      <c r="Q140" s="221"/>
      <c r="R140" s="221"/>
      <c r="S140" s="221"/>
      <c r="T140" s="221"/>
      <c r="U140" s="4209" t="s">
        <v>3673</v>
      </c>
      <c r="V140" s="4201"/>
      <c r="W140" s="515">
        <v>0</v>
      </c>
      <c r="X140" s="143"/>
      <c r="Y140" s="143"/>
      <c r="Z140" s="269"/>
      <c r="AA140" s="269"/>
      <c r="AB140" s="270"/>
      <c r="AC140" s="221"/>
      <c r="AD140" s="221"/>
      <c r="AE140" s="223"/>
    </row>
    <row r="141" spans="1:31" ht="16.5" customHeight="1">
      <c r="A141" s="1"/>
      <c r="B141" s="1"/>
      <c r="C141" s="221"/>
      <c r="D141" s="221"/>
      <c r="E141" s="221"/>
      <c r="F141" s="221"/>
      <c r="G141" s="221"/>
      <c r="H141" s="221"/>
      <c r="I141" s="221"/>
      <c r="J141" s="221"/>
      <c r="K141" s="221"/>
      <c r="L141" s="221"/>
      <c r="M141" s="221"/>
      <c r="N141" s="221"/>
      <c r="O141" s="221"/>
      <c r="P141" s="221"/>
      <c r="Q141" s="221"/>
      <c r="R141" s="221"/>
      <c r="S141" s="221"/>
      <c r="T141" s="221"/>
      <c r="U141" s="4209" t="s">
        <v>3674</v>
      </c>
      <c r="V141" s="4201"/>
      <c r="W141" s="515">
        <v>0</v>
      </c>
      <c r="X141" s="151"/>
      <c r="Y141" s="151"/>
      <c r="Z141" s="4480"/>
      <c r="AA141" s="4480"/>
      <c r="AB141" s="4480"/>
      <c r="AC141" s="221"/>
      <c r="AD141" s="221"/>
      <c r="AE141" s="223"/>
    </row>
    <row r="142" spans="1:31" ht="16.5" customHeight="1">
      <c r="A142" s="1"/>
      <c r="B142" s="1"/>
      <c r="C142" s="221"/>
      <c r="D142" s="221"/>
      <c r="E142" s="221"/>
      <c r="F142" s="221"/>
      <c r="G142" s="221"/>
      <c r="H142" s="221"/>
      <c r="I142" s="221"/>
      <c r="J142" s="221"/>
      <c r="K142" s="221"/>
      <c r="L142" s="221"/>
      <c r="M142" s="221"/>
      <c r="N142" s="221"/>
      <c r="O142" s="221"/>
      <c r="P142" s="221"/>
      <c r="Q142" s="221"/>
      <c r="R142" s="221"/>
      <c r="S142" s="221"/>
      <c r="T142" s="221"/>
      <c r="U142" s="4209" t="s">
        <v>3675</v>
      </c>
      <c r="V142" s="4201"/>
      <c r="W142" s="515">
        <v>0</v>
      </c>
      <c r="X142" s="151"/>
      <c r="Y142" s="151"/>
      <c r="Z142" s="271"/>
      <c r="AA142" s="272"/>
      <c r="AB142" s="271"/>
      <c r="AC142" s="221"/>
      <c r="AD142" s="221"/>
      <c r="AE142" s="223"/>
    </row>
    <row r="143" spans="1:31" ht="16.5" customHeight="1">
      <c r="A143" s="1"/>
      <c r="B143" s="1"/>
      <c r="C143" s="221"/>
      <c r="D143" s="221"/>
      <c r="E143" s="221"/>
      <c r="F143" s="221"/>
      <c r="G143" s="221"/>
      <c r="H143" s="221"/>
      <c r="I143" s="221"/>
      <c r="J143" s="221"/>
      <c r="K143" s="221"/>
      <c r="L143" s="221"/>
      <c r="M143" s="221"/>
      <c r="N143" s="221"/>
      <c r="O143" s="221"/>
      <c r="P143" s="221"/>
      <c r="Q143" s="221"/>
      <c r="R143" s="221"/>
      <c r="S143" s="221"/>
      <c r="T143" s="221"/>
      <c r="U143" s="4209" t="s">
        <v>3676</v>
      </c>
      <c r="V143" s="4201"/>
      <c r="W143" s="515">
        <f>SUM(Z123:Z126)</f>
        <v>6224.7360000000008</v>
      </c>
      <c r="X143" s="151"/>
      <c r="Y143" s="151"/>
      <c r="Z143" s="273"/>
      <c r="AA143" s="274"/>
      <c r="AB143" s="275"/>
      <c r="AC143" s="221"/>
      <c r="AD143" s="221"/>
      <c r="AE143" s="223"/>
    </row>
    <row r="144" spans="1:31" ht="16.5" customHeight="1">
      <c r="A144" s="1"/>
      <c r="B144" s="1"/>
      <c r="C144" s="221"/>
      <c r="D144" s="221"/>
      <c r="E144" s="221"/>
      <c r="F144" s="221"/>
      <c r="G144" s="221"/>
      <c r="H144" s="221"/>
      <c r="I144" s="221"/>
      <c r="J144" s="221"/>
      <c r="K144" s="221"/>
      <c r="L144" s="221"/>
      <c r="M144" s="221"/>
      <c r="N144" s="221"/>
      <c r="O144" s="221"/>
      <c r="P144" s="221"/>
      <c r="Q144" s="221"/>
      <c r="R144" s="221"/>
      <c r="S144" s="221"/>
      <c r="T144" s="221"/>
      <c r="U144" s="4209" t="s">
        <v>3677</v>
      </c>
      <c r="V144" s="4201"/>
      <c r="W144" s="517">
        <v>0</v>
      </c>
      <c r="X144" s="152"/>
      <c r="Y144" s="152"/>
      <c r="Z144" s="235"/>
      <c r="AA144" s="235"/>
      <c r="AB144" s="270"/>
      <c r="AC144" s="221"/>
      <c r="AD144" s="221"/>
      <c r="AE144" s="223"/>
    </row>
    <row r="145" spans="1:31" ht="16.5" customHeight="1" thickBot="1">
      <c r="A145" s="1"/>
      <c r="B145" s="1"/>
      <c r="C145" s="221"/>
      <c r="D145" s="221"/>
      <c r="E145" s="221"/>
      <c r="F145" s="221"/>
      <c r="G145" s="221"/>
      <c r="H145" s="221"/>
      <c r="I145" s="221"/>
      <c r="J145" s="221"/>
      <c r="K145" s="221"/>
      <c r="L145" s="221"/>
      <c r="M145" s="221"/>
      <c r="N145" s="221"/>
      <c r="O145" s="221"/>
      <c r="P145" s="221"/>
      <c r="Q145" s="221"/>
      <c r="R145" s="221"/>
      <c r="S145" s="221"/>
      <c r="T145" s="221"/>
      <c r="U145" s="4295" t="s">
        <v>183</v>
      </c>
      <c r="V145" s="4296"/>
      <c r="W145" s="1572">
        <f>SUM(W137:W144)</f>
        <v>43419.936000000002</v>
      </c>
      <c r="X145" s="150"/>
      <c r="Y145" s="150"/>
      <c r="Z145" s="269"/>
      <c r="AA145" s="269"/>
      <c r="AB145" s="270"/>
      <c r="AC145" s="221"/>
      <c r="AD145" s="221"/>
      <c r="AE145" s="223"/>
    </row>
    <row r="146" spans="1:31" ht="15.75" customHeight="1" thickTop="1"/>
  </sheetData>
  <mergeCells count="397">
    <mergeCell ref="Z141:AB141"/>
    <mergeCell ref="R25:R29"/>
    <mergeCell ref="E25:E29"/>
    <mergeCell ref="F25:F29"/>
    <mergeCell ref="G25:G29"/>
    <mergeCell ref="H25:H29"/>
    <mergeCell ref="I25:I29"/>
    <mergeCell ref="J25:J29"/>
    <mergeCell ref="K25:K29"/>
    <mergeCell ref="L30:L34"/>
    <mergeCell ref="M30:M34"/>
    <mergeCell ref="N30:N34"/>
    <mergeCell ref="O30:O34"/>
    <mergeCell ref="P50:P54"/>
    <mergeCell ref="Q50:Q54"/>
    <mergeCell ref="R50:R54"/>
    <mergeCell ref="J76:J80"/>
    <mergeCell ref="K76:K80"/>
    <mergeCell ref="L76:L80"/>
    <mergeCell ref="M76:M80"/>
    <mergeCell ref="N76:N80"/>
    <mergeCell ref="O76:O80"/>
    <mergeCell ref="P76:P80"/>
    <mergeCell ref="J55:J59"/>
    <mergeCell ref="L25:L29"/>
    <mergeCell ref="M25:M29"/>
    <mergeCell ref="N25:N29"/>
    <mergeCell ref="O25:O29"/>
    <mergeCell ref="P25:P29"/>
    <mergeCell ref="Q25:Q29"/>
    <mergeCell ref="C14:C18"/>
    <mergeCell ref="C19:C24"/>
    <mergeCell ref="E19:E24"/>
    <mergeCell ref="F19:F24"/>
    <mergeCell ref="G19:G24"/>
    <mergeCell ref="H19:H24"/>
    <mergeCell ref="I19:I24"/>
    <mergeCell ref="D19:D24"/>
    <mergeCell ref="C25:C29"/>
    <mergeCell ref="D25:D29"/>
    <mergeCell ref="M50:M54"/>
    <mergeCell ref="N50:N54"/>
    <mergeCell ref="O50:O54"/>
    <mergeCell ref="H50:H54"/>
    <mergeCell ref="I50:I54"/>
    <mergeCell ref="J50:J54"/>
    <mergeCell ref="K50:K54"/>
    <mergeCell ref="D45:D49"/>
    <mergeCell ref="E45:E49"/>
    <mergeCell ref="F45:F49"/>
    <mergeCell ref="G45:G49"/>
    <mergeCell ref="H45:H49"/>
    <mergeCell ref="I45:I49"/>
    <mergeCell ref="J45:J49"/>
    <mergeCell ref="K45:K49"/>
    <mergeCell ref="G50:G54"/>
    <mergeCell ref="D40:D44"/>
    <mergeCell ref="G40:G44"/>
    <mergeCell ref="H40:H44"/>
    <mergeCell ref="D35:D39"/>
    <mergeCell ref="E35:E39"/>
    <mergeCell ref="I30:I34"/>
    <mergeCell ref="J30:J34"/>
    <mergeCell ref="K30:K34"/>
    <mergeCell ref="L50:L54"/>
    <mergeCell ref="I40:I44"/>
    <mergeCell ref="K40:K44"/>
    <mergeCell ref="C35:C39"/>
    <mergeCell ref="E50:E54"/>
    <mergeCell ref="F50:F54"/>
    <mergeCell ref="C30:C34"/>
    <mergeCell ref="D30:D34"/>
    <mergeCell ref="Q35:Q39"/>
    <mergeCell ref="R35:R39"/>
    <mergeCell ref="N40:N44"/>
    <mergeCell ref="O40:O44"/>
    <mergeCell ref="P40:P44"/>
    <mergeCell ref="Q40:Q44"/>
    <mergeCell ref="R40:R44"/>
    <mergeCell ref="J35:J39"/>
    <mergeCell ref="K35:K39"/>
    <mergeCell ref="L35:L39"/>
    <mergeCell ref="M35:M39"/>
    <mergeCell ref="N35:N39"/>
    <mergeCell ref="O35:O39"/>
    <mergeCell ref="P35:P39"/>
    <mergeCell ref="J40:J44"/>
    <mergeCell ref="F35:F39"/>
    <mergeCell ref="G35:G39"/>
    <mergeCell ref="H35:H39"/>
    <mergeCell ref="I35:I39"/>
    <mergeCell ref="G61:G65"/>
    <mergeCell ref="H61:H65"/>
    <mergeCell ref="I61:I65"/>
    <mergeCell ref="K55:K59"/>
    <mergeCell ref="F66:F70"/>
    <mergeCell ref="G66:G70"/>
    <mergeCell ref="H66:H70"/>
    <mergeCell ref="I66:I70"/>
    <mergeCell ref="B36:B60"/>
    <mergeCell ref="C40:C44"/>
    <mergeCell ref="C45:C49"/>
    <mergeCell ref="C50:C54"/>
    <mergeCell ref="C55:C59"/>
    <mergeCell ref="D50:D54"/>
    <mergeCell ref="D55:D59"/>
    <mergeCell ref="E61:E65"/>
    <mergeCell ref="F61:F65"/>
    <mergeCell ref="E40:E44"/>
    <mergeCell ref="F40:F44"/>
    <mergeCell ref="E55:E59"/>
    <mergeCell ref="F55:F59"/>
    <mergeCell ref="G55:G59"/>
    <mergeCell ref="H55:H59"/>
    <mergeCell ref="I55:I59"/>
    <mergeCell ref="Q76:Q80"/>
    <mergeCell ref="R76:R80"/>
    <mergeCell ref="J61:J65"/>
    <mergeCell ref="K61:K65"/>
    <mergeCell ref="L61:L65"/>
    <mergeCell ref="M61:M65"/>
    <mergeCell ref="N61:N65"/>
    <mergeCell ref="O61:O65"/>
    <mergeCell ref="P61:P65"/>
    <mergeCell ref="D71:D75"/>
    <mergeCell ref="D76:D80"/>
    <mergeCell ref="E76:E80"/>
    <mergeCell ref="F76:F80"/>
    <mergeCell ref="G76:G80"/>
    <mergeCell ref="H76:H80"/>
    <mergeCell ref="I76:I80"/>
    <mergeCell ref="L96:L100"/>
    <mergeCell ref="M96:M100"/>
    <mergeCell ref="M81:M85"/>
    <mergeCell ref="L86:L90"/>
    <mergeCell ref="M86:M90"/>
    <mergeCell ref="L91:L95"/>
    <mergeCell ref="M91:M95"/>
    <mergeCell ref="N81:N85"/>
    <mergeCell ref="O81:O85"/>
    <mergeCell ref="P81:P85"/>
    <mergeCell ref="Q81:Q85"/>
    <mergeCell ref="R81:R85"/>
    <mergeCell ref="E81:E85"/>
    <mergeCell ref="F81:F85"/>
    <mergeCell ref="G81:G85"/>
    <mergeCell ref="H81:H85"/>
    <mergeCell ref="I81:I85"/>
    <mergeCell ref="J81:J85"/>
    <mergeCell ref="K81:K85"/>
    <mergeCell ref="L81:L85"/>
    <mergeCell ref="N86:N90"/>
    <mergeCell ref="O86:O90"/>
    <mergeCell ref="P86:P90"/>
    <mergeCell ref="Q86:Q90"/>
    <mergeCell ref="R86:R90"/>
    <mergeCell ref="E86:E90"/>
    <mergeCell ref="F86:F90"/>
    <mergeCell ref="G86:G90"/>
    <mergeCell ref="H86:H90"/>
    <mergeCell ref="I86:I90"/>
    <mergeCell ref="J86:J90"/>
    <mergeCell ref="K86:K90"/>
    <mergeCell ref="N91:N95"/>
    <mergeCell ref="O91:O95"/>
    <mergeCell ref="N96:N100"/>
    <mergeCell ref="O96:O100"/>
    <mergeCell ref="R91:R95"/>
    <mergeCell ref="E91:E95"/>
    <mergeCell ref="F91:F95"/>
    <mergeCell ref="G91:G95"/>
    <mergeCell ref="H91:H95"/>
    <mergeCell ref="I91:I95"/>
    <mergeCell ref="J91:J95"/>
    <mergeCell ref="K91:K95"/>
    <mergeCell ref="Q91:Q95"/>
    <mergeCell ref="R96:R100"/>
    <mergeCell ref="E96:E100"/>
    <mergeCell ref="F96:F100"/>
    <mergeCell ref="G96:G100"/>
    <mergeCell ref="H96:H100"/>
    <mergeCell ref="I96:I100"/>
    <mergeCell ref="J96:J100"/>
    <mergeCell ref="K96:K100"/>
    <mergeCell ref="L101:L105"/>
    <mergeCell ref="M101:M105"/>
    <mergeCell ref="N101:N105"/>
    <mergeCell ref="O101:O105"/>
    <mergeCell ref="P101:P105"/>
    <mergeCell ref="Q101:Q105"/>
    <mergeCell ref="E101:E105"/>
    <mergeCell ref="F101:F105"/>
    <mergeCell ref="G101:G105"/>
    <mergeCell ref="H101:H105"/>
    <mergeCell ref="I101:I105"/>
    <mergeCell ref="J101:J105"/>
    <mergeCell ref="K101:K105"/>
    <mergeCell ref="Q106:Q111"/>
    <mergeCell ref="R106:R111"/>
    <mergeCell ref="J106:J111"/>
    <mergeCell ref="K106:K111"/>
    <mergeCell ref="L106:L111"/>
    <mergeCell ref="M106:M111"/>
    <mergeCell ref="N106:N111"/>
    <mergeCell ref="O106:O111"/>
    <mergeCell ref="P106:P111"/>
    <mergeCell ref="R101:R105"/>
    <mergeCell ref="P91:P95"/>
    <mergeCell ref="D91:D95"/>
    <mergeCell ref="D96:D100"/>
    <mergeCell ref="C101:C105"/>
    <mergeCell ref="C106:C111"/>
    <mergeCell ref="B61:B112"/>
    <mergeCell ref="C61:C65"/>
    <mergeCell ref="C66:C70"/>
    <mergeCell ref="C71:C75"/>
    <mergeCell ref="C76:C80"/>
    <mergeCell ref="C81:C85"/>
    <mergeCell ref="C86:C90"/>
    <mergeCell ref="D61:D65"/>
    <mergeCell ref="D66:D70"/>
    <mergeCell ref="P96:P100"/>
    <mergeCell ref="Q96:Q100"/>
    <mergeCell ref="E106:E111"/>
    <mergeCell ref="F106:F111"/>
    <mergeCell ref="G106:G111"/>
    <mergeCell ref="H106:H111"/>
    <mergeCell ref="I106:I111"/>
    <mergeCell ref="Q66:Q70"/>
    <mergeCell ref="R66:R70"/>
    <mergeCell ref="AF9:AF13"/>
    <mergeCell ref="J9:J13"/>
    <mergeCell ref="K9:K13"/>
    <mergeCell ref="L9:L13"/>
    <mergeCell ref="M9:M13"/>
    <mergeCell ref="N9:N13"/>
    <mergeCell ref="O9:O13"/>
    <mergeCell ref="P9:P13"/>
    <mergeCell ref="A1:AF1"/>
    <mergeCell ref="A2:AF2"/>
    <mergeCell ref="A3:AF3"/>
    <mergeCell ref="A4:AF4"/>
    <mergeCell ref="A9:A113"/>
    <mergeCell ref="B9:B35"/>
    <mergeCell ref="C9:C13"/>
    <mergeCell ref="D9:D13"/>
    <mergeCell ref="D14:D18"/>
    <mergeCell ref="D101:D105"/>
    <mergeCell ref="D106:D111"/>
    <mergeCell ref="B113:R113"/>
    <mergeCell ref="D81:D85"/>
    <mergeCell ref="D86:D90"/>
    <mergeCell ref="C91:C95"/>
    <mergeCell ref="C96:C100"/>
    <mergeCell ref="AF14:AF18"/>
    <mergeCell ref="AF19:AF24"/>
    <mergeCell ref="AF25:AF29"/>
    <mergeCell ref="AF30:AF34"/>
    <mergeCell ref="AF35:AF39"/>
    <mergeCell ref="E14:E18"/>
    <mergeCell ref="F14:F18"/>
    <mergeCell ref="G14:G18"/>
    <mergeCell ref="H14:H18"/>
    <mergeCell ref="I14:I18"/>
    <mergeCell ref="J14:J18"/>
    <mergeCell ref="K14:K18"/>
    <mergeCell ref="N14:N18"/>
    <mergeCell ref="O14:O18"/>
    <mergeCell ref="P14:P18"/>
    <mergeCell ref="Q14:Q18"/>
    <mergeCell ref="R14:R18"/>
    <mergeCell ref="P30:P34"/>
    <mergeCell ref="Q30:Q34"/>
    <mergeCell ref="R30:R34"/>
    <mergeCell ref="E30:E34"/>
    <mergeCell ref="F30:F34"/>
    <mergeCell ref="G30:G34"/>
    <mergeCell ref="H30:H34"/>
    <mergeCell ref="E9:E13"/>
    <mergeCell ref="F9:F13"/>
    <mergeCell ref="G9:G13"/>
    <mergeCell ref="H9:H13"/>
    <mergeCell ref="I9:I13"/>
    <mergeCell ref="Q19:Q24"/>
    <mergeCell ref="R19:R24"/>
    <mergeCell ref="L19:L24"/>
    <mergeCell ref="M19:M24"/>
    <mergeCell ref="N19:N24"/>
    <mergeCell ref="O19:O24"/>
    <mergeCell ref="P19:P24"/>
    <mergeCell ref="L14:L18"/>
    <mergeCell ref="M14:M18"/>
    <mergeCell ref="Q9:Q13"/>
    <mergeCell ref="R9:R13"/>
    <mergeCell ref="J19:J24"/>
    <mergeCell ref="K19:K24"/>
    <mergeCell ref="AF55:AF59"/>
    <mergeCell ref="AF61:AF65"/>
    <mergeCell ref="L40:L44"/>
    <mergeCell ref="M40:M44"/>
    <mergeCell ref="AF40:AF44"/>
    <mergeCell ref="AF45:AF49"/>
    <mergeCell ref="AF50:AF54"/>
    <mergeCell ref="S60:Z60"/>
    <mergeCell ref="AC60:AF60"/>
    <mergeCell ref="Q61:Q65"/>
    <mergeCell ref="R61:R65"/>
    <mergeCell ref="L55:L59"/>
    <mergeCell ref="M55:M59"/>
    <mergeCell ref="N55:N59"/>
    <mergeCell ref="O55:O59"/>
    <mergeCell ref="P55:P59"/>
    <mergeCell ref="Q55:Q59"/>
    <mergeCell ref="R55:R59"/>
    <mergeCell ref="L45:L49"/>
    <mergeCell ref="M45:M49"/>
    <mergeCell ref="N45:N49"/>
    <mergeCell ref="O45:O49"/>
    <mergeCell ref="Q45:Q49"/>
    <mergeCell ref="R45:R49"/>
    <mergeCell ref="AF66:AF70"/>
    <mergeCell ref="J66:J70"/>
    <mergeCell ref="K66:K70"/>
    <mergeCell ref="L66:L70"/>
    <mergeCell ref="M66:M70"/>
    <mergeCell ref="N66:N70"/>
    <mergeCell ref="O66:O70"/>
    <mergeCell ref="P66:P70"/>
    <mergeCell ref="E71:E75"/>
    <mergeCell ref="F71:F75"/>
    <mergeCell ref="G71:G75"/>
    <mergeCell ref="H71:H75"/>
    <mergeCell ref="I71:I75"/>
    <mergeCell ref="J71:J75"/>
    <mergeCell ref="K71:K75"/>
    <mergeCell ref="L71:L75"/>
    <mergeCell ref="M71:M75"/>
    <mergeCell ref="AF71:AF75"/>
    <mergeCell ref="N71:N75"/>
    <mergeCell ref="O71:O75"/>
    <mergeCell ref="P71:P75"/>
    <mergeCell ref="Q71:Q75"/>
    <mergeCell ref="R71:R75"/>
    <mergeCell ref="E66:E70"/>
    <mergeCell ref="S113:Z113"/>
    <mergeCell ref="AC113:AF113"/>
    <mergeCell ref="S114:AF114"/>
    <mergeCell ref="U116:Z116"/>
    <mergeCell ref="AA116:AB116"/>
    <mergeCell ref="U130:W130"/>
    <mergeCell ref="U131:V131"/>
    <mergeCell ref="U132:V132"/>
    <mergeCell ref="AF76:AF80"/>
    <mergeCell ref="AF81:AF85"/>
    <mergeCell ref="AF86:AF90"/>
    <mergeCell ref="AF91:AF95"/>
    <mergeCell ref="AF96:AF100"/>
    <mergeCell ref="AF101:AF105"/>
    <mergeCell ref="AF106:AF111"/>
    <mergeCell ref="S112:Z112"/>
    <mergeCell ref="AC112:AF112"/>
    <mergeCell ref="U140:V140"/>
    <mergeCell ref="U141:V141"/>
    <mergeCell ref="U142:V142"/>
    <mergeCell ref="U143:V143"/>
    <mergeCell ref="U144:V144"/>
    <mergeCell ref="U145:V145"/>
    <mergeCell ref="U133:V133"/>
    <mergeCell ref="U134:V134"/>
    <mergeCell ref="U135:V135"/>
    <mergeCell ref="U136:W136"/>
    <mergeCell ref="U137:V137"/>
    <mergeCell ref="U138:V138"/>
    <mergeCell ref="U139:V139"/>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3">
    <dataValidation type="list" allowBlank="1" showErrorMessage="1" sqref="F9 F14 F19 F25 F30 F35 F40 F45 F50 F55 F61 F66 F71 F76 F81 F86 F91 F96 F101 F106">
      <formula1>INDIRECT($E9)</formula1>
    </dataValidation>
    <dataValidation type="list" allowBlank="1" showErrorMessage="1" sqref="E9 E14 E19 E25 E30 E35 E40 E45 E50 E55 E61 E66 E71 E76 E81 E86 E91 E96 E101 E106">
      <formula1>INDIRECT($G9)</formula1>
    </dataValidation>
    <dataValidation type="decimal" allowBlank="1" showInputMessage="1" showErrorMessage="1" prompt="DPLAN - Sólo debe ingresar valores, NO porcentajes." sqref="M14:O14 M19:O19 M25:O25 M30:O30 M50:O50 M55:O55 M61:O61 M66:O66 M71:O71 M76:O76 M81:O81 M86:O86 M91:O91 M96:O96 M101:O101">
      <formula1>0</formula1>
      <formula2>1000000</formula2>
    </dataValidation>
  </dataValidations>
  <printOptions horizontalCentered="1"/>
  <pageMargins left="0" right="0" top="0.78740157480314965" bottom="0.35433070866141736" header="0" footer="0"/>
  <pageSetup paperSize="9" scale="25" fitToHeight="0" pageOrder="overThenDown" orientation="landscape" r:id="rId1"/>
  <headerFooter>
    <oddHeader>&amp;L&amp;"Britannic Bold,Normal"&amp;12&amp;K002060POA 2023&amp;"-,Normal"&amp;10&amp;K000000
&amp;"Cambria,Cursiva"&amp;12&amp;K0070C0Administración Central&amp;C&amp;"Century Schoolbook,Normal"&amp;12&amp;K002060&amp;P</oddHeader>
  </headerFooter>
  <ignoredErrors>
    <ignoredError sqref="X119:Y126" numberStoredAsText="1"/>
  </ignoredErrors>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C14:D14 C19:D19 C25:D25 C30:D30 C35:D35 C40:D40 C45:D45 C50:D50 C55:D55</xm:sqref>
        </x14:dataValidation>
        <x14:dataValidation type="list" allowBlank="1" showErrorMessage="1">
          <x14:formula1>
            <xm:f>(PEDI!#REF!)</xm:f>
          </x14:formula1>
          <xm:sqref>H9 H14 H19 H25 H30 H35 H40 H45 H50 H55</xm:sqref>
        </x14:dataValidation>
        <x14:dataValidation type="list" allowBlank="1" showErrorMessage="1">
          <x14:formula1>
            <xm:f>PEDI!#REF!</xm:f>
          </x14:formula1>
          <xm:sqref>G9 G14 G19 G25 G30 G35 G40 G45 G50 G55</xm:sqref>
        </x14:dataValidation>
        <x14:dataValidation type="list" allowBlank="1" showErrorMessage="1">
          <x14:formula1>
            <xm:f>INDIRECT('Estrategias DAFO'!#REF!)</xm:f>
          </x14:formula1>
          <xm:sqref>I9 I14 I19 I25 I30 I35 I40 I45 I50 I55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pageSetUpPr fitToPage="1"/>
  </sheetPr>
  <dimension ref="A1:AF145"/>
  <sheetViews>
    <sheetView showGridLines="0" topLeftCell="S115" zoomScaleNormal="100" workbookViewId="0">
      <selection activeCell="Z133" sqref="Z133"/>
    </sheetView>
  </sheetViews>
  <sheetFormatPr baseColWidth="10" defaultColWidth="12.5703125" defaultRowHeight="15.75" customHeight="1"/>
  <cols>
    <col min="1" max="2" width="5" customWidth="1"/>
    <col min="3" max="12" width="22.42578125" customWidth="1"/>
    <col min="13" max="15" width="8.7109375" customWidth="1"/>
    <col min="16" max="16" width="28.7109375" customWidth="1"/>
    <col min="17" max="17" width="22.42578125" customWidth="1"/>
    <col min="18" max="18" width="24.42578125" customWidth="1"/>
    <col min="19" max="19" width="30.7109375" customWidth="1"/>
    <col min="20" max="20" width="14.7109375" customWidth="1"/>
    <col min="21" max="21" width="32.28515625" customWidth="1"/>
    <col min="22" max="22" width="47.7109375" customWidth="1"/>
    <col min="23" max="23" width="13.7109375" customWidth="1"/>
    <col min="24" max="24" width="11.7109375" customWidth="1"/>
    <col min="25" max="27" width="13.7109375" customWidth="1"/>
    <col min="28" max="28" width="15.7109375" customWidth="1"/>
    <col min="29" max="31" width="7.7109375" customWidth="1"/>
    <col min="32" max="32" width="19.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254" t="s">
        <v>446</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28.5" customHeight="1">
      <c r="A9" s="4358" t="s">
        <v>446</v>
      </c>
      <c r="B9" s="4460" t="s">
        <v>446</v>
      </c>
      <c r="C9" s="4491" t="s">
        <v>235</v>
      </c>
      <c r="D9" s="4328" t="s">
        <v>236</v>
      </c>
      <c r="E9" s="4328" t="s">
        <v>244</v>
      </c>
      <c r="F9" s="4328" t="s">
        <v>337</v>
      </c>
      <c r="G9" s="4329" t="s">
        <v>239</v>
      </c>
      <c r="H9" s="4328" t="s">
        <v>240</v>
      </c>
      <c r="I9" s="4328" t="s">
        <v>241</v>
      </c>
      <c r="J9" s="4483" t="s">
        <v>3964</v>
      </c>
      <c r="K9" s="4273" t="s">
        <v>447</v>
      </c>
      <c r="L9" s="4447" t="s">
        <v>3963</v>
      </c>
      <c r="M9" s="4249">
        <v>0</v>
      </c>
      <c r="N9" s="4484">
        <v>1</v>
      </c>
      <c r="O9" s="4249">
        <v>0</v>
      </c>
      <c r="P9" s="4447" t="s">
        <v>3983</v>
      </c>
      <c r="Q9" s="4447" t="s">
        <v>4001</v>
      </c>
      <c r="R9" s="4346" t="s">
        <v>448</v>
      </c>
      <c r="S9" s="1976" t="s">
        <v>11</v>
      </c>
      <c r="T9" s="1759">
        <v>840103</v>
      </c>
      <c r="U9" s="1759"/>
      <c r="V9" s="1600" t="s">
        <v>22</v>
      </c>
      <c r="W9" s="1602"/>
      <c r="X9" s="414"/>
      <c r="Y9" s="1608"/>
      <c r="Z9" s="1608"/>
      <c r="AA9" s="1608"/>
      <c r="AB9" s="1610">
        <f>SUM($AA$10:$AA$13)</f>
        <v>5815.4431999999997</v>
      </c>
      <c r="AC9" s="414"/>
      <c r="AD9" s="174"/>
      <c r="AE9" s="174"/>
      <c r="AF9" s="4487" t="s">
        <v>4030</v>
      </c>
    </row>
    <row r="10" spans="1:32" ht="28.5" customHeight="1">
      <c r="A10" s="4360"/>
      <c r="B10" s="4478"/>
      <c r="C10" s="4492"/>
      <c r="D10" s="4215"/>
      <c r="E10" s="4215"/>
      <c r="F10" s="4215"/>
      <c r="G10" s="4215"/>
      <c r="H10" s="4215"/>
      <c r="I10" s="4215"/>
      <c r="J10" s="4340"/>
      <c r="K10" s="4215"/>
      <c r="L10" s="4215"/>
      <c r="M10" s="4226"/>
      <c r="N10" s="4249"/>
      <c r="O10" s="4226"/>
      <c r="P10" s="4215"/>
      <c r="Q10" s="4215"/>
      <c r="R10" s="4233"/>
      <c r="S10" s="1700"/>
      <c r="T10" s="1768"/>
      <c r="U10" s="1768">
        <v>3812200521</v>
      </c>
      <c r="V10" s="1621" t="s">
        <v>3960</v>
      </c>
      <c r="W10" s="1601">
        <v>1</v>
      </c>
      <c r="X10" s="170" t="s">
        <v>449</v>
      </c>
      <c r="Y10" s="1606">
        <v>1214.76</v>
      </c>
      <c r="Z10" s="1606">
        <f t="shared" ref="Z10:Z13" si="0">+W10*Y10</f>
        <v>1214.76</v>
      </c>
      <c r="AA10" s="1606">
        <f t="shared" ref="AA10:AA13" si="1">+Z10*1.12</f>
        <v>1360.5312000000001</v>
      </c>
      <c r="AB10" s="1607"/>
      <c r="AC10" s="170" t="s">
        <v>251</v>
      </c>
      <c r="AD10" s="282"/>
      <c r="AE10" s="282"/>
      <c r="AF10" s="4488"/>
    </row>
    <row r="11" spans="1:32" ht="39.75" customHeight="1">
      <c r="A11" s="4360"/>
      <c r="B11" s="4478"/>
      <c r="C11" s="4492"/>
      <c r="D11" s="4215"/>
      <c r="E11" s="4215"/>
      <c r="F11" s="4215"/>
      <c r="G11" s="4215"/>
      <c r="H11" s="4215"/>
      <c r="I11" s="4215"/>
      <c r="J11" s="4340"/>
      <c r="K11" s="4215"/>
      <c r="L11" s="4215"/>
      <c r="M11" s="4226"/>
      <c r="N11" s="4249"/>
      <c r="O11" s="4226"/>
      <c r="P11" s="4215"/>
      <c r="Q11" s="4215"/>
      <c r="R11" s="4233"/>
      <c r="S11" s="1977"/>
      <c r="T11" s="1770"/>
      <c r="U11" s="1770">
        <v>3811102111</v>
      </c>
      <c r="V11" s="2412" t="s">
        <v>450</v>
      </c>
      <c r="W11" s="1602">
        <v>6</v>
      </c>
      <c r="X11" s="414" t="s">
        <v>269</v>
      </c>
      <c r="Y11" s="1608">
        <v>475.09</v>
      </c>
      <c r="Z11" s="1606">
        <f t="shared" si="0"/>
        <v>2850.54</v>
      </c>
      <c r="AA11" s="1606">
        <f t="shared" si="1"/>
        <v>3192.6048000000001</v>
      </c>
      <c r="AB11" s="1607"/>
      <c r="AC11" s="170" t="s">
        <v>251</v>
      </c>
      <c r="AD11" s="282"/>
      <c r="AE11" s="282"/>
      <c r="AF11" s="4488"/>
    </row>
    <row r="12" spans="1:32" ht="28.5" customHeight="1">
      <c r="A12" s="4360"/>
      <c r="B12" s="4478"/>
      <c r="C12" s="4492"/>
      <c r="D12" s="4215"/>
      <c r="E12" s="4215"/>
      <c r="F12" s="4215"/>
      <c r="G12" s="4215"/>
      <c r="H12" s="4215"/>
      <c r="I12" s="4215"/>
      <c r="J12" s="4340"/>
      <c r="K12" s="4215"/>
      <c r="L12" s="4215"/>
      <c r="M12" s="4226"/>
      <c r="N12" s="4249"/>
      <c r="O12" s="4226"/>
      <c r="P12" s="4215"/>
      <c r="Q12" s="4215"/>
      <c r="R12" s="4233"/>
      <c r="S12" s="1977"/>
      <c r="T12" s="1770"/>
      <c r="U12" s="1770">
        <v>3812200581</v>
      </c>
      <c r="V12" s="2412" t="s">
        <v>451</v>
      </c>
      <c r="W12" s="1602">
        <v>1</v>
      </c>
      <c r="X12" s="414" t="s">
        <v>269</v>
      </c>
      <c r="Y12" s="1608">
        <v>202.46</v>
      </c>
      <c r="Z12" s="1606">
        <f t="shared" si="0"/>
        <v>202.46</v>
      </c>
      <c r="AA12" s="1606">
        <f t="shared" si="1"/>
        <v>226.75520000000003</v>
      </c>
      <c r="AB12" s="1607"/>
      <c r="AC12" s="170" t="s">
        <v>251</v>
      </c>
      <c r="AD12" s="282"/>
      <c r="AE12" s="282"/>
      <c r="AF12" s="4488"/>
    </row>
    <row r="13" spans="1:32" ht="28.5" customHeight="1">
      <c r="A13" s="4360"/>
      <c r="B13" s="4478"/>
      <c r="C13" s="4492"/>
      <c r="D13" s="4215"/>
      <c r="E13" s="4215"/>
      <c r="F13" s="4215"/>
      <c r="G13" s="4215"/>
      <c r="H13" s="4215"/>
      <c r="I13" s="4215"/>
      <c r="J13" s="4340"/>
      <c r="K13" s="4215"/>
      <c r="L13" s="4215"/>
      <c r="M13" s="4226"/>
      <c r="N13" s="4249"/>
      <c r="O13" s="4226"/>
      <c r="P13" s="4215"/>
      <c r="Q13" s="4215"/>
      <c r="R13" s="4233"/>
      <c r="S13" s="1701"/>
      <c r="T13" s="2419"/>
      <c r="U13" s="2419">
        <v>3811100101</v>
      </c>
      <c r="V13" s="2413" t="s">
        <v>452</v>
      </c>
      <c r="W13" s="2409">
        <v>1</v>
      </c>
      <c r="X13" s="415" t="s">
        <v>269</v>
      </c>
      <c r="Y13" s="2400">
        <v>924.6</v>
      </c>
      <c r="Z13" s="2400">
        <f t="shared" si="0"/>
        <v>924.6</v>
      </c>
      <c r="AA13" s="2400">
        <f t="shared" si="1"/>
        <v>1035.5520000000001</v>
      </c>
      <c r="AB13" s="2401"/>
      <c r="AC13" s="415" t="s">
        <v>251</v>
      </c>
      <c r="AD13" s="276"/>
      <c r="AE13" s="1946"/>
      <c r="AF13" s="4488"/>
    </row>
    <row r="14" spans="1:32" ht="28.5" customHeight="1">
      <c r="A14" s="4360"/>
      <c r="B14" s="4478"/>
      <c r="C14" s="4493"/>
      <c r="D14" s="4216"/>
      <c r="E14" s="4216"/>
      <c r="F14" s="4216"/>
      <c r="G14" s="4216"/>
      <c r="H14" s="4216"/>
      <c r="I14" s="4216"/>
      <c r="J14" s="4341"/>
      <c r="K14" s="4216"/>
      <c r="L14" s="4216"/>
      <c r="M14" s="4247"/>
      <c r="N14" s="4481"/>
      <c r="O14" s="4247"/>
      <c r="P14" s="4216"/>
      <c r="Q14" s="4216"/>
      <c r="R14" s="4258"/>
      <c r="S14" s="1702"/>
      <c r="T14" s="2420"/>
      <c r="U14" s="2420"/>
      <c r="V14" s="2256"/>
      <c r="W14" s="2410"/>
      <c r="X14" s="1954"/>
      <c r="Y14" s="1995"/>
      <c r="Z14" s="1995"/>
      <c r="AA14" s="1995"/>
      <c r="AB14" s="2402"/>
      <c r="AC14" s="1954"/>
      <c r="AD14" s="1950"/>
      <c r="AE14" s="166"/>
      <c r="AF14" s="4489"/>
    </row>
    <row r="15" spans="1:32" ht="30" customHeight="1">
      <c r="A15" s="4360"/>
      <c r="B15" s="4478"/>
      <c r="C15" s="4491" t="s">
        <v>235</v>
      </c>
      <c r="D15" s="4328" t="s">
        <v>236</v>
      </c>
      <c r="E15" s="4328" t="s">
        <v>237</v>
      </c>
      <c r="F15" s="4328" t="s">
        <v>402</v>
      </c>
      <c r="G15" s="4329" t="s">
        <v>239</v>
      </c>
      <c r="H15" s="4328" t="s">
        <v>240</v>
      </c>
      <c r="I15" s="4328" t="s">
        <v>241</v>
      </c>
      <c r="J15" s="4483" t="s">
        <v>3965</v>
      </c>
      <c r="K15" s="4273" t="s">
        <v>453</v>
      </c>
      <c r="L15" s="4328" t="s">
        <v>454</v>
      </c>
      <c r="M15" s="4249">
        <v>0</v>
      </c>
      <c r="N15" s="1757"/>
      <c r="O15" s="4249">
        <v>0</v>
      </c>
      <c r="P15" s="4447" t="s">
        <v>4031</v>
      </c>
      <c r="Q15" s="4447" t="s">
        <v>4002</v>
      </c>
      <c r="R15" s="4485" t="s">
        <v>4020</v>
      </c>
      <c r="S15" s="1978"/>
      <c r="T15" s="1759"/>
      <c r="U15" s="1759"/>
      <c r="V15" s="1600"/>
      <c r="W15" s="1602"/>
      <c r="X15" s="414"/>
      <c r="Y15" s="2403"/>
      <c r="Z15" s="2403"/>
      <c r="AA15" s="2403"/>
      <c r="AB15" s="2404"/>
      <c r="AC15" s="414"/>
      <c r="AD15" s="168"/>
      <c r="AE15" s="168"/>
      <c r="AF15" s="4324" t="s">
        <v>3959</v>
      </c>
    </row>
    <row r="16" spans="1:32" ht="30" customHeight="1">
      <c r="A16" s="4360"/>
      <c r="B16" s="4478"/>
      <c r="C16" s="4492"/>
      <c r="D16" s="4215"/>
      <c r="E16" s="4215"/>
      <c r="F16" s="4215"/>
      <c r="G16" s="4215"/>
      <c r="H16" s="4215"/>
      <c r="I16" s="4215"/>
      <c r="J16" s="4340"/>
      <c r="K16" s="4215"/>
      <c r="L16" s="4215"/>
      <c r="M16" s="4226"/>
      <c r="N16" s="1757"/>
      <c r="O16" s="4226"/>
      <c r="P16" s="4215"/>
      <c r="Q16" s="4215"/>
      <c r="R16" s="4233"/>
      <c r="S16" s="477"/>
      <c r="T16" s="1768"/>
      <c r="U16" s="1768"/>
      <c r="V16" s="1599"/>
      <c r="W16" s="1601"/>
      <c r="X16" s="170"/>
      <c r="Y16" s="2405"/>
      <c r="Z16" s="2405"/>
      <c r="AA16" s="2405"/>
      <c r="AB16" s="2406"/>
      <c r="AC16" s="170"/>
      <c r="AD16" s="170"/>
      <c r="AE16" s="171"/>
      <c r="AF16" s="4311"/>
    </row>
    <row r="17" spans="1:32" ht="30" customHeight="1">
      <c r="A17" s="4360"/>
      <c r="B17" s="4478"/>
      <c r="C17" s="4492"/>
      <c r="D17" s="4215"/>
      <c r="E17" s="4215"/>
      <c r="F17" s="4215"/>
      <c r="G17" s="4215"/>
      <c r="H17" s="4215"/>
      <c r="I17" s="4215"/>
      <c r="J17" s="4340"/>
      <c r="K17" s="4215"/>
      <c r="L17" s="4215"/>
      <c r="M17" s="4226"/>
      <c r="N17" s="1757">
        <v>25</v>
      </c>
      <c r="O17" s="4226"/>
      <c r="P17" s="4215"/>
      <c r="Q17" s="4215"/>
      <c r="R17" s="4233"/>
      <c r="S17" s="477"/>
      <c r="T17" s="1768"/>
      <c r="U17" s="1768"/>
      <c r="V17" s="1599"/>
      <c r="W17" s="1601"/>
      <c r="X17" s="170"/>
      <c r="Y17" s="2405"/>
      <c r="Z17" s="2405"/>
      <c r="AA17" s="2405"/>
      <c r="AB17" s="2406"/>
      <c r="AC17" s="170"/>
      <c r="AD17" s="170"/>
      <c r="AE17" s="282"/>
      <c r="AF17" s="4311"/>
    </row>
    <row r="18" spans="1:32" ht="30" customHeight="1">
      <c r="A18" s="4360"/>
      <c r="B18" s="4478"/>
      <c r="C18" s="4492"/>
      <c r="D18" s="4215"/>
      <c r="E18" s="4215"/>
      <c r="F18" s="4215"/>
      <c r="G18" s="4215"/>
      <c r="H18" s="4215"/>
      <c r="I18" s="4215"/>
      <c r="J18" s="4340"/>
      <c r="K18" s="4215"/>
      <c r="L18" s="4215"/>
      <c r="M18" s="4226"/>
      <c r="N18" s="1757"/>
      <c r="O18" s="4226"/>
      <c r="P18" s="4215"/>
      <c r="Q18" s="4215"/>
      <c r="R18" s="4233"/>
      <c r="S18" s="477"/>
      <c r="T18" s="1768"/>
      <c r="U18" s="1768"/>
      <c r="V18" s="1599"/>
      <c r="W18" s="1601"/>
      <c r="X18" s="170"/>
      <c r="Y18" s="2405"/>
      <c r="Z18" s="2405"/>
      <c r="AA18" s="2405"/>
      <c r="AB18" s="2406"/>
      <c r="AC18" s="170"/>
      <c r="AD18" s="170"/>
      <c r="AE18" s="282"/>
      <c r="AF18" s="4311"/>
    </row>
    <row r="19" spans="1:32" ht="30" customHeight="1">
      <c r="A19" s="4360"/>
      <c r="B19" s="4478"/>
      <c r="C19" s="4493"/>
      <c r="D19" s="4216"/>
      <c r="E19" s="4216"/>
      <c r="F19" s="4216"/>
      <c r="G19" s="4216"/>
      <c r="H19" s="4216"/>
      <c r="I19" s="4216"/>
      <c r="J19" s="4341"/>
      <c r="K19" s="4216"/>
      <c r="L19" s="4216"/>
      <c r="M19" s="4247"/>
      <c r="N19" s="1698"/>
      <c r="O19" s="4247"/>
      <c r="P19" s="4216"/>
      <c r="Q19" s="4216"/>
      <c r="R19" s="4258"/>
      <c r="S19" s="478"/>
      <c r="T19" s="1994"/>
      <c r="U19" s="1994"/>
      <c r="V19" s="2414"/>
      <c r="W19" s="1603"/>
      <c r="X19" s="165"/>
      <c r="Y19" s="2407"/>
      <c r="Z19" s="2407"/>
      <c r="AA19" s="2407"/>
      <c r="AB19" s="2408"/>
      <c r="AC19" s="165"/>
      <c r="AD19" s="165"/>
      <c r="AE19" s="166"/>
      <c r="AF19" s="4325"/>
    </row>
    <row r="20" spans="1:32" ht="41.25" customHeight="1">
      <c r="A20" s="4360"/>
      <c r="B20" s="4478"/>
      <c r="C20" s="4494" t="s">
        <v>235</v>
      </c>
      <c r="D20" s="4273" t="s">
        <v>236</v>
      </c>
      <c r="E20" s="4273" t="s">
        <v>237</v>
      </c>
      <c r="F20" s="4273" t="s">
        <v>326</v>
      </c>
      <c r="G20" s="4338" t="s">
        <v>239</v>
      </c>
      <c r="H20" s="4273" t="s">
        <v>240</v>
      </c>
      <c r="I20" s="4273" t="s">
        <v>294</v>
      </c>
      <c r="J20" s="4483" t="s">
        <v>3966</v>
      </c>
      <c r="K20" s="4273" t="s">
        <v>455</v>
      </c>
      <c r="L20" s="4273" t="s">
        <v>456</v>
      </c>
      <c r="M20" s="4246">
        <v>1</v>
      </c>
      <c r="N20" s="1706"/>
      <c r="O20" s="4246">
        <v>0</v>
      </c>
      <c r="P20" s="4228" t="s">
        <v>3984</v>
      </c>
      <c r="Q20" s="4228" t="s">
        <v>4003</v>
      </c>
      <c r="R20" s="4322" t="s">
        <v>4021</v>
      </c>
      <c r="S20" s="481" t="s">
        <v>39</v>
      </c>
      <c r="T20" s="1759">
        <v>530402</v>
      </c>
      <c r="U20" s="1771"/>
      <c r="V20" s="2415" t="s">
        <v>40</v>
      </c>
      <c r="W20" s="1602"/>
      <c r="X20" s="414"/>
      <c r="Y20" s="1608"/>
      <c r="Z20" s="1608"/>
      <c r="AA20" s="1608"/>
      <c r="AB20" s="1610">
        <f>SUM($AA$21:$AA$23)</f>
        <v>669241.99</v>
      </c>
      <c r="AC20" s="414"/>
      <c r="AD20" s="174"/>
      <c r="AE20" s="174"/>
      <c r="AF20" s="4490" t="s">
        <v>457</v>
      </c>
    </row>
    <row r="21" spans="1:32" ht="41.25" customHeight="1">
      <c r="A21" s="4360"/>
      <c r="B21" s="4478"/>
      <c r="C21" s="4492"/>
      <c r="D21" s="4215"/>
      <c r="E21" s="4215"/>
      <c r="F21" s="4215"/>
      <c r="G21" s="4215"/>
      <c r="H21" s="4215"/>
      <c r="I21" s="4215"/>
      <c r="J21" s="4340"/>
      <c r="K21" s="4215"/>
      <c r="L21" s="4215"/>
      <c r="M21" s="4226"/>
      <c r="N21" s="1707"/>
      <c r="O21" s="4226"/>
      <c r="P21" s="4215"/>
      <c r="Q21" s="4215"/>
      <c r="R21" s="4233"/>
      <c r="S21" s="1979"/>
      <c r="T21" s="2421"/>
      <c r="U21" s="1624">
        <v>543410111</v>
      </c>
      <c r="V21" s="1732" t="s">
        <v>3961</v>
      </c>
      <c r="W21" s="2411">
        <v>1</v>
      </c>
      <c r="X21" s="170" t="s">
        <v>250</v>
      </c>
      <c r="Y21" s="1606">
        <f>669241.99/1.12</f>
        <v>597537.49107142852</v>
      </c>
      <c r="Z21" s="2405">
        <f t="shared" ref="Z21" si="2">+W21*Y21</f>
        <v>597537.49107142852</v>
      </c>
      <c r="AA21" s="2405">
        <f t="shared" ref="AA21" si="3">+Z21*1.12</f>
        <v>669241.99</v>
      </c>
      <c r="AB21" s="1607"/>
      <c r="AC21" s="170" t="s">
        <v>251</v>
      </c>
      <c r="AD21" s="282" t="s">
        <v>251</v>
      </c>
      <c r="AE21" s="282" t="s">
        <v>251</v>
      </c>
      <c r="AF21" s="4311"/>
    </row>
    <row r="22" spans="1:32" ht="41.25" customHeight="1">
      <c r="A22" s="4360"/>
      <c r="B22" s="4478"/>
      <c r="C22" s="4492"/>
      <c r="D22" s="4215"/>
      <c r="E22" s="4215"/>
      <c r="F22" s="4215"/>
      <c r="G22" s="4215"/>
      <c r="H22" s="4215"/>
      <c r="I22" s="4215"/>
      <c r="J22" s="4340"/>
      <c r="K22" s="4215"/>
      <c r="L22" s="4215"/>
      <c r="M22" s="4226"/>
      <c r="N22" s="1707">
        <v>0</v>
      </c>
      <c r="O22" s="4226"/>
      <c r="P22" s="4215"/>
      <c r="Q22" s="4215"/>
      <c r="R22" s="4233"/>
      <c r="S22" s="477"/>
      <c r="T22" s="1768"/>
      <c r="U22" s="1770"/>
      <c r="V22" s="2412"/>
      <c r="W22" s="1601"/>
      <c r="X22" s="170"/>
      <c r="Y22" s="1606"/>
      <c r="Z22" s="1606"/>
      <c r="AA22" s="1606"/>
      <c r="AB22" s="1607"/>
      <c r="AC22" s="170"/>
      <c r="AD22" s="282"/>
      <c r="AE22" s="282"/>
      <c r="AF22" s="4311"/>
    </row>
    <row r="23" spans="1:32" ht="41.25" customHeight="1">
      <c r="A23" s="4360"/>
      <c r="B23" s="4478"/>
      <c r="C23" s="4492"/>
      <c r="D23" s="4215"/>
      <c r="E23" s="4215"/>
      <c r="F23" s="4215"/>
      <c r="G23" s="4215"/>
      <c r="H23" s="4215"/>
      <c r="I23" s="4215"/>
      <c r="J23" s="4340"/>
      <c r="K23" s="4215"/>
      <c r="L23" s="4215"/>
      <c r="M23" s="4226"/>
      <c r="N23" s="1707"/>
      <c r="O23" s="4226"/>
      <c r="P23" s="4215"/>
      <c r="Q23" s="4215"/>
      <c r="R23" s="4233"/>
      <c r="S23" s="477"/>
      <c r="T23" s="1768"/>
      <c r="U23" s="1768"/>
      <c r="V23" s="1599"/>
      <c r="W23" s="1601"/>
      <c r="X23" s="170"/>
      <c r="Y23" s="1606"/>
      <c r="Z23" s="1606"/>
      <c r="AA23" s="1606"/>
      <c r="AB23" s="1607"/>
      <c r="AC23" s="170"/>
      <c r="AD23" s="282"/>
      <c r="AE23" s="282"/>
      <c r="AF23" s="4311"/>
    </row>
    <row r="24" spans="1:32" ht="41.25" customHeight="1">
      <c r="A24" s="4360"/>
      <c r="B24" s="4478"/>
      <c r="C24" s="4493"/>
      <c r="D24" s="4216"/>
      <c r="E24" s="4216"/>
      <c r="F24" s="4216"/>
      <c r="G24" s="4216"/>
      <c r="H24" s="4216"/>
      <c r="I24" s="4216"/>
      <c r="J24" s="4341"/>
      <c r="K24" s="4216"/>
      <c r="L24" s="4216"/>
      <c r="M24" s="4247"/>
      <c r="N24" s="1716"/>
      <c r="O24" s="4247"/>
      <c r="P24" s="4216"/>
      <c r="Q24" s="4216"/>
      <c r="R24" s="4258"/>
      <c r="S24" s="478"/>
      <c r="T24" s="1994"/>
      <c r="U24" s="1598"/>
      <c r="V24" s="2416"/>
      <c r="W24" s="1992"/>
      <c r="X24" s="1775"/>
      <c r="Y24" s="1777"/>
      <c r="Z24" s="1611"/>
      <c r="AA24" s="1611"/>
      <c r="AB24" s="1993"/>
      <c r="AC24" s="1775"/>
      <c r="AD24" s="1946"/>
      <c r="AE24" s="1946"/>
      <c r="AF24" s="4325"/>
    </row>
    <row r="25" spans="1:32" ht="30" customHeight="1">
      <c r="A25" s="4360"/>
      <c r="B25" s="4478"/>
      <c r="C25" s="4494" t="s">
        <v>235</v>
      </c>
      <c r="D25" s="4273" t="s">
        <v>236</v>
      </c>
      <c r="E25" s="4273" t="s">
        <v>237</v>
      </c>
      <c r="F25" s="4273" t="s">
        <v>326</v>
      </c>
      <c r="G25" s="4338" t="s">
        <v>239</v>
      </c>
      <c r="H25" s="4273" t="s">
        <v>240</v>
      </c>
      <c r="I25" s="4273" t="s">
        <v>294</v>
      </c>
      <c r="J25" s="4473" t="s">
        <v>3967</v>
      </c>
      <c r="K25" s="4482" t="s">
        <v>458</v>
      </c>
      <c r="L25" s="4273" t="s">
        <v>459</v>
      </c>
      <c r="M25" s="4246">
        <v>1</v>
      </c>
      <c r="N25" s="1706"/>
      <c r="O25" s="4246">
        <v>0</v>
      </c>
      <c r="P25" s="4228" t="s">
        <v>3985</v>
      </c>
      <c r="Q25" s="4368" t="s">
        <v>4004</v>
      </c>
      <c r="R25" s="4322" t="s">
        <v>4022</v>
      </c>
      <c r="S25" s="1978"/>
      <c r="T25" s="1759"/>
      <c r="U25" s="1759"/>
      <c r="V25" s="2417"/>
      <c r="W25" s="1604"/>
      <c r="X25" s="178"/>
      <c r="Y25" s="1612"/>
      <c r="Z25" s="1608"/>
      <c r="AA25" s="1608"/>
      <c r="AB25" s="1613"/>
      <c r="AC25" s="178"/>
      <c r="AD25" s="181"/>
      <c r="AE25" s="181"/>
      <c r="AF25" s="4326"/>
    </row>
    <row r="26" spans="1:32" ht="30" customHeight="1">
      <c r="A26" s="4360"/>
      <c r="B26" s="4478"/>
      <c r="C26" s="4492"/>
      <c r="D26" s="4215"/>
      <c r="E26" s="4215"/>
      <c r="F26" s="4215"/>
      <c r="G26" s="4215"/>
      <c r="H26" s="4215"/>
      <c r="I26" s="4215"/>
      <c r="J26" s="4331"/>
      <c r="K26" s="4215"/>
      <c r="L26" s="4215"/>
      <c r="M26" s="4226"/>
      <c r="N26" s="1707"/>
      <c r="O26" s="4226"/>
      <c r="P26" s="4215"/>
      <c r="Q26" s="4215"/>
      <c r="R26" s="4233"/>
      <c r="S26" s="477"/>
      <c r="T26" s="1768"/>
      <c r="U26" s="1768"/>
      <c r="V26" s="1599"/>
      <c r="W26" s="1601"/>
      <c r="X26" s="170"/>
      <c r="Y26" s="1606"/>
      <c r="Z26" s="1606"/>
      <c r="AA26" s="1606"/>
      <c r="AB26" s="1607"/>
      <c r="AC26" s="170"/>
      <c r="AD26" s="282"/>
      <c r="AE26" s="282"/>
      <c r="AF26" s="4311"/>
    </row>
    <row r="27" spans="1:32" ht="30" customHeight="1">
      <c r="A27" s="4360"/>
      <c r="B27" s="4478"/>
      <c r="C27" s="4492"/>
      <c r="D27" s="4215"/>
      <c r="E27" s="4215"/>
      <c r="F27" s="4215"/>
      <c r="G27" s="4215"/>
      <c r="H27" s="4215"/>
      <c r="I27" s="4215"/>
      <c r="J27" s="4331"/>
      <c r="K27" s="4215"/>
      <c r="L27" s="4215"/>
      <c r="M27" s="4226"/>
      <c r="N27" s="1707">
        <v>0</v>
      </c>
      <c r="O27" s="4226"/>
      <c r="P27" s="4215"/>
      <c r="Q27" s="4215"/>
      <c r="R27" s="4233"/>
      <c r="S27" s="477"/>
      <c r="T27" s="1768"/>
      <c r="U27" s="1768"/>
      <c r="V27" s="1599"/>
      <c r="W27" s="1601"/>
      <c r="X27" s="170"/>
      <c r="Y27" s="1606"/>
      <c r="Z27" s="1606"/>
      <c r="AA27" s="1606"/>
      <c r="AB27" s="1607"/>
      <c r="AC27" s="170"/>
      <c r="AD27" s="282"/>
      <c r="AE27" s="282"/>
      <c r="AF27" s="4311"/>
    </row>
    <row r="28" spans="1:32" ht="30" customHeight="1">
      <c r="A28" s="4360"/>
      <c r="B28" s="4478"/>
      <c r="C28" s="4492"/>
      <c r="D28" s="4215"/>
      <c r="E28" s="4215"/>
      <c r="F28" s="4215"/>
      <c r="G28" s="4215"/>
      <c r="H28" s="4215"/>
      <c r="I28" s="4215"/>
      <c r="J28" s="4331"/>
      <c r="K28" s="4215"/>
      <c r="L28" s="4215"/>
      <c r="M28" s="4226"/>
      <c r="N28" s="1707"/>
      <c r="O28" s="4226"/>
      <c r="P28" s="4215"/>
      <c r="Q28" s="4215"/>
      <c r="R28" s="4233"/>
      <c r="S28" s="477"/>
      <c r="T28" s="1768"/>
      <c r="U28" s="1768"/>
      <c r="V28" s="1599"/>
      <c r="W28" s="1601"/>
      <c r="X28" s="170"/>
      <c r="Y28" s="1606"/>
      <c r="Z28" s="1606"/>
      <c r="AA28" s="1606"/>
      <c r="AB28" s="1607"/>
      <c r="AC28" s="170"/>
      <c r="AD28" s="282"/>
      <c r="AE28" s="282"/>
      <c r="AF28" s="4311"/>
    </row>
    <row r="29" spans="1:32" ht="30" customHeight="1">
      <c r="A29" s="4360"/>
      <c r="B29" s="4478"/>
      <c r="C29" s="4493"/>
      <c r="D29" s="4216"/>
      <c r="E29" s="4216"/>
      <c r="F29" s="4216"/>
      <c r="G29" s="4216"/>
      <c r="H29" s="4216"/>
      <c r="I29" s="4216"/>
      <c r="J29" s="4332"/>
      <c r="K29" s="4216"/>
      <c r="L29" s="4216"/>
      <c r="M29" s="4247"/>
      <c r="N29" s="1716"/>
      <c r="O29" s="4247"/>
      <c r="P29" s="4216"/>
      <c r="Q29" s="4216"/>
      <c r="R29" s="4258"/>
      <c r="S29" s="478"/>
      <c r="T29" s="1994"/>
      <c r="U29" s="1994"/>
      <c r="V29" s="2414"/>
      <c r="W29" s="1603"/>
      <c r="X29" s="165"/>
      <c r="Y29" s="1611"/>
      <c r="Z29" s="1611"/>
      <c r="AA29" s="1611"/>
      <c r="AB29" s="1609"/>
      <c r="AC29" s="165"/>
      <c r="AD29" s="166"/>
      <c r="AE29" s="166"/>
      <c r="AF29" s="4325"/>
    </row>
    <row r="30" spans="1:32" ht="37.5" customHeight="1">
      <c r="A30" s="4360"/>
      <c r="B30" s="4478"/>
      <c r="C30" s="4494" t="s">
        <v>235</v>
      </c>
      <c r="D30" s="4273" t="s">
        <v>236</v>
      </c>
      <c r="E30" s="4273" t="s">
        <v>244</v>
      </c>
      <c r="F30" s="4273" t="s">
        <v>337</v>
      </c>
      <c r="G30" s="4338" t="s">
        <v>239</v>
      </c>
      <c r="H30" s="4273" t="s">
        <v>240</v>
      </c>
      <c r="I30" s="4273" t="s">
        <v>294</v>
      </c>
      <c r="J30" s="4473" t="s">
        <v>3968</v>
      </c>
      <c r="K30" s="4482" t="s">
        <v>460</v>
      </c>
      <c r="L30" s="4273" t="s">
        <v>461</v>
      </c>
      <c r="M30" s="4246">
        <v>1</v>
      </c>
      <c r="N30" s="1706"/>
      <c r="O30" s="4246">
        <v>2</v>
      </c>
      <c r="P30" s="4228" t="s">
        <v>3986</v>
      </c>
      <c r="Q30" s="4228" t="s">
        <v>4005</v>
      </c>
      <c r="R30" s="4322" t="s">
        <v>4023</v>
      </c>
      <c r="S30" s="1978"/>
      <c r="T30" s="1759"/>
      <c r="U30" s="1759"/>
      <c r="V30" s="2417"/>
      <c r="W30" s="1604"/>
      <c r="X30" s="178"/>
      <c r="Y30" s="1612"/>
      <c r="Z30" s="1608"/>
      <c r="AA30" s="1608"/>
      <c r="AB30" s="1613"/>
      <c r="AC30" s="178"/>
      <c r="AD30" s="181"/>
      <c r="AE30" s="181"/>
      <c r="AF30" s="4486" t="s">
        <v>3958</v>
      </c>
    </row>
    <row r="31" spans="1:32" ht="37.5" customHeight="1">
      <c r="A31" s="4360"/>
      <c r="B31" s="4478"/>
      <c r="C31" s="4492"/>
      <c r="D31" s="4215"/>
      <c r="E31" s="4215"/>
      <c r="F31" s="4215"/>
      <c r="G31" s="4215"/>
      <c r="H31" s="4215"/>
      <c r="I31" s="4215"/>
      <c r="J31" s="4331"/>
      <c r="K31" s="4215"/>
      <c r="L31" s="4215"/>
      <c r="M31" s="4226"/>
      <c r="N31" s="1707"/>
      <c r="O31" s="4226"/>
      <c r="P31" s="4215"/>
      <c r="Q31" s="4215"/>
      <c r="R31" s="4233"/>
      <c r="S31" s="477"/>
      <c r="T31" s="1768"/>
      <c r="U31" s="1768"/>
      <c r="V31" s="1599"/>
      <c r="W31" s="1601"/>
      <c r="X31" s="170"/>
      <c r="Y31" s="1606"/>
      <c r="Z31" s="1606"/>
      <c r="AA31" s="1606"/>
      <c r="AB31" s="1607"/>
      <c r="AC31" s="170"/>
      <c r="AD31" s="282"/>
      <c r="AE31" s="282"/>
      <c r="AF31" s="4311"/>
    </row>
    <row r="32" spans="1:32" ht="37.5" customHeight="1">
      <c r="A32" s="4360"/>
      <c r="B32" s="4478"/>
      <c r="C32" s="4492"/>
      <c r="D32" s="4215"/>
      <c r="E32" s="4215"/>
      <c r="F32" s="4215"/>
      <c r="G32" s="4215"/>
      <c r="H32" s="4215"/>
      <c r="I32" s="4215"/>
      <c r="J32" s="4331"/>
      <c r="K32" s="4215"/>
      <c r="L32" s="4215"/>
      <c r="M32" s="4226"/>
      <c r="N32" s="1707">
        <v>1</v>
      </c>
      <c r="O32" s="4226"/>
      <c r="P32" s="4215"/>
      <c r="Q32" s="4215"/>
      <c r="R32" s="4233"/>
      <c r="S32" s="477"/>
      <c r="T32" s="1768"/>
      <c r="U32" s="1768"/>
      <c r="V32" s="1599"/>
      <c r="W32" s="1601"/>
      <c r="X32" s="170"/>
      <c r="Y32" s="1606"/>
      <c r="Z32" s="1606"/>
      <c r="AA32" s="1606"/>
      <c r="AB32" s="1607"/>
      <c r="AC32" s="170"/>
      <c r="AD32" s="282"/>
      <c r="AE32" s="282"/>
      <c r="AF32" s="4311"/>
    </row>
    <row r="33" spans="1:32" ht="37.5" customHeight="1">
      <c r="A33" s="4360"/>
      <c r="B33" s="4478"/>
      <c r="C33" s="4492"/>
      <c r="D33" s="4215"/>
      <c r="E33" s="4215"/>
      <c r="F33" s="4215"/>
      <c r="G33" s="4215"/>
      <c r="H33" s="4215"/>
      <c r="I33" s="4215"/>
      <c r="J33" s="4331"/>
      <c r="K33" s="4215"/>
      <c r="L33" s="4215"/>
      <c r="M33" s="4226"/>
      <c r="N33" s="1707"/>
      <c r="O33" s="4226"/>
      <c r="P33" s="4215"/>
      <c r="Q33" s="4215"/>
      <c r="R33" s="4233"/>
      <c r="S33" s="477"/>
      <c r="T33" s="1768"/>
      <c r="U33" s="1768"/>
      <c r="V33" s="1599"/>
      <c r="W33" s="1601"/>
      <c r="X33" s="170"/>
      <c r="Y33" s="1606"/>
      <c r="Z33" s="1606"/>
      <c r="AA33" s="1606"/>
      <c r="AB33" s="1607"/>
      <c r="AC33" s="170"/>
      <c r="AD33" s="282"/>
      <c r="AE33" s="282"/>
      <c r="AF33" s="4311"/>
    </row>
    <row r="34" spans="1:32" ht="37.5" customHeight="1">
      <c r="A34" s="4360"/>
      <c r="B34" s="4478"/>
      <c r="C34" s="4493"/>
      <c r="D34" s="4216"/>
      <c r="E34" s="4216"/>
      <c r="F34" s="4216"/>
      <c r="G34" s="4216"/>
      <c r="H34" s="4216"/>
      <c r="I34" s="4216"/>
      <c r="J34" s="4332"/>
      <c r="K34" s="4216"/>
      <c r="L34" s="4216"/>
      <c r="M34" s="4247"/>
      <c r="N34" s="1716"/>
      <c r="O34" s="4247"/>
      <c r="P34" s="4216"/>
      <c r="Q34" s="4216"/>
      <c r="R34" s="4258"/>
      <c r="S34" s="478"/>
      <c r="T34" s="1994"/>
      <c r="U34" s="1994"/>
      <c r="V34" s="2414"/>
      <c r="W34" s="1603"/>
      <c r="X34" s="165"/>
      <c r="Y34" s="1611"/>
      <c r="Z34" s="1611"/>
      <c r="AA34" s="1611"/>
      <c r="AB34" s="1609"/>
      <c r="AC34" s="165"/>
      <c r="AD34" s="166"/>
      <c r="AE34" s="166"/>
      <c r="AF34" s="4325"/>
    </row>
    <row r="35" spans="1:32" ht="36" customHeight="1">
      <c r="A35" s="4360"/>
      <c r="B35" s="4478"/>
      <c r="C35" s="4491" t="s">
        <v>235</v>
      </c>
      <c r="D35" s="4328" t="s">
        <v>236</v>
      </c>
      <c r="E35" s="4328" t="s">
        <v>244</v>
      </c>
      <c r="F35" s="4328" t="s">
        <v>309</v>
      </c>
      <c r="G35" s="4329" t="s">
        <v>239</v>
      </c>
      <c r="H35" s="4328" t="s">
        <v>240</v>
      </c>
      <c r="I35" s="4328" t="s">
        <v>294</v>
      </c>
      <c r="J35" s="4330" t="s">
        <v>3969</v>
      </c>
      <c r="K35" s="4273" t="s">
        <v>462</v>
      </c>
      <c r="L35" s="4328" t="s">
        <v>463</v>
      </c>
      <c r="M35" s="4249">
        <v>0</v>
      </c>
      <c r="N35" s="1707"/>
      <c r="O35" s="4249">
        <v>0</v>
      </c>
      <c r="P35" s="4447" t="s">
        <v>3987</v>
      </c>
      <c r="Q35" s="4345" t="s">
        <v>4006</v>
      </c>
      <c r="R35" s="4346" t="s">
        <v>4023</v>
      </c>
      <c r="S35" s="1978"/>
      <c r="T35" s="1759"/>
      <c r="U35" s="1759"/>
      <c r="V35" s="1600"/>
      <c r="W35" s="1602"/>
      <c r="X35" s="414"/>
      <c r="Y35" s="1608"/>
      <c r="Z35" s="1608"/>
      <c r="AA35" s="1608"/>
      <c r="AB35" s="1610"/>
      <c r="AC35" s="414"/>
      <c r="AD35" s="174"/>
      <c r="AE35" s="174"/>
      <c r="AF35" s="4324" t="s">
        <v>464</v>
      </c>
    </row>
    <row r="36" spans="1:32" ht="36" customHeight="1">
      <c r="A36" s="4360"/>
      <c r="B36" s="4478"/>
      <c r="C36" s="4492"/>
      <c r="D36" s="4215"/>
      <c r="E36" s="4215"/>
      <c r="F36" s="4215"/>
      <c r="G36" s="4215"/>
      <c r="H36" s="4215"/>
      <c r="I36" s="4215"/>
      <c r="J36" s="4331"/>
      <c r="K36" s="4215"/>
      <c r="L36" s="4215"/>
      <c r="M36" s="4226"/>
      <c r="N36" s="1707"/>
      <c r="O36" s="4226"/>
      <c r="P36" s="4215"/>
      <c r="Q36" s="4215"/>
      <c r="R36" s="4233"/>
      <c r="S36" s="477"/>
      <c r="T36" s="1768"/>
      <c r="U36" s="1768"/>
      <c r="V36" s="1599"/>
      <c r="W36" s="1601"/>
      <c r="X36" s="170"/>
      <c r="Y36" s="1606"/>
      <c r="Z36" s="1606"/>
      <c r="AA36" s="1606"/>
      <c r="AB36" s="1607"/>
      <c r="AC36" s="170"/>
      <c r="AD36" s="282"/>
      <c r="AE36" s="282"/>
      <c r="AF36" s="4311"/>
    </row>
    <row r="37" spans="1:32" ht="36" customHeight="1">
      <c r="A37" s="4360"/>
      <c r="B37" s="4478"/>
      <c r="C37" s="4492"/>
      <c r="D37" s="4215"/>
      <c r="E37" s="4215"/>
      <c r="F37" s="4215"/>
      <c r="G37" s="4215"/>
      <c r="H37" s="4215"/>
      <c r="I37" s="4215"/>
      <c r="J37" s="4331"/>
      <c r="K37" s="4215"/>
      <c r="L37" s="4215"/>
      <c r="M37" s="4226"/>
      <c r="N37" s="1707">
        <v>3</v>
      </c>
      <c r="O37" s="4226"/>
      <c r="P37" s="4215"/>
      <c r="Q37" s="4215"/>
      <c r="R37" s="4233"/>
      <c r="S37" s="1979"/>
      <c r="T37" s="1770"/>
      <c r="U37" s="1770"/>
      <c r="V37" s="2412"/>
      <c r="W37" s="1602"/>
      <c r="X37" s="414"/>
      <c r="Y37" s="1608"/>
      <c r="Z37" s="1606"/>
      <c r="AA37" s="1606"/>
      <c r="AB37" s="1607"/>
      <c r="AC37" s="170"/>
      <c r="AD37" s="282"/>
      <c r="AE37" s="282"/>
      <c r="AF37" s="4311"/>
    </row>
    <row r="38" spans="1:32" ht="36" customHeight="1">
      <c r="A38" s="4360"/>
      <c r="B38" s="4478"/>
      <c r="C38" s="4492"/>
      <c r="D38" s="4215"/>
      <c r="E38" s="4215"/>
      <c r="F38" s="4215"/>
      <c r="G38" s="4215"/>
      <c r="H38" s="4215"/>
      <c r="I38" s="4215"/>
      <c r="J38" s="4331"/>
      <c r="K38" s="4215"/>
      <c r="L38" s="4215"/>
      <c r="M38" s="4226"/>
      <c r="N38" s="1707"/>
      <c r="O38" s="4226"/>
      <c r="P38" s="4215"/>
      <c r="Q38" s="4215"/>
      <c r="R38" s="4233"/>
      <c r="S38" s="1978"/>
      <c r="T38" s="1759"/>
      <c r="U38" s="1759"/>
      <c r="V38" s="2412"/>
      <c r="W38" s="1602"/>
      <c r="X38" s="414"/>
      <c r="Y38" s="1608"/>
      <c r="Z38" s="1606"/>
      <c r="AA38" s="1606"/>
      <c r="AB38" s="1607"/>
      <c r="AC38" s="170"/>
      <c r="AD38" s="282"/>
      <c r="AE38" s="282"/>
      <c r="AF38" s="4311"/>
    </row>
    <row r="39" spans="1:32" ht="36" customHeight="1">
      <c r="A39" s="4360"/>
      <c r="B39" s="4478"/>
      <c r="C39" s="4493"/>
      <c r="D39" s="4216"/>
      <c r="E39" s="4216"/>
      <c r="F39" s="4216"/>
      <c r="G39" s="4216"/>
      <c r="H39" s="4216"/>
      <c r="I39" s="4216"/>
      <c r="J39" s="4332"/>
      <c r="K39" s="4216"/>
      <c r="L39" s="4216"/>
      <c r="M39" s="4247"/>
      <c r="N39" s="1716"/>
      <c r="O39" s="4247"/>
      <c r="P39" s="4216"/>
      <c r="Q39" s="4216"/>
      <c r="R39" s="4258"/>
      <c r="S39" s="478"/>
      <c r="T39" s="1994"/>
      <c r="U39" s="1994"/>
      <c r="V39" s="2414"/>
      <c r="W39" s="1603"/>
      <c r="X39" s="165"/>
      <c r="Y39" s="1611"/>
      <c r="Z39" s="1611"/>
      <c r="AA39" s="1611"/>
      <c r="AB39" s="1609"/>
      <c r="AC39" s="165"/>
      <c r="AD39" s="166"/>
      <c r="AE39" s="166"/>
      <c r="AF39" s="4325"/>
    </row>
    <row r="40" spans="1:32" ht="56.25" customHeight="1">
      <c r="A40" s="4360"/>
      <c r="B40" s="4478"/>
      <c r="C40" s="4491" t="s">
        <v>235</v>
      </c>
      <c r="D40" s="4328" t="s">
        <v>236</v>
      </c>
      <c r="E40" s="4328" t="s">
        <v>244</v>
      </c>
      <c r="F40" s="4328" t="s">
        <v>292</v>
      </c>
      <c r="G40" s="4329" t="s">
        <v>239</v>
      </c>
      <c r="H40" s="4328" t="s">
        <v>240</v>
      </c>
      <c r="I40" s="4328" t="s">
        <v>241</v>
      </c>
      <c r="J40" s="4483" t="s">
        <v>3970</v>
      </c>
      <c r="K40" s="4273" t="s">
        <v>465</v>
      </c>
      <c r="L40" s="4328" t="s">
        <v>466</v>
      </c>
      <c r="M40" s="4249">
        <v>4</v>
      </c>
      <c r="N40" s="4246">
        <v>0</v>
      </c>
      <c r="O40" s="4249">
        <v>0</v>
      </c>
      <c r="P40" s="4345" t="s">
        <v>3988</v>
      </c>
      <c r="Q40" s="4345" t="s">
        <v>4007</v>
      </c>
      <c r="R40" s="4346" t="s">
        <v>4024</v>
      </c>
      <c r="S40" s="1978"/>
      <c r="T40" s="1759"/>
      <c r="U40" s="1759"/>
      <c r="V40" s="1600"/>
      <c r="W40" s="1602"/>
      <c r="X40" s="414"/>
      <c r="Y40" s="1608"/>
      <c r="Z40" s="1608"/>
      <c r="AA40" s="1608"/>
      <c r="AB40" s="1610"/>
      <c r="AC40" s="414"/>
      <c r="AD40" s="168"/>
      <c r="AE40" s="168"/>
      <c r="AF40" s="4310"/>
    </row>
    <row r="41" spans="1:32" ht="56.25" customHeight="1">
      <c r="A41" s="4360"/>
      <c r="B41" s="4478"/>
      <c r="C41" s="4492"/>
      <c r="D41" s="4215"/>
      <c r="E41" s="4215"/>
      <c r="F41" s="4215"/>
      <c r="G41" s="4215"/>
      <c r="H41" s="4215"/>
      <c r="I41" s="4215"/>
      <c r="J41" s="4340"/>
      <c r="K41" s="4215"/>
      <c r="L41" s="4215"/>
      <c r="M41" s="4226"/>
      <c r="N41" s="4226"/>
      <c r="O41" s="4226"/>
      <c r="P41" s="4215"/>
      <c r="Q41" s="4215"/>
      <c r="R41" s="4233"/>
      <c r="S41" s="477"/>
      <c r="T41" s="1768"/>
      <c r="U41" s="1768"/>
      <c r="V41" s="1599"/>
      <c r="W41" s="1601"/>
      <c r="X41" s="170"/>
      <c r="Y41" s="1606"/>
      <c r="Z41" s="1606"/>
      <c r="AA41" s="1606"/>
      <c r="AB41" s="1607"/>
      <c r="AC41" s="170"/>
      <c r="AD41" s="170"/>
      <c r="AE41" s="171"/>
      <c r="AF41" s="4311"/>
    </row>
    <row r="42" spans="1:32" ht="56.25" customHeight="1">
      <c r="A42" s="4360"/>
      <c r="B42" s="4478"/>
      <c r="C42" s="4492"/>
      <c r="D42" s="4215"/>
      <c r="E42" s="4215"/>
      <c r="F42" s="4215"/>
      <c r="G42" s="4215"/>
      <c r="H42" s="4215"/>
      <c r="I42" s="4215"/>
      <c r="J42" s="4340"/>
      <c r="K42" s="4215"/>
      <c r="L42" s="4215"/>
      <c r="M42" s="4226"/>
      <c r="N42" s="4226"/>
      <c r="O42" s="4226"/>
      <c r="P42" s="4215"/>
      <c r="Q42" s="4215"/>
      <c r="R42" s="4233"/>
      <c r="S42" s="477"/>
      <c r="T42" s="1768"/>
      <c r="U42" s="1768"/>
      <c r="V42" s="1599"/>
      <c r="W42" s="1601"/>
      <c r="X42" s="170"/>
      <c r="Y42" s="1606"/>
      <c r="Z42" s="1606"/>
      <c r="AA42" s="1606"/>
      <c r="AB42" s="1607"/>
      <c r="AC42" s="170"/>
      <c r="AD42" s="170"/>
      <c r="AE42" s="282"/>
      <c r="AF42" s="4311"/>
    </row>
    <row r="43" spans="1:32" ht="56.25" customHeight="1">
      <c r="A43" s="4360"/>
      <c r="B43" s="4478"/>
      <c r="C43" s="4492"/>
      <c r="D43" s="4215"/>
      <c r="E43" s="4215"/>
      <c r="F43" s="4215"/>
      <c r="G43" s="4215"/>
      <c r="H43" s="4215"/>
      <c r="I43" s="4215"/>
      <c r="J43" s="4340"/>
      <c r="K43" s="4215"/>
      <c r="L43" s="4215"/>
      <c r="M43" s="4226"/>
      <c r="N43" s="4226"/>
      <c r="O43" s="4226"/>
      <c r="P43" s="4215"/>
      <c r="Q43" s="4215"/>
      <c r="R43" s="4233"/>
      <c r="S43" s="477"/>
      <c r="T43" s="1768"/>
      <c r="U43" s="1768"/>
      <c r="V43" s="1599"/>
      <c r="W43" s="1601"/>
      <c r="X43" s="170"/>
      <c r="Y43" s="1606"/>
      <c r="Z43" s="1606"/>
      <c r="AA43" s="1606"/>
      <c r="AB43" s="1607"/>
      <c r="AC43" s="170"/>
      <c r="AD43" s="170"/>
      <c r="AE43" s="282"/>
      <c r="AF43" s="4311"/>
    </row>
    <row r="44" spans="1:32" ht="56.25" customHeight="1">
      <c r="A44" s="4360"/>
      <c r="B44" s="4478"/>
      <c r="C44" s="4493"/>
      <c r="D44" s="4216"/>
      <c r="E44" s="4216"/>
      <c r="F44" s="4216"/>
      <c r="G44" s="4216"/>
      <c r="H44" s="4216"/>
      <c r="I44" s="4216"/>
      <c r="J44" s="4341"/>
      <c r="K44" s="4216"/>
      <c r="L44" s="4216"/>
      <c r="M44" s="4247"/>
      <c r="N44" s="4247"/>
      <c r="O44" s="4247"/>
      <c r="P44" s="4216"/>
      <c r="Q44" s="4216"/>
      <c r="R44" s="4258"/>
      <c r="S44" s="478"/>
      <c r="T44" s="1994"/>
      <c r="U44" s="1994"/>
      <c r="V44" s="2414"/>
      <c r="W44" s="1603"/>
      <c r="X44" s="165"/>
      <c r="Y44" s="1611"/>
      <c r="Z44" s="1611"/>
      <c r="AA44" s="1611"/>
      <c r="AB44" s="1609"/>
      <c r="AC44" s="165"/>
      <c r="AD44" s="165"/>
      <c r="AE44" s="166"/>
      <c r="AF44" s="4325"/>
    </row>
    <row r="45" spans="1:32" ht="30.75" customHeight="1">
      <c r="A45" s="4360"/>
      <c r="B45" s="4478"/>
      <c r="C45" s="4494" t="s">
        <v>235</v>
      </c>
      <c r="D45" s="4273" t="s">
        <v>236</v>
      </c>
      <c r="E45" s="4273" t="s">
        <v>244</v>
      </c>
      <c r="F45" s="4273" t="s">
        <v>292</v>
      </c>
      <c r="G45" s="4338" t="s">
        <v>239</v>
      </c>
      <c r="H45" s="4273" t="s">
        <v>240</v>
      </c>
      <c r="I45" s="4273" t="s">
        <v>294</v>
      </c>
      <c r="J45" s="4330" t="s">
        <v>3971</v>
      </c>
      <c r="K45" s="4273" t="s">
        <v>467</v>
      </c>
      <c r="L45" s="4273" t="s">
        <v>468</v>
      </c>
      <c r="M45" s="4246">
        <v>1</v>
      </c>
      <c r="N45" s="4246">
        <v>0</v>
      </c>
      <c r="O45" s="4246">
        <v>1</v>
      </c>
      <c r="P45" s="4228" t="s">
        <v>3989</v>
      </c>
      <c r="Q45" s="4228" t="s">
        <v>4008</v>
      </c>
      <c r="R45" s="4322" t="s">
        <v>4025</v>
      </c>
      <c r="S45" s="481"/>
      <c r="T45" s="1759"/>
      <c r="U45" s="1759"/>
      <c r="V45" s="2418"/>
      <c r="W45" s="1602"/>
      <c r="X45" s="414"/>
      <c r="Y45" s="1608"/>
      <c r="Z45" s="1608"/>
      <c r="AA45" s="1608"/>
      <c r="AB45" s="1610"/>
      <c r="AC45" s="414"/>
      <c r="AD45" s="174"/>
      <c r="AE45" s="174"/>
      <c r="AF45" s="4326"/>
    </row>
    <row r="46" spans="1:32" ht="30.75" customHeight="1">
      <c r="A46" s="4360"/>
      <c r="B46" s="4478"/>
      <c r="C46" s="4492"/>
      <c r="D46" s="4215"/>
      <c r="E46" s="4215"/>
      <c r="F46" s="4215"/>
      <c r="G46" s="4215"/>
      <c r="H46" s="4215"/>
      <c r="I46" s="4215"/>
      <c r="J46" s="4331"/>
      <c r="K46" s="4215"/>
      <c r="L46" s="4215"/>
      <c r="M46" s="4226"/>
      <c r="N46" s="4249"/>
      <c r="O46" s="4226"/>
      <c r="P46" s="4215"/>
      <c r="Q46" s="4215"/>
      <c r="R46" s="4233"/>
      <c r="S46" s="1979"/>
      <c r="T46" s="1770"/>
      <c r="U46" s="1770"/>
      <c r="V46" s="1599"/>
      <c r="W46" s="1601"/>
      <c r="X46" s="170"/>
      <c r="Y46" s="1606"/>
      <c r="Z46" s="1606"/>
      <c r="AA46" s="1606"/>
      <c r="AB46" s="1607"/>
      <c r="AC46" s="170"/>
      <c r="AD46" s="282"/>
      <c r="AE46" s="282"/>
      <c r="AF46" s="4311"/>
    </row>
    <row r="47" spans="1:32" ht="30.75" customHeight="1">
      <c r="A47" s="4360"/>
      <c r="B47" s="4478"/>
      <c r="C47" s="4492"/>
      <c r="D47" s="4215"/>
      <c r="E47" s="4215"/>
      <c r="F47" s="4215"/>
      <c r="G47" s="4215"/>
      <c r="H47" s="4215"/>
      <c r="I47" s="4215"/>
      <c r="J47" s="4331"/>
      <c r="K47" s="4215"/>
      <c r="L47" s="4215"/>
      <c r="M47" s="4226"/>
      <c r="N47" s="4249"/>
      <c r="O47" s="4226"/>
      <c r="P47" s="4215"/>
      <c r="Q47" s="4215"/>
      <c r="R47" s="4233"/>
      <c r="S47" s="477"/>
      <c r="T47" s="1768"/>
      <c r="U47" s="1768"/>
      <c r="V47" s="1599"/>
      <c r="W47" s="1601"/>
      <c r="X47" s="170"/>
      <c r="Y47" s="1606"/>
      <c r="Z47" s="1606"/>
      <c r="AA47" s="1606"/>
      <c r="AB47" s="1607"/>
      <c r="AC47" s="170"/>
      <c r="AD47" s="282"/>
      <c r="AE47" s="282"/>
      <c r="AF47" s="4311"/>
    </row>
    <row r="48" spans="1:32" ht="30.75" customHeight="1">
      <c r="A48" s="4360"/>
      <c r="B48" s="4478"/>
      <c r="C48" s="4492"/>
      <c r="D48" s="4215"/>
      <c r="E48" s="4215"/>
      <c r="F48" s="4215"/>
      <c r="G48" s="4215"/>
      <c r="H48" s="4215"/>
      <c r="I48" s="4215"/>
      <c r="J48" s="4331"/>
      <c r="K48" s="4215"/>
      <c r="L48" s="4215"/>
      <c r="M48" s="4226"/>
      <c r="N48" s="4249"/>
      <c r="O48" s="4226"/>
      <c r="P48" s="4215"/>
      <c r="Q48" s="4215"/>
      <c r="R48" s="4233"/>
      <c r="S48" s="477"/>
      <c r="T48" s="1768"/>
      <c r="U48" s="1768"/>
      <c r="V48" s="1599"/>
      <c r="W48" s="1601"/>
      <c r="X48" s="170"/>
      <c r="Y48" s="1606"/>
      <c r="Z48" s="1606"/>
      <c r="AA48" s="1606"/>
      <c r="AB48" s="1607"/>
      <c r="AC48" s="170"/>
      <c r="AD48" s="282"/>
      <c r="AE48" s="282"/>
      <c r="AF48" s="4311"/>
    </row>
    <row r="49" spans="1:32" ht="30.75" customHeight="1">
      <c r="A49" s="4360"/>
      <c r="B49" s="4478"/>
      <c r="C49" s="4493"/>
      <c r="D49" s="4216"/>
      <c r="E49" s="4216"/>
      <c r="F49" s="4216"/>
      <c r="G49" s="4216"/>
      <c r="H49" s="4216"/>
      <c r="I49" s="4216"/>
      <c r="J49" s="4332"/>
      <c r="K49" s="4216"/>
      <c r="L49" s="4216"/>
      <c r="M49" s="4247"/>
      <c r="N49" s="4481"/>
      <c r="O49" s="4247"/>
      <c r="P49" s="4216"/>
      <c r="Q49" s="4216"/>
      <c r="R49" s="4258"/>
      <c r="S49" s="478"/>
      <c r="T49" s="1994"/>
      <c r="U49" s="1598"/>
      <c r="V49" s="2416"/>
      <c r="W49" s="1992"/>
      <c r="X49" s="1775"/>
      <c r="Y49" s="1777"/>
      <c r="Z49" s="1611"/>
      <c r="AA49" s="1611"/>
      <c r="AB49" s="1993"/>
      <c r="AC49" s="1775"/>
      <c r="AD49" s="1946"/>
      <c r="AE49" s="1946"/>
      <c r="AF49" s="4325"/>
    </row>
    <row r="50" spans="1:32" ht="35.25" customHeight="1">
      <c r="A50" s="4360"/>
      <c r="B50" s="4478"/>
      <c r="C50" s="4494" t="s">
        <v>235</v>
      </c>
      <c r="D50" s="4273" t="s">
        <v>236</v>
      </c>
      <c r="E50" s="4273" t="s">
        <v>244</v>
      </c>
      <c r="F50" s="4273" t="s">
        <v>309</v>
      </c>
      <c r="G50" s="4338" t="s">
        <v>239</v>
      </c>
      <c r="H50" s="4273" t="s">
        <v>240</v>
      </c>
      <c r="I50" s="4273" t="s">
        <v>241</v>
      </c>
      <c r="J50" s="4330" t="s">
        <v>3972</v>
      </c>
      <c r="K50" s="4273" t="s">
        <v>469</v>
      </c>
      <c r="L50" s="4273" t="s">
        <v>470</v>
      </c>
      <c r="M50" s="4246">
        <v>1</v>
      </c>
      <c r="N50" s="1706"/>
      <c r="O50" s="4246">
        <v>1</v>
      </c>
      <c r="P50" s="4228" t="s">
        <v>3990</v>
      </c>
      <c r="Q50" s="4228" t="s">
        <v>4009</v>
      </c>
      <c r="R50" s="4322" t="s">
        <v>4023</v>
      </c>
      <c r="S50" s="1976" t="s">
        <v>11</v>
      </c>
      <c r="T50" s="1759">
        <v>530601</v>
      </c>
      <c r="U50" s="1759"/>
      <c r="V50" s="2417" t="s">
        <v>41</v>
      </c>
      <c r="W50" s="1604"/>
      <c r="X50" s="178"/>
      <c r="Y50" s="1612"/>
      <c r="Z50" s="1608"/>
      <c r="AA50" s="1608"/>
      <c r="AB50" s="1613">
        <f>SUM($AA$51:$AA$53)</f>
        <v>15008.000000000002</v>
      </c>
      <c r="AC50" s="178"/>
      <c r="AD50" s="181"/>
      <c r="AE50" s="181"/>
      <c r="AF50" s="4486" t="s">
        <v>3957</v>
      </c>
    </row>
    <row r="51" spans="1:32" ht="35.25" customHeight="1">
      <c r="A51" s="4360"/>
      <c r="B51" s="4478"/>
      <c r="C51" s="4492"/>
      <c r="D51" s="4215"/>
      <c r="E51" s="4215"/>
      <c r="F51" s="4215"/>
      <c r="G51" s="4215"/>
      <c r="H51" s="4215"/>
      <c r="I51" s="4215"/>
      <c r="J51" s="4331"/>
      <c r="K51" s="4215"/>
      <c r="L51" s="4215"/>
      <c r="M51" s="4226"/>
      <c r="N51" s="1707"/>
      <c r="O51" s="4226"/>
      <c r="P51" s="4215"/>
      <c r="Q51" s="4215"/>
      <c r="R51" s="4233"/>
      <c r="S51" s="1700"/>
      <c r="T51" s="1768"/>
      <c r="U51" s="1768">
        <v>831390011</v>
      </c>
      <c r="V51" s="1599" t="s">
        <v>41</v>
      </c>
      <c r="W51" s="1601">
        <v>1</v>
      </c>
      <c r="X51" s="170" t="s">
        <v>269</v>
      </c>
      <c r="Y51" s="1606">
        <v>13400</v>
      </c>
      <c r="Z51" s="1606">
        <f t="shared" ref="Z51" si="4">+W51*Y51</f>
        <v>13400</v>
      </c>
      <c r="AA51" s="1606">
        <f t="shared" ref="AA51" si="5">+Z51*1.12</f>
        <v>15008.000000000002</v>
      </c>
      <c r="AB51" s="1607"/>
      <c r="AC51" s="170" t="s">
        <v>251</v>
      </c>
      <c r="AD51" s="282"/>
      <c r="AE51" s="282"/>
      <c r="AF51" s="4311"/>
    </row>
    <row r="52" spans="1:32" ht="35.25" customHeight="1">
      <c r="A52" s="4360"/>
      <c r="B52" s="4478"/>
      <c r="C52" s="4492"/>
      <c r="D52" s="4215"/>
      <c r="E52" s="4215"/>
      <c r="F52" s="4215"/>
      <c r="G52" s="4215"/>
      <c r="H52" s="4215"/>
      <c r="I52" s="4215"/>
      <c r="J52" s="4331"/>
      <c r="K52" s="4215"/>
      <c r="L52" s="4215"/>
      <c r="M52" s="4226"/>
      <c r="N52" s="1707">
        <v>1</v>
      </c>
      <c r="O52" s="4226"/>
      <c r="P52" s="4215"/>
      <c r="Q52" s="4215"/>
      <c r="R52" s="4233"/>
      <c r="S52" s="1700"/>
      <c r="T52" s="1768"/>
      <c r="U52" s="1768"/>
      <c r="V52" s="1599"/>
      <c r="W52" s="1601"/>
      <c r="X52" s="170"/>
      <c r="Y52" s="1606"/>
      <c r="Z52" s="1606"/>
      <c r="AA52" s="1606"/>
      <c r="AB52" s="1607"/>
      <c r="AC52" s="170"/>
      <c r="AD52" s="282"/>
      <c r="AE52" s="282"/>
      <c r="AF52" s="4311"/>
    </row>
    <row r="53" spans="1:32" ht="35.25" customHeight="1">
      <c r="A53" s="4360"/>
      <c r="B53" s="4478"/>
      <c r="C53" s="4492"/>
      <c r="D53" s="4215"/>
      <c r="E53" s="4215"/>
      <c r="F53" s="4215"/>
      <c r="G53" s="4215"/>
      <c r="H53" s="4215"/>
      <c r="I53" s="4215"/>
      <c r="J53" s="4331"/>
      <c r="K53" s="4215"/>
      <c r="L53" s="4215"/>
      <c r="M53" s="4226"/>
      <c r="N53" s="1707"/>
      <c r="O53" s="4226"/>
      <c r="P53" s="4215"/>
      <c r="Q53" s="4215"/>
      <c r="R53" s="4233"/>
      <c r="S53" s="1700"/>
      <c r="T53" s="1768"/>
      <c r="U53" s="1768"/>
      <c r="V53" s="1599"/>
      <c r="W53" s="1601"/>
      <c r="X53" s="170"/>
      <c r="Y53" s="1606"/>
      <c r="Z53" s="1606"/>
      <c r="AA53" s="1606"/>
      <c r="AB53" s="1607"/>
      <c r="AC53" s="170"/>
      <c r="AD53" s="282"/>
      <c r="AE53" s="282"/>
      <c r="AF53" s="4311"/>
    </row>
    <row r="54" spans="1:32" ht="35.25" customHeight="1">
      <c r="A54" s="4360"/>
      <c r="B54" s="4478"/>
      <c r="C54" s="4493"/>
      <c r="D54" s="4216"/>
      <c r="E54" s="4216"/>
      <c r="F54" s="4216"/>
      <c r="G54" s="4216"/>
      <c r="H54" s="4216"/>
      <c r="I54" s="4216"/>
      <c r="J54" s="4332"/>
      <c r="K54" s="4216"/>
      <c r="L54" s="4216"/>
      <c r="M54" s="4247"/>
      <c r="N54" s="1716"/>
      <c r="O54" s="4247"/>
      <c r="P54" s="4216"/>
      <c r="Q54" s="4216"/>
      <c r="R54" s="4258"/>
      <c r="S54" s="1703"/>
      <c r="T54" s="1994"/>
      <c r="U54" s="1994"/>
      <c r="V54" s="2414"/>
      <c r="W54" s="1603"/>
      <c r="X54" s="165"/>
      <c r="Y54" s="1611"/>
      <c r="Z54" s="1611"/>
      <c r="AA54" s="1611"/>
      <c r="AB54" s="1609"/>
      <c r="AC54" s="165"/>
      <c r="AD54" s="166"/>
      <c r="AE54" s="166"/>
      <c r="AF54" s="4325"/>
    </row>
    <row r="55" spans="1:32" ht="30" customHeight="1">
      <c r="A55" s="4360"/>
      <c r="B55" s="4478"/>
      <c r="C55" s="4494" t="s">
        <v>235</v>
      </c>
      <c r="D55" s="4273" t="s">
        <v>236</v>
      </c>
      <c r="E55" s="4273" t="s">
        <v>244</v>
      </c>
      <c r="F55" s="4273" t="s">
        <v>471</v>
      </c>
      <c r="G55" s="4338" t="s">
        <v>239</v>
      </c>
      <c r="H55" s="4273" t="s">
        <v>240</v>
      </c>
      <c r="I55" s="4273" t="s">
        <v>241</v>
      </c>
      <c r="J55" s="4473" t="s">
        <v>3973</v>
      </c>
      <c r="K55" s="4482" t="s">
        <v>472</v>
      </c>
      <c r="L55" s="4482" t="s">
        <v>473</v>
      </c>
      <c r="M55" s="4336"/>
      <c r="N55" s="1699"/>
      <c r="O55" s="4336"/>
      <c r="P55" s="4482"/>
      <c r="Q55" s="4482"/>
      <c r="R55" s="4502"/>
      <c r="S55" s="1978"/>
      <c r="T55" s="1759"/>
      <c r="U55" s="1759"/>
      <c r="V55" s="2417"/>
      <c r="W55" s="1604"/>
      <c r="X55" s="178"/>
      <c r="Y55" s="1612"/>
      <c r="Z55" s="1608"/>
      <c r="AA55" s="1608"/>
      <c r="AB55" s="1613"/>
      <c r="AC55" s="178"/>
      <c r="AD55" s="181"/>
      <c r="AE55" s="181"/>
      <c r="AF55" s="4486" t="s">
        <v>3955</v>
      </c>
    </row>
    <row r="56" spans="1:32" ht="30" customHeight="1">
      <c r="A56" s="4360"/>
      <c r="B56" s="4478"/>
      <c r="C56" s="4492"/>
      <c r="D56" s="4215"/>
      <c r="E56" s="4215"/>
      <c r="F56" s="4215"/>
      <c r="G56" s="4215"/>
      <c r="H56" s="4215"/>
      <c r="I56" s="4215"/>
      <c r="J56" s="4331"/>
      <c r="K56" s="4215"/>
      <c r="L56" s="4215"/>
      <c r="M56" s="4226"/>
      <c r="N56" s="1757"/>
      <c r="O56" s="4226"/>
      <c r="P56" s="4215"/>
      <c r="Q56" s="4215"/>
      <c r="R56" s="4233"/>
      <c r="S56" s="477"/>
      <c r="T56" s="1768"/>
      <c r="U56" s="1768"/>
      <c r="V56" s="1599"/>
      <c r="W56" s="1601"/>
      <c r="X56" s="170"/>
      <c r="Y56" s="1606"/>
      <c r="Z56" s="1606"/>
      <c r="AA56" s="1606"/>
      <c r="AB56" s="1607"/>
      <c r="AC56" s="170"/>
      <c r="AD56" s="282"/>
      <c r="AE56" s="282"/>
      <c r="AF56" s="4311"/>
    </row>
    <row r="57" spans="1:32" ht="30" customHeight="1">
      <c r="A57" s="4360"/>
      <c r="B57" s="4478"/>
      <c r="C57" s="4492"/>
      <c r="D57" s="4215"/>
      <c r="E57" s="4215"/>
      <c r="F57" s="4215"/>
      <c r="G57" s="4215"/>
      <c r="H57" s="4215"/>
      <c r="I57" s="4215"/>
      <c r="J57" s="4331"/>
      <c r="K57" s="4215"/>
      <c r="L57" s="4215"/>
      <c r="M57" s="4226"/>
      <c r="N57" s="1757"/>
      <c r="O57" s="4226"/>
      <c r="P57" s="4215"/>
      <c r="Q57" s="4215"/>
      <c r="R57" s="4233"/>
      <c r="S57" s="477"/>
      <c r="T57" s="1768"/>
      <c r="U57" s="1768"/>
      <c r="V57" s="1599"/>
      <c r="W57" s="1601"/>
      <c r="X57" s="170"/>
      <c r="Y57" s="1606"/>
      <c r="Z57" s="1606"/>
      <c r="AA57" s="1606"/>
      <c r="AB57" s="1607"/>
      <c r="AC57" s="170"/>
      <c r="AD57" s="282"/>
      <c r="AE57" s="282"/>
      <c r="AF57" s="4311"/>
    </row>
    <row r="58" spans="1:32" ht="30" customHeight="1">
      <c r="A58" s="4360"/>
      <c r="B58" s="4478"/>
      <c r="C58" s="4492"/>
      <c r="D58" s="4215"/>
      <c r="E58" s="4215"/>
      <c r="F58" s="4215"/>
      <c r="G58" s="4215"/>
      <c r="H58" s="4215"/>
      <c r="I58" s="4215"/>
      <c r="J58" s="4331"/>
      <c r="K58" s="4215"/>
      <c r="L58" s="4215"/>
      <c r="M58" s="4226"/>
      <c r="N58" s="1757"/>
      <c r="O58" s="4226"/>
      <c r="P58" s="4215"/>
      <c r="Q58" s="4215"/>
      <c r="R58" s="4233"/>
      <c r="S58" s="477"/>
      <c r="T58" s="1768"/>
      <c r="U58" s="1768"/>
      <c r="V58" s="1599"/>
      <c r="W58" s="1601"/>
      <c r="X58" s="170"/>
      <c r="Y58" s="1606"/>
      <c r="Z58" s="1606"/>
      <c r="AA58" s="1606"/>
      <c r="AB58" s="1607"/>
      <c r="AC58" s="170"/>
      <c r="AD58" s="282"/>
      <c r="AE58" s="282"/>
      <c r="AF58" s="4311"/>
    </row>
    <row r="59" spans="1:32" ht="30" customHeight="1">
      <c r="A59" s="4360"/>
      <c r="B59" s="4478"/>
      <c r="C59" s="4493"/>
      <c r="D59" s="4216"/>
      <c r="E59" s="4216"/>
      <c r="F59" s="4216"/>
      <c r="G59" s="4216"/>
      <c r="H59" s="4216"/>
      <c r="I59" s="4216"/>
      <c r="J59" s="4332"/>
      <c r="K59" s="4216"/>
      <c r="L59" s="4216"/>
      <c r="M59" s="4247"/>
      <c r="N59" s="1698"/>
      <c r="O59" s="4247"/>
      <c r="P59" s="4216"/>
      <c r="Q59" s="4216"/>
      <c r="R59" s="4258"/>
      <c r="S59" s="478"/>
      <c r="T59" s="1994"/>
      <c r="U59" s="1994"/>
      <c r="V59" s="2414"/>
      <c r="W59" s="1603"/>
      <c r="X59" s="165"/>
      <c r="Y59" s="1611"/>
      <c r="Z59" s="1611"/>
      <c r="AA59" s="1611"/>
      <c r="AB59" s="1609"/>
      <c r="AC59" s="165"/>
      <c r="AD59" s="166"/>
      <c r="AE59" s="166"/>
      <c r="AF59" s="4325"/>
    </row>
    <row r="60" spans="1:32" ht="36.75" customHeight="1">
      <c r="A60" s="4360"/>
      <c r="B60" s="4478"/>
      <c r="C60" s="4494" t="s">
        <v>235</v>
      </c>
      <c r="D60" s="4273" t="s">
        <v>236</v>
      </c>
      <c r="E60" s="4273" t="s">
        <v>237</v>
      </c>
      <c r="F60" s="4273" t="s">
        <v>326</v>
      </c>
      <c r="G60" s="4338" t="s">
        <v>239</v>
      </c>
      <c r="H60" s="4273" t="s">
        <v>240</v>
      </c>
      <c r="I60" s="4273" t="s">
        <v>257</v>
      </c>
      <c r="J60" s="4330" t="s">
        <v>3974</v>
      </c>
      <c r="K60" s="4273" t="s">
        <v>338</v>
      </c>
      <c r="L60" s="4273" t="s">
        <v>474</v>
      </c>
      <c r="M60" s="4246">
        <v>0</v>
      </c>
      <c r="N60" s="1706"/>
      <c r="O60" s="4246">
        <v>1</v>
      </c>
      <c r="P60" s="4368" t="s">
        <v>3991</v>
      </c>
      <c r="Q60" s="4368" t="s">
        <v>4010</v>
      </c>
      <c r="R60" s="4322" t="s">
        <v>4026</v>
      </c>
      <c r="S60" s="481"/>
      <c r="T60" s="1759"/>
      <c r="U60" s="1759"/>
      <c r="V60" s="2418"/>
      <c r="W60" s="1602"/>
      <c r="X60" s="414"/>
      <c r="Y60" s="1608"/>
      <c r="Z60" s="1608"/>
      <c r="AA60" s="1608"/>
      <c r="AB60" s="1610"/>
      <c r="AC60" s="414"/>
      <c r="AD60" s="174"/>
      <c r="AE60" s="174"/>
      <c r="AF60" s="4486" t="s">
        <v>3956</v>
      </c>
    </row>
    <row r="61" spans="1:32" ht="36.75" customHeight="1">
      <c r="A61" s="4360"/>
      <c r="B61" s="4478"/>
      <c r="C61" s="4492"/>
      <c r="D61" s="4215"/>
      <c r="E61" s="4215"/>
      <c r="F61" s="4215"/>
      <c r="G61" s="4215"/>
      <c r="H61" s="4215"/>
      <c r="I61" s="4215"/>
      <c r="J61" s="4331"/>
      <c r="K61" s="4215"/>
      <c r="L61" s="4215"/>
      <c r="M61" s="4226"/>
      <c r="N61" s="1707"/>
      <c r="O61" s="4226"/>
      <c r="P61" s="4215"/>
      <c r="Q61" s="4215"/>
      <c r="R61" s="4233"/>
      <c r="S61" s="1979"/>
      <c r="T61" s="1770"/>
      <c r="U61" s="1770"/>
      <c r="V61" s="1599"/>
      <c r="W61" s="1601"/>
      <c r="X61" s="170"/>
      <c r="Y61" s="1606"/>
      <c r="Z61" s="1606"/>
      <c r="AA61" s="1606"/>
      <c r="AB61" s="1607"/>
      <c r="AC61" s="170"/>
      <c r="AD61" s="282"/>
      <c r="AE61" s="282"/>
      <c r="AF61" s="4311"/>
    </row>
    <row r="62" spans="1:32" ht="36.75" customHeight="1">
      <c r="A62" s="4360"/>
      <c r="B62" s="4478"/>
      <c r="C62" s="4492"/>
      <c r="D62" s="4215"/>
      <c r="E62" s="4215"/>
      <c r="F62" s="4215"/>
      <c r="G62" s="4215"/>
      <c r="H62" s="4215"/>
      <c r="I62" s="4215"/>
      <c r="J62" s="4331"/>
      <c r="K62" s="4215"/>
      <c r="L62" s="4215"/>
      <c r="M62" s="4226"/>
      <c r="N62" s="1707">
        <v>1</v>
      </c>
      <c r="O62" s="4226"/>
      <c r="P62" s="4215"/>
      <c r="Q62" s="4215"/>
      <c r="R62" s="4233"/>
      <c r="S62" s="477"/>
      <c r="T62" s="1768"/>
      <c r="U62" s="1768"/>
      <c r="V62" s="1599"/>
      <c r="W62" s="1601"/>
      <c r="X62" s="170"/>
      <c r="Y62" s="1606"/>
      <c r="Z62" s="1606"/>
      <c r="AA62" s="1606"/>
      <c r="AB62" s="1607"/>
      <c r="AC62" s="170"/>
      <c r="AD62" s="282"/>
      <c r="AE62" s="282"/>
      <c r="AF62" s="4311"/>
    </row>
    <row r="63" spans="1:32" ht="36.75" customHeight="1">
      <c r="A63" s="4360"/>
      <c r="B63" s="4478"/>
      <c r="C63" s="4492"/>
      <c r="D63" s="4215"/>
      <c r="E63" s="4215"/>
      <c r="F63" s="4215"/>
      <c r="G63" s="4215"/>
      <c r="H63" s="4215"/>
      <c r="I63" s="4215"/>
      <c r="J63" s="4331"/>
      <c r="K63" s="4215"/>
      <c r="L63" s="4215"/>
      <c r="M63" s="4226"/>
      <c r="N63" s="1707"/>
      <c r="O63" s="4226"/>
      <c r="P63" s="4215"/>
      <c r="Q63" s="4215"/>
      <c r="R63" s="4233"/>
      <c r="S63" s="477"/>
      <c r="T63" s="1768"/>
      <c r="U63" s="1768"/>
      <c r="V63" s="1599"/>
      <c r="W63" s="1601"/>
      <c r="X63" s="170"/>
      <c r="Y63" s="1606"/>
      <c r="Z63" s="1606"/>
      <c r="AA63" s="1606"/>
      <c r="AB63" s="1607"/>
      <c r="AC63" s="170"/>
      <c r="AD63" s="282"/>
      <c r="AE63" s="282"/>
      <c r="AF63" s="4311"/>
    </row>
    <row r="64" spans="1:32" ht="36.75" customHeight="1">
      <c r="A64" s="4360"/>
      <c r="B64" s="4478"/>
      <c r="C64" s="4493"/>
      <c r="D64" s="4216"/>
      <c r="E64" s="4216"/>
      <c r="F64" s="4216"/>
      <c r="G64" s="4216"/>
      <c r="H64" s="4216"/>
      <c r="I64" s="4216"/>
      <c r="J64" s="4512"/>
      <c r="K64" s="4513"/>
      <c r="L64" s="4216"/>
      <c r="M64" s="4247"/>
      <c r="N64" s="1716"/>
      <c r="O64" s="4247"/>
      <c r="P64" s="4216"/>
      <c r="Q64" s="4216"/>
      <c r="R64" s="4258"/>
      <c r="S64" s="478"/>
      <c r="T64" s="1991"/>
      <c r="U64" s="1991"/>
      <c r="V64" s="2416"/>
      <c r="W64" s="1992"/>
      <c r="X64" s="1775"/>
      <c r="Y64" s="1777"/>
      <c r="Z64" s="1611"/>
      <c r="AA64" s="1611"/>
      <c r="AB64" s="1993"/>
      <c r="AC64" s="1775"/>
      <c r="AD64" s="1946"/>
      <c r="AE64" s="1946"/>
      <c r="AF64" s="4325"/>
    </row>
    <row r="65" spans="1:32" ht="30.75" customHeight="1">
      <c r="A65" s="4360"/>
      <c r="B65" s="4478"/>
      <c r="C65" s="4494" t="s">
        <v>235</v>
      </c>
      <c r="D65" s="4273" t="s">
        <v>236</v>
      </c>
      <c r="E65" s="4273" t="s">
        <v>237</v>
      </c>
      <c r="F65" s="4273" t="s">
        <v>326</v>
      </c>
      <c r="G65" s="4338" t="s">
        <v>239</v>
      </c>
      <c r="H65" s="4273" t="s">
        <v>240</v>
      </c>
      <c r="I65" s="4273" t="s">
        <v>294</v>
      </c>
      <c r="J65" s="4510" t="s">
        <v>3975</v>
      </c>
      <c r="K65" s="4511" t="s">
        <v>371</v>
      </c>
      <c r="L65" s="4273" t="s">
        <v>475</v>
      </c>
      <c r="M65" s="4246">
        <v>5</v>
      </c>
      <c r="N65" s="1706"/>
      <c r="O65" s="4246">
        <v>5</v>
      </c>
      <c r="P65" s="4228" t="s">
        <v>3992</v>
      </c>
      <c r="Q65" s="4228" t="s">
        <v>4011</v>
      </c>
      <c r="R65" s="4322" t="s">
        <v>448</v>
      </c>
      <c r="S65" s="481"/>
      <c r="T65" s="1997"/>
      <c r="U65" s="1997"/>
      <c r="V65" s="2417"/>
      <c r="W65" s="1604"/>
      <c r="X65" s="178"/>
      <c r="Y65" s="1612"/>
      <c r="Z65" s="1612"/>
      <c r="AA65" s="1612"/>
      <c r="AB65" s="1613"/>
      <c r="AC65" s="178"/>
      <c r="AD65" s="181"/>
      <c r="AE65" s="181"/>
      <c r="AF65" s="4326"/>
    </row>
    <row r="66" spans="1:32" ht="30.75" customHeight="1">
      <c r="A66" s="4360"/>
      <c r="B66" s="4478"/>
      <c r="C66" s="4492"/>
      <c r="D66" s="4215"/>
      <c r="E66" s="4215"/>
      <c r="F66" s="4215"/>
      <c r="G66" s="4215"/>
      <c r="H66" s="4215"/>
      <c r="I66" s="4215"/>
      <c r="J66" s="4331"/>
      <c r="K66" s="4215"/>
      <c r="L66" s="4215"/>
      <c r="M66" s="4226"/>
      <c r="N66" s="1707"/>
      <c r="O66" s="4226"/>
      <c r="P66" s="4215"/>
      <c r="Q66" s="4215"/>
      <c r="R66" s="4233"/>
      <c r="S66" s="477"/>
      <c r="T66" s="1768"/>
      <c r="U66" s="1768"/>
      <c r="V66" s="1599"/>
      <c r="W66" s="1601"/>
      <c r="X66" s="170"/>
      <c r="Y66" s="1606"/>
      <c r="Z66" s="1606"/>
      <c r="AA66" s="1606"/>
      <c r="AB66" s="1607"/>
      <c r="AC66" s="170"/>
      <c r="AD66" s="282"/>
      <c r="AE66" s="282"/>
      <c r="AF66" s="4311"/>
    </row>
    <row r="67" spans="1:32" ht="30.75" customHeight="1">
      <c r="A67" s="4360"/>
      <c r="B67" s="4478"/>
      <c r="C67" s="4492"/>
      <c r="D67" s="4215"/>
      <c r="E67" s="4215"/>
      <c r="F67" s="4215"/>
      <c r="G67" s="4215"/>
      <c r="H67" s="4215"/>
      <c r="I67" s="4215"/>
      <c r="J67" s="4331"/>
      <c r="K67" s="4215"/>
      <c r="L67" s="4215"/>
      <c r="M67" s="4226"/>
      <c r="N67" s="1707">
        <v>5</v>
      </c>
      <c r="O67" s="4226"/>
      <c r="P67" s="4215"/>
      <c r="Q67" s="4215"/>
      <c r="R67" s="4233"/>
      <c r="S67" s="477"/>
      <c r="T67" s="1768"/>
      <c r="U67" s="1768"/>
      <c r="V67" s="1599"/>
      <c r="W67" s="1601"/>
      <c r="X67" s="170"/>
      <c r="Y67" s="1606"/>
      <c r="Z67" s="1606"/>
      <c r="AA67" s="1606"/>
      <c r="AB67" s="1607"/>
      <c r="AC67" s="170"/>
      <c r="AD67" s="282"/>
      <c r="AE67" s="282"/>
      <c r="AF67" s="4311"/>
    </row>
    <row r="68" spans="1:32" ht="30.75" customHeight="1">
      <c r="A68" s="4360"/>
      <c r="B68" s="4478"/>
      <c r="C68" s="4492"/>
      <c r="D68" s="4215"/>
      <c r="E68" s="4215"/>
      <c r="F68" s="4215"/>
      <c r="G68" s="4215"/>
      <c r="H68" s="4215"/>
      <c r="I68" s="4215"/>
      <c r="J68" s="4331"/>
      <c r="K68" s="4215"/>
      <c r="L68" s="4215"/>
      <c r="M68" s="4226"/>
      <c r="N68" s="1707"/>
      <c r="O68" s="4226"/>
      <c r="P68" s="4215"/>
      <c r="Q68" s="4215"/>
      <c r="R68" s="4233"/>
      <c r="S68" s="477"/>
      <c r="T68" s="1768"/>
      <c r="U68" s="1768"/>
      <c r="V68" s="1599"/>
      <c r="W68" s="1601"/>
      <c r="X68" s="170"/>
      <c r="Y68" s="1606"/>
      <c r="Z68" s="1606"/>
      <c r="AA68" s="1606"/>
      <c r="AB68" s="1607"/>
      <c r="AC68" s="170"/>
      <c r="AD68" s="282"/>
      <c r="AE68" s="282"/>
      <c r="AF68" s="4311"/>
    </row>
    <row r="69" spans="1:32" ht="30.75" customHeight="1">
      <c r="A69" s="4360"/>
      <c r="B69" s="4478"/>
      <c r="C69" s="4493"/>
      <c r="D69" s="4216"/>
      <c r="E69" s="4216"/>
      <c r="F69" s="4216"/>
      <c r="G69" s="4216"/>
      <c r="H69" s="4216"/>
      <c r="I69" s="4216"/>
      <c r="J69" s="4332"/>
      <c r="K69" s="4216"/>
      <c r="L69" s="4216"/>
      <c r="M69" s="4247"/>
      <c r="N69" s="1716"/>
      <c r="O69" s="4247"/>
      <c r="P69" s="4216"/>
      <c r="Q69" s="4216"/>
      <c r="R69" s="4258"/>
      <c r="S69" s="478"/>
      <c r="T69" s="1994"/>
      <c r="U69" s="1994"/>
      <c r="V69" s="2414"/>
      <c r="W69" s="1603"/>
      <c r="X69" s="165"/>
      <c r="Y69" s="1611"/>
      <c r="Z69" s="1611"/>
      <c r="AA69" s="1611"/>
      <c r="AB69" s="1609"/>
      <c r="AC69" s="165"/>
      <c r="AD69" s="166"/>
      <c r="AE69" s="166"/>
      <c r="AF69" s="4325"/>
    </row>
    <row r="70" spans="1:32" ht="22.5" customHeight="1" thickBot="1">
      <c r="A70" s="4360"/>
      <c r="B70" s="4479"/>
      <c r="C70" s="1980"/>
      <c r="D70" s="1980"/>
      <c r="E70" s="1980"/>
      <c r="F70" s="1980"/>
      <c r="G70" s="1980"/>
      <c r="H70" s="1980"/>
      <c r="I70" s="1980"/>
      <c r="J70" s="1980"/>
      <c r="K70" s="1980"/>
      <c r="L70" s="1980"/>
      <c r="M70" s="1981"/>
      <c r="N70" s="1981"/>
      <c r="O70" s="1981"/>
      <c r="P70" s="1980"/>
      <c r="Q70" s="1980"/>
      <c r="R70" s="1980"/>
      <c r="S70" s="4499" t="s">
        <v>476</v>
      </c>
      <c r="T70" s="4500"/>
      <c r="U70" s="4500"/>
      <c r="V70" s="4500"/>
      <c r="W70" s="4500"/>
      <c r="X70" s="4500"/>
      <c r="Y70" s="4500"/>
      <c r="Z70" s="4500"/>
      <c r="AA70" s="2399" t="s">
        <v>340</v>
      </c>
      <c r="AB70" s="2173">
        <f>SUM(AB9:AB69)</f>
        <v>690065.43319999997</v>
      </c>
      <c r="AC70" s="4501"/>
      <c r="AD70" s="4443"/>
      <c r="AE70" s="4443"/>
      <c r="AF70" s="4444"/>
    </row>
    <row r="71" spans="1:32" ht="30.75" customHeight="1">
      <c r="A71" s="4360"/>
      <c r="B71" s="4469" t="s">
        <v>477</v>
      </c>
      <c r="C71" s="4491" t="s">
        <v>235</v>
      </c>
      <c r="D71" s="4328" t="s">
        <v>236</v>
      </c>
      <c r="E71" s="4328" t="s">
        <v>244</v>
      </c>
      <c r="F71" s="4328" t="s">
        <v>430</v>
      </c>
      <c r="G71" s="4329" t="s">
        <v>239</v>
      </c>
      <c r="H71" s="4328" t="s">
        <v>240</v>
      </c>
      <c r="I71" s="4328" t="s">
        <v>257</v>
      </c>
      <c r="J71" s="4445" t="s">
        <v>3976</v>
      </c>
      <c r="K71" s="4482" t="s">
        <v>478</v>
      </c>
      <c r="L71" s="4328" t="s">
        <v>479</v>
      </c>
      <c r="M71" s="4249">
        <v>0</v>
      </c>
      <c r="N71" s="1707"/>
      <c r="O71" s="4249">
        <v>0</v>
      </c>
      <c r="P71" s="4345" t="s">
        <v>3993</v>
      </c>
      <c r="Q71" s="4345" t="s">
        <v>4012</v>
      </c>
      <c r="R71" s="4346" t="s">
        <v>4027</v>
      </c>
      <c r="S71" s="1937"/>
      <c r="T71" s="1938"/>
      <c r="U71" s="1938"/>
      <c r="V71" s="176"/>
      <c r="W71" s="414"/>
      <c r="X71" s="414"/>
      <c r="Y71" s="480"/>
      <c r="Z71" s="480"/>
      <c r="AA71" s="480"/>
      <c r="AB71" s="167"/>
      <c r="AC71" s="414"/>
      <c r="AD71" s="174"/>
      <c r="AE71" s="174"/>
      <c r="AF71" s="4495"/>
    </row>
    <row r="72" spans="1:32" ht="30.75" customHeight="1">
      <c r="A72" s="4360"/>
      <c r="B72" s="4478"/>
      <c r="C72" s="4492"/>
      <c r="D72" s="4215"/>
      <c r="E72" s="4215"/>
      <c r="F72" s="4215"/>
      <c r="G72" s="4215"/>
      <c r="H72" s="4215"/>
      <c r="I72" s="4215"/>
      <c r="J72" s="4446"/>
      <c r="K72" s="4215"/>
      <c r="L72" s="4215"/>
      <c r="M72" s="4226"/>
      <c r="N72" s="1707"/>
      <c r="O72" s="4226"/>
      <c r="P72" s="4215"/>
      <c r="Q72" s="4215"/>
      <c r="R72" s="4233"/>
      <c r="S72" s="157"/>
      <c r="T72" s="1934"/>
      <c r="U72" s="1934"/>
      <c r="V72" s="169"/>
      <c r="W72" s="170"/>
      <c r="X72" s="170"/>
      <c r="Y72" s="158"/>
      <c r="Z72" s="158"/>
      <c r="AA72" s="158"/>
      <c r="AB72" s="159"/>
      <c r="AC72" s="170"/>
      <c r="AD72" s="282"/>
      <c r="AE72" s="282"/>
      <c r="AF72" s="4496"/>
    </row>
    <row r="73" spans="1:32" ht="30.75" customHeight="1">
      <c r="A73" s="4360"/>
      <c r="B73" s="4478"/>
      <c r="C73" s="4492"/>
      <c r="D73" s="4215"/>
      <c r="E73" s="4215"/>
      <c r="F73" s="4215"/>
      <c r="G73" s="4215"/>
      <c r="H73" s="4215"/>
      <c r="I73" s="4215"/>
      <c r="J73" s="4446"/>
      <c r="K73" s="4215"/>
      <c r="L73" s="4215"/>
      <c r="M73" s="4226"/>
      <c r="N73" s="1707">
        <v>2</v>
      </c>
      <c r="O73" s="4226"/>
      <c r="P73" s="4215"/>
      <c r="Q73" s="4215"/>
      <c r="R73" s="4233"/>
      <c r="S73" s="1935"/>
      <c r="T73" s="1936"/>
      <c r="U73" s="1936"/>
      <c r="V73" s="1217"/>
      <c r="W73" s="414"/>
      <c r="X73" s="414"/>
      <c r="Y73" s="480"/>
      <c r="Z73" s="158"/>
      <c r="AA73" s="158"/>
      <c r="AB73" s="159"/>
      <c r="AC73" s="170"/>
      <c r="AD73" s="282"/>
      <c r="AE73" s="282"/>
      <c r="AF73" s="4496"/>
    </row>
    <row r="74" spans="1:32" ht="30.75" customHeight="1">
      <c r="A74" s="4360"/>
      <c r="B74" s="4478"/>
      <c r="C74" s="4492"/>
      <c r="D74" s="4215"/>
      <c r="E74" s="4215"/>
      <c r="F74" s="4215"/>
      <c r="G74" s="4215"/>
      <c r="H74" s="4215"/>
      <c r="I74" s="4215"/>
      <c r="J74" s="4446"/>
      <c r="K74" s="4215"/>
      <c r="L74" s="4215"/>
      <c r="M74" s="4226"/>
      <c r="N74" s="1707"/>
      <c r="O74" s="4226"/>
      <c r="P74" s="4215"/>
      <c r="Q74" s="4215"/>
      <c r="R74" s="4233"/>
      <c r="S74" s="1937"/>
      <c r="T74" s="1938"/>
      <c r="U74" s="1938"/>
      <c r="V74" s="1217"/>
      <c r="W74" s="414"/>
      <c r="X74" s="414"/>
      <c r="Y74" s="480"/>
      <c r="Z74" s="158"/>
      <c r="AA74" s="158"/>
      <c r="AB74" s="159"/>
      <c r="AC74" s="170"/>
      <c r="AD74" s="282"/>
      <c r="AE74" s="282"/>
      <c r="AF74" s="4496"/>
    </row>
    <row r="75" spans="1:32" ht="30.75" customHeight="1">
      <c r="A75" s="4360"/>
      <c r="B75" s="4478"/>
      <c r="C75" s="4493"/>
      <c r="D75" s="4216"/>
      <c r="E75" s="4216"/>
      <c r="F75" s="4216"/>
      <c r="G75" s="4216"/>
      <c r="H75" s="4216"/>
      <c r="I75" s="4216"/>
      <c r="J75" s="4341"/>
      <c r="K75" s="4216"/>
      <c r="L75" s="4216"/>
      <c r="M75" s="4247"/>
      <c r="N75" s="1716"/>
      <c r="O75" s="4247"/>
      <c r="P75" s="4216"/>
      <c r="Q75" s="4216"/>
      <c r="R75" s="4258"/>
      <c r="S75" s="172"/>
      <c r="T75" s="1939"/>
      <c r="U75" s="1939"/>
      <c r="V75" s="411"/>
      <c r="W75" s="165"/>
      <c r="X75" s="165"/>
      <c r="Y75" s="173"/>
      <c r="Z75" s="173"/>
      <c r="AA75" s="173"/>
      <c r="AB75" s="164"/>
      <c r="AC75" s="165"/>
      <c r="AD75" s="166"/>
      <c r="AE75" s="166"/>
      <c r="AF75" s="4497"/>
    </row>
    <row r="76" spans="1:32" ht="51" customHeight="1">
      <c r="A76" s="4360"/>
      <c r="B76" s="4478"/>
      <c r="C76" s="4491" t="s">
        <v>235</v>
      </c>
      <c r="D76" s="4328" t="s">
        <v>236</v>
      </c>
      <c r="E76" s="4328" t="s">
        <v>237</v>
      </c>
      <c r="F76" s="4328" t="s">
        <v>326</v>
      </c>
      <c r="G76" s="4329" t="s">
        <v>239</v>
      </c>
      <c r="H76" s="4328" t="s">
        <v>240</v>
      </c>
      <c r="I76" s="4328" t="s">
        <v>257</v>
      </c>
      <c r="J76" s="4445" t="s">
        <v>3977</v>
      </c>
      <c r="K76" s="4482" t="s">
        <v>480</v>
      </c>
      <c r="L76" s="4328" t="s">
        <v>481</v>
      </c>
      <c r="M76" s="4249">
        <v>0</v>
      </c>
      <c r="N76" s="1757"/>
      <c r="O76" s="4249">
        <v>0</v>
      </c>
      <c r="P76" s="4345" t="s">
        <v>3994</v>
      </c>
      <c r="Q76" s="4447" t="s">
        <v>4013</v>
      </c>
      <c r="R76" s="4485" t="s">
        <v>4028</v>
      </c>
      <c r="S76" s="1937"/>
      <c r="T76" s="1938"/>
      <c r="U76" s="1938"/>
      <c r="V76" s="176"/>
      <c r="W76" s="414"/>
      <c r="X76" s="414"/>
      <c r="Y76" s="480"/>
      <c r="Z76" s="480"/>
      <c r="AA76" s="480"/>
      <c r="AB76" s="167"/>
      <c r="AC76" s="414"/>
      <c r="AD76" s="168"/>
      <c r="AE76" s="168"/>
      <c r="AF76" s="4495"/>
    </row>
    <row r="77" spans="1:32" ht="51" customHeight="1">
      <c r="A77" s="4360"/>
      <c r="B77" s="4478"/>
      <c r="C77" s="4492"/>
      <c r="D77" s="4215"/>
      <c r="E77" s="4215"/>
      <c r="F77" s="4215"/>
      <c r="G77" s="4215"/>
      <c r="H77" s="4215"/>
      <c r="I77" s="4215"/>
      <c r="J77" s="4446"/>
      <c r="K77" s="4215"/>
      <c r="L77" s="4215"/>
      <c r="M77" s="4226"/>
      <c r="N77" s="1757"/>
      <c r="O77" s="4226"/>
      <c r="P77" s="4215"/>
      <c r="Q77" s="4215"/>
      <c r="R77" s="4233"/>
      <c r="S77" s="157"/>
      <c r="T77" s="1934"/>
      <c r="U77" s="1934"/>
      <c r="V77" s="169"/>
      <c r="W77" s="170"/>
      <c r="X77" s="170"/>
      <c r="Y77" s="158"/>
      <c r="Z77" s="158"/>
      <c r="AA77" s="158"/>
      <c r="AB77" s="159"/>
      <c r="AC77" s="170"/>
      <c r="AD77" s="170"/>
      <c r="AE77" s="171"/>
      <c r="AF77" s="4496"/>
    </row>
    <row r="78" spans="1:32" ht="51" customHeight="1">
      <c r="A78" s="4360"/>
      <c r="B78" s="4478"/>
      <c r="C78" s="4492"/>
      <c r="D78" s="4215"/>
      <c r="E78" s="4215"/>
      <c r="F78" s="4215"/>
      <c r="G78" s="4215"/>
      <c r="H78" s="4215"/>
      <c r="I78" s="4215"/>
      <c r="J78" s="4446"/>
      <c r="K78" s="4215"/>
      <c r="L78" s="4215"/>
      <c r="M78" s="4226"/>
      <c r="N78" s="1757">
        <v>25</v>
      </c>
      <c r="O78" s="4226"/>
      <c r="P78" s="4215"/>
      <c r="Q78" s="4215"/>
      <c r="R78" s="4233"/>
      <c r="S78" s="157"/>
      <c r="T78" s="1934"/>
      <c r="U78" s="1934"/>
      <c r="V78" s="169"/>
      <c r="W78" s="170"/>
      <c r="X78" s="170"/>
      <c r="Y78" s="158"/>
      <c r="Z78" s="158"/>
      <c r="AA78" s="158"/>
      <c r="AB78" s="159"/>
      <c r="AC78" s="170"/>
      <c r="AD78" s="170"/>
      <c r="AE78" s="282"/>
      <c r="AF78" s="4496"/>
    </row>
    <row r="79" spans="1:32" ht="51" customHeight="1">
      <c r="A79" s="4360"/>
      <c r="B79" s="4478"/>
      <c r="C79" s="4492"/>
      <c r="D79" s="4215"/>
      <c r="E79" s="4215"/>
      <c r="F79" s="4215"/>
      <c r="G79" s="4215"/>
      <c r="H79" s="4215"/>
      <c r="I79" s="4215"/>
      <c r="J79" s="4446"/>
      <c r="K79" s="4215"/>
      <c r="L79" s="4215"/>
      <c r="M79" s="4226"/>
      <c r="N79" s="1757"/>
      <c r="O79" s="4226"/>
      <c r="P79" s="4215"/>
      <c r="Q79" s="4215"/>
      <c r="R79" s="4233"/>
      <c r="S79" s="157"/>
      <c r="T79" s="1934"/>
      <c r="U79" s="1934"/>
      <c r="V79" s="169"/>
      <c r="W79" s="170"/>
      <c r="X79" s="170"/>
      <c r="Y79" s="158"/>
      <c r="Z79" s="158"/>
      <c r="AA79" s="158"/>
      <c r="AB79" s="159"/>
      <c r="AC79" s="170"/>
      <c r="AD79" s="170"/>
      <c r="AE79" s="282"/>
      <c r="AF79" s="4496"/>
    </row>
    <row r="80" spans="1:32" ht="51" customHeight="1">
      <c r="A80" s="4360"/>
      <c r="B80" s="4478"/>
      <c r="C80" s="4493"/>
      <c r="D80" s="4216"/>
      <c r="E80" s="4216"/>
      <c r="F80" s="4216"/>
      <c r="G80" s="4216"/>
      <c r="H80" s="4216"/>
      <c r="I80" s="4216"/>
      <c r="J80" s="4341"/>
      <c r="K80" s="4216"/>
      <c r="L80" s="4216"/>
      <c r="M80" s="4247"/>
      <c r="N80" s="1698"/>
      <c r="O80" s="4247"/>
      <c r="P80" s="4216"/>
      <c r="Q80" s="4216"/>
      <c r="R80" s="4258"/>
      <c r="S80" s="172"/>
      <c r="T80" s="1939"/>
      <c r="U80" s="1939"/>
      <c r="V80" s="411"/>
      <c r="W80" s="165"/>
      <c r="X80" s="165"/>
      <c r="Y80" s="173"/>
      <c r="Z80" s="173"/>
      <c r="AA80" s="173"/>
      <c r="AB80" s="164"/>
      <c r="AC80" s="165"/>
      <c r="AD80" s="165"/>
      <c r="AE80" s="166"/>
      <c r="AF80" s="4497"/>
    </row>
    <row r="81" spans="1:32" ht="45" customHeight="1">
      <c r="A81" s="4360"/>
      <c r="B81" s="4478"/>
      <c r="C81" s="4494" t="s">
        <v>235</v>
      </c>
      <c r="D81" s="4273" t="s">
        <v>236</v>
      </c>
      <c r="E81" s="4273" t="s">
        <v>244</v>
      </c>
      <c r="F81" s="4273" t="s">
        <v>430</v>
      </c>
      <c r="G81" s="4338" t="s">
        <v>239</v>
      </c>
      <c r="H81" s="4273" t="s">
        <v>240</v>
      </c>
      <c r="I81" s="4273" t="s">
        <v>257</v>
      </c>
      <c r="J81" s="4473" t="s">
        <v>3978</v>
      </c>
      <c r="K81" s="4482" t="s">
        <v>482</v>
      </c>
      <c r="L81" s="4273" t="s">
        <v>483</v>
      </c>
      <c r="M81" s="4336">
        <v>2</v>
      </c>
      <c r="N81" s="1699"/>
      <c r="O81" s="4246">
        <v>0</v>
      </c>
      <c r="P81" s="4228" t="s">
        <v>3995</v>
      </c>
      <c r="Q81" s="4228" t="s">
        <v>4014</v>
      </c>
      <c r="R81" s="4322" t="s">
        <v>4028</v>
      </c>
      <c r="S81" s="281"/>
      <c r="T81" s="1938"/>
      <c r="U81" s="1938"/>
      <c r="V81" s="1943"/>
      <c r="W81" s="414"/>
      <c r="X81" s="414"/>
      <c r="Y81" s="480"/>
      <c r="Z81" s="480"/>
      <c r="AA81" s="480"/>
      <c r="AB81" s="167"/>
      <c r="AC81" s="414"/>
      <c r="AD81" s="174"/>
      <c r="AE81" s="174"/>
      <c r="AF81" s="4498"/>
    </row>
    <row r="82" spans="1:32" ht="45" customHeight="1">
      <c r="A82" s="4360"/>
      <c r="B82" s="4478"/>
      <c r="C82" s="4492"/>
      <c r="D82" s="4215"/>
      <c r="E82" s="4215"/>
      <c r="F82" s="4215"/>
      <c r="G82" s="4215"/>
      <c r="H82" s="4215"/>
      <c r="I82" s="4215"/>
      <c r="J82" s="4331"/>
      <c r="K82" s="4215"/>
      <c r="L82" s="4215"/>
      <c r="M82" s="4226"/>
      <c r="N82" s="1757"/>
      <c r="O82" s="4226"/>
      <c r="P82" s="4215"/>
      <c r="Q82" s="4215"/>
      <c r="R82" s="4233"/>
      <c r="S82" s="1935"/>
      <c r="T82" s="1936"/>
      <c r="U82" s="1936"/>
      <c r="V82" s="169"/>
      <c r="W82" s="170"/>
      <c r="X82" s="170"/>
      <c r="Y82" s="158"/>
      <c r="Z82" s="158"/>
      <c r="AA82" s="158"/>
      <c r="AB82" s="159"/>
      <c r="AC82" s="170"/>
      <c r="AD82" s="282"/>
      <c r="AE82" s="282"/>
      <c r="AF82" s="4496"/>
    </row>
    <row r="83" spans="1:32" ht="45" customHeight="1">
      <c r="A83" s="4360"/>
      <c r="B83" s="4478"/>
      <c r="C83" s="4492"/>
      <c r="D83" s="4215"/>
      <c r="E83" s="4215"/>
      <c r="F83" s="4215"/>
      <c r="G83" s="4215"/>
      <c r="H83" s="4215"/>
      <c r="I83" s="4215"/>
      <c r="J83" s="4331"/>
      <c r="K83" s="4215"/>
      <c r="L83" s="4215"/>
      <c r="M83" s="4226"/>
      <c r="N83" s="1757">
        <v>0</v>
      </c>
      <c r="O83" s="4226"/>
      <c r="P83" s="4215"/>
      <c r="Q83" s="4215"/>
      <c r="R83" s="4233"/>
      <c r="S83" s="157"/>
      <c r="T83" s="1934"/>
      <c r="U83" s="1934"/>
      <c r="V83" s="169"/>
      <c r="W83" s="170"/>
      <c r="X83" s="170"/>
      <c r="Y83" s="158"/>
      <c r="Z83" s="158"/>
      <c r="AA83" s="158"/>
      <c r="AB83" s="159"/>
      <c r="AC83" s="170"/>
      <c r="AD83" s="282"/>
      <c r="AE83" s="282"/>
      <c r="AF83" s="4496"/>
    </row>
    <row r="84" spans="1:32" ht="45" customHeight="1">
      <c r="A84" s="4360"/>
      <c r="B84" s="4478"/>
      <c r="C84" s="4492"/>
      <c r="D84" s="4215"/>
      <c r="E84" s="4215"/>
      <c r="F84" s="4215"/>
      <c r="G84" s="4215"/>
      <c r="H84" s="4215"/>
      <c r="I84" s="4215"/>
      <c r="J84" s="4331"/>
      <c r="K84" s="4215"/>
      <c r="L84" s="4215"/>
      <c r="M84" s="4226"/>
      <c r="N84" s="1757"/>
      <c r="O84" s="4226"/>
      <c r="P84" s="4215"/>
      <c r="Q84" s="4215"/>
      <c r="R84" s="4233"/>
      <c r="S84" s="157"/>
      <c r="T84" s="1934"/>
      <c r="U84" s="1934"/>
      <c r="V84" s="169"/>
      <c r="W84" s="170"/>
      <c r="X84" s="170"/>
      <c r="Y84" s="158"/>
      <c r="Z84" s="158"/>
      <c r="AA84" s="158"/>
      <c r="AB84" s="159"/>
      <c r="AC84" s="170"/>
      <c r="AD84" s="282"/>
      <c r="AE84" s="282"/>
      <c r="AF84" s="4496"/>
    </row>
    <row r="85" spans="1:32" ht="45" customHeight="1">
      <c r="A85" s="4360"/>
      <c r="B85" s="4478"/>
      <c r="C85" s="4493"/>
      <c r="D85" s="4216"/>
      <c r="E85" s="4216"/>
      <c r="F85" s="4216"/>
      <c r="G85" s="4216"/>
      <c r="H85" s="4216"/>
      <c r="I85" s="4216"/>
      <c r="J85" s="4332"/>
      <c r="K85" s="4216"/>
      <c r="L85" s="4216"/>
      <c r="M85" s="4247"/>
      <c r="N85" s="1698"/>
      <c r="O85" s="4247"/>
      <c r="P85" s="4216"/>
      <c r="Q85" s="4216"/>
      <c r="R85" s="4258"/>
      <c r="S85" s="172"/>
      <c r="T85" s="1939"/>
      <c r="U85" s="175"/>
      <c r="V85" s="1948"/>
      <c r="W85" s="1775"/>
      <c r="X85" s="1775"/>
      <c r="Y85" s="1944"/>
      <c r="Z85" s="173"/>
      <c r="AA85" s="173"/>
      <c r="AB85" s="1945"/>
      <c r="AC85" s="1775"/>
      <c r="AD85" s="1946"/>
      <c r="AE85" s="1946"/>
      <c r="AF85" s="4497"/>
    </row>
    <row r="86" spans="1:32" ht="37.5" customHeight="1">
      <c r="A86" s="4360"/>
      <c r="B86" s="4478"/>
      <c r="C86" s="4494" t="s">
        <v>235</v>
      </c>
      <c r="D86" s="4273" t="s">
        <v>236</v>
      </c>
      <c r="E86" s="4273" t="s">
        <v>244</v>
      </c>
      <c r="F86" s="4273" t="s">
        <v>430</v>
      </c>
      <c r="G86" s="4338" t="s">
        <v>239</v>
      </c>
      <c r="H86" s="4273" t="s">
        <v>240</v>
      </c>
      <c r="I86" s="4273" t="s">
        <v>257</v>
      </c>
      <c r="J86" s="4473" t="s">
        <v>3979</v>
      </c>
      <c r="K86" s="4482" t="s">
        <v>484</v>
      </c>
      <c r="L86" s="4273" t="s">
        <v>485</v>
      </c>
      <c r="M86" s="4246">
        <v>1</v>
      </c>
      <c r="N86" s="1706"/>
      <c r="O86" s="4246">
        <v>2</v>
      </c>
      <c r="P86" s="4228" t="s">
        <v>3996</v>
      </c>
      <c r="Q86" s="4228" t="s">
        <v>4015</v>
      </c>
      <c r="R86" s="4322" t="s">
        <v>4029</v>
      </c>
      <c r="S86" s="1937"/>
      <c r="T86" s="1938"/>
      <c r="U86" s="1938"/>
      <c r="V86" s="283"/>
      <c r="W86" s="178"/>
      <c r="X86" s="178"/>
      <c r="Y86" s="179"/>
      <c r="Z86" s="480"/>
      <c r="AA86" s="480"/>
      <c r="AB86" s="180"/>
      <c r="AC86" s="178"/>
      <c r="AD86" s="181"/>
      <c r="AE86" s="181"/>
      <c r="AF86" s="4498"/>
    </row>
    <row r="87" spans="1:32" ht="37.5" customHeight="1">
      <c r="A87" s="4360"/>
      <c r="B87" s="4478"/>
      <c r="C87" s="4492"/>
      <c r="D87" s="4215"/>
      <c r="E87" s="4215"/>
      <c r="F87" s="4215"/>
      <c r="G87" s="4215"/>
      <c r="H87" s="4215"/>
      <c r="I87" s="4215"/>
      <c r="J87" s="4331"/>
      <c r="K87" s="4215"/>
      <c r="L87" s="4215"/>
      <c r="M87" s="4226"/>
      <c r="N87" s="1707"/>
      <c r="O87" s="4226"/>
      <c r="P87" s="4215"/>
      <c r="Q87" s="4215"/>
      <c r="R87" s="4233"/>
      <c r="S87" s="157"/>
      <c r="T87" s="1934"/>
      <c r="U87" s="1934"/>
      <c r="V87" s="169"/>
      <c r="W87" s="170"/>
      <c r="X87" s="170"/>
      <c r="Y87" s="158"/>
      <c r="Z87" s="158"/>
      <c r="AA87" s="158"/>
      <c r="AB87" s="159"/>
      <c r="AC87" s="170"/>
      <c r="AD87" s="282"/>
      <c r="AE87" s="282"/>
      <c r="AF87" s="4496"/>
    </row>
    <row r="88" spans="1:32" ht="37.5" customHeight="1">
      <c r="A88" s="4360"/>
      <c r="B88" s="4478"/>
      <c r="C88" s="4492"/>
      <c r="D88" s="4215"/>
      <c r="E88" s="4215"/>
      <c r="F88" s="4215"/>
      <c r="G88" s="4215"/>
      <c r="H88" s="4215"/>
      <c r="I88" s="4215"/>
      <c r="J88" s="4331"/>
      <c r="K88" s="4215"/>
      <c r="L88" s="4215"/>
      <c r="M88" s="4226"/>
      <c r="N88" s="1707">
        <v>1</v>
      </c>
      <c r="O88" s="4226"/>
      <c r="P88" s="4215"/>
      <c r="Q88" s="4215"/>
      <c r="R88" s="4233"/>
      <c r="S88" s="157"/>
      <c r="T88" s="1934"/>
      <c r="U88" s="1934"/>
      <c r="V88" s="169"/>
      <c r="W88" s="170"/>
      <c r="X88" s="170"/>
      <c r="Y88" s="158"/>
      <c r="Z88" s="158"/>
      <c r="AA88" s="158"/>
      <c r="AB88" s="159"/>
      <c r="AC88" s="170"/>
      <c r="AD88" s="282"/>
      <c r="AE88" s="282"/>
      <c r="AF88" s="4496"/>
    </row>
    <row r="89" spans="1:32" ht="37.5" customHeight="1">
      <c r="A89" s="4360"/>
      <c r="B89" s="4478"/>
      <c r="C89" s="4492"/>
      <c r="D89" s="4215"/>
      <c r="E89" s="4215"/>
      <c r="F89" s="4215"/>
      <c r="G89" s="4215"/>
      <c r="H89" s="4215"/>
      <c r="I89" s="4215"/>
      <c r="J89" s="4331"/>
      <c r="K89" s="4215"/>
      <c r="L89" s="4215"/>
      <c r="M89" s="4226"/>
      <c r="N89" s="1707"/>
      <c r="O89" s="4226"/>
      <c r="P89" s="4215"/>
      <c r="Q89" s="4215"/>
      <c r="R89" s="4233"/>
      <c r="S89" s="157"/>
      <c r="T89" s="1934"/>
      <c r="U89" s="1934"/>
      <c r="V89" s="169"/>
      <c r="W89" s="170"/>
      <c r="X89" s="170"/>
      <c r="Y89" s="158"/>
      <c r="Z89" s="158"/>
      <c r="AA89" s="158"/>
      <c r="AB89" s="159"/>
      <c r="AC89" s="170"/>
      <c r="AD89" s="282"/>
      <c r="AE89" s="282"/>
      <c r="AF89" s="4496"/>
    </row>
    <row r="90" spans="1:32" ht="37.5" customHeight="1">
      <c r="A90" s="4360"/>
      <c r="B90" s="4478"/>
      <c r="C90" s="4493"/>
      <c r="D90" s="4216"/>
      <c r="E90" s="4216"/>
      <c r="F90" s="4216"/>
      <c r="G90" s="4216"/>
      <c r="H90" s="4216"/>
      <c r="I90" s="4216"/>
      <c r="J90" s="4332"/>
      <c r="K90" s="4216"/>
      <c r="L90" s="4216"/>
      <c r="M90" s="4247"/>
      <c r="N90" s="1716"/>
      <c r="O90" s="4247"/>
      <c r="P90" s="4216"/>
      <c r="Q90" s="4216"/>
      <c r="R90" s="4258"/>
      <c r="S90" s="172"/>
      <c r="T90" s="1939"/>
      <c r="U90" s="1939"/>
      <c r="V90" s="411"/>
      <c r="W90" s="165"/>
      <c r="X90" s="165"/>
      <c r="Y90" s="173"/>
      <c r="Z90" s="173"/>
      <c r="AA90" s="173"/>
      <c r="AB90" s="164"/>
      <c r="AC90" s="165"/>
      <c r="AD90" s="166"/>
      <c r="AE90" s="166"/>
      <c r="AF90" s="4497"/>
    </row>
    <row r="91" spans="1:32" ht="44.25" customHeight="1">
      <c r="A91" s="4360"/>
      <c r="B91" s="4478"/>
      <c r="C91" s="4494" t="s">
        <v>235</v>
      </c>
      <c r="D91" s="4273" t="s">
        <v>236</v>
      </c>
      <c r="E91" s="4273" t="s">
        <v>244</v>
      </c>
      <c r="F91" s="4273" t="s">
        <v>430</v>
      </c>
      <c r="G91" s="4338" t="s">
        <v>239</v>
      </c>
      <c r="H91" s="4273" t="s">
        <v>240</v>
      </c>
      <c r="I91" s="4273" t="s">
        <v>257</v>
      </c>
      <c r="J91" s="4473" t="s">
        <v>3980</v>
      </c>
      <c r="K91" s="4482" t="s">
        <v>486</v>
      </c>
      <c r="L91" s="4273" t="s">
        <v>487</v>
      </c>
      <c r="M91" s="4246">
        <v>1</v>
      </c>
      <c r="N91" s="1706"/>
      <c r="O91" s="4246">
        <v>1</v>
      </c>
      <c r="P91" s="4228" t="s">
        <v>3997</v>
      </c>
      <c r="Q91" s="4228" t="s">
        <v>4016</v>
      </c>
      <c r="R91" s="4322" t="s">
        <v>4028</v>
      </c>
      <c r="S91" s="1937"/>
      <c r="T91" s="1938"/>
      <c r="U91" s="1938"/>
      <c r="V91" s="283"/>
      <c r="W91" s="178"/>
      <c r="X91" s="178"/>
      <c r="Y91" s="179"/>
      <c r="Z91" s="480"/>
      <c r="AA91" s="480"/>
      <c r="AB91" s="180"/>
      <c r="AC91" s="178"/>
      <c r="AD91" s="181"/>
      <c r="AE91" s="181"/>
      <c r="AF91" s="4498"/>
    </row>
    <row r="92" spans="1:32" ht="44.25" customHeight="1">
      <c r="A92" s="4360"/>
      <c r="B92" s="4478"/>
      <c r="C92" s="4492"/>
      <c r="D92" s="4215"/>
      <c r="E92" s="4215"/>
      <c r="F92" s="4215"/>
      <c r="G92" s="4215"/>
      <c r="H92" s="4215"/>
      <c r="I92" s="4215"/>
      <c r="J92" s="4331"/>
      <c r="K92" s="4215"/>
      <c r="L92" s="4215"/>
      <c r="M92" s="4226"/>
      <c r="N92" s="1707"/>
      <c r="O92" s="4226"/>
      <c r="P92" s="4215"/>
      <c r="Q92" s="4215"/>
      <c r="R92" s="4233"/>
      <c r="S92" s="157"/>
      <c r="T92" s="1934"/>
      <c r="U92" s="1934"/>
      <c r="V92" s="169"/>
      <c r="W92" s="170"/>
      <c r="X92" s="170"/>
      <c r="Y92" s="158"/>
      <c r="Z92" s="158"/>
      <c r="AA92" s="158"/>
      <c r="AB92" s="159"/>
      <c r="AC92" s="170"/>
      <c r="AD92" s="282"/>
      <c r="AE92" s="282"/>
      <c r="AF92" s="4496"/>
    </row>
    <row r="93" spans="1:32" ht="44.25" customHeight="1">
      <c r="A93" s="4360"/>
      <c r="B93" s="4478"/>
      <c r="C93" s="4492"/>
      <c r="D93" s="4215"/>
      <c r="E93" s="4215"/>
      <c r="F93" s="4215"/>
      <c r="G93" s="4215"/>
      <c r="H93" s="4215"/>
      <c r="I93" s="4215"/>
      <c r="J93" s="4331"/>
      <c r="K93" s="4215"/>
      <c r="L93" s="4215"/>
      <c r="M93" s="4226"/>
      <c r="N93" s="1707">
        <v>0</v>
      </c>
      <c r="O93" s="4226"/>
      <c r="P93" s="4215"/>
      <c r="Q93" s="4215"/>
      <c r="R93" s="4233"/>
      <c r="S93" s="157"/>
      <c r="T93" s="1934"/>
      <c r="U93" s="1934"/>
      <c r="V93" s="169"/>
      <c r="W93" s="170"/>
      <c r="X93" s="170"/>
      <c r="Y93" s="158"/>
      <c r="Z93" s="158"/>
      <c r="AA93" s="158"/>
      <c r="AB93" s="159"/>
      <c r="AC93" s="170"/>
      <c r="AD93" s="282"/>
      <c r="AE93" s="282"/>
      <c r="AF93" s="4496"/>
    </row>
    <row r="94" spans="1:32" ht="44.25" customHeight="1">
      <c r="A94" s="4360"/>
      <c r="B94" s="4478"/>
      <c r="C94" s="4492"/>
      <c r="D94" s="4215"/>
      <c r="E94" s="4215"/>
      <c r="F94" s="4215"/>
      <c r="G94" s="4215"/>
      <c r="H94" s="4215"/>
      <c r="I94" s="4215"/>
      <c r="J94" s="4331"/>
      <c r="K94" s="4215"/>
      <c r="L94" s="4215"/>
      <c r="M94" s="4226"/>
      <c r="N94" s="1707"/>
      <c r="O94" s="4226"/>
      <c r="P94" s="4215"/>
      <c r="Q94" s="4215"/>
      <c r="R94" s="4233"/>
      <c r="S94" s="157"/>
      <c r="T94" s="1934"/>
      <c r="U94" s="1934"/>
      <c r="V94" s="169"/>
      <c r="W94" s="170"/>
      <c r="X94" s="170"/>
      <c r="Y94" s="158"/>
      <c r="Z94" s="158"/>
      <c r="AA94" s="158"/>
      <c r="AB94" s="159"/>
      <c r="AC94" s="170"/>
      <c r="AD94" s="282"/>
      <c r="AE94" s="282"/>
      <c r="AF94" s="4496"/>
    </row>
    <row r="95" spans="1:32" ht="44.25" customHeight="1">
      <c r="A95" s="4360"/>
      <c r="B95" s="4478"/>
      <c r="C95" s="4493"/>
      <c r="D95" s="4216"/>
      <c r="E95" s="4216"/>
      <c r="F95" s="4216"/>
      <c r="G95" s="4216"/>
      <c r="H95" s="4216"/>
      <c r="I95" s="4216"/>
      <c r="J95" s="4332"/>
      <c r="K95" s="4216"/>
      <c r="L95" s="4216"/>
      <c r="M95" s="4247"/>
      <c r="N95" s="1716"/>
      <c r="O95" s="4247"/>
      <c r="P95" s="4216"/>
      <c r="Q95" s="4216"/>
      <c r="R95" s="4258"/>
      <c r="S95" s="172"/>
      <c r="T95" s="1939"/>
      <c r="U95" s="1939"/>
      <c r="V95" s="411"/>
      <c r="W95" s="165"/>
      <c r="X95" s="165"/>
      <c r="Y95" s="173"/>
      <c r="Z95" s="173"/>
      <c r="AA95" s="173"/>
      <c r="AB95" s="164"/>
      <c r="AC95" s="165"/>
      <c r="AD95" s="166"/>
      <c r="AE95" s="166"/>
      <c r="AF95" s="4497"/>
    </row>
    <row r="96" spans="1:32" ht="28.5" customHeight="1">
      <c r="A96" s="4360"/>
      <c r="B96" s="4478"/>
      <c r="C96" s="4491" t="s">
        <v>235</v>
      </c>
      <c r="D96" s="4328" t="s">
        <v>236</v>
      </c>
      <c r="E96" s="4328" t="s">
        <v>244</v>
      </c>
      <c r="F96" s="4328" t="s">
        <v>430</v>
      </c>
      <c r="G96" s="4329" t="s">
        <v>239</v>
      </c>
      <c r="H96" s="4328" t="s">
        <v>240</v>
      </c>
      <c r="I96" s="4328" t="s">
        <v>257</v>
      </c>
      <c r="J96" s="4330" t="s">
        <v>3981</v>
      </c>
      <c r="K96" s="4273" t="s">
        <v>488</v>
      </c>
      <c r="L96" s="4345" t="s">
        <v>3962</v>
      </c>
      <c r="M96" s="4344">
        <v>1</v>
      </c>
      <c r="N96" s="1757"/>
      <c r="O96" s="4344">
        <v>1</v>
      </c>
      <c r="P96" s="4345" t="s">
        <v>3998</v>
      </c>
      <c r="Q96" s="4345" t="s">
        <v>4017</v>
      </c>
      <c r="R96" s="4346" t="s">
        <v>4027</v>
      </c>
      <c r="S96" s="1937"/>
      <c r="T96" s="1938"/>
      <c r="U96" s="1938"/>
      <c r="V96" s="176"/>
      <c r="W96" s="414"/>
      <c r="X96" s="414"/>
      <c r="Y96" s="480"/>
      <c r="Z96" s="480"/>
      <c r="AA96" s="480"/>
      <c r="AB96" s="167"/>
      <c r="AC96" s="414"/>
      <c r="AD96" s="174"/>
      <c r="AE96" s="174"/>
      <c r="AF96" s="4495"/>
    </row>
    <row r="97" spans="1:32" ht="28.5" customHeight="1">
      <c r="A97" s="4360"/>
      <c r="B97" s="4478"/>
      <c r="C97" s="4492"/>
      <c r="D97" s="4215"/>
      <c r="E97" s="4215"/>
      <c r="F97" s="4215"/>
      <c r="G97" s="4215"/>
      <c r="H97" s="4215"/>
      <c r="I97" s="4215"/>
      <c r="J97" s="4331"/>
      <c r="K97" s="4215"/>
      <c r="L97" s="4215"/>
      <c r="M97" s="4226"/>
      <c r="N97" s="1757"/>
      <c r="O97" s="4226"/>
      <c r="P97" s="4215"/>
      <c r="Q97" s="4215"/>
      <c r="R97" s="4233"/>
      <c r="S97" s="157"/>
      <c r="T97" s="1934"/>
      <c r="U97" s="1934"/>
      <c r="V97" s="169"/>
      <c r="W97" s="170"/>
      <c r="X97" s="170"/>
      <c r="Y97" s="158"/>
      <c r="Z97" s="158"/>
      <c r="AA97" s="158"/>
      <c r="AB97" s="159"/>
      <c r="AC97" s="170"/>
      <c r="AD97" s="282"/>
      <c r="AE97" s="282"/>
      <c r="AF97" s="4496"/>
    </row>
    <row r="98" spans="1:32" ht="28.5" customHeight="1">
      <c r="A98" s="4360"/>
      <c r="B98" s="4478"/>
      <c r="C98" s="4492"/>
      <c r="D98" s="4215"/>
      <c r="E98" s="4215"/>
      <c r="F98" s="4215"/>
      <c r="G98" s="4215"/>
      <c r="H98" s="4215"/>
      <c r="I98" s="4215"/>
      <c r="J98" s="4331"/>
      <c r="K98" s="4215"/>
      <c r="L98" s="4215"/>
      <c r="M98" s="4226"/>
      <c r="N98" s="1757">
        <v>1</v>
      </c>
      <c r="O98" s="4226"/>
      <c r="P98" s="4215"/>
      <c r="Q98" s="4215"/>
      <c r="R98" s="4233"/>
      <c r="S98" s="1935"/>
      <c r="T98" s="1936"/>
      <c r="U98" s="1936"/>
      <c r="V98" s="1217"/>
      <c r="W98" s="414"/>
      <c r="X98" s="414"/>
      <c r="Y98" s="480"/>
      <c r="Z98" s="158"/>
      <c r="AA98" s="158"/>
      <c r="AB98" s="159"/>
      <c r="AC98" s="170"/>
      <c r="AD98" s="282"/>
      <c r="AE98" s="282"/>
      <c r="AF98" s="4496"/>
    </row>
    <row r="99" spans="1:32" ht="28.5" customHeight="1">
      <c r="A99" s="4360"/>
      <c r="B99" s="4478"/>
      <c r="C99" s="4492"/>
      <c r="D99" s="4215"/>
      <c r="E99" s="4215"/>
      <c r="F99" s="4215"/>
      <c r="G99" s="4215"/>
      <c r="H99" s="4215"/>
      <c r="I99" s="4215"/>
      <c r="J99" s="4331"/>
      <c r="K99" s="4215"/>
      <c r="L99" s="4215"/>
      <c r="M99" s="4226"/>
      <c r="N99" s="1757"/>
      <c r="O99" s="4226"/>
      <c r="P99" s="4215"/>
      <c r="Q99" s="4215"/>
      <c r="R99" s="4233"/>
      <c r="S99" s="1937"/>
      <c r="T99" s="1938"/>
      <c r="U99" s="1938"/>
      <c r="V99" s="1217"/>
      <c r="W99" s="414"/>
      <c r="X99" s="414"/>
      <c r="Y99" s="480"/>
      <c r="Z99" s="158"/>
      <c r="AA99" s="158"/>
      <c r="AB99" s="159"/>
      <c r="AC99" s="170"/>
      <c r="AD99" s="282"/>
      <c r="AE99" s="282"/>
      <c r="AF99" s="4496"/>
    </row>
    <row r="100" spans="1:32" ht="28.5" customHeight="1">
      <c r="A100" s="4360"/>
      <c r="B100" s="4478"/>
      <c r="C100" s="4493"/>
      <c r="D100" s="4216"/>
      <c r="E100" s="4216"/>
      <c r="F100" s="4216"/>
      <c r="G100" s="4216"/>
      <c r="H100" s="4216"/>
      <c r="I100" s="4216"/>
      <c r="J100" s="4332"/>
      <c r="K100" s="4216"/>
      <c r="L100" s="4216"/>
      <c r="M100" s="4247"/>
      <c r="N100" s="1698"/>
      <c r="O100" s="4247"/>
      <c r="P100" s="4216"/>
      <c r="Q100" s="4216"/>
      <c r="R100" s="4258"/>
      <c r="S100" s="172"/>
      <c r="T100" s="1939"/>
      <c r="U100" s="1939"/>
      <c r="V100" s="411"/>
      <c r="W100" s="165"/>
      <c r="X100" s="165"/>
      <c r="Y100" s="173"/>
      <c r="Z100" s="173"/>
      <c r="AA100" s="173"/>
      <c r="AB100" s="164"/>
      <c r="AC100" s="165"/>
      <c r="AD100" s="166"/>
      <c r="AE100" s="166"/>
      <c r="AF100" s="4497"/>
    </row>
    <row r="101" spans="1:32" ht="30" customHeight="1">
      <c r="A101" s="4360"/>
      <c r="B101" s="4478"/>
      <c r="C101" s="4491" t="s">
        <v>235</v>
      </c>
      <c r="D101" s="4328" t="s">
        <v>236</v>
      </c>
      <c r="E101" s="4328" t="s">
        <v>237</v>
      </c>
      <c r="F101" s="4328" t="s">
        <v>326</v>
      </c>
      <c r="G101" s="4329" t="s">
        <v>239</v>
      </c>
      <c r="H101" s="4328" t="s">
        <v>240</v>
      </c>
      <c r="I101" s="4328" t="s">
        <v>257</v>
      </c>
      <c r="J101" s="4445" t="s">
        <v>3982</v>
      </c>
      <c r="K101" s="4273" t="s">
        <v>489</v>
      </c>
      <c r="L101" s="4475"/>
      <c r="M101" s="4344"/>
      <c r="N101" s="1757"/>
      <c r="O101" s="4344"/>
      <c r="P101" s="4475"/>
      <c r="Q101" s="4475"/>
      <c r="R101" s="4509"/>
      <c r="S101" s="1937"/>
      <c r="T101" s="1938"/>
      <c r="U101" s="1938"/>
      <c r="V101" s="176"/>
      <c r="W101" s="414"/>
      <c r="X101" s="414"/>
      <c r="Y101" s="480"/>
      <c r="Z101" s="480"/>
      <c r="AA101" s="480"/>
      <c r="AB101" s="167"/>
      <c r="AC101" s="414"/>
      <c r="AD101" s="168"/>
      <c r="AE101" s="168"/>
      <c r="AF101" s="4486" t="s">
        <v>3955</v>
      </c>
    </row>
    <row r="102" spans="1:32" ht="30" customHeight="1">
      <c r="A102" s="4360"/>
      <c r="B102" s="4478"/>
      <c r="C102" s="4492"/>
      <c r="D102" s="4215"/>
      <c r="E102" s="4215"/>
      <c r="F102" s="4215"/>
      <c r="G102" s="4215"/>
      <c r="H102" s="4215"/>
      <c r="I102" s="4215"/>
      <c r="J102" s="4446"/>
      <c r="K102" s="4215"/>
      <c r="L102" s="4215"/>
      <c r="M102" s="4226"/>
      <c r="N102" s="1757"/>
      <c r="O102" s="4226"/>
      <c r="P102" s="4215"/>
      <c r="Q102" s="4215"/>
      <c r="R102" s="4233"/>
      <c r="S102" s="157"/>
      <c r="T102" s="1934"/>
      <c r="U102" s="1934"/>
      <c r="V102" s="169"/>
      <c r="W102" s="170"/>
      <c r="X102" s="170"/>
      <c r="Y102" s="158"/>
      <c r="Z102" s="158"/>
      <c r="AA102" s="158"/>
      <c r="AB102" s="159"/>
      <c r="AC102" s="170"/>
      <c r="AD102" s="170"/>
      <c r="AE102" s="171"/>
      <c r="AF102" s="4311"/>
    </row>
    <row r="103" spans="1:32" ht="30" customHeight="1">
      <c r="A103" s="4360"/>
      <c r="B103" s="4478"/>
      <c r="C103" s="4492"/>
      <c r="D103" s="4215"/>
      <c r="E103" s="4215"/>
      <c r="F103" s="4215"/>
      <c r="G103" s="4215"/>
      <c r="H103" s="4215"/>
      <c r="I103" s="4215"/>
      <c r="J103" s="4446"/>
      <c r="K103" s="4215"/>
      <c r="L103" s="4215"/>
      <c r="M103" s="4226"/>
      <c r="N103" s="1757"/>
      <c r="O103" s="4226"/>
      <c r="P103" s="4215"/>
      <c r="Q103" s="4215"/>
      <c r="R103" s="4233"/>
      <c r="S103" s="157"/>
      <c r="T103" s="1934"/>
      <c r="U103" s="1934"/>
      <c r="V103" s="169"/>
      <c r="W103" s="170"/>
      <c r="X103" s="170"/>
      <c r="Y103" s="158"/>
      <c r="Z103" s="158"/>
      <c r="AA103" s="158"/>
      <c r="AB103" s="159"/>
      <c r="AC103" s="170"/>
      <c r="AD103" s="170"/>
      <c r="AE103" s="282"/>
      <c r="AF103" s="4311"/>
    </row>
    <row r="104" spans="1:32" ht="30" customHeight="1">
      <c r="A104" s="4360"/>
      <c r="B104" s="4478"/>
      <c r="C104" s="4492"/>
      <c r="D104" s="4215"/>
      <c r="E104" s="4215"/>
      <c r="F104" s="4215"/>
      <c r="G104" s="4215"/>
      <c r="H104" s="4215"/>
      <c r="I104" s="4215"/>
      <c r="J104" s="4446"/>
      <c r="K104" s="4215"/>
      <c r="L104" s="4215"/>
      <c r="M104" s="4226"/>
      <c r="N104" s="1757"/>
      <c r="O104" s="4226"/>
      <c r="P104" s="4215"/>
      <c r="Q104" s="4215"/>
      <c r="R104" s="4233"/>
      <c r="S104" s="157"/>
      <c r="T104" s="1934"/>
      <c r="U104" s="1934"/>
      <c r="V104" s="169"/>
      <c r="W104" s="170"/>
      <c r="X104" s="170"/>
      <c r="Y104" s="158"/>
      <c r="Z104" s="158"/>
      <c r="AA104" s="158"/>
      <c r="AB104" s="159"/>
      <c r="AC104" s="170"/>
      <c r="AD104" s="170"/>
      <c r="AE104" s="282"/>
      <c r="AF104" s="4311"/>
    </row>
    <row r="105" spans="1:32" ht="30" customHeight="1">
      <c r="A105" s="4360"/>
      <c r="B105" s="4478"/>
      <c r="C105" s="4493"/>
      <c r="D105" s="4216"/>
      <c r="E105" s="4216"/>
      <c r="F105" s="4216"/>
      <c r="G105" s="4216"/>
      <c r="H105" s="4216"/>
      <c r="I105" s="4216"/>
      <c r="J105" s="4341"/>
      <c r="K105" s="4216"/>
      <c r="L105" s="4216"/>
      <c r="M105" s="4247"/>
      <c r="N105" s="1698"/>
      <c r="O105" s="4247"/>
      <c r="P105" s="4216"/>
      <c r="Q105" s="4216"/>
      <c r="R105" s="4258"/>
      <c r="S105" s="172"/>
      <c r="T105" s="1939"/>
      <c r="U105" s="1939"/>
      <c r="V105" s="411"/>
      <c r="W105" s="165"/>
      <c r="X105" s="165"/>
      <c r="Y105" s="173"/>
      <c r="Z105" s="173"/>
      <c r="AA105" s="173"/>
      <c r="AB105" s="164"/>
      <c r="AC105" s="165"/>
      <c r="AD105" s="165"/>
      <c r="AE105" s="166"/>
      <c r="AF105" s="4325"/>
    </row>
    <row r="106" spans="1:32" ht="30" customHeight="1">
      <c r="A106" s="4360"/>
      <c r="B106" s="4478"/>
      <c r="C106" s="4494" t="s">
        <v>235</v>
      </c>
      <c r="D106" s="4273" t="s">
        <v>236</v>
      </c>
      <c r="E106" s="4273" t="s">
        <v>237</v>
      </c>
      <c r="F106" s="4273" t="s">
        <v>326</v>
      </c>
      <c r="G106" s="4338" t="s">
        <v>239</v>
      </c>
      <c r="H106" s="4273" t="s">
        <v>240</v>
      </c>
      <c r="I106" s="4273" t="s">
        <v>294</v>
      </c>
      <c r="J106" s="4330" t="s">
        <v>3734</v>
      </c>
      <c r="K106" s="4273" t="s">
        <v>338</v>
      </c>
      <c r="L106" s="4273" t="s">
        <v>490</v>
      </c>
      <c r="M106" s="4246">
        <v>0</v>
      </c>
      <c r="N106" s="4249">
        <v>1</v>
      </c>
      <c r="O106" s="4246">
        <v>1</v>
      </c>
      <c r="P106" s="4228" t="s">
        <v>3999</v>
      </c>
      <c r="Q106" s="4228" t="s">
        <v>4018</v>
      </c>
      <c r="R106" s="4322" t="s">
        <v>4027</v>
      </c>
      <c r="S106" s="281"/>
      <c r="T106" s="1938"/>
      <c r="U106" s="1938"/>
      <c r="V106" s="1943"/>
      <c r="W106" s="414"/>
      <c r="X106" s="414"/>
      <c r="Y106" s="480"/>
      <c r="Z106" s="480"/>
      <c r="AA106" s="480"/>
      <c r="AB106" s="167"/>
      <c r="AC106" s="414"/>
      <c r="AD106" s="174"/>
      <c r="AE106" s="174"/>
      <c r="AF106" s="4486" t="s">
        <v>3956</v>
      </c>
    </row>
    <row r="107" spans="1:32" ht="30" customHeight="1">
      <c r="A107" s="4360"/>
      <c r="B107" s="4478"/>
      <c r="C107" s="4492"/>
      <c r="D107" s="4215"/>
      <c r="E107" s="4215"/>
      <c r="F107" s="4215"/>
      <c r="G107" s="4215"/>
      <c r="H107" s="4215"/>
      <c r="I107" s="4215"/>
      <c r="J107" s="4331"/>
      <c r="K107" s="4215"/>
      <c r="L107" s="4215"/>
      <c r="M107" s="4226"/>
      <c r="N107" s="4226"/>
      <c r="O107" s="4226"/>
      <c r="P107" s="4215"/>
      <c r="Q107" s="4215"/>
      <c r="R107" s="4233"/>
      <c r="S107" s="1935"/>
      <c r="T107" s="1936"/>
      <c r="U107" s="1936"/>
      <c r="V107" s="169"/>
      <c r="W107" s="170"/>
      <c r="X107" s="170"/>
      <c r="Y107" s="158"/>
      <c r="Z107" s="158"/>
      <c r="AA107" s="158"/>
      <c r="AB107" s="159"/>
      <c r="AC107" s="170"/>
      <c r="AD107" s="282"/>
      <c r="AE107" s="282"/>
      <c r="AF107" s="4311"/>
    </row>
    <row r="108" spans="1:32" ht="30" customHeight="1">
      <c r="A108" s="4360"/>
      <c r="B108" s="4478"/>
      <c r="C108" s="4492"/>
      <c r="D108" s="4215"/>
      <c r="E108" s="4215"/>
      <c r="F108" s="4215"/>
      <c r="G108" s="4215"/>
      <c r="H108" s="4215"/>
      <c r="I108" s="4215"/>
      <c r="J108" s="4331"/>
      <c r="K108" s="4215"/>
      <c r="L108" s="4215"/>
      <c r="M108" s="4226"/>
      <c r="N108" s="4226"/>
      <c r="O108" s="4226"/>
      <c r="P108" s="4215"/>
      <c r="Q108" s="4215"/>
      <c r="R108" s="4233"/>
      <c r="S108" s="157"/>
      <c r="T108" s="1934"/>
      <c r="U108" s="1934"/>
      <c r="V108" s="169"/>
      <c r="W108" s="170"/>
      <c r="X108" s="170"/>
      <c r="Y108" s="158"/>
      <c r="Z108" s="158"/>
      <c r="AA108" s="158"/>
      <c r="AB108" s="159"/>
      <c r="AC108" s="170"/>
      <c r="AD108" s="282"/>
      <c r="AE108" s="282"/>
      <c r="AF108" s="4311"/>
    </row>
    <row r="109" spans="1:32" ht="30" customHeight="1">
      <c r="A109" s="4360"/>
      <c r="B109" s="4478"/>
      <c r="C109" s="4492"/>
      <c r="D109" s="4215"/>
      <c r="E109" s="4215"/>
      <c r="F109" s="4215"/>
      <c r="G109" s="4215"/>
      <c r="H109" s="4215"/>
      <c r="I109" s="4215"/>
      <c r="J109" s="4331"/>
      <c r="K109" s="4215"/>
      <c r="L109" s="4215"/>
      <c r="M109" s="4226"/>
      <c r="N109" s="4226"/>
      <c r="O109" s="4226"/>
      <c r="P109" s="4215"/>
      <c r="Q109" s="4215"/>
      <c r="R109" s="4233"/>
      <c r="S109" s="157"/>
      <c r="T109" s="1934"/>
      <c r="U109" s="1934"/>
      <c r="V109" s="169"/>
      <c r="W109" s="170"/>
      <c r="X109" s="170"/>
      <c r="Y109" s="158"/>
      <c r="Z109" s="158"/>
      <c r="AA109" s="158"/>
      <c r="AB109" s="159"/>
      <c r="AC109" s="170"/>
      <c r="AD109" s="282"/>
      <c r="AE109" s="282"/>
      <c r="AF109" s="4311"/>
    </row>
    <row r="110" spans="1:32" ht="30" customHeight="1">
      <c r="A110" s="4360"/>
      <c r="B110" s="4478"/>
      <c r="C110" s="4493"/>
      <c r="D110" s="4216"/>
      <c r="E110" s="4216"/>
      <c r="F110" s="4216"/>
      <c r="G110" s="4216"/>
      <c r="H110" s="4216"/>
      <c r="I110" s="4216"/>
      <c r="J110" s="4332"/>
      <c r="K110" s="4216"/>
      <c r="L110" s="4216"/>
      <c r="M110" s="4247"/>
      <c r="N110" s="4247"/>
      <c r="O110" s="4247"/>
      <c r="P110" s="4216"/>
      <c r="Q110" s="4216"/>
      <c r="R110" s="4258"/>
      <c r="S110" s="172"/>
      <c r="T110" s="1949"/>
      <c r="U110" s="1949"/>
      <c r="V110" s="1948"/>
      <c r="W110" s="1775"/>
      <c r="X110" s="1775"/>
      <c r="Y110" s="1944"/>
      <c r="Z110" s="173"/>
      <c r="AA110" s="173"/>
      <c r="AB110" s="1945"/>
      <c r="AC110" s="1775"/>
      <c r="AD110" s="1946"/>
      <c r="AE110" s="1946"/>
      <c r="AF110" s="4325"/>
    </row>
    <row r="111" spans="1:32" ht="30" customHeight="1">
      <c r="A111" s="4360"/>
      <c r="B111" s="4478"/>
      <c r="C111" s="4494" t="s">
        <v>235</v>
      </c>
      <c r="D111" s="4273" t="s">
        <v>236</v>
      </c>
      <c r="E111" s="4273" t="s">
        <v>237</v>
      </c>
      <c r="F111" s="4273" t="s">
        <v>326</v>
      </c>
      <c r="G111" s="4338" t="s">
        <v>239</v>
      </c>
      <c r="H111" s="4273" t="s">
        <v>240</v>
      </c>
      <c r="I111" s="4273" t="s">
        <v>257</v>
      </c>
      <c r="J111" s="4330" t="s">
        <v>3735</v>
      </c>
      <c r="K111" s="4273" t="s">
        <v>371</v>
      </c>
      <c r="L111" s="4273" t="s">
        <v>491</v>
      </c>
      <c r="M111" s="4246">
        <v>5</v>
      </c>
      <c r="N111" s="1706"/>
      <c r="O111" s="4246">
        <v>5</v>
      </c>
      <c r="P111" s="4228" t="s">
        <v>4000</v>
      </c>
      <c r="Q111" s="4228" t="s">
        <v>4019</v>
      </c>
      <c r="R111" s="4322" t="s">
        <v>492</v>
      </c>
      <c r="S111" s="281"/>
      <c r="T111" s="1957"/>
      <c r="U111" s="1957"/>
      <c r="V111" s="283"/>
      <c r="W111" s="178"/>
      <c r="X111" s="178"/>
      <c r="Y111" s="179"/>
      <c r="Z111" s="179"/>
      <c r="AA111" s="179"/>
      <c r="AB111" s="180"/>
      <c r="AC111" s="178"/>
      <c r="AD111" s="181"/>
      <c r="AE111" s="181"/>
      <c r="AF111" s="4498"/>
    </row>
    <row r="112" spans="1:32" ht="30" customHeight="1">
      <c r="A112" s="4360"/>
      <c r="B112" s="4478"/>
      <c r="C112" s="4492"/>
      <c r="D112" s="4215"/>
      <c r="E112" s="4215"/>
      <c r="F112" s="4215"/>
      <c r="G112" s="4215"/>
      <c r="H112" s="4215"/>
      <c r="I112" s="4215"/>
      <c r="J112" s="4331"/>
      <c r="K112" s="4215"/>
      <c r="L112" s="4215"/>
      <c r="M112" s="4226"/>
      <c r="N112" s="1707"/>
      <c r="O112" s="4226"/>
      <c r="P112" s="4215"/>
      <c r="Q112" s="4215"/>
      <c r="R112" s="4233"/>
      <c r="S112" s="157"/>
      <c r="T112" s="1934"/>
      <c r="U112" s="1934"/>
      <c r="V112" s="169"/>
      <c r="W112" s="170"/>
      <c r="X112" s="170"/>
      <c r="Y112" s="158"/>
      <c r="Z112" s="158"/>
      <c r="AA112" s="158"/>
      <c r="AB112" s="159"/>
      <c r="AC112" s="170"/>
      <c r="AD112" s="282"/>
      <c r="AE112" s="282"/>
      <c r="AF112" s="4496"/>
    </row>
    <row r="113" spans="1:32" ht="30" customHeight="1">
      <c r="A113" s="4360"/>
      <c r="B113" s="4478"/>
      <c r="C113" s="4492"/>
      <c r="D113" s="4215"/>
      <c r="E113" s="4215"/>
      <c r="F113" s="4215"/>
      <c r="G113" s="4215"/>
      <c r="H113" s="4215"/>
      <c r="I113" s="4215"/>
      <c r="J113" s="4331"/>
      <c r="K113" s="4215"/>
      <c r="L113" s="4215"/>
      <c r="M113" s="4226"/>
      <c r="N113" s="1707">
        <v>5</v>
      </c>
      <c r="O113" s="4226"/>
      <c r="P113" s="4215"/>
      <c r="Q113" s="4215"/>
      <c r="R113" s="4233"/>
      <c r="S113" s="157"/>
      <c r="T113" s="1934"/>
      <c r="U113" s="1934"/>
      <c r="V113" s="169"/>
      <c r="W113" s="170"/>
      <c r="X113" s="170"/>
      <c r="Y113" s="158"/>
      <c r="Z113" s="158"/>
      <c r="AA113" s="158"/>
      <c r="AB113" s="159"/>
      <c r="AC113" s="170"/>
      <c r="AD113" s="282"/>
      <c r="AE113" s="282"/>
      <c r="AF113" s="4496"/>
    </row>
    <row r="114" spans="1:32" ht="30" customHeight="1">
      <c r="A114" s="4360"/>
      <c r="B114" s="4478"/>
      <c r="C114" s="4492"/>
      <c r="D114" s="4215"/>
      <c r="E114" s="4215"/>
      <c r="F114" s="4215"/>
      <c r="G114" s="4215"/>
      <c r="H114" s="4215"/>
      <c r="I114" s="4215"/>
      <c r="J114" s="4331"/>
      <c r="K114" s="4215"/>
      <c r="L114" s="4215"/>
      <c r="M114" s="4226"/>
      <c r="N114" s="1707"/>
      <c r="O114" s="4226"/>
      <c r="P114" s="4215"/>
      <c r="Q114" s="4215"/>
      <c r="R114" s="4233"/>
      <c r="S114" s="157"/>
      <c r="T114" s="1934"/>
      <c r="U114" s="1934"/>
      <c r="V114" s="169"/>
      <c r="W114" s="170"/>
      <c r="X114" s="170"/>
      <c r="Y114" s="158"/>
      <c r="Z114" s="158"/>
      <c r="AA114" s="158"/>
      <c r="AB114" s="159"/>
      <c r="AC114" s="170"/>
      <c r="AD114" s="282"/>
      <c r="AE114" s="282"/>
      <c r="AF114" s="4496"/>
    </row>
    <row r="115" spans="1:32" ht="30" customHeight="1">
      <c r="A115" s="4360"/>
      <c r="B115" s="4478"/>
      <c r="C115" s="4493"/>
      <c r="D115" s="4216"/>
      <c r="E115" s="4216"/>
      <c r="F115" s="4216"/>
      <c r="G115" s="4216"/>
      <c r="H115" s="4216"/>
      <c r="I115" s="4216"/>
      <c r="J115" s="4332"/>
      <c r="K115" s="4216"/>
      <c r="L115" s="4216"/>
      <c r="M115" s="4247"/>
      <c r="N115" s="1716"/>
      <c r="O115" s="4247"/>
      <c r="P115" s="4216"/>
      <c r="Q115" s="4216"/>
      <c r="R115" s="4258"/>
      <c r="S115" s="172"/>
      <c r="T115" s="1939"/>
      <c r="U115" s="1939"/>
      <c r="V115" s="411"/>
      <c r="W115" s="165"/>
      <c r="X115" s="165"/>
      <c r="Y115" s="173"/>
      <c r="Z115" s="173"/>
      <c r="AA115" s="173"/>
      <c r="AB115" s="164"/>
      <c r="AC115" s="165"/>
      <c r="AD115" s="166"/>
      <c r="AE115" s="166"/>
      <c r="AF115" s="4497"/>
    </row>
    <row r="116" spans="1:32" ht="22.5" customHeight="1">
      <c r="A116" s="4360"/>
      <c r="B116" s="4479"/>
      <c r="C116" s="1982"/>
      <c r="D116" s="1983"/>
      <c r="E116" s="1983"/>
      <c r="F116" s="1983"/>
      <c r="G116" s="1983"/>
      <c r="H116" s="1983"/>
      <c r="I116" s="1983"/>
      <c r="J116" s="1983"/>
      <c r="K116" s="1983"/>
      <c r="L116" s="1983"/>
      <c r="M116" s="1983"/>
      <c r="N116" s="1983"/>
      <c r="O116" s="1983"/>
      <c r="P116" s="1983"/>
      <c r="Q116" s="1983"/>
      <c r="R116" s="1983"/>
      <c r="S116" s="4503" t="s">
        <v>493</v>
      </c>
      <c r="T116" s="4504"/>
      <c r="U116" s="4504"/>
      <c r="V116" s="4504"/>
      <c r="W116" s="4504"/>
      <c r="X116" s="4504"/>
      <c r="Y116" s="4504"/>
      <c r="Z116" s="4504"/>
      <c r="AA116" s="2172" t="s">
        <v>340</v>
      </c>
      <c r="AB116" s="2173">
        <f>SUM(AB71:AB115)</f>
        <v>0</v>
      </c>
      <c r="AC116" s="4501"/>
      <c r="AD116" s="4443"/>
      <c r="AE116" s="4443"/>
      <c r="AF116" s="4444"/>
    </row>
    <row r="117" spans="1:32" ht="22.5" customHeight="1">
      <c r="A117" s="4362"/>
      <c r="B117" s="1960"/>
      <c r="C117" s="1960"/>
      <c r="D117" s="1960"/>
      <c r="E117" s="1960"/>
      <c r="F117" s="1960"/>
      <c r="G117" s="1960"/>
      <c r="H117" s="1960"/>
      <c r="I117" s="1960"/>
      <c r="J117" s="1960"/>
      <c r="K117" s="1960"/>
      <c r="L117" s="1960"/>
      <c r="M117" s="1960"/>
      <c r="N117" s="1960"/>
      <c r="O117" s="1960"/>
      <c r="P117" s="1960"/>
      <c r="Q117" s="1960"/>
      <c r="R117" s="1984"/>
      <c r="S117" s="4508" t="s">
        <v>476</v>
      </c>
      <c r="T117" s="4314"/>
      <c r="U117" s="4314"/>
      <c r="V117" s="4314"/>
      <c r="W117" s="4314"/>
      <c r="X117" s="4314"/>
      <c r="Y117" s="4314"/>
      <c r="Z117" s="2174"/>
      <c r="AA117" s="2175" t="s">
        <v>340</v>
      </c>
      <c r="AB117" s="2176">
        <f>SUM(AB70,AB116)</f>
        <v>690065.43319999997</v>
      </c>
      <c r="AC117" s="4505"/>
      <c r="AD117" s="4506"/>
      <c r="AE117" s="4506"/>
      <c r="AF117" s="4507"/>
    </row>
    <row r="118" spans="1:32" ht="17.25" thickTop="1">
      <c r="A118" s="1"/>
      <c r="B118" s="12"/>
      <c r="C118" s="1917" t="s">
        <v>3914</v>
      </c>
      <c r="D118" s="221"/>
      <c r="E118" s="221"/>
      <c r="F118" s="221"/>
      <c r="G118" s="221"/>
      <c r="H118" s="221"/>
      <c r="I118" s="221"/>
      <c r="J118" s="221"/>
      <c r="K118" s="221"/>
      <c r="L118" s="221"/>
      <c r="M118" s="221"/>
      <c r="N118" s="221"/>
      <c r="O118" s="221"/>
      <c r="P118" s="221"/>
      <c r="Q118" s="221"/>
      <c r="R118" s="221"/>
      <c r="S118" s="4388" t="s">
        <v>494</v>
      </c>
      <c r="T118" s="4150"/>
      <c r="U118" s="4150"/>
      <c r="V118" s="4150"/>
      <c r="W118" s="4150"/>
      <c r="X118" s="4150"/>
      <c r="Y118" s="4150"/>
      <c r="Z118" s="4150"/>
      <c r="AA118" s="4150"/>
      <c r="AB118" s="4150"/>
      <c r="AC118" s="4150"/>
      <c r="AD118" s="4150"/>
      <c r="AE118" s="4150"/>
      <c r="AF118" s="4150"/>
    </row>
    <row r="119" spans="1:32" ht="16.5" customHeight="1">
      <c r="A119" s="1"/>
      <c r="B119" s="12"/>
      <c r="C119" s="1917" t="s">
        <v>3924</v>
      </c>
      <c r="D119" s="221"/>
      <c r="E119" s="221"/>
      <c r="F119" s="221"/>
      <c r="G119" s="221"/>
      <c r="H119" s="221"/>
      <c r="I119" s="221"/>
      <c r="J119" s="221"/>
      <c r="K119" s="221"/>
      <c r="L119" s="221"/>
      <c r="M119" s="221"/>
      <c r="N119" s="221"/>
      <c r="O119" s="221"/>
      <c r="P119" s="221"/>
      <c r="Q119" s="221"/>
      <c r="R119" s="221"/>
      <c r="S119" s="221"/>
      <c r="T119" s="221"/>
      <c r="U119" s="221"/>
      <c r="V119" s="1884"/>
      <c r="W119" s="1884"/>
      <c r="X119" s="1884"/>
      <c r="Y119" s="1884"/>
      <c r="Z119" s="1884"/>
      <c r="AA119" s="1884"/>
      <c r="AB119" s="4389"/>
      <c r="AC119" s="4150"/>
      <c r="AD119" s="221"/>
      <c r="AE119" s="221"/>
      <c r="AF119" s="221"/>
    </row>
    <row r="120" spans="1:32" ht="18">
      <c r="A120" s="1"/>
      <c r="B120" s="1"/>
      <c r="C120" s="221"/>
      <c r="D120" s="221"/>
      <c r="E120" s="221"/>
      <c r="F120" s="221"/>
      <c r="G120" s="221"/>
      <c r="H120" s="221"/>
      <c r="I120" s="221"/>
      <c r="J120" s="221"/>
      <c r="K120" s="221"/>
      <c r="L120" s="221"/>
      <c r="M120" s="221"/>
      <c r="N120" s="221"/>
      <c r="O120" s="221"/>
      <c r="P120" s="221"/>
      <c r="Q120" s="225"/>
      <c r="R120" s="225"/>
      <c r="S120" s="225"/>
      <c r="T120" s="235"/>
      <c r="U120" s="4222" t="s">
        <v>343</v>
      </c>
      <c r="V120" s="4223"/>
      <c r="W120" s="4223"/>
      <c r="X120" s="4223"/>
      <c r="Y120" s="4223"/>
      <c r="Z120" s="4223"/>
      <c r="AA120" s="225"/>
      <c r="AB120" s="225"/>
      <c r="AC120" s="221"/>
      <c r="AD120" s="221"/>
      <c r="AE120" s="221"/>
    </row>
    <row r="121" spans="1:32" ht="16.5" customHeight="1" thickBot="1">
      <c r="A121" s="1"/>
      <c r="B121" s="1"/>
      <c r="C121" s="221"/>
      <c r="D121" s="221"/>
      <c r="E121" s="221"/>
      <c r="F121" s="221"/>
      <c r="G121" s="221"/>
      <c r="H121" s="221"/>
      <c r="I121" s="221"/>
      <c r="J121" s="221"/>
      <c r="K121" s="221"/>
      <c r="L121" s="221"/>
      <c r="M121" s="221"/>
      <c r="N121" s="221"/>
      <c r="O121" s="221"/>
      <c r="P121" s="221"/>
      <c r="Q121" s="225"/>
      <c r="R121" s="225"/>
      <c r="S121" s="226"/>
      <c r="T121" s="269"/>
      <c r="U121" s="2247"/>
      <c r="V121" s="2247"/>
      <c r="W121" s="2247"/>
      <c r="X121" s="2247"/>
      <c r="Y121" s="2247"/>
      <c r="Z121" s="2247"/>
      <c r="AA121" s="227"/>
      <c r="AB121" s="227"/>
      <c r="AC121" s="221"/>
      <c r="AD121" s="221"/>
      <c r="AE121" s="221"/>
    </row>
    <row r="122" spans="1:32" ht="16.5" customHeight="1" thickTop="1">
      <c r="A122" s="1"/>
      <c r="B122" s="1"/>
      <c r="C122" s="221"/>
      <c r="D122" s="221"/>
      <c r="E122" s="221"/>
      <c r="F122" s="221"/>
      <c r="G122" s="221"/>
      <c r="H122" s="221"/>
      <c r="I122" s="221"/>
      <c r="J122" s="221"/>
      <c r="K122" s="221"/>
      <c r="L122" s="221"/>
      <c r="M122" s="221"/>
      <c r="N122" s="221"/>
      <c r="O122" s="221"/>
      <c r="P122" s="221"/>
      <c r="Q122" s="225"/>
      <c r="R122" s="225"/>
      <c r="S122" s="285"/>
      <c r="T122" s="232"/>
      <c r="U122" s="2238" t="s">
        <v>4</v>
      </c>
      <c r="V122" s="2239" t="s">
        <v>344</v>
      </c>
      <c r="W122" s="2240" t="s">
        <v>6</v>
      </c>
      <c r="X122" s="2241" t="s">
        <v>345</v>
      </c>
      <c r="Y122" s="2241" t="s">
        <v>8</v>
      </c>
      <c r="Z122" s="2242" t="s">
        <v>346</v>
      </c>
      <c r="AA122" s="228"/>
      <c r="AB122" s="229"/>
      <c r="AC122" s="221"/>
      <c r="AD122" s="221"/>
      <c r="AE122" s="221"/>
    </row>
    <row r="123" spans="1:32" ht="33">
      <c r="A123" s="1"/>
      <c r="B123" s="1"/>
      <c r="C123" s="221"/>
      <c r="D123" s="221"/>
      <c r="E123" s="221"/>
      <c r="F123" s="221"/>
      <c r="G123" s="221"/>
      <c r="H123" s="221"/>
      <c r="I123" s="221"/>
      <c r="J123" s="221"/>
      <c r="K123" s="221"/>
      <c r="L123" s="221"/>
      <c r="M123" s="221"/>
      <c r="N123" s="221"/>
      <c r="O123" s="221"/>
      <c r="P123" s="221"/>
      <c r="Q123" s="288"/>
      <c r="R123" s="228"/>
      <c r="S123" s="289"/>
      <c r="T123" s="285"/>
      <c r="U123" s="1689" t="s">
        <v>495</v>
      </c>
      <c r="V123" s="2248" t="s">
        <v>40</v>
      </c>
      <c r="W123" s="286">
        <v>530402</v>
      </c>
      <c r="X123" s="137" t="s">
        <v>13</v>
      </c>
      <c r="Y123" s="2250" t="s">
        <v>18</v>
      </c>
      <c r="Z123" s="287">
        <f>SUM($AA$21:$AA$23)</f>
        <v>669241.99</v>
      </c>
      <c r="AA123" s="227"/>
      <c r="AB123" s="231"/>
      <c r="AC123" s="221"/>
      <c r="AD123" s="221"/>
      <c r="AE123" s="221"/>
    </row>
    <row r="124" spans="1:32" ht="16.5" customHeight="1">
      <c r="A124" s="1"/>
      <c r="B124" s="1"/>
      <c r="C124" s="221"/>
      <c r="D124" s="221"/>
      <c r="E124" s="221"/>
      <c r="F124" s="221"/>
      <c r="G124" s="221"/>
      <c r="H124" s="221"/>
      <c r="I124" s="221"/>
      <c r="J124" s="221"/>
      <c r="K124" s="221"/>
      <c r="L124" s="221"/>
      <c r="M124" s="221"/>
      <c r="N124" s="221"/>
      <c r="O124" s="221"/>
      <c r="P124" s="221"/>
      <c r="Q124" s="290"/>
      <c r="R124" s="228"/>
      <c r="S124" s="289"/>
      <c r="T124" s="285"/>
      <c r="U124" s="2249" t="s">
        <v>11</v>
      </c>
      <c r="V124" s="2248" t="s">
        <v>41</v>
      </c>
      <c r="W124" s="286">
        <v>530601</v>
      </c>
      <c r="X124" s="137" t="s">
        <v>13</v>
      </c>
      <c r="Y124" s="2250" t="s">
        <v>14</v>
      </c>
      <c r="Z124" s="287">
        <f>SUM($AA$51:$AA$53)</f>
        <v>15008.000000000002</v>
      </c>
      <c r="AA124" s="232"/>
      <c r="AB124" s="232"/>
      <c r="AC124" s="221"/>
      <c r="AD124" s="221"/>
      <c r="AE124" s="221"/>
    </row>
    <row r="125" spans="1:32" ht="16.5" customHeight="1">
      <c r="A125" s="1"/>
      <c r="B125" s="1"/>
      <c r="C125" s="221"/>
      <c r="D125" s="221"/>
      <c r="E125" s="221"/>
      <c r="F125" s="221"/>
      <c r="G125" s="221"/>
      <c r="H125" s="221"/>
      <c r="I125" s="221"/>
      <c r="J125" s="221"/>
      <c r="K125" s="221"/>
      <c r="L125" s="221"/>
      <c r="M125" s="221"/>
      <c r="N125" s="221"/>
      <c r="O125" s="221"/>
      <c r="P125" s="221"/>
      <c r="Q125" s="290"/>
      <c r="R125" s="228"/>
      <c r="S125" s="289"/>
      <c r="T125" s="285"/>
      <c r="U125" s="2249" t="s">
        <v>11</v>
      </c>
      <c r="V125" s="2248" t="s">
        <v>22</v>
      </c>
      <c r="W125" s="286">
        <v>840103</v>
      </c>
      <c r="X125" s="137" t="s">
        <v>13</v>
      </c>
      <c r="Y125" s="2251" t="s">
        <v>14</v>
      </c>
      <c r="Z125" s="287">
        <f>SUM($AA$10:$AA$13)</f>
        <v>5815.4431999999997</v>
      </c>
      <c r="AA125" s="221"/>
      <c r="AB125" s="221"/>
      <c r="AC125" s="221"/>
      <c r="AD125" s="221"/>
      <c r="AE125" s="221"/>
    </row>
    <row r="126" spans="1:32" ht="16.5" customHeight="1" thickBot="1">
      <c r="A126" s="1"/>
      <c r="B126" s="1"/>
      <c r="C126" s="221"/>
      <c r="D126" s="221"/>
      <c r="E126" s="221"/>
      <c r="F126" s="221"/>
      <c r="G126" s="221"/>
      <c r="H126" s="221"/>
      <c r="I126" s="221"/>
      <c r="J126" s="221"/>
      <c r="K126" s="221"/>
      <c r="L126" s="221"/>
      <c r="M126" s="221"/>
      <c r="N126" s="221"/>
      <c r="O126" s="221"/>
      <c r="P126" s="221"/>
      <c r="Q126" s="225"/>
      <c r="R126" s="225"/>
      <c r="S126" s="235"/>
      <c r="T126" s="235"/>
      <c r="U126" s="2243"/>
      <c r="V126" s="2245" t="s">
        <v>183</v>
      </c>
      <c r="W126" s="2244"/>
      <c r="X126" s="2244"/>
      <c r="Y126" s="2246" t="s">
        <v>340</v>
      </c>
      <c r="Z126" s="140">
        <f>SUM(Z123:Z125)</f>
        <v>690065.43319999997</v>
      </c>
      <c r="AA126" s="131"/>
      <c r="AB126" s="221"/>
      <c r="AC126" s="221"/>
      <c r="AD126" s="221"/>
      <c r="AE126" s="221"/>
    </row>
    <row r="127" spans="1:32" ht="16.5" customHeight="1" thickTop="1">
      <c r="A127" s="1"/>
      <c r="B127" s="1"/>
      <c r="C127" s="221"/>
      <c r="D127" s="221"/>
      <c r="E127" s="221"/>
      <c r="F127" s="221"/>
      <c r="G127" s="221"/>
      <c r="H127" s="221"/>
      <c r="I127" s="221"/>
      <c r="J127" s="221"/>
      <c r="K127" s="221"/>
      <c r="L127" s="221"/>
      <c r="M127" s="221"/>
      <c r="N127" s="221"/>
      <c r="O127" s="221"/>
      <c r="P127" s="221"/>
      <c r="Q127" s="221"/>
      <c r="R127" s="221"/>
      <c r="S127" s="135"/>
      <c r="T127" s="135"/>
      <c r="U127" s="131"/>
      <c r="V127" s="131"/>
      <c r="W127" s="142" t="s">
        <v>347</v>
      </c>
      <c r="X127" s="143"/>
      <c r="Y127" s="131"/>
      <c r="Z127" s="131"/>
      <c r="AA127" s="131"/>
      <c r="AB127" s="221"/>
      <c r="AC127" s="221"/>
      <c r="AD127" s="221"/>
      <c r="AE127" s="221"/>
    </row>
    <row r="128" spans="1:32" ht="16.5" customHeight="1" thickBot="1">
      <c r="A128" s="1"/>
      <c r="B128" s="1"/>
      <c r="C128" s="221"/>
      <c r="D128" s="221"/>
      <c r="E128" s="221"/>
      <c r="F128" s="221"/>
      <c r="G128" s="221"/>
      <c r="H128" s="221"/>
      <c r="I128" s="221"/>
      <c r="J128" s="221"/>
      <c r="K128" s="221"/>
      <c r="L128" s="221"/>
      <c r="M128" s="221"/>
      <c r="N128" s="221"/>
      <c r="O128" s="221"/>
      <c r="P128" s="221"/>
      <c r="Q128" s="221"/>
      <c r="R128" s="221"/>
      <c r="S128" s="135"/>
      <c r="T128" s="135"/>
      <c r="U128" s="131"/>
      <c r="V128" s="131"/>
      <c r="W128" s="131"/>
      <c r="X128" s="131"/>
      <c r="Y128" s="131"/>
      <c r="Z128" s="131"/>
      <c r="AA128" s="131"/>
      <c r="AB128" s="268"/>
      <c r="AC128" s="221"/>
      <c r="AD128" s="221"/>
      <c r="AE128" s="221"/>
    </row>
    <row r="129" spans="1:31" ht="16.5" customHeight="1" thickTop="1">
      <c r="A129" s="1"/>
      <c r="B129" s="1"/>
      <c r="C129" s="221"/>
      <c r="D129" s="221"/>
      <c r="E129" s="221"/>
      <c r="F129" s="221"/>
      <c r="G129" s="221"/>
      <c r="H129" s="221"/>
      <c r="I129" s="221"/>
      <c r="J129" s="221"/>
      <c r="K129" s="221"/>
      <c r="L129" s="221"/>
      <c r="M129" s="221"/>
      <c r="N129" s="221"/>
      <c r="O129" s="221"/>
      <c r="P129" s="221"/>
      <c r="Q129" s="221"/>
      <c r="R129" s="221"/>
      <c r="S129" s="135"/>
      <c r="T129" s="135"/>
      <c r="U129" s="4303" t="s">
        <v>348</v>
      </c>
      <c r="V129" s="4304"/>
      <c r="W129" s="4305"/>
      <c r="X129" s="131"/>
      <c r="Y129" s="144" t="s">
        <v>349</v>
      </c>
      <c r="Z129" s="145" t="str">
        <f>IF(Z126=AB117,"OK","NO")</f>
        <v>OK</v>
      </c>
      <c r="AA129" s="131"/>
      <c r="AB129" s="268"/>
      <c r="AC129" s="221"/>
      <c r="AD129" s="221"/>
      <c r="AE129" s="221"/>
    </row>
    <row r="130" spans="1:31" ht="16.5" customHeight="1">
      <c r="A130" s="1"/>
      <c r="B130" s="1"/>
      <c r="C130" s="221"/>
      <c r="D130" s="221"/>
      <c r="E130" s="221"/>
      <c r="F130" s="221"/>
      <c r="G130" s="221"/>
      <c r="H130" s="221"/>
      <c r="I130" s="221"/>
      <c r="J130" s="221"/>
      <c r="K130" s="221"/>
      <c r="L130" s="221"/>
      <c r="M130" s="221"/>
      <c r="N130" s="221"/>
      <c r="O130" s="221"/>
      <c r="P130" s="221"/>
      <c r="Q130" s="221"/>
      <c r="R130" s="221"/>
      <c r="S130" s="221"/>
      <c r="T130" s="221"/>
      <c r="U130" s="4213" t="s">
        <v>3666</v>
      </c>
      <c r="V130" s="4208"/>
      <c r="W130" s="516">
        <f>SUM(Z123)</f>
        <v>669241.99</v>
      </c>
      <c r="X130" s="143"/>
      <c r="Y130" s="131"/>
      <c r="Z130" s="145" t="str">
        <f>IF(W134=AB117,"OK","NO")</f>
        <v>OK</v>
      </c>
      <c r="AA130" s="131"/>
      <c r="AB130" s="268"/>
      <c r="AC130" s="221"/>
      <c r="AD130" s="221"/>
      <c r="AE130" s="221"/>
    </row>
    <row r="131" spans="1:31" ht="16.5" customHeight="1">
      <c r="A131" s="1"/>
      <c r="B131" s="1"/>
      <c r="C131" s="221"/>
      <c r="D131" s="221"/>
      <c r="E131" s="221"/>
      <c r="F131" s="221"/>
      <c r="G131" s="221"/>
      <c r="H131" s="221"/>
      <c r="I131" s="221"/>
      <c r="J131" s="221"/>
      <c r="K131" s="221"/>
      <c r="L131" s="221"/>
      <c r="M131" s="221"/>
      <c r="N131" s="221"/>
      <c r="O131" s="221"/>
      <c r="P131" s="221"/>
      <c r="Q131" s="221"/>
      <c r="R131" s="221"/>
      <c r="S131" s="221"/>
      <c r="T131" s="221"/>
      <c r="U131" s="4200" t="s">
        <v>3667</v>
      </c>
      <c r="V131" s="4201"/>
      <c r="W131" s="515">
        <v>0</v>
      </c>
      <c r="X131" s="143"/>
      <c r="Y131" s="131"/>
      <c r="Z131" s="145" t="str">
        <f>IF(W144=AB117,"OK","NO")</f>
        <v>OK</v>
      </c>
      <c r="AA131" s="131"/>
      <c r="AB131" s="268"/>
      <c r="AC131" s="221"/>
      <c r="AD131" s="221"/>
      <c r="AE131" s="221"/>
    </row>
    <row r="132" spans="1:31" ht="16.5" customHeight="1">
      <c r="A132" s="1"/>
      <c r="B132" s="1"/>
      <c r="C132" s="221"/>
      <c r="D132" s="221"/>
      <c r="E132" s="221"/>
      <c r="F132" s="221"/>
      <c r="G132" s="221"/>
      <c r="H132" s="221"/>
      <c r="I132" s="221"/>
      <c r="J132" s="221"/>
      <c r="K132" s="221"/>
      <c r="L132" s="221"/>
      <c r="M132" s="221"/>
      <c r="N132" s="221"/>
      <c r="O132" s="221"/>
      <c r="P132" s="221"/>
      <c r="Q132" s="221"/>
      <c r="R132" s="221"/>
      <c r="S132" s="221"/>
      <c r="T132" s="221"/>
      <c r="U132" s="4200" t="s">
        <v>3669</v>
      </c>
      <c r="V132" s="4201"/>
      <c r="W132" s="515">
        <f>SUM(Z124,Z125)</f>
        <v>20823.443200000002</v>
      </c>
      <c r="X132" s="143"/>
      <c r="Y132" s="143"/>
      <c r="Z132" s="145" t="str">
        <f>IF(Resumen!C349=AB117,"OK","NO")</f>
        <v>OK</v>
      </c>
      <c r="AA132" s="131"/>
      <c r="AB132" s="268"/>
      <c r="AC132" s="221"/>
      <c r="AD132" s="221"/>
      <c r="AE132" s="221"/>
    </row>
    <row r="133" spans="1:31" ht="16.5" customHeight="1">
      <c r="A133" s="1"/>
      <c r="B133" s="1"/>
      <c r="C133" s="221"/>
      <c r="D133" s="221"/>
      <c r="E133" s="221"/>
      <c r="F133" s="221"/>
      <c r="G133" s="221"/>
      <c r="H133" s="221"/>
      <c r="I133" s="221"/>
      <c r="J133" s="221"/>
      <c r="K133" s="221"/>
      <c r="L133" s="221"/>
      <c r="M133" s="221"/>
      <c r="N133" s="221"/>
      <c r="O133" s="221"/>
      <c r="P133" s="221"/>
      <c r="Q133" s="221"/>
      <c r="R133" s="221"/>
      <c r="S133" s="221"/>
      <c r="T133" s="221"/>
      <c r="U133" s="4200" t="s">
        <v>3668</v>
      </c>
      <c r="V133" s="4201"/>
      <c r="W133" s="517">
        <v>0</v>
      </c>
      <c r="X133" s="143"/>
      <c r="Y133" s="143"/>
      <c r="Z133" s="131"/>
      <c r="AA133" s="131"/>
      <c r="AB133" s="268"/>
      <c r="AC133" s="221"/>
      <c r="AD133" s="221"/>
      <c r="AE133" s="221"/>
    </row>
    <row r="134" spans="1:31" ht="16.5" customHeight="1">
      <c r="A134" s="1"/>
      <c r="B134" s="1"/>
      <c r="C134" s="221"/>
      <c r="D134" s="221"/>
      <c r="E134" s="221"/>
      <c r="F134" s="221"/>
      <c r="G134" s="221"/>
      <c r="H134" s="221"/>
      <c r="I134" s="221"/>
      <c r="J134" s="221"/>
      <c r="K134" s="221"/>
      <c r="L134" s="221"/>
      <c r="M134" s="221"/>
      <c r="N134" s="221"/>
      <c r="O134" s="221"/>
      <c r="P134" s="221"/>
      <c r="Q134" s="221"/>
      <c r="R134" s="221"/>
      <c r="S134" s="221"/>
      <c r="T134" s="221"/>
      <c r="U134" s="4309" t="s">
        <v>183</v>
      </c>
      <c r="V134" s="4201"/>
      <c r="W134" s="1620">
        <f>SUM(W130:W133)</f>
        <v>690065.43319999997</v>
      </c>
      <c r="X134" s="143"/>
      <c r="Y134" s="143"/>
      <c r="Z134" s="131"/>
      <c r="AA134" s="131"/>
      <c r="AB134" s="268"/>
      <c r="AC134" s="221"/>
      <c r="AD134" s="221"/>
      <c r="AE134" s="221"/>
    </row>
    <row r="135" spans="1:31" ht="16.5" customHeight="1">
      <c r="A135" s="1"/>
      <c r="B135" s="1"/>
      <c r="C135" s="221"/>
      <c r="D135" s="221"/>
      <c r="E135" s="221"/>
      <c r="F135" s="221"/>
      <c r="G135" s="221"/>
      <c r="H135" s="221"/>
      <c r="I135" s="221"/>
      <c r="J135" s="221"/>
      <c r="K135" s="221"/>
      <c r="L135" s="221"/>
      <c r="M135" s="221"/>
      <c r="N135" s="221"/>
      <c r="O135" s="221"/>
      <c r="P135" s="221"/>
      <c r="Q135" s="221"/>
      <c r="R135" s="221"/>
      <c r="S135" s="221"/>
      <c r="T135" s="221"/>
      <c r="U135" s="4297" t="s">
        <v>350</v>
      </c>
      <c r="V135" s="4298"/>
      <c r="W135" s="4299"/>
      <c r="X135" s="147"/>
      <c r="Y135" s="147"/>
      <c r="Z135" s="131"/>
      <c r="AA135" s="131"/>
      <c r="AB135" s="268"/>
      <c r="AC135" s="221"/>
      <c r="AD135" s="221"/>
      <c r="AE135" s="221"/>
    </row>
    <row r="136" spans="1:31" ht="16.5" customHeight="1">
      <c r="A136" s="1"/>
      <c r="B136" s="1"/>
      <c r="C136" s="221"/>
      <c r="D136" s="221"/>
      <c r="E136" s="221"/>
      <c r="F136" s="221"/>
      <c r="G136" s="221"/>
      <c r="H136" s="221"/>
      <c r="I136" s="221"/>
      <c r="J136" s="221"/>
      <c r="K136" s="221"/>
      <c r="L136" s="221"/>
      <c r="M136" s="221"/>
      <c r="N136" s="221"/>
      <c r="O136" s="221"/>
      <c r="P136" s="221"/>
      <c r="Q136" s="221"/>
      <c r="R136" s="221"/>
      <c r="S136" s="221"/>
      <c r="T136" s="221"/>
      <c r="U136" s="4375" t="s">
        <v>3670</v>
      </c>
      <c r="V136" s="4201"/>
      <c r="W136" s="515">
        <v>0</v>
      </c>
      <c r="X136" s="147"/>
      <c r="Y136" s="147"/>
      <c r="Z136" s="131"/>
      <c r="AA136" s="131"/>
      <c r="AB136" s="268"/>
      <c r="AC136" s="221"/>
      <c r="AD136" s="221"/>
      <c r="AE136" s="221"/>
    </row>
    <row r="137" spans="1:31" ht="16.5" customHeight="1">
      <c r="A137" s="1"/>
      <c r="B137" s="1"/>
      <c r="C137" s="221"/>
      <c r="D137" s="221"/>
      <c r="E137" s="221"/>
      <c r="F137" s="221"/>
      <c r="G137" s="221"/>
      <c r="H137" s="221"/>
      <c r="I137" s="221"/>
      <c r="J137" s="221"/>
      <c r="K137" s="221"/>
      <c r="L137" s="221"/>
      <c r="M137" s="221"/>
      <c r="N137" s="221"/>
      <c r="O137" s="221"/>
      <c r="P137" s="221"/>
      <c r="Q137" s="221"/>
      <c r="R137" s="221"/>
      <c r="S137" s="221"/>
      <c r="T137" s="221"/>
      <c r="U137" s="4209" t="s">
        <v>3671</v>
      </c>
      <c r="V137" s="4201"/>
      <c r="W137" s="515">
        <f>SUM(Z123:Z124)</f>
        <v>684249.99</v>
      </c>
      <c r="X137" s="147"/>
      <c r="Y137" s="147"/>
      <c r="Z137" s="131"/>
      <c r="AA137" s="269"/>
      <c r="AB137" s="270"/>
      <c r="AC137" s="221"/>
      <c r="AD137" s="221"/>
      <c r="AE137" s="221"/>
    </row>
    <row r="138" spans="1:31" ht="16.5" customHeight="1">
      <c r="A138" s="1"/>
      <c r="B138" s="1"/>
      <c r="C138" s="221"/>
      <c r="D138" s="221"/>
      <c r="E138" s="221"/>
      <c r="F138" s="221"/>
      <c r="G138" s="221"/>
      <c r="H138" s="221"/>
      <c r="I138" s="221"/>
      <c r="J138" s="221"/>
      <c r="K138" s="221"/>
      <c r="L138" s="221"/>
      <c r="M138" s="221"/>
      <c r="N138" s="221"/>
      <c r="O138" s="221"/>
      <c r="P138" s="221"/>
      <c r="Q138" s="221"/>
      <c r="R138" s="221"/>
      <c r="S138" s="221"/>
      <c r="T138" s="221"/>
      <c r="U138" s="4209" t="s">
        <v>3672</v>
      </c>
      <c r="V138" s="4201"/>
      <c r="W138" s="515">
        <v>0</v>
      </c>
      <c r="X138" s="150"/>
      <c r="Y138" s="150"/>
      <c r="Z138" s="269"/>
      <c r="AA138" s="269"/>
      <c r="AB138" s="270"/>
      <c r="AC138" s="225"/>
      <c r="AD138" s="225"/>
      <c r="AE138" s="221"/>
    </row>
    <row r="139" spans="1:31" ht="16.5" customHeight="1">
      <c r="A139" s="1"/>
      <c r="B139" s="1"/>
      <c r="C139" s="221"/>
      <c r="D139" s="221"/>
      <c r="E139" s="221"/>
      <c r="F139" s="221"/>
      <c r="G139" s="221"/>
      <c r="H139" s="221"/>
      <c r="I139" s="221"/>
      <c r="J139" s="221"/>
      <c r="K139" s="221"/>
      <c r="L139" s="221"/>
      <c r="M139" s="221"/>
      <c r="N139" s="221"/>
      <c r="O139" s="221"/>
      <c r="P139" s="221"/>
      <c r="Q139" s="221"/>
      <c r="R139" s="221"/>
      <c r="S139" s="221"/>
      <c r="T139" s="221"/>
      <c r="U139" s="4209" t="s">
        <v>3673</v>
      </c>
      <c r="V139" s="4201"/>
      <c r="W139" s="515">
        <v>0</v>
      </c>
      <c r="X139" s="143"/>
      <c r="Y139" s="143"/>
      <c r="Z139" s="269"/>
      <c r="AA139" s="1884"/>
      <c r="AB139" s="1884"/>
      <c r="AC139" s="225"/>
      <c r="AD139" s="225"/>
      <c r="AE139" s="221"/>
    </row>
    <row r="140" spans="1:31" ht="16.5" customHeight="1">
      <c r="A140" s="1"/>
      <c r="B140" s="1"/>
      <c r="C140" s="221"/>
      <c r="D140" s="221"/>
      <c r="E140" s="221"/>
      <c r="F140" s="221"/>
      <c r="G140" s="221"/>
      <c r="H140" s="221"/>
      <c r="I140" s="221"/>
      <c r="J140" s="221"/>
      <c r="K140" s="221"/>
      <c r="L140" s="221"/>
      <c r="M140" s="221"/>
      <c r="N140" s="221"/>
      <c r="O140" s="221"/>
      <c r="P140" s="221"/>
      <c r="Q140" s="221"/>
      <c r="R140" s="221"/>
      <c r="S140" s="221"/>
      <c r="T140" s="221"/>
      <c r="U140" s="4209" t="s">
        <v>3674</v>
      </c>
      <c r="V140" s="4201"/>
      <c r="W140" s="515">
        <v>0</v>
      </c>
      <c r="X140" s="151"/>
      <c r="Y140" s="151"/>
      <c r="Z140" s="1887"/>
      <c r="AA140" s="272"/>
      <c r="AB140" s="271"/>
      <c r="AC140" s="225"/>
      <c r="AD140" s="225"/>
      <c r="AE140" s="221"/>
    </row>
    <row r="141" spans="1:31" ht="16.5" customHeight="1">
      <c r="A141" s="1"/>
      <c r="B141" s="1"/>
      <c r="C141" s="221"/>
      <c r="D141" s="221"/>
      <c r="E141" s="221"/>
      <c r="F141" s="221"/>
      <c r="G141" s="221"/>
      <c r="H141" s="221"/>
      <c r="I141" s="221"/>
      <c r="J141" s="221"/>
      <c r="K141" s="221"/>
      <c r="L141" s="221"/>
      <c r="M141" s="221"/>
      <c r="N141" s="221"/>
      <c r="O141" s="221"/>
      <c r="P141" s="221"/>
      <c r="Q141" s="221"/>
      <c r="R141" s="221"/>
      <c r="S141" s="221"/>
      <c r="T141" s="221"/>
      <c r="U141" s="4209" t="s">
        <v>3675</v>
      </c>
      <c r="V141" s="4201"/>
      <c r="W141" s="515">
        <v>0</v>
      </c>
      <c r="X141" s="151"/>
      <c r="Y141" s="151"/>
      <c r="Z141" s="271"/>
      <c r="AA141" s="274"/>
      <c r="AB141" s="275"/>
      <c r="AC141" s="225"/>
      <c r="AD141" s="225"/>
      <c r="AE141" s="221"/>
    </row>
    <row r="142" spans="1:31" ht="16.5" customHeight="1">
      <c r="A142" s="1"/>
      <c r="B142" s="1"/>
      <c r="C142" s="221"/>
      <c r="D142" s="221"/>
      <c r="E142" s="221"/>
      <c r="F142" s="221"/>
      <c r="G142" s="221"/>
      <c r="H142" s="221"/>
      <c r="I142" s="221"/>
      <c r="J142" s="221"/>
      <c r="K142" s="221"/>
      <c r="L142" s="221"/>
      <c r="M142" s="221"/>
      <c r="N142" s="221"/>
      <c r="O142" s="221"/>
      <c r="P142" s="221"/>
      <c r="Q142" s="221"/>
      <c r="R142" s="221"/>
      <c r="S142" s="221"/>
      <c r="T142" s="221"/>
      <c r="U142" s="4209" t="s">
        <v>3676</v>
      </c>
      <c r="V142" s="4201"/>
      <c r="W142" s="515">
        <f>SUM(Z125)</f>
        <v>5815.4431999999997</v>
      </c>
      <c r="X142" s="151"/>
      <c r="Y142" s="151"/>
      <c r="Z142" s="273"/>
      <c r="AA142" s="235"/>
      <c r="AB142" s="270"/>
      <c r="AC142" s="225"/>
      <c r="AD142" s="225"/>
      <c r="AE142" s="221"/>
    </row>
    <row r="143" spans="1:31" ht="16.5" customHeight="1">
      <c r="A143" s="1"/>
      <c r="B143" s="1"/>
      <c r="C143" s="221"/>
      <c r="D143" s="221"/>
      <c r="E143" s="221"/>
      <c r="F143" s="221"/>
      <c r="G143" s="221"/>
      <c r="H143" s="221"/>
      <c r="I143" s="221"/>
      <c r="J143" s="221"/>
      <c r="K143" s="221"/>
      <c r="L143" s="221"/>
      <c r="M143" s="221"/>
      <c r="N143" s="221"/>
      <c r="O143" s="221"/>
      <c r="P143" s="221"/>
      <c r="Q143" s="221"/>
      <c r="R143" s="221"/>
      <c r="S143" s="221"/>
      <c r="T143" s="221"/>
      <c r="U143" s="4209" t="s">
        <v>3677</v>
      </c>
      <c r="V143" s="4201"/>
      <c r="W143" s="517">
        <v>0</v>
      </c>
      <c r="X143" s="152"/>
      <c r="Y143" s="152"/>
      <c r="Z143" s="235"/>
      <c r="AA143" s="269"/>
      <c r="AB143" s="270"/>
      <c r="AC143" s="225"/>
      <c r="AD143" s="225"/>
      <c r="AE143" s="221"/>
    </row>
    <row r="144" spans="1:31" ht="16.5" customHeight="1" thickBot="1">
      <c r="A144" s="1"/>
      <c r="B144" s="1"/>
      <c r="C144" s="221"/>
      <c r="D144" s="221"/>
      <c r="E144" s="221"/>
      <c r="F144" s="221"/>
      <c r="G144" s="221"/>
      <c r="H144" s="221"/>
      <c r="I144" s="221"/>
      <c r="J144" s="221"/>
      <c r="K144" s="221"/>
      <c r="L144" s="221"/>
      <c r="M144" s="221"/>
      <c r="N144" s="221"/>
      <c r="O144" s="221"/>
      <c r="P144" s="221"/>
      <c r="Q144" s="221"/>
      <c r="R144" s="221"/>
      <c r="S144" s="221"/>
      <c r="T144" s="221"/>
      <c r="U144" s="4295" t="s">
        <v>183</v>
      </c>
      <c r="V144" s="4296"/>
      <c r="W144" s="1572">
        <f>SUM(W136:W143)</f>
        <v>690065.43319999997</v>
      </c>
      <c r="X144" s="150"/>
      <c r="Y144" s="150"/>
      <c r="Z144" s="269"/>
      <c r="AB144" s="225"/>
      <c r="AC144" s="225"/>
      <c r="AD144" s="225"/>
      <c r="AE144" s="221"/>
    </row>
    <row r="145" ht="15.75" customHeight="1" thickTop="1"/>
  </sheetData>
  <mergeCells count="395">
    <mergeCell ref="L65:L69"/>
    <mergeCell ref="M65:M69"/>
    <mergeCell ref="G71:G75"/>
    <mergeCell ref="H71:H75"/>
    <mergeCell ref="I71:I75"/>
    <mergeCell ref="J71:J75"/>
    <mergeCell ref="K71:K75"/>
    <mergeCell ref="L71:L75"/>
    <mergeCell ref="M71:M75"/>
    <mergeCell ref="G65:G69"/>
    <mergeCell ref="H65:H69"/>
    <mergeCell ref="J55:J59"/>
    <mergeCell ref="K55:K59"/>
    <mergeCell ref="E55:E59"/>
    <mergeCell ref="F55:F59"/>
    <mergeCell ref="G55:G59"/>
    <mergeCell ref="H55:H59"/>
    <mergeCell ref="I55:I59"/>
    <mergeCell ref="I65:I69"/>
    <mergeCell ref="J65:J69"/>
    <mergeCell ref="K65:K69"/>
    <mergeCell ref="G60:G64"/>
    <mergeCell ref="H60:H64"/>
    <mergeCell ref="I60:I64"/>
    <mergeCell ref="J60:J64"/>
    <mergeCell ref="K60:K64"/>
    <mergeCell ref="M76:M80"/>
    <mergeCell ref="G86:G90"/>
    <mergeCell ref="H86:H90"/>
    <mergeCell ref="I86:I90"/>
    <mergeCell ref="J86:J90"/>
    <mergeCell ref="K86:K90"/>
    <mergeCell ref="L86:L90"/>
    <mergeCell ref="M86:M90"/>
    <mergeCell ref="G81:G85"/>
    <mergeCell ref="H81:H85"/>
    <mergeCell ref="I81:I85"/>
    <mergeCell ref="J81:J85"/>
    <mergeCell ref="H76:H80"/>
    <mergeCell ref="I76:I80"/>
    <mergeCell ref="J76:J80"/>
    <mergeCell ref="K76:K80"/>
    <mergeCell ref="L76:L80"/>
    <mergeCell ref="H96:H100"/>
    <mergeCell ref="I96:I100"/>
    <mergeCell ref="J96:J100"/>
    <mergeCell ref="K96:K100"/>
    <mergeCell ref="L96:L100"/>
    <mergeCell ref="M96:M100"/>
    <mergeCell ref="F81:F85"/>
    <mergeCell ref="K91:K95"/>
    <mergeCell ref="L91:L95"/>
    <mergeCell ref="K81:K85"/>
    <mergeCell ref="L81:L85"/>
    <mergeCell ref="M81:M85"/>
    <mergeCell ref="M91:M95"/>
    <mergeCell ref="G91:G95"/>
    <mergeCell ref="H91:H95"/>
    <mergeCell ref="I91:I95"/>
    <mergeCell ref="J91:J95"/>
    <mergeCell ref="H101:H105"/>
    <mergeCell ref="I101:I105"/>
    <mergeCell ref="J101:J105"/>
    <mergeCell ref="K101:K105"/>
    <mergeCell ref="L101:L105"/>
    <mergeCell ref="M101:M105"/>
    <mergeCell ref="G111:G115"/>
    <mergeCell ref="H111:H115"/>
    <mergeCell ref="I111:I115"/>
    <mergeCell ref="J111:J115"/>
    <mergeCell ref="K111:K115"/>
    <mergeCell ref="L111:L115"/>
    <mergeCell ref="M111:M115"/>
    <mergeCell ref="G106:G110"/>
    <mergeCell ref="H106:H110"/>
    <mergeCell ref="I106:I110"/>
    <mergeCell ref="J106:J110"/>
    <mergeCell ref="K106:K110"/>
    <mergeCell ref="L106:L110"/>
    <mergeCell ref="M106:M110"/>
    <mergeCell ref="E30:E34"/>
    <mergeCell ref="F30:F34"/>
    <mergeCell ref="E35:E39"/>
    <mergeCell ref="F35:F39"/>
    <mergeCell ref="E45:E49"/>
    <mergeCell ref="F45:F49"/>
    <mergeCell ref="E25:E29"/>
    <mergeCell ref="F25:F29"/>
    <mergeCell ref="G101:G105"/>
    <mergeCell ref="E65:E69"/>
    <mergeCell ref="F65:F69"/>
    <mergeCell ref="E71:E75"/>
    <mergeCell ref="F71:F75"/>
    <mergeCell ref="E76:E80"/>
    <mergeCell ref="F76:F80"/>
    <mergeCell ref="G76:G80"/>
    <mergeCell ref="E60:E64"/>
    <mergeCell ref="F60:F64"/>
    <mergeCell ref="G30:G34"/>
    <mergeCell ref="G45:G49"/>
    <mergeCell ref="G25:G29"/>
    <mergeCell ref="G50:G54"/>
    <mergeCell ref="G96:G100"/>
    <mergeCell ref="E81:E85"/>
    <mergeCell ref="C15:C19"/>
    <mergeCell ref="C20:C24"/>
    <mergeCell ref="C30:C34"/>
    <mergeCell ref="D30:D34"/>
    <mergeCell ref="C35:C39"/>
    <mergeCell ref="D35:D39"/>
    <mergeCell ref="C40:C44"/>
    <mergeCell ref="D40:D44"/>
    <mergeCell ref="C45:C49"/>
    <mergeCell ref="D45:D49"/>
    <mergeCell ref="C50:C54"/>
    <mergeCell ref="D50:D54"/>
    <mergeCell ref="C55:C59"/>
    <mergeCell ref="D55:D59"/>
    <mergeCell ref="E106:E110"/>
    <mergeCell ref="E111:E115"/>
    <mergeCell ref="F86:F90"/>
    <mergeCell ref="F91:F95"/>
    <mergeCell ref="E96:E100"/>
    <mergeCell ref="F96:F100"/>
    <mergeCell ref="E101:E105"/>
    <mergeCell ref="F101:F105"/>
    <mergeCell ref="F106:F110"/>
    <mergeCell ref="F111:F115"/>
    <mergeCell ref="E50:E54"/>
    <mergeCell ref="F50:F54"/>
    <mergeCell ref="D65:D69"/>
    <mergeCell ref="E86:E90"/>
    <mergeCell ref="E91:E95"/>
    <mergeCell ref="B71:B116"/>
    <mergeCell ref="C71:C75"/>
    <mergeCell ref="C76:C80"/>
    <mergeCell ref="C81:C85"/>
    <mergeCell ref="C86:C90"/>
    <mergeCell ref="C91:C95"/>
    <mergeCell ref="C96:C100"/>
    <mergeCell ref="C111:C115"/>
    <mergeCell ref="D101:D105"/>
    <mergeCell ref="D106:D110"/>
    <mergeCell ref="D71:D75"/>
    <mergeCell ref="D76:D80"/>
    <mergeCell ref="D81:D85"/>
    <mergeCell ref="D86:D90"/>
    <mergeCell ref="D91:D95"/>
    <mergeCell ref="D96:D100"/>
    <mergeCell ref="C101:C105"/>
    <mergeCell ref="C106:C110"/>
    <mergeCell ref="AF91:AF95"/>
    <mergeCell ref="AF96:AF100"/>
    <mergeCell ref="AF101:AF105"/>
    <mergeCell ref="AF106:AF110"/>
    <mergeCell ref="AF111:AF115"/>
    <mergeCell ref="O86:O90"/>
    <mergeCell ref="P86:P90"/>
    <mergeCell ref="Q86:Q90"/>
    <mergeCell ref="R86:R90"/>
    <mergeCell ref="AF86:AF90"/>
    <mergeCell ref="O91:O95"/>
    <mergeCell ref="P91:P95"/>
    <mergeCell ref="Q91:Q95"/>
    <mergeCell ref="R91:R95"/>
    <mergeCell ref="O96:O100"/>
    <mergeCell ref="P96:P100"/>
    <mergeCell ref="Q96:Q100"/>
    <mergeCell ref="R96:R100"/>
    <mergeCell ref="O101:O105"/>
    <mergeCell ref="R101:R105"/>
    <mergeCell ref="P101:P105"/>
    <mergeCell ref="Q101:Q105"/>
    <mergeCell ref="S116:Z116"/>
    <mergeCell ref="AC116:AF116"/>
    <mergeCell ref="AC117:AF117"/>
    <mergeCell ref="S117:Y117"/>
    <mergeCell ref="S118:AF118"/>
    <mergeCell ref="U120:Z120"/>
    <mergeCell ref="AB119:AC119"/>
    <mergeCell ref="U129:W129"/>
    <mergeCell ref="N106:N110"/>
    <mergeCell ref="O106:O110"/>
    <mergeCell ref="P106:P110"/>
    <mergeCell ref="Q106:Q110"/>
    <mergeCell ref="R106:R110"/>
    <mergeCell ref="O111:O115"/>
    <mergeCell ref="P111:P115"/>
    <mergeCell ref="Q111:Q115"/>
    <mergeCell ref="R111:R115"/>
    <mergeCell ref="U130:V130"/>
    <mergeCell ref="U138:V138"/>
    <mergeCell ref="U139:V139"/>
    <mergeCell ref="U140:V140"/>
    <mergeCell ref="U141:V141"/>
    <mergeCell ref="U142:V142"/>
    <mergeCell ref="U143:V143"/>
    <mergeCell ref="U144:V144"/>
    <mergeCell ref="U131:V131"/>
    <mergeCell ref="U132:V132"/>
    <mergeCell ref="U133:V133"/>
    <mergeCell ref="U134:V134"/>
    <mergeCell ref="U135:W135"/>
    <mergeCell ref="U136:V136"/>
    <mergeCell ref="U137:V137"/>
    <mergeCell ref="P55:P59"/>
    <mergeCell ref="Q55:Q59"/>
    <mergeCell ref="AF55:AF59"/>
    <mergeCell ref="AF60:AF64"/>
    <mergeCell ref="L50:L54"/>
    <mergeCell ref="M50:M54"/>
    <mergeCell ref="O50:O54"/>
    <mergeCell ref="P50:P54"/>
    <mergeCell ref="Q50:Q54"/>
    <mergeCell ref="R50:R54"/>
    <mergeCell ref="R55:R59"/>
    <mergeCell ref="O55:O59"/>
    <mergeCell ref="O60:O64"/>
    <mergeCell ref="P60:P64"/>
    <mergeCell ref="Q60:Q64"/>
    <mergeCell ref="R60:R64"/>
    <mergeCell ref="L55:L59"/>
    <mergeCell ref="M55:M59"/>
    <mergeCell ref="L60:L64"/>
    <mergeCell ref="M60:M64"/>
    <mergeCell ref="Q65:Q69"/>
    <mergeCell ref="R65:R69"/>
    <mergeCell ref="AF65:AF69"/>
    <mergeCell ref="S70:Z70"/>
    <mergeCell ref="AC70:AF70"/>
    <mergeCell ref="O71:O75"/>
    <mergeCell ref="P71:P75"/>
    <mergeCell ref="Q71:Q75"/>
    <mergeCell ref="R71:R75"/>
    <mergeCell ref="AF71:AF75"/>
    <mergeCell ref="O65:O69"/>
    <mergeCell ref="P65:P69"/>
    <mergeCell ref="O76:O80"/>
    <mergeCell ref="P76:P80"/>
    <mergeCell ref="Q76:Q80"/>
    <mergeCell ref="R76:R80"/>
    <mergeCell ref="AF76:AF80"/>
    <mergeCell ref="O81:O85"/>
    <mergeCell ref="P81:P85"/>
    <mergeCell ref="Q81:Q85"/>
    <mergeCell ref="R81:R85"/>
    <mergeCell ref="AF81:AF85"/>
    <mergeCell ref="AF40:AF44"/>
    <mergeCell ref="AF45:AF49"/>
    <mergeCell ref="AF50:AF54"/>
    <mergeCell ref="AF9:AF14"/>
    <mergeCell ref="AF15:AF19"/>
    <mergeCell ref="AF20:AF24"/>
    <mergeCell ref="AF25:AF29"/>
    <mergeCell ref="AF30:AF34"/>
    <mergeCell ref="A1:AF1"/>
    <mergeCell ref="A2:AF2"/>
    <mergeCell ref="A3:AF3"/>
    <mergeCell ref="A4:AF4"/>
    <mergeCell ref="A9:A117"/>
    <mergeCell ref="B9:B70"/>
    <mergeCell ref="C9:C14"/>
    <mergeCell ref="D9:D14"/>
    <mergeCell ref="D15:D19"/>
    <mergeCell ref="D111:D115"/>
    <mergeCell ref="D20:D24"/>
    <mergeCell ref="C25:C29"/>
    <mergeCell ref="D25:D29"/>
    <mergeCell ref="C60:C64"/>
    <mergeCell ref="D60:D64"/>
    <mergeCell ref="C65:C69"/>
    <mergeCell ref="Q9:Q14"/>
    <mergeCell ref="R9:R14"/>
    <mergeCell ref="L15:L19"/>
    <mergeCell ref="M15:M19"/>
    <mergeCell ref="O15:O19"/>
    <mergeCell ref="P15:P19"/>
    <mergeCell ref="Q15:Q19"/>
    <mergeCell ref="R15:R19"/>
    <mergeCell ref="AF35:AF39"/>
    <mergeCell ref="O30:O34"/>
    <mergeCell ref="P30:P34"/>
    <mergeCell ref="Q30:Q34"/>
    <mergeCell ref="R30:R34"/>
    <mergeCell ref="H30:H34"/>
    <mergeCell ref="I30:I34"/>
    <mergeCell ref="J30:J34"/>
    <mergeCell ref="K30:K34"/>
    <mergeCell ref="L30:L34"/>
    <mergeCell ref="M30:M34"/>
    <mergeCell ref="Q35:Q39"/>
    <mergeCell ref="R35:R39"/>
    <mergeCell ref="G35:G39"/>
    <mergeCell ref="H35:H39"/>
    <mergeCell ref="I35:I39"/>
    <mergeCell ref="J35:J39"/>
    <mergeCell ref="K35:K39"/>
    <mergeCell ref="H45:H49"/>
    <mergeCell ref="I45:I49"/>
    <mergeCell ref="J45:J49"/>
    <mergeCell ref="K45:K49"/>
    <mergeCell ref="L40:L44"/>
    <mergeCell ref="M40:M44"/>
    <mergeCell ref="E40:E44"/>
    <mergeCell ref="F40:F44"/>
    <mergeCell ref="G40:G44"/>
    <mergeCell ref="H40:H44"/>
    <mergeCell ref="I40:I44"/>
    <mergeCell ref="J40:J44"/>
    <mergeCell ref="K40:K44"/>
    <mergeCell ref="E9:E14"/>
    <mergeCell ref="F9:F14"/>
    <mergeCell ref="G9:G14"/>
    <mergeCell ref="H9:H14"/>
    <mergeCell ref="I9:I14"/>
    <mergeCell ref="L20:L24"/>
    <mergeCell ref="M20:M24"/>
    <mergeCell ref="O20:O24"/>
    <mergeCell ref="P20:P24"/>
    <mergeCell ref="E15:E19"/>
    <mergeCell ref="F15:F19"/>
    <mergeCell ref="G15:G19"/>
    <mergeCell ref="H15:H19"/>
    <mergeCell ref="I15:I19"/>
    <mergeCell ref="J15:J19"/>
    <mergeCell ref="K15:K19"/>
    <mergeCell ref="J9:J14"/>
    <mergeCell ref="K9:K14"/>
    <mergeCell ref="L9:L14"/>
    <mergeCell ref="M9:M14"/>
    <mergeCell ref="O9:O14"/>
    <mergeCell ref="P9:P14"/>
    <mergeCell ref="N9:N14"/>
    <mergeCell ref="I25:I29"/>
    <mergeCell ref="J25:J29"/>
    <mergeCell ref="K25:K29"/>
    <mergeCell ref="Q20:Q24"/>
    <mergeCell ref="R20:R24"/>
    <mergeCell ref="E20:E24"/>
    <mergeCell ref="F20:F24"/>
    <mergeCell ref="G20:G24"/>
    <mergeCell ref="H20:H24"/>
    <mergeCell ref="I20:I24"/>
    <mergeCell ref="J20:J24"/>
    <mergeCell ref="K20:K24"/>
    <mergeCell ref="L25:L29"/>
    <mergeCell ref="M25:M29"/>
    <mergeCell ref="H50:H54"/>
    <mergeCell ref="I50:I54"/>
    <mergeCell ref="J50:J54"/>
    <mergeCell ref="K50:K54"/>
    <mergeCell ref="O25:O29"/>
    <mergeCell ref="P25:P29"/>
    <mergeCell ref="Q25:Q29"/>
    <mergeCell ref="R25:R29"/>
    <mergeCell ref="L45:L49"/>
    <mergeCell ref="M45:M49"/>
    <mergeCell ref="O45:O49"/>
    <mergeCell ref="P45:P49"/>
    <mergeCell ref="Q45:Q49"/>
    <mergeCell ref="R45:R49"/>
    <mergeCell ref="N40:N44"/>
    <mergeCell ref="O40:O44"/>
    <mergeCell ref="P40:P44"/>
    <mergeCell ref="Q40:Q44"/>
    <mergeCell ref="R40:R44"/>
    <mergeCell ref="L35:L39"/>
    <mergeCell ref="M35:M39"/>
    <mergeCell ref="O35:O39"/>
    <mergeCell ref="P35:P39"/>
    <mergeCell ref="H25:H29"/>
    <mergeCell ref="N45:N49"/>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3">
    <dataValidation type="list" allowBlank="1" showErrorMessage="1" sqref="F9 F15 F20 F25 F30 F35 F40 F45 F50 F55 F60 F65 F71 F76 F81 F86 F91 F96 F101 F106 F111">
      <formula1>INDIRECT($E9)</formula1>
    </dataValidation>
    <dataValidation type="list" allowBlank="1" showErrorMessage="1" sqref="E9 E15 E20 E25 E30 E35 E40 E45 E50 E55 E60 E65 E71 E76 E81 E86 E91 E96 E101 E106 E111">
      <formula1>INDIRECT($G9)</formula1>
    </dataValidation>
    <dataValidation type="decimal" allowBlank="1" showInputMessage="1" showErrorMessage="1" prompt="DPLAN - Sólo debe ingresar valores, NO porcentajes." sqref="M15:O15 N16:N19 M20:O20 N21:N24 M25:O25 N26:N29 M30:O30 N31:N34 M40:O40 M45:O45 N112:N115 M50:O50 N51:N54 M55:O55 N56:N59 M60:O60 N61:N64 M65:O65 N66:N69 M76:O76 N77:N80 M81:O81 N82:N85 M86:O86 N87:N90 M91:O91 N92:N95 M101:O101 N102:N105 M106:O106 M111:O111">
      <formula1>0</formula1>
      <formula2>1000000</formula2>
    </dataValidation>
  </dataValidations>
  <printOptions horizontalCentered="1"/>
  <pageMargins left="0" right="0" top="0.78740157480314965" bottom="0.35433070866141736" header="0" footer="0"/>
  <pageSetup paperSize="9" scale="24" fitToHeight="0" pageOrder="overThenDown" orientation="landscape" r:id="rId1"/>
  <headerFooter>
    <oddHeader>&amp;L&amp;"Britannic Bold,Normal"&amp;12&amp;K002060POA 2023&amp;"-,Normal"&amp;10&amp;K000000
&amp;"Cambria,Cursiva"&amp;12&amp;K0070C0Administración Central&amp;C&amp;"Century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C15:D15 C20:D20 C25:D25 C30:D30 C35:D35 C40:D40 C45:D45 C50:D50 C55:D55 C60:D60 C65:D65 C71:D71 C76:D76 C81:D81 C86:D86 C91:D91 C96:D96 C101:D101 C106:D106 C111:D111</xm:sqref>
        </x14:dataValidation>
        <x14:dataValidation type="list" allowBlank="1" showErrorMessage="1">
          <x14:formula1>
            <xm:f>(PEDI!#REF!)</xm:f>
          </x14:formula1>
          <xm:sqref>H9 H15 H20 H25 H30 H35 H40 H45 H50 H55 H60 H65 H71 H76 H81 H86 H91 H96 H101 H106 H111</xm:sqref>
        </x14:dataValidation>
        <x14:dataValidation type="list" allowBlank="1" showErrorMessage="1">
          <x14:formula1>
            <xm:f>PEDI!#REF!</xm:f>
          </x14:formula1>
          <xm:sqref>G9 G15 G20 G25 G30 G35 G40 G45 G50 G55 G60 G65 G71 G76 G81 G86 G91 G96 G101 G106 G111</xm:sqref>
        </x14:dataValidation>
        <x14:dataValidation type="list" allowBlank="1" showErrorMessage="1">
          <x14:formula1>
            <xm:f>INDIRECT('Estrategias DAFO'!#REF!)</xm:f>
          </x14:formula1>
          <xm:sqref>I9 I15 I20 I25 I30 I35 I40 I45 I50 I55 I60 I65 I71 I76 I81 I86 I91 I96 I101 I106 I111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262"/>
  <sheetViews>
    <sheetView showGridLines="0" topLeftCell="R236" zoomScaleNormal="100" workbookViewId="0">
      <selection activeCell="Z250" sqref="Z250"/>
    </sheetView>
  </sheetViews>
  <sheetFormatPr baseColWidth="10" defaultColWidth="12.5703125" defaultRowHeight="15.75" customHeight="1"/>
  <cols>
    <col min="1" max="2" width="5" customWidth="1"/>
    <col min="3" max="12" width="22.42578125" customWidth="1"/>
    <col min="13" max="15" width="8.7109375" customWidth="1"/>
    <col min="16" max="18" width="22.42578125" customWidth="1"/>
    <col min="19" max="19" width="25.7109375" customWidth="1"/>
    <col min="20" max="20" width="13.7109375" customWidth="1"/>
    <col min="21" max="21" width="31.7109375" customWidth="1"/>
    <col min="22" max="22" width="45.42578125" customWidth="1"/>
    <col min="23" max="23" width="13.7109375" customWidth="1"/>
    <col min="24" max="24" width="12" customWidth="1"/>
    <col min="25" max="25" width="13" customWidth="1"/>
    <col min="26" max="26" width="13.7109375" customWidth="1"/>
    <col min="27" max="27" width="13" customWidth="1"/>
    <col min="28" max="28" width="14.5703125" customWidth="1"/>
    <col min="29" max="31" width="7.7109375" customWidth="1"/>
    <col min="32" max="32" width="19.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291"/>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292"/>
    </row>
    <row r="3" spans="1:32" ht="30.75">
      <c r="A3" s="4254" t="s">
        <v>496</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293"/>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294"/>
    </row>
    <row r="5" spans="1:32" ht="16.5" customHeight="1" thickBot="1">
      <c r="A5" s="68"/>
      <c r="B5" s="14"/>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30.75" customHeight="1">
      <c r="A9" s="4563" t="s">
        <v>496</v>
      </c>
      <c r="B9" s="4407" t="s">
        <v>496</v>
      </c>
      <c r="C9" s="4565" t="s">
        <v>235</v>
      </c>
      <c r="D9" s="4424" t="s">
        <v>236</v>
      </c>
      <c r="E9" s="4424" t="s">
        <v>244</v>
      </c>
      <c r="F9" s="4424" t="s">
        <v>245</v>
      </c>
      <c r="G9" s="4576" t="s">
        <v>239</v>
      </c>
      <c r="H9" s="4424" t="s">
        <v>497</v>
      </c>
      <c r="I9" s="4424" t="s">
        <v>241</v>
      </c>
      <c r="J9" s="4424" t="s">
        <v>4137</v>
      </c>
      <c r="K9" s="4424" t="s">
        <v>498</v>
      </c>
      <c r="L9" s="4424" t="s">
        <v>499</v>
      </c>
      <c r="M9" s="4551">
        <v>1</v>
      </c>
      <c r="N9" s="4551">
        <v>1</v>
      </c>
      <c r="O9" s="4551">
        <v>1</v>
      </c>
      <c r="P9" s="4424" t="s">
        <v>4106</v>
      </c>
      <c r="Q9" s="4424" t="s">
        <v>4080</v>
      </c>
      <c r="R9" s="4549" t="s">
        <v>4063</v>
      </c>
      <c r="S9" s="2566"/>
      <c r="T9" s="2425"/>
      <c r="U9" s="2425"/>
      <c r="V9" s="2426"/>
      <c r="W9" s="2427"/>
      <c r="X9" s="2428"/>
      <c r="Y9" s="2429"/>
      <c r="Z9" s="2429"/>
      <c r="AA9" s="2429"/>
      <c r="AB9" s="2430"/>
      <c r="AC9" s="2428"/>
      <c r="AD9" s="2431"/>
      <c r="AE9" s="2431"/>
      <c r="AF9" s="4550"/>
    </row>
    <row r="10" spans="1:32" ht="30.75" customHeight="1">
      <c r="A10" s="4564"/>
      <c r="B10" s="4570"/>
      <c r="C10" s="4545"/>
      <c r="D10" s="4514"/>
      <c r="E10" s="4514"/>
      <c r="F10" s="4514"/>
      <c r="G10" s="4514"/>
      <c r="H10" s="4514"/>
      <c r="I10" s="4514"/>
      <c r="J10" s="4514"/>
      <c r="K10" s="4514"/>
      <c r="L10" s="4514"/>
      <c r="M10" s="4393"/>
      <c r="N10" s="4393"/>
      <c r="O10" s="4393"/>
      <c r="P10" s="4514"/>
      <c r="Q10" s="4514"/>
      <c r="R10" s="4518"/>
      <c r="S10" s="2567"/>
      <c r="T10" s="1848"/>
      <c r="U10" s="1848"/>
      <c r="V10" s="2432"/>
      <c r="W10" s="2433"/>
      <c r="X10" s="2434"/>
      <c r="Y10" s="2435"/>
      <c r="Z10" s="2435"/>
      <c r="AA10" s="2435"/>
      <c r="AB10" s="2436"/>
      <c r="AC10" s="2434"/>
      <c r="AD10" s="2437"/>
      <c r="AE10" s="2437"/>
      <c r="AF10" s="4521"/>
    </row>
    <row r="11" spans="1:32" ht="30.75" customHeight="1">
      <c r="A11" s="4564"/>
      <c r="B11" s="4570"/>
      <c r="C11" s="4545"/>
      <c r="D11" s="4514"/>
      <c r="E11" s="4514"/>
      <c r="F11" s="4514"/>
      <c r="G11" s="4514"/>
      <c r="H11" s="4514"/>
      <c r="I11" s="4514"/>
      <c r="J11" s="4514"/>
      <c r="K11" s="4514"/>
      <c r="L11" s="4514"/>
      <c r="M11" s="4393"/>
      <c r="N11" s="4393"/>
      <c r="O11" s="4393"/>
      <c r="P11" s="4514"/>
      <c r="Q11" s="4514"/>
      <c r="R11" s="4518"/>
      <c r="S11" s="2567"/>
      <c r="T11" s="1848"/>
      <c r="U11" s="1848"/>
      <c r="V11" s="2432"/>
      <c r="W11" s="2433"/>
      <c r="X11" s="2434"/>
      <c r="Y11" s="2435"/>
      <c r="Z11" s="2435"/>
      <c r="AA11" s="2435"/>
      <c r="AB11" s="2436"/>
      <c r="AC11" s="2434"/>
      <c r="AD11" s="2437"/>
      <c r="AE11" s="2437"/>
      <c r="AF11" s="4521"/>
    </row>
    <row r="12" spans="1:32" ht="30.75" customHeight="1">
      <c r="A12" s="4564"/>
      <c r="B12" s="4570"/>
      <c r="C12" s="4545"/>
      <c r="D12" s="4514"/>
      <c r="E12" s="4514"/>
      <c r="F12" s="4514"/>
      <c r="G12" s="4514"/>
      <c r="H12" s="4514"/>
      <c r="I12" s="4514"/>
      <c r="J12" s="4514"/>
      <c r="K12" s="4514"/>
      <c r="L12" s="4514"/>
      <c r="M12" s="4393"/>
      <c r="N12" s="4393"/>
      <c r="O12" s="4393"/>
      <c r="P12" s="4514"/>
      <c r="Q12" s="4514"/>
      <c r="R12" s="4518"/>
      <c r="S12" s="2567"/>
      <c r="T12" s="1848"/>
      <c r="U12" s="1848"/>
      <c r="V12" s="2432"/>
      <c r="W12" s="2433"/>
      <c r="X12" s="2434"/>
      <c r="Y12" s="2435"/>
      <c r="Z12" s="2435"/>
      <c r="AA12" s="2435"/>
      <c r="AB12" s="2436"/>
      <c r="AC12" s="2434"/>
      <c r="AD12" s="2437"/>
      <c r="AE12" s="2437"/>
      <c r="AF12" s="4521"/>
    </row>
    <row r="13" spans="1:32" ht="30.75" customHeight="1">
      <c r="A13" s="4564"/>
      <c r="B13" s="4570"/>
      <c r="C13" s="4566"/>
      <c r="D13" s="4525"/>
      <c r="E13" s="4525"/>
      <c r="F13" s="4525"/>
      <c r="G13" s="4525"/>
      <c r="H13" s="4525"/>
      <c r="I13" s="4525"/>
      <c r="J13" s="4525"/>
      <c r="K13" s="4525"/>
      <c r="L13" s="4525"/>
      <c r="M13" s="4402"/>
      <c r="N13" s="4402"/>
      <c r="O13" s="4402"/>
      <c r="P13" s="4525"/>
      <c r="Q13" s="4525"/>
      <c r="R13" s="4528"/>
      <c r="S13" s="2568"/>
      <c r="T13" s="2458"/>
      <c r="U13" s="2458"/>
      <c r="V13" s="2459"/>
      <c r="W13" s="2460"/>
      <c r="X13" s="2461"/>
      <c r="Y13" s="2462"/>
      <c r="Z13" s="2462"/>
      <c r="AA13" s="2462"/>
      <c r="AB13" s="2463"/>
      <c r="AC13" s="2461"/>
      <c r="AD13" s="2464"/>
      <c r="AE13" s="2464"/>
      <c r="AF13" s="4530"/>
    </row>
    <row r="14" spans="1:32" ht="30" customHeight="1">
      <c r="A14" s="4564"/>
      <c r="B14" s="4570"/>
      <c r="C14" s="4572" t="s">
        <v>272</v>
      </c>
      <c r="D14" s="4391" t="s">
        <v>302</v>
      </c>
      <c r="E14" s="4391" t="s">
        <v>274</v>
      </c>
      <c r="F14" s="4391" t="s">
        <v>501</v>
      </c>
      <c r="G14" s="4523" t="s">
        <v>305</v>
      </c>
      <c r="H14" s="4391" t="s">
        <v>277</v>
      </c>
      <c r="I14" s="4391" t="s">
        <v>241</v>
      </c>
      <c r="J14" s="4391" t="s">
        <v>4138</v>
      </c>
      <c r="K14" s="4391" t="s">
        <v>502</v>
      </c>
      <c r="L14" s="4391" t="s">
        <v>503</v>
      </c>
      <c r="M14" s="4516">
        <v>1</v>
      </c>
      <c r="N14" s="4516">
        <v>1</v>
      </c>
      <c r="O14" s="4516">
        <v>1</v>
      </c>
      <c r="P14" s="4391" t="s">
        <v>4107</v>
      </c>
      <c r="Q14" s="4391" t="s">
        <v>4081</v>
      </c>
      <c r="R14" s="4517" t="s">
        <v>504</v>
      </c>
      <c r="S14" s="2569" t="s">
        <v>11</v>
      </c>
      <c r="T14" s="2465">
        <v>530807</v>
      </c>
      <c r="U14" s="2466"/>
      <c r="V14" s="2467" t="s">
        <v>44</v>
      </c>
      <c r="W14" s="2468"/>
      <c r="X14" s="2469"/>
      <c r="Y14" s="2470"/>
      <c r="Z14" s="2470"/>
      <c r="AA14" s="2470"/>
      <c r="AB14" s="2471">
        <f>SUM($AA$15:$AA$15)</f>
        <v>26320.000000000004</v>
      </c>
      <c r="AC14" s="2469"/>
      <c r="AD14" s="2472"/>
      <c r="AE14" s="2472"/>
      <c r="AF14" s="4520"/>
    </row>
    <row r="15" spans="1:32" ht="33.75" customHeight="1">
      <c r="A15" s="4564"/>
      <c r="B15" s="4570"/>
      <c r="C15" s="4545"/>
      <c r="D15" s="4514"/>
      <c r="E15" s="4514"/>
      <c r="F15" s="4514"/>
      <c r="G15" s="4514"/>
      <c r="H15" s="4514"/>
      <c r="I15" s="4514"/>
      <c r="J15" s="4514"/>
      <c r="K15" s="4514"/>
      <c r="L15" s="4514"/>
      <c r="M15" s="4393"/>
      <c r="N15" s="4393"/>
      <c r="O15" s="4393"/>
      <c r="P15" s="4514"/>
      <c r="Q15" s="4514"/>
      <c r="R15" s="4518"/>
      <c r="S15" s="2567"/>
      <c r="T15" s="1848"/>
      <c r="U15" s="1848" t="s">
        <v>505</v>
      </c>
      <c r="V15" s="2432" t="s">
        <v>506</v>
      </c>
      <c r="W15" s="2440">
        <v>10000</v>
      </c>
      <c r="X15" s="2434" t="s">
        <v>269</v>
      </c>
      <c r="Y15" s="2435">
        <v>2.35</v>
      </c>
      <c r="Z15" s="2435">
        <f t="shared" ref="Z15" si="0">+W15*Y15</f>
        <v>23500</v>
      </c>
      <c r="AA15" s="2435">
        <f t="shared" ref="AA15" si="1">+Z15*1.12</f>
        <v>26320.000000000004</v>
      </c>
      <c r="AB15" s="2436"/>
      <c r="AC15" s="2434"/>
      <c r="AD15" s="2437" t="s">
        <v>251</v>
      </c>
      <c r="AE15" s="2437"/>
      <c r="AF15" s="4521"/>
    </row>
    <row r="16" spans="1:32" ht="25.5" customHeight="1">
      <c r="A16" s="4564"/>
      <c r="B16" s="4570"/>
      <c r="C16" s="4545"/>
      <c r="D16" s="4514"/>
      <c r="E16" s="4514"/>
      <c r="F16" s="4514"/>
      <c r="G16" s="4514"/>
      <c r="H16" s="4514"/>
      <c r="I16" s="4514"/>
      <c r="J16" s="4514"/>
      <c r="K16" s="4514"/>
      <c r="L16" s="4514"/>
      <c r="M16" s="4393"/>
      <c r="N16" s="4393"/>
      <c r="O16" s="4393"/>
      <c r="P16" s="4514"/>
      <c r="Q16" s="4514"/>
      <c r="R16" s="4518"/>
      <c r="S16" s="2570" t="s">
        <v>29</v>
      </c>
      <c r="T16" s="2438">
        <v>840103</v>
      </c>
      <c r="U16" s="1848"/>
      <c r="V16" s="2441" t="s">
        <v>22</v>
      </c>
      <c r="W16" s="2433"/>
      <c r="X16" s="2434"/>
      <c r="Y16" s="2435"/>
      <c r="Z16" s="2435"/>
      <c r="AA16" s="2435"/>
      <c r="AB16" s="2436">
        <f>SUM($AA$17:$AA$20)</f>
        <v>2811.2000000000003</v>
      </c>
      <c r="AC16" s="2434"/>
      <c r="AD16" s="2437"/>
      <c r="AE16" s="2437"/>
      <c r="AF16" s="4521"/>
    </row>
    <row r="17" spans="1:32" ht="18" customHeight="1">
      <c r="A17" s="4564"/>
      <c r="B17" s="4570"/>
      <c r="C17" s="4545"/>
      <c r="D17" s="4514"/>
      <c r="E17" s="4514"/>
      <c r="F17" s="4514"/>
      <c r="G17" s="4514"/>
      <c r="H17" s="4514"/>
      <c r="I17" s="4514"/>
      <c r="J17" s="4514"/>
      <c r="K17" s="4514"/>
      <c r="L17" s="4514"/>
      <c r="M17" s="4393"/>
      <c r="N17" s="4393"/>
      <c r="O17" s="4393"/>
      <c r="P17" s="4514"/>
      <c r="Q17" s="4514"/>
      <c r="R17" s="4518"/>
      <c r="S17" s="2567"/>
      <c r="T17" s="1850"/>
      <c r="U17" s="1848" t="s">
        <v>507</v>
      </c>
      <c r="V17" s="2432" t="s">
        <v>508</v>
      </c>
      <c r="W17" s="2433">
        <v>2</v>
      </c>
      <c r="X17" s="2434" t="s">
        <v>269</v>
      </c>
      <c r="Y17" s="2435">
        <v>350</v>
      </c>
      <c r="Z17" s="2435">
        <f t="shared" ref="Z17:Z20" si="2">+W17*Y17</f>
        <v>700</v>
      </c>
      <c r="AA17" s="2435">
        <f t="shared" ref="AA17:AA20" si="3">+Z17*1.12</f>
        <v>784.00000000000011</v>
      </c>
      <c r="AB17" s="2436"/>
      <c r="AC17" s="2434"/>
      <c r="AD17" s="2437" t="s">
        <v>251</v>
      </c>
      <c r="AE17" s="2437"/>
      <c r="AF17" s="4521"/>
    </row>
    <row r="18" spans="1:32" ht="18" customHeight="1">
      <c r="A18" s="4564"/>
      <c r="B18" s="4570"/>
      <c r="C18" s="4545"/>
      <c r="D18" s="4514"/>
      <c r="E18" s="4514"/>
      <c r="F18" s="4514"/>
      <c r="G18" s="4514"/>
      <c r="H18" s="4514"/>
      <c r="I18" s="4514"/>
      <c r="J18" s="4514"/>
      <c r="K18" s="4514"/>
      <c r="L18" s="4514"/>
      <c r="M18" s="4393"/>
      <c r="N18" s="4393"/>
      <c r="O18" s="4393"/>
      <c r="P18" s="4514"/>
      <c r="Q18" s="4514"/>
      <c r="R18" s="4518"/>
      <c r="S18" s="2567"/>
      <c r="T18" s="1850"/>
      <c r="U18" s="1848" t="s">
        <v>507</v>
      </c>
      <c r="V18" s="2432" t="s">
        <v>4061</v>
      </c>
      <c r="W18" s="2433">
        <v>1</v>
      </c>
      <c r="X18" s="2434" t="s">
        <v>269</v>
      </c>
      <c r="Y18" s="2435">
        <v>850</v>
      </c>
      <c r="Z18" s="2435">
        <f t="shared" si="2"/>
        <v>850</v>
      </c>
      <c r="AA18" s="2435">
        <f t="shared" si="3"/>
        <v>952.00000000000011</v>
      </c>
      <c r="AB18" s="2436"/>
      <c r="AC18" s="2434"/>
      <c r="AD18" s="2437" t="s">
        <v>251</v>
      </c>
      <c r="AE18" s="2437"/>
      <c r="AF18" s="4521"/>
    </row>
    <row r="19" spans="1:32" ht="18" customHeight="1">
      <c r="A19" s="4564"/>
      <c r="B19" s="4570"/>
      <c r="C19" s="4545"/>
      <c r="D19" s="4514"/>
      <c r="E19" s="4514"/>
      <c r="F19" s="4514"/>
      <c r="G19" s="4514"/>
      <c r="H19" s="4514"/>
      <c r="I19" s="4514"/>
      <c r="J19" s="4514"/>
      <c r="K19" s="4514"/>
      <c r="L19" s="4514"/>
      <c r="M19" s="4393"/>
      <c r="N19" s="4393"/>
      <c r="O19" s="4393"/>
      <c r="P19" s="4514"/>
      <c r="Q19" s="4514"/>
      <c r="R19" s="4518"/>
      <c r="S19" s="2567"/>
      <c r="T19" s="1850"/>
      <c r="U19" s="1848" t="s">
        <v>507</v>
      </c>
      <c r="V19" s="2432" t="s">
        <v>4062</v>
      </c>
      <c r="W19" s="2433">
        <v>1</v>
      </c>
      <c r="X19" s="2434" t="s">
        <v>269</v>
      </c>
      <c r="Y19" s="2435">
        <v>360</v>
      </c>
      <c r="Z19" s="2435">
        <f t="shared" si="2"/>
        <v>360</v>
      </c>
      <c r="AA19" s="2435">
        <f t="shared" si="3"/>
        <v>403.20000000000005</v>
      </c>
      <c r="AB19" s="2436"/>
      <c r="AC19" s="2434"/>
      <c r="AD19" s="2437" t="s">
        <v>251</v>
      </c>
      <c r="AE19" s="2437"/>
      <c r="AF19" s="4521"/>
    </row>
    <row r="20" spans="1:32" ht="18" customHeight="1">
      <c r="A20" s="4564"/>
      <c r="B20" s="4570"/>
      <c r="C20" s="4573"/>
      <c r="D20" s="4515"/>
      <c r="E20" s="4515"/>
      <c r="F20" s="4515"/>
      <c r="G20" s="4515"/>
      <c r="H20" s="4515"/>
      <c r="I20" s="4515"/>
      <c r="J20" s="4515"/>
      <c r="K20" s="4515"/>
      <c r="L20" s="4515"/>
      <c r="M20" s="4420"/>
      <c r="N20" s="4420"/>
      <c r="O20" s="4420"/>
      <c r="P20" s="4515"/>
      <c r="Q20" s="4515"/>
      <c r="R20" s="4519"/>
      <c r="S20" s="2571"/>
      <c r="T20" s="2481"/>
      <c r="U20" s="2481" t="s">
        <v>507</v>
      </c>
      <c r="V20" s="2482" t="s">
        <v>509</v>
      </c>
      <c r="W20" s="2483">
        <v>4</v>
      </c>
      <c r="X20" s="2484" t="s">
        <v>269</v>
      </c>
      <c r="Y20" s="2485">
        <v>150</v>
      </c>
      <c r="Z20" s="2485">
        <f t="shared" si="2"/>
        <v>600</v>
      </c>
      <c r="AA20" s="2485">
        <f t="shared" si="3"/>
        <v>672.00000000000011</v>
      </c>
      <c r="AB20" s="2486"/>
      <c r="AC20" s="2484"/>
      <c r="AD20" s="2487" t="s">
        <v>251</v>
      </c>
      <c r="AE20" s="2487"/>
      <c r="AF20" s="4522"/>
    </row>
    <row r="21" spans="1:32" ht="23.1" customHeight="1">
      <c r="A21" s="4564"/>
      <c r="B21" s="4570"/>
      <c r="C21" s="4544" t="s">
        <v>272</v>
      </c>
      <c r="D21" s="4399" t="s">
        <v>302</v>
      </c>
      <c r="E21" s="4399" t="s">
        <v>274</v>
      </c>
      <c r="F21" s="4399" t="s">
        <v>501</v>
      </c>
      <c r="G21" s="4547" t="s">
        <v>305</v>
      </c>
      <c r="H21" s="4399" t="s">
        <v>277</v>
      </c>
      <c r="I21" s="4399" t="s">
        <v>241</v>
      </c>
      <c r="J21" s="4399" t="s">
        <v>4139</v>
      </c>
      <c r="K21" s="4399" t="s">
        <v>510</v>
      </c>
      <c r="L21" s="4399" t="s">
        <v>511</v>
      </c>
      <c r="M21" s="4548">
        <v>1</v>
      </c>
      <c r="N21" s="4548">
        <v>1</v>
      </c>
      <c r="O21" s="4548">
        <v>1</v>
      </c>
      <c r="P21" s="4399" t="s">
        <v>4108</v>
      </c>
      <c r="Q21" s="4399" t="s">
        <v>4082</v>
      </c>
      <c r="R21" s="4533" t="s">
        <v>4064</v>
      </c>
      <c r="S21" s="2572"/>
      <c r="T21" s="2474"/>
      <c r="U21" s="2474"/>
      <c r="V21" s="2475"/>
      <c r="W21" s="2476"/>
      <c r="X21" s="2477"/>
      <c r="Y21" s="2478"/>
      <c r="Z21" s="2478"/>
      <c r="AA21" s="2478"/>
      <c r="AB21" s="2479"/>
      <c r="AC21" s="2477"/>
      <c r="AD21" s="2480"/>
      <c r="AE21" s="2480"/>
      <c r="AF21" s="4535"/>
    </row>
    <row r="22" spans="1:32" ht="23.1" customHeight="1">
      <c r="A22" s="4564"/>
      <c r="B22" s="4570"/>
      <c r="C22" s="4545"/>
      <c r="D22" s="4514"/>
      <c r="E22" s="4514"/>
      <c r="F22" s="4514"/>
      <c r="G22" s="4514"/>
      <c r="H22" s="4514"/>
      <c r="I22" s="4514"/>
      <c r="J22" s="4514"/>
      <c r="K22" s="4514"/>
      <c r="L22" s="4514"/>
      <c r="M22" s="4393"/>
      <c r="N22" s="4393"/>
      <c r="O22" s="4393"/>
      <c r="P22" s="4514"/>
      <c r="Q22" s="4514"/>
      <c r="R22" s="4518"/>
      <c r="S22" s="2567"/>
      <c r="T22" s="1848"/>
      <c r="U22" s="1848"/>
      <c r="V22" s="2432"/>
      <c r="W22" s="2433"/>
      <c r="X22" s="2434"/>
      <c r="Y22" s="2435"/>
      <c r="Z22" s="2435"/>
      <c r="AA22" s="2435"/>
      <c r="AB22" s="2436"/>
      <c r="AC22" s="2434"/>
      <c r="AD22" s="2437"/>
      <c r="AE22" s="2437"/>
      <c r="AF22" s="4521"/>
    </row>
    <row r="23" spans="1:32" ht="23.1" customHeight="1">
      <c r="A23" s="4564"/>
      <c r="B23" s="4570"/>
      <c r="C23" s="4545"/>
      <c r="D23" s="4514"/>
      <c r="E23" s="4514"/>
      <c r="F23" s="4514"/>
      <c r="G23" s="4514"/>
      <c r="H23" s="4514"/>
      <c r="I23" s="4514"/>
      <c r="J23" s="4514"/>
      <c r="K23" s="4514"/>
      <c r="L23" s="4514"/>
      <c r="M23" s="4393"/>
      <c r="N23" s="4393"/>
      <c r="O23" s="4393"/>
      <c r="P23" s="4514"/>
      <c r="Q23" s="4514"/>
      <c r="R23" s="4518"/>
      <c r="S23" s="2567"/>
      <c r="T23" s="1848"/>
      <c r="U23" s="1848"/>
      <c r="V23" s="2432"/>
      <c r="W23" s="2433"/>
      <c r="X23" s="2434"/>
      <c r="Y23" s="2435"/>
      <c r="Z23" s="2435"/>
      <c r="AA23" s="2435"/>
      <c r="AB23" s="2436"/>
      <c r="AC23" s="2434"/>
      <c r="AD23" s="2437"/>
      <c r="AE23" s="2437"/>
      <c r="AF23" s="4521"/>
    </row>
    <row r="24" spans="1:32" ht="23.1" customHeight="1">
      <c r="A24" s="4564"/>
      <c r="B24" s="4570"/>
      <c r="C24" s="4545"/>
      <c r="D24" s="4514"/>
      <c r="E24" s="4514"/>
      <c r="F24" s="4514"/>
      <c r="G24" s="4514"/>
      <c r="H24" s="4514"/>
      <c r="I24" s="4514"/>
      <c r="J24" s="4514"/>
      <c r="K24" s="4514"/>
      <c r="L24" s="4514"/>
      <c r="M24" s="4393"/>
      <c r="N24" s="4393"/>
      <c r="O24" s="4393"/>
      <c r="P24" s="4514"/>
      <c r="Q24" s="4514"/>
      <c r="R24" s="4518"/>
      <c r="S24" s="2567"/>
      <c r="T24" s="1850"/>
      <c r="U24" s="1850"/>
      <c r="V24" s="2432"/>
      <c r="W24" s="2433"/>
      <c r="X24" s="2434"/>
      <c r="Y24" s="2435"/>
      <c r="Z24" s="2435"/>
      <c r="AA24" s="2435"/>
      <c r="AB24" s="2436"/>
      <c r="AC24" s="2434"/>
      <c r="AD24" s="2437"/>
      <c r="AE24" s="2437"/>
      <c r="AF24" s="4521"/>
    </row>
    <row r="25" spans="1:32" ht="23.1" customHeight="1">
      <c r="A25" s="4564"/>
      <c r="B25" s="4570"/>
      <c r="C25" s="4566"/>
      <c r="D25" s="4525"/>
      <c r="E25" s="4525"/>
      <c r="F25" s="4525"/>
      <c r="G25" s="4525"/>
      <c r="H25" s="4525"/>
      <c r="I25" s="4525"/>
      <c r="J25" s="4525"/>
      <c r="K25" s="4525"/>
      <c r="L25" s="4525"/>
      <c r="M25" s="4402"/>
      <c r="N25" s="4402"/>
      <c r="O25" s="4402"/>
      <c r="P25" s="4525"/>
      <c r="Q25" s="4525"/>
      <c r="R25" s="4528"/>
      <c r="S25" s="2568"/>
      <c r="T25" s="2495"/>
      <c r="U25" s="2495"/>
      <c r="V25" s="2459"/>
      <c r="W25" s="2460"/>
      <c r="X25" s="2461"/>
      <c r="Y25" s="2462"/>
      <c r="Z25" s="2462"/>
      <c r="AA25" s="2462"/>
      <c r="AB25" s="2463"/>
      <c r="AC25" s="2461"/>
      <c r="AD25" s="2464"/>
      <c r="AE25" s="2464"/>
      <c r="AF25" s="4530"/>
    </row>
    <row r="26" spans="1:32" ht="23.1" customHeight="1">
      <c r="A26" s="4564"/>
      <c r="B26" s="4570"/>
      <c r="C26" s="4572" t="s">
        <v>272</v>
      </c>
      <c r="D26" s="4391" t="s">
        <v>302</v>
      </c>
      <c r="E26" s="4391" t="s">
        <v>274</v>
      </c>
      <c r="F26" s="4391" t="s">
        <v>275</v>
      </c>
      <c r="G26" s="4523" t="s">
        <v>305</v>
      </c>
      <c r="H26" s="4391" t="s">
        <v>240</v>
      </c>
      <c r="I26" s="4391" t="s">
        <v>241</v>
      </c>
      <c r="J26" s="4523" t="s">
        <v>4140</v>
      </c>
      <c r="K26" s="4391" t="s">
        <v>512</v>
      </c>
      <c r="L26" s="4391" t="s">
        <v>513</v>
      </c>
      <c r="M26" s="4516">
        <v>1</v>
      </c>
      <c r="N26" s="4516">
        <v>0</v>
      </c>
      <c r="O26" s="4516">
        <v>1</v>
      </c>
      <c r="P26" s="4391" t="s">
        <v>4109</v>
      </c>
      <c r="Q26" s="4391" t="s">
        <v>4083</v>
      </c>
      <c r="R26" s="4517" t="s">
        <v>4065</v>
      </c>
      <c r="S26" s="2569"/>
      <c r="T26" s="2496"/>
      <c r="U26" s="2496"/>
      <c r="V26" s="2497"/>
      <c r="W26" s="2498"/>
      <c r="X26" s="2499"/>
      <c r="Y26" s="2498"/>
      <c r="Z26" s="2470"/>
      <c r="AA26" s="2470"/>
      <c r="AB26" s="2471"/>
      <c r="AC26" s="2499"/>
      <c r="AD26" s="2499"/>
      <c r="AE26" s="2499"/>
      <c r="AF26" s="4520"/>
    </row>
    <row r="27" spans="1:32" ht="23.1" customHeight="1">
      <c r="A27" s="4564"/>
      <c r="B27" s="4570"/>
      <c r="C27" s="4545"/>
      <c r="D27" s="4514"/>
      <c r="E27" s="4514"/>
      <c r="F27" s="4514"/>
      <c r="G27" s="4514"/>
      <c r="H27" s="4514"/>
      <c r="I27" s="4514"/>
      <c r="J27" s="4514"/>
      <c r="K27" s="4514"/>
      <c r="L27" s="4514"/>
      <c r="M27" s="4393"/>
      <c r="N27" s="4393"/>
      <c r="O27" s="4393"/>
      <c r="P27" s="4514"/>
      <c r="Q27" s="4514"/>
      <c r="R27" s="4518"/>
      <c r="S27" s="2567"/>
      <c r="T27" s="1848"/>
      <c r="U27" s="1848"/>
      <c r="V27" s="2442"/>
      <c r="W27" s="2443"/>
      <c r="X27" s="2444"/>
      <c r="Y27" s="2443"/>
      <c r="Z27" s="2435"/>
      <c r="AA27" s="2435"/>
      <c r="AB27" s="2436"/>
      <c r="AC27" s="2444"/>
      <c r="AD27" s="2444"/>
      <c r="AE27" s="2444"/>
      <c r="AF27" s="4521"/>
    </row>
    <row r="28" spans="1:32" ht="23.1" customHeight="1">
      <c r="A28" s="4564"/>
      <c r="B28" s="4570"/>
      <c r="C28" s="4545"/>
      <c r="D28" s="4514"/>
      <c r="E28" s="4514"/>
      <c r="F28" s="4514"/>
      <c r="G28" s="4514"/>
      <c r="H28" s="4514"/>
      <c r="I28" s="4514"/>
      <c r="J28" s="4514"/>
      <c r="K28" s="4514"/>
      <c r="L28" s="4514"/>
      <c r="M28" s="4393"/>
      <c r="N28" s="4393"/>
      <c r="O28" s="4393"/>
      <c r="P28" s="4514"/>
      <c r="Q28" s="4514"/>
      <c r="R28" s="4518"/>
      <c r="S28" s="2567"/>
      <c r="T28" s="1848"/>
      <c r="U28" s="1848"/>
      <c r="V28" s="2442"/>
      <c r="W28" s="2443"/>
      <c r="X28" s="2444"/>
      <c r="Y28" s="2443"/>
      <c r="Z28" s="2435"/>
      <c r="AA28" s="2435"/>
      <c r="AB28" s="2436"/>
      <c r="AC28" s="2444"/>
      <c r="AD28" s="2444"/>
      <c r="AE28" s="2444"/>
      <c r="AF28" s="4521"/>
    </row>
    <row r="29" spans="1:32" ht="23.1" customHeight="1">
      <c r="A29" s="4564"/>
      <c r="B29" s="4570"/>
      <c r="C29" s="4545"/>
      <c r="D29" s="4514"/>
      <c r="E29" s="4514"/>
      <c r="F29" s="4514"/>
      <c r="G29" s="4514"/>
      <c r="H29" s="4514"/>
      <c r="I29" s="4514"/>
      <c r="J29" s="4514"/>
      <c r="K29" s="4514"/>
      <c r="L29" s="4514"/>
      <c r="M29" s="4393"/>
      <c r="N29" s="4393"/>
      <c r="O29" s="4393"/>
      <c r="P29" s="4514"/>
      <c r="Q29" s="4514"/>
      <c r="R29" s="4518"/>
      <c r="S29" s="2567"/>
      <c r="T29" s="1848"/>
      <c r="U29" s="1848"/>
      <c r="V29" s="2442"/>
      <c r="W29" s="2443"/>
      <c r="X29" s="2444"/>
      <c r="Y29" s="2443"/>
      <c r="Z29" s="2435"/>
      <c r="AA29" s="2435"/>
      <c r="AB29" s="2436"/>
      <c r="AC29" s="2444"/>
      <c r="AD29" s="2444"/>
      <c r="AE29" s="2444"/>
      <c r="AF29" s="4521"/>
    </row>
    <row r="30" spans="1:32" ht="23.1" customHeight="1">
      <c r="A30" s="4564"/>
      <c r="B30" s="4570"/>
      <c r="C30" s="4573"/>
      <c r="D30" s="4515"/>
      <c r="E30" s="4515"/>
      <c r="F30" s="4515"/>
      <c r="G30" s="4515"/>
      <c r="H30" s="4515"/>
      <c r="I30" s="4515"/>
      <c r="J30" s="4515"/>
      <c r="K30" s="4515"/>
      <c r="L30" s="4515"/>
      <c r="M30" s="4420"/>
      <c r="N30" s="4420"/>
      <c r="O30" s="4420"/>
      <c r="P30" s="4515"/>
      <c r="Q30" s="4515"/>
      <c r="R30" s="4519"/>
      <c r="S30" s="2571"/>
      <c r="T30" s="2481"/>
      <c r="U30" s="2481"/>
      <c r="V30" s="2492"/>
      <c r="W30" s="2493"/>
      <c r="X30" s="2494"/>
      <c r="Y30" s="2493"/>
      <c r="Z30" s="2493"/>
      <c r="AA30" s="2493"/>
      <c r="AB30" s="2493"/>
      <c r="AC30" s="2494"/>
      <c r="AD30" s="2494"/>
      <c r="AE30" s="2494"/>
      <c r="AF30" s="4522"/>
    </row>
    <row r="31" spans="1:32" ht="23.1" customHeight="1">
      <c r="A31" s="4564"/>
      <c r="B31" s="4570"/>
      <c r="C31" s="4544" t="s">
        <v>272</v>
      </c>
      <c r="D31" s="4399" t="s">
        <v>302</v>
      </c>
      <c r="E31" s="4399" t="s">
        <v>274</v>
      </c>
      <c r="F31" s="4399" t="s">
        <v>501</v>
      </c>
      <c r="G31" s="4547" t="s">
        <v>305</v>
      </c>
      <c r="H31" s="4399" t="s">
        <v>240</v>
      </c>
      <c r="I31" s="4399" t="s">
        <v>278</v>
      </c>
      <c r="J31" s="4399" t="s">
        <v>4141</v>
      </c>
      <c r="K31" s="4399" t="s">
        <v>514</v>
      </c>
      <c r="L31" s="4399" t="s">
        <v>515</v>
      </c>
      <c r="M31" s="4542">
        <v>1</v>
      </c>
      <c r="N31" s="4542">
        <v>0</v>
      </c>
      <c r="O31" s="4542">
        <v>1</v>
      </c>
      <c r="P31" s="4399" t="s">
        <v>4110</v>
      </c>
      <c r="Q31" s="4399" t="s">
        <v>4084</v>
      </c>
      <c r="R31" s="4533" t="s">
        <v>4066</v>
      </c>
      <c r="S31" s="2572"/>
      <c r="T31" s="2488"/>
      <c r="U31" s="2488"/>
      <c r="V31" s="2489"/>
      <c r="W31" s="2490"/>
      <c r="X31" s="2491"/>
      <c r="Y31" s="2490"/>
      <c r="Z31" s="2478"/>
      <c r="AA31" s="2478"/>
      <c r="AB31" s="2479"/>
      <c r="AC31" s="2491"/>
      <c r="AD31" s="2491"/>
      <c r="AE31" s="2491"/>
      <c r="AF31" s="4535"/>
    </row>
    <row r="32" spans="1:32" ht="23.1" customHeight="1">
      <c r="A32" s="4564"/>
      <c r="B32" s="4570"/>
      <c r="C32" s="4545"/>
      <c r="D32" s="4514"/>
      <c r="E32" s="4514"/>
      <c r="F32" s="4514"/>
      <c r="G32" s="4514"/>
      <c r="H32" s="4514"/>
      <c r="I32" s="4514"/>
      <c r="J32" s="4514"/>
      <c r="K32" s="4514"/>
      <c r="L32" s="4514"/>
      <c r="M32" s="4393"/>
      <c r="N32" s="4393"/>
      <c r="O32" s="4393"/>
      <c r="P32" s="4514"/>
      <c r="Q32" s="4514"/>
      <c r="R32" s="4518"/>
      <c r="S32" s="2567"/>
      <c r="T32" s="1848"/>
      <c r="U32" s="1848"/>
      <c r="V32" s="2442"/>
      <c r="W32" s="2443"/>
      <c r="X32" s="2444"/>
      <c r="Y32" s="2443"/>
      <c r="Z32" s="2435"/>
      <c r="AA32" s="2435"/>
      <c r="AB32" s="2436"/>
      <c r="AC32" s="2444"/>
      <c r="AD32" s="2444"/>
      <c r="AE32" s="2444"/>
      <c r="AF32" s="4521"/>
    </row>
    <row r="33" spans="1:32" ht="23.1" customHeight="1">
      <c r="A33" s="4564"/>
      <c r="B33" s="4570"/>
      <c r="C33" s="4545"/>
      <c r="D33" s="4514"/>
      <c r="E33" s="4514"/>
      <c r="F33" s="4514"/>
      <c r="G33" s="4514"/>
      <c r="H33" s="4514"/>
      <c r="I33" s="4514"/>
      <c r="J33" s="4514"/>
      <c r="K33" s="4514"/>
      <c r="L33" s="4514"/>
      <c r="M33" s="4393"/>
      <c r="N33" s="4393"/>
      <c r="O33" s="4393"/>
      <c r="P33" s="4514"/>
      <c r="Q33" s="4514"/>
      <c r="R33" s="4518"/>
      <c r="S33" s="2567"/>
      <c r="T33" s="1848"/>
      <c r="U33" s="1848"/>
      <c r="V33" s="2432"/>
      <c r="W33" s="2433"/>
      <c r="X33" s="2434"/>
      <c r="Y33" s="2435"/>
      <c r="Z33" s="2435"/>
      <c r="AA33" s="2435"/>
      <c r="AB33" s="2436"/>
      <c r="AC33" s="2434"/>
      <c r="AD33" s="2434"/>
      <c r="AE33" s="2437"/>
      <c r="AF33" s="4521"/>
    </row>
    <row r="34" spans="1:32" ht="23.1" customHeight="1">
      <c r="A34" s="4564"/>
      <c r="B34" s="4570"/>
      <c r="C34" s="4545"/>
      <c r="D34" s="4514"/>
      <c r="E34" s="4514"/>
      <c r="F34" s="4514"/>
      <c r="G34" s="4514"/>
      <c r="H34" s="4514"/>
      <c r="I34" s="4514"/>
      <c r="J34" s="4514"/>
      <c r="K34" s="4514"/>
      <c r="L34" s="4514"/>
      <c r="M34" s="4393"/>
      <c r="N34" s="4393"/>
      <c r="O34" s="4393"/>
      <c r="P34" s="4514"/>
      <c r="Q34" s="4514"/>
      <c r="R34" s="4518"/>
      <c r="S34" s="2567"/>
      <c r="T34" s="1848"/>
      <c r="U34" s="1848"/>
      <c r="V34" s="2432"/>
      <c r="W34" s="2433"/>
      <c r="X34" s="2434"/>
      <c r="Y34" s="2435"/>
      <c r="Z34" s="2435"/>
      <c r="AA34" s="2435"/>
      <c r="AB34" s="2436"/>
      <c r="AC34" s="2434"/>
      <c r="AD34" s="2434"/>
      <c r="AE34" s="2437"/>
      <c r="AF34" s="4521"/>
    </row>
    <row r="35" spans="1:32" ht="23.1" customHeight="1">
      <c r="A35" s="4564"/>
      <c r="B35" s="4570"/>
      <c r="C35" s="4566"/>
      <c r="D35" s="4525"/>
      <c r="E35" s="4525"/>
      <c r="F35" s="4525"/>
      <c r="G35" s="4525"/>
      <c r="H35" s="4525"/>
      <c r="I35" s="4525"/>
      <c r="J35" s="4525"/>
      <c r="K35" s="4525"/>
      <c r="L35" s="4525"/>
      <c r="M35" s="4402"/>
      <c r="N35" s="4402"/>
      <c r="O35" s="4402"/>
      <c r="P35" s="4525"/>
      <c r="Q35" s="4525"/>
      <c r="R35" s="4528"/>
      <c r="S35" s="2568"/>
      <c r="T35" s="2495"/>
      <c r="U35" s="2495"/>
      <c r="V35" s="2459"/>
      <c r="W35" s="2460"/>
      <c r="X35" s="2461"/>
      <c r="Y35" s="2462"/>
      <c r="Z35" s="2462"/>
      <c r="AA35" s="2462"/>
      <c r="AB35" s="2463"/>
      <c r="AC35" s="2461"/>
      <c r="AD35" s="2461"/>
      <c r="AE35" s="2464"/>
      <c r="AF35" s="4530"/>
    </row>
    <row r="36" spans="1:32" ht="24" customHeight="1">
      <c r="A36" s="4564"/>
      <c r="B36" s="4570"/>
      <c r="C36" s="4572" t="s">
        <v>272</v>
      </c>
      <c r="D36" s="4391" t="s">
        <v>302</v>
      </c>
      <c r="E36" s="4391" t="s">
        <v>274</v>
      </c>
      <c r="F36" s="4391" t="s">
        <v>501</v>
      </c>
      <c r="G36" s="4523" t="s">
        <v>305</v>
      </c>
      <c r="H36" s="4391" t="s">
        <v>240</v>
      </c>
      <c r="I36" s="4391" t="s">
        <v>257</v>
      </c>
      <c r="J36" s="4391" t="s">
        <v>4142</v>
      </c>
      <c r="K36" s="4391" t="s">
        <v>4168</v>
      </c>
      <c r="L36" s="4391" t="s">
        <v>516</v>
      </c>
      <c r="M36" s="4516">
        <v>2</v>
      </c>
      <c r="N36" s="4516">
        <v>2</v>
      </c>
      <c r="O36" s="4516">
        <v>2</v>
      </c>
      <c r="P36" s="4391" t="s">
        <v>4111</v>
      </c>
      <c r="Q36" s="4391" t="s">
        <v>4085</v>
      </c>
      <c r="R36" s="4517" t="s">
        <v>4169</v>
      </c>
      <c r="S36" s="2569" t="s">
        <v>11</v>
      </c>
      <c r="T36" s="2465">
        <v>530404</v>
      </c>
      <c r="U36" s="2466"/>
      <c r="V36" s="2500" t="s">
        <v>32</v>
      </c>
      <c r="W36" s="2468"/>
      <c r="X36" s="2469"/>
      <c r="Y36" s="2470"/>
      <c r="Z36" s="2470"/>
      <c r="AA36" s="2470"/>
      <c r="AB36" s="2471">
        <f>SUM($AA$37:$AA$38)</f>
        <v>1982.4</v>
      </c>
      <c r="AC36" s="2469"/>
      <c r="AD36" s="2472"/>
      <c r="AE36" s="2472"/>
      <c r="AF36" s="4520"/>
    </row>
    <row r="37" spans="1:32" ht="30" customHeight="1">
      <c r="A37" s="4564"/>
      <c r="B37" s="4570"/>
      <c r="C37" s="4545"/>
      <c r="D37" s="4514"/>
      <c r="E37" s="4514"/>
      <c r="F37" s="4514"/>
      <c r="G37" s="4514"/>
      <c r="H37" s="4514"/>
      <c r="I37" s="4514"/>
      <c r="J37" s="4514"/>
      <c r="K37" s="4514"/>
      <c r="L37" s="4514"/>
      <c r="M37" s="4393"/>
      <c r="N37" s="4393"/>
      <c r="O37" s="4393"/>
      <c r="P37" s="4514"/>
      <c r="Q37" s="4514"/>
      <c r="R37" s="4518"/>
      <c r="S37" s="2567"/>
      <c r="T37" s="1848"/>
      <c r="U37" s="1848"/>
      <c r="V37" s="2432" t="s">
        <v>517</v>
      </c>
      <c r="W37" s="2433">
        <v>1</v>
      </c>
      <c r="X37" s="2434" t="s">
        <v>250</v>
      </c>
      <c r="Y37" s="2435">
        <v>875</v>
      </c>
      <c r="Z37" s="2435">
        <f t="shared" ref="Z37:Z38" si="4">+W37*Y37</f>
        <v>875</v>
      </c>
      <c r="AA37" s="2435">
        <f t="shared" ref="AA37:AA38" si="5">+Z37*1.12</f>
        <v>980.00000000000011</v>
      </c>
      <c r="AB37" s="2436"/>
      <c r="AC37" s="2434"/>
      <c r="AD37" s="2437" t="s">
        <v>251</v>
      </c>
      <c r="AE37" s="2437"/>
      <c r="AF37" s="4521"/>
    </row>
    <row r="38" spans="1:32" ht="41.25" customHeight="1">
      <c r="A38" s="4564"/>
      <c r="B38" s="4570"/>
      <c r="C38" s="4545"/>
      <c r="D38" s="4514"/>
      <c r="E38" s="4514"/>
      <c r="F38" s="4514"/>
      <c r="G38" s="4514"/>
      <c r="H38" s="4514"/>
      <c r="I38" s="4514"/>
      <c r="J38" s="4514"/>
      <c r="K38" s="4514"/>
      <c r="L38" s="4514"/>
      <c r="M38" s="4393"/>
      <c r="N38" s="4393"/>
      <c r="O38" s="4393"/>
      <c r="P38" s="4514"/>
      <c r="Q38" s="4514"/>
      <c r="R38" s="4518"/>
      <c r="S38" s="2567"/>
      <c r="T38" s="1848"/>
      <c r="U38" s="1848"/>
      <c r="V38" s="2432" t="s">
        <v>518</v>
      </c>
      <c r="W38" s="2433">
        <v>1</v>
      </c>
      <c r="X38" s="2434" t="s">
        <v>250</v>
      </c>
      <c r="Y38" s="2435">
        <v>895</v>
      </c>
      <c r="Z38" s="2435">
        <f t="shared" si="4"/>
        <v>895</v>
      </c>
      <c r="AA38" s="2435">
        <f t="shared" si="5"/>
        <v>1002.4000000000001</v>
      </c>
      <c r="AB38" s="2436"/>
      <c r="AC38" s="2434"/>
      <c r="AD38" s="2437" t="s">
        <v>251</v>
      </c>
      <c r="AE38" s="2437"/>
      <c r="AF38" s="4521"/>
    </row>
    <row r="39" spans="1:32" ht="29.25" customHeight="1">
      <c r="A39" s="4564"/>
      <c r="B39" s="4570"/>
      <c r="C39" s="4545"/>
      <c r="D39" s="4514"/>
      <c r="E39" s="4514"/>
      <c r="F39" s="4514"/>
      <c r="G39" s="4514"/>
      <c r="H39" s="4514"/>
      <c r="I39" s="4514"/>
      <c r="J39" s="4514"/>
      <c r="K39" s="4514"/>
      <c r="L39" s="4514"/>
      <c r="M39" s="4393"/>
      <c r="N39" s="4393"/>
      <c r="O39" s="4393"/>
      <c r="P39" s="4514"/>
      <c r="Q39" s="4514"/>
      <c r="R39" s="4518"/>
      <c r="S39" s="2570" t="s">
        <v>29</v>
      </c>
      <c r="T39" s="2438">
        <v>840104</v>
      </c>
      <c r="U39" s="1850"/>
      <c r="V39" s="2441" t="s">
        <v>24</v>
      </c>
      <c r="W39" s="2433"/>
      <c r="X39" s="2434"/>
      <c r="Y39" s="2435"/>
      <c r="Z39" s="2435"/>
      <c r="AA39" s="2435"/>
      <c r="AB39" s="2436">
        <f>SUM($AA$40:$AA$45)</f>
        <v>2938.4320000000002</v>
      </c>
      <c r="AC39" s="2434"/>
      <c r="AD39" s="2437"/>
      <c r="AE39" s="2437"/>
      <c r="AF39" s="4521"/>
    </row>
    <row r="40" spans="1:32" ht="18" customHeight="1">
      <c r="A40" s="4564"/>
      <c r="B40" s="4570"/>
      <c r="C40" s="4545"/>
      <c r="D40" s="4514"/>
      <c r="E40" s="4514"/>
      <c r="F40" s="4514"/>
      <c r="G40" s="4514"/>
      <c r="H40" s="4514"/>
      <c r="I40" s="4514"/>
      <c r="J40" s="4514"/>
      <c r="K40" s="4514"/>
      <c r="L40" s="4514"/>
      <c r="M40" s="4393"/>
      <c r="N40" s="4393"/>
      <c r="O40" s="4393"/>
      <c r="P40" s="4514"/>
      <c r="Q40" s="4514"/>
      <c r="R40" s="4518"/>
      <c r="S40" s="2567"/>
      <c r="T40" s="1848"/>
      <c r="U40" s="1848" t="s">
        <v>519</v>
      </c>
      <c r="V40" s="2432" t="s">
        <v>4060</v>
      </c>
      <c r="W40" s="2433">
        <v>1</v>
      </c>
      <c r="X40" s="2434" t="s">
        <v>269</v>
      </c>
      <c r="Y40" s="2435">
        <v>600</v>
      </c>
      <c r="Z40" s="2435">
        <f t="shared" ref="Z40:Z45" si="6">+W40*Y40</f>
        <v>600</v>
      </c>
      <c r="AA40" s="2435">
        <f t="shared" ref="AA40:AA45" si="7">+Z40*1.12</f>
        <v>672.00000000000011</v>
      </c>
      <c r="AB40" s="2436"/>
      <c r="AC40" s="2437" t="s">
        <v>251</v>
      </c>
      <c r="AD40" s="2445"/>
      <c r="AE40" s="2437"/>
      <c r="AF40" s="4521"/>
    </row>
    <row r="41" spans="1:32" ht="18" customHeight="1">
      <c r="A41" s="4564"/>
      <c r="B41" s="4570"/>
      <c r="C41" s="4545"/>
      <c r="D41" s="4514"/>
      <c r="E41" s="4514"/>
      <c r="F41" s="4514"/>
      <c r="G41" s="4514"/>
      <c r="H41" s="4514"/>
      <c r="I41" s="4514"/>
      <c r="J41" s="4514"/>
      <c r="K41" s="4514"/>
      <c r="L41" s="4514"/>
      <c r="M41" s="4393"/>
      <c r="N41" s="4393"/>
      <c r="O41" s="4393"/>
      <c r="P41" s="4514"/>
      <c r="Q41" s="4514"/>
      <c r="R41" s="4518"/>
      <c r="S41" s="2567"/>
      <c r="T41" s="1848"/>
      <c r="U41" s="1848"/>
      <c r="V41" s="2432" t="s">
        <v>520</v>
      </c>
      <c r="W41" s="2433">
        <v>2</v>
      </c>
      <c r="X41" s="2434" t="s">
        <v>269</v>
      </c>
      <c r="Y41" s="2435">
        <v>95</v>
      </c>
      <c r="Z41" s="2435">
        <f t="shared" si="6"/>
        <v>190</v>
      </c>
      <c r="AA41" s="2435">
        <f t="shared" si="7"/>
        <v>212.8</v>
      </c>
      <c r="AB41" s="2436"/>
      <c r="AC41" s="2437" t="s">
        <v>251</v>
      </c>
      <c r="AD41" s="2445"/>
      <c r="AE41" s="2437"/>
      <c r="AF41" s="4521"/>
    </row>
    <row r="42" spans="1:32" ht="30" customHeight="1">
      <c r="A42" s="4564"/>
      <c r="B42" s="4570"/>
      <c r="C42" s="4545"/>
      <c r="D42" s="4514"/>
      <c r="E42" s="4514"/>
      <c r="F42" s="4514"/>
      <c r="G42" s="4514"/>
      <c r="H42" s="4514"/>
      <c r="I42" s="4514"/>
      <c r="J42" s="4514"/>
      <c r="K42" s="4514"/>
      <c r="L42" s="4514"/>
      <c r="M42" s="4393"/>
      <c r="N42" s="4393"/>
      <c r="O42" s="4393"/>
      <c r="P42" s="4514"/>
      <c r="Q42" s="4514"/>
      <c r="R42" s="4518"/>
      <c r="S42" s="2567"/>
      <c r="T42" s="1850"/>
      <c r="U42" s="1848">
        <v>481800115</v>
      </c>
      <c r="V42" s="2432" t="s">
        <v>4059</v>
      </c>
      <c r="W42" s="2433">
        <v>1</v>
      </c>
      <c r="X42" s="2434" t="s">
        <v>269</v>
      </c>
      <c r="Y42" s="2435">
        <v>814</v>
      </c>
      <c r="Z42" s="2435">
        <f t="shared" si="6"/>
        <v>814</v>
      </c>
      <c r="AA42" s="2435">
        <f t="shared" si="7"/>
        <v>911.68000000000006</v>
      </c>
      <c r="AB42" s="2443"/>
      <c r="AC42" s="2437" t="s">
        <v>251</v>
      </c>
      <c r="AD42" s="2445"/>
      <c r="AE42" s="2437"/>
      <c r="AF42" s="4521"/>
    </row>
    <row r="43" spans="1:32" ht="18" customHeight="1">
      <c r="A43" s="4564"/>
      <c r="B43" s="4570"/>
      <c r="C43" s="4545"/>
      <c r="D43" s="4514"/>
      <c r="E43" s="4514"/>
      <c r="F43" s="4514"/>
      <c r="G43" s="4514"/>
      <c r="H43" s="4514"/>
      <c r="I43" s="4514"/>
      <c r="J43" s="4514"/>
      <c r="K43" s="4514"/>
      <c r="L43" s="4514"/>
      <c r="M43" s="4393"/>
      <c r="N43" s="4393"/>
      <c r="O43" s="4393"/>
      <c r="P43" s="4514"/>
      <c r="Q43" s="4514"/>
      <c r="R43" s="4518"/>
      <c r="S43" s="2567"/>
      <c r="T43" s="1848"/>
      <c r="U43" s="1848"/>
      <c r="V43" s="2432" t="s">
        <v>521</v>
      </c>
      <c r="W43" s="2433">
        <v>2</v>
      </c>
      <c r="X43" s="2434" t="s">
        <v>269</v>
      </c>
      <c r="Y43" s="2435">
        <v>115</v>
      </c>
      <c r="Z43" s="2435">
        <f t="shared" si="6"/>
        <v>230</v>
      </c>
      <c r="AA43" s="2435">
        <f t="shared" si="7"/>
        <v>257.60000000000002</v>
      </c>
      <c r="AB43" s="2436"/>
      <c r="AC43" s="2437" t="s">
        <v>251</v>
      </c>
      <c r="AD43" s="2445"/>
      <c r="AE43" s="2437"/>
      <c r="AF43" s="4521"/>
    </row>
    <row r="44" spans="1:32" ht="18" customHeight="1">
      <c r="A44" s="4564"/>
      <c r="B44" s="4570"/>
      <c r="C44" s="4545"/>
      <c r="D44" s="4514"/>
      <c r="E44" s="4514"/>
      <c r="F44" s="4514"/>
      <c r="G44" s="4514"/>
      <c r="H44" s="4514"/>
      <c r="I44" s="4514"/>
      <c r="J44" s="4514"/>
      <c r="K44" s="4514"/>
      <c r="L44" s="4514"/>
      <c r="M44" s="4393"/>
      <c r="N44" s="4393"/>
      <c r="O44" s="4393"/>
      <c r="P44" s="4514"/>
      <c r="Q44" s="4514"/>
      <c r="R44" s="4518"/>
      <c r="S44" s="2567"/>
      <c r="T44" s="1850"/>
      <c r="U44" s="1848">
        <v>3811100081</v>
      </c>
      <c r="V44" s="2432" t="s">
        <v>4058</v>
      </c>
      <c r="W44" s="2433">
        <v>2</v>
      </c>
      <c r="X44" s="2434" t="s">
        <v>269</v>
      </c>
      <c r="Y44" s="2435">
        <v>358</v>
      </c>
      <c r="Z44" s="2435">
        <f t="shared" si="6"/>
        <v>716</v>
      </c>
      <c r="AA44" s="2435">
        <f t="shared" si="7"/>
        <v>801.92000000000007</v>
      </c>
      <c r="AB44" s="2436"/>
      <c r="AC44" s="2437" t="s">
        <v>251</v>
      </c>
      <c r="AD44" s="2445"/>
      <c r="AE44" s="2446"/>
      <c r="AF44" s="4521"/>
    </row>
    <row r="45" spans="1:32" ht="25.5">
      <c r="A45" s="4564"/>
      <c r="B45" s="4570"/>
      <c r="C45" s="4545"/>
      <c r="D45" s="4514"/>
      <c r="E45" s="4514"/>
      <c r="F45" s="4514"/>
      <c r="G45" s="4514"/>
      <c r="H45" s="4514"/>
      <c r="I45" s="4514"/>
      <c r="J45" s="4514"/>
      <c r="K45" s="4514"/>
      <c r="L45" s="4514"/>
      <c r="M45" s="4393"/>
      <c r="N45" s="4393"/>
      <c r="O45" s="4393"/>
      <c r="P45" s="4514"/>
      <c r="Q45" s="4514"/>
      <c r="R45" s="4518"/>
      <c r="S45" s="2567"/>
      <c r="T45" s="1848"/>
      <c r="U45" s="1848"/>
      <c r="V45" s="2432" t="s">
        <v>4057</v>
      </c>
      <c r="W45" s="2433">
        <v>4</v>
      </c>
      <c r="X45" s="2434" t="s">
        <v>522</v>
      </c>
      <c r="Y45" s="2435">
        <v>18.399999999999999</v>
      </c>
      <c r="Z45" s="2435">
        <f t="shared" si="6"/>
        <v>73.599999999999994</v>
      </c>
      <c r="AA45" s="2435">
        <f t="shared" si="7"/>
        <v>82.432000000000002</v>
      </c>
      <c r="AB45" s="2436"/>
      <c r="AC45" s="2437" t="s">
        <v>251</v>
      </c>
      <c r="AD45" s="2445"/>
      <c r="AE45" s="2446"/>
      <c r="AF45" s="4521"/>
    </row>
    <row r="46" spans="1:32" ht="18" customHeight="1">
      <c r="A46" s="4564"/>
      <c r="B46" s="4570"/>
      <c r="C46" s="4545"/>
      <c r="D46" s="4514"/>
      <c r="E46" s="4514"/>
      <c r="F46" s="4514"/>
      <c r="G46" s="4514"/>
      <c r="H46" s="4514"/>
      <c r="I46" s="4514"/>
      <c r="J46" s="4514"/>
      <c r="K46" s="4514"/>
      <c r="L46" s="4514"/>
      <c r="M46" s="4393"/>
      <c r="N46" s="4393"/>
      <c r="O46" s="4393"/>
      <c r="P46" s="4514"/>
      <c r="Q46" s="4514"/>
      <c r="R46" s="4518"/>
      <c r="S46" s="2567" t="s">
        <v>11</v>
      </c>
      <c r="T46" s="2438">
        <v>840113</v>
      </c>
      <c r="U46" s="1848"/>
      <c r="V46" s="2441" t="s">
        <v>50</v>
      </c>
      <c r="W46" s="2433"/>
      <c r="X46" s="2434"/>
      <c r="Y46" s="2435"/>
      <c r="Z46" s="2435"/>
      <c r="AA46" s="2435"/>
      <c r="AB46" s="2436">
        <f>SUM($AA$47:$AA$50)</f>
        <v>8999.2000000000007</v>
      </c>
      <c r="AC46" s="2434"/>
      <c r="AD46" s="2437"/>
      <c r="AE46" s="2437"/>
      <c r="AF46" s="4521"/>
    </row>
    <row r="47" spans="1:32" ht="18" customHeight="1">
      <c r="A47" s="4564"/>
      <c r="B47" s="4570"/>
      <c r="C47" s="4545"/>
      <c r="D47" s="4514"/>
      <c r="E47" s="4514"/>
      <c r="F47" s="4514"/>
      <c r="G47" s="4514"/>
      <c r="H47" s="4514"/>
      <c r="I47" s="4514"/>
      <c r="J47" s="4514"/>
      <c r="K47" s="4514"/>
      <c r="L47" s="4514"/>
      <c r="M47" s="4393"/>
      <c r="N47" s="4393"/>
      <c r="O47" s="4393"/>
      <c r="P47" s="4514"/>
      <c r="Q47" s="4514"/>
      <c r="R47" s="4518"/>
      <c r="S47" s="2567"/>
      <c r="T47" s="2438"/>
      <c r="U47" s="1848" t="s">
        <v>523</v>
      </c>
      <c r="V47" s="2432" t="s">
        <v>524</v>
      </c>
      <c r="W47" s="2433">
        <v>5</v>
      </c>
      <c r="X47" s="2434" t="s">
        <v>269</v>
      </c>
      <c r="Y47" s="2435">
        <v>225</v>
      </c>
      <c r="Z47" s="2435">
        <f t="shared" ref="Z47:Z50" si="8">+W47*Y47</f>
        <v>1125</v>
      </c>
      <c r="AA47" s="2435">
        <f t="shared" ref="AA47:AA50" si="9">+Z47*1.12</f>
        <v>1260.0000000000002</v>
      </c>
      <c r="AB47" s="2436"/>
      <c r="AC47" s="2434"/>
      <c r="AD47" s="2437" t="s">
        <v>251</v>
      </c>
      <c r="AE47" s="2437"/>
      <c r="AF47" s="4521"/>
    </row>
    <row r="48" spans="1:32" ht="18" customHeight="1">
      <c r="A48" s="4564"/>
      <c r="B48" s="4570"/>
      <c r="C48" s="4545"/>
      <c r="D48" s="4514"/>
      <c r="E48" s="4514"/>
      <c r="F48" s="4514"/>
      <c r="G48" s="4514"/>
      <c r="H48" s="4514"/>
      <c r="I48" s="4514"/>
      <c r="J48" s="4514"/>
      <c r="K48" s="4514"/>
      <c r="L48" s="4514"/>
      <c r="M48" s="4393"/>
      <c r="N48" s="4393"/>
      <c r="O48" s="4393"/>
      <c r="P48" s="4514"/>
      <c r="Q48" s="4514"/>
      <c r="R48" s="4518"/>
      <c r="S48" s="2567"/>
      <c r="T48" s="2438"/>
      <c r="U48" s="1848" t="s">
        <v>525</v>
      </c>
      <c r="V48" s="2432" t="s">
        <v>526</v>
      </c>
      <c r="W48" s="2433">
        <v>5</v>
      </c>
      <c r="X48" s="2434" t="s">
        <v>269</v>
      </c>
      <c r="Y48" s="2435">
        <v>250</v>
      </c>
      <c r="Z48" s="2435">
        <f t="shared" si="8"/>
        <v>1250</v>
      </c>
      <c r="AA48" s="2435">
        <f t="shared" si="9"/>
        <v>1400.0000000000002</v>
      </c>
      <c r="AB48" s="2436"/>
      <c r="AC48" s="2434"/>
      <c r="AD48" s="2437" t="s">
        <v>251</v>
      </c>
      <c r="AE48" s="2437"/>
      <c r="AF48" s="4521"/>
    </row>
    <row r="49" spans="1:32" ht="18" customHeight="1">
      <c r="A49" s="4564"/>
      <c r="B49" s="4570"/>
      <c r="C49" s="4545"/>
      <c r="D49" s="4514"/>
      <c r="E49" s="4514"/>
      <c r="F49" s="4514"/>
      <c r="G49" s="4514"/>
      <c r="H49" s="4514"/>
      <c r="I49" s="4514"/>
      <c r="J49" s="4514"/>
      <c r="K49" s="4514"/>
      <c r="L49" s="4514"/>
      <c r="M49" s="4393"/>
      <c r="N49" s="4393"/>
      <c r="O49" s="4393"/>
      <c r="P49" s="4514"/>
      <c r="Q49" s="4514"/>
      <c r="R49" s="4518"/>
      <c r="S49" s="2567"/>
      <c r="T49" s="2438"/>
      <c r="U49" s="1848" t="s">
        <v>523</v>
      </c>
      <c r="V49" s="2432" t="s">
        <v>527</v>
      </c>
      <c r="W49" s="2433">
        <v>2</v>
      </c>
      <c r="X49" s="2434" t="s">
        <v>269</v>
      </c>
      <c r="Y49" s="2435">
        <v>480</v>
      </c>
      <c r="Z49" s="2435">
        <f t="shared" si="8"/>
        <v>960</v>
      </c>
      <c r="AA49" s="2435">
        <f t="shared" si="9"/>
        <v>1075.2</v>
      </c>
      <c r="AB49" s="2436"/>
      <c r="AC49" s="2434"/>
      <c r="AD49" s="2437" t="s">
        <v>251</v>
      </c>
      <c r="AE49" s="2437"/>
      <c r="AF49" s="4521"/>
    </row>
    <row r="50" spans="1:32" ht="18" customHeight="1">
      <c r="A50" s="4564"/>
      <c r="B50" s="4570"/>
      <c r="C50" s="4573"/>
      <c r="D50" s="4515"/>
      <c r="E50" s="4515"/>
      <c r="F50" s="4515"/>
      <c r="G50" s="4515"/>
      <c r="H50" s="4515"/>
      <c r="I50" s="4515"/>
      <c r="J50" s="4515"/>
      <c r="K50" s="4515"/>
      <c r="L50" s="4515"/>
      <c r="M50" s="4420"/>
      <c r="N50" s="4420"/>
      <c r="O50" s="4420"/>
      <c r="P50" s="4515"/>
      <c r="Q50" s="4515"/>
      <c r="R50" s="4519"/>
      <c r="S50" s="2571"/>
      <c r="T50" s="2481"/>
      <c r="U50" s="2481" t="s">
        <v>523</v>
      </c>
      <c r="V50" s="2482" t="s">
        <v>528</v>
      </c>
      <c r="W50" s="2483">
        <v>1</v>
      </c>
      <c r="X50" s="2484" t="s">
        <v>269</v>
      </c>
      <c r="Y50" s="2485">
        <v>4700</v>
      </c>
      <c r="Z50" s="2485">
        <f t="shared" si="8"/>
        <v>4700</v>
      </c>
      <c r="AA50" s="2485">
        <f t="shared" si="9"/>
        <v>5264.0000000000009</v>
      </c>
      <c r="AB50" s="2486"/>
      <c r="AC50" s="2484"/>
      <c r="AD50" s="2487" t="s">
        <v>251</v>
      </c>
      <c r="AE50" s="2487"/>
      <c r="AF50" s="4522"/>
    </row>
    <row r="51" spans="1:32" ht="30" customHeight="1">
      <c r="A51" s="4564"/>
      <c r="B51" s="4570"/>
      <c r="C51" s="4544" t="s">
        <v>235</v>
      </c>
      <c r="D51" s="4399" t="s">
        <v>236</v>
      </c>
      <c r="E51" s="4399" t="s">
        <v>237</v>
      </c>
      <c r="F51" s="4399" t="s">
        <v>238</v>
      </c>
      <c r="G51" s="4547" t="s">
        <v>239</v>
      </c>
      <c r="H51" s="4399" t="s">
        <v>240</v>
      </c>
      <c r="I51" s="4399" t="s">
        <v>241</v>
      </c>
      <c r="J51" s="4399" t="s">
        <v>4143</v>
      </c>
      <c r="K51" s="4399" t="s">
        <v>4136</v>
      </c>
      <c r="L51" s="4399" t="s">
        <v>529</v>
      </c>
      <c r="M51" s="4542">
        <v>1</v>
      </c>
      <c r="N51" s="4542">
        <v>0</v>
      </c>
      <c r="O51" s="4542">
        <v>1</v>
      </c>
      <c r="P51" s="4399" t="s">
        <v>4112</v>
      </c>
      <c r="Q51" s="4399" t="s">
        <v>4086</v>
      </c>
      <c r="R51" s="4533" t="s">
        <v>4067</v>
      </c>
      <c r="S51" s="2573" t="s">
        <v>39</v>
      </c>
      <c r="T51" s="2501">
        <v>580208</v>
      </c>
      <c r="U51" s="2488"/>
      <c r="V51" s="2473" t="s">
        <v>49</v>
      </c>
      <c r="W51" s="2476"/>
      <c r="X51" s="2477"/>
      <c r="Y51" s="2478"/>
      <c r="Z51" s="2478"/>
      <c r="AA51" s="2478"/>
      <c r="AB51" s="2479">
        <f>SUM($AA$52:$AA$58)</f>
        <v>133400</v>
      </c>
      <c r="AC51" s="2477"/>
      <c r="AD51" s="2480"/>
      <c r="AE51" s="2480"/>
      <c r="AF51" s="4535"/>
    </row>
    <row r="52" spans="1:32" ht="18" customHeight="1">
      <c r="A52" s="4564"/>
      <c r="B52" s="4570"/>
      <c r="C52" s="4545"/>
      <c r="D52" s="4514"/>
      <c r="E52" s="4514"/>
      <c r="F52" s="4514"/>
      <c r="G52" s="4514"/>
      <c r="H52" s="4514"/>
      <c r="I52" s="4514"/>
      <c r="J52" s="4514"/>
      <c r="K52" s="4514"/>
      <c r="L52" s="4514"/>
      <c r="M52" s="4393"/>
      <c r="N52" s="4393"/>
      <c r="O52" s="4393"/>
      <c r="P52" s="4514"/>
      <c r="Q52" s="4514"/>
      <c r="R52" s="4518"/>
      <c r="S52" s="2574"/>
      <c r="T52" s="2447"/>
      <c r="U52" s="1848"/>
      <c r="V52" s="2442" t="s">
        <v>530</v>
      </c>
      <c r="W52" s="2433">
        <v>50</v>
      </c>
      <c r="X52" s="2434" t="s">
        <v>269</v>
      </c>
      <c r="Y52" s="2435">
        <v>420</v>
      </c>
      <c r="Z52" s="2435">
        <f t="shared" ref="Z52:Z58" si="10">+W52*Y52</f>
        <v>21000</v>
      </c>
      <c r="AA52" s="2435">
        <f t="shared" ref="AA52:AA58" si="11">Z52</f>
        <v>21000</v>
      </c>
      <c r="AB52" s="2436"/>
      <c r="AC52" s="2434"/>
      <c r="AD52" s="2437" t="s">
        <v>251</v>
      </c>
      <c r="AE52" s="2437"/>
      <c r="AF52" s="4521"/>
    </row>
    <row r="53" spans="1:32" ht="18" customHeight="1">
      <c r="A53" s="4564"/>
      <c r="B53" s="4570"/>
      <c r="C53" s="4545"/>
      <c r="D53" s="4514"/>
      <c r="E53" s="4514"/>
      <c r="F53" s="4514"/>
      <c r="G53" s="4514"/>
      <c r="H53" s="4514"/>
      <c r="I53" s="4514"/>
      <c r="J53" s="4514"/>
      <c r="K53" s="4514"/>
      <c r="L53" s="4514"/>
      <c r="M53" s="4393"/>
      <c r="N53" s="4393"/>
      <c r="O53" s="4393"/>
      <c r="P53" s="4514"/>
      <c r="Q53" s="4514"/>
      <c r="R53" s="4518"/>
      <c r="S53" s="2574"/>
      <c r="T53" s="2447"/>
      <c r="U53" s="1848"/>
      <c r="V53" s="2442" t="s">
        <v>531</v>
      </c>
      <c r="W53" s="2433">
        <v>100</v>
      </c>
      <c r="X53" s="2434" t="s">
        <v>269</v>
      </c>
      <c r="Y53" s="2435">
        <v>210</v>
      </c>
      <c r="Z53" s="2435">
        <f t="shared" si="10"/>
        <v>21000</v>
      </c>
      <c r="AA53" s="2435">
        <f t="shared" si="11"/>
        <v>21000</v>
      </c>
      <c r="AB53" s="2436"/>
      <c r="AC53" s="2434"/>
      <c r="AD53" s="2437" t="s">
        <v>251</v>
      </c>
      <c r="AE53" s="2437"/>
      <c r="AF53" s="4521"/>
    </row>
    <row r="54" spans="1:32" ht="18" customHeight="1">
      <c r="A54" s="4564"/>
      <c r="B54" s="4570"/>
      <c r="C54" s="4545"/>
      <c r="D54" s="4514"/>
      <c r="E54" s="4514"/>
      <c r="F54" s="4514"/>
      <c r="G54" s="4514"/>
      <c r="H54" s="4514"/>
      <c r="I54" s="4514"/>
      <c r="J54" s="4514"/>
      <c r="K54" s="4514"/>
      <c r="L54" s="4514"/>
      <c r="M54" s="4393"/>
      <c r="N54" s="4393"/>
      <c r="O54" s="4393"/>
      <c r="P54" s="4514"/>
      <c r="Q54" s="4514"/>
      <c r="R54" s="4518"/>
      <c r="S54" s="2574"/>
      <c r="T54" s="2447"/>
      <c r="U54" s="1848"/>
      <c r="V54" s="2442" t="s">
        <v>532</v>
      </c>
      <c r="W54" s="2433">
        <v>50</v>
      </c>
      <c r="X54" s="2434" t="s">
        <v>269</v>
      </c>
      <c r="Y54" s="2435">
        <v>210</v>
      </c>
      <c r="Z54" s="2435">
        <f t="shared" si="10"/>
        <v>10500</v>
      </c>
      <c r="AA54" s="2435">
        <f t="shared" si="11"/>
        <v>10500</v>
      </c>
      <c r="AB54" s="2436"/>
      <c r="AC54" s="2434"/>
      <c r="AD54" s="2437" t="s">
        <v>251</v>
      </c>
      <c r="AE54" s="2437"/>
      <c r="AF54" s="4521"/>
    </row>
    <row r="55" spans="1:32" ht="18" customHeight="1">
      <c r="A55" s="4564"/>
      <c r="B55" s="4570"/>
      <c r="C55" s="4545"/>
      <c r="D55" s="4514"/>
      <c r="E55" s="4514"/>
      <c r="F55" s="4514"/>
      <c r="G55" s="4514"/>
      <c r="H55" s="4514"/>
      <c r="I55" s="4514"/>
      <c r="J55" s="4514"/>
      <c r="K55" s="4514"/>
      <c r="L55" s="4514"/>
      <c r="M55" s="4393"/>
      <c r="N55" s="4393"/>
      <c r="O55" s="4393"/>
      <c r="P55" s="4514"/>
      <c r="Q55" s="4514"/>
      <c r="R55" s="4518"/>
      <c r="S55" s="2574"/>
      <c r="T55" s="2447"/>
      <c r="U55" s="1848"/>
      <c r="V55" s="2442" t="s">
        <v>533</v>
      </c>
      <c r="W55" s="2433">
        <v>8</v>
      </c>
      <c r="X55" s="2434" t="s">
        <v>269</v>
      </c>
      <c r="Y55" s="2435">
        <v>400</v>
      </c>
      <c r="Z55" s="2435">
        <f t="shared" si="10"/>
        <v>3200</v>
      </c>
      <c r="AA55" s="2435">
        <f t="shared" si="11"/>
        <v>3200</v>
      </c>
      <c r="AB55" s="2436"/>
      <c r="AC55" s="2434"/>
      <c r="AD55" s="2437" t="s">
        <v>251</v>
      </c>
      <c r="AE55" s="2437"/>
      <c r="AF55" s="4521"/>
    </row>
    <row r="56" spans="1:32" ht="18" customHeight="1">
      <c r="A56" s="4564"/>
      <c r="B56" s="4570"/>
      <c r="C56" s="4545"/>
      <c r="D56" s="4514"/>
      <c r="E56" s="4514"/>
      <c r="F56" s="4514"/>
      <c r="G56" s="4514"/>
      <c r="H56" s="4514"/>
      <c r="I56" s="4514"/>
      <c r="J56" s="4514"/>
      <c r="K56" s="4514"/>
      <c r="L56" s="4514"/>
      <c r="M56" s="4393"/>
      <c r="N56" s="4393"/>
      <c r="O56" s="4393"/>
      <c r="P56" s="4514"/>
      <c r="Q56" s="4514"/>
      <c r="R56" s="4518"/>
      <c r="S56" s="2574"/>
      <c r="T56" s="2447"/>
      <c r="U56" s="1848"/>
      <c r="V56" s="2442" t="s">
        <v>534</v>
      </c>
      <c r="W56" s="2433">
        <v>180</v>
      </c>
      <c r="X56" s="2434" t="s">
        <v>269</v>
      </c>
      <c r="Y56" s="2435">
        <v>350</v>
      </c>
      <c r="Z56" s="2435">
        <f t="shared" si="10"/>
        <v>63000</v>
      </c>
      <c r="AA56" s="2435">
        <f t="shared" si="11"/>
        <v>63000</v>
      </c>
      <c r="AB56" s="2436"/>
      <c r="AC56" s="2434"/>
      <c r="AD56" s="2437" t="s">
        <v>251</v>
      </c>
      <c r="AE56" s="2437"/>
      <c r="AF56" s="4521"/>
    </row>
    <row r="57" spans="1:32" ht="18" customHeight="1">
      <c r="A57" s="4564"/>
      <c r="B57" s="4570"/>
      <c r="C57" s="4545"/>
      <c r="D57" s="4514"/>
      <c r="E57" s="4514"/>
      <c r="F57" s="4514"/>
      <c r="G57" s="4514"/>
      <c r="H57" s="4514"/>
      <c r="I57" s="4514"/>
      <c r="J57" s="4514"/>
      <c r="K57" s="4514"/>
      <c r="L57" s="4514"/>
      <c r="M57" s="4393"/>
      <c r="N57" s="4393"/>
      <c r="O57" s="4393"/>
      <c r="P57" s="4514"/>
      <c r="Q57" s="4514"/>
      <c r="R57" s="4518"/>
      <c r="S57" s="2574"/>
      <c r="T57" s="2447"/>
      <c r="U57" s="1848"/>
      <c r="V57" s="2442" t="s">
        <v>535</v>
      </c>
      <c r="W57" s="2433">
        <v>60</v>
      </c>
      <c r="X57" s="2434" t="s">
        <v>269</v>
      </c>
      <c r="Y57" s="2435">
        <v>210</v>
      </c>
      <c r="Z57" s="2435">
        <f t="shared" si="10"/>
        <v>12600</v>
      </c>
      <c r="AA57" s="2435">
        <f t="shared" si="11"/>
        <v>12600</v>
      </c>
      <c r="AB57" s="2436"/>
      <c r="AC57" s="2434"/>
      <c r="AD57" s="2437" t="s">
        <v>251</v>
      </c>
      <c r="AE57" s="2437"/>
      <c r="AF57" s="4521"/>
    </row>
    <row r="58" spans="1:32" ht="18" customHeight="1">
      <c r="A58" s="4564"/>
      <c r="B58" s="4570"/>
      <c r="C58" s="4545"/>
      <c r="D58" s="4514"/>
      <c r="E58" s="4514"/>
      <c r="F58" s="4514"/>
      <c r="G58" s="4514"/>
      <c r="H58" s="4514"/>
      <c r="I58" s="4514"/>
      <c r="J58" s="4514"/>
      <c r="K58" s="4514"/>
      <c r="L58" s="4514"/>
      <c r="M58" s="4393"/>
      <c r="N58" s="4393"/>
      <c r="O58" s="4393"/>
      <c r="P58" s="4514"/>
      <c r="Q58" s="4514"/>
      <c r="R58" s="4518"/>
      <c r="S58" s="2574"/>
      <c r="T58" s="2447"/>
      <c r="U58" s="1848"/>
      <c r="V58" s="2442" t="s">
        <v>536</v>
      </c>
      <c r="W58" s="2433">
        <v>10</v>
      </c>
      <c r="X58" s="2434" t="s">
        <v>269</v>
      </c>
      <c r="Y58" s="2435">
        <v>210</v>
      </c>
      <c r="Z58" s="2435">
        <f t="shared" si="10"/>
        <v>2100</v>
      </c>
      <c r="AA58" s="2435">
        <f t="shared" si="11"/>
        <v>2100</v>
      </c>
      <c r="AB58" s="2436"/>
      <c r="AC58" s="2434"/>
      <c r="AD58" s="2437" t="s">
        <v>251</v>
      </c>
      <c r="AE58" s="2437"/>
      <c r="AF58" s="4521"/>
    </row>
    <row r="59" spans="1:32" ht="18" customHeight="1">
      <c r="A59" s="4564"/>
      <c r="B59" s="4570"/>
      <c r="C59" s="4545"/>
      <c r="D59" s="4514"/>
      <c r="E59" s="4514"/>
      <c r="F59" s="4514"/>
      <c r="G59" s="4514"/>
      <c r="H59" s="4514"/>
      <c r="I59" s="4514"/>
      <c r="J59" s="4514"/>
      <c r="K59" s="4514"/>
      <c r="L59" s="4514"/>
      <c r="M59" s="4393"/>
      <c r="N59" s="4393"/>
      <c r="O59" s="4393"/>
      <c r="P59" s="4514"/>
      <c r="Q59" s="4514"/>
      <c r="R59" s="4518"/>
      <c r="S59" s="2567" t="s">
        <v>11</v>
      </c>
      <c r="T59" s="2438">
        <v>840107</v>
      </c>
      <c r="U59" s="1848"/>
      <c r="V59" s="2441" t="s">
        <v>20</v>
      </c>
      <c r="W59" s="2433"/>
      <c r="X59" s="2434"/>
      <c r="Y59" s="2435"/>
      <c r="Z59" s="2435"/>
      <c r="AA59" s="2435"/>
      <c r="AB59" s="2436">
        <f>SUM($AA$60:$AA$60)</f>
        <v>64051.142400000004</v>
      </c>
      <c r="AC59" s="2434"/>
      <c r="AD59" s="2445"/>
      <c r="AE59" s="2437"/>
      <c r="AF59" s="4521"/>
    </row>
    <row r="60" spans="1:32" ht="18" customHeight="1">
      <c r="A60" s="4564"/>
      <c r="B60" s="4570"/>
      <c r="C60" s="4545"/>
      <c r="D60" s="4514"/>
      <c r="E60" s="4514"/>
      <c r="F60" s="4514"/>
      <c r="G60" s="4514"/>
      <c r="H60" s="4514"/>
      <c r="I60" s="4514"/>
      <c r="J60" s="4514"/>
      <c r="K60" s="4514"/>
      <c r="L60" s="4514"/>
      <c r="M60" s="4393"/>
      <c r="N60" s="4393"/>
      <c r="O60" s="4393"/>
      <c r="P60" s="4514"/>
      <c r="Q60" s="4514"/>
      <c r="R60" s="4518"/>
      <c r="S60" s="2567"/>
      <c r="T60" s="1848"/>
      <c r="U60" s="1848" t="s">
        <v>537</v>
      </c>
      <c r="V60" s="2432" t="s">
        <v>538</v>
      </c>
      <c r="W60" s="2433">
        <v>268</v>
      </c>
      <c r="X60" s="2434" t="s">
        <v>269</v>
      </c>
      <c r="Y60" s="2435">
        <v>213.39</v>
      </c>
      <c r="Z60" s="2435">
        <f t="shared" ref="Z60" si="12">+W60*Y60</f>
        <v>57188.52</v>
      </c>
      <c r="AA60" s="2435">
        <f t="shared" ref="AA60" si="13">+Z60*1.12</f>
        <v>64051.142400000004</v>
      </c>
      <c r="AB60" s="2436"/>
      <c r="AC60" s="2434"/>
      <c r="AD60" s="2437" t="s">
        <v>251</v>
      </c>
      <c r="AE60" s="2437"/>
      <c r="AF60" s="4521"/>
    </row>
    <row r="61" spans="1:32" ht="18" customHeight="1">
      <c r="A61" s="4564"/>
      <c r="B61" s="4570"/>
      <c r="C61" s="4545"/>
      <c r="D61" s="4514"/>
      <c r="E61" s="4514"/>
      <c r="F61" s="4514"/>
      <c r="G61" s="4514"/>
      <c r="H61" s="4514"/>
      <c r="I61" s="4514"/>
      <c r="J61" s="4514"/>
      <c r="K61" s="4514"/>
      <c r="L61" s="4514"/>
      <c r="M61" s="4393"/>
      <c r="N61" s="4393"/>
      <c r="O61" s="4393"/>
      <c r="P61" s="4514"/>
      <c r="Q61" s="4514"/>
      <c r="R61" s="4518"/>
      <c r="S61" s="2567" t="s">
        <v>11</v>
      </c>
      <c r="T61" s="1850">
        <v>530105</v>
      </c>
      <c r="U61" s="1848"/>
      <c r="V61" s="2441" t="s">
        <v>43</v>
      </c>
      <c r="W61" s="2433"/>
      <c r="X61" s="2434"/>
      <c r="Y61" s="2435"/>
      <c r="Z61" s="2435"/>
      <c r="AA61" s="2435"/>
      <c r="AB61" s="2436">
        <f>SUM($AA$62:$AA$62)</f>
        <v>28000.000000000004</v>
      </c>
      <c r="AC61" s="2434"/>
      <c r="AD61" s="2437"/>
      <c r="AE61" s="2437"/>
      <c r="AF61" s="4521"/>
    </row>
    <row r="62" spans="1:32" ht="33.75" customHeight="1">
      <c r="A62" s="4564"/>
      <c r="B62" s="4570"/>
      <c r="C62" s="4566"/>
      <c r="D62" s="4525"/>
      <c r="E62" s="4525"/>
      <c r="F62" s="4525"/>
      <c r="G62" s="4525"/>
      <c r="H62" s="4525"/>
      <c r="I62" s="4525"/>
      <c r="J62" s="4525"/>
      <c r="K62" s="4525"/>
      <c r="L62" s="4525"/>
      <c r="M62" s="4402"/>
      <c r="N62" s="4402"/>
      <c r="O62" s="4402"/>
      <c r="P62" s="4525"/>
      <c r="Q62" s="4525"/>
      <c r="R62" s="4528"/>
      <c r="S62" s="2568"/>
      <c r="T62" s="2458"/>
      <c r="U62" s="2458"/>
      <c r="V62" s="2502" t="s">
        <v>539</v>
      </c>
      <c r="W62" s="2460">
        <v>1</v>
      </c>
      <c r="X62" s="2461" t="s">
        <v>269</v>
      </c>
      <c r="Y62" s="2462">
        <v>25000</v>
      </c>
      <c r="Z62" s="2462">
        <f t="shared" ref="Z62" si="14">+W62*Y62</f>
        <v>25000</v>
      </c>
      <c r="AA62" s="2462">
        <f t="shared" ref="AA62" si="15">+Z62*1.12</f>
        <v>28000.000000000004</v>
      </c>
      <c r="AB62" s="2463"/>
      <c r="AC62" s="2464" t="s">
        <v>251</v>
      </c>
      <c r="AD62" s="2464"/>
      <c r="AE62" s="2464"/>
      <c r="AF62" s="4530"/>
    </row>
    <row r="63" spans="1:32" ht="38.25" customHeight="1">
      <c r="A63" s="4564"/>
      <c r="B63" s="4570"/>
      <c r="C63" s="4572" t="s">
        <v>235</v>
      </c>
      <c r="D63" s="4391" t="s">
        <v>236</v>
      </c>
      <c r="E63" s="4391" t="s">
        <v>237</v>
      </c>
      <c r="F63" s="4391" t="s">
        <v>238</v>
      </c>
      <c r="G63" s="4523" t="s">
        <v>239</v>
      </c>
      <c r="H63" s="4391" t="s">
        <v>240</v>
      </c>
      <c r="I63" s="4391" t="s">
        <v>278</v>
      </c>
      <c r="J63" s="4523" t="s">
        <v>4144</v>
      </c>
      <c r="K63" s="4391" t="s">
        <v>540</v>
      </c>
      <c r="L63" s="4391" t="s">
        <v>541</v>
      </c>
      <c r="M63" s="4516">
        <v>1</v>
      </c>
      <c r="N63" s="4516">
        <v>0</v>
      </c>
      <c r="O63" s="4516">
        <v>1</v>
      </c>
      <c r="P63" s="4391" t="s">
        <v>4113</v>
      </c>
      <c r="Q63" s="4391" t="s">
        <v>4087</v>
      </c>
      <c r="R63" s="4517" t="s">
        <v>4066</v>
      </c>
      <c r="S63" s="2569"/>
      <c r="T63" s="2466"/>
      <c r="U63" s="2466"/>
      <c r="V63" s="2500"/>
      <c r="W63" s="2468"/>
      <c r="X63" s="2469"/>
      <c r="Y63" s="2470"/>
      <c r="Z63" s="2470"/>
      <c r="AA63" s="2470"/>
      <c r="AB63" s="2471"/>
      <c r="AC63" s="2469"/>
      <c r="AD63" s="2503"/>
      <c r="AE63" s="2503"/>
      <c r="AF63" s="4520"/>
    </row>
    <row r="64" spans="1:32" ht="38.25" customHeight="1">
      <c r="A64" s="4564"/>
      <c r="B64" s="4570"/>
      <c r="C64" s="4545"/>
      <c r="D64" s="4514"/>
      <c r="E64" s="4514"/>
      <c r="F64" s="4514"/>
      <c r="G64" s="4514"/>
      <c r="H64" s="4514"/>
      <c r="I64" s="4514"/>
      <c r="J64" s="4514"/>
      <c r="K64" s="4514"/>
      <c r="L64" s="4514"/>
      <c r="M64" s="4393"/>
      <c r="N64" s="4393"/>
      <c r="O64" s="4393"/>
      <c r="P64" s="4514"/>
      <c r="Q64" s="4514"/>
      <c r="R64" s="4518"/>
      <c r="S64" s="2567"/>
      <c r="T64" s="1848"/>
      <c r="U64" s="1848"/>
      <c r="V64" s="2432"/>
      <c r="W64" s="2433"/>
      <c r="X64" s="2434"/>
      <c r="Y64" s="2435"/>
      <c r="Z64" s="2435"/>
      <c r="AA64" s="2435"/>
      <c r="AB64" s="2436"/>
      <c r="AC64" s="2434"/>
      <c r="AD64" s="2434"/>
      <c r="AE64" s="2446"/>
      <c r="AF64" s="4521"/>
    </row>
    <row r="65" spans="1:32" ht="38.25" customHeight="1">
      <c r="A65" s="4564"/>
      <c r="B65" s="4570"/>
      <c r="C65" s="4545"/>
      <c r="D65" s="4514"/>
      <c r="E65" s="4514"/>
      <c r="F65" s="4514"/>
      <c r="G65" s="4514"/>
      <c r="H65" s="4514"/>
      <c r="I65" s="4514"/>
      <c r="J65" s="4514"/>
      <c r="K65" s="4514"/>
      <c r="L65" s="4514"/>
      <c r="M65" s="4393"/>
      <c r="N65" s="4393"/>
      <c r="O65" s="4393"/>
      <c r="P65" s="4514"/>
      <c r="Q65" s="4514"/>
      <c r="R65" s="4518"/>
      <c r="S65" s="2567"/>
      <c r="T65" s="1848"/>
      <c r="U65" s="1848"/>
      <c r="V65" s="2432"/>
      <c r="W65" s="2433"/>
      <c r="X65" s="2434"/>
      <c r="Y65" s="2435"/>
      <c r="Z65" s="2435"/>
      <c r="AA65" s="2435"/>
      <c r="AB65" s="2436"/>
      <c r="AC65" s="2434"/>
      <c r="AD65" s="2434"/>
      <c r="AE65" s="2437"/>
      <c r="AF65" s="4521"/>
    </row>
    <row r="66" spans="1:32" ht="38.25" customHeight="1">
      <c r="A66" s="4564"/>
      <c r="B66" s="4570"/>
      <c r="C66" s="4545"/>
      <c r="D66" s="4514"/>
      <c r="E66" s="4514"/>
      <c r="F66" s="4514"/>
      <c r="G66" s="4514"/>
      <c r="H66" s="4514"/>
      <c r="I66" s="4514"/>
      <c r="J66" s="4514"/>
      <c r="K66" s="4514"/>
      <c r="L66" s="4514"/>
      <c r="M66" s="4393"/>
      <c r="N66" s="4393"/>
      <c r="O66" s="4393"/>
      <c r="P66" s="4514"/>
      <c r="Q66" s="4514"/>
      <c r="R66" s="4518"/>
      <c r="S66" s="2567"/>
      <c r="T66" s="1848"/>
      <c r="U66" s="1848"/>
      <c r="V66" s="2432"/>
      <c r="W66" s="2433"/>
      <c r="X66" s="2434"/>
      <c r="Y66" s="2435"/>
      <c r="Z66" s="2435"/>
      <c r="AA66" s="2435"/>
      <c r="AB66" s="2436"/>
      <c r="AC66" s="2434"/>
      <c r="AD66" s="2434"/>
      <c r="AE66" s="2437"/>
      <c r="AF66" s="4521"/>
    </row>
    <row r="67" spans="1:32" ht="38.25" customHeight="1">
      <c r="A67" s="4564"/>
      <c r="B67" s="4570"/>
      <c r="C67" s="4573"/>
      <c r="D67" s="4515"/>
      <c r="E67" s="4515"/>
      <c r="F67" s="4515"/>
      <c r="G67" s="4515"/>
      <c r="H67" s="4515"/>
      <c r="I67" s="4515"/>
      <c r="J67" s="4515"/>
      <c r="K67" s="4515"/>
      <c r="L67" s="4515"/>
      <c r="M67" s="4420"/>
      <c r="N67" s="4420"/>
      <c r="O67" s="4420"/>
      <c r="P67" s="4515"/>
      <c r="Q67" s="4515"/>
      <c r="R67" s="4519"/>
      <c r="S67" s="2571"/>
      <c r="T67" s="2481"/>
      <c r="U67" s="2481"/>
      <c r="V67" s="2482"/>
      <c r="W67" s="2483"/>
      <c r="X67" s="2484"/>
      <c r="Y67" s="2485"/>
      <c r="Z67" s="2485"/>
      <c r="AA67" s="2485"/>
      <c r="AB67" s="2486"/>
      <c r="AC67" s="2484"/>
      <c r="AD67" s="2484"/>
      <c r="AE67" s="2487"/>
      <c r="AF67" s="4522"/>
    </row>
    <row r="68" spans="1:32" ht="46.5" customHeight="1">
      <c r="A68" s="4564"/>
      <c r="B68" s="4570"/>
      <c r="C68" s="4544" t="s">
        <v>235</v>
      </c>
      <c r="D68" s="4399" t="s">
        <v>236</v>
      </c>
      <c r="E68" s="4399" t="s">
        <v>237</v>
      </c>
      <c r="F68" s="4399" t="s">
        <v>238</v>
      </c>
      <c r="G68" s="4547" t="s">
        <v>239</v>
      </c>
      <c r="H68" s="4399" t="s">
        <v>240</v>
      </c>
      <c r="I68" s="4399" t="s">
        <v>257</v>
      </c>
      <c r="J68" s="4399" t="s">
        <v>4145</v>
      </c>
      <c r="K68" s="4399" t="s">
        <v>542</v>
      </c>
      <c r="L68" s="4399" t="s">
        <v>543</v>
      </c>
      <c r="M68" s="4575">
        <v>11000</v>
      </c>
      <c r="N68" s="4575">
        <v>0</v>
      </c>
      <c r="O68" s="4575">
        <v>11800</v>
      </c>
      <c r="P68" s="4399" t="s">
        <v>4114</v>
      </c>
      <c r="Q68" s="4399" t="s">
        <v>4088</v>
      </c>
      <c r="R68" s="4533" t="s">
        <v>4068</v>
      </c>
      <c r="S68" s="2573" t="s">
        <v>39</v>
      </c>
      <c r="T68" s="2474">
        <v>570201</v>
      </c>
      <c r="U68" s="2488"/>
      <c r="V68" s="2475" t="s">
        <v>48</v>
      </c>
      <c r="W68" s="2476"/>
      <c r="X68" s="2477"/>
      <c r="Y68" s="2478"/>
      <c r="Z68" s="2478"/>
      <c r="AA68" s="2478"/>
      <c r="AB68" s="2479">
        <f>SUM($AA$69:$AA$70)</f>
        <v>139000</v>
      </c>
      <c r="AC68" s="2477"/>
      <c r="AD68" s="2480"/>
      <c r="AE68" s="2480"/>
      <c r="AF68" s="4535"/>
    </row>
    <row r="69" spans="1:32" ht="46.5" customHeight="1">
      <c r="A69" s="4564"/>
      <c r="B69" s="4570"/>
      <c r="C69" s="4545"/>
      <c r="D69" s="4514"/>
      <c r="E69" s="4514"/>
      <c r="F69" s="4514"/>
      <c r="G69" s="4514"/>
      <c r="H69" s="4514"/>
      <c r="I69" s="4514"/>
      <c r="J69" s="4514"/>
      <c r="K69" s="4514"/>
      <c r="L69" s="4514"/>
      <c r="M69" s="4393"/>
      <c r="N69" s="4393"/>
      <c r="O69" s="4393"/>
      <c r="P69" s="4514"/>
      <c r="Q69" s="4514"/>
      <c r="R69" s="4518"/>
      <c r="S69" s="2567"/>
      <c r="T69" s="1848"/>
      <c r="U69" s="1848" t="s">
        <v>544</v>
      </c>
      <c r="V69" s="2432" t="s">
        <v>545</v>
      </c>
      <c r="W69" s="2433">
        <v>1</v>
      </c>
      <c r="X69" s="2434" t="s">
        <v>250</v>
      </c>
      <c r="Y69" s="2435">
        <v>139000</v>
      </c>
      <c r="Z69" s="2435">
        <f t="shared" ref="Z69" si="16">+W69*Y69</f>
        <v>139000</v>
      </c>
      <c r="AA69" s="2435">
        <f t="shared" ref="AA69" si="17">+W69*Z69</f>
        <v>139000</v>
      </c>
      <c r="AB69" s="2436"/>
      <c r="AC69" s="2434" t="s">
        <v>251</v>
      </c>
      <c r="AD69" s="2437" t="s">
        <v>251</v>
      </c>
      <c r="AE69" s="2437" t="s">
        <v>251</v>
      </c>
      <c r="AF69" s="4521"/>
    </row>
    <row r="70" spans="1:32" ht="46.5" customHeight="1">
      <c r="A70" s="4564"/>
      <c r="B70" s="4570"/>
      <c r="C70" s="4545"/>
      <c r="D70" s="4514"/>
      <c r="E70" s="4514"/>
      <c r="F70" s="4514"/>
      <c r="G70" s="4514"/>
      <c r="H70" s="4514"/>
      <c r="I70" s="4514"/>
      <c r="J70" s="4514"/>
      <c r="K70" s="4514"/>
      <c r="L70" s="4514"/>
      <c r="M70" s="4393"/>
      <c r="N70" s="4393"/>
      <c r="O70" s="4393"/>
      <c r="P70" s="4514"/>
      <c r="Q70" s="4514"/>
      <c r="R70" s="4518"/>
      <c r="S70" s="2567"/>
      <c r="T70" s="1848"/>
      <c r="U70" s="1848"/>
      <c r="V70" s="2432"/>
      <c r="W70" s="2433"/>
      <c r="X70" s="2434"/>
      <c r="Y70" s="2435"/>
      <c r="Z70" s="2435"/>
      <c r="AA70" s="2435"/>
      <c r="AB70" s="2436"/>
      <c r="AC70" s="2434"/>
      <c r="AD70" s="2437"/>
      <c r="AE70" s="2437"/>
      <c r="AF70" s="4521"/>
    </row>
    <row r="71" spans="1:32" ht="46.5" customHeight="1">
      <c r="A71" s="4564"/>
      <c r="B71" s="4570"/>
      <c r="C71" s="4566"/>
      <c r="D71" s="4525"/>
      <c r="E71" s="4525"/>
      <c r="F71" s="4525"/>
      <c r="G71" s="4525"/>
      <c r="H71" s="4525"/>
      <c r="I71" s="4525"/>
      <c r="J71" s="4525"/>
      <c r="K71" s="4525"/>
      <c r="L71" s="4525"/>
      <c r="M71" s="4402"/>
      <c r="N71" s="4402"/>
      <c r="O71" s="4402"/>
      <c r="P71" s="4525"/>
      <c r="Q71" s="4525"/>
      <c r="R71" s="4528"/>
      <c r="S71" s="2568"/>
      <c r="T71" s="2495"/>
      <c r="U71" s="2495"/>
      <c r="V71" s="2459"/>
      <c r="W71" s="2460"/>
      <c r="X71" s="2461"/>
      <c r="Y71" s="2462"/>
      <c r="Z71" s="2462"/>
      <c r="AA71" s="2462"/>
      <c r="AB71" s="2463"/>
      <c r="AC71" s="2461"/>
      <c r="AD71" s="2464"/>
      <c r="AE71" s="2464"/>
      <c r="AF71" s="4530"/>
    </row>
    <row r="72" spans="1:32" ht="30" customHeight="1">
      <c r="A72" s="4564"/>
      <c r="B72" s="4570"/>
      <c r="C72" s="4572" t="s">
        <v>235</v>
      </c>
      <c r="D72" s="4391" t="s">
        <v>236</v>
      </c>
      <c r="E72" s="4391" t="s">
        <v>237</v>
      </c>
      <c r="F72" s="4391" t="s">
        <v>355</v>
      </c>
      <c r="G72" s="4523" t="s">
        <v>239</v>
      </c>
      <c r="H72" s="4391" t="s">
        <v>240</v>
      </c>
      <c r="I72" s="4391" t="s">
        <v>241</v>
      </c>
      <c r="J72" s="4523" t="s">
        <v>4146</v>
      </c>
      <c r="K72" s="4391" t="s">
        <v>546</v>
      </c>
      <c r="L72" s="4391" t="s">
        <v>547</v>
      </c>
      <c r="M72" s="4516">
        <v>1</v>
      </c>
      <c r="N72" s="4516">
        <v>1</v>
      </c>
      <c r="O72" s="4516">
        <v>1</v>
      </c>
      <c r="P72" s="4391" t="s">
        <v>4115</v>
      </c>
      <c r="Q72" s="4391" t="s">
        <v>4089</v>
      </c>
      <c r="R72" s="4517" t="s">
        <v>4065</v>
      </c>
      <c r="S72" s="2569" t="s">
        <v>11</v>
      </c>
      <c r="T72" s="2466">
        <v>531408</v>
      </c>
      <c r="U72" s="2466"/>
      <c r="V72" s="2500" t="s">
        <v>47</v>
      </c>
      <c r="W72" s="2468"/>
      <c r="X72" s="2469"/>
      <c r="Y72" s="2470"/>
      <c r="Z72" s="2470"/>
      <c r="AA72" s="2470"/>
      <c r="AB72" s="2471">
        <f>SUM($AA$73:$AA$78)</f>
        <v>7078.4000000000005</v>
      </c>
      <c r="AC72" s="2469"/>
      <c r="AD72" s="2472"/>
      <c r="AE72" s="2472"/>
      <c r="AF72" s="4520"/>
    </row>
    <row r="73" spans="1:32" ht="19.5" customHeight="1">
      <c r="A73" s="4564"/>
      <c r="B73" s="4570"/>
      <c r="C73" s="4545"/>
      <c r="D73" s="4514"/>
      <c r="E73" s="4514"/>
      <c r="F73" s="4514"/>
      <c r="G73" s="4514"/>
      <c r="H73" s="4514"/>
      <c r="I73" s="4514"/>
      <c r="J73" s="4514"/>
      <c r="K73" s="4514"/>
      <c r="L73" s="4514"/>
      <c r="M73" s="4393"/>
      <c r="N73" s="4393"/>
      <c r="O73" s="4393"/>
      <c r="P73" s="4514"/>
      <c r="Q73" s="4514"/>
      <c r="R73" s="4518"/>
      <c r="S73" s="2567"/>
      <c r="T73" s="1848"/>
      <c r="U73" s="1848" t="s">
        <v>548</v>
      </c>
      <c r="V73" s="2432" t="s">
        <v>4056</v>
      </c>
      <c r="W73" s="2448">
        <v>15</v>
      </c>
      <c r="X73" s="2449" t="s">
        <v>269</v>
      </c>
      <c r="Y73" s="2450">
        <v>35</v>
      </c>
      <c r="Z73" s="2435">
        <f t="shared" ref="Z73:Z78" si="18">+W73*Y73</f>
        <v>525</v>
      </c>
      <c r="AA73" s="2435">
        <f t="shared" ref="AA73:AA78" si="19">+Z73*1.12</f>
        <v>588</v>
      </c>
      <c r="AB73" s="2436"/>
      <c r="AC73" s="2434" t="s">
        <v>251</v>
      </c>
      <c r="AD73" s="2437"/>
      <c r="AE73" s="2437"/>
      <c r="AF73" s="4521"/>
    </row>
    <row r="74" spans="1:32" ht="19.5" customHeight="1">
      <c r="A74" s="4564"/>
      <c r="B74" s="4570"/>
      <c r="C74" s="4545"/>
      <c r="D74" s="4514"/>
      <c r="E74" s="4514"/>
      <c r="F74" s="4514"/>
      <c r="G74" s="4514"/>
      <c r="H74" s="4514"/>
      <c r="I74" s="4514"/>
      <c r="J74" s="4514"/>
      <c r="K74" s="4514"/>
      <c r="L74" s="4514"/>
      <c r="M74" s="4393"/>
      <c r="N74" s="4393"/>
      <c r="O74" s="4393"/>
      <c r="P74" s="4514"/>
      <c r="Q74" s="4514"/>
      <c r="R74" s="4518"/>
      <c r="S74" s="2567"/>
      <c r="T74" s="1848"/>
      <c r="U74" s="1848" t="s">
        <v>548</v>
      </c>
      <c r="V74" s="2432" t="s">
        <v>4054</v>
      </c>
      <c r="W74" s="2448">
        <v>15</v>
      </c>
      <c r="X74" s="2449" t="s">
        <v>269</v>
      </c>
      <c r="Y74" s="2450">
        <v>35</v>
      </c>
      <c r="Z74" s="2435">
        <f t="shared" si="18"/>
        <v>525</v>
      </c>
      <c r="AA74" s="2435">
        <f t="shared" si="19"/>
        <v>588</v>
      </c>
      <c r="AB74" s="2436"/>
      <c r="AC74" s="2434" t="s">
        <v>251</v>
      </c>
      <c r="AD74" s="2437"/>
      <c r="AE74" s="2437"/>
      <c r="AF74" s="4521"/>
    </row>
    <row r="75" spans="1:32" ht="19.5" customHeight="1">
      <c r="A75" s="4564"/>
      <c r="B75" s="4570"/>
      <c r="C75" s="4545"/>
      <c r="D75" s="4514"/>
      <c r="E75" s="4514"/>
      <c r="F75" s="4514"/>
      <c r="G75" s="4514"/>
      <c r="H75" s="4514"/>
      <c r="I75" s="4514"/>
      <c r="J75" s="4514"/>
      <c r="K75" s="4514"/>
      <c r="L75" s="4514"/>
      <c r="M75" s="4393"/>
      <c r="N75" s="4393"/>
      <c r="O75" s="4393"/>
      <c r="P75" s="4514"/>
      <c r="Q75" s="4514"/>
      <c r="R75" s="4518"/>
      <c r="S75" s="2567"/>
      <c r="T75" s="1848"/>
      <c r="U75" s="1848" t="s">
        <v>548</v>
      </c>
      <c r="V75" s="2432" t="s">
        <v>4055</v>
      </c>
      <c r="W75" s="2448">
        <v>15</v>
      </c>
      <c r="X75" s="2449" t="s">
        <v>269</v>
      </c>
      <c r="Y75" s="2450">
        <v>35</v>
      </c>
      <c r="Z75" s="2435">
        <f t="shared" si="18"/>
        <v>525</v>
      </c>
      <c r="AA75" s="2435">
        <f t="shared" si="19"/>
        <v>588</v>
      </c>
      <c r="AB75" s="2436"/>
      <c r="AC75" s="2434" t="s">
        <v>251</v>
      </c>
      <c r="AD75" s="2437"/>
      <c r="AE75" s="2437"/>
      <c r="AF75" s="4521"/>
    </row>
    <row r="76" spans="1:32" ht="19.5" customHeight="1">
      <c r="A76" s="4564"/>
      <c r="B76" s="4570"/>
      <c r="C76" s="4545"/>
      <c r="D76" s="4514"/>
      <c r="E76" s="4514"/>
      <c r="F76" s="4514"/>
      <c r="G76" s="4514"/>
      <c r="H76" s="4514"/>
      <c r="I76" s="4514"/>
      <c r="J76" s="4514"/>
      <c r="K76" s="4514"/>
      <c r="L76" s="4514"/>
      <c r="M76" s="4393"/>
      <c r="N76" s="4393"/>
      <c r="O76" s="4393"/>
      <c r="P76" s="4514"/>
      <c r="Q76" s="4514"/>
      <c r="R76" s="4518"/>
      <c r="S76" s="2567"/>
      <c r="T76" s="1848"/>
      <c r="U76" s="1848" t="s">
        <v>548</v>
      </c>
      <c r="V76" s="2432" t="s">
        <v>4053</v>
      </c>
      <c r="W76" s="2448">
        <v>15</v>
      </c>
      <c r="X76" s="2449" t="s">
        <v>269</v>
      </c>
      <c r="Y76" s="2450">
        <v>35</v>
      </c>
      <c r="Z76" s="2435">
        <f t="shared" si="18"/>
        <v>525</v>
      </c>
      <c r="AA76" s="2435">
        <f t="shared" si="19"/>
        <v>588</v>
      </c>
      <c r="AB76" s="2436"/>
      <c r="AC76" s="2434" t="s">
        <v>251</v>
      </c>
      <c r="AD76" s="2437"/>
      <c r="AE76" s="2437"/>
      <c r="AF76" s="4521"/>
    </row>
    <row r="77" spans="1:32" ht="19.5" customHeight="1">
      <c r="A77" s="4564"/>
      <c r="B77" s="4570"/>
      <c r="C77" s="4545"/>
      <c r="D77" s="4514"/>
      <c r="E77" s="4514"/>
      <c r="F77" s="4514"/>
      <c r="G77" s="4514"/>
      <c r="H77" s="4514"/>
      <c r="I77" s="4514"/>
      <c r="J77" s="4514"/>
      <c r="K77" s="4514"/>
      <c r="L77" s="4514"/>
      <c r="M77" s="4393"/>
      <c r="N77" s="4393"/>
      <c r="O77" s="4393"/>
      <c r="P77" s="4514"/>
      <c r="Q77" s="4514"/>
      <c r="R77" s="4518"/>
      <c r="S77" s="2567"/>
      <c r="T77" s="1848"/>
      <c r="U77" s="1848" t="s">
        <v>549</v>
      </c>
      <c r="V77" s="2432" t="s">
        <v>550</v>
      </c>
      <c r="W77" s="2433">
        <v>4</v>
      </c>
      <c r="X77" s="2449" t="s">
        <v>269</v>
      </c>
      <c r="Y77" s="2435">
        <v>995</v>
      </c>
      <c r="Z77" s="2435">
        <f t="shared" si="18"/>
        <v>3980</v>
      </c>
      <c r="AA77" s="2435">
        <f t="shared" si="19"/>
        <v>4457.6000000000004</v>
      </c>
      <c r="AB77" s="2436"/>
      <c r="AC77" s="2434" t="s">
        <v>251</v>
      </c>
      <c r="AD77" s="2437"/>
      <c r="AE77" s="2437"/>
      <c r="AF77" s="4521"/>
    </row>
    <row r="78" spans="1:32" ht="19.5" customHeight="1">
      <c r="A78" s="4564"/>
      <c r="B78" s="4570"/>
      <c r="C78" s="4573"/>
      <c r="D78" s="4515"/>
      <c r="E78" s="4515"/>
      <c r="F78" s="4515"/>
      <c r="G78" s="4515"/>
      <c r="H78" s="4515"/>
      <c r="I78" s="4515"/>
      <c r="J78" s="4515"/>
      <c r="K78" s="4515"/>
      <c r="L78" s="4515"/>
      <c r="M78" s="4420"/>
      <c r="N78" s="4420"/>
      <c r="O78" s="4420"/>
      <c r="P78" s="4515"/>
      <c r="Q78" s="4515"/>
      <c r="R78" s="4519"/>
      <c r="S78" s="2571"/>
      <c r="T78" s="2481"/>
      <c r="U78" s="2481" t="s">
        <v>549</v>
      </c>
      <c r="V78" s="2482" t="s">
        <v>551</v>
      </c>
      <c r="W78" s="2483">
        <v>4</v>
      </c>
      <c r="X78" s="2504" t="s">
        <v>269</v>
      </c>
      <c r="Y78" s="2485">
        <v>60</v>
      </c>
      <c r="Z78" s="2485">
        <f t="shared" si="18"/>
        <v>240</v>
      </c>
      <c r="AA78" s="2485">
        <f t="shared" si="19"/>
        <v>268.8</v>
      </c>
      <c r="AB78" s="2486"/>
      <c r="AC78" s="2484" t="s">
        <v>251</v>
      </c>
      <c r="AD78" s="2487"/>
      <c r="AE78" s="2487"/>
      <c r="AF78" s="4522"/>
    </row>
    <row r="79" spans="1:32" ht="30" customHeight="1">
      <c r="A79" s="4564"/>
      <c r="B79" s="4570"/>
      <c r="C79" s="4544" t="s">
        <v>235</v>
      </c>
      <c r="D79" s="4399" t="s">
        <v>236</v>
      </c>
      <c r="E79" s="4399" t="s">
        <v>244</v>
      </c>
      <c r="F79" s="4399" t="s">
        <v>471</v>
      </c>
      <c r="G79" s="4547" t="s">
        <v>239</v>
      </c>
      <c r="H79" s="4399" t="s">
        <v>240</v>
      </c>
      <c r="I79" s="4399" t="s">
        <v>278</v>
      </c>
      <c r="J79" s="4547" t="s">
        <v>4147</v>
      </c>
      <c r="K79" s="4399" t="s">
        <v>552</v>
      </c>
      <c r="L79" s="4399" t="s">
        <v>4134</v>
      </c>
      <c r="M79" s="4542">
        <v>1</v>
      </c>
      <c r="N79" s="4542">
        <v>0</v>
      </c>
      <c r="O79" s="4542">
        <v>1</v>
      </c>
      <c r="P79" s="4399" t="s">
        <v>4116</v>
      </c>
      <c r="Q79" s="4399" t="s">
        <v>4090</v>
      </c>
      <c r="R79" s="4533" t="s">
        <v>4069</v>
      </c>
      <c r="S79" s="2572"/>
      <c r="T79" s="2474"/>
      <c r="U79" s="2488"/>
      <c r="V79" s="2295"/>
      <c r="W79" s="2476"/>
      <c r="X79" s="2477"/>
      <c r="Y79" s="2478"/>
      <c r="Z79" s="2478"/>
      <c r="AA79" s="2478"/>
      <c r="AB79" s="2479"/>
      <c r="AC79" s="2477"/>
      <c r="AD79" s="2480"/>
      <c r="AE79" s="2480"/>
      <c r="AF79" s="4535"/>
    </row>
    <row r="80" spans="1:32" ht="30" customHeight="1">
      <c r="A80" s="4564"/>
      <c r="B80" s="4570"/>
      <c r="C80" s="4545"/>
      <c r="D80" s="4514"/>
      <c r="E80" s="4514"/>
      <c r="F80" s="4514"/>
      <c r="G80" s="4514"/>
      <c r="H80" s="4514"/>
      <c r="I80" s="4514"/>
      <c r="J80" s="4514"/>
      <c r="K80" s="4514"/>
      <c r="L80" s="4514"/>
      <c r="M80" s="4393"/>
      <c r="N80" s="4393"/>
      <c r="O80" s="4393"/>
      <c r="P80" s="4514"/>
      <c r="Q80" s="4514"/>
      <c r="R80" s="4518"/>
      <c r="S80" s="2567"/>
      <c r="T80" s="1848"/>
      <c r="U80" s="1848"/>
      <c r="V80" s="2432"/>
      <c r="W80" s="2433"/>
      <c r="X80" s="2434"/>
      <c r="Y80" s="2435"/>
      <c r="Z80" s="2435"/>
      <c r="AA80" s="2435"/>
      <c r="AB80" s="2436"/>
      <c r="AC80" s="2434"/>
      <c r="AD80" s="2437"/>
      <c r="AE80" s="2437"/>
      <c r="AF80" s="4521"/>
    </row>
    <row r="81" spans="1:32" ht="30" customHeight="1">
      <c r="A81" s="4564"/>
      <c r="B81" s="4570"/>
      <c r="C81" s="4545"/>
      <c r="D81" s="4514"/>
      <c r="E81" s="4514"/>
      <c r="F81" s="4514"/>
      <c r="G81" s="4514"/>
      <c r="H81" s="4514"/>
      <c r="I81" s="4514"/>
      <c r="J81" s="4514"/>
      <c r="K81" s="4514"/>
      <c r="L81" s="4514"/>
      <c r="M81" s="4393"/>
      <c r="N81" s="4393"/>
      <c r="O81" s="4393"/>
      <c r="P81" s="4514"/>
      <c r="Q81" s="4514"/>
      <c r="R81" s="4518"/>
      <c r="S81" s="2567"/>
      <c r="T81" s="1848"/>
      <c r="U81" s="1848"/>
      <c r="V81" s="2432"/>
      <c r="W81" s="2433"/>
      <c r="X81" s="2434"/>
      <c r="Y81" s="2435"/>
      <c r="Z81" s="2435"/>
      <c r="AA81" s="2435"/>
      <c r="AB81" s="2436"/>
      <c r="AC81" s="2434"/>
      <c r="AD81" s="2437"/>
      <c r="AE81" s="2437"/>
      <c r="AF81" s="4521"/>
    </row>
    <row r="82" spans="1:32" ht="30" customHeight="1">
      <c r="A82" s="4564"/>
      <c r="B82" s="4570"/>
      <c r="C82" s="4545"/>
      <c r="D82" s="4514"/>
      <c r="E82" s="4514"/>
      <c r="F82" s="4514"/>
      <c r="G82" s="4514"/>
      <c r="H82" s="4514"/>
      <c r="I82" s="4514"/>
      <c r="J82" s="4514"/>
      <c r="K82" s="4514"/>
      <c r="L82" s="4514"/>
      <c r="M82" s="4393"/>
      <c r="N82" s="4393"/>
      <c r="O82" s="4393"/>
      <c r="P82" s="4514"/>
      <c r="Q82" s="4514"/>
      <c r="R82" s="4518"/>
      <c r="S82" s="2567"/>
      <c r="T82" s="1848"/>
      <c r="U82" s="1848"/>
      <c r="V82" s="2442"/>
      <c r="W82" s="2443"/>
      <c r="X82" s="2444"/>
      <c r="Y82" s="2443"/>
      <c r="Z82" s="2435"/>
      <c r="AA82" s="2435"/>
      <c r="AB82" s="2436"/>
      <c r="AC82" s="2434"/>
      <c r="AD82" s="2437"/>
      <c r="AE82" s="2437"/>
      <c r="AF82" s="4521"/>
    </row>
    <row r="83" spans="1:32" ht="30" customHeight="1">
      <c r="A83" s="4564"/>
      <c r="B83" s="4570"/>
      <c r="C83" s="4566"/>
      <c r="D83" s="4525"/>
      <c r="E83" s="4525"/>
      <c r="F83" s="4525"/>
      <c r="G83" s="4525"/>
      <c r="H83" s="4525"/>
      <c r="I83" s="4525"/>
      <c r="J83" s="4525"/>
      <c r="K83" s="4525"/>
      <c r="L83" s="4525"/>
      <c r="M83" s="4402"/>
      <c r="N83" s="4402"/>
      <c r="O83" s="4402"/>
      <c r="P83" s="4525"/>
      <c r="Q83" s="4525"/>
      <c r="R83" s="4528"/>
      <c r="S83" s="2568"/>
      <c r="T83" s="2495"/>
      <c r="U83" s="2495"/>
      <c r="V83" s="2505"/>
      <c r="W83" s="2506"/>
      <c r="X83" s="2507"/>
      <c r="Y83" s="2506"/>
      <c r="Z83" s="2506"/>
      <c r="AA83" s="2506"/>
      <c r="AB83" s="2463"/>
      <c r="AC83" s="2461"/>
      <c r="AD83" s="2464"/>
      <c r="AE83" s="2464"/>
      <c r="AF83" s="4530"/>
    </row>
    <row r="84" spans="1:32" ht="30.75" customHeight="1">
      <c r="A84" s="4564"/>
      <c r="B84" s="4570"/>
      <c r="C84" s="4572" t="s">
        <v>235</v>
      </c>
      <c r="D84" s="4391" t="s">
        <v>236</v>
      </c>
      <c r="E84" s="4391" t="s">
        <v>237</v>
      </c>
      <c r="F84" s="4391" t="s">
        <v>553</v>
      </c>
      <c r="G84" s="4523" t="s">
        <v>239</v>
      </c>
      <c r="H84" s="4391" t="s">
        <v>240</v>
      </c>
      <c r="I84" s="4391" t="s">
        <v>278</v>
      </c>
      <c r="J84" s="4523" t="s">
        <v>4148</v>
      </c>
      <c r="K84" s="4391" t="s">
        <v>554</v>
      </c>
      <c r="L84" s="4391" t="s">
        <v>555</v>
      </c>
      <c r="M84" s="4516">
        <v>2</v>
      </c>
      <c r="N84" s="4516">
        <v>2</v>
      </c>
      <c r="O84" s="4516">
        <v>2</v>
      </c>
      <c r="P84" s="4391" t="s">
        <v>4117</v>
      </c>
      <c r="Q84" s="4391" t="s">
        <v>4091</v>
      </c>
      <c r="R84" s="4517" t="s">
        <v>4070</v>
      </c>
      <c r="S84" s="2569" t="s">
        <v>11</v>
      </c>
      <c r="T84" s="2465">
        <v>840104</v>
      </c>
      <c r="U84" s="2466"/>
      <c r="V84" s="2500" t="s">
        <v>24</v>
      </c>
      <c r="W84" s="2468"/>
      <c r="X84" s="2469"/>
      <c r="Y84" s="2470"/>
      <c r="Z84" s="2470"/>
      <c r="AA84" s="2470"/>
      <c r="AB84" s="2471">
        <f>SUM($AA$85:$AA$87)</f>
        <v>34910.400000000001</v>
      </c>
      <c r="AC84" s="2469"/>
      <c r="AD84" s="2472"/>
      <c r="AE84" s="2472"/>
      <c r="AF84" s="4520"/>
    </row>
    <row r="85" spans="1:32" ht="30.75" customHeight="1">
      <c r="A85" s="4564"/>
      <c r="B85" s="4570"/>
      <c r="C85" s="4545"/>
      <c r="D85" s="4514"/>
      <c r="E85" s="4514"/>
      <c r="F85" s="4514"/>
      <c r="G85" s="4514"/>
      <c r="H85" s="4514"/>
      <c r="I85" s="4514"/>
      <c r="J85" s="4514"/>
      <c r="K85" s="4514"/>
      <c r="L85" s="4514"/>
      <c r="M85" s="4393"/>
      <c r="N85" s="4393"/>
      <c r="O85" s="4393"/>
      <c r="P85" s="4514"/>
      <c r="Q85" s="4514"/>
      <c r="R85" s="4518"/>
      <c r="S85" s="2567"/>
      <c r="T85" s="1848"/>
      <c r="U85" s="1848" t="s">
        <v>556</v>
      </c>
      <c r="V85" s="2432" t="s">
        <v>4052</v>
      </c>
      <c r="W85" s="2433">
        <v>2</v>
      </c>
      <c r="X85" s="2449" t="s">
        <v>269</v>
      </c>
      <c r="Y85" s="2435">
        <v>350</v>
      </c>
      <c r="Z85" s="2435">
        <f t="shared" ref="Z85:Z87" si="20">+W85*Y85</f>
        <v>700</v>
      </c>
      <c r="AA85" s="2435">
        <f t="shared" ref="AA85:AA87" si="21">+Z85*1.12</f>
        <v>784.00000000000011</v>
      </c>
      <c r="AB85" s="2436"/>
      <c r="AC85" s="2434"/>
      <c r="AD85" s="2437" t="s">
        <v>251</v>
      </c>
      <c r="AE85" s="2437"/>
      <c r="AF85" s="4521"/>
    </row>
    <row r="86" spans="1:32" ht="30.75" customHeight="1">
      <c r="A86" s="4564"/>
      <c r="B86" s="4570"/>
      <c r="C86" s="4545"/>
      <c r="D86" s="4514"/>
      <c r="E86" s="4514"/>
      <c r="F86" s="4514"/>
      <c r="G86" s="4514"/>
      <c r="H86" s="4514"/>
      <c r="I86" s="4514"/>
      <c r="J86" s="4514"/>
      <c r="K86" s="4514"/>
      <c r="L86" s="4514"/>
      <c r="M86" s="4393"/>
      <c r="N86" s="4393"/>
      <c r="O86" s="4393"/>
      <c r="P86" s="4514"/>
      <c r="Q86" s="4514"/>
      <c r="R86" s="4518"/>
      <c r="S86" s="2567"/>
      <c r="T86" s="1848"/>
      <c r="U86" s="1848">
        <v>439140211</v>
      </c>
      <c r="V86" s="2432" t="s">
        <v>557</v>
      </c>
      <c r="W86" s="2433">
        <v>10</v>
      </c>
      <c r="X86" s="2449" t="s">
        <v>269</v>
      </c>
      <c r="Y86" s="2435">
        <v>2627</v>
      </c>
      <c r="Z86" s="2435">
        <f t="shared" si="20"/>
        <v>26270</v>
      </c>
      <c r="AA86" s="2435">
        <f t="shared" si="21"/>
        <v>29422.400000000001</v>
      </c>
      <c r="AB86" s="2436"/>
      <c r="AC86" s="2434"/>
      <c r="AD86" s="2437" t="s">
        <v>251</v>
      </c>
      <c r="AE86" s="2437"/>
      <c r="AF86" s="4521"/>
    </row>
    <row r="87" spans="1:32" ht="30.75" customHeight="1">
      <c r="A87" s="4564"/>
      <c r="B87" s="4570"/>
      <c r="C87" s="4545"/>
      <c r="D87" s="4514"/>
      <c r="E87" s="4514"/>
      <c r="F87" s="4514"/>
      <c r="G87" s="4514"/>
      <c r="H87" s="4514"/>
      <c r="I87" s="4514"/>
      <c r="J87" s="4514"/>
      <c r="K87" s="4514"/>
      <c r="L87" s="4514"/>
      <c r="M87" s="4393"/>
      <c r="N87" s="4393"/>
      <c r="O87" s="4393"/>
      <c r="P87" s="4514"/>
      <c r="Q87" s="4514"/>
      <c r="R87" s="4518"/>
      <c r="S87" s="2567"/>
      <c r="T87" s="1848"/>
      <c r="U87" s="1848">
        <v>384400041</v>
      </c>
      <c r="V87" s="2432" t="s">
        <v>558</v>
      </c>
      <c r="W87" s="2433">
        <v>2</v>
      </c>
      <c r="X87" s="2449" t="s">
        <v>269</v>
      </c>
      <c r="Y87" s="2435">
        <v>2100</v>
      </c>
      <c r="Z87" s="2435">
        <f t="shared" si="20"/>
        <v>4200</v>
      </c>
      <c r="AA87" s="2435">
        <f t="shared" si="21"/>
        <v>4704</v>
      </c>
      <c r="AB87" s="2436"/>
      <c r="AC87" s="2434"/>
      <c r="AD87" s="2437" t="s">
        <v>251</v>
      </c>
      <c r="AE87" s="2437"/>
      <c r="AF87" s="4521"/>
    </row>
    <row r="88" spans="1:32" ht="30.75" customHeight="1">
      <c r="A88" s="4564"/>
      <c r="B88" s="4570"/>
      <c r="C88" s="4573"/>
      <c r="D88" s="4515"/>
      <c r="E88" s="4515"/>
      <c r="F88" s="4515"/>
      <c r="G88" s="4515"/>
      <c r="H88" s="4515"/>
      <c r="I88" s="4515"/>
      <c r="J88" s="4515"/>
      <c r="K88" s="4515"/>
      <c r="L88" s="4515"/>
      <c r="M88" s="4420"/>
      <c r="N88" s="4420"/>
      <c r="O88" s="4420"/>
      <c r="P88" s="4515"/>
      <c r="Q88" s="4515"/>
      <c r="R88" s="4519"/>
      <c r="S88" s="2571"/>
      <c r="T88" s="2481"/>
      <c r="U88" s="2481"/>
      <c r="V88" s="2482"/>
      <c r="W88" s="2483"/>
      <c r="X88" s="2484"/>
      <c r="Y88" s="2485"/>
      <c r="Z88" s="2485"/>
      <c r="AA88" s="2485"/>
      <c r="AB88" s="2486"/>
      <c r="AC88" s="2484"/>
      <c r="AD88" s="2487"/>
      <c r="AE88" s="2487"/>
      <c r="AF88" s="4522"/>
    </row>
    <row r="89" spans="1:32" ht="29.25" customHeight="1">
      <c r="A89" s="4564"/>
      <c r="B89" s="4570"/>
      <c r="C89" s="4544" t="s">
        <v>235</v>
      </c>
      <c r="D89" s="4399" t="s">
        <v>236</v>
      </c>
      <c r="E89" s="4399" t="s">
        <v>237</v>
      </c>
      <c r="F89" s="4399" t="s">
        <v>355</v>
      </c>
      <c r="G89" s="4547" t="s">
        <v>239</v>
      </c>
      <c r="H89" s="4399" t="s">
        <v>277</v>
      </c>
      <c r="I89" s="4399" t="s">
        <v>241</v>
      </c>
      <c r="J89" s="4547" t="s">
        <v>4149</v>
      </c>
      <c r="K89" s="4399" t="s">
        <v>559</v>
      </c>
      <c r="L89" s="4399" t="s">
        <v>560</v>
      </c>
      <c r="M89" s="4542">
        <v>0</v>
      </c>
      <c r="N89" s="4542">
        <v>1</v>
      </c>
      <c r="O89" s="4542">
        <v>1</v>
      </c>
      <c r="P89" s="4399" t="s">
        <v>4118</v>
      </c>
      <c r="Q89" s="4399" t="s">
        <v>4092</v>
      </c>
      <c r="R89" s="4533" t="s">
        <v>4071</v>
      </c>
      <c r="S89" s="2572"/>
      <c r="T89" s="2474"/>
      <c r="U89" s="2474"/>
      <c r="V89" s="2475"/>
      <c r="W89" s="2476"/>
      <c r="X89" s="2477"/>
      <c r="Y89" s="2478"/>
      <c r="Z89" s="2478"/>
      <c r="AA89" s="2478"/>
      <c r="AB89" s="2479"/>
      <c r="AC89" s="2477"/>
      <c r="AD89" s="2480"/>
      <c r="AE89" s="2480"/>
      <c r="AF89" s="4535"/>
    </row>
    <row r="90" spans="1:32" ht="29.25" customHeight="1">
      <c r="A90" s="4564"/>
      <c r="B90" s="4570"/>
      <c r="C90" s="4545"/>
      <c r="D90" s="4514"/>
      <c r="E90" s="4514"/>
      <c r="F90" s="4514"/>
      <c r="G90" s="4514"/>
      <c r="H90" s="4514"/>
      <c r="I90" s="4514"/>
      <c r="J90" s="4514"/>
      <c r="K90" s="4514"/>
      <c r="L90" s="4514"/>
      <c r="M90" s="4393"/>
      <c r="N90" s="4393"/>
      <c r="O90" s="4393"/>
      <c r="P90" s="4514"/>
      <c r="Q90" s="4514"/>
      <c r="R90" s="4518"/>
      <c r="S90" s="2567"/>
      <c r="T90" s="1848"/>
      <c r="U90" s="1848"/>
      <c r="V90" s="2432"/>
      <c r="W90" s="2433"/>
      <c r="X90" s="2434"/>
      <c r="Y90" s="2435"/>
      <c r="Z90" s="2435"/>
      <c r="AA90" s="2435"/>
      <c r="AB90" s="2436"/>
      <c r="AC90" s="2434"/>
      <c r="AD90" s="2437"/>
      <c r="AE90" s="2437"/>
      <c r="AF90" s="4521"/>
    </row>
    <row r="91" spans="1:32" ht="29.25" customHeight="1">
      <c r="A91" s="4564"/>
      <c r="B91" s="4570"/>
      <c r="C91" s="4545"/>
      <c r="D91" s="4514"/>
      <c r="E91" s="4514"/>
      <c r="F91" s="4514"/>
      <c r="G91" s="4514"/>
      <c r="H91" s="4514"/>
      <c r="I91" s="4514"/>
      <c r="J91" s="4514"/>
      <c r="K91" s="4514"/>
      <c r="L91" s="4514"/>
      <c r="M91" s="4393"/>
      <c r="N91" s="4393"/>
      <c r="O91" s="4393"/>
      <c r="P91" s="4514"/>
      <c r="Q91" s="4514"/>
      <c r="R91" s="4518"/>
      <c r="S91" s="2567"/>
      <c r="T91" s="1848"/>
      <c r="U91" s="1848"/>
      <c r="V91" s="2432"/>
      <c r="W91" s="2433"/>
      <c r="X91" s="2434"/>
      <c r="Y91" s="2435"/>
      <c r="Z91" s="2435"/>
      <c r="AA91" s="2435"/>
      <c r="AB91" s="2436"/>
      <c r="AC91" s="2434"/>
      <c r="AD91" s="2437"/>
      <c r="AE91" s="2437"/>
      <c r="AF91" s="4521"/>
    </row>
    <row r="92" spans="1:32" ht="29.25" customHeight="1">
      <c r="A92" s="4564"/>
      <c r="B92" s="4570"/>
      <c r="C92" s="4545"/>
      <c r="D92" s="4514"/>
      <c r="E92" s="4514"/>
      <c r="F92" s="4514"/>
      <c r="G92" s="4514"/>
      <c r="H92" s="4514"/>
      <c r="I92" s="4514"/>
      <c r="J92" s="4514"/>
      <c r="K92" s="4514"/>
      <c r="L92" s="4514"/>
      <c r="M92" s="4393"/>
      <c r="N92" s="4393"/>
      <c r="O92" s="4393"/>
      <c r="P92" s="4514"/>
      <c r="Q92" s="4514"/>
      <c r="R92" s="4518"/>
      <c r="S92" s="2567"/>
      <c r="T92" s="1848"/>
      <c r="U92" s="1848"/>
      <c r="V92" s="2432"/>
      <c r="W92" s="2433"/>
      <c r="X92" s="2434"/>
      <c r="Y92" s="2435"/>
      <c r="Z92" s="2435"/>
      <c r="AA92" s="2435"/>
      <c r="AB92" s="2436"/>
      <c r="AC92" s="2434"/>
      <c r="AD92" s="2437"/>
      <c r="AE92" s="2437"/>
      <c r="AF92" s="4521"/>
    </row>
    <row r="93" spans="1:32" ht="29.25" customHeight="1">
      <c r="A93" s="4564"/>
      <c r="B93" s="4570"/>
      <c r="C93" s="4566"/>
      <c r="D93" s="4525"/>
      <c r="E93" s="4525"/>
      <c r="F93" s="4525"/>
      <c r="G93" s="4525"/>
      <c r="H93" s="4525"/>
      <c r="I93" s="4525"/>
      <c r="J93" s="4525"/>
      <c r="K93" s="4525"/>
      <c r="L93" s="4525"/>
      <c r="M93" s="4402"/>
      <c r="N93" s="4402"/>
      <c r="O93" s="4402"/>
      <c r="P93" s="4525"/>
      <c r="Q93" s="4525"/>
      <c r="R93" s="4528"/>
      <c r="S93" s="2568"/>
      <c r="T93" s="2495"/>
      <c r="U93" s="2495"/>
      <c r="V93" s="2459"/>
      <c r="W93" s="2460"/>
      <c r="X93" s="2461"/>
      <c r="Y93" s="2462"/>
      <c r="Z93" s="2462"/>
      <c r="AA93" s="2462"/>
      <c r="AB93" s="2463"/>
      <c r="AC93" s="2461"/>
      <c r="AD93" s="2464"/>
      <c r="AE93" s="2464"/>
      <c r="AF93" s="4530"/>
    </row>
    <row r="94" spans="1:32" ht="30.75" customHeight="1">
      <c r="A94" s="4564"/>
      <c r="B94" s="4570"/>
      <c r="C94" s="4572" t="s">
        <v>235</v>
      </c>
      <c r="D94" s="4391" t="s">
        <v>236</v>
      </c>
      <c r="E94" s="4391" t="s">
        <v>237</v>
      </c>
      <c r="F94" s="4391" t="s">
        <v>326</v>
      </c>
      <c r="G94" s="4523" t="s">
        <v>239</v>
      </c>
      <c r="H94" s="4391" t="s">
        <v>293</v>
      </c>
      <c r="I94" s="4391" t="s">
        <v>257</v>
      </c>
      <c r="J94" s="4391" t="s">
        <v>4150</v>
      </c>
      <c r="K94" s="4391" t="s">
        <v>338</v>
      </c>
      <c r="L94" s="4391" t="s">
        <v>561</v>
      </c>
      <c r="M94" s="4516">
        <v>0</v>
      </c>
      <c r="N94" s="4516">
        <v>1</v>
      </c>
      <c r="O94" s="4516">
        <v>1</v>
      </c>
      <c r="P94" s="4391" t="s">
        <v>3824</v>
      </c>
      <c r="Q94" s="4391" t="s">
        <v>4093</v>
      </c>
      <c r="R94" s="4517" t="s">
        <v>4072</v>
      </c>
      <c r="S94" s="2569"/>
      <c r="T94" s="2496"/>
      <c r="U94" s="2496"/>
      <c r="V94" s="2497"/>
      <c r="W94" s="2498"/>
      <c r="X94" s="2499"/>
      <c r="Y94" s="2498"/>
      <c r="Z94" s="2470"/>
      <c r="AA94" s="2470"/>
      <c r="AB94" s="2471"/>
      <c r="AC94" s="2469"/>
      <c r="AD94" s="2472"/>
      <c r="AE94" s="2472"/>
      <c r="AF94" s="4520"/>
    </row>
    <row r="95" spans="1:32" ht="30.75" customHeight="1">
      <c r="A95" s="4564"/>
      <c r="B95" s="4570"/>
      <c r="C95" s="4545"/>
      <c r="D95" s="4514"/>
      <c r="E95" s="4514"/>
      <c r="F95" s="4514"/>
      <c r="G95" s="4514"/>
      <c r="H95" s="4514"/>
      <c r="I95" s="4514"/>
      <c r="J95" s="4514"/>
      <c r="K95" s="4514"/>
      <c r="L95" s="4514"/>
      <c r="M95" s="4393"/>
      <c r="N95" s="4393"/>
      <c r="O95" s="4393"/>
      <c r="P95" s="4514"/>
      <c r="Q95" s="4514"/>
      <c r="R95" s="4518"/>
      <c r="S95" s="2567"/>
      <c r="T95" s="1848"/>
      <c r="U95" s="1848"/>
      <c r="V95" s="2442"/>
      <c r="W95" s="2443"/>
      <c r="X95" s="2444"/>
      <c r="Y95" s="2443"/>
      <c r="Z95" s="2435"/>
      <c r="AA95" s="2435"/>
      <c r="AB95" s="2436"/>
      <c r="AC95" s="2434"/>
      <c r="AD95" s="2437"/>
      <c r="AE95" s="2437"/>
      <c r="AF95" s="4521"/>
    </row>
    <row r="96" spans="1:32" ht="30.75" customHeight="1">
      <c r="A96" s="4564"/>
      <c r="B96" s="4570"/>
      <c r="C96" s="4545"/>
      <c r="D96" s="4514"/>
      <c r="E96" s="4514"/>
      <c r="F96" s="4514"/>
      <c r="G96" s="4514"/>
      <c r="H96" s="4514"/>
      <c r="I96" s="4514"/>
      <c r="J96" s="4514"/>
      <c r="K96" s="4514"/>
      <c r="L96" s="4514"/>
      <c r="M96" s="4393"/>
      <c r="N96" s="4393"/>
      <c r="O96" s="4393"/>
      <c r="P96" s="4514"/>
      <c r="Q96" s="4514"/>
      <c r="R96" s="4518"/>
      <c r="S96" s="2567"/>
      <c r="T96" s="1848"/>
      <c r="U96" s="1848"/>
      <c r="V96" s="2442"/>
      <c r="W96" s="2443"/>
      <c r="X96" s="2444"/>
      <c r="Y96" s="2443"/>
      <c r="Z96" s="2435"/>
      <c r="AA96" s="2435"/>
      <c r="AB96" s="2436"/>
      <c r="AC96" s="2434"/>
      <c r="AD96" s="2437"/>
      <c r="AE96" s="2437"/>
      <c r="AF96" s="4521"/>
    </row>
    <row r="97" spans="1:32" ht="30.75" customHeight="1">
      <c r="A97" s="4564"/>
      <c r="B97" s="4570"/>
      <c r="C97" s="4545"/>
      <c r="D97" s="4514"/>
      <c r="E97" s="4514"/>
      <c r="F97" s="4514"/>
      <c r="G97" s="4514"/>
      <c r="H97" s="4514"/>
      <c r="I97" s="4514"/>
      <c r="J97" s="4514"/>
      <c r="K97" s="4514"/>
      <c r="L97" s="4514"/>
      <c r="M97" s="4393"/>
      <c r="N97" s="4393"/>
      <c r="O97" s="4393"/>
      <c r="P97" s="4514"/>
      <c r="Q97" s="4514"/>
      <c r="R97" s="4518"/>
      <c r="S97" s="2567"/>
      <c r="T97" s="1848"/>
      <c r="U97" s="1848"/>
      <c r="V97" s="2442"/>
      <c r="W97" s="2443"/>
      <c r="X97" s="2444"/>
      <c r="Y97" s="2443"/>
      <c r="Z97" s="2435"/>
      <c r="AA97" s="2435"/>
      <c r="AB97" s="2436"/>
      <c r="AC97" s="2434"/>
      <c r="AD97" s="2437"/>
      <c r="AE97" s="2437"/>
      <c r="AF97" s="4521"/>
    </row>
    <row r="98" spans="1:32" ht="30.75" customHeight="1">
      <c r="A98" s="4564"/>
      <c r="B98" s="4570"/>
      <c r="C98" s="4573"/>
      <c r="D98" s="4515"/>
      <c r="E98" s="4515"/>
      <c r="F98" s="4515"/>
      <c r="G98" s="4515"/>
      <c r="H98" s="4515"/>
      <c r="I98" s="4515"/>
      <c r="J98" s="4515"/>
      <c r="K98" s="4515"/>
      <c r="L98" s="4515"/>
      <c r="M98" s="4420"/>
      <c r="N98" s="4420"/>
      <c r="O98" s="4420"/>
      <c r="P98" s="4515"/>
      <c r="Q98" s="4515"/>
      <c r="R98" s="4519"/>
      <c r="S98" s="2571"/>
      <c r="T98" s="2508"/>
      <c r="U98" s="2481"/>
      <c r="V98" s="2509"/>
      <c r="W98" s="2483"/>
      <c r="X98" s="2484"/>
      <c r="Y98" s="2485"/>
      <c r="Z98" s="2485"/>
      <c r="AA98" s="2485"/>
      <c r="AB98" s="2486"/>
      <c r="AC98" s="2484"/>
      <c r="AD98" s="2487"/>
      <c r="AE98" s="2487"/>
      <c r="AF98" s="4522"/>
    </row>
    <row r="99" spans="1:32" ht="31.5" customHeight="1">
      <c r="A99" s="4564"/>
      <c r="B99" s="4570"/>
      <c r="C99" s="4544" t="s">
        <v>235</v>
      </c>
      <c r="D99" s="4399" t="s">
        <v>236</v>
      </c>
      <c r="E99" s="4399" t="s">
        <v>237</v>
      </c>
      <c r="F99" s="4399" t="s">
        <v>326</v>
      </c>
      <c r="G99" s="4547" t="s">
        <v>239</v>
      </c>
      <c r="H99" s="4399" t="s">
        <v>240</v>
      </c>
      <c r="I99" s="4399" t="s">
        <v>257</v>
      </c>
      <c r="J99" s="4399" t="s">
        <v>4151</v>
      </c>
      <c r="K99" s="4399" t="s">
        <v>371</v>
      </c>
      <c r="L99" s="4399" t="s">
        <v>563</v>
      </c>
      <c r="M99" s="4542">
        <v>1</v>
      </c>
      <c r="N99" s="4542">
        <v>1</v>
      </c>
      <c r="O99" s="4542">
        <v>1</v>
      </c>
      <c r="P99" s="4399" t="s">
        <v>4119</v>
      </c>
      <c r="Q99" s="4399" t="s">
        <v>3839</v>
      </c>
      <c r="R99" s="4533" t="s">
        <v>4073</v>
      </c>
      <c r="S99" s="2572"/>
      <c r="T99" s="2488"/>
      <c r="U99" s="2488"/>
      <c r="V99" s="2489"/>
      <c r="W99" s="2490"/>
      <c r="X99" s="2491"/>
      <c r="Y99" s="2490"/>
      <c r="Z99" s="2478"/>
      <c r="AA99" s="2478"/>
      <c r="AB99" s="2479"/>
      <c r="AC99" s="2477"/>
      <c r="AD99" s="2480"/>
      <c r="AE99" s="2480"/>
      <c r="AF99" s="4535"/>
    </row>
    <row r="100" spans="1:32" ht="31.5" customHeight="1">
      <c r="A100" s="4564"/>
      <c r="B100" s="4570"/>
      <c r="C100" s="4545"/>
      <c r="D100" s="4514"/>
      <c r="E100" s="4514"/>
      <c r="F100" s="4514"/>
      <c r="G100" s="4514"/>
      <c r="H100" s="4514"/>
      <c r="I100" s="4514"/>
      <c r="J100" s="4514"/>
      <c r="K100" s="4514"/>
      <c r="L100" s="4514"/>
      <c r="M100" s="4393"/>
      <c r="N100" s="4393"/>
      <c r="O100" s="4393"/>
      <c r="P100" s="4514"/>
      <c r="Q100" s="4514"/>
      <c r="R100" s="4518"/>
      <c r="S100" s="2567"/>
      <c r="T100" s="1848"/>
      <c r="U100" s="1848"/>
      <c r="V100" s="2442"/>
      <c r="W100" s="2443"/>
      <c r="X100" s="2444"/>
      <c r="Y100" s="2443"/>
      <c r="Z100" s="2435"/>
      <c r="AA100" s="2435"/>
      <c r="AB100" s="2436"/>
      <c r="AC100" s="2434"/>
      <c r="AD100" s="2437"/>
      <c r="AE100" s="2437"/>
      <c r="AF100" s="4521"/>
    </row>
    <row r="101" spans="1:32" ht="31.5" customHeight="1">
      <c r="A101" s="4564"/>
      <c r="B101" s="4570"/>
      <c r="C101" s="4545"/>
      <c r="D101" s="4514"/>
      <c r="E101" s="4514"/>
      <c r="F101" s="4514"/>
      <c r="G101" s="4514"/>
      <c r="H101" s="4514"/>
      <c r="I101" s="4514"/>
      <c r="J101" s="4514"/>
      <c r="K101" s="4514"/>
      <c r="L101" s="4514"/>
      <c r="M101" s="4393"/>
      <c r="N101" s="4393"/>
      <c r="O101" s="4393"/>
      <c r="P101" s="4514"/>
      <c r="Q101" s="4514"/>
      <c r="R101" s="4518"/>
      <c r="S101" s="2567"/>
      <c r="T101" s="1848"/>
      <c r="U101" s="1848"/>
      <c r="V101" s="2432"/>
      <c r="W101" s="2433"/>
      <c r="X101" s="2434"/>
      <c r="Y101" s="2435"/>
      <c r="Z101" s="2435"/>
      <c r="AA101" s="2435"/>
      <c r="AB101" s="2436"/>
      <c r="AC101" s="2434"/>
      <c r="AD101" s="2437"/>
      <c r="AE101" s="2437"/>
      <c r="AF101" s="4521"/>
    </row>
    <row r="102" spans="1:32" ht="31.5" customHeight="1">
      <c r="A102" s="4564"/>
      <c r="B102" s="4570"/>
      <c r="C102" s="4545"/>
      <c r="D102" s="4514"/>
      <c r="E102" s="4514"/>
      <c r="F102" s="4514"/>
      <c r="G102" s="4514"/>
      <c r="H102" s="4514"/>
      <c r="I102" s="4514"/>
      <c r="J102" s="4514"/>
      <c r="K102" s="4514"/>
      <c r="L102" s="4514"/>
      <c r="M102" s="4393"/>
      <c r="N102" s="4393"/>
      <c r="O102" s="4393"/>
      <c r="P102" s="4514"/>
      <c r="Q102" s="4514"/>
      <c r="R102" s="4518"/>
      <c r="S102" s="2567"/>
      <c r="T102" s="1848"/>
      <c r="U102" s="1848"/>
      <c r="V102" s="2432"/>
      <c r="W102" s="2433"/>
      <c r="X102" s="2434"/>
      <c r="Y102" s="2435"/>
      <c r="Z102" s="2435"/>
      <c r="AA102" s="2435"/>
      <c r="AB102" s="2436"/>
      <c r="AC102" s="2434"/>
      <c r="AD102" s="2437"/>
      <c r="AE102" s="2437"/>
      <c r="AF102" s="4521"/>
    </row>
    <row r="103" spans="1:32" ht="31.5" customHeight="1" thickBot="1">
      <c r="A103" s="4564"/>
      <c r="B103" s="4570"/>
      <c r="C103" s="4546"/>
      <c r="D103" s="4532"/>
      <c r="E103" s="4532"/>
      <c r="F103" s="4532"/>
      <c r="G103" s="4532"/>
      <c r="H103" s="4532"/>
      <c r="I103" s="4532"/>
      <c r="J103" s="4532"/>
      <c r="K103" s="4532"/>
      <c r="L103" s="4532"/>
      <c r="M103" s="4394"/>
      <c r="N103" s="4394"/>
      <c r="O103" s="4394"/>
      <c r="P103" s="4532"/>
      <c r="Q103" s="4532"/>
      <c r="R103" s="4534"/>
      <c r="S103" s="2575"/>
      <c r="T103" s="2451"/>
      <c r="U103" s="2451"/>
      <c r="V103" s="2452"/>
      <c r="W103" s="2453"/>
      <c r="X103" s="2454"/>
      <c r="Y103" s="2455"/>
      <c r="Z103" s="2455"/>
      <c r="AA103" s="2455"/>
      <c r="AB103" s="2456"/>
      <c r="AC103" s="2454"/>
      <c r="AD103" s="2457"/>
      <c r="AE103" s="2457"/>
      <c r="AF103" s="4536"/>
    </row>
    <row r="104" spans="1:32" ht="22.5" customHeight="1" thickBot="1">
      <c r="A104" s="4564"/>
      <c r="B104" s="4479"/>
      <c r="C104" s="4543"/>
      <c r="D104" s="4540"/>
      <c r="E104" s="4540"/>
      <c r="F104" s="4540"/>
      <c r="G104" s="4540"/>
      <c r="H104" s="4540"/>
      <c r="I104" s="4540"/>
      <c r="J104" s="4540"/>
      <c r="K104" s="4540"/>
      <c r="L104" s="4540"/>
      <c r="M104" s="4540"/>
      <c r="N104" s="4540"/>
      <c r="O104" s="4540"/>
      <c r="P104" s="4540"/>
      <c r="Q104" s="4540"/>
      <c r="R104" s="4540"/>
      <c r="S104" s="4537" t="s">
        <v>565</v>
      </c>
      <c r="T104" s="4538"/>
      <c r="U104" s="4538"/>
      <c r="V104" s="4538"/>
      <c r="W104" s="4538"/>
      <c r="X104" s="4538"/>
      <c r="Y104" s="4538"/>
      <c r="Z104" s="4538"/>
      <c r="AA104" s="2423" t="s">
        <v>340</v>
      </c>
      <c r="AB104" s="2422">
        <f>SUM(AB9:AB103)</f>
        <v>449491.17440000008</v>
      </c>
      <c r="AC104" s="4539"/>
      <c r="AD104" s="4540"/>
      <c r="AE104" s="4540"/>
      <c r="AF104" s="4541"/>
    </row>
    <row r="105" spans="1:32" ht="30" customHeight="1">
      <c r="A105" s="4564"/>
      <c r="B105" s="4571" t="s">
        <v>566</v>
      </c>
      <c r="C105" s="4574" t="s">
        <v>235</v>
      </c>
      <c r="D105" s="4524" t="s">
        <v>236</v>
      </c>
      <c r="E105" s="4524" t="s">
        <v>244</v>
      </c>
      <c r="F105" s="4524" t="s">
        <v>337</v>
      </c>
      <c r="G105" s="4531" t="s">
        <v>239</v>
      </c>
      <c r="H105" s="4524" t="s">
        <v>240</v>
      </c>
      <c r="I105" s="4524" t="s">
        <v>257</v>
      </c>
      <c r="J105" s="4531" t="s">
        <v>4152</v>
      </c>
      <c r="K105" s="4524" t="s">
        <v>567</v>
      </c>
      <c r="L105" s="4524" t="s">
        <v>568</v>
      </c>
      <c r="M105" s="4526">
        <v>1</v>
      </c>
      <c r="N105" s="4526">
        <v>1</v>
      </c>
      <c r="O105" s="4526">
        <v>1</v>
      </c>
      <c r="P105" s="4524" t="s">
        <v>4120</v>
      </c>
      <c r="Q105" s="4524" t="s">
        <v>4094</v>
      </c>
      <c r="R105" s="4527" t="s">
        <v>4074</v>
      </c>
      <c r="S105" s="2576"/>
      <c r="T105" s="2510"/>
      <c r="U105" s="2510"/>
      <c r="V105" s="2511"/>
      <c r="W105" s="2512"/>
      <c r="X105" s="2513"/>
      <c r="Y105" s="2514"/>
      <c r="Z105" s="2514"/>
      <c r="AA105" s="2514"/>
      <c r="AB105" s="2515"/>
      <c r="AC105" s="2513"/>
      <c r="AD105" s="2516"/>
      <c r="AE105" s="2516"/>
      <c r="AF105" s="4529"/>
    </row>
    <row r="106" spans="1:32" ht="30" customHeight="1">
      <c r="A106" s="4564"/>
      <c r="B106" s="4570"/>
      <c r="C106" s="4545"/>
      <c r="D106" s="4514"/>
      <c r="E106" s="4514"/>
      <c r="F106" s="4514"/>
      <c r="G106" s="4514"/>
      <c r="H106" s="4514"/>
      <c r="I106" s="4514"/>
      <c r="J106" s="4514"/>
      <c r="K106" s="4514"/>
      <c r="L106" s="4514"/>
      <c r="M106" s="4393"/>
      <c r="N106" s="4393"/>
      <c r="O106" s="4393"/>
      <c r="P106" s="4514"/>
      <c r="Q106" s="4514"/>
      <c r="R106" s="4518"/>
      <c r="S106" s="2567"/>
      <c r="T106" s="1848"/>
      <c r="U106" s="1848"/>
      <c r="V106" s="2432"/>
      <c r="W106" s="2433"/>
      <c r="X106" s="2434"/>
      <c r="Y106" s="2435"/>
      <c r="Z106" s="2435"/>
      <c r="AA106" s="2435"/>
      <c r="AB106" s="2436"/>
      <c r="AC106" s="2434"/>
      <c r="AD106" s="2437"/>
      <c r="AE106" s="2437"/>
      <c r="AF106" s="4521"/>
    </row>
    <row r="107" spans="1:32" ht="30" customHeight="1">
      <c r="A107" s="4564"/>
      <c r="B107" s="4570"/>
      <c r="C107" s="4545"/>
      <c r="D107" s="4514"/>
      <c r="E107" s="4514"/>
      <c r="F107" s="4514"/>
      <c r="G107" s="4514"/>
      <c r="H107" s="4514"/>
      <c r="I107" s="4514"/>
      <c r="J107" s="4514"/>
      <c r="K107" s="4514"/>
      <c r="L107" s="4514"/>
      <c r="M107" s="4393"/>
      <c r="N107" s="4393"/>
      <c r="O107" s="4393"/>
      <c r="P107" s="4514"/>
      <c r="Q107" s="4514"/>
      <c r="R107" s="4518"/>
      <c r="S107" s="2567"/>
      <c r="T107" s="1848"/>
      <c r="U107" s="1848"/>
      <c r="V107" s="2432"/>
      <c r="W107" s="2433"/>
      <c r="X107" s="2434"/>
      <c r="Y107" s="2435"/>
      <c r="Z107" s="2435"/>
      <c r="AA107" s="2435"/>
      <c r="AB107" s="2436"/>
      <c r="AC107" s="2434"/>
      <c r="AD107" s="2437"/>
      <c r="AE107" s="2437"/>
      <c r="AF107" s="4521"/>
    </row>
    <row r="108" spans="1:32" ht="30" customHeight="1">
      <c r="A108" s="4564"/>
      <c r="B108" s="4570"/>
      <c r="C108" s="4545"/>
      <c r="D108" s="4514"/>
      <c r="E108" s="4514"/>
      <c r="F108" s="4514"/>
      <c r="G108" s="4514"/>
      <c r="H108" s="4514"/>
      <c r="I108" s="4514"/>
      <c r="J108" s="4514"/>
      <c r="K108" s="4514"/>
      <c r="L108" s="4514"/>
      <c r="M108" s="4393"/>
      <c r="N108" s="4393"/>
      <c r="O108" s="4393"/>
      <c r="P108" s="4514"/>
      <c r="Q108" s="4514"/>
      <c r="R108" s="4518"/>
      <c r="S108" s="2567"/>
      <c r="T108" s="1850"/>
      <c r="U108" s="1850"/>
      <c r="V108" s="2432"/>
      <c r="W108" s="2433"/>
      <c r="X108" s="2434"/>
      <c r="Y108" s="2435"/>
      <c r="Z108" s="2435"/>
      <c r="AA108" s="2435"/>
      <c r="AB108" s="2436"/>
      <c r="AC108" s="2434"/>
      <c r="AD108" s="2437"/>
      <c r="AE108" s="2437"/>
      <c r="AF108" s="4521"/>
    </row>
    <row r="109" spans="1:32" ht="30" customHeight="1">
      <c r="A109" s="4564"/>
      <c r="B109" s="4570"/>
      <c r="C109" s="4566"/>
      <c r="D109" s="4525"/>
      <c r="E109" s="4525"/>
      <c r="F109" s="4525"/>
      <c r="G109" s="4525"/>
      <c r="H109" s="4525"/>
      <c r="I109" s="4525"/>
      <c r="J109" s="4525"/>
      <c r="K109" s="4525"/>
      <c r="L109" s="4525"/>
      <c r="M109" s="4402"/>
      <c r="N109" s="4402"/>
      <c r="O109" s="4402"/>
      <c r="P109" s="4525"/>
      <c r="Q109" s="4525"/>
      <c r="R109" s="4528"/>
      <c r="S109" s="2568"/>
      <c r="T109" s="2495"/>
      <c r="U109" s="2495"/>
      <c r="V109" s="2459"/>
      <c r="W109" s="2460"/>
      <c r="X109" s="2461"/>
      <c r="Y109" s="2462"/>
      <c r="Z109" s="2462"/>
      <c r="AA109" s="2462"/>
      <c r="AB109" s="2463"/>
      <c r="AC109" s="2461"/>
      <c r="AD109" s="2464"/>
      <c r="AE109" s="2464"/>
      <c r="AF109" s="4530"/>
    </row>
    <row r="110" spans="1:32" ht="38.25" customHeight="1">
      <c r="A110" s="4564"/>
      <c r="B110" s="4570"/>
      <c r="C110" s="4572" t="s">
        <v>235</v>
      </c>
      <c r="D110" s="4391" t="s">
        <v>236</v>
      </c>
      <c r="E110" s="4391" t="s">
        <v>237</v>
      </c>
      <c r="F110" s="4391" t="s">
        <v>238</v>
      </c>
      <c r="G110" s="4523" t="s">
        <v>239</v>
      </c>
      <c r="H110" s="4391" t="s">
        <v>240</v>
      </c>
      <c r="I110" s="4391" t="s">
        <v>257</v>
      </c>
      <c r="J110" s="4391" t="s">
        <v>4153</v>
      </c>
      <c r="K110" s="4391" t="s">
        <v>569</v>
      </c>
      <c r="L110" s="4391" t="s">
        <v>570</v>
      </c>
      <c r="M110" s="4516">
        <v>1</v>
      </c>
      <c r="N110" s="4516">
        <v>1</v>
      </c>
      <c r="O110" s="4516">
        <v>1</v>
      </c>
      <c r="P110" s="4391" t="s">
        <v>4121</v>
      </c>
      <c r="Q110" s="4391" t="s">
        <v>4080</v>
      </c>
      <c r="R110" s="4517" t="s">
        <v>4074</v>
      </c>
      <c r="S110" s="2577"/>
      <c r="T110" s="2532"/>
      <c r="U110" s="2532"/>
      <c r="V110" s="2533"/>
      <c r="W110" s="2468"/>
      <c r="X110" s="2469"/>
      <c r="Y110" s="2470"/>
      <c r="Z110" s="2470"/>
      <c r="AA110" s="2470"/>
      <c r="AB110" s="2471"/>
      <c r="AC110" s="2469"/>
      <c r="AD110" s="2503"/>
      <c r="AE110" s="2503"/>
      <c r="AF110" s="4520"/>
    </row>
    <row r="111" spans="1:32" ht="38.25" customHeight="1">
      <c r="A111" s="4564"/>
      <c r="B111" s="4570"/>
      <c r="C111" s="4545"/>
      <c r="D111" s="4514"/>
      <c r="E111" s="4514"/>
      <c r="F111" s="4514"/>
      <c r="G111" s="4514"/>
      <c r="H111" s="4514"/>
      <c r="I111" s="4514"/>
      <c r="J111" s="4514"/>
      <c r="K111" s="4514"/>
      <c r="L111" s="4514"/>
      <c r="M111" s="4393"/>
      <c r="N111" s="4393"/>
      <c r="O111" s="4393"/>
      <c r="P111" s="4514"/>
      <c r="Q111" s="4514"/>
      <c r="R111" s="4518"/>
      <c r="S111" s="2570"/>
      <c r="T111" s="2517"/>
      <c r="U111" s="2517"/>
      <c r="V111" s="2518"/>
      <c r="W111" s="2433"/>
      <c r="X111" s="2434"/>
      <c r="Y111" s="2435"/>
      <c r="Z111" s="2435"/>
      <c r="AA111" s="2435"/>
      <c r="AB111" s="2436"/>
      <c r="AC111" s="2434"/>
      <c r="AD111" s="2434"/>
      <c r="AE111" s="2446"/>
      <c r="AF111" s="4521"/>
    </row>
    <row r="112" spans="1:32" ht="38.25" customHeight="1">
      <c r="A112" s="4564"/>
      <c r="B112" s="4570"/>
      <c r="C112" s="4545"/>
      <c r="D112" s="4514"/>
      <c r="E112" s="4514"/>
      <c r="F112" s="4514"/>
      <c r="G112" s="4514"/>
      <c r="H112" s="4514"/>
      <c r="I112" s="4514"/>
      <c r="J112" s="4514"/>
      <c r="K112" s="4514"/>
      <c r="L112" s="4514"/>
      <c r="M112" s="4393"/>
      <c r="N112" s="4393"/>
      <c r="O112" s="4393"/>
      <c r="P112" s="4514"/>
      <c r="Q112" s="4514"/>
      <c r="R112" s="4518"/>
      <c r="S112" s="2570"/>
      <c r="T112" s="2517"/>
      <c r="U112" s="2517"/>
      <c r="V112" s="2518"/>
      <c r="W112" s="2433"/>
      <c r="X112" s="2434"/>
      <c r="Y112" s="2435"/>
      <c r="Z112" s="2435"/>
      <c r="AA112" s="2435"/>
      <c r="AB112" s="2436"/>
      <c r="AC112" s="2434"/>
      <c r="AD112" s="2434"/>
      <c r="AE112" s="2437"/>
      <c r="AF112" s="4521"/>
    </row>
    <row r="113" spans="1:32" ht="38.25" customHeight="1">
      <c r="A113" s="4564"/>
      <c r="B113" s="4570"/>
      <c r="C113" s="4545"/>
      <c r="D113" s="4514"/>
      <c r="E113" s="4514"/>
      <c r="F113" s="4514"/>
      <c r="G113" s="4514"/>
      <c r="H113" s="4514"/>
      <c r="I113" s="4514"/>
      <c r="J113" s="4514"/>
      <c r="K113" s="4514"/>
      <c r="L113" s="4514"/>
      <c r="M113" s="4393"/>
      <c r="N113" s="4393"/>
      <c r="O113" s="4393"/>
      <c r="P113" s="4514"/>
      <c r="Q113" s="4514"/>
      <c r="R113" s="4518"/>
      <c r="S113" s="2570"/>
      <c r="T113" s="2517"/>
      <c r="U113" s="2517"/>
      <c r="V113" s="2518"/>
      <c r="W113" s="2433"/>
      <c r="X113" s="2434"/>
      <c r="Y113" s="2435"/>
      <c r="Z113" s="2435"/>
      <c r="AA113" s="2435"/>
      <c r="AB113" s="2436"/>
      <c r="AC113" s="2434"/>
      <c r="AD113" s="2434"/>
      <c r="AE113" s="2437"/>
      <c r="AF113" s="4521"/>
    </row>
    <row r="114" spans="1:32" ht="38.25" customHeight="1">
      <c r="A114" s="4564"/>
      <c r="B114" s="4570"/>
      <c r="C114" s="4573"/>
      <c r="D114" s="4515"/>
      <c r="E114" s="4515"/>
      <c r="F114" s="4515"/>
      <c r="G114" s="4515"/>
      <c r="H114" s="4515"/>
      <c r="I114" s="4515"/>
      <c r="J114" s="4515"/>
      <c r="K114" s="4515"/>
      <c r="L114" s="4515"/>
      <c r="M114" s="4420"/>
      <c r="N114" s="4420"/>
      <c r="O114" s="4420"/>
      <c r="P114" s="4515"/>
      <c r="Q114" s="4515"/>
      <c r="R114" s="4519"/>
      <c r="S114" s="2578"/>
      <c r="T114" s="2530"/>
      <c r="U114" s="2530"/>
      <c r="V114" s="2531"/>
      <c r="W114" s="2483"/>
      <c r="X114" s="2484"/>
      <c r="Y114" s="2485"/>
      <c r="Z114" s="2485"/>
      <c r="AA114" s="2485"/>
      <c r="AB114" s="2486"/>
      <c r="AC114" s="2484"/>
      <c r="AD114" s="2484"/>
      <c r="AE114" s="2487"/>
      <c r="AF114" s="4522"/>
    </row>
    <row r="115" spans="1:32" ht="37.5" customHeight="1">
      <c r="A115" s="4564"/>
      <c r="B115" s="4570"/>
      <c r="C115" s="4544" t="s">
        <v>235</v>
      </c>
      <c r="D115" s="4399" t="s">
        <v>236</v>
      </c>
      <c r="E115" s="4399" t="s">
        <v>237</v>
      </c>
      <c r="F115" s="4399" t="s">
        <v>238</v>
      </c>
      <c r="G115" s="4547" t="s">
        <v>239</v>
      </c>
      <c r="H115" s="4399" t="s">
        <v>240</v>
      </c>
      <c r="I115" s="4399" t="s">
        <v>257</v>
      </c>
      <c r="J115" s="4399" t="s">
        <v>4154</v>
      </c>
      <c r="K115" s="4399" t="s">
        <v>571</v>
      </c>
      <c r="L115" s="4399" t="s">
        <v>543</v>
      </c>
      <c r="M115" s="4542">
        <v>1</v>
      </c>
      <c r="N115" s="4542">
        <v>0</v>
      </c>
      <c r="O115" s="4542">
        <v>1</v>
      </c>
      <c r="P115" s="4399" t="s">
        <v>4122</v>
      </c>
      <c r="Q115" s="4399" t="s">
        <v>4088</v>
      </c>
      <c r="R115" s="4533" t="s">
        <v>4068</v>
      </c>
      <c r="S115" s="2579"/>
      <c r="T115" s="2528"/>
      <c r="U115" s="2528"/>
      <c r="V115" s="2529"/>
      <c r="W115" s="2476"/>
      <c r="X115" s="2477"/>
      <c r="Y115" s="2478"/>
      <c r="Z115" s="2478"/>
      <c r="AA115" s="2478"/>
      <c r="AB115" s="2479"/>
      <c r="AC115" s="2477"/>
      <c r="AD115" s="2480"/>
      <c r="AE115" s="2480"/>
      <c r="AF115" s="4535"/>
    </row>
    <row r="116" spans="1:32" ht="37.5" customHeight="1">
      <c r="A116" s="4564"/>
      <c r="B116" s="4570"/>
      <c r="C116" s="4545"/>
      <c r="D116" s="4514"/>
      <c r="E116" s="4514"/>
      <c r="F116" s="4514"/>
      <c r="G116" s="4514"/>
      <c r="H116" s="4514"/>
      <c r="I116" s="4514"/>
      <c r="J116" s="4514"/>
      <c r="K116" s="4514"/>
      <c r="L116" s="4514"/>
      <c r="M116" s="4393"/>
      <c r="N116" s="4393"/>
      <c r="O116" s="4393"/>
      <c r="P116" s="4514"/>
      <c r="Q116" s="4514"/>
      <c r="R116" s="4518"/>
      <c r="S116" s="2570"/>
      <c r="T116" s="2517"/>
      <c r="U116" s="2517"/>
      <c r="V116" s="2518"/>
      <c r="W116" s="2433"/>
      <c r="X116" s="2434"/>
      <c r="Y116" s="2435"/>
      <c r="Z116" s="2435"/>
      <c r="AA116" s="2435"/>
      <c r="AB116" s="2436"/>
      <c r="AC116" s="2434"/>
      <c r="AD116" s="2437"/>
      <c r="AE116" s="2437"/>
      <c r="AF116" s="4521"/>
    </row>
    <row r="117" spans="1:32" ht="37.5" customHeight="1">
      <c r="A117" s="4564"/>
      <c r="B117" s="4570"/>
      <c r="C117" s="4545"/>
      <c r="D117" s="4514"/>
      <c r="E117" s="4514"/>
      <c r="F117" s="4514"/>
      <c r="G117" s="4514"/>
      <c r="H117" s="4514"/>
      <c r="I117" s="4514"/>
      <c r="J117" s="4514"/>
      <c r="K117" s="4514"/>
      <c r="L117" s="4514"/>
      <c r="M117" s="4393"/>
      <c r="N117" s="4393"/>
      <c r="O117" s="4393"/>
      <c r="P117" s="4514"/>
      <c r="Q117" s="4514"/>
      <c r="R117" s="4518"/>
      <c r="S117" s="2570"/>
      <c r="T117" s="2517"/>
      <c r="U117" s="2517"/>
      <c r="V117" s="2518"/>
      <c r="W117" s="2433"/>
      <c r="X117" s="2434"/>
      <c r="Y117" s="2435"/>
      <c r="Z117" s="2435"/>
      <c r="AA117" s="2435"/>
      <c r="AB117" s="2436"/>
      <c r="AC117" s="2434"/>
      <c r="AD117" s="2437"/>
      <c r="AE117" s="2437"/>
      <c r="AF117" s="4521"/>
    </row>
    <row r="118" spans="1:32" ht="37.5" customHeight="1">
      <c r="A118" s="4564"/>
      <c r="B118" s="4570"/>
      <c r="C118" s="4545"/>
      <c r="D118" s="4514"/>
      <c r="E118" s="4514"/>
      <c r="F118" s="4514"/>
      <c r="G118" s="4514"/>
      <c r="H118" s="4514"/>
      <c r="I118" s="4514"/>
      <c r="J118" s="4514"/>
      <c r="K118" s="4514"/>
      <c r="L118" s="4514"/>
      <c r="M118" s="4393"/>
      <c r="N118" s="4393"/>
      <c r="O118" s="4393"/>
      <c r="P118" s="4514"/>
      <c r="Q118" s="4514"/>
      <c r="R118" s="4518"/>
      <c r="S118" s="2570"/>
      <c r="T118" s="2517"/>
      <c r="U118" s="2517"/>
      <c r="V118" s="2518"/>
      <c r="W118" s="2433"/>
      <c r="X118" s="2434"/>
      <c r="Y118" s="2435"/>
      <c r="Z118" s="2435"/>
      <c r="AA118" s="2435"/>
      <c r="AB118" s="2436"/>
      <c r="AC118" s="2434"/>
      <c r="AD118" s="2437"/>
      <c r="AE118" s="2437"/>
      <c r="AF118" s="4521"/>
    </row>
    <row r="119" spans="1:32" ht="37.5" customHeight="1">
      <c r="A119" s="4564"/>
      <c r="B119" s="4570"/>
      <c r="C119" s="4566"/>
      <c r="D119" s="4525"/>
      <c r="E119" s="4525"/>
      <c r="F119" s="4525"/>
      <c r="G119" s="4525"/>
      <c r="H119" s="4525"/>
      <c r="I119" s="4525"/>
      <c r="J119" s="4525"/>
      <c r="K119" s="4525"/>
      <c r="L119" s="4525"/>
      <c r="M119" s="4402"/>
      <c r="N119" s="4402"/>
      <c r="O119" s="4402"/>
      <c r="P119" s="4525"/>
      <c r="Q119" s="4525"/>
      <c r="R119" s="4528"/>
      <c r="S119" s="2580"/>
      <c r="T119" s="2534"/>
      <c r="U119" s="2534"/>
      <c r="V119" s="2535"/>
      <c r="W119" s="2460"/>
      <c r="X119" s="2461"/>
      <c r="Y119" s="2462"/>
      <c r="Z119" s="2462"/>
      <c r="AA119" s="2462"/>
      <c r="AB119" s="2463"/>
      <c r="AC119" s="2461"/>
      <c r="AD119" s="2464"/>
      <c r="AE119" s="2464"/>
      <c r="AF119" s="4530"/>
    </row>
    <row r="120" spans="1:32" ht="38.25" customHeight="1">
      <c r="A120" s="4564"/>
      <c r="B120" s="4570"/>
      <c r="C120" s="4572" t="s">
        <v>235</v>
      </c>
      <c r="D120" s="4391" t="s">
        <v>236</v>
      </c>
      <c r="E120" s="4391" t="s">
        <v>237</v>
      </c>
      <c r="F120" s="4391" t="s">
        <v>238</v>
      </c>
      <c r="G120" s="4523" t="s">
        <v>239</v>
      </c>
      <c r="H120" s="4391" t="s">
        <v>240</v>
      </c>
      <c r="I120" s="4391" t="s">
        <v>257</v>
      </c>
      <c r="J120" s="4523" t="s">
        <v>4155</v>
      </c>
      <c r="K120" s="4391" t="s">
        <v>572</v>
      </c>
      <c r="L120" s="4391" t="s">
        <v>529</v>
      </c>
      <c r="M120" s="4516">
        <v>1</v>
      </c>
      <c r="N120" s="4516">
        <v>0</v>
      </c>
      <c r="O120" s="4516">
        <v>1</v>
      </c>
      <c r="P120" s="4391" t="s">
        <v>4123</v>
      </c>
      <c r="Q120" s="4391" t="s">
        <v>4095</v>
      </c>
      <c r="R120" s="4517" t="s">
        <v>4075</v>
      </c>
      <c r="S120" s="2577"/>
      <c r="T120" s="2532"/>
      <c r="U120" s="2532"/>
      <c r="V120" s="2533"/>
      <c r="W120" s="2468"/>
      <c r="X120" s="2469"/>
      <c r="Y120" s="2470"/>
      <c r="Z120" s="2470"/>
      <c r="AA120" s="2470"/>
      <c r="AB120" s="2471"/>
      <c r="AC120" s="2469"/>
      <c r="AD120" s="2472"/>
      <c r="AE120" s="2472"/>
      <c r="AF120" s="4520"/>
    </row>
    <row r="121" spans="1:32" ht="38.25" customHeight="1">
      <c r="A121" s="4564"/>
      <c r="B121" s="4570"/>
      <c r="C121" s="4545"/>
      <c r="D121" s="4514"/>
      <c r="E121" s="4514"/>
      <c r="F121" s="4514"/>
      <c r="G121" s="4514"/>
      <c r="H121" s="4514"/>
      <c r="I121" s="4514"/>
      <c r="J121" s="4514"/>
      <c r="K121" s="4514"/>
      <c r="L121" s="4514"/>
      <c r="M121" s="4393"/>
      <c r="N121" s="4393"/>
      <c r="O121" s="4393"/>
      <c r="P121" s="4514"/>
      <c r="Q121" s="4514"/>
      <c r="R121" s="4518"/>
      <c r="S121" s="2570"/>
      <c r="T121" s="2517"/>
      <c r="U121" s="2517"/>
      <c r="V121" s="2518"/>
      <c r="W121" s="2433"/>
      <c r="X121" s="2434"/>
      <c r="Y121" s="2435"/>
      <c r="Z121" s="2435"/>
      <c r="AA121" s="2435"/>
      <c r="AB121" s="2436"/>
      <c r="AC121" s="2434"/>
      <c r="AD121" s="2437"/>
      <c r="AE121" s="2437"/>
      <c r="AF121" s="4521"/>
    </row>
    <row r="122" spans="1:32" ht="38.25" customHeight="1">
      <c r="A122" s="4564"/>
      <c r="B122" s="4570"/>
      <c r="C122" s="4545"/>
      <c r="D122" s="4514"/>
      <c r="E122" s="4514"/>
      <c r="F122" s="4514"/>
      <c r="G122" s="4514"/>
      <c r="H122" s="4514"/>
      <c r="I122" s="4514"/>
      <c r="J122" s="4514"/>
      <c r="K122" s="4514"/>
      <c r="L122" s="4514"/>
      <c r="M122" s="4393"/>
      <c r="N122" s="4393"/>
      <c r="O122" s="4393"/>
      <c r="P122" s="4514"/>
      <c r="Q122" s="4514"/>
      <c r="R122" s="4518"/>
      <c r="S122" s="2570"/>
      <c r="T122" s="2517"/>
      <c r="U122" s="2517"/>
      <c r="V122" s="2518"/>
      <c r="W122" s="2433"/>
      <c r="X122" s="2434"/>
      <c r="Y122" s="2435"/>
      <c r="Z122" s="2435"/>
      <c r="AA122" s="2435"/>
      <c r="AB122" s="2436"/>
      <c r="AC122" s="2434"/>
      <c r="AD122" s="2437"/>
      <c r="AE122" s="2437"/>
      <c r="AF122" s="4521"/>
    </row>
    <row r="123" spans="1:32" ht="38.25" customHeight="1">
      <c r="A123" s="4564"/>
      <c r="B123" s="4570"/>
      <c r="C123" s="4545"/>
      <c r="D123" s="4514"/>
      <c r="E123" s="4514"/>
      <c r="F123" s="4514"/>
      <c r="G123" s="4514"/>
      <c r="H123" s="4514"/>
      <c r="I123" s="4514"/>
      <c r="J123" s="4514"/>
      <c r="K123" s="4514"/>
      <c r="L123" s="4514"/>
      <c r="M123" s="4393"/>
      <c r="N123" s="4393"/>
      <c r="O123" s="4393"/>
      <c r="P123" s="4514"/>
      <c r="Q123" s="4514"/>
      <c r="R123" s="4518"/>
      <c r="S123" s="2570"/>
      <c r="T123" s="2517"/>
      <c r="U123" s="2517"/>
      <c r="V123" s="2518"/>
      <c r="W123" s="2433"/>
      <c r="X123" s="2434"/>
      <c r="Y123" s="2435"/>
      <c r="Z123" s="2435"/>
      <c r="AA123" s="2435"/>
      <c r="AB123" s="2436"/>
      <c r="AC123" s="2434"/>
      <c r="AD123" s="2437"/>
      <c r="AE123" s="2437"/>
      <c r="AF123" s="4521"/>
    </row>
    <row r="124" spans="1:32" ht="38.25" customHeight="1">
      <c r="A124" s="4564"/>
      <c r="B124" s="4570"/>
      <c r="C124" s="4573"/>
      <c r="D124" s="4515"/>
      <c r="E124" s="4515"/>
      <c r="F124" s="4515"/>
      <c r="G124" s="4515"/>
      <c r="H124" s="4515"/>
      <c r="I124" s="4515"/>
      <c r="J124" s="4515"/>
      <c r="K124" s="4515"/>
      <c r="L124" s="4515"/>
      <c r="M124" s="4420"/>
      <c r="N124" s="4420"/>
      <c r="O124" s="4420"/>
      <c r="P124" s="4515"/>
      <c r="Q124" s="4515"/>
      <c r="R124" s="4519"/>
      <c r="S124" s="2578"/>
      <c r="T124" s="2530"/>
      <c r="U124" s="2530"/>
      <c r="V124" s="2531"/>
      <c r="W124" s="2483"/>
      <c r="X124" s="2484"/>
      <c r="Y124" s="2485"/>
      <c r="Z124" s="2485"/>
      <c r="AA124" s="2485"/>
      <c r="AB124" s="2486"/>
      <c r="AC124" s="2484"/>
      <c r="AD124" s="2487"/>
      <c r="AE124" s="2487"/>
      <c r="AF124" s="4522"/>
    </row>
    <row r="125" spans="1:32" ht="30" customHeight="1">
      <c r="A125" s="4564"/>
      <c r="B125" s="4570"/>
      <c r="C125" s="4544" t="s">
        <v>235</v>
      </c>
      <c r="D125" s="4399" t="s">
        <v>236</v>
      </c>
      <c r="E125" s="4399" t="s">
        <v>237</v>
      </c>
      <c r="F125" s="4399" t="s">
        <v>553</v>
      </c>
      <c r="G125" s="4547" t="s">
        <v>239</v>
      </c>
      <c r="H125" s="4399" t="s">
        <v>240</v>
      </c>
      <c r="I125" s="4399" t="s">
        <v>257</v>
      </c>
      <c r="J125" s="4547" t="s">
        <v>4156</v>
      </c>
      <c r="K125" s="4399" t="s">
        <v>573</v>
      </c>
      <c r="L125" s="4399" t="s">
        <v>574</v>
      </c>
      <c r="M125" s="4542">
        <v>1</v>
      </c>
      <c r="N125" s="4542">
        <v>0</v>
      </c>
      <c r="O125" s="4542">
        <v>1</v>
      </c>
      <c r="P125" s="4399" t="s">
        <v>4124</v>
      </c>
      <c r="Q125" s="4399" t="s">
        <v>4096</v>
      </c>
      <c r="R125" s="4533" t="s">
        <v>4076</v>
      </c>
      <c r="S125" s="2579"/>
      <c r="T125" s="2528"/>
      <c r="U125" s="2528"/>
      <c r="V125" s="2529"/>
      <c r="W125" s="2476"/>
      <c r="X125" s="2477"/>
      <c r="Y125" s="2478"/>
      <c r="Z125" s="2478"/>
      <c r="AA125" s="2478"/>
      <c r="AB125" s="2479"/>
      <c r="AC125" s="2477"/>
      <c r="AD125" s="2480"/>
      <c r="AE125" s="2480"/>
      <c r="AF125" s="4535"/>
    </row>
    <row r="126" spans="1:32" ht="30" customHeight="1">
      <c r="A126" s="4564"/>
      <c r="B126" s="4570"/>
      <c r="C126" s="4545"/>
      <c r="D126" s="4514"/>
      <c r="E126" s="4514"/>
      <c r="F126" s="4514"/>
      <c r="G126" s="4514"/>
      <c r="H126" s="4514"/>
      <c r="I126" s="4514"/>
      <c r="J126" s="4514"/>
      <c r="K126" s="4514"/>
      <c r="L126" s="4514"/>
      <c r="M126" s="4393"/>
      <c r="N126" s="4393"/>
      <c r="O126" s="4393"/>
      <c r="P126" s="4514"/>
      <c r="Q126" s="4514"/>
      <c r="R126" s="4518"/>
      <c r="S126" s="2570"/>
      <c r="T126" s="2517"/>
      <c r="U126" s="2517"/>
      <c r="V126" s="2518"/>
      <c r="W126" s="2433"/>
      <c r="X126" s="2434"/>
      <c r="Y126" s="2435"/>
      <c r="Z126" s="2435"/>
      <c r="AA126" s="2435"/>
      <c r="AB126" s="2436"/>
      <c r="AC126" s="2434"/>
      <c r="AD126" s="2437"/>
      <c r="AE126" s="2437"/>
      <c r="AF126" s="4521"/>
    </row>
    <row r="127" spans="1:32" ht="30" customHeight="1">
      <c r="A127" s="4564"/>
      <c r="B127" s="4570"/>
      <c r="C127" s="4545"/>
      <c r="D127" s="4514"/>
      <c r="E127" s="4514"/>
      <c r="F127" s="4514"/>
      <c r="G127" s="4514"/>
      <c r="H127" s="4514"/>
      <c r="I127" s="4514"/>
      <c r="J127" s="4514"/>
      <c r="K127" s="4514"/>
      <c r="L127" s="4514"/>
      <c r="M127" s="4393"/>
      <c r="N127" s="4393"/>
      <c r="O127" s="4393"/>
      <c r="P127" s="4514"/>
      <c r="Q127" s="4514"/>
      <c r="R127" s="4518"/>
      <c r="S127" s="2570"/>
      <c r="T127" s="2517"/>
      <c r="U127" s="2517"/>
      <c r="V127" s="2518"/>
      <c r="W127" s="2433"/>
      <c r="X127" s="2434"/>
      <c r="Y127" s="2435"/>
      <c r="Z127" s="2435"/>
      <c r="AA127" s="2435"/>
      <c r="AB127" s="2436"/>
      <c r="AC127" s="2434"/>
      <c r="AD127" s="2437"/>
      <c r="AE127" s="2437"/>
      <c r="AF127" s="4521"/>
    </row>
    <row r="128" spans="1:32" ht="30" customHeight="1">
      <c r="A128" s="4564"/>
      <c r="B128" s="4570"/>
      <c r="C128" s="4545"/>
      <c r="D128" s="4514"/>
      <c r="E128" s="4514"/>
      <c r="F128" s="4514"/>
      <c r="G128" s="4514"/>
      <c r="H128" s="4514"/>
      <c r="I128" s="4514"/>
      <c r="J128" s="4514"/>
      <c r="K128" s="4514"/>
      <c r="L128" s="4514"/>
      <c r="M128" s="4393"/>
      <c r="N128" s="4393"/>
      <c r="O128" s="4393"/>
      <c r="P128" s="4514"/>
      <c r="Q128" s="4514"/>
      <c r="R128" s="4518"/>
      <c r="S128" s="2570"/>
      <c r="T128" s="2517"/>
      <c r="U128" s="2517"/>
      <c r="V128" s="2518"/>
      <c r="W128" s="2433"/>
      <c r="X128" s="2434"/>
      <c r="Y128" s="2435"/>
      <c r="Z128" s="2435"/>
      <c r="AA128" s="2435"/>
      <c r="AB128" s="2436"/>
      <c r="AC128" s="2434"/>
      <c r="AD128" s="2437"/>
      <c r="AE128" s="2437"/>
      <c r="AF128" s="4521"/>
    </row>
    <row r="129" spans="1:32" ht="30" customHeight="1">
      <c r="A129" s="4564"/>
      <c r="B129" s="4570"/>
      <c r="C129" s="4566"/>
      <c r="D129" s="4525"/>
      <c r="E129" s="4525"/>
      <c r="F129" s="4525"/>
      <c r="G129" s="4525"/>
      <c r="H129" s="4525"/>
      <c r="I129" s="4525"/>
      <c r="J129" s="4525"/>
      <c r="K129" s="4525"/>
      <c r="L129" s="4525"/>
      <c r="M129" s="4402"/>
      <c r="N129" s="4402"/>
      <c r="O129" s="4402"/>
      <c r="P129" s="4525"/>
      <c r="Q129" s="4525"/>
      <c r="R129" s="4528"/>
      <c r="S129" s="2580"/>
      <c r="T129" s="2534"/>
      <c r="U129" s="2534"/>
      <c r="V129" s="2535"/>
      <c r="W129" s="2460"/>
      <c r="X129" s="2461"/>
      <c r="Y129" s="2462"/>
      <c r="Z129" s="2462"/>
      <c r="AA129" s="2462"/>
      <c r="AB129" s="2463"/>
      <c r="AC129" s="2461"/>
      <c r="AD129" s="2464"/>
      <c r="AE129" s="2464"/>
      <c r="AF129" s="4530"/>
    </row>
    <row r="130" spans="1:32" ht="37.5" customHeight="1">
      <c r="A130" s="4564"/>
      <c r="B130" s="4570"/>
      <c r="C130" s="4572" t="s">
        <v>235</v>
      </c>
      <c r="D130" s="4391" t="s">
        <v>236</v>
      </c>
      <c r="E130" s="4391" t="s">
        <v>237</v>
      </c>
      <c r="F130" s="4391" t="s">
        <v>238</v>
      </c>
      <c r="G130" s="4523" t="s">
        <v>239</v>
      </c>
      <c r="H130" s="4391" t="s">
        <v>240</v>
      </c>
      <c r="I130" s="4391" t="s">
        <v>257</v>
      </c>
      <c r="J130" s="4391" t="s">
        <v>4157</v>
      </c>
      <c r="K130" s="4391" t="s">
        <v>575</v>
      </c>
      <c r="L130" s="4391" t="s">
        <v>576</v>
      </c>
      <c r="M130" s="4516">
        <v>1</v>
      </c>
      <c r="N130" s="4516">
        <v>0</v>
      </c>
      <c r="O130" s="4516">
        <v>1</v>
      </c>
      <c r="P130" s="4391" t="s">
        <v>4125</v>
      </c>
      <c r="Q130" s="4391" t="s">
        <v>4097</v>
      </c>
      <c r="R130" s="4517" t="s">
        <v>4066</v>
      </c>
      <c r="S130" s="2577"/>
      <c r="T130" s="2532"/>
      <c r="U130" s="2532"/>
      <c r="V130" s="2533"/>
      <c r="W130" s="2468"/>
      <c r="X130" s="2469"/>
      <c r="Y130" s="2470"/>
      <c r="Z130" s="2470"/>
      <c r="AA130" s="2470"/>
      <c r="AB130" s="2471"/>
      <c r="AC130" s="2469"/>
      <c r="AD130" s="2472"/>
      <c r="AE130" s="2472"/>
      <c r="AF130" s="4520"/>
    </row>
    <row r="131" spans="1:32" ht="37.5" customHeight="1">
      <c r="A131" s="4564"/>
      <c r="B131" s="4570"/>
      <c r="C131" s="4545"/>
      <c r="D131" s="4514"/>
      <c r="E131" s="4514"/>
      <c r="F131" s="4514"/>
      <c r="G131" s="4514"/>
      <c r="H131" s="4514"/>
      <c r="I131" s="4514"/>
      <c r="J131" s="4514"/>
      <c r="K131" s="4514"/>
      <c r="L131" s="4514"/>
      <c r="M131" s="4393"/>
      <c r="N131" s="4393"/>
      <c r="O131" s="4393"/>
      <c r="P131" s="4514"/>
      <c r="Q131" s="4514"/>
      <c r="R131" s="4518"/>
      <c r="S131" s="2570"/>
      <c r="T131" s="2517"/>
      <c r="U131" s="2517"/>
      <c r="V131" s="2518"/>
      <c r="W131" s="2433"/>
      <c r="X131" s="2434"/>
      <c r="Y131" s="2435"/>
      <c r="Z131" s="2435"/>
      <c r="AA131" s="2435"/>
      <c r="AB131" s="2436"/>
      <c r="AC131" s="2434"/>
      <c r="AD131" s="2437"/>
      <c r="AE131" s="2437"/>
      <c r="AF131" s="4521"/>
    </row>
    <row r="132" spans="1:32" ht="37.5" customHeight="1">
      <c r="A132" s="4564"/>
      <c r="B132" s="4570"/>
      <c r="C132" s="4545"/>
      <c r="D132" s="4514"/>
      <c r="E132" s="4514"/>
      <c r="F132" s="4514"/>
      <c r="G132" s="4514"/>
      <c r="H132" s="4514"/>
      <c r="I132" s="4514"/>
      <c r="J132" s="4514"/>
      <c r="K132" s="4514"/>
      <c r="L132" s="4514"/>
      <c r="M132" s="4393"/>
      <c r="N132" s="4393"/>
      <c r="O132" s="4393"/>
      <c r="P132" s="4514"/>
      <c r="Q132" s="4514"/>
      <c r="R132" s="4518"/>
      <c r="S132" s="2570"/>
      <c r="T132" s="2517"/>
      <c r="U132" s="2517"/>
      <c r="V132" s="2518"/>
      <c r="W132" s="2433"/>
      <c r="X132" s="2434"/>
      <c r="Y132" s="2435"/>
      <c r="Z132" s="2435"/>
      <c r="AA132" s="2435"/>
      <c r="AB132" s="2436"/>
      <c r="AC132" s="2434"/>
      <c r="AD132" s="2437"/>
      <c r="AE132" s="2437"/>
      <c r="AF132" s="4521"/>
    </row>
    <row r="133" spans="1:32" ht="37.5" customHeight="1">
      <c r="A133" s="4564"/>
      <c r="B133" s="4570"/>
      <c r="C133" s="4545"/>
      <c r="D133" s="4514"/>
      <c r="E133" s="4514"/>
      <c r="F133" s="4514"/>
      <c r="G133" s="4514"/>
      <c r="H133" s="4514"/>
      <c r="I133" s="4514"/>
      <c r="J133" s="4514"/>
      <c r="K133" s="4514"/>
      <c r="L133" s="4514"/>
      <c r="M133" s="4393"/>
      <c r="N133" s="4393"/>
      <c r="O133" s="4393"/>
      <c r="P133" s="4514"/>
      <c r="Q133" s="4514"/>
      <c r="R133" s="4518"/>
      <c r="S133" s="2570"/>
      <c r="T133" s="2517"/>
      <c r="U133" s="2517"/>
      <c r="V133" s="2518"/>
      <c r="W133" s="2433"/>
      <c r="X133" s="2434"/>
      <c r="Y133" s="2435"/>
      <c r="Z133" s="2435"/>
      <c r="AA133" s="2435"/>
      <c r="AB133" s="2436"/>
      <c r="AC133" s="2434"/>
      <c r="AD133" s="2437"/>
      <c r="AE133" s="2437"/>
      <c r="AF133" s="4521"/>
    </row>
    <row r="134" spans="1:32" ht="37.5" customHeight="1">
      <c r="A134" s="4564"/>
      <c r="B134" s="4570"/>
      <c r="C134" s="4573"/>
      <c r="D134" s="4515"/>
      <c r="E134" s="4515"/>
      <c r="F134" s="4515"/>
      <c r="G134" s="4515"/>
      <c r="H134" s="4515"/>
      <c r="I134" s="4515"/>
      <c r="J134" s="4515"/>
      <c r="K134" s="4515"/>
      <c r="L134" s="4515"/>
      <c r="M134" s="4420"/>
      <c r="N134" s="4420"/>
      <c r="O134" s="4420"/>
      <c r="P134" s="4515"/>
      <c r="Q134" s="4515"/>
      <c r="R134" s="4519"/>
      <c r="S134" s="2578"/>
      <c r="T134" s="2530"/>
      <c r="U134" s="2530"/>
      <c r="V134" s="2531"/>
      <c r="W134" s="2483"/>
      <c r="X134" s="2484"/>
      <c r="Y134" s="2485"/>
      <c r="Z134" s="2485"/>
      <c r="AA134" s="2485"/>
      <c r="AB134" s="2486"/>
      <c r="AC134" s="2484"/>
      <c r="AD134" s="2487"/>
      <c r="AE134" s="2487"/>
      <c r="AF134" s="4522"/>
    </row>
    <row r="135" spans="1:32" ht="22.5" customHeight="1">
      <c r="A135" s="4564"/>
      <c r="B135" s="4570"/>
      <c r="C135" s="4544" t="s">
        <v>272</v>
      </c>
      <c r="D135" s="4399" t="s">
        <v>302</v>
      </c>
      <c r="E135" s="4399" t="s">
        <v>303</v>
      </c>
      <c r="F135" s="4399" t="s">
        <v>304</v>
      </c>
      <c r="G135" s="4547" t="s">
        <v>305</v>
      </c>
      <c r="H135" s="4399" t="s">
        <v>240</v>
      </c>
      <c r="I135" s="4399" t="s">
        <v>257</v>
      </c>
      <c r="J135" s="4547" t="s">
        <v>4158</v>
      </c>
      <c r="K135" s="4399" t="s">
        <v>577</v>
      </c>
      <c r="L135" s="4399" t="s">
        <v>578</v>
      </c>
      <c r="M135" s="4542">
        <v>45</v>
      </c>
      <c r="N135" s="4542">
        <v>35</v>
      </c>
      <c r="O135" s="4542">
        <v>40</v>
      </c>
      <c r="P135" s="4399" t="s">
        <v>4126</v>
      </c>
      <c r="Q135" s="4399" t="s">
        <v>4098</v>
      </c>
      <c r="R135" s="4533" t="s">
        <v>4077</v>
      </c>
      <c r="S135" s="2572"/>
      <c r="T135" s="2536"/>
      <c r="U135" s="2528"/>
      <c r="V135" s="2527"/>
      <c r="W135" s="2476"/>
      <c r="X135" s="2477"/>
      <c r="Y135" s="2478"/>
      <c r="Z135" s="2478"/>
      <c r="AA135" s="2478"/>
      <c r="AB135" s="2479"/>
      <c r="AC135" s="2477"/>
      <c r="AD135" s="2480"/>
      <c r="AE135" s="2480"/>
      <c r="AF135" s="4535"/>
    </row>
    <row r="136" spans="1:32" ht="22.5" customHeight="1">
      <c r="A136" s="4564"/>
      <c r="B136" s="4570"/>
      <c r="C136" s="4545"/>
      <c r="D136" s="4514"/>
      <c r="E136" s="4514"/>
      <c r="F136" s="4514"/>
      <c r="G136" s="4514"/>
      <c r="H136" s="4514"/>
      <c r="I136" s="4514"/>
      <c r="J136" s="4514"/>
      <c r="K136" s="4514"/>
      <c r="L136" s="4514"/>
      <c r="M136" s="4393"/>
      <c r="N136" s="4393"/>
      <c r="O136" s="4393"/>
      <c r="P136" s="4514"/>
      <c r="Q136" s="4514"/>
      <c r="R136" s="4518"/>
      <c r="S136" s="2570"/>
      <c r="T136" s="1806"/>
      <c r="U136" s="1848"/>
      <c r="V136" s="2518"/>
      <c r="W136" s="1800"/>
      <c r="X136" s="2449"/>
      <c r="Y136" s="2435"/>
      <c r="Z136" s="2435"/>
      <c r="AA136" s="2435"/>
      <c r="AB136" s="2436"/>
      <c r="AC136" s="2434"/>
      <c r="AD136" s="2437"/>
      <c r="AE136" s="2437"/>
      <c r="AF136" s="4521"/>
    </row>
    <row r="137" spans="1:32" ht="22.5" customHeight="1">
      <c r="A137" s="4564"/>
      <c r="B137" s="4570"/>
      <c r="C137" s="4545"/>
      <c r="D137" s="4514"/>
      <c r="E137" s="4514"/>
      <c r="F137" s="4514"/>
      <c r="G137" s="4514"/>
      <c r="H137" s="4514"/>
      <c r="I137" s="4514"/>
      <c r="J137" s="4514"/>
      <c r="K137" s="4514"/>
      <c r="L137" s="4514"/>
      <c r="M137" s="4393"/>
      <c r="N137" s="4393"/>
      <c r="O137" s="4393"/>
      <c r="P137" s="4514"/>
      <c r="Q137" s="4514"/>
      <c r="R137" s="4518"/>
      <c r="S137" s="2570"/>
      <c r="T137" s="1806"/>
      <c r="U137" s="1848"/>
      <c r="V137" s="2518"/>
      <c r="W137" s="1800"/>
      <c r="X137" s="2449"/>
      <c r="Y137" s="2435"/>
      <c r="Z137" s="2435"/>
      <c r="AA137" s="2435"/>
      <c r="AB137" s="2436"/>
      <c r="AC137" s="2434"/>
      <c r="AD137" s="2437"/>
      <c r="AE137" s="2437"/>
      <c r="AF137" s="4521"/>
    </row>
    <row r="138" spans="1:32" ht="22.5" customHeight="1">
      <c r="A138" s="4564"/>
      <c r="B138" s="4570"/>
      <c r="C138" s="4545"/>
      <c r="D138" s="4514"/>
      <c r="E138" s="4514"/>
      <c r="F138" s="4514"/>
      <c r="G138" s="4514"/>
      <c r="H138" s="4514"/>
      <c r="I138" s="4514"/>
      <c r="J138" s="4514"/>
      <c r="K138" s="4514"/>
      <c r="L138" s="4514"/>
      <c r="M138" s="4393"/>
      <c r="N138" s="4393"/>
      <c r="O138" s="4393"/>
      <c r="P138" s="4514"/>
      <c r="Q138" s="4514"/>
      <c r="R138" s="4518"/>
      <c r="S138" s="2570"/>
      <c r="T138" s="1806"/>
      <c r="U138" s="1848"/>
      <c r="V138" s="2518"/>
      <c r="W138" s="1800"/>
      <c r="X138" s="2449"/>
      <c r="Y138" s="2435"/>
      <c r="Z138" s="2435"/>
      <c r="AA138" s="2435"/>
      <c r="AB138" s="2436"/>
      <c r="AC138" s="2434"/>
      <c r="AD138" s="2437"/>
      <c r="AE138" s="2437"/>
      <c r="AF138" s="4521"/>
    </row>
    <row r="139" spans="1:32" ht="22.5" customHeight="1">
      <c r="A139" s="4564"/>
      <c r="B139" s="4570"/>
      <c r="C139" s="4566"/>
      <c r="D139" s="4525"/>
      <c r="E139" s="4525"/>
      <c r="F139" s="4525"/>
      <c r="G139" s="4525"/>
      <c r="H139" s="4525"/>
      <c r="I139" s="4525"/>
      <c r="J139" s="4525"/>
      <c r="K139" s="4525"/>
      <c r="L139" s="4525"/>
      <c r="M139" s="4402"/>
      <c r="N139" s="4402"/>
      <c r="O139" s="4402"/>
      <c r="P139" s="4525"/>
      <c r="Q139" s="4525"/>
      <c r="R139" s="4528"/>
      <c r="S139" s="2580"/>
      <c r="T139" s="2537"/>
      <c r="U139" s="2495"/>
      <c r="V139" s="2505"/>
      <c r="W139" s="2506"/>
      <c r="X139" s="2507"/>
      <c r="Y139" s="2462"/>
      <c r="Z139" s="2462"/>
      <c r="AA139" s="2462"/>
      <c r="AB139" s="2463"/>
      <c r="AC139" s="2461"/>
      <c r="AD139" s="2464"/>
      <c r="AE139" s="2464"/>
      <c r="AF139" s="4530"/>
    </row>
    <row r="140" spans="1:32" ht="30" customHeight="1">
      <c r="A140" s="4564"/>
      <c r="B140" s="4570"/>
      <c r="C140" s="4572" t="s">
        <v>235</v>
      </c>
      <c r="D140" s="4391" t="s">
        <v>236</v>
      </c>
      <c r="E140" s="4391" t="s">
        <v>237</v>
      </c>
      <c r="F140" s="4391" t="s">
        <v>326</v>
      </c>
      <c r="G140" s="4523" t="s">
        <v>239</v>
      </c>
      <c r="H140" s="4391" t="s">
        <v>240</v>
      </c>
      <c r="I140" s="4391" t="s">
        <v>257</v>
      </c>
      <c r="J140" s="4391" t="s">
        <v>4159</v>
      </c>
      <c r="K140" s="4391" t="s">
        <v>338</v>
      </c>
      <c r="L140" s="4391" t="s">
        <v>561</v>
      </c>
      <c r="M140" s="4516">
        <v>0</v>
      </c>
      <c r="N140" s="4516">
        <v>1</v>
      </c>
      <c r="O140" s="4516">
        <v>1</v>
      </c>
      <c r="P140" s="4391" t="s">
        <v>3824</v>
      </c>
      <c r="Q140" s="4391" t="s">
        <v>4099</v>
      </c>
      <c r="R140" s="4517" t="s">
        <v>4078</v>
      </c>
      <c r="S140" s="2569" t="s">
        <v>11</v>
      </c>
      <c r="T140" s="2538">
        <v>530807</v>
      </c>
      <c r="U140" s="2496"/>
      <c r="V140" s="2467" t="s">
        <v>44</v>
      </c>
      <c r="W140" s="2468"/>
      <c r="X140" s="2469"/>
      <c r="Y140" s="2470"/>
      <c r="Z140" s="2470"/>
      <c r="AA140" s="2470"/>
      <c r="AB140" s="2471">
        <f>SUM($AA$141:$AA$144)</f>
        <v>425.6</v>
      </c>
      <c r="AC140" s="2469"/>
      <c r="AD140" s="2472"/>
      <c r="AE140" s="2472"/>
      <c r="AF140" s="4520"/>
    </row>
    <row r="141" spans="1:32" ht="30" customHeight="1">
      <c r="A141" s="4564"/>
      <c r="B141" s="4570"/>
      <c r="C141" s="4545"/>
      <c r="D141" s="4514"/>
      <c r="E141" s="4514"/>
      <c r="F141" s="4514"/>
      <c r="G141" s="4514"/>
      <c r="H141" s="4514"/>
      <c r="I141" s="4514"/>
      <c r="J141" s="4514"/>
      <c r="K141" s="4514"/>
      <c r="L141" s="4514"/>
      <c r="M141" s="4393"/>
      <c r="N141" s="4393"/>
      <c r="O141" s="4393"/>
      <c r="P141" s="4514"/>
      <c r="Q141" s="4514"/>
      <c r="R141" s="4518"/>
      <c r="S141" s="2567"/>
      <c r="T141" s="1848"/>
      <c r="U141" s="1848">
        <v>3891201410</v>
      </c>
      <c r="V141" s="2518" t="s">
        <v>4051</v>
      </c>
      <c r="W141" s="1800">
        <v>10</v>
      </c>
      <c r="X141" s="2449" t="s">
        <v>269</v>
      </c>
      <c r="Y141" s="2435">
        <v>9.5</v>
      </c>
      <c r="Z141" s="2435">
        <f t="shared" ref="Z141:Z144" si="22">+W141*Y141</f>
        <v>95</v>
      </c>
      <c r="AA141" s="2435">
        <f t="shared" ref="AA141:AA144" si="23">+Z141*1.12</f>
        <v>106.4</v>
      </c>
      <c r="AB141" s="2436"/>
      <c r="AC141" s="2434"/>
      <c r="AD141" s="2437" t="s">
        <v>251</v>
      </c>
      <c r="AE141" s="2437"/>
      <c r="AF141" s="4521"/>
    </row>
    <row r="142" spans="1:32" ht="30" customHeight="1">
      <c r="A142" s="4564"/>
      <c r="B142" s="4570"/>
      <c r="C142" s="4545"/>
      <c r="D142" s="4514"/>
      <c r="E142" s="4514"/>
      <c r="F142" s="4514"/>
      <c r="G142" s="4514"/>
      <c r="H142" s="4514"/>
      <c r="I142" s="4514"/>
      <c r="J142" s="4514"/>
      <c r="K142" s="4514"/>
      <c r="L142" s="4514"/>
      <c r="M142" s="4393"/>
      <c r="N142" s="4393"/>
      <c r="O142" s="4393"/>
      <c r="P142" s="4514"/>
      <c r="Q142" s="4514"/>
      <c r="R142" s="4518"/>
      <c r="S142" s="2567"/>
      <c r="T142" s="1848"/>
      <c r="U142" s="1848">
        <v>3891201410</v>
      </c>
      <c r="V142" s="2518" t="s">
        <v>4050</v>
      </c>
      <c r="W142" s="1800">
        <v>10</v>
      </c>
      <c r="X142" s="2449" t="s">
        <v>269</v>
      </c>
      <c r="Y142" s="2435">
        <v>9.5</v>
      </c>
      <c r="Z142" s="2435">
        <f t="shared" si="22"/>
        <v>95</v>
      </c>
      <c r="AA142" s="2435">
        <f t="shared" si="23"/>
        <v>106.4</v>
      </c>
      <c r="AB142" s="2436"/>
      <c r="AC142" s="2434"/>
      <c r="AD142" s="2437" t="s">
        <v>251</v>
      </c>
      <c r="AE142" s="2437"/>
      <c r="AF142" s="4521"/>
    </row>
    <row r="143" spans="1:32" ht="30" customHeight="1">
      <c r="A143" s="4564"/>
      <c r="B143" s="4570"/>
      <c r="C143" s="4545"/>
      <c r="D143" s="4514"/>
      <c r="E143" s="4514"/>
      <c r="F143" s="4514"/>
      <c r="G143" s="4514"/>
      <c r="H143" s="4514"/>
      <c r="I143" s="4514"/>
      <c r="J143" s="4514"/>
      <c r="K143" s="4514"/>
      <c r="L143" s="4514"/>
      <c r="M143" s="4393"/>
      <c r="N143" s="4393"/>
      <c r="O143" s="4393"/>
      <c r="P143" s="4514"/>
      <c r="Q143" s="4514"/>
      <c r="R143" s="4518"/>
      <c r="S143" s="2567"/>
      <c r="T143" s="1848"/>
      <c r="U143" s="1848">
        <v>3891201410</v>
      </c>
      <c r="V143" s="2518" t="s">
        <v>4049</v>
      </c>
      <c r="W143" s="1800">
        <v>10</v>
      </c>
      <c r="X143" s="2449" t="s">
        <v>269</v>
      </c>
      <c r="Y143" s="2435">
        <v>9.5</v>
      </c>
      <c r="Z143" s="2435">
        <f t="shared" si="22"/>
        <v>95</v>
      </c>
      <c r="AA143" s="2435">
        <f t="shared" si="23"/>
        <v>106.4</v>
      </c>
      <c r="AB143" s="2436"/>
      <c r="AC143" s="2434"/>
      <c r="AD143" s="2437" t="s">
        <v>251</v>
      </c>
      <c r="AE143" s="2437"/>
      <c r="AF143" s="4521"/>
    </row>
    <row r="144" spans="1:32" ht="30" customHeight="1">
      <c r="A144" s="4564"/>
      <c r="B144" s="4570"/>
      <c r="C144" s="4573"/>
      <c r="D144" s="4515"/>
      <c r="E144" s="4515"/>
      <c r="F144" s="4515"/>
      <c r="G144" s="4515"/>
      <c r="H144" s="4515"/>
      <c r="I144" s="4515"/>
      <c r="J144" s="4515"/>
      <c r="K144" s="4515"/>
      <c r="L144" s="4515"/>
      <c r="M144" s="4420"/>
      <c r="N144" s="4420"/>
      <c r="O144" s="4420"/>
      <c r="P144" s="4515"/>
      <c r="Q144" s="4515"/>
      <c r="R144" s="4519"/>
      <c r="S144" s="2571"/>
      <c r="T144" s="2481"/>
      <c r="U144" s="2481">
        <v>3891201410</v>
      </c>
      <c r="V144" s="2531" t="s">
        <v>4048</v>
      </c>
      <c r="W144" s="2540">
        <v>10</v>
      </c>
      <c r="X144" s="2504" t="s">
        <v>269</v>
      </c>
      <c r="Y144" s="2485">
        <v>9.5</v>
      </c>
      <c r="Z144" s="2485">
        <f t="shared" si="22"/>
        <v>95</v>
      </c>
      <c r="AA144" s="2485">
        <f t="shared" si="23"/>
        <v>106.4</v>
      </c>
      <c r="AB144" s="2486"/>
      <c r="AC144" s="2484"/>
      <c r="AD144" s="2487" t="s">
        <v>251</v>
      </c>
      <c r="AE144" s="2487"/>
      <c r="AF144" s="4522"/>
    </row>
    <row r="145" spans="1:32" ht="30" customHeight="1">
      <c r="A145" s="4564"/>
      <c r="B145" s="4570"/>
      <c r="C145" s="4544" t="s">
        <v>235</v>
      </c>
      <c r="D145" s="4399" t="s">
        <v>236</v>
      </c>
      <c r="E145" s="4399" t="s">
        <v>237</v>
      </c>
      <c r="F145" s="4399" t="s">
        <v>326</v>
      </c>
      <c r="G145" s="4547" t="s">
        <v>239</v>
      </c>
      <c r="H145" s="4399" t="s">
        <v>240</v>
      </c>
      <c r="I145" s="4399" t="s">
        <v>257</v>
      </c>
      <c r="J145" s="4399" t="s">
        <v>4160</v>
      </c>
      <c r="K145" s="4399" t="s">
        <v>371</v>
      </c>
      <c r="L145" s="4399" t="s">
        <v>579</v>
      </c>
      <c r="M145" s="4542">
        <v>1</v>
      </c>
      <c r="N145" s="4542">
        <v>1</v>
      </c>
      <c r="O145" s="4542">
        <v>1</v>
      </c>
      <c r="P145" s="4399" t="s">
        <v>4119</v>
      </c>
      <c r="Q145" s="4399" t="s">
        <v>3839</v>
      </c>
      <c r="R145" s="4533" t="s">
        <v>4079</v>
      </c>
      <c r="S145" s="2572"/>
      <c r="T145" s="2539"/>
      <c r="U145" s="2488"/>
      <c r="V145" s="2527"/>
      <c r="W145" s="2476"/>
      <c r="X145" s="2477"/>
      <c r="Y145" s="2478"/>
      <c r="Z145" s="2478"/>
      <c r="AA145" s="2478"/>
      <c r="AB145" s="2479"/>
      <c r="AC145" s="2477"/>
      <c r="AD145" s="2480"/>
      <c r="AE145" s="2480"/>
      <c r="AF145" s="4535"/>
    </row>
    <row r="146" spans="1:32" ht="30" customHeight="1">
      <c r="A146" s="4564"/>
      <c r="B146" s="4570"/>
      <c r="C146" s="4545"/>
      <c r="D146" s="4514"/>
      <c r="E146" s="4514"/>
      <c r="F146" s="4514"/>
      <c r="G146" s="4514"/>
      <c r="H146" s="4514"/>
      <c r="I146" s="4514"/>
      <c r="J146" s="4514"/>
      <c r="K146" s="4514"/>
      <c r="L146" s="4514"/>
      <c r="M146" s="4393"/>
      <c r="N146" s="4393"/>
      <c r="O146" s="4393"/>
      <c r="P146" s="4514"/>
      <c r="Q146" s="4514"/>
      <c r="R146" s="4518"/>
      <c r="S146" s="2567"/>
      <c r="T146" s="1848"/>
      <c r="U146" s="1848"/>
      <c r="V146" s="2518"/>
      <c r="W146" s="2433"/>
      <c r="X146" s="2434"/>
      <c r="Y146" s="2435"/>
      <c r="Z146" s="2435"/>
      <c r="AA146" s="2435"/>
      <c r="AB146" s="2436"/>
      <c r="AC146" s="2434"/>
      <c r="AD146" s="2437"/>
      <c r="AE146" s="2437"/>
      <c r="AF146" s="4521"/>
    </row>
    <row r="147" spans="1:32" ht="30" customHeight="1">
      <c r="A147" s="4564"/>
      <c r="B147" s="4570"/>
      <c r="C147" s="4545"/>
      <c r="D147" s="4514"/>
      <c r="E147" s="4514"/>
      <c r="F147" s="4514"/>
      <c r="G147" s="4514"/>
      <c r="H147" s="4514"/>
      <c r="I147" s="4514"/>
      <c r="J147" s="4514"/>
      <c r="K147" s="4514"/>
      <c r="L147" s="4514"/>
      <c r="M147" s="4393"/>
      <c r="N147" s="4393"/>
      <c r="O147" s="4393"/>
      <c r="P147" s="4514"/>
      <c r="Q147" s="4514"/>
      <c r="R147" s="4518"/>
      <c r="S147" s="2567"/>
      <c r="T147" s="1848"/>
      <c r="U147" s="1848"/>
      <c r="V147" s="2518"/>
      <c r="W147" s="2433"/>
      <c r="X147" s="2449"/>
      <c r="Y147" s="2435"/>
      <c r="Z147" s="2435"/>
      <c r="AA147" s="2435"/>
      <c r="AB147" s="2436"/>
      <c r="AC147" s="2434"/>
      <c r="AD147" s="2437"/>
      <c r="AE147" s="2437"/>
      <c r="AF147" s="4521"/>
    </row>
    <row r="148" spans="1:32" ht="30" customHeight="1">
      <c r="A148" s="4564"/>
      <c r="B148" s="4570"/>
      <c r="C148" s="4545"/>
      <c r="D148" s="4514"/>
      <c r="E148" s="4514"/>
      <c r="F148" s="4514"/>
      <c r="G148" s="4514"/>
      <c r="H148" s="4514"/>
      <c r="I148" s="4514"/>
      <c r="J148" s="4514"/>
      <c r="K148" s="4514"/>
      <c r="L148" s="4514"/>
      <c r="M148" s="4393"/>
      <c r="N148" s="4393"/>
      <c r="O148" s="4393"/>
      <c r="P148" s="4514"/>
      <c r="Q148" s="4514"/>
      <c r="R148" s="4518"/>
      <c r="S148" s="2567"/>
      <c r="T148" s="1848"/>
      <c r="U148" s="1848"/>
      <c r="V148" s="2432"/>
      <c r="W148" s="2433"/>
      <c r="X148" s="2449"/>
      <c r="Y148" s="2435"/>
      <c r="Z148" s="2435"/>
      <c r="AA148" s="2435"/>
      <c r="AB148" s="2436"/>
      <c r="AC148" s="2434"/>
      <c r="AD148" s="2437"/>
      <c r="AE148" s="2437"/>
      <c r="AF148" s="4521"/>
    </row>
    <row r="149" spans="1:32" ht="30" customHeight="1" thickBot="1">
      <c r="A149" s="4564"/>
      <c r="B149" s="4570"/>
      <c r="C149" s="4546"/>
      <c r="D149" s="4532"/>
      <c r="E149" s="4532"/>
      <c r="F149" s="4532"/>
      <c r="G149" s="4532"/>
      <c r="H149" s="4532"/>
      <c r="I149" s="4532"/>
      <c r="J149" s="4532"/>
      <c r="K149" s="4532"/>
      <c r="L149" s="4532"/>
      <c r="M149" s="4394"/>
      <c r="N149" s="4394"/>
      <c r="O149" s="4394"/>
      <c r="P149" s="4532"/>
      <c r="Q149" s="4532"/>
      <c r="R149" s="4534"/>
      <c r="S149" s="2581"/>
      <c r="T149" s="1851"/>
      <c r="U149" s="1851"/>
      <c r="V149" s="2519"/>
      <c r="W149" s="2520"/>
      <c r="X149" s="2521"/>
      <c r="Y149" s="2522"/>
      <c r="Z149" s="2522"/>
      <c r="AA149" s="2523"/>
      <c r="AB149" s="2524"/>
      <c r="AC149" s="2525"/>
      <c r="AD149" s="2526"/>
      <c r="AE149" s="2526"/>
      <c r="AF149" s="4536"/>
    </row>
    <row r="150" spans="1:32" ht="22.5" customHeight="1" thickBot="1">
      <c r="A150" s="4564"/>
      <c r="B150" s="4479"/>
      <c r="C150" s="4543"/>
      <c r="D150" s="4567"/>
      <c r="E150" s="4567"/>
      <c r="F150" s="4567"/>
      <c r="G150" s="4567"/>
      <c r="H150" s="4567"/>
      <c r="I150" s="4567"/>
      <c r="J150" s="4567"/>
      <c r="K150" s="4567"/>
      <c r="L150" s="4567"/>
      <c r="M150" s="4567"/>
      <c r="N150" s="4567"/>
      <c r="O150" s="4567"/>
      <c r="P150" s="4567"/>
      <c r="Q150" s="4567"/>
      <c r="R150" s="4540"/>
      <c r="S150" s="4537" t="s">
        <v>580</v>
      </c>
      <c r="T150" s="4538"/>
      <c r="U150" s="4538"/>
      <c r="V150" s="4538"/>
      <c r="W150" s="4538"/>
      <c r="X150" s="4538"/>
      <c r="Y150" s="4538"/>
      <c r="Z150" s="4538"/>
      <c r="AA150" s="2424" t="s">
        <v>340</v>
      </c>
      <c r="AB150" s="2422">
        <f>SUM(AB105:AB149)</f>
        <v>425.6</v>
      </c>
      <c r="AC150" s="4539"/>
      <c r="AD150" s="4540"/>
      <c r="AE150" s="4540"/>
      <c r="AF150" s="4541"/>
    </row>
    <row r="151" spans="1:32" ht="30" customHeight="1">
      <c r="A151" s="4564"/>
      <c r="B151" s="4571" t="s">
        <v>581</v>
      </c>
      <c r="C151" s="4574" t="s">
        <v>235</v>
      </c>
      <c r="D151" s="4524" t="s">
        <v>236</v>
      </c>
      <c r="E151" s="4524" t="s">
        <v>244</v>
      </c>
      <c r="F151" s="4524" t="s">
        <v>292</v>
      </c>
      <c r="G151" s="4531" t="s">
        <v>239</v>
      </c>
      <c r="H151" s="4524" t="s">
        <v>240</v>
      </c>
      <c r="I151" s="4524" t="s">
        <v>257</v>
      </c>
      <c r="J151" s="4524" t="s">
        <v>4161</v>
      </c>
      <c r="K151" s="4524" t="s">
        <v>582</v>
      </c>
      <c r="L151" s="4524" t="s">
        <v>583</v>
      </c>
      <c r="M151" s="4526">
        <v>1</v>
      </c>
      <c r="N151" s="4526">
        <v>1</v>
      </c>
      <c r="O151" s="4526">
        <v>1</v>
      </c>
      <c r="P151" s="4552" t="s">
        <v>4127</v>
      </c>
      <c r="Q151" s="4524" t="s">
        <v>4100</v>
      </c>
      <c r="R151" s="4527" t="s">
        <v>4170</v>
      </c>
      <c r="S151" s="2582"/>
      <c r="T151" s="2541"/>
      <c r="U151" s="2510"/>
      <c r="V151" s="2542"/>
      <c r="W151" s="2512"/>
      <c r="X151" s="2513"/>
      <c r="Y151" s="2514"/>
      <c r="Z151" s="2514"/>
      <c r="AA151" s="2514"/>
      <c r="AB151" s="2515"/>
      <c r="AC151" s="2513"/>
      <c r="AD151" s="2516"/>
      <c r="AE151" s="2516"/>
      <c r="AF151" s="4529"/>
    </row>
    <row r="152" spans="1:32" ht="30" customHeight="1">
      <c r="A152" s="4564"/>
      <c r="B152" s="4570"/>
      <c r="C152" s="4545"/>
      <c r="D152" s="4514"/>
      <c r="E152" s="4514"/>
      <c r="F152" s="4514"/>
      <c r="G152" s="4514"/>
      <c r="H152" s="4514"/>
      <c r="I152" s="4514"/>
      <c r="J152" s="4514"/>
      <c r="K152" s="4514"/>
      <c r="L152" s="4514"/>
      <c r="M152" s="4393"/>
      <c r="N152" s="4393"/>
      <c r="O152" s="4393"/>
      <c r="P152" s="4514"/>
      <c r="Q152" s="4514"/>
      <c r="R152" s="4518"/>
      <c r="S152" s="2570"/>
      <c r="T152" s="1806"/>
      <c r="U152" s="1848"/>
      <c r="V152" s="2518"/>
      <c r="W152" s="1800"/>
      <c r="X152" s="2446"/>
      <c r="Y152" s="2435"/>
      <c r="Z152" s="2435"/>
      <c r="AA152" s="2435"/>
      <c r="AB152" s="2436"/>
      <c r="AC152" s="2434"/>
      <c r="AD152" s="2437"/>
      <c r="AE152" s="2437"/>
      <c r="AF152" s="4521"/>
    </row>
    <row r="153" spans="1:32" ht="30" customHeight="1">
      <c r="A153" s="4564"/>
      <c r="B153" s="4570"/>
      <c r="C153" s="4545"/>
      <c r="D153" s="4514"/>
      <c r="E153" s="4514"/>
      <c r="F153" s="4514"/>
      <c r="G153" s="4514"/>
      <c r="H153" s="4514"/>
      <c r="I153" s="4514"/>
      <c r="J153" s="4514"/>
      <c r="K153" s="4514"/>
      <c r="L153" s="4514"/>
      <c r="M153" s="4393"/>
      <c r="N153" s="4393"/>
      <c r="O153" s="4393"/>
      <c r="P153" s="4514"/>
      <c r="Q153" s="4514"/>
      <c r="R153" s="4518"/>
      <c r="S153" s="2570"/>
      <c r="T153" s="1806"/>
      <c r="U153" s="1848"/>
      <c r="V153" s="2518"/>
      <c r="W153" s="1800"/>
      <c r="X153" s="2446"/>
      <c r="Y153" s="2435"/>
      <c r="Z153" s="2435"/>
      <c r="AA153" s="2435"/>
      <c r="AB153" s="2436"/>
      <c r="AC153" s="2434"/>
      <c r="AD153" s="2437"/>
      <c r="AE153" s="2437"/>
      <c r="AF153" s="4521"/>
    </row>
    <row r="154" spans="1:32" ht="30" customHeight="1">
      <c r="A154" s="4564"/>
      <c r="B154" s="4570"/>
      <c r="C154" s="4545"/>
      <c r="D154" s="4514"/>
      <c r="E154" s="4514"/>
      <c r="F154" s="4514"/>
      <c r="G154" s="4514"/>
      <c r="H154" s="4514"/>
      <c r="I154" s="4514"/>
      <c r="J154" s="4514"/>
      <c r="K154" s="4514"/>
      <c r="L154" s="4514"/>
      <c r="M154" s="4393"/>
      <c r="N154" s="4393"/>
      <c r="O154" s="4393"/>
      <c r="P154" s="4514"/>
      <c r="Q154" s="4514"/>
      <c r="R154" s="4518"/>
      <c r="S154" s="2570"/>
      <c r="T154" s="1806"/>
      <c r="U154" s="1848"/>
      <c r="V154" s="2518"/>
      <c r="W154" s="1800"/>
      <c r="X154" s="2446"/>
      <c r="Y154" s="2435"/>
      <c r="Z154" s="2435"/>
      <c r="AA154" s="2435"/>
      <c r="AB154" s="2436"/>
      <c r="AC154" s="2434"/>
      <c r="AD154" s="2437"/>
      <c r="AE154" s="2437"/>
      <c r="AF154" s="4521"/>
    </row>
    <row r="155" spans="1:32" ht="30" customHeight="1">
      <c r="A155" s="4564"/>
      <c r="B155" s="4570"/>
      <c r="C155" s="4566"/>
      <c r="D155" s="4525"/>
      <c r="E155" s="4525"/>
      <c r="F155" s="4525"/>
      <c r="G155" s="4525"/>
      <c r="H155" s="4525"/>
      <c r="I155" s="4525"/>
      <c r="J155" s="4525"/>
      <c r="K155" s="4525"/>
      <c r="L155" s="4525"/>
      <c r="M155" s="4402"/>
      <c r="N155" s="4402"/>
      <c r="O155" s="4402"/>
      <c r="P155" s="4525"/>
      <c r="Q155" s="4525"/>
      <c r="R155" s="4528"/>
      <c r="S155" s="2580"/>
      <c r="T155" s="2537"/>
      <c r="U155" s="2495"/>
      <c r="V155" s="2535"/>
      <c r="W155" s="2549"/>
      <c r="X155" s="2550"/>
      <c r="Y155" s="2462"/>
      <c r="Z155" s="2462"/>
      <c r="AA155" s="2462"/>
      <c r="AB155" s="2463"/>
      <c r="AC155" s="2461"/>
      <c r="AD155" s="2464"/>
      <c r="AE155" s="2464"/>
      <c r="AF155" s="4530"/>
    </row>
    <row r="156" spans="1:32" ht="30" customHeight="1">
      <c r="A156" s="4564"/>
      <c r="B156" s="4570"/>
      <c r="C156" s="4572" t="s">
        <v>235</v>
      </c>
      <c r="D156" s="4391" t="s">
        <v>236</v>
      </c>
      <c r="E156" s="4391" t="s">
        <v>244</v>
      </c>
      <c r="F156" s="4391" t="s">
        <v>292</v>
      </c>
      <c r="G156" s="4523" t="s">
        <v>239</v>
      </c>
      <c r="H156" s="4391" t="s">
        <v>240</v>
      </c>
      <c r="I156" s="4391" t="s">
        <v>257</v>
      </c>
      <c r="J156" s="4391" t="s">
        <v>4162</v>
      </c>
      <c r="K156" s="4391" t="s">
        <v>4135</v>
      </c>
      <c r="L156" s="4391" t="s">
        <v>584</v>
      </c>
      <c r="M156" s="4516">
        <v>2</v>
      </c>
      <c r="N156" s="4516">
        <v>1</v>
      </c>
      <c r="O156" s="4516">
        <v>2</v>
      </c>
      <c r="P156" s="4391" t="s">
        <v>4128</v>
      </c>
      <c r="Q156" s="4391" t="s">
        <v>4101</v>
      </c>
      <c r="R156" s="4517" t="s">
        <v>4170</v>
      </c>
      <c r="S156" s="2577"/>
      <c r="T156" s="2538"/>
      <c r="U156" s="2496"/>
      <c r="V156" s="2533"/>
      <c r="W156" s="2551"/>
      <c r="X156" s="2503"/>
      <c r="Y156" s="2470"/>
      <c r="Z156" s="2470"/>
      <c r="AA156" s="2470"/>
      <c r="AB156" s="2471"/>
      <c r="AC156" s="2469"/>
      <c r="AD156" s="2503"/>
      <c r="AE156" s="2503"/>
      <c r="AF156" s="4520"/>
    </row>
    <row r="157" spans="1:32" ht="30" customHeight="1">
      <c r="A157" s="4564"/>
      <c r="B157" s="4570"/>
      <c r="C157" s="4545"/>
      <c r="D157" s="4514"/>
      <c r="E157" s="4514"/>
      <c r="F157" s="4514"/>
      <c r="G157" s="4514"/>
      <c r="H157" s="4514"/>
      <c r="I157" s="4514"/>
      <c r="J157" s="4514"/>
      <c r="K157" s="4514"/>
      <c r="L157" s="4514"/>
      <c r="M157" s="4393"/>
      <c r="N157" s="4393"/>
      <c r="O157" s="4393"/>
      <c r="P157" s="4514"/>
      <c r="Q157" s="4514"/>
      <c r="R157" s="4518"/>
      <c r="S157" s="2570"/>
      <c r="T157" s="1806"/>
      <c r="U157" s="1848"/>
      <c r="V157" s="2518"/>
      <c r="W157" s="1800"/>
      <c r="X157" s="2446"/>
      <c r="Y157" s="2435"/>
      <c r="Z157" s="2435"/>
      <c r="AA157" s="2435"/>
      <c r="AB157" s="2436"/>
      <c r="AC157" s="2434"/>
      <c r="AD157" s="2434"/>
      <c r="AE157" s="2446"/>
      <c r="AF157" s="4521"/>
    </row>
    <row r="158" spans="1:32" ht="30" customHeight="1">
      <c r="A158" s="4564"/>
      <c r="B158" s="4570"/>
      <c r="C158" s="4545"/>
      <c r="D158" s="4514"/>
      <c r="E158" s="4514"/>
      <c r="F158" s="4514"/>
      <c r="G158" s="4514"/>
      <c r="H158" s="4514"/>
      <c r="I158" s="4514"/>
      <c r="J158" s="4514"/>
      <c r="K158" s="4514"/>
      <c r="L158" s="4514"/>
      <c r="M158" s="4393"/>
      <c r="N158" s="4393"/>
      <c r="O158" s="4393"/>
      <c r="P158" s="4514"/>
      <c r="Q158" s="4514"/>
      <c r="R158" s="4518"/>
      <c r="S158" s="2570"/>
      <c r="T158" s="1806"/>
      <c r="U158" s="1848"/>
      <c r="V158" s="2518"/>
      <c r="W158" s="1800"/>
      <c r="X158" s="2446"/>
      <c r="Y158" s="2435"/>
      <c r="Z158" s="2435"/>
      <c r="AA158" s="2435"/>
      <c r="AB158" s="2436"/>
      <c r="AC158" s="2434"/>
      <c r="AD158" s="2434"/>
      <c r="AE158" s="2437"/>
      <c r="AF158" s="4521"/>
    </row>
    <row r="159" spans="1:32" ht="30" customHeight="1">
      <c r="A159" s="4564"/>
      <c r="B159" s="4570"/>
      <c r="C159" s="4545"/>
      <c r="D159" s="4514"/>
      <c r="E159" s="4514"/>
      <c r="F159" s="4514"/>
      <c r="G159" s="4514"/>
      <c r="H159" s="4514"/>
      <c r="I159" s="4514"/>
      <c r="J159" s="4514"/>
      <c r="K159" s="4514"/>
      <c r="L159" s="4514"/>
      <c r="M159" s="4393"/>
      <c r="N159" s="4393"/>
      <c r="O159" s="4393"/>
      <c r="P159" s="4514"/>
      <c r="Q159" s="4514"/>
      <c r="R159" s="4518"/>
      <c r="S159" s="2570"/>
      <c r="T159" s="1806"/>
      <c r="U159" s="1848"/>
      <c r="V159" s="2518"/>
      <c r="W159" s="1800"/>
      <c r="X159" s="2446"/>
      <c r="Y159" s="2435"/>
      <c r="Z159" s="2435"/>
      <c r="AA159" s="2435"/>
      <c r="AB159" s="2436"/>
      <c r="AC159" s="2434"/>
      <c r="AD159" s="2434"/>
      <c r="AE159" s="2437"/>
      <c r="AF159" s="4521"/>
    </row>
    <row r="160" spans="1:32" ht="30" customHeight="1">
      <c r="A160" s="4564"/>
      <c r="B160" s="4570"/>
      <c r="C160" s="4573"/>
      <c r="D160" s="4515"/>
      <c r="E160" s="4515"/>
      <c r="F160" s="4515"/>
      <c r="G160" s="4515"/>
      <c r="H160" s="4515"/>
      <c r="I160" s="4515"/>
      <c r="J160" s="4515"/>
      <c r="K160" s="4515"/>
      <c r="L160" s="4515"/>
      <c r="M160" s="4420"/>
      <c r="N160" s="4420"/>
      <c r="O160" s="4420"/>
      <c r="P160" s="4515"/>
      <c r="Q160" s="4515"/>
      <c r="R160" s="4519"/>
      <c r="S160" s="2578"/>
      <c r="T160" s="2548"/>
      <c r="U160" s="2481"/>
      <c r="V160" s="2492"/>
      <c r="W160" s="2493"/>
      <c r="X160" s="2494"/>
      <c r="Y160" s="2485"/>
      <c r="Z160" s="2485"/>
      <c r="AA160" s="2485"/>
      <c r="AB160" s="2486"/>
      <c r="AC160" s="2484"/>
      <c r="AD160" s="2484"/>
      <c r="AE160" s="2487"/>
      <c r="AF160" s="4522"/>
    </row>
    <row r="161" spans="1:32" ht="30" customHeight="1">
      <c r="A161" s="4564"/>
      <c r="B161" s="4570"/>
      <c r="C161" s="4544" t="s">
        <v>235</v>
      </c>
      <c r="D161" s="4399" t="s">
        <v>236</v>
      </c>
      <c r="E161" s="4399" t="s">
        <v>244</v>
      </c>
      <c r="F161" s="4399" t="s">
        <v>292</v>
      </c>
      <c r="G161" s="4547" t="s">
        <v>239</v>
      </c>
      <c r="H161" s="4399" t="s">
        <v>240</v>
      </c>
      <c r="I161" s="4399" t="s">
        <v>257</v>
      </c>
      <c r="J161" s="4399" t="s">
        <v>4163</v>
      </c>
      <c r="K161" s="4399" t="s">
        <v>585</v>
      </c>
      <c r="L161" s="4399" t="s">
        <v>586</v>
      </c>
      <c r="M161" s="4542">
        <v>3</v>
      </c>
      <c r="N161" s="4542">
        <v>3</v>
      </c>
      <c r="O161" s="4542">
        <v>3</v>
      </c>
      <c r="P161" s="4399" t="s">
        <v>4129</v>
      </c>
      <c r="Q161" s="4399" t="s">
        <v>4102</v>
      </c>
      <c r="R161" s="4533" t="s">
        <v>4171</v>
      </c>
      <c r="S161" s="2572" t="s">
        <v>11</v>
      </c>
      <c r="T161" s="2539">
        <v>530807</v>
      </c>
      <c r="U161" s="2474"/>
      <c r="V161" s="2527" t="s">
        <v>44</v>
      </c>
      <c r="W161" s="2476"/>
      <c r="X161" s="2477"/>
      <c r="Y161" s="2478"/>
      <c r="Z161" s="2478"/>
      <c r="AA161" s="2478"/>
      <c r="AB161" s="2479">
        <f>SUM($AA$162:$AA$165)</f>
        <v>127.68</v>
      </c>
      <c r="AC161" s="2477"/>
      <c r="AD161" s="2480"/>
      <c r="AE161" s="2480"/>
      <c r="AF161" s="4535"/>
    </row>
    <row r="162" spans="1:32" ht="30" customHeight="1">
      <c r="A162" s="4564"/>
      <c r="B162" s="4570"/>
      <c r="C162" s="4545"/>
      <c r="D162" s="4514"/>
      <c r="E162" s="4514"/>
      <c r="F162" s="4514"/>
      <c r="G162" s="4514"/>
      <c r="H162" s="4514"/>
      <c r="I162" s="4514"/>
      <c r="J162" s="4514"/>
      <c r="K162" s="4514"/>
      <c r="L162" s="4514"/>
      <c r="M162" s="4393"/>
      <c r="N162" s="4393"/>
      <c r="O162" s="4393"/>
      <c r="P162" s="4514"/>
      <c r="Q162" s="4514"/>
      <c r="R162" s="4518"/>
      <c r="S162" s="2567"/>
      <c r="T162" s="1848"/>
      <c r="U162" s="1848">
        <v>3891201410</v>
      </c>
      <c r="V162" s="2518" t="s">
        <v>4051</v>
      </c>
      <c r="W162" s="1800">
        <v>3</v>
      </c>
      <c r="X162" s="2449" t="s">
        <v>269</v>
      </c>
      <c r="Y162" s="2435">
        <v>9.5</v>
      </c>
      <c r="Z162" s="2435">
        <f t="shared" ref="Z162:Z165" si="24">+W162*Y162</f>
        <v>28.5</v>
      </c>
      <c r="AA162" s="2435">
        <f t="shared" ref="AA162:AA165" si="25">+Z162*1.12</f>
        <v>31.92</v>
      </c>
      <c r="AB162" s="2436"/>
      <c r="AC162" s="2434"/>
      <c r="AD162" s="2437" t="s">
        <v>251</v>
      </c>
      <c r="AE162" s="2437"/>
      <c r="AF162" s="4521"/>
    </row>
    <row r="163" spans="1:32" ht="30" customHeight="1">
      <c r="A163" s="4564"/>
      <c r="B163" s="4570"/>
      <c r="C163" s="4545"/>
      <c r="D163" s="4514"/>
      <c r="E163" s="4514"/>
      <c r="F163" s="4514"/>
      <c r="G163" s="4514"/>
      <c r="H163" s="4514"/>
      <c r="I163" s="4514"/>
      <c r="J163" s="4514"/>
      <c r="K163" s="4514"/>
      <c r="L163" s="4514"/>
      <c r="M163" s="4393"/>
      <c r="N163" s="4393"/>
      <c r="O163" s="4393"/>
      <c r="P163" s="4514"/>
      <c r="Q163" s="4514"/>
      <c r="R163" s="4518"/>
      <c r="S163" s="2567"/>
      <c r="T163" s="1848"/>
      <c r="U163" s="1848">
        <v>3891201410</v>
      </c>
      <c r="V163" s="2518" t="s">
        <v>4050</v>
      </c>
      <c r="W163" s="1800">
        <v>3</v>
      </c>
      <c r="X163" s="2449" t="s">
        <v>269</v>
      </c>
      <c r="Y163" s="2435">
        <v>9.5</v>
      </c>
      <c r="Z163" s="2435">
        <f t="shared" si="24"/>
        <v>28.5</v>
      </c>
      <c r="AA163" s="2435">
        <f t="shared" si="25"/>
        <v>31.92</v>
      </c>
      <c r="AB163" s="2436"/>
      <c r="AC163" s="2434"/>
      <c r="AD163" s="2437" t="s">
        <v>251</v>
      </c>
      <c r="AE163" s="2437"/>
      <c r="AF163" s="4521"/>
    </row>
    <row r="164" spans="1:32" ht="30" customHeight="1">
      <c r="A164" s="4564"/>
      <c r="B164" s="4570"/>
      <c r="C164" s="4545"/>
      <c r="D164" s="4514"/>
      <c r="E164" s="4514"/>
      <c r="F164" s="4514"/>
      <c r="G164" s="4514"/>
      <c r="H164" s="4514"/>
      <c r="I164" s="4514"/>
      <c r="J164" s="4514"/>
      <c r="K164" s="4514"/>
      <c r="L164" s="4514"/>
      <c r="M164" s="4393"/>
      <c r="N164" s="4393"/>
      <c r="O164" s="4393"/>
      <c r="P164" s="4514"/>
      <c r="Q164" s="4514"/>
      <c r="R164" s="4518"/>
      <c r="S164" s="2567"/>
      <c r="T164" s="1848"/>
      <c r="U164" s="1848">
        <v>3891201410</v>
      </c>
      <c r="V164" s="2518" t="s">
        <v>4049</v>
      </c>
      <c r="W164" s="1800">
        <v>3</v>
      </c>
      <c r="X164" s="2449" t="s">
        <v>269</v>
      </c>
      <c r="Y164" s="2435">
        <v>9.5</v>
      </c>
      <c r="Z164" s="2435">
        <f t="shared" si="24"/>
        <v>28.5</v>
      </c>
      <c r="AA164" s="2435">
        <f t="shared" si="25"/>
        <v>31.92</v>
      </c>
      <c r="AB164" s="2436"/>
      <c r="AC164" s="2434"/>
      <c r="AD164" s="2437" t="s">
        <v>251</v>
      </c>
      <c r="AE164" s="2437"/>
      <c r="AF164" s="4521"/>
    </row>
    <row r="165" spans="1:32" ht="30" customHeight="1">
      <c r="A165" s="4564"/>
      <c r="B165" s="4570"/>
      <c r="C165" s="4566"/>
      <c r="D165" s="4525"/>
      <c r="E165" s="4525"/>
      <c r="F165" s="4525"/>
      <c r="G165" s="4525"/>
      <c r="H165" s="4525"/>
      <c r="I165" s="4525"/>
      <c r="J165" s="4525"/>
      <c r="K165" s="4525"/>
      <c r="L165" s="4525"/>
      <c r="M165" s="4402"/>
      <c r="N165" s="4402"/>
      <c r="O165" s="4402"/>
      <c r="P165" s="4525"/>
      <c r="Q165" s="4525"/>
      <c r="R165" s="4528"/>
      <c r="S165" s="2568"/>
      <c r="T165" s="2495"/>
      <c r="U165" s="2495">
        <v>3891201410</v>
      </c>
      <c r="V165" s="2535" t="s">
        <v>4048</v>
      </c>
      <c r="W165" s="2549">
        <v>3</v>
      </c>
      <c r="X165" s="2552" t="s">
        <v>269</v>
      </c>
      <c r="Y165" s="2462">
        <v>9.5</v>
      </c>
      <c r="Z165" s="2462">
        <f t="shared" si="24"/>
        <v>28.5</v>
      </c>
      <c r="AA165" s="2462">
        <f t="shared" si="25"/>
        <v>31.92</v>
      </c>
      <c r="AB165" s="2463"/>
      <c r="AC165" s="2461"/>
      <c r="AD165" s="2464" t="s">
        <v>251</v>
      </c>
      <c r="AE165" s="2464"/>
      <c r="AF165" s="4530"/>
    </row>
    <row r="166" spans="1:32" ht="30.75" customHeight="1">
      <c r="A166" s="4564"/>
      <c r="B166" s="4570"/>
      <c r="C166" s="4572" t="s">
        <v>235</v>
      </c>
      <c r="D166" s="4391" t="s">
        <v>236</v>
      </c>
      <c r="E166" s="4391" t="s">
        <v>244</v>
      </c>
      <c r="F166" s="4391" t="s">
        <v>292</v>
      </c>
      <c r="G166" s="4523" t="s">
        <v>239</v>
      </c>
      <c r="H166" s="4391" t="s">
        <v>240</v>
      </c>
      <c r="I166" s="4391" t="s">
        <v>257</v>
      </c>
      <c r="J166" s="4391" t="s">
        <v>4164</v>
      </c>
      <c r="K166" s="4391" t="s">
        <v>587</v>
      </c>
      <c r="L166" s="4391" t="s">
        <v>588</v>
      </c>
      <c r="M166" s="4516">
        <v>3</v>
      </c>
      <c r="N166" s="4516">
        <v>2</v>
      </c>
      <c r="O166" s="4516">
        <v>3</v>
      </c>
      <c r="P166" s="4391" t="s">
        <v>4130</v>
      </c>
      <c r="Q166" s="4391" t="s">
        <v>4103</v>
      </c>
      <c r="R166" s="4517" t="s">
        <v>4172</v>
      </c>
      <c r="S166" s="2569"/>
      <c r="T166" s="2538"/>
      <c r="U166" s="2466"/>
      <c r="V166" s="2553"/>
      <c r="W166" s="2468"/>
      <c r="X166" s="2469"/>
      <c r="Y166" s="2470"/>
      <c r="Z166" s="2470"/>
      <c r="AA166" s="2470"/>
      <c r="AB166" s="2471"/>
      <c r="AC166" s="2469"/>
      <c r="AD166" s="2472"/>
      <c r="AE166" s="2472"/>
      <c r="AF166" s="4520"/>
    </row>
    <row r="167" spans="1:32" ht="30.75" customHeight="1">
      <c r="A167" s="4564"/>
      <c r="B167" s="4570"/>
      <c r="C167" s="4545"/>
      <c r="D167" s="4514"/>
      <c r="E167" s="4514"/>
      <c r="F167" s="4514"/>
      <c r="G167" s="4514"/>
      <c r="H167" s="4514"/>
      <c r="I167" s="4514"/>
      <c r="J167" s="4514"/>
      <c r="K167" s="4514"/>
      <c r="L167" s="4514"/>
      <c r="M167" s="4393"/>
      <c r="N167" s="4393"/>
      <c r="O167" s="4393"/>
      <c r="P167" s="4514"/>
      <c r="Q167" s="4514"/>
      <c r="R167" s="4518"/>
      <c r="S167" s="2567"/>
      <c r="T167" s="1848"/>
      <c r="U167" s="1848"/>
      <c r="V167" s="2518"/>
      <c r="W167" s="2433"/>
      <c r="X167" s="2434"/>
      <c r="Y167" s="2435"/>
      <c r="Z167" s="2435"/>
      <c r="AA167" s="2435"/>
      <c r="AB167" s="2436"/>
      <c r="AC167" s="2434"/>
      <c r="AD167" s="2437"/>
      <c r="AE167" s="2437"/>
      <c r="AF167" s="4521"/>
    </row>
    <row r="168" spans="1:32" ht="30.75" customHeight="1">
      <c r="A168" s="4564"/>
      <c r="B168" s="4570"/>
      <c r="C168" s="4545"/>
      <c r="D168" s="4514"/>
      <c r="E168" s="4514"/>
      <c r="F168" s="4514"/>
      <c r="G168" s="4514"/>
      <c r="H168" s="4514"/>
      <c r="I168" s="4514"/>
      <c r="J168" s="4514"/>
      <c r="K168" s="4514"/>
      <c r="L168" s="4514"/>
      <c r="M168" s="4393"/>
      <c r="N168" s="4393"/>
      <c r="O168" s="4393"/>
      <c r="P168" s="4514"/>
      <c r="Q168" s="4514"/>
      <c r="R168" s="4518"/>
      <c r="S168" s="2567"/>
      <c r="T168" s="1848"/>
      <c r="U168" s="1848"/>
      <c r="V168" s="2518"/>
      <c r="W168" s="2433"/>
      <c r="X168" s="2449"/>
      <c r="Y168" s="2435"/>
      <c r="Z168" s="2435"/>
      <c r="AA168" s="2435"/>
      <c r="AB168" s="2436"/>
      <c r="AC168" s="2434"/>
      <c r="AD168" s="2437"/>
      <c r="AE168" s="2437"/>
      <c r="AF168" s="4521"/>
    </row>
    <row r="169" spans="1:32" ht="30.75" customHeight="1">
      <c r="A169" s="4564"/>
      <c r="B169" s="4570"/>
      <c r="C169" s="4545"/>
      <c r="D169" s="4514"/>
      <c r="E169" s="4514"/>
      <c r="F169" s="4514"/>
      <c r="G169" s="4514"/>
      <c r="H169" s="4514"/>
      <c r="I169" s="4514"/>
      <c r="J169" s="4514"/>
      <c r="K169" s="4514"/>
      <c r="L169" s="4514"/>
      <c r="M169" s="4393"/>
      <c r="N169" s="4393"/>
      <c r="O169" s="4393"/>
      <c r="P169" s="4514"/>
      <c r="Q169" s="4514"/>
      <c r="R169" s="4518"/>
      <c r="S169" s="2567"/>
      <c r="T169" s="1848"/>
      <c r="U169" s="1848"/>
      <c r="V169" s="2432"/>
      <c r="W169" s="2433"/>
      <c r="X169" s="2449"/>
      <c r="Y169" s="2435"/>
      <c r="Z169" s="2435"/>
      <c r="AA169" s="2435"/>
      <c r="AB169" s="2436"/>
      <c r="AC169" s="2434"/>
      <c r="AD169" s="2437"/>
      <c r="AE169" s="2437"/>
      <c r="AF169" s="4521"/>
    </row>
    <row r="170" spans="1:32" ht="30.75" customHeight="1">
      <c r="A170" s="4564"/>
      <c r="B170" s="4570"/>
      <c r="C170" s="4573"/>
      <c r="D170" s="4515"/>
      <c r="E170" s="4515"/>
      <c r="F170" s="4515"/>
      <c r="G170" s="4515"/>
      <c r="H170" s="4515"/>
      <c r="I170" s="4515"/>
      <c r="J170" s="4515"/>
      <c r="K170" s="4515"/>
      <c r="L170" s="4515"/>
      <c r="M170" s="4420"/>
      <c r="N170" s="4420"/>
      <c r="O170" s="4420"/>
      <c r="P170" s="4515"/>
      <c r="Q170" s="4515"/>
      <c r="R170" s="4519"/>
      <c r="S170" s="2571"/>
      <c r="T170" s="2481"/>
      <c r="U170" s="2481"/>
      <c r="V170" s="2531"/>
      <c r="W170" s="2483"/>
      <c r="X170" s="2504"/>
      <c r="Y170" s="2485"/>
      <c r="Z170" s="2485"/>
      <c r="AA170" s="2485"/>
      <c r="AB170" s="2486"/>
      <c r="AC170" s="2484"/>
      <c r="AD170" s="2487"/>
      <c r="AE170" s="2487"/>
      <c r="AF170" s="4522"/>
    </row>
    <row r="171" spans="1:32" ht="30" customHeight="1">
      <c r="A171" s="4564"/>
      <c r="B171" s="4570"/>
      <c r="C171" s="4544" t="s">
        <v>235</v>
      </c>
      <c r="D171" s="4399" t="s">
        <v>236</v>
      </c>
      <c r="E171" s="4399" t="s">
        <v>244</v>
      </c>
      <c r="F171" s="4399" t="s">
        <v>292</v>
      </c>
      <c r="G171" s="4547" t="s">
        <v>239</v>
      </c>
      <c r="H171" s="4399" t="s">
        <v>240</v>
      </c>
      <c r="I171" s="4399" t="s">
        <v>257</v>
      </c>
      <c r="J171" s="4399" t="s">
        <v>4165</v>
      </c>
      <c r="K171" s="4399" t="s">
        <v>589</v>
      </c>
      <c r="L171" s="4399" t="s">
        <v>590</v>
      </c>
      <c r="M171" s="4568">
        <v>1</v>
      </c>
      <c r="N171" s="4568">
        <v>1</v>
      </c>
      <c r="O171" s="4568">
        <v>1</v>
      </c>
      <c r="P171" s="4399" t="s">
        <v>4131</v>
      </c>
      <c r="Q171" s="4399" t="s">
        <v>4104</v>
      </c>
      <c r="R171" s="4533" t="s">
        <v>4172</v>
      </c>
      <c r="S171" s="2572"/>
      <c r="T171" s="2488"/>
      <c r="U171" s="2554"/>
      <c r="V171" s="2555"/>
      <c r="W171" s="2556"/>
      <c r="X171" s="2557"/>
      <c r="Y171" s="2556"/>
      <c r="Z171" s="2478"/>
      <c r="AA171" s="2478"/>
      <c r="AB171" s="2479"/>
      <c r="AC171" s="2477"/>
      <c r="AD171" s="2480"/>
      <c r="AE171" s="2480"/>
      <c r="AF171" s="4560"/>
    </row>
    <row r="172" spans="1:32" ht="30" customHeight="1">
      <c r="A172" s="4564"/>
      <c r="B172" s="4570"/>
      <c r="C172" s="4545"/>
      <c r="D172" s="4514"/>
      <c r="E172" s="4514"/>
      <c r="F172" s="4514"/>
      <c r="G172" s="4514"/>
      <c r="H172" s="4514"/>
      <c r="I172" s="4514"/>
      <c r="J172" s="4514"/>
      <c r="K172" s="4514"/>
      <c r="L172" s="4514"/>
      <c r="M172" s="4393"/>
      <c r="N172" s="4393"/>
      <c r="O172" s="4393"/>
      <c r="P172" s="4514"/>
      <c r="Q172" s="4514"/>
      <c r="R172" s="4518"/>
      <c r="S172" s="2567"/>
      <c r="T172" s="1848"/>
      <c r="U172" s="2543"/>
      <c r="V172" s="2544"/>
      <c r="W172" s="2545"/>
      <c r="X172" s="2445"/>
      <c r="Y172" s="2545"/>
      <c r="Z172" s="2435"/>
      <c r="AA172" s="2435"/>
      <c r="AB172" s="2436"/>
      <c r="AC172" s="2434"/>
      <c r="AD172" s="2437"/>
      <c r="AE172" s="2437"/>
      <c r="AF172" s="4521"/>
    </row>
    <row r="173" spans="1:32" ht="30" customHeight="1">
      <c r="A173" s="4564"/>
      <c r="B173" s="4570"/>
      <c r="C173" s="4545"/>
      <c r="D173" s="4514"/>
      <c r="E173" s="4514"/>
      <c r="F173" s="4514"/>
      <c r="G173" s="4514"/>
      <c r="H173" s="4514"/>
      <c r="I173" s="4514"/>
      <c r="J173" s="4514"/>
      <c r="K173" s="4514"/>
      <c r="L173" s="4514"/>
      <c r="M173" s="4393"/>
      <c r="N173" s="4393"/>
      <c r="O173" s="4393"/>
      <c r="P173" s="4514"/>
      <c r="Q173" s="4514"/>
      <c r="R173" s="4518"/>
      <c r="S173" s="2567"/>
      <c r="T173" s="1848"/>
      <c r="U173" s="2543"/>
      <c r="V173" s="2544"/>
      <c r="W173" s="2545"/>
      <c r="X173" s="2445"/>
      <c r="Y173" s="2545"/>
      <c r="Z173" s="2435"/>
      <c r="AA173" s="2435"/>
      <c r="AB173" s="2436"/>
      <c r="AC173" s="2434"/>
      <c r="AD173" s="2437"/>
      <c r="AE173" s="2437"/>
      <c r="AF173" s="4521"/>
    </row>
    <row r="174" spans="1:32" ht="30" customHeight="1">
      <c r="A174" s="4564"/>
      <c r="B174" s="4570"/>
      <c r="C174" s="4545"/>
      <c r="D174" s="4514"/>
      <c r="E174" s="4514"/>
      <c r="F174" s="4514"/>
      <c r="G174" s="4514"/>
      <c r="H174" s="4514"/>
      <c r="I174" s="4514"/>
      <c r="J174" s="4514"/>
      <c r="K174" s="4514"/>
      <c r="L174" s="4514"/>
      <c r="M174" s="4393"/>
      <c r="N174" s="4393"/>
      <c r="O174" s="4393"/>
      <c r="P174" s="4514"/>
      <c r="Q174" s="4514"/>
      <c r="R174" s="4518"/>
      <c r="S174" s="2567"/>
      <c r="T174" s="1848"/>
      <c r="U174" s="2543"/>
      <c r="V174" s="2544"/>
      <c r="W174" s="2545"/>
      <c r="X174" s="2445"/>
      <c r="Y174" s="2545"/>
      <c r="Z174" s="2435"/>
      <c r="AA174" s="2435"/>
      <c r="AB174" s="2436"/>
      <c r="AC174" s="2434"/>
      <c r="AD174" s="2437"/>
      <c r="AE174" s="2437"/>
      <c r="AF174" s="4521"/>
    </row>
    <row r="175" spans="1:32" ht="30" customHeight="1">
      <c r="A175" s="4564"/>
      <c r="B175" s="4570"/>
      <c r="C175" s="4566"/>
      <c r="D175" s="4525"/>
      <c r="E175" s="4525"/>
      <c r="F175" s="4525"/>
      <c r="G175" s="4525"/>
      <c r="H175" s="4525"/>
      <c r="I175" s="4525"/>
      <c r="J175" s="4525"/>
      <c r="K175" s="4525"/>
      <c r="L175" s="4525"/>
      <c r="M175" s="4402"/>
      <c r="N175" s="4402"/>
      <c r="O175" s="4402"/>
      <c r="P175" s="4525"/>
      <c r="Q175" s="4525"/>
      <c r="R175" s="4528"/>
      <c r="S175" s="2568"/>
      <c r="T175" s="2495"/>
      <c r="U175" s="2558"/>
      <c r="V175" s="2559"/>
      <c r="W175" s="2560"/>
      <c r="X175" s="2561"/>
      <c r="Y175" s="2560"/>
      <c r="Z175" s="2560"/>
      <c r="AA175" s="2560"/>
      <c r="AB175" s="2463"/>
      <c r="AC175" s="2461"/>
      <c r="AD175" s="2464"/>
      <c r="AE175" s="2464"/>
      <c r="AF175" s="4530"/>
    </row>
    <row r="176" spans="1:32" ht="30.75" customHeight="1">
      <c r="A176" s="4564"/>
      <c r="B176" s="4570"/>
      <c r="C176" s="4572" t="s">
        <v>235</v>
      </c>
      <c r="D176" s="4391" t="s">
        <v>236</v>
      </c>
      <c r="E176" s="4391" t="s">
        <v>244</v>
      </c>
      <c r="F176" s="4391" t="s">
        <v>292</v>
      </c>
      <c r="G176" s="4523" t="s">
        <v>239</v>
      </c>
      <c r="H176" s="4391" t="s">
        <v>240</v>
      </c>
      <c r="I176" s="4391" t="s">
        <v>257</v>
      </c>
      <c r="J176" s="4391" t="s">
        <v>4166</v>
      </c>
      <c r="K176" s="4391" t="s">
        <v>591</v>
      </c>
      <c r="L176" s="4391" t="s">
        <v>592</v>
      </c>
      <c r="M176" s="4516">
        <v>1</v>
      </c>
      <c r="N176" s="4516">
        <v>1</v>
      </c>
      <c r="O176" s="4516">
        <v>1</v>
      </c>
      <c r="P176" s="4391" t="s">
        <v>4132</v>
      </c>
      <c r="Q176" s="4391" t="s">
        <v>4105</v>
      </c>
      <c r="R176" s="4517" t="s">
        <v>4172</v>
      </c>
      <c r="S176" s="2569"/>
      <c r="T176" s="2496"/>
      <c r="U176" s="2562"/>
      <c r="V176" s="2563"/>
      <c r="W176" s="2564"/>
      <c r="X176" s="2565"/>
      <c r="Y176" s="2564"/>
      <c r="Z176" s="2470"/>
      <c r="AA176" s="2470"/>
      <c r="AB176" s="2471"/>
      <c r="AC176" s="2469"/>
      <c r="AD176" s="2472"/>
      <c r="AE176" s="2472"/>
      <c r="AF176" s="4520"/>
    </row>
    <row r="177" spans="1:32" ht="30.75" customHeight="1">
      <c r="A177" s="4564"/>
      <c r="B177" s="4570"/>
      <c r="C177" s="4545"/>
      <c r="D177" s="4514"/>
      <c r="E177" s="4514"/>
      <c r="F177" s="4514"/>
      <c r="G177" s="4514"/>
      <c r="H177" s="4514"/>
      <c r="I177" s="4514"/>
      <c r="J177" s="4514"/>
      <c r="K177" s="4514"/>
      <c r="L177" s="4514"/>
      <c r="M177" s="4393"/>
      <c r="N177" s="4393"/>
      <c r="O177" s="4393"/>
      <c r="P177" s="4514"/>
      <c r="Q177" s="4514"/>
      <c r="R177" s="4518"/>
      <c r="S177" s="2567"/>
      <c r="T177" s="1848"/>
      <c r="U177" s="2543"/>
      <c r="V177" s="2544"/>
      <c r="W177" s="2545"/>
      <c r="X177" s="2445"/>
      <c r="Y177" s="2545"/>
      <c r="Z177" s="2435"/>
      <c r="AA177" s="2435"/>
      <c r="AB177" s="2436"/>
      <c r="AC177" s="2434"/>
      <c r="AD177" s="2437"/>
      <c r="AE177" s="2437"/>
      <c r="AF177" s="4521"/>
    </row>
    <row r="178" spans="1:32" ht="30.75" customHeight="1">
      <c r="A178" s="4564"/>
      <c r="B178" s="4570"/>
      <c r="C178" s="4545"/>
      <c r="D178" s="4514"/>
      <c r="E178" s="4514"/>
      <c r="F178" s="4514"/>
      <c r="G178" s="4514"/>
      <c r="H178" s="4514"/>
      <c r="I178" s="4514"/>
      <c r="J178" s="4514"/>
      <c r="K178" s="4514"/>
      <c r="L178" s="4514"/>
      <c r="M178" s="4393"/>
      <c r="N178" s="4393"/>
      <c r="O178" s="4393"/>
      <c r="P178" s="4514"/>
      <c r="Q178" s="4514"/>
      <c r="R178" s="4518"/>
      <c r="S178" s="2567"/>
      <c r="T178" s="1848"/>
      <c r="U178" s="2543"/>
      <c r="V178" s="2544"/>
      <c r="W178" s="2545"/>
      <c r="X178" s="2445"/>
      <c r="Y178" s="2545"/>
      <c r="Z178" s="2435"/>
      <c r="AA178" s="2435"/>
      <c r="AB178" s="2436"/>
      <c r="AC178" s="2434"/>
      <c r="AD178" s="2437"/>
      <c r="AE178" s="2437"/>
      <c r="AF178" s="4521"/>
    </row>
    <row r="179" spans="1:32" ht="30.75" customHeight="1">
      <c r="A179" s="4564"/>
      <c r="B179" s="4570"/>
      <c r="C179" s="4545"/>
      <c r="D179" s="4514"/>
      <c r="E179" s="4514"/>
      <c r="F179" s="4514"/>
      <c r="G179" s="4514"/>
      <c r="H179" s="4514"/>
      <c r="I179" s="4514"/>
      <c r="J179" s="4514"/>
      <c r="K179" s="4514"/>
      <c r="L179" s="4514"/>
      <c r="M179" s="4393"/>
      <c r="N179" s="4393"/>
      <c r="O179" s="4393"/>
      <c r="P179" s="4514"/>
      <c r="Q179" s="4514"/>
      <c r="R179" s="4518"/>
      <c r="S179" s="2567"/>
      <c r="T179" s="1848"/>
      <c r="U179" s="2543"/>
      <c r="V179" s="2544"/>
      <c r="W179" s="2545"/>
      <c r="X179" s="2445"/>
      <c r="Y179" s="2545"/>
      <c r="Z179" s="2435"/>
      <c r="AA179" s="2435"/>
      <c r="AB179" s="2436"/>
      <c r="AC179" s="2434"/>
      <c r="AD179" s="2437"/>
      <c r="AE179" s="2437"/>
      <c r="AF179" s="4521"/>
    </row>
    <row r="180" spans="1:32" ht="30.75" customHeight="1">
      <c r="A180" s="4564"/>
      <c r="B180" s="4570"/>
      <c r="C180" s="4573"/>
      <c r="D180" s="4515"/>
      <c r="E180" s="4515"/>
      <c r="F180" s="4515"/>
      <c r="G180" s="4515"/>
      <c r="H180" s="4515"/>
      <c r="I180" s="4515"/>
      <c r="J180" s="4515"/>
      <c r="K180" s="4515"/>
      <c r="L180" s="4515"/>
      <c r="M180" s="4420"/>
      <c r="N180" s="4420"/>
      <c r="O180" s="4420"/>
      <c r="P180" s="4515"/>
      <c r="Q180" s="4515"/>
      <c r="R180" s="4519"/>
      <c r="S180" s="2571"/>
      <c r="T180" s="2481"/>
      <c r="U180" s="2481"/>
      <c r="V180" s="2492"/>
      <c r="W180" s="2493"/>
      <c r="X180" s="2494"/>
      <c r="Y180" s="2485"/>
      <c r="Z180" s="2485"/>
      <c r="AA180" s="2485"/>
      <c r="AB180" s="2486"/>
      <c r="AC180" s="2484"/>
      <c r="AD180" s="2487"/>
      <c r="AE180" s="2487"/>
      <c r="AF180" s="4522"/>
    </row>
    <row r="181" spans="1:32" ht="18" customHeight="1">
      <c r="A181" s="4564"/>
      <c r="B181" s="4570"/>
      <c r="C181" s="4589" t="s">
        <v>235</v>
      </c>
      <c r="D181" s="4577" t="s">
        <v>236</v>
      </c>
      <c r="E181" s="4577" t="s">
        <v>244</v>
      </c>
      <c r="F181" s="4577" t="s">
        <v>292</v>
      </c>
      <c r="G181" s="4592" t="s">
        <v>239</v>
      </c>
      <c r="H181" s="4577" t="s">
        <v>240</v>
      </c>
      <c r="I181" s="4577" t="s">
        <v>257</v>
      </c>
      <c r="J181" s="4577" t="s">
        <v>4167</v>
      </c>
      <c r="K181" s="4577" t="s">
        <v>371</v>
      </c>
      <c r="L181" s="4577" t="s">
        <v>593</v>
      </c>
      <c r="M181" s="4580">
        <v>1</v>
      </c>
      <c r="N181" s="4580">
        <v>1</v>
      </c>
      <c r="O181" s="4580">
        <v>1</v>
      </c>
      <c r="P181" s="4583" t="s">
        <v>4133</v>
      </c>
      <c r="Q181" s="4577" t="s">
        <v>3839</v>
      </c>
      <c r="R181" s="4586" t="s">
        <v>4173</v>
      </c>
      <c r="S181" s="2567" t="s">
        <v>11</v>
      </c>
      <c r="T181" s="1806">
        <v>531404</v>
      </c>
      <c r="U181" s="1848"/>
      <c r="V181" s="2439" t="s">
        <v>24</v>
      </c>
      <c r="W181" s="2433"/>
      <c r="X181" s="2434"/>
      <c r="Y181" s="2435"/>
      <c r="Z181" s="2435"/>
      <c r="AA181" s="2435"/>
      <c r="AB181" s="2436">
        <f>SUM($AA$182:$AA$187)</f>
        <v>34363.672000000006</v>
      </c>
      <c r="AC181" s="2434"/>
      <c r="AD181" s="2437"/>
      <c r="AE181" s="2446"/>
      <c r="AF181" s="4521"/>
    </row>
    <row r="182" spans="1:32" ht="18" customHeight="1">
      <c r="A182" s="4564"/>
      <c r="B182" s="4570"/>
      <c r="C182" s="4590"/>
      <c r="D182" s="4578"/>
      <c r="E182" s="4578"/>
      <c r="F182" s="4578"/>
      <c r="G182" s="4593"/>
      <c r="H182" s="4578"/>
      <c r="I182" s="4578"/>
      <c r="J182" s="4578"/>
      <c r="K182" s="4578"/>
      <c r="L182" s="4578"/>
      <c r="M182" s="4581"/>
      <c r="N182" s="4581"/>
      <c r="O182" s="4581"/>
      <c r="P182" s="4584"/>
      <c r="Q182" s="4578"/>
      <c r="R182" s="4587"/>
      <c r="S182" s="2567"/>
      <c r="T182" s="1848"/>
      <c r="U182" s="1848" t="s">
        <v>594</v>
      </c>
      <c r="V182" s="2518" t="s">
        <v>4047</v>
      </c>
      <c r="W182" s="2448">
        <v>2</v>
      </c>
      <c r="X182" s="2449" t="s">
        <v>269</v>
      </c>
      <c r="Y182" s="2435">
        <v>3517.94</v>
      </c>
      <c r="Z182" s="2435">
        <f t="shared" ref="Z182:Z187" si="26">+W182*Y182</f>
        <v>7035.88</v>
      </c>
      <c r="AA182" s="2435">
        <f t="shared" ref="AA182:AA187" si="27">+Z182*1.12</f>
        <v>7880.1856000000007</v>
      </c>
      <c r="AB182" s="2436"/>
      <c r="AC182" s="2434" t="s">
        <v>251</v>
      </c>
      <c r="AD182" s="2434"/>
      <c r="AE182" s="2446"/>
      <c r="AF182" s="4521"/>
    </row>
    <row r="183" spans="1:32" ht="18" customHeight="1">
      <c r="A183" s="4564"/>
      <c r="B183" s="4570"/>
      <c r="C183" s="4590"/>
      <c r="D183" s="4578"/>
      <c r="E183" s="4578"/>
      <c r="F183" s="4578"/>
      <c r="G183" s="4593"/>
      <c r="H183" s="4578"/>
      <c r="I183" s="4578"/>
      <c r="J183" s="4578"/>
      <c r="K183" s="4578"/>
      <c r="L183" s="4578"/>
      <c r="M183" s="4581"/>
      <c r="N183" s="4581"/>
      <c r="O183" s="4581"/>
      <c r="P183" s="4584"/>
      <c r="Q183" s="4578"/>
      <c r="R183" s="4587"/>
      <c r="S183" s="2567"/>
      <c r="T183" s="1848"/>
      <c r="U183" s="1848" t="s">
        <v>594</v>
      </c>
      <c r="V183" s="2442" t="s">
        <v>4046</v>
      </c>
      <c r="W183" s="2448">
        <v>8</v>
      </c>
      <c r="X183" s="2449" t="s">
        <v>269</v>
      </c>
      <c r="Y183" s="2435">
        <v>2567.2199999999998</v>
      </c>
      <c r="Z183" s="2435">
        <f t="shared" si="26"/>
        <v>20537.759999999998</v>
      </c>
      <c r="AA183" s="2435">
        <f t="shared" si="27"/>
        <v>23002.2912</v>
      </c>
      <c r="AB183" s="2436"/>
      <c r="AC183" s="2434" t="s">
        <v>251</v>
      </c>
      <c r="AD183" s="2434"/>
      <c r="AE183" s="2446"/>
      <c r="AF183" s="4521"/>
    </row>
    <row r="184" spans="1:32" ht="18" customHeight="1">
      <c r="A184" s="4564"/>
      <c r="B184" s="4570"/>
      <c r="C184" s="4590"/>
      <c r="D184" s="4578"/>
      <c r="E184" s="4578"/>
      <c r="F184" s="4578"/>
      <c r="G184" s="4593"/>
      <c r="H184" s="4578"/>
      <c r="I184" s="4578"/>
      <c r="J184" s="4578"/>
      <c r="K184" s="4578"/>
      <c r="L184" s="4578"/>
      <c r="M184" s="4581"/>
      <c r="N184" s="4581"/>
      <c r="O184" s="4581"/>
      <c r="P184" s="4584"/>
      <c r="Q184" s="4578"/>
      <c r="R184" s="4587"/>
      <c r="S184" s="2567"/>
      <c r="T184" s="1848"/>
      <c r="U184" s="1848" t="s">
        <v>594</v>
      </c>
      <c r="V184" s="2442" t="s">
        <v>4045</v>
      </c>
      <c r="W184" s="2448">
        <v>1</v>
      </c>
      <c r="X184" s="2449" t="s">
        <v>269</v>
      </c>
      <c r="Y184" s="2435">
        <v>1070.79</v>
      </c>
      <c r="Z184" s="2435">
        <f t="shared" si="26"/>
        <v>1070.79</v>
      </c>
      <c r="AA184" s="2435">
        <f t="shared" si="27"/>
        <v>1199.2848000000001</v>
      </c>
      <c r="AB184" s="2436"/>
      <c r="AC184" s="2434" t="s">
        <v>251</v>
      </c>
      <c r="AD184" s="2434"/>
      <c r="AE184" s="2446"/>
      <c r="AF184" s="4521"/>
    </row>
    <row r="185" spans="1:32" ht="18" customHeight="1">
      <c r="A185" s="4564"/>
      <c r="B185" s="4570"/>
      <c r="C185" s="4590"/>
      <c r="D185" s="4578"/>
      <c r="E185" s="4578"/>
      <c r="F185" s="4578"/>
      <c r="G185" s="4593"/>
      <c r="H185" s="4578"/>
      <c r="I185" s="4578"/>
      <c r="J185" s="4578"/>
      <c r="K185" s="4578"/>
      <c r="L185" s="4578"/>
      <c r="M185" s="4581"/>
      <c r="N185" s="4581"/>
      <c r="O185" s="4581"/>
      <c r="P185" s="4584"/>
      <c r="Q185" s="4578"/>
      <c r="R185" s="4587"/>
      <c r="S185" s="2567"/>
      <c r="T185" s="1848"/>
      <c r="U185" s="1848" t="s">
        <v>594</v>
      </c>
      <c r="V185" s="2442" t="s">
        <v>4044</v>
      </c>
      <c r="W185" s="2448">
        <v>1</v>
      </c>
      <c r="X185" s="2449" t="s">
        <v>269</v>
      </c>
      <c r="Y185" s="2435">
        <v>1111.8800000000001</v>
      </c>
      <c r="Z185" s="2435">
        <f t="shared" si="26"/>
        <v>1111.8800000000001</v>
      </c>
      <c r="AA185" s="2435">
        <f t="shared" si="27"/>
        <v>1245.3056000000001</v>
      </c>
      <c r="AB185" s="2436"/>
      <c r="AC185" s="2434" t="s">
        <v>251</v>
      </c>
      <c r="AD185" s="2434"/>
      <c r="AE185" s="2446"/>
      <c r="AF185" s="4521"/>
    </row>
    <row r="186" spans="1:32" ht="18" customHeight="1">
      <c r="A186" s="4564"/>
      <c r="B186" s="4570"/>
      <c r="C186" s="4590"/>
      <c r="D186" s="4578"/>
      <c r="E186" s="4578"/>
      <c r="F186" s="4578"/>
      <c r="G186" s="4593"/>
      <c r="H186" s="4578"/>
      <c r="I186" s="4578"/>
      <c r="J186" s="4578"/>
      <c r="K186" s="4578"/>
      <c r="L186" s="4578"/>
      <c r="M186" s="4581"/>
      <c r="N186" s="4581"/>
      <c r="O186" s="4581"/>
      <c r="P186" s="4584"/>
      <c r="Q186" s="4578"/>
      <c r="R186" s="4587"/>
      <c r="S186" s="2567"/>
      <c r="T186" s="1848"/>
      <c r="U186" s="1848" t="s">
        <v>594</v>
      </c>
      <c r="V186" s="2442" t="s">
        <v>4043</v>
      </c>
      <c r="W186" s="2448">
        <v>1</v>
      </c>
      <c r="X186" s="2449" t="s">
        <v>269</v>
      </c>
      <c r="Y186" s="2435">
        <v>314.36</v>
      </c>
      <c r="Z186" s="2435">
        <f t="shared" si="26"/>
        <v>314.36</v>
      </c>
      <c r="AA186" s="2435">
        <f t="shared" si="27"/>
        <v>352.08320000000003</v>
      </c>
      <c r="AB186" s="2436"/>
      <c r="AC186" s="2434" t="s">
        <v>251</v>
      </c>
      <c r="AD186" s="2434"/>
      <c r="AE186" s="2446"/>
      <c r="AF186" s="4521"/>
    </row>
    <row r="187" spans="1:32" ht="18" customHeight="1">
      <c r="A187" s="4564"/>
      <c r="B187" s="4570"/>
      <c r="C187" s="4590"/>
      <c r="D187" s="4578"/>
      <c r="E187" s="4578"/>
      <c r="F187" s="4578"/>
      <c r="G187" s="4593"/>
      <c r="H187" s="4578"/>
      <c r="I187" s="4578"/>
      <c r="J187" s="4578"/>
      <c r="K187" s="4578"/>
      <c r="L187" s="4578"/>
      <c r="M187" s="4581"/>
      <c r="N187" s="4581"/>
      <c r="O187" s="4581"/>
      <c r="P187" s="4584"/>
      <c r="Q187" s="4578"/>
      <c r="R187" s="4587"/>
      <c r="S187" s="2567"/>
      <c r="T187" s="1848"/>
      <c r="U187" s="1848" t="s">
        <v>594</v>
      </c>
      <c r="V187" s="2442" t="s">
        <v>4042</v>
      </c>
      <c r="W187" s="2448">
        <v>2</v>
      </c>
      <c r="X187" s="2449" t="s">
        <v>269</v>
      </c>
      <c r="Y187" s="2435">
        <v>305.58999999999997</v>
      </c>
      <c r="Z187" s="2435">
        <f t="shared" si="26"/>
        <v>611.17999999999995</v>
      </c>
      <c r="AA187" s="2435">
        <f t="shared" si="27"/>
        <v>684.52160000000003</v>
      </c>
      <c r="AB187" s="2436"/>
      <c r="AC187" s="2434" t="s">
        <v>251</v>
      </c>
      <c r="AD187" s="2434"/>
      <c r="AE187" s="2446"/>
      <c r="AF187" s="4521"/>
    </row>
    <row r="188" spans="1:32" ht="33.75" customHeight="1">
      <c r="A188" s="4564"/>
      <c r="B188" s="4570"/>
      <c r="C188" s="4590"/>
      <c r="D188" s="4578"/>
      <c r="E188" s="4578"/>
      <c r="F188" s="4578"/>
      <c r="G188" s="4593"/>
      <c r="H188" s="4578"/>
      <c r="I188" s="4578"/>
      <c r="J188" s="4578"/>
      <c r="K188" s="4578"/>
      <c r="L188" s="4578"/>
      <c r="M188" s="4581"/>
      <c r="N188" s="4581"/>
      <c r="O188" s="4581"/>
      <c r="P188" s="4584"/>
      <c r="Q188" s="4578"/>
      <c r="R188" s="4587"/>
      <c r="S188" s="2570" t="s">
        <v>29</v>
      </c>
      <c r="T188" s="1806">
        <v>531404</v>
      </c>
      <c r="U188" s="1848"/>
      <c r="V188" s="2439" t="s">
        <v>24</v>
      </c>
      <c r="W188" s="2448"/>
      <c r="X188" s="2449"/>
      <c r="Y188" s="2435"/>
      <c r="Z188" s="2435"/>
      <c r="AA188" s="2435"/>
      <c r="AB188" s="2436">
        <f>SUM($AA$189:$AA$203)</f>
        <v>37159.046400000007</v>
      </c>
      <c r="AC188" s="2434"/>
      <c r="AD188" s="2437"/>
      <c r="AE188" s="2446"/>
      <c r="AF188" s="4521"/>
    </row>
    <row r="189" spans="1:32" ht="18" customHeight="1">
      <c r="A189" s="4564"/>
      <c r="B189" s="4570"/>
      <c r="C189" s="4590"/>
      <c r="D189" s="4578"/>
      <c r="E189" s="4578"/>
      <c r="F189" s="4578"/>
      <c r="G189" s="4593"/>
      <c r="H189" s="4578"/>
      <c r="I189" s="4578"/>
      <c r="J189" s="4578"/>
      <c r="K189" s="4578"/>
      <c r="L189" s="4578"/>
      <c r="M189" s="4581"/>
      <c r="N189" s="4581"/>
      <c r="O189" s="4581"/>
      <c r="P189" s="4584"/>
      <c r="Q189" s="4578"/>
      <c r="R189" s="4587"/>
      <c r="S189" s="2567"/>
      <c r="T189" s="1848"/>
      <c r="U189" s="1848" t="s">
        <v>594</v>
      </c>
      <c r="V189" s="2442" t="s">
        <v>4041</v>
      </c>
      <c r="W189" s="2448">
        <v>4</v>
      </c>
      <c r="X189" s="2449" t="s">
        <v>269</v>
      </c>
      <c r="Y189" s="2435">
        <v>660.95</v>
      </c>
      <c r="Z189" s="2435">
        <f t="shared" ref="Z189:Z202" si="28">+W189*Y189</f>
        <v>2643.8</v>
      </c>
      <c r="AA189" s="2435">
        <f t="shared" ref="AA189:AA202" si="29">+Z189*1.12</f>
        <v>2961.0560000000005</v>
      </c>
      <c r="AB189" s="2436"/>
      <c r="AC189" s="2434" t="s">
        <v>251</v>
      </c>
      <c r="AD189" s="2434"/>
      <c r="AE189" s="2446"/>
      <c r="AF189" s="4521"/>
    </row>
    <row r="190" spans="1:32" ht="18" customHeight="1">
      <c r="A190" s="4564"/>
      <c r="B190" s="4570"/>
      <c r="C190" s="4590"/>
      <c r="D190" s="4578"/>
      <c r="E190" s="4578"/>
      <c r="F190" s="4578"/>
      <c r="G190" s="4593"/>
      <c r="H190" s="4578"/>
      <c r="I190" s="4578"/>
      <c r="J190" s="4578"/>
      <c r="K190" s="4578"/>
      <c r="L190" s="4578"/>
      <c r="M190" s="4581"/>
      <c r="N190" s="4581"/>
      <c r="O190" s="4581"/>
      <c r="P190" s="4584"/>
      <c r="Q190" s="4578"/>
      <c r="R190" s="4587"/>
      <c r="S190" s="2567"/>
      <c r="T190" s="1848"/>
      <c r="U190" s="1848" t="s">
        <v>595</v>
      </c>
      <c r="V190" s="2442" t="s">
        <v>596</v>
      </c>
      <c r="W190" s="2448">
        <v>1</v>
      </c>
      <c r="X190" s="2449" t="s">
        <v>269</v>
      </c>
      <c r="Y190" s="2435">
        <v>1094.93</v>
      </c>
      <c r="Z190" s="2435">
        <f t="shared" si="28"/>
        <v>1094.93</v>
      </c>
      <c r="AA190" s="2435">
        <f t="shared" si="29"/>
        <v>1226.3216000000002</v>
      </c>
      <c r="AB190" s="2436"/>
      <c r="AC190" s="2434" t="s">
        <v>251</v>
      </c>
      <c r="AD190" s="2434"/>
      <c r="AE190" s="2446"/>
      <c r="AF190" s="4521"/>
    </row>
    <row r="191" spans="1:32" ht="18" customHeight="1">
      <c r="A191" s="4564"/>
      <c r="B191" s="4570"/>
      <c r="C191" s="4590"/>
      <c r="D191" s="4578"/>
      <c r="E191" s="4578"/>
      <c r="F191" s="4578"/>
      <c r="G191" s="4593"/>
      <c r="H191" s="4578"/>
      <c r="I191" s="4578"/>
      <c r="J191" s="4578"/>
      <c r="K191" s="4578"/>
      <c r="L191" s="4578"/>
      <c r="M191" s="4581"/>
      <c r="N191" s="4581"/>
      <c r="O191" s="4581"/>
      <c r="P191" s="4584"/>
      <c r="Q191" s="4578"/>
      <c r="R191" s="4587"/>
      <c r="S191" s="2567"/>
      <c r="T191" s="1848"/>
      <c r="U191" s="1848" t="s">
        <v>597</v>
      </c>
      <c r="V191" s="2432" t="s">
        <v>598</v>
      </c>
      <c r="W191" s="2433">
        <v>1</v>
      </c>
      <c r="X191" s="2449" t="s">
        <v>269</v>
      </c>
      <c r="Y191" s="2435">
        <v>2466.33</v>
      </c>
      <c r="Z191" s="2435">
        <f t="shared" si="28"/>
        <v>2466.33</v>
      </c>
      <c r="AA191" s="2435">
        <f t="shared" si="29"/>
        <v>2762.2896000000001</v>
      </c>
      <c r="AB191" s="2436"/>
      <c r="AC191" s="2434" t="s">
        <v>251</v>
      </c>
      <c r="AD191" s="2434"/>
      <c r="AE191" s="2437"/>
      <c r="AF191" s="4521"/>
    </row>
    <row r="192" spans="1:32" ht="18" customHeight="1">
      <c r="A192" s="4564"/>
      <c r="B192" s="4570"/>
      <c r="C192" s="4590"/>
      <c r="D192" s="4578"/>
      <c r="E192" s="4578"/>
      <c r="F192" s="4578"/>
      <c r="G192" s="4593"/>
      <c r="H192" s="4578"/>
      <c r="I192" s="4578"/>
      <c r="J192" s="4578"/>
      <c r="K192" s="4578"/>
      <c r="L192" s="4578"/>
      <c r="M192" s="4581"/>
      <c r="N192" s="4581"/>
      <c r="O192" s="4581"/>
      <c r="P192" s="4584"/>
      <c r="Q192" s="4578"/>
      <c r="R192" s="4587"/>
      <c r="S192" s="2567"/>
      <c r="T192" s="1848"/>
      <c r="U192" s="1848" t="s">
        <v>599</v>
      </c>
      <c r="V192" s="2432" t="s">
        <v>600</v>
      </c>
      <c r="W192" s="2433">
        <v>1</v>
      </c>
      <c r="X192" s="2449" t="s">
        <v>269</v>
      </c>
      <c r="Y192" s="2435">
        <v>234.38</v>
      </c>
      <c r="Z192" s="2435">
        <f t="shared" si="28"/>
        <v>234.38</v>
      </c>
      <c r="AA192" s="2435">
        <f t="shared" si="29"/>
        <v>262.50560000000002</v>
      </c>
      <c r="AB192" s="2436"/>
      <c r="AC192" s="2434" t="s">
        <v>251</v>
      </c>
      <c r="AD192" s="2434"/>
      <c r="AE192" s="2437"/>
      <c r="AF192" s="4521"/>
    </row>
    <row r="193" spans="1:32" ht="18" customHeight="1">
      <c r="A193" s="4564"/>
      <c r="B193" s="4570"/>
      <c r="C193" s="4590"/>
      <c r="D193" s="4578"/>
      <c r="E193" s="4578"/>
      <c r="F193" s="4578"/>
      <c r="G193" s="4593"/>
      <c r="H193" s="4578"/>
      <c r="I193" s="4578"/>
      <c r="J193" s="4578"/>
      <c r="K193" s="4578"/>
      <c r="L193" s="4578"/>
      <c r="M193" s="4581"/>
      <c r="N193" s="4581"/>
      <c r="O193" s="4581"/>
      <c r="P193" s="4584"/>
      <c r="Q193" s="4578"/>
      <c r="R193" s="4587"/>
      <c r="S193" s="2567"/>
      <c r="T193" s="1848"/>
      <c r="U193" s="1848" t="s">
        <v>601</v>
      </c>
      <c r="V193" s="2432" t="s">
        <v>602</v>
      </c>
      <c r="W193" s="2433">
        <v>1</v>
      </c>
      <c r="X193" s="2449" t="s">
        <v>269</v>
      </c>
      <c r="Y193" s="2435">
        <v>146.38</v>
      </c>
      <c r="Z193" s="2435">
        <f t="shared" si="28"/>
        <v>146.38</v>
      </c>
      <c r="AA193" s="2435">
        <f t="shared" si="29"/>
        <v>163.94560000000001</v>
      </c>
      <c r="AB193" s="2436"/>
      <c r="AC193" s="2434" t="s">
        <v>251</v>
      </c>
      <c r="AD193" s="2434"/>
      <c r="AE193" s="2437"/>
      <c r="AF193" s="4521"/>
    </row>
    <row r="194" spans="1:32" ht="18" customHeight="1">
      <c r="A194" s="4564"/>
      <c r="B194" s="4570"/>
      <c r="C194" s="4590"/>
      <c r="D194" s="4578"/>
      <c r="E194" s="4578"/>
      <c r="F194" s="4578"/>
      <c r="G194" s="4593"/>
      <c r="H194" s="4578"/>
      <c r="I194" s="4578"/>
      <c r="J194" s="4578"/>
      <c r="K194" s="4578"/>
      <c r="L194" s="4578"/>
      <c r="M194" s="4581"/>
      <c r="N194" s="4581"/>
      <c r="O194" s="4581"/>
      <c r="P194" s="4584"/>
      <c r="Q194" s="4578"/>
      <c r="R194" s="4587"/>
      <c r="S194" s="2567"/>
      <c r="T194" s="1848"/>
      <c r="U194" s="1848" t="s">
        <v>597</v>
      </c>
      <c r="V194" s="2432" t="s">
        <v>603</v>
      </c>
      <c r="W194" s="2433">
        <v>1</v>
      </c>
      <c r="X194" s="2449" t="s">
        <v>269</v>
      </c>
      <c r="Y194" s="2435">
        <v>539.67999999999995</v>
      </c>
      <c r="Z194" s="2435">
        <f t="shared" si="28"/>
        <v>539.67999999999995</v>
      </c>
      <c r="AA194" s="2435">
        <f t="shared" si="29"/>
        <v>604.44159999999999</v>
      </c>
      <c r="AB194" s="2436"/>
      <c r="AC194" s="2434" t="s">
        <v>251</v>
      </c>
      <c r="AD194" s="2434"/>
      <c r="AE194" s="2437"/>
      <c r="AF194" s="4521"/>
    </row>
    <row r="195" spans="1:32" ht="18" customHeight="1">
      <c r="A195" s="4564"/>
      <c r="B195" s="4570"/>
      <c r="C195" s="4590"/>
      <c r="D195" s="4578"/>
      <c r="E195" s="4578"/>
      <c r="F195" s="4578"/>
      <c r="G195" s="4593"/>
      <c r="H195" s="4578"/>
      <c r="I195" s="4578"/>
      <c r="J195" s="4578"/>
      <c r="K195" s="4578"/>
      <c r="L195" s="4578"/>
      <c r="M195" s="4581"/>
      <c r="N195" s="4581"/>
      <c r="O195" s="4581"/>
      <c r="P195" s="4584"/>
      <c r="Q195" s="4578"/>
      <c r="R195" s="4587"/>
      <c r="S195" s="2567"/>
      <c r="T195" s="1848"/>
      <c r="U195" s="1848"/>
      <c r="V195" s="2432" t="s">
        <v>4040</v>
      </c>
      <c r="W195" s="2433">
        <v>2</v>
      </c>
      <c r="X195" s="2449" t="s">
        <v>269</v>
      </c>
      <c r="Y195" s="2435">
        <v>330.12</v>
      </c>
      <c r="Z195" s="2435">
        <f t="shared" si="28"/>
        <v>660.24</v>
      </c>
      <c r="AA195" s="2435">
        <f t="shared" si="29"/>
        <v>739.4688000000001</v>
      </c>
      <c r="AB195" s="2436"/>
      <c r="AC195" s="2434" t="s">
        <v>251</v>
      </c>
      <c r="AD195" s="2434"/>
      <c r="AE195" s="2437"/>
      <c r="AF195" s="4521"/>
    </row>
    <row r="196" spans="1:32" ht="18" customHeight="1">
      <c r="A196" s="4564"/>
      <c r="B196" s="4570"/>
      <c r="C196" s="4590"/>
      <c r="D196" s="4578"/>
      <c r="E196" s="4578"/>
      <c r="F196" s="4578"/>
      <c r="G196" s="4593"/>
      <c r="H196" s="4578"/>
      <c r="I196" s="4578"/>
      <c r="J196" s="4578"/>
      <c r="K196" s="4578"/>
      <c r="L196" s="4578"/>
      <c r="M196" s="4581"/>
      <c r="N196" s="4581"/>
      <c r="O196" s="4581"/>
      <c r="P196" s="4584"/>
      <c r="Q196" s="4578"/>
      <c r="R196" s="4587"/>
      <c r="S196" s="2567"/>
      <c r="T196" s="1848"/>
      <c r="U196" s="1848" t="s">
        <v>604</v>
      </c>
      <c r="V196" s="2432" t="s">
        <v>605</v>
      </c>
      <c r="W196" s="2433">
        <v>8</v>
      </c>
      <c r="X196" s="2449" t="s">
        <v>269</v>
      </c>
      <c r="Y196" s="2435">
        <v>150</v>
      </c>
      <c r="Z196" s="2435">
        <f t="shared" si="28"/>
        <v>1200</v>
      </c>
      <c r="AA196" s="2435">
        <f t="shared" si="29"/>
        <v>1344.0000000000002</v>
      </c>
      <c r="AB196" s="2436"/>
      <c r="AC196" s="2434" t="s">
        <v>251</v>
      </c>
      <c r="AD196" s="2434"/>
      <c r="AE196" s="2437"/>
      <c r="AF196" s="4521"/>
    </row>
    <row r="197" spans="1:32" ht="18" customHeight="1">
      <c r="A197" s="4564"/>
      <c r="B197" s="4570"/>
      <c r="C197" s="4590"/>
      <c r="D197" s="4578"/>
      <c r="E197" s="4578"/>
      <c r="F197" s="4578"/>
      <c r="G197" s="4593"/>
      <c r="H197" s="4578"/>
      <c r="I197" s="4578"/>
      <c r="J197" s="4578"/>
      <c r="K197" s="4578"/>
      <c r="L197" s="4578"/>
      <c r="M197" s="4581"/>
      <c r="N197" s="4581"/>
      <c r="O197" s="4581"/>
      <c r="P197" s="4584"/>
      <c r="Q197" s="4578"/>
      <c r="R197" s="4587"/>
      <c r="S197" s="2567"/>
      <c r="T197" s="1848"/>
      <c r="U197" s="1848" t="s">
        <v>604</v>
      </c>
      <c r="V197" s="2432" t="s">
        <v>606</v>
      </c>
      <c r="W197" s="2433">
        <v>1</v>
      </c>
      <c r="X197" s="2449" t="s">
        <v>269</v>
      </c>
      <c r="Y197" s="2435">
        <v>401</v>
      </c>
      <c r="Z197" s="2435">
        <f t="shared" si="28"/>
        <v>401</v>
      </c>
      <c r="AA197" s="2435">
        <f t="shared" si="29"/>
        <v>449.12000000000006</v>
      </c>
      <c r="AB197" s="2436"/>
      <c r="AC197" s="2434" t="s">
        <v>251</v>
      </c>
      <c r="AD197" s="2434"/>
      <c r="AE197" s="2437"/>
      <c r="AF197" s="4521"/>
    </row>
    <row r="198" spans="1:32" ht="18" customHeight="1">
      <c r="A198" s="4564"/>
      <c r="B198" s="4570"/>
      <c r="C198" s="4590"/>
      <c r="D198" s="4578"/>
      <c r="E198" s="4578"/>
      <c r="F198" s="4578"/>
      <c r="G198" s="4593"/>
      <c r="H198" s="4578"/>
      <c r="I198" s="4578"/>
      <c r="J198" s="4578"/>
      <c r="K198" s="4578"/>
      <c r="L198" s="4578"/>
      <c r="M198" s="4581"/>
      <c r="N198" s="4581"/>
      <c r="O198" s="4581"/>
      <c r="P198" s="4584"/>
      <c r="Q198" s="4578"/>
      <c r="R198" s="4587"/>
      <c r="S198" s="2567"/>
      <c r="T198" s="1848"/>
      <c r="U198" s="1848" t="s">
        <v>607</v>
      </c>
      <c r="V198" s="2432" t="s">
        <v>608</v>
      </c>
      <c r="W198" s="2433">
        <v>1</v>
      </c>
      <c r="X198" s="2449" t="s">
        <v>269</v>
      </c>
      <c r="Y198" s="2435">
        <v>782.88</v>
      </c>
      <c r="Z198" s="2435">
        <f t="shared" si="28"/>
        <v>782.88</v>
      </c>
      <c r="AA198" s="2435">
        <f t="shared" si="29"/>
        <v>876.82560000000012</v>
      </c>
      <c r="AB198" s="2436"/>
      <c r="AC198" s="2434" t="s">
        <v>251</v>
      </c>
      <c r="AD198" s="2434"/>
      <c r="AE198" s="2437"/>
      <c r="AF198" s="4521"/>
    </row>
    <row r="199" spans="1:32" ht="18" customHeight="1">
      <c r="A199" s="4564"/>
      <c r="B199" s="4570"/>
      <c r="C199" s="4590"/>
      <c r="D199" s="4578"/>
      <c r="E199" s="4578"/>
      <c r="F199" s="4578"/>
      <c r="G199" s="4593"/>
      <c r="H199" s="4578"/>
      <c r="I199" s="4578"/>
      <c r="J199" s="4578"/>
      <c r="K199" s="4578"/>
      <c r="L199" s="4578"/>
      <c r="M199" s="4581"/>
      <c r="N199" s="4581"/>
      <c r="O199" s="4581"/>
      <c r="P199" s="4584"/>
      <c r="Q199" s="4578"/>
      <c r="R199" s="4587"/>
      <c r="S199" s="2567"/>
      <c r="T199" s="1848"/>
      <c r="U199" s="1848" t="s">
        <v>599</v>
      </c>
      <c r="V199" s="2432" t="s">
        <v>609</v>
      </c>
      <c r="W199" s="2433">
        <v>1</v>
      </c>
      <c r="X199" s="2449" t="s">
        <v>269</v>
      </c>
      <c r="Y199" s="2435">
        <v>946</v>
      </c>
      <c r="Z199" s="2435">
        <f t="shared" si="28"/>
        <v>946</v>
      </c>
      <c r="AA199" s="2435">
        <f t="shared" si="29"/>
        <v>1059.5200000000002</v>
      </c>
      <c r="AB199" s="2436"/>
      <c r="AC199" s="2434" t="s">
        <v>251</v>
      </c>
      <c r="AD199" s="2434"/>
      <c r="AE199" s="2437"/>
      <c r="AF199" s="4521"/>
    </row>
    <row r="200" spans="1:32" ht="18" customHeight="1">
      <c r="A200" s="4564"/>
      <c r="B200" s="4570"/>
      <c r="C200" s="4590"/>
      <c r="D200" s="4578"/>
      <c r="E200" s="4578"/>
      <c r="F200" s="4578"/>
      <c r="G200" s="4593"/>
      <c r="H200" s="4578"/>
      <c r="I200" s="4578"/>
      <c r="J200" s="4578"/>
      <c r="K200" s="4578"/>
      <c r="L200" s="4578"/>
      <c r="M200" s="4581"/>
      <c r="N200" s="4581"/>
      <c r="O200" s="4581"/>
      <c r="P200" s="4584"/>
      <c r="Q200" s="4578"/>
      <c r="R200" s="4587"/>
      <c r="S200" s="2567"/>
      <c r="T200" s="1848"/>
      <c r="U200" s="1848" t="s">
        <v>599</v>
      </c>
      <c r="V200" s="2432" t="s">
        <v>610</v>
      </c>
      <c r="W200" s="2433">
        <v>1</v>
      </c>
      <c r="X200" s="2449" t="s">
        <v>269</v>
      </c>
      <c r="Y200" s="2435">
        <v>500</v>
      </c>
      <c r="Z200" s="2435">
        <f t="shared" si="28"/>
        <v>500</v>
      </c>
      <c r="AA200" s="2435">
        <f t="shared" si="29"/>
        <v>560</v>
      </c>
      <c r="AB200" s="2436"/>
      <c r="AC200" s="2434" t="s">
        <v>251</v>
      </c>
      <c r="AD200" s="2434"/>
      <c r="AE200" s="2437"/>
      <c r="AF200" s="4521"/>
    </row>
    <row r="201" spans="1:32" ht="30" customHeight="1">
      <c r="A201" s="4564"/>
      <c r="B201" s="4570"/>
      <c r="C201" s="4590"/>
      <c r="D201" s="4578"/>
      <c r="E201" s="4578"/>
      <c r="F201" s="4578"/>
      <c r="G201" s="4593"/>
      <c r="H201" s="4578"/>
      <c r="I201" s="4578"/>
      <c r="J201" s="4578"/>
      <c r="K201" s="4578"/>
      <c r="L201" s="4578"/>
      <c r="M201" s="4581"/>
      <c r="N201" s="4581"/>
      <c r="O201" s="4581"/>
      <c r="P201" s="4584"/>
      <c r="Q201" s="4578"/>
      <c r="R201" s="4587"/>
      <c r="S201" s="2567"/>
      <c r="T201" s="1848"/>
      <c r="U201" s="1848" t="s">
        <v>611</v>
      </c>
      <c r="V201" s="2432" t="s">
        <v>4039</v>
      </c>
      <c r="W201" s="2433">
        <v>1</v>
      </c>
      <c r="X201" s="2449" t="s">
        <v>269</v>
      </c>
      <c r="Y201" s="2435">
        <v>2000</v>
      </c>
      <c r="Z201" s="2435">
        <f t="shared" si="28"/>
        <v>2000</v>
      </c>
      <c r="AA201" s="2435">
        <f t="shared" si="29"/>
        <v>2240</v>
      </c>
      <c r="AB201" s="2436"/>
      <c r="AC201" s="2434" t="s">
        <v>251</v>
      </c>
      <c r="AD201" s="2434"/>
      <c r="AE201" s="2437"/>
      <c r="AF201" s="4521"/>
    </row>
    <row r="202" spans="1:32" ht="18" customHeight="1">
      <c r="A202" s="4564"/>
      <c r="B202" s="4570"/>
      <c r="C202" s="4590"/>
      <c r="D202" s="4578"/>
      <c r="E202" s="4578"/>
      <c r="F202" s="4578"/>
      <c r="G202" s="4593"/>
      <c r="H202" s="4578"/>
      <c r="I202" s="4578"/>
      <c r="J202" s="4578"/>
      <c r="K202" s="4578"/>
      <c r="L202" s="4578"/>
      <c r="M202" s="4581"/>
      <c r="N202" s="4581"/>
      <c r="O202" s="4581"/>
      <c r="P202" s="4584"/>
      <c r="Q202" s="4578"/>
      <c r="R202" s="4587"/>
      <c r="S202" s="2567"/>
      <c r="T202" s="1848"/>
      <c r="U202" s="1848" t="s">
        <v>612</v>
      </c>
      <c r="V202" s="2432" t="s">
        <v>4038</v>
      </c>
      <c r="W202" s="2433">
        <v>5</v>
      </c>
      <c r="X202" s="2449" t="s">
        <v>269</v>
      </c>
      <c r="Y202" s="2435">
        <v>112.42</v>
      </c>
      <c r="Z202" s="2435">
        <f t="shared" si="28"/>
        <v>562.1</v>
      </c>
      <c r="AA202" s="2435">
        <f t="shared" si="29"/>
        <v>629.55200000000013</v>
      </c>
      <c r="AB202" s="2436"/>
      <c r="AC202" s="2434" t="s">
        <v>251</v>
      </c>
      <c r="AD202" s="2434"/>
      <c r="AE202" s="2437"/>
      <c r="AF202" s="4521"/>
    </row>
    <row r="203" spans="1:32" ht="25.5">
      <c r="A203" s="4564"/>
      <c r="B203" s="4570"/>
      <c r="C203" s="4590"/>
      <c r="D203" s="4578"/>
      <c r="E203" s="4578"/>
      <c r="F203" s="4578"/>
      <c r="G203" s="4593"/>
      <c r="H203" s="4578"/>
      <c r="I203" s="4578"/>
      <c r="J203" s="4578"/>
      <c r="K203" s="4578"/>
      <c r="L203" s="4578"/>
      <c r="M203" s="4581"/>
      <c r="N203" s="4581"/>
      <c r="O203" s="4581"/>
      <c r="P203" s="4584"/>
      <c r="Q203" s="4578"/>
      <c r="R203" s="4587"/>
      <c r="S203" s="2567"/>
      <c r="T203" s="1848"/>
      <c r="U203" s="1848"/>
      <c r="V203" s="2432" t="s">
        <v>4174</v>
      </c>
      <c r="W203" s="2433">
        <v>1</v>
      </c>
      <c r="X203" s="2434" t="s">
        <v>269</v>
      </c>
      <c r="Y203" s="2435">
        <v>21280</v>
      </c>
      <c r="Z203" s="2435">
        <f t="shared" ref="Z203:AA203" si="30">Y203</f>
        <v>21280</v>
      </c>
      <c r="AA203" s="2435">
        <f t="shared" si="30"/>
        <v>21280</v>
      </c>
      <c r="AB203" s="2436"/>
      <c r="AC203" s="2434"/>
      <c r="AD203" s="2434"/>
      <c r="AE203" s="2437"/>
      <c r="AF203" s="4521"/>
    </row>
    <row r="204" spans="1:32" ht="18" customHeight="1">
      <c r="A204" s="4564"/>
      <c r="B204" s="4570"/>
      <c r="C204" s="4590"/>
      <c r="D204" s="4578"/>
      <c r="E204" s="4578"/>
      <c r="F204" s="4578"/>
      <c r="G204" s="4593"/>
      <c r="H204" s="4578"/>
      <c r="I204" s="4578"/>
      <c r="J204" s="4578"/>
      <c r="K204" s="4578"/>
      <c r="L204" s="4578"/>
      <c r="M204" s="4581"/>
      <c r="N204" s="4581"/>
      <c r="O204" s="4581"/>
      <c r="P204" s="4584"/>
      <c r="Q204" s="4578"/>
      <c r="R204" s="4587"/>
      <c r="S204" s="2567" t="s">
        <v>11</v>
      </c>
      <c r="T204" s="2546" t="s">
        <v>46</v>
      </c>
      <c r="U204" s="1848"/>
      <c r="V204" s="2441" t="s">
        <v>45</v>
      </c>
      <c r="W204" s="2433"/>
      <c r="X204" s="2434"/>
      <c r="Y204" s="2435"/>
      <c r="Z204" s="2435"/>
      <c r="AA204" s="2435"/>
      <c r="AB204" s="2436">
        <f>SUM($AA$205:$AA$212)</f>
        <v>1567.9440000000002</v>
      </c>
      <c r="AC204" s="2434"/>
      <c r="AD204" s="2437"/>
      <c r="AE204" s="2437"/>
      <c r="AF204" s="4521"/>
    </row>
    <row r="205" spans="1:32" ht="18" customHeight="1">
      <c r="A205" s="4564"/>
      <c r="B205" s="4570"/>
      <c r="C205" s="4590"/>
      <c r="D205" s="4578"/>
      <c r="E205" s="4578"/>
      <c r="F205" s="4578"/>
      <c r="G205" s="4593"/>
      <c r="H205" s="4578"/>
      <c r="I205" s="4578"/>
      <c r="J205" s="4578"/>
      <c r="K205" s="4578"/>
      <c r="L205" s="4578"/>
      <c r="M205" s="4581"/>
      <c r="N205" s="4581"/>
      <c r="O205" s="4581"/>
      <c r="P205" s="4584"/>
      <c r="Q205" s="4578"/>
      <c r="R205" s="4587"/>
      <c r="S205" s="2567"/>
      <c r="T205" s="1848"/>
      <c r="U205" s="1848" t="s">
        <v>613</v>
      </c>
      <c r="V205" s="2432" t="s">
        <v>4037</v>
      </c>
      <c r="W205" s="2433">
        <v>11</v>
      </c>
      <c r="X205" s="2449" t="s">
        <v>269</v>
      </c>
      <c r="Y205" s="2435">
        <v>17.23</v>
      </c>
      <c r="Z205" s="2435">
        <f t="shared" ref="Z205:Z212" si="31">+W205*Y205</f>
        <v>189.53</v>
      </c>
      <c r="AA205" s="2435">
        <f t="shared" ref="AA205:AA212" si="32">+Z205*1.12</f>
        <v>212.27360000000002</v>
      </c>
      <c r="AB205" s="2436"/>
      <c r="AC205" s="2434"/>
      <c r="AD205" s="2434" t="s">
        <v>251</v>
      </c>
      <c r="AE205" s="2437"/>
      <c r="AF205" s="4521"/>
    </row>
    <row r="206" spans="1:32" ht="18" customHeight="1">
      <c r="A206" s="4564"/>
      <c r="B206" s="4570"/>
      <c r="C206" s="4590"/>
      <c r="D206" s="4578"/>
      <c r="E206" s="4578"/>
      <c r="F206" s="4578"/>
      <c r="G206" s="4593"/>
      <c r="H206" s="4578"/>
      <c r="I206" s="4578"/>
      <c r="J206" s="4578"/>
      <c r="K206" s="4578"/>
      <c r="L206" s="4578"/>
      <c r="M206" s="4581"/>
      <c r="N206" s="4581"/>
      <c r="O206" s="4581"/>
      <c r="P206" s="4584"/>
      <c r="Q206" s="4578"/>
      <c r="R206" s="4587"/>
      <c r="S206" s="2567"/>
      <c r="T206" s="1848"/>
      <c r="U206" s="1848" t="s">
        <v>613</v>
      </c>
      <c r="V206" s="2432" t="s">
        <v>4036</v>
      </c>
      <c r="W206" s="2433">
        <v>4</v>
      </c>
      <c r="X206" s="2449" t="s">
        <v>269</v>
      </c>
      <c r="Y206" s="2435">
        <v>52.73</v>
      </c>
      <c r="Z206" s="2435">
        <f t="shared" si="31"/>
        <v>210.92</v>
      </c>
      <c r="AA206" s="2435">
        <f t="shared" si="32"/>
        <v>236.2304</v>
      </c>
      <c r="AB206" s="2436"/>
      <c r="AC206" s="2434"/>
      <c r="AD206" s="2434" t="s">
        <v>251</v>
      </c>
      <c r="AE206" s="2437"/>
      <c r="AF206" s="4521"/>
    </row>
    <row r="207" spans="1:32" ht="18" customHeight="1">
      <c r="A207" s="4564"/>
      <c r="B207" s="4570"/>
      <c r="C207" s="4590"/>
      <c r="D207" s="4578"/>
      <c r="E207" s="4578"/>
      <c r="F207" s="4578"/>
      <c r="G207" s="4593"/>
      <c r="H207" s="4578"/>
      <c r="I207" s="4578"/>
      <c r="J207" s="4578"/>
      <c r="K207" s="4578"/>
      <c r="L207" s="4578"/>
      <c r="M207" s="4581"/>
      <c r="N207" s="4581"/>
      <c r="O207" s="4581"/>
      <c r="P207" s="4584"/>
      <c r="Q207" s="4578"/>
      <c r="R207" s="4587"/>
      <c r="S207" s="2567"/>
      <c r="T207" s="1848"/>
      <c r="U207" s="1848" t="s">
        <v>613</v>
      </c>
      <c r="V207" s="2432" t="s">
        <v>4035</v>
      </c>
      <c r="W207" s="2433">
        <v>5</v>
      </c>
      <c r="X207" s="2449" t="s">
        <v>269</v>
      </c>
      <c r="Y207" s="2435">
        <v>29.24</v>
      </c>
      <c r="Z207" s="2435">
        <f t="shared" si="31"/>
        <v>146.19999999999999</v>
      </c>
      <c r="AA207" s="2435">
        <f t="shared" si="32"/>
        <v>163.744</v>
      </c>
      <c r="AB207" s="2436"/>
      <c r="AC207" s="2434"/>
      <c r="AD207" s="2434" t="s">
        <v>251</v>
      </c>
      <c r="AE207" s="2437"/>
      <c r="AF207" s="4521"/>
    </row>
    <row r="208" spans="1:32" ht="18" customHeight="1">
      <c r="A208" s="4564"/>
      <c r="B208" s="4570"/>
      <c r="C208" s="4590"/>
      <c r="D208" s="4578"/>
      <c r="E208" s="4578"/>
      <c r="F208" s="4578"/>
      <c r="G208" s="4593"/>
      <c r="H208" s="4578"/>
      <c r="I208" s="4578"/>
      <c r="J208" s="4578"/>
      <c r="K208" s="4578"/>
      <c r="L208" s="4578"/>
      <c r="M208" s="4581"/>
      <c r="N208" s="4581"/>
      <c r="O208" s="4581"/>
      <c r="P208" s="4584"/>
      <c r="Q208" s="4578"/>
      <c r="R208" s="4587"/>
      <c r="S208" s="2567"/>
      <c r="T208" s="1848"/>
      <c r="U208" s="1848" t="s">
        <v>613</v>
      </c>
      <c r="V208" s="2432" t="s">
        <v>4034</v>
      </c>
      <c r="W208" s="2433">
        <v>1</v>
      </c>
      <c r="X208" s="2449" t="s">
        <v>269</v>
      </c>
      <c r="Y208" s="2435">
        <v>97.94</v>
      </c>
      <c r="Z208" s="2435">
        <f t="shared" si="31"/>
        <v>97.94</v>
      </c>
      <c r="AA208" s="2435">
        <f t="shared" si="32"/>
        <v>109.69280000000001</v>
      </c>
      <c r="AB208" s="2436"/>
      <c r="AC208" s="2434"/>
      <c r="AD208" s="2434" t="s">
        <v>251</v>
      </c>
      <c r="AE208" s="2437"/>
      <c r="AF208" s="4521"/>
    </row>
    <row r="209" spans="1:32" ht="24" customHeight="1">
      <c r="A209" s="4564"/>
      <c r="B209" s="4570"/>
      <c r="C209" s="4590"/>
      <c r="D209" s="4578"/>
      <c r="E209" s="4578"/>
      <c r="F209" s="4578"/>
      <c r="G209" s="4593"/>
      <c r="H209" s="4578"/>
      <c r="I209" s="4578"/>
      <c r="J209" s="4578"/>
      <c r="K209" s="4578"/>
      <c r="L209" s="4578"/>
      <c r="M209" s="4581"/>
      <c r="N209" s="4581"/>
      <c r="O209" s="4581"/>
      <c r="P209" s="4584"/>
      <c r="Q209" s="4578"/>
      <c r="R209" s="4587"/>
      <c r="S209" s="2567"/>
      <c r="T209" s="1848"/>
      <c r="U209" s="1848" t="s">
        <v>613</v>
      </c>
      <c r="V209" s="2432" t="s">
        <v>4033</v>
      </c>
      <c r="W209" s="2433">
        <v>4</v>
      </c>
      <c r="X209" s="2449" t="s">
        <v>269</v>
      </c>
      <c r="Y209" s="2435">
        <v>17.03</v>
      </c>
      <c r="Z209" s="2435">
        <f t="shared" si="31"/>
        <v>68.12</v>
      </c>
      <c r="AA209" s="2435">
        <f t="shared" si="32"/>
        <v>76.29440000000001</v>
      </c>
      <c r="AB209" s="2436"/>
      <c r="AC209" s="2434"/>
      <c r="AD209" s="2434" t="s">
        <v>251</v>
      </c>
      <c r="AE209" s="2437"/>
      <c r="AF209" s="4521"/>
    </row>
    <row r="210" spans="1:32" ht="18" customHeight="1">
      <c r="A210" s="4564"/>
      <c r="B210" s="4570"/>
      <c r="C210" s="4590"/>
      <c r="D210" s="4578"/>
      <c r="E210" s="4578"/>
      <c r="F210" s="4578"/>
      <c r="G210" s="4593"/>
      <c r="H210" s="4578"/>
      <c r="I210" s="4578"/>
      <c r="J210" s="4578"/>
      <c r="K210" s="4578"/>
      <c r="L210" s="4578"/>
      <c r="M210" s="4581"/>
      <c r="N210" s="4581"/>
      <c r="O210" s="4581"/>
      <c r="P210" s="4584"/>
      <c r="Q210" s="4578"/>
      <c r="R210" s="4587"/>
      <c r="S210" s="2567"/>
      <c r="T210" s="1848"/>
      <c r="U210" s="1848" t="s">
        <v>613</v>
      </c>
      <c r="V210" s="2432" t="s">
        <v>614</v>
      </c>
      <c r="W210" s="2433">
        <v>4</v>
      </c>
      <c r="X210" s="2449" t="s">
        <v>269</v>
      </c>
      <c r="Y210" s="2435">
        <v>21.81</v>
      </c>
      <c r="Z210" s="2435">
        <f t="shared" si="31"/>
        <v>87.24</v>
      </c>
      <c r="AA210" s="2435">
        <f t="shared" si="32"/>
        <v>97.708799999999997</v>
      </c>
      <c r="AB210" s="2436"/>
      <c r="AC210" s="2434"/>
      <c r="AD210" s="2434" t="s">
        <v>251</v>
      </c>
      <c r="AE210" s="2437"/>
      <c r="AF210" s="4521"/>
    </row>
    <row r="211" spans="1:32" ht="18" customHeight="1">
      <c r="A211" s="4564"/>
      <c r="B211" s="4570"/>
      <c r="C211" s="4590"/>
      <c r="D211" s="4578"/>
      <c r="E211" s="4578"/>
      <c r="F211" s="4578"/>
      <c r="G211" s="4593"/>
      <c r="H211" s="4578"/>
      <c r="I211" s="4578"/>
      <c r="J211" s="4578"/>
      <c r="K211" s="4578"/>
      <c r="L211" s="4578"/>
      <c r="M211" s="4581"/>
      <c r="N211" s="4581"/>
      <c r="O211" s="4581"/>
      <c r="P211" s="4584"/>
      <c r="Q211" s="4578"/>
      <c r="R211" s="4587"/>
      <c r="S211" s="2567"/>
      <c r="T211" s="1848"/>
      <c r="U211" s="1848" t="s">
        <v>612</v>
      </c>
      <c r="V211" s="2432" t="s">
        <v>615</v>
      </c>
      <c r="W211" s="2433">
        <v>10</v>
      </c>
      <c r="X211" s="2449" t="s">
        <v>269</v>
      </c>
      <c r="Y211" s="2435">
        <v>40</v>
      </c>
      <c r="Z211" s="2435">
        <f t="shared" si="31"/>
        <v>400</v>
      </c>
      <c r="AA211" s="2435">
        <f t="shared" si="32"/>
        <v>448.00000000000006</v>
      </c>
      <c r="AB211" s="2436"/>
      <c r="AC211" s="2434"/>
      <c r="AD211" s="2434" t="s">
        <v>251</v>
      </c>
      <c r="AE211" s="2437"/>
      <c r="AF211" s="4521"/>
    </row>
    <row r="212" spans="1:32" ht="18" customHeight="1">
      <c r="A212" s="4564"/>
      <c r="B212" s="4570"/>
      <c r="C212" s="4590"/>
      <c r="D212" s="4578"/>
      <c r="E212" s="4578"/>
      <c r="F212" s="4578"/>
      <c r="G212" s="4593"/>
      <c r="H212" s="4578"/>
      <c r="I212" s="4578"/>
      <c r="J212" s="4578"/>
      <c r="K212" s="4578"/>
      <c r="L212" s="4578"/>
      <c r="M212" s="4581"/>
      <c r="N212" s="4581"/>
      <c r="O212" s="4581"/>
      <c r="P212" s="4584"/>
      <c r="Q212" s="4578"/>
      <c r="R212" s="4587"/>
      <c r="S212" s="2567"/>
      <c r="T212" s="1848"/>
      <c r="U212" s="1848" t="s">
        <v>616</v>
      </c>
      <c r="V212" s="2432" t="s">
        <v>4032</v>
      </c>
      <c r="W212" s="2433">
        <v>2</v>
      </c>
      <c r="X212" s="2449" t="s">
        <v>269</v>
      </c>
      <c r="Y212" s="2435">
        <v>100</v>
      </c>
      <c r="Z212" s="2435">
        <f t="shared" si="31"/>
        <v>200</v>
      </c>
      <c r="AA212" s="2435">
        <f t="shared" si="32"/>
        <v>224.00000000000003</v>
      </c>
      <c r="AB212" s="2436"/>
      <c r="AC212" s="2434"/>
      <c r="AD212" s="2434" t="s">
        <v>251</v>
      </c>
      <c r="AE212" s="2437"/>
      <c r="AF212" s="4521"/>
    </row>
    <row r="213" spans="1:32" ht="33.75" customHeight="1">
      <c r="A213" s="4564"/>
      <c r="B213" s="4570"/>
      <c r="C213" s="4590"/>
      <c r="D213" s="4578"/>
      <c r="E213" s="4578"/>
      <c r="F213" s="4578"/>
      <c r="G213" s="4593"/>
      <c r="H213" s="4578"/>
      <c r="I213" s="4578"/>
      <c r="J213" s="4578"/>
      <c r="K213" s="4578"/>
      <c r="L213" s="4578"/>
      <c r="M213" s="4581"/>
      <c r="N213" s="4581"/>
      <c r="O213" s="4581"/>
      <c r="P213" s="4584"/>
      <c r="Q213" s="4578"/>
      <c r="R213" s="4587"/>
      <c r="S213" s="2570" t="s">
        <v>29</v>
      </c>
      <c r="T213" s="1850">
        <v>840103</v>
      </c>
      <c r="U213" s="1848"/>
      <c r="V213" s="2441" t="s">
        <v>22</v>
      </c>
      <c r="W213" s="2433"/>
      <c r="X213" s="2434"/>
      <c r="Y213" s="2435"/>
      <c r="Z213" s="2435"/>
      <c r="AA213" s="2435"/>
      <c r="AB213" s="2436">
        <f>SUM($AA$214:$AA$214)</f>
        <v>8359.5344000000005</v>
      </c>
      <c r="AC213" s="2434"/>
      <c r="AD213" s="2437"/>
      <c r="AE213" s="2437"/>
      <c r="AF213" s="4521"/>
    </row>
    <row r="214" spans="1:32" ht="18" customHeight="1">
      <c r="A214" s="4564"/>
      <c r="B214" s="4570"/>
      <c r="C214" s="4590"/>
      <c r="D214" s="4578"/>
      <c r="E214" s="4578"/>
      <c r="F214" s="4578"/>
      <c r="G214" s="4593"/>
      <c r="H214" s="4578"/>
      <c r="I214" s="4578"/>
      <c r="J214" s="4578"/>
      <c r="K214" s="4578"/>
      <c r="L214" s="4578"/>
      <c r="M214" s="4581"/>
      <c r="N214" s="4581"/>
      <c r="O214" s="4581"/>
      <c r="P214" s="4584"/>
      <c r="Q214" s="4578"/>
      <c r="R214" s="4587"/>
      <c r="S214" s="2574"/>
      <c r="T214" s="1848"/>
      <c r="U214" s="1848" t="s">
        <v>617</v>
      </c>
      <c r="V214" s="2432" t="s">
        <v>618</v>
      </c>
      <c r="W214" s="2433">
        <v>1</v>
      </c>
      <c r="X214" s="2449" t="s">
        <v>269</v>
      </c>
      <c r="Y214" s="2435">
        <f>7350+113.87</f>
        <v>7463.87</v>
      </c>
      <c r="Z214" s="2435">
        <f t="shared" ref="Z214" si="33">+W214*Y214</f>
        <v>7463.87</v>
      </c>
      <c r="AA214" s="2435">
        <f t="shared" ref="AA214" si="34">+Z214*1.12</f>
        <v>8359.5344000000005</v>
      </c>
      <c r="AB214" s="2436"/>
      <c r="AC214" s="2434"/>
      <c r="AD214" s="2434" t="s">
        <v>251</v>
      </c>
      <c r="AE214" s="2437"/>
      <c r="AF214" s="4521"/>
    </row>
    <row r="215" spans="1:32" ht="33.75" customHeight="1">
      <c r="A215" s="4564"/>
      <c r="B215" s="4570"/>
      <c r="C215" s="4590"/>
      <c r="D215" s="4578"/>
      <c r="E215" s="4578"/>
      <c r="F215" s="4578"/>
      <c r="G215" s="4593"/>
      <c r="H215" s="4578"/>
      <c r="I215" s="4578"/>
      <c r="J215" s="4578"/>
      <c r="K215" s="4578"/>
      <c r="L215" s="4578"/>
      <c r="M215" s="4581"/>
      <c r="N215" s="4581"/>
      <c r="O215" s="4581"/>
      <c r="P215" s="4584"/>
      <c r="Q215" s="4578"/>
      <c r="R215" s="4587"/>
      <c r="S215" s="2570" t="s">
        <v>29</v>
      </c>
      <c r="T215" s="1850">
        <v>840104</v>
      </c>
      <c r="U215" s="1848"/>
      <c r="V215" s="2441" t="s">
        <v>24</v>
      </c>
      <c r="W215" s="2433"/>
      <c r="X215" s="2434"/>
      <c r="Y215" s="2435"/>
      <c r="Z215" s="2435"/>
      <c r="AA215" s="2435"/>
      <c r="AB215" s="2436">
        <f>SUM($AA$216:$AA$217)</f>
        <v>1747.2000000000003</v>
      </c>
      <c r="AC215" s="2434"/>
      <c r="AD215" s="2437"/>
      <c r="AE215" s="2437"/>
      <c r="AF215" s="4521"/>
    </row>
    <row r="216" spans="1:32" ht="18" customHeight="1">
      <c r="A216" s="4564"/>
      <c r="B216" s="4570"/>
      <c r="C216" s="4590"/>
      <c r="D216" s="4578"/>
      <c r="E216" s="4578"/>
      <c r="F216" s="4578"/>
      <c r="G216" s="4593"/>
      <c r="H216" s="4578"/>
      <c r="I216" s="4578"/>
      <c r="J216" s="4578"/>
      <c r="K216" s="4578"/>
      <c r="L216" s="4578"/>
      <c r="M216" s="4581"/>
      <c r="N216" s="4581"/>
      <c r="O216" s="4581"/>
      <c r="P216" s="4584"/>
      <c r="Q216" s="4578"/>
      <c r="R216" s="4587"/>
      <c r="S216" s="2574"/>
      <c r="T216" s="1848"/>
      <c r="U216" s="1848" t="s">
        <v>619</v>
      </c>
      <c r="V216" s="2432" t="s">
        <v>620</v>
      </c>
      <c r="W216" s="2433">
        <v>1</v>
      </c>
      <c r="X216" s="2449" t="s">
        <v>269</v>
      </c>
      <c r="Y216" s="2435">
        <v>1300</v>
      </c>
      <c r="Z216" s="2435">
        <f t="shared" ref="Z216:Z217" si="35">+W216*Y216</f>
        <v>1300</v>
      </c>
      <c r="AA216" s="2435">
        <f t="shared" ref="AA216:AA217" si="36">+Z216*1.12</f>
        <v>1456.0000000000002</v>
      </c>
      <c r="AB216" s="2436"/>
      <c r="AC216" s="2434"/>
      <c r="AD216" s="2434" t="s">
        <v>251</v>
      </c>
      <c r="AE216" s="2437"/>
      <c r="AF216" s="4521"/>
    </row>
    <row r="217" spans="1:32" ht="18" customHeight="1" thickBot="1">
      <c r="A217" s="4564"/>
      <c r="B217" s="4570"/>
      <c r="C217" s="4591"/>
      <c r="D217" s="4579"/>
      <c r="E217" s="4579"/>
      <c r="F217" s="4579"/>
      <c r="G217" s="4594"/>
      <c r="H217" s="4579"/>
      <c r="I217" s="4579"/>
      <c r="J217" s="4579"/>
      <c r="K217" s="4579"/>
      <c r="L217" s="4579"/>
      <c r="M217" s="4582"/>
      <c r="N217" s="4582"/>
      <c r="O217" s="4582"/>
      <c r="P217" s="4585"/>
      <c r="Q217" s="4579"/>
      <c r="R217" s="4588"/>
      <c r="S217" s="2583"/>
      <c r="T217" s="2451"/>
      <c r="U217" s="2451" t="s">
        <v>612</v>
      </c>
      <c r="V217" s="2452" t="s">
        <v>621</v>
      </c>
      <c r="W217" s="2453">
        <v>1</v>
      </c>
      <c r="X217" s="2547" t="s">
        <v>269</v>
      </c>
      <c r="Y217" s="2455">
        <v>260</v>
      </c>
      <c r="Z217" s="2455">
        <f t="shared" si="35"/>
        <v>260</v>
      </c>
      <c r="AA217" s="2455">
        <f t="shared" si="36"/>
        <v>291.20000000000005</v>
      </c>
      <c r="AB217" s="2456"/>
      <c r="AC217" s="2454"/>
      <c r="AD217" s="2454" t="s">
        <v>251</v>
      </c>
      <c r="AE217" s="2457"/>
      <c r="AF217" s="4536"/>
    </row>
    <row r="218" spans="1:32" ht="22.5" customHeight="1" thickBot="1">
      <c r="A218" s="4564"/>
      <c r="B218" s="4479"/>
      <c r="C218" s="4569"/>
      <c r="D218" s="4540"/>
      <c r="E218" s="4540"/>
      <c r="F218" s="4540"/>
      <c r="G218" s="4540"/>
      <c r="H218" s="4540"/>
      <c r="I218" s="4540"/>
      <c r="J218" s="4540"/>
      <c r="K218" s="4540"/>
      <c r="L218" s="4540"/>
      <c r="M218" s="4540"/>
      <c r="N218" s="4540"/>
      <c r="O218" s="4540"/>
      <c r="P218" s="4540"/>
      <c r="Q218" s="4540"/>
      <c r="R218" s="4540"/>
      <c r="S218" s="4561" t="s">
        <v>622</v>
      </c>
      <c r="T218" s="4562"/>
      <c r="U218" s="4562"/>
      <c r="V218" s="4562"/>
      <c r="W218" s="4562"/>
      <c r="X218" s="4562"/>
      <c r="Y218" s="4562"/>
      <c r="Z218" s="4562"/>
      <c r="AA218" s="2232" t="s">
        <v>340</v>
      </c>
      <c r="AB218" s="2233">
        <f>SUM(AB151:AB217)</f>
        <v>83325.07680000001</v>
      </c>
      <c r="AC218" s="4558"/>
      <c r="AD218" s="4540"/>
      <c r="AE218" s="4540"/>
      <c r="AF218" s="4541"/>
    </row>
    <row r="219" spans="1:32" ht="22.5" customHeight="1" thickBot="1">
      <c r="A219" s="4362"/>
      <c r="B219" s="1974"/>
      <c r="C219" s="1961"/>
      <c r="D219" s="1961"/>
      <c r="E219" s="1961"/>
      <c r="F219" s="1961"/>
      <c r="G219" s="1961"/>
      <c r="H219" s="1961"/>
      <c r="I219" s="1961"/>
      <c r="J219" s="1961"/>
      <c r="K219" s="1961"/>
      <c r="L219" s="1961"/>
      <c r="M219" s="1961"/>
      <c r="N219" s="1961"/>
      <c r="O219" s="1961"/>
      <c r="P219" s="1961"/>
      <c r="Q219" s="1961"/>
      <c r="R219" s="1975"/>
      <c r="S219" s="4432" t="s">
        <v>623</v>
      </c>
      <c r="T219" s="4559"/>
      <c r="U219" s="4559"/>
      <c r="V219" s="4559"/>
      <c r="W219" s="4559"/>
      <c r="X219" s="4559"/>
      <c r="Y219" s="4559"/>
      <c r="Z219" s="4559"/>
      <c r="AA219" s="2175" t="s">
        <v>340</v>
      </c>
      <c r="AB219" s="1989">
        <f>SUM(AB104,AB150,AB218)</f>
        <v>533241.85120000003</v>
      </c>
      <c r="AC219" s="4505"/>
      <c r="AD219" s="4506"/>
      <c r="AE219" s="4506"/>
      <c r="AF219" s="4507"/>
    </row>
    <row r="220" spans="1:32" ht="17.25" thickTop="1">
      <c r="A220" s="100"/>
      <c r="B220" s="12"/>
      <c r="C220" s="12" t="s">
        <v>442</v>
      </c>
      <c r="D220" s="297" t="s">
        <v>624</v>
      </c>
      <c r="E220" s="221"/>
      <c r="F220" s="221"/>
      <c r="G220" s="221"/>
      <c r="H220" s="221"/>
      <c r="I220" s="221"/>
      <c r="J220" s="221"/>
      <c r="K220" s="221"/>
      <c r="L220" s="221"/>
      <c r="M220" s="221"/>
      <c r="N220" s="221"/>
      <c r="O220" s="221"/>
      <c r="P220" s="221"/>
      <c r="Q220" s="221"/>
      <c r="R220" s="221"/>
      <c r="S220" s="4388" t="s">
        <v>625</v>
      </c>
      <c r="T220" s="4150"/>
      <c r="U220" s="4150"/>
      <c r="V220" s="4150"/>
      <c r="W220" s="4150"/>
      <c r="X220" s="4150"/>
      <c r="Y220" s="4150"/>
      <c r="Z220" s="4150"/>
      <c r="AA220" s="4150"/>
      <c r="AB220" s="4150"/>
      <c r="AC220" s="4150"/>
      <c r="AD220" s="4150"/>
      <c r="AE220" s="4150"/>
      <c r="AF220" s="4150"/>
    </row>
    <row r="221" spans="1:32" ht="16.5" customHeight="1">
      <c r="A221" s="100"/>
      <c r="B221" s="12"/>
      <c r="C221" s="12" t="s">
        <v>444</v>
      </c>
      <c r="D221" s="2179">
        <v>44818</v>
      </c>
      <c r="E221" s="221"/>
      <c r="F221" s="221"/>
      <c r="G221" s="221"/>
      <c r="H221" s="221"/>
      <c r="I221" s="221"/>
      <c r="J221" s="221"/>
      <c r="K221" s="221"/>
      <c r="L221" s="221"/>
      <c r="M221" s="221"/>
      <c r="N221" s="221"/>
      <c r="O221" s="221"/>
      <c r="P221" s="221"/>
      <c r="Q221" s="221"/>
      <c r="R221" s="221"/>
      <c r="S221" s="298"/>
      <c r="T221" s="298"/>
      <c r="U221" s="298"/>
      <c r="V221" s="1884"/>
      <c r="W221" s="1884"/>
      <c r="X221" s="1884"/>
      <c r="Y221" s="1884"/>
      <c r="Z221" s="1884"/>
      <c r="AA221" s="1884"/>
      <c r="AB221" s="4389"/>
      <c r="AC221" s="4150"/>
      <c r="AD221" s="298"/>
      <c r="AE221" s="298"/>
      <c r="AF221" s="298"/>
    </row>
    <row r="222" spans="1:32" ht="18.75">
      <c r="A222" s="100"/>
      <c r="B222" s="221"/>
      <c r="C222" s="221"/>
      <c r="D222" s="221"/>
      <c r="E222" s="221"/>
      <c r="F222" s="221"/>
      <c r="G222" s="221"/>
      <c r="H222" s="221"/>
      <c r="I222" s="221"/>
      <c r="J222" s="221"/>
      <c r="K222" s="221"/>
      <c r="L222" s="221"/>
      <c r="M222" s="221"/>
      <c r="N222" s="221"/>
      <c r="O222" s="221"/>
      <c r="P222" s="221"/>
      <c r="Q222" s="221"/>
      <c r="R222" s="221"/>
      <c r="S222" s="298"/>
      <c r="U222" s="4222" t="s">
        <v>343</v>
      </c>
      <c r="V222" s="4223"/>
      <c r="W222" s="4223"/>
      <c r="X222" s="4223"/>
      <c r="Y222" s="4223"/>
      <c r="Z222" s="4223"/>
      <c r="AA222" s="225"/>
      <c r="AB222" s="225"/>
      <c r="AC222" s="298"/>
      <c r="AD222" s="298"/>
      <c r="AE222" s="298"/>
    </row>
    <row r="223" spans="1:32" ht="16.5" customHeight="1" thickBot="1">
      <c r="A223" s="100"/>
      <c r="B223" s="221"/>
      <c r="C223" s="221"/>
      <c r="D223" s="221"/>
      <c r="E223" s="221"/>
      <c r="F223" s="221"/>
      <c r="G223" s="221"/>
      <c r="H223" s="221"/>
      <c r="I223" s="221"/>
      <c r="J223" s="221"/>
      <c r="K223" s="221"/>
      <c r="L223" s="221"/>
      <c r="M223" s="221"/>
      <c r="N223" s="221"/>
      <c r="O223" s="221"/>
      <c r="P223" s="221"/>
      <c r="Q223" s="221"/>
      <c r="R223" s="221"/>
      <c r="S223" s="226"/>
      <c r="T223" s="131"/>
      <c r="U223" s="2247"/>
      <c r="V223" s="2247"/>
      <c r="W223" s="2247"/>
      <c r="X223" s="2247"/>
      <c r="Y223" s="2247"/>
      <c r="Z223" s="2247"/>
      <c r="AA223" s="227"/>
      <c r="AB223" s="227"/>
      <c r="AC223" s="298"/>
      <c r="AD223" s="298"/>
      <c r="AE223" s="298"/>
    </row>
    <row r="224" spans="1:32" ht="17.25" thickTop="1">
      <c r="A224" s="100"/>
      <c r="B224" s="221"/>
      <c r="C224" s="221"/>
      <c r="D224" s="221"/>
      <c r="E224" s="221"/>
      <c r="F224" s="221"/>
      <c r="G224" s="221"/>
      <c r="H224" s="221"/>
      <c r="I224" s="221"/>
      <c r="J224" s="221"/>
      <c r="K224" s="221"/>
      <c r="L224" s="221"/>
      <c r="M224" s="221"/>
      <c r="N224" s="221"/>
      <c r="O224" s="221"/>
      <c r="U224" s="2238" t="s">
        <v>4</v>
      </c>
      <c r="V224" s="2239" t="s">
        <v>344</v>
      </c>
      <c r="W224" s="2240" t="s">
        <v>6</v>
      </c>
      <c r="X224" s="2241" t="s">
        <v>345</v>
      </c>
      <c r="Y224" s="2241" t="s">
        <v>8</v>
      </c>
      <c r="Z224" s="2242" t="s">
        <v>346</v>
      </c>
      <c r="AA224" s="228"/>
      <c r="AB224" s="229"/>
      <c r="AC224" s="298"/>
      <c r="AD224" s="298"/>
      <c r="AE224" s="298"/>
    </row>
    <row r="225" spans="1:31" ht="16.5">
      <c r="A225" s="100"/>
      <c r="B225" s="221"/>
      <c r="C225" s="221"/>
      <c r="D225" s="221"/>
      <c r="E225" s="221"/>
      <c r="F225" s="221"/>
      <c r="G225" s="221"/>
      <c r="H225" s="221"/>
      <c r="I225" s="221"/>
      <c r="J225" s="221"/>
      <c r="K225" s="221"/>
      <c r="L225" s="221"/>
      <c r="M225" s="221"/>
      <c r="N225" s="221"/>
      <c r="O225" s="221"/>
      <c r="U225" s="2252" t="s">
        <v>11</v>
      </c>
      <c r="V225" s="2253" t="s">
        <v>43</v>
      </c>
      <c r="W225" s="139">
        <v>530105</v>
      </c>
      <c r="X225" s="137" t="s">
        <v>13</v>
      </c>
      <c r="Y225" s="1568" t="s">
        <v>14</v>
      </c>
      <c r="Z225" s="299">
        <f>SUM($AA$62:$AA$62)</f>
        <v>28000.000000000004</v>
      </c>
      <c r="AA225" s="228"/>
      <c r="AB225" s="229"/>
      <c r="AC225" s="298"/>
      <c r="AD225" s="298"/>
      <c r="AE225" s="298"/>
    </row>
    <row r="226" spans="1:31" ht="33">
      <c r="A226" s="100"/>
      <c r="B226" s="221"/>
      <c r="C226" s="221"/>
      <c r="D226" s="221"/>
      <c r="E226" s="221"/>
      <c r="F226" s="221"/>
      <c r="G226" s="221"/>
      <c r="H226" s="221"/>
      <c r="I226" s="221"/>
      <c r="J226" s="221"/>
      <c r="K226" s="221"/>
      <c r="L226" s="221"/>
      <c r="M226" s="221"/>
      <c r="N226" s="221"/>
      <c r="O226" s="221"/>
      <c r="U226" s="2252" t="s">
        <v>11</v>
      </c>
      <c r="V226" s="2253" t="s">
        <v>32</v>
      </c>
      <c r="W226" s="300">
        <v>530404</v>
      </c>
      <c r="X226" s="137" t="s">
        <v>13</v>
      </c>
      <c r="Y226" s="1568" t="s">
        <v>14</v>
      </c>
      <c r="Z226" s="299">
        <f>SUM($AA$37:$AA$38)</f>
        <v>1982.4</v>
      </c>
      <c r="AA226" s="228"/>
      <c r="AB226" s="229"/>
      <c r="AC226" s="298"/>
      <c r="AD226" s="298"/>
      <c r="AE226" s="298"/>
    </row>
    <row r="227" spans="1:31" ht="33">
      <c r="A227" s="100"/>
      <c r="B227" s="221"/>
      <c r="C227" s="221"/>
      <c r="D227" s="221"/>
      <c r="E227" s="221"/>
      <c r="F227" s="221"/>
      <c r="G227" s="221"/>
      <c r="H227" s="221"/>
      <c r="I227" s="221"/>
      <c r="J227" s="221"/>
      <c r="K227" s="221"/>
      <c r="L227" s="221"/>
      <c r="M227" s="221"/>
      <c r="N227" s="221"/>
      <c r="O227" s="221"/>
      <c r="U227" s="2252" t="s">
        <v>11</v>
      </c>
      <c r="V227" s="2253" t="s">
        <v>44</v>
      </c>
      <c r="W227" s="300">
        <v>530807</v>
      </c>
      <c r="X227" s="137" t="s">
        <v>13</v>
      </c>
      <c r="Y227" s="1568" t="s">
        <v>14</v>
      </c>
      <c r="Z227" s="299">
        <f>SUM($AA$15:$AA$15)</f>
        <v>26320.000000000004</v>
      </c>
      <c r="AA227" s="228"/>
      <c r="AB227" s="229"/>
      <c r="AC227" s="298"/>
      <c r="AD227" s="298"/>
      <c r="AE227" s="298"/>
    </row>
    <row r="228" spans="1:31" ht="33">
      <c r="A228" s="100"/>
      <c r="B228" s="221"/>
      <c r="C228" s="221"/>
      <c r="D228" s="221"/>
      <c r="E228" s="221"/>
      <c r="F228" s="221"/>
      <c r="G228" s="221"/>
      <c r="H228" s="221"/>
      <c r="I228" s="221"/>
      <c r="J228" s="221"/>
      <c r="K228" s="221"/>
      <c r="L228" s="221"/>
      <c r="M228" s="221"/>
      <c r="N228" s="221"/>
      <c r="O228" s="221"/>
      <c r="U228" s="2252" t="s">
        <v>11</v>
      </c>
      <c r="V228" s="2253" t="s">
        <v>44</v>
      </c>
      <c r="W228" s="139">
        <v>530807</v>
      </c>
      <c r="X228" s="137" t="s">
        <v>13</v>
      </c>
      <c r="Y228" s="1568" t="s">
        <v>14</v>
      </c>
      <c r="Z228" s="299">
        <f>SUM($AA$141:$AA$144)</f>
        <v>425.6</v>
      </c>
      <c r="AA228" s="228"/>
      <c r="AB228" s="229"/>
      <c r="AC228" s="298"/>
      <c r="AD228" s="298"/>
      <c r="AE228" s="298"/>
    </row>
    <row r="229" spans="1:31" ht="33">
      <c r="A229" s="100"/>
      <c r="B229" s="221"/>
      <c r="C229" s="221"/>
      <c r="D229" s="221"/>
      <c r="E229" s="221"/>
      <c r="F229" s="221"/>
      <c r="G229" s="221"/>
      <c r="H229" s="221"/>
      <c r="I229" s="221"/>
      <c r="J229" s="221"/>
      <c r="K229" s="221"/>
      <c r="L229" s="221"/>
      <c r="M229" s="221"/>
      <c r="N229" s="221"/>
      <c r="O229" s="221"/>
      <c r="U229" s="2252" t="s">
        <v>11</v>
      </c>
      <c r="V229" s="2253" t="s">
        <v>44</v>
      </c>
      <c r="W229" s="139">
        <v>530807</v>
      </c>
      <c r="X229" s="137" t="s">
        <v>13</v>
      </c>
      <c r="Y229" s="1568" t="s">
        <v>14</v>
      </c>
      <c r="Z229" s="299">
        <f>SUM($AA$162:$AA$165)</f>
        <v>127.68</v>
      </c>
      <c r="AA229" s="228"/>
      <c r="AB229" s="229"/>
      <c r="AC229" s="298"/>
      <c r="AD229" s="298"/>
      <c r="AE229" s="298"/>
    </row>
    <row r="230" spans="1:31" ht="16.5">
      <c r="A230" s="100"/>
      <c r="B230" s="221"/>
      <c r="C230" s="221"/>
      <c r="D230" s="221"/>
      <c r="E230" s="221"/>
      <c r="F230" s="221"/>
      <c r="G230" s="221"/>
      <c r="H230" s="221"/>
      <c r="I230" s="221"/>
      <c r="J230" s="221"/>
      <c r="K230" s="221"/>
      <c r="L230" s="221"/>
      <c r="M230" s="221"/>
      <c r="N230" s="221"/>
      <c r="O230" s="221"/>
      <c r="U230" s="2252" t="s">
        <v>11</v>
      </c>
      <c r="V230" s="2253" t="s">
        <v>45</v>
      </c>
      <c r="W230" s="136" t="s">
        <v>46</v>
      </c>
      <c r="X230" s="137" t="s">
        <v>13</v>
      </c>
      <c r="Y230" s="1568" t="s">
        <v>14</v>
      </c>
      <c r="Z230" s="299">
        <f>SUM($AA$205:$AA$212)</f>
        <v>1567.9440000000002</v>
      </c>
      <c r="AA230" s="228"/>
      <c r="AB230" s="229"/>
      <c r="AC230" s="298"/>
      <c r="AD230" s="298"/>
      <c r="AE230" s="298"/>
    </row>
    <row r="231" spans="1:31" ht="16.5">
      <c r="A231" s="100"/>
      <c r="B231" s="221"/>
      <c r="C231" s="221"/>
      <c r="D231" s="221"/>
      <c r="E231" s="221"/>
      <c r="F231" s="221"/>
      <c r="G231" s="221"/>
      <c r="H231" s="221"/>
      <c r="I231" s="221"/>
      <c r="J231" s="221"/>
      <c r="K231" s="221"/>
      <c r="L231" s="221"/>
      <c r="M231" s="221"/>
      <c r="N231" s="221"/>
      <c r="O231" s="221"/>
      <c r="U231" s="2252" t="s">
        <v>11</v>
      </c>
      <c r="V231" s="2253" t="s">
        <v>24</v>
      </c>
      <c r="W231" s="139">
        <v>531404</v>
      </c>
      <c r="X231" s="137" t="s">
        <v>13</v>
      </c>
      <c r="Y231" s="1568" t="s">
        <v>14</v>
      </c>
      <c r="Z231" s="299">
        <f>SUM($AA$182:$AA$187)</f>
        <v>34363.672000000006</v>
      </c>
      <c r="AA231" s="228"/>
      <c r="AB231" s="229"/>
      <c r="AC231" s="298"/>
      <c r="AD231" s="298"/>
      <c r="AE231" s="298"/>
    </row>
    <row r="232" spans="1:31" ht="33">
      <c r="A232" s="100"/>
      <c r="B232" s="221"/>
      <c r="C232" s="221"/>
      <c r="D232" s="221"/>
      <c r="E232" s="221"/>
      <c r="F232" s="221"/>
      <c r="G232" s="221"/>
      <c r="H232" s="221"/>
      <c r="I232" s="221"/>
      <c r="J232" s="221"/>
      <c r="K232" s="221"/>
      <c r="L232" s="221"/>
      <c r="M232" s="221"/>
      <c r="N232" s="221"/>
      <c r="O232" s="221"/>
      <c r="U232" s="2254" t="s">
        <v>29</v>
      </c>
      <c r="V232" s="2253" t="s">
        <v>24</v>
      </c>
      <c r="W232" s="139">
        <v>531404</v>
      </c>
      <c r="X232" s="137" t="s">
        <v>13</v>
      </c>
      <c r="Y232" s="1568" t="s">
        <v>30</v>
      </c>
      <c r="Z232" s="299">
        <f>SUM($AA$189:$AA$203)</f>
        <v>37159.046400000007</v>
      </c>
      <c r="AA232" s="228"/>
      <c r="AB232" s="229"/>
      <c r="AC232" s="298"/>
      <c r="AD232" s="298"/>
      <c r="AE232" s="298"/>
    </row>
    <row r="233" spans="1:31" ht="33">
      <c r="A233" s="100"/>
      <c r="B233" s="221"/>
      <c r="C233" s="221"/>
      <c r="D233" s="221"/>
      <c r="E233" s="221"/>
      <c r="F233" s="221"/>
      <c r="G233" s="221"/>
      <c r="H233" s="221"/>
      <c r="I233" s="221"/>
      <c r="J233" s="221"/>
      <c r="K233" s="221"/>
      <c r="L233" s="221"/>
      <c r="M233" s="221"/>
      <c r="N233" s="221"/>
      <c r="O233" s="221"/>
      <c r="U233" s="2252" t="s">
        <v>11</v>
      </c>
      <c r="V233" s="2253" t="s">
        <v>47</v>
      </c>
      <c r="W233" s="139">
        <v>531408</v>
      </c>
      <c r="X233" s="137" t="s">
        <v>13</v>
      </c>
      <c r="Y233" s="1568" t="s">
        <v>14</v>
      </c>
      <c r="Z233" s="299">
        <f>SUM($AA$73:$AA$78)</f>
        <v>7078.4000000000005</v>
      </c>
      <c r="AA233" s="228"/>
      <c r="AB233" s="229"/>
      <c r="AC233" s="298"/>
      <c r="AD233" s="298"/>
      <c r="AE233" s="298"/>
    </row>
    <row r="234" spans="1:31" ht="16.5">
      <c r="A234" s="100"/>
      <c r="B234" s="221"/>
      <c r="C234" s="221"/>
      <c r="D234" s="221"/>
      <c r="E234" s="221"/>
      <c r="F234" s="221"/>
      <c r="G234" s="221"/>
      <c r="H234" s="221"/>
      <c r="I234" s="221"/>
      <c r="J234" s="221"/>
      <c r="K234" s="221"/>
      <c r="L234" s="221"/>
      <c r="M234" s="221"/>
      <c r="N234" s="221"/>
      <c r="O234" s="221"/>
      <c r="U234" s="2252" t="s">
        <v>39</v>
      </c>
      <c r="V234" s="2253" t="s">
        <v>48</v>
      </c>
      <c r="W234" s="139">
        <v>570201</v>
      </c>
      <c r="X234" s="137" t="s">
        <v>13</v>
      </c>
      <c r="Y234" s="1568" t="s">
        <v>18</v>
      </c>
      <c r="Z234" s="299">
        <f>SUM($AA$69:$AA$70)</f>
        <v>139000</v>
      </c>
      <c r="AA234" s="228"/>
      <c r="AB234" s="229"/>
      <c r="AC234" s="298"/>
      <c r="AD234" s="298"/>
      <c r="AE234" s="298"/>
    </row>
    <row r="235" spans="1:31" ht="16.5">
      <c r="A235" s="100"/>
      <c r="B235" s="221"/>
      <c r="C235" s="221"/>
      <c r="D235" s="221"/>
      <c r="E235" s="221"/>
      <c r="F235" s="221"/>
      <c r="G235" s="221"/>
      <c r="H235" s="221"/>
      <c r="I235" s="221"/>
      <c r="J235" s="221"/>
      <c r="K235" s="221"/>
      <c r="L235" s="221"/>
      <c r="M235" s="221"/>
      <c r="N235" s="221"/>
      <c r="O235" s="221"/>
      <c r="U235" s="2252" t="s">
        <v>39</v>
      </c>
      <c r="V235" s="2255" t="s">
        <v>49</v>
      </c>
      <c r="W235" s="301">
        <v>580208</v>
      </c>
      <c r="X235" s="137" t="s">
        <v>13</v>
      </c>
      <c r="Y235" s="1568" t="s">
        <v>18</v>
      </c>
      <c r="Z235" s="299">
        <f>SUM($AA$52:$AA$58)</f>
        <v>133400</v>
      </c>
      <c r="AA235" s="228"/>
      <c r="AB235" s="229"/>
      <c r="AC235" s="298"/>
      <c r="AD235" s="298"/>
      <c r="AE235" s="298"/>
    </row>
    <row r="236" spans="1:31" ht="33">
      <c r="A236" s="100"/>
      <c r="B236" s="221"/>
      <c r="C236" s="221"/>
      <c r="D236" s="221"/>
      <c r="E236" s="221"/>
      <c r="F236" s="221"/>
      <c r="G236" s="221"/>
      <c r="H236" s="221"/>
      <c r="I236" s="221"/>
      <c r="J236" s="221"/>
      <c r="K236" s="221"/>
      <c r="L236" s="221"/>
      <c r="M236" s="221"/>
      <c r="N236" s="221"/>
      <c r="O236" s="221"/>
      <c r="U236" s="2254" t="s">
        <v>29</v>
      </c>
      <c r="V236" s="2253" t="s">
        <v>22</v>
      </c>
      <c r="W236" s="300">
        <v>840103</v>
      </c>
      <c r="X236" s="137" t="s">
        <v>13</v>
      </c>
      <c r="Y236" s="1569" t="s">
        <v>14</v>
      </c>
      <c r="Z236" s="299">
        <f>SUM($AA$17:$AA$20)</f>
        <v>2811.2000000000003</v>
      </c>
      <c r="AA236" s="228"/>
      <c r="AB236" s="229"/>
      <c r="AC236" s="298"/>
      <c r="AD236" s="298"/>
      <c r="AE236" s="298"/>
    </row>
    <row r="237" spans="1:31" ht="33">
      <c r="A237" s="100"/>
      <c r="B237" s="221"/>
      <c r="C237" s="221"/>
      <c r="D237" s="221"/>
      <c r="E237" s="221"/>
      <c r="F237" s="221"/>
      <c r="G237" s="221"/>
      <c r="H237" s="221"/>
      <c r="I237" s="221"/>
      <c r="J237" s="221"/>
      <c r="K237" s="221"/>
      <c r="L237" s="221"/>
      <c r="M237" s="221"/>
      <c r="N237" s="221"/>
      <c r="O237" s="221"/>
      <c r="U237" s="2254" t="s">
        <v>29</v>
      </c>
      <c r="V237" s="2253" t="s">
        <v>22</v>
      </c>
      <c r="W237" s="139">
        <v>840103</v>
      </c>
      <c r="X237" s="137" t="s">
        <v>13</v>
      </c>
      <c r="Y237" s="1569" t="s">
        <v>14</v>
      </c>
      <c r="Z237" s="299">
        <f>SUM($AA$214:$AA$214)</f>
        <v>8359.5344000000005</v>
      </c>
      <c r="AA237" s="228"/>
      <c r="AB237" s="229"/>
      <c r="AC237" s="298"/>
      <c r="AD237" s="298"/>
      <c r="AE237" s="298"/>
    </row>
    <row r="238" spans="1:31" ht="33">
      <c r="A238" s="100"/>
      <c r="B238" s="221"/>
      <c r="C238" s="221"/>
      <c r="D238" s="221"/>
      <c r="E238" s="221"/>
      <c r="F238" s="221"/>
      <c r="G238" s="221"/>
      <c r="H238" s="221"/>
      <c r="I238" s="221"/>
      <c r="J238" s="221"/>
      <c r="K238" s="221"/>
      <c r="L238" s="221"/>
      <c r="M238" s="221"/>
      <c r="N238" s="221"/>
      <c r="O238" s="221"/>
      <c r="U238" s="2254" t="s">
        <v>29</v>
      </c>
      <c r="V238" s="2253" t="s">
        <v>24</v>
      </c>
      <c r="W238" s="300">
        <v>840104</v>
      </c>
      <c r="X238" s="137" t="s">
        <v>13</v>
      </c>
      <c r="Y238" s="1569" t="s">
        <v>14</v>
      </c>
      <c r="Z238" s="299">
        <f>SUM($AA$40:$AA$45)</f>
        <v>2938.4320000000002</v>
      </c>
      <c r="AA238" s="228"/>
      <c r="AB238" s="229"/>
      <c r="AC238" s="298"/>
      <c r="AD238" s="298"/>
      <c r="AE238" s="298"/>
    </row>
    <row r="239" spans="1:31" ht="16.5">
      <c r="A239" s="100"/>
      <c r="B239" s="221"/>
      <c r="C239" s="221"/>
      <c r="D239" s="221"/>
      <c r="E239" s="221"/>
      <c r="F239" s="221"/>
      <c r="G239" s="221"/>
      <c r="H239" s="221"/>
      <c r="I239" s="221"/>
      <c r="J239" s="221"/>
      <c r="K239" s="221"/>
      <c r="L239" s="221"/>
      <c r="M239" s="221"/>
      <c r="N239" s="221"/>
      <c r="O239" s="221"/>
      <c r="U239" s="2252" t="s">
        <v>11</v>
      </c>
      <c r="V239" s="2253" t="s">
        <v>24</v>
      </c>
      <c r="W239" s="300">
        <v>840104</v>
      </c>
      <c r="X239" s="137" t="s">
        <v>13</v>
      </c>
      <c r="Y239" s="1570" t="s">
        <v>14</v>
      </c>
      <c r="Z239" s="299">
        <f>SUM($AA$85:$AA$87)</f>
        <v>34910.400000000001</v>
      </c>
      <c r="AA239" s="228"/>
      <c r="AB239" s="229"/>
      <c r="AC239" s="298"/>
      <c r="AD239" s="298"/>
      <c r="AE239" s="298"/>
    </row>
    <row r="240" spans="1:31" ht="33">
      <c r="A240" s="100"/>
      <c r="B240" s="221"/>
      <c r="C240" s="221"/>
      <c r="D240" s="221"/>
      <c r="E240" s="221"/>
      <c r="F240" s="221"/>
      <c r="G240" s="221"/>
      <c r="H240" s="221"/>
      <c r="I240" s="221"/>
      <c r="J240" s="221"/>
      <c r="K240" s="221"/>
      <c r="L240" s="221"/>
      <c r="M240" s="221"/>
      <c r="N240" s="221"/>
      <c r="O240" s="221"/>
      <c r="U240" s="2254" t="s">
        <v>29</v>
      </c>
      <c r="V240" s="2253" t="s">
        <v>24</v>
      </c>
      <c r="W240" s="139">
        <v>840104</v>
      </c>
      <c r="X240" s="137" t="s">
        <v>13</v>
      </c>
      <c r="Y240" s="1569" t="s">
        <v>14</v>
      </c>
      <c r="Z240" s="299">
        <f>SUM($AA$216:$AA$217)</f>
        <v>1747.2000000000003</v>
      </c>
      <c r="AA240" s="227"/>
      <c r="AB240" s="231"/>
      <c r="AC240" s="298"/>
      <c r="AD240" s="298"/>
      <c r="AE240" s="298"/>
    </row>
    <row r="241" spans="1:31" ht="16.5">
      <c r="A241" s="100"/>
      <c r="B241" s="221"/>
      <c r="C241" s="221"/>
      <c r="D241" s="221"/>
      <c r="E241" s="221"/>
      <c r="F241" s="221"/>
      <c r="G241" s="221"/>
      <c r="H241" s="221"/>
      <c r="I241" s="221"/>
      <c r="J241" s="221"/>
      <c r="K241" s="221"/>
      <c r="L241" s="221"/>
      <c r="M241" s="221"/>
      <c r="N241" s="221"/>
      <c r="O241" s="221"/>
      <c r="U241" s="2252" t="s">
        <v>11</v>
      </c>
      <c r="V241" s="2253" t="s">
        <v>20</v>
      </c>
      <c r="W241" s="300">
        <v>840107</v>
      </c>
      <c r="X241" s="137" t="s">
        <v>13</v>
      </c>
      <c r="Y241" s="1570" t="s">
        <v>14</v>
      </c>
      <c r="Z241" s="299">
        <f>SUM($AA$60:$AA$60)</f>
        <v>64051.142400000004</v>
      </c>
      <c r="AA241" s="302"/>
      <c r="AB241" s="302"/>
      <c r="AC241" s="298"/>
      <c r="AD241" s="298"/>
      <c r="AE241" s="298"/>
    </row>
    <row r="242" spans="1:31" ht="16.5">
      <c r="A242" s="100"/>
      <c r="B242" s="221"/>
      <c r="C242" s="221"/>
      <c r="D242" s="221"/>
      <c r="E242" s="221"/>
      <c r="F242" s="221"/>
      <c r="G242" s="221"/>
      <c r="H242" s="221"/>
      <c r="I242" s="221"/>
      <c r="J242" s="221"/>
      <c r="K242" s="221"/>
      <c r="L242" s="221"/>
      <c r="M242" s="221"/>
      <c r="N242" s="221"/>
      <c r="O242" s="221"/>
      <c r="P242" s="221"/>
      <c r="Q242" s="303"/>
      <c r="R242" s="304"/>
      <c r="S242" s="262"/>
      <c r="U242" s="2252" t="s">
        <v>11</v>
      </c>
      <c r="V242" s="2253" t="s">
        <v>50</v>
      </c>
      <c r="W242" s="300">
        <v>840113</v>
      </c>
      <c r="X242" s="137" t="s">
        <v>13</v>
      </c>
      <c r="Y242" s="1570" t="s">
        <v>14</v>
      </c>
      <c r="Z242" s="299">
        <f>SUM($AA$47:$AA$50)</f>
        <v>8999.2000000000007</v>
      </c>
      <c r="AA242" s="298"/>
      <c r="AB242" s="298"/>
      <c r="AC242" s="298"/>
      <c r="AD242" s="298"/>
      <c r="AE242" s="298"/>
    </row>
    <row r="243" spans="1:31" ht="17.25" thickBot="1">
      <c r="A243" s="100"/>
      <c r="B243" s="221"/>
      <c r="C243" s="221"/>
      <c r="D243" s="221"/>
      <c r="E243" s="221"/>
      <c r="F243" s="221"/>
      <c r="G243" s="221"/>
      <c r="H243" s="221"/>
      <c r="I243" s="221"/>
      <c r="J243" s="221"/>
      <c r="K243" s="221"/>
      <c r="L243" s="221"/>
      <c r="M243" s="221"/>
      <c r="N243" s="221"/>
      <c r="O243" s="221"/>
      <c r="P243" s="221"/>
      <c r="Q243" s="305"/>
      <c r="R243" s="306"/>
      <c r="U243" s="2257"/>
      <c r="V243" s="2245" t="s">
        <v>183</v>
      </c>
      <c r="W243" s="2246"/>
      <c r="X243" s="2258"/>
      <c r="Y243" s="2246" t="s">
        <v>340</v>
      </c>
      <c r="Z243" s="140">
        <f>SUM(Z225:Z242)</f>
        <v>533241.85120000003</v>
      </c>
      <c r="AA243" s="298"/>
      <c r="AB243" s="307"/>
      <c r="AC243" s="298"/>
      <c r="AD243" s="298"/>
      <c r="AE243" s="298"/>
    </row>
    <row r="244" spans="1:31" ht="17.25" thickTop="1">
      <c r="A244" s="100"/>
      <c r="B244" s="221"/>
      <c r="C244" s="221"/>
      <c r="D244" s="221"/>
      <c r="E244" s="221"/>
      <c r="F244" s="221"/>
      <c r="G244" s="221"/>
      <c r="H244" s="221"/>
      <c r="I244" s="221"/>
      <c r="J244" s="221"/>
      <c r="K244" s="221"/>
      <c r="L244" s="221"/>
      <c r="M244" s="221"/>
      <c r="N244" s="221"/>
      <c r="O244" s="221"/>
      <c r="P244" s="221"/>
      <c r="Q244" s="305"/>
      <c r="R244" s="308"/>
      <c r="T244" s="131"/>
      <c r="U244" s="131"/>
      <c r="V244" s="142" t="s">
        <v>347</v>
      </c>
      <c r="W244" s="143"/>
      <c r="X244" s="131"/>
      <c r="Y244" s="131"/>
      <c r="Z244" s="131"/>
      <c r="AA244" s="131"/>
      <c r="AB244" s="298"/>
      <c r="AC244" s="298"/>
      <c r="AD244" s="298"/>
      <c r="AE244" s="298"/>
    </row>
    <row r="245" spans="1:31" ht="17.25" thickBot="1">
      <c r="A245" s="100"/>
      <c r="B245" s="221"/>
      <c r="C245" s="221"/>
      <c r="D245" s="221"/>
      <c r="E245" s="221"/>
      <c r="F245" s="221"/>
      <c r="G245" s="221"/>
      <c r="H245" s="221"/>
      <c r="I245" s="221"/>
      <c r="J245" s="221"/>
      <c r="K245" s="221"/>
      <c r="L245" s="221"/>
      <c r="M245" s="221"/>
      <c r="N245" s="221"/>
      <c r="O245" s="221"/>
      <c r="P245" s="221"/>
      <c r="Q245" s="305"/>
      <c r="R245" s="304"/>
      <c r="U245" s="131"/>
      <c r="V245" s="131"/>
      <c r="W245" s="131"/>
      <c r="X245" s="131"/>
      <c r="Y245" s="131"/>
      <c r="Z245" s="131"/>
      <c r="AA245" s="131"/>
      <c r="AB245" s="309"/>
      <c r="AC245" s="298"/>
      <c r="AD245" s="298"/>
      <c r="AE245" s="298"/>
    </row>
    <row r="246" spans="1:31" ht="17.25" thickTop="1">
      <c r="A246" s="100"/>
      <c r="B246" s="221"/>
      <c r="C246" s="221"/>
      <c r="D246" s="221"/>
      <c r="E246" s="221"/>
      <c r="F246" s="221"/>
      <c r="G246" s="221"/>
      <c r="H246" s="221"/>
      <c r="I246" s="221"/>
      <c r="J246" s="221"/>
      <c r="K246" s="221"/>
      <c r="L246" s="221"/>
      <c r="M246" s="221"/>
      <c r="N246" s="221"/>
      <c r="O246" s="221"/>
      <c r="P246" s="221"/>
      <c r="Q246" s="305"/>
      <c r="R246" s="304"/>
      <c r="U246" s="4303" t="s">
        <v>348</v>
      </c>
      <c r="V246" s="4304"/>
      <c r="W246" s="4305"/>
      <c r="X246" s="131"/>
      <c r="Y246" s="144" t="s">
        <v>349</v>
      </c>
      <c r="Z246" s="145" t="str">
        <f>IF(Z243=AB219,"OK","NO")</f>
        <v>OK</v>
      </c>
      <c r="AA246" s="131"/>
      <c r="AB246" s="309"/>
      <c r="AC246" s="298"/>
      <c r="AD246" s="298"/>
      <c r="AE246" s="298"/>
    </row>
    <row r="247" spans="1:31" ht="16.5">
      <c r="A247" s="100"/>
      <c r="B247" s="221"/>
      <c r="C247" s="221"/>
      <c r="D247" s="221"/>
      <c r="E247" s="221"/>
      <c r="F247" s="221"/>
      <c r="G247" s="221"/>
      <c r="H247" s="221"/>
      <c r="I247" s="221"/>
      <c r="J247" s="221"/>
      <c r="K247" s="221"/>
      <c r="L247" s="221"/>
      <c r="M247" s="221"/>
      <c r="N247" s="221"/>
      <c r="O247" s="221"/>
      <c r="P247" s="221"/>
      <c r="Q247" s="303"/>
      <c r="R247" s="304"/>
      <c r="S247" s="298"/>
      <c r="T247" s="298"/>
      <c r="U247" s="4213" t="s">
        <v>3666</v>
      </c>
      <c r="V247" s="4208"/>
      <c r="W247" s="516">
        <f>SUM(Z234,Z235)</f>
        <v>272400</v>
      </c>
      <c r="X247" s="143"/>
      <c r="Y247" s="131"/>
      <c r="Z247" s="145" t="str">
        <f>IF(W251=AB219,"OK","NO")</f>
        <v>OK</v>
      </c>
      <c r="AA247" s="131"/>
      <c r="AB247" s="309"/>
      <c r="AC247" s="298"/>
      <c r="AD247" s="298"/>
      <c r="AE247" s="298"/>
    </row>
    <row r="248" spans="1:31" ht="16.5">
      <c r="A248" s="100"/>
      <c r="B248" s="221"/>
      <c r="C248" s="221"/>
      <c r="D248" s="221"/>
      <c r="E248" s="221"/>
      <c r="F248" s="221"/>
      <c r="G248" s="221"/>
      <c r="H248" s="221"/>
      <c r="I248" s="221"/>
      <c r="J248" s="221"/>
      <c r="K248" s="221"/>
      <c r="L248" s="221"/>
      <c r="M248" s="221"/>
      <c r="N248" s="221"/>
      <c r="O248" s="221"/>
      <c r="P248" s="221"/>
      <c r="Q248" s="303"/>
      <c r="R248" s="304"/>
      <c r="S248" s="298"/>
      <c r="T248" s="298"/>
      <c r="U248" s="4200" t="s">
        <v>3667</v>
      </c>
      <c r="V248" s="4201"/>
      <c r="W248" s="515">
        <f>SUM(Z232)</f>
        <v>37159.046400000007</v>
      </c>
      <c r="X248" s="143"/>
      <c r="Y248" s="131"/>
      <c r="Z248" s="145" t="str">
        <f>IF(W261=AB219,"OK","NO")</f>
        <v>OK</v>
      </c>
      <c r="AA248" s="131"/>
      <c r="AB248" s="309"/>
      <c r="AC248" s="298"/>
      <c r="AD248" s="298"/>
      <c r="AE248" s="298"/>
    </row>
    <row r="249" spans="1:31" ht="16.5">
      <c r="A249" s="100"/>
      <c r="B249" s="221"/>
      <c r="C249" s="221"/>
      <c r="D249" s="221"/>
      <c r="E249" s="221"/>
      <c r="F249" s="221"/>
      <c r="G249" s="221"/>
      <c r="H249" s="221"/>
      <c r="I249" s="221"/>
      <c r="J249" s="221"/>
      <c r="K249" s="221"/>
      <c r="L249" s="221"/>
      <c r="M249" s="221"/>
      <c r="N249" s="221"/>
      <c r="O249" s="221"/>
      <c r="P249" s="221"/>
      <c r="Q249" s="303"/>
      <c r="R249" s="304"/>
      <c r="S249" s="298"/>
      <c r="T249" s="298"/>
      <c r="U249" s="4200" t="s">
        <v>3669</v>
      </c>
      <c r="V249" s="4201"/>
      <c r="W249" s="515">
        <f>SUM(Z225,Z226,Z227,Z228,Z229,Z230,Z231,Z233,Z236,Z237,Z238,Z239,Z240,Z241,Z242)</f>
        <v>223682.80480000004</v>
      </c>
      <c r="X249" s="143"/>
      <c r="Y249" s="143"/>
      <c r="Z249" s="145" t="str">
        <f>IF(Resumen!C350=AB219,"OK","NO")</f>
        <v>OK</v>
      </c>
      <c r="AA249" s="131"/>
      <c r="AB249" s="309"/>
      <c r="AC249" s="298"/>
      <c r="AD249" s="298"/>
      <c r="AE249" s="298"/>
    </row>
    <row r="250" spans="1:31" ht="16.5">
      <c r="A250" s="100"/>
      <c r="B250" s="221"/>
      <c r="C250" s="221"/>
      <c r="D250" s="221"/>
      <c r="E250" s="221"/>
      <c r="F250" s="221"/>
      <c r="G250" s="221"/>
      <c r="H250" s="221"/>
      <c r="I250" s="221"/>
      <c r="J250" s="221"/>
      <c r="K250" s="221"/>
      <c r="L250" s="221"/>
      <c r="M250" s="221"/>
      <c r="N250" s="221"/>
      <c r="O250" s="221"/>
      <c r="P250" s="221"/>
      <c r="S250" s="298"/>
      <c r="T250" s="298"/>
      <c r="U250" s="4200" t="s">
        <v>3668</v>
      </c>
      <c r="V250" s="4201"/>
      <c r="W250" s="517">
        <v>0</v>
      </c>
      <c r="X250" s="143"/>
      <c r="Y250" s="143"/>
      <c r="Z250" s="131"/>
      <c r="AA250" s="131"/>
      <c r="AB250" s="309"/>
      <c r="AC250" s="298"/>
      <c r="AD250" s="298"/>
      <c r="AE250" s="298"/>
    </row>
    <row r="251" spans="1:31" ht="16.5">
      <c r="A251" s="100"/>
      <c r="B251" s="221"/>
      <c r="C251" s="221"/>
      <c r="D251" s="221"/>
      <c r="E251" s="221"/>
      <c r="F251" s="221"/>
      <c r="G251" s="221"/>
      <c r="H251" s="221"/>
      <c r="I251" s="221"/>
      <c r="J251" s="221"/>
      <c r="K251" s="221"/>
      <c r="L251" s="221"/>
      <c r="M251" s="221"/>
      <c r="N251" s="221"/>
      <c r="O251" s="221"/>
      <c r="P251" s="221"/>
      <c r="S251" s="298"/>
      <c r="T251" s="298"/>
      <c r="U251" s="4553" t="s">
        <v>183</v>
      </c>
      <c r="V251" s="4554"/>
      <c r="W251" s="1571">
        <f>SUM(W247:W250)</f>
        <v>533241.85120000003</v>
      </c>
      <c r="X251" s="143"/>
      <c r="Y251" s="143"/>
      <c r="Z251" s="131"/>
      <c r="AA251" s="131"/>
      <c r="AB251" s="309"/>
      <c r="AC251" s="298"/>
      <c r="AD251" s="298"/>
      <c r="AE251" s="298"/>
    </row>
    <row r="252" spans="1:31" ht="16.5">
      <c r="A252" s="100"/>
      <c r="B252" s="221"/>
      <c r="C252" s="221"/>
      <c r="D252" s="221"/>
      <c r="E252" s="221"/>
      <c r="F252" s="221"/>
      <c r="G252" s="221"/>
      <c r="H252" s="221"/>
      <c r="I252" s="221"/>
      <c r="J252" s="221"/>
      <c r="K252" s="221"/>
      <c r="L252" s="221"/>
      <c r="M252" s="221"/>
      <c r="N252" s="221"/>
      <c r="O252" s="221"/>
      <c r="P252" s="221"/>
      <c r="S252" s="298"/>
      <c r="T252" s="298"/>
      <c r="U252" s="4555" t="s">
        <v>350</v>
      </c>
      <c r="V252" s="4556"/>
      <c r="W252" s="4557"/>
      <c r="X252" s="147"/>
      <c r="Y252" s="147"/>
      <c r="Z252" s="131"/>
      <c r="AA252" s="131"/>
      <c r="AB252" s="309"/>
      <c r="AC252" s="298"/>
      <c r="AD252" s="298"/>
      <c r="AE252" s="298"/>
    </row>
    <row r="253" spans="1:31" ht="16.5">
      <c r="A253" s="100"/>
      <c r="B253" s="221"/>
      <c r="C253" s="221"/>
      <c r="D253" s="221"/>
      <c r="E253" s="221"/>
      <c r="F253" s="221"/>
      <c r="G253" s="221"/>
      <c r="H253" s="221"/>
      <c r="I253" s="221"/>
      <c r="J253" s="221"/>
      <c r="K253" s="221"/>
      <c r="L253" s="221"/>
      <c r="M253" s="221"/>
      <c r="N253" s="221"/>
      <c r="O253" s="221"/>
      <c r="P253" s="221"/>
      <c r="S253" s="298"/>
      <c r="T253" s="298"/>
      <c r="U253" s="4207" t="s">
        <v>3670</v>
      </c>
      <c r="V253" s="4208"/>
      <c r="W253" s="516">
        <v>0</v>
      </c>
      <c r="X253" s="147"/>
      <c r="Y253" s="147"/>
      <c r="Z253" s="131"/>
      <c r="AA253" s="131"/>
      <c r="AB253" s="309"/>
      <c r="AC253" s="298"/>
      <c r="AD253" s="298"/>
      <c r="AE253" s="298"/>
    </row>
    <row r="254" spans="1:31" ht="16.5">
      <c r="A254" s="100"/>
      <c r="B254" s="221"/>
      <c r="C254" s="221"/>
      <c r="D254" s="221"/>
      <c r="E254" s="221"/>
      <c r="F254" s="221"/>
      <c r="G254" s="221"/>
      <c r="H254" s="221"/>
      <c r="I254" s="221"/>
      <c r="J254" s="221"/>
      <c r="K254" s="221"/>
      <c r="L254" s="221"/>
      <c r="M254" s="221"/>
      <c r="N254" s="221"/>
      <c r="O254" s="221"/>
      <c r="P254" s="221"/>
      <c r="S254" s="298"/>
      <c r="T254" s="298"/>
      <c r="U254" s="4209" t="s">
        <v>3671</v>
      </c>
      <c r="V254" s="4201"/>
      <c r="W254" s="515">
        <f>SUM(Z225:Z233)</f>
        <v>137024.74240000002</v>
      </c>
      <c r="X254" s="147"/>
      <c r="Y254" s="147"/>
      <c r="Z254" s="131"/>
      <c r="AA254" s="269"/>
      <c r="AB254" s="311"/>
      <c r="AC254" s="298"/>
      <c r="AD254" s="298"/>
      <c r="AE254" s="298"/>
    </row>
    <row r="255" spans="1:31" ht="16.5">
      <c r="A255" s="100"/>
      <c r="B255" s="221"/>
      <c r="C255" s="221"/>
      <c r="D255" s="221"/>
      <c r="E255" s="221"/>
      <c r="F255" s="221"/>
      <c r="G255" s="221"/>
      <c r="H255" s="221"/>
      <c r="I255" s="221"/>
      <c r="J255" s="221"/>
      <c r="K255" s="221"/>
      <c r="L255" s="221"/>
      <c r="M255" s="221"/>
      <c r="N255" s="221"/>
      <c r="O255" s="221"/>
      <c r="P255" s="221"/>
      <c r="S255" s="298"/>
      <c r="T255" s="298"/>
      <c r="U255" s="4209" t="s">
        <v>3672</v>
      </c>
      <c r="V255" s="4201"/>
      <c r="W255" s="515">
        <f t="shared" ref="W255:W256" si="37">SUM(Z234)</f>
        <v>139000</v>
      </c>
      <c r="X255" s="150"/>
      <c r="Y255" s="310"/>
      <c r="Z255" s="269"/>
      <c r="AA255" s="269"/>
      <c r="AB255" s="311"/>
      <c r="AC255" s="313"/>
      <c r="AD255" s="313"/>
      <c r="AE255" s="313"/>
    </row>
    <row r="256" spans="1:31" ht="16.5">
      <c r="A256" s="100"/>
      <c r="B256" s="221"/>
      <c r="C256" s="221"/>
      <c r="D256" s="221"/>
      <c r="E256" s="221"/>
      <c r="F256" s="221"/>
      <c r="G256" s="221"/>
      <c r="H256" s="221"/>
      <c r="I256" s="221"/>
      <c r="J256" s="221"/>
      <c r="K256" s="221"/>
      <c r="L256" s="221"/>
      <c r="M256" s="221"/>
      <c r="N256" s="221"/>
      <c r="O256" s="221"/>
      <c r="P256" s="221"/>
      <c r="S256" s="298"/>
      <c r="T256" s="298"/>
      <c r="U256" s="4209" t="s">
        <v>3673</v>
      </c>
      <c r="V256" s="4201"/>
      <c r="W256" s="515">
        <f t="shared" si="37"/>
        <v>133400</v>
      </c>
      <c r="X256" s="143"/>
      <c r="Y256" s="312"/>
      <c r="Z256" s="269"/>
      <c r="AA256" s="1884"/>
      <c r="AB256" s="1884"/>
      <c r="AC256" s="313"/>
      <c r="AD256" s="313"/>
      <c r="AE256" s="313"/>
    </row>
    <row r="257" spans="1:31" ht="16.5">
      <c r="A257" s="100"/>
      <c r="B257" s="221"/>
      <c r="C257" s="221"/>
      <c r="D257" s="221"/>
      <c r="E257" s="221"/>
      <c r="F257" s="221"/>
      <c r="G257" s="221"/>
      <c r="H257" s="221"/>
      <c r="I257" s="221"/>
      <c r="J257" s="221"/>
      <c r="K257" s="221"/>
      <c r="L257" s="221"/>
      <c r="M257" s="221"/>
      <c r="N257" s="221"/>
      <c r="O257" s="221"/>
      <c r="P257" s="221"/>
      <c r="S257" s="298"/>
      <c r="T257" s="298"/>
      <c r="U257" s="4209" t="s">
        <v>3674</v>
      </c>
      <c r="V257" s="4201"/>
      <c r="W257" s="515">
        <v>0</v>
      </c>
      <c r="X257" s="151"/>
      <c r="Y257" s="314"/>
      <c r="Z257" s="1887"/>
      <c r="AA257" s="272"/>
      <c r="AB257" s="271"/>
      <c r="AC257" s="313"/>
      <c r="AD257" s="313"/>
      <c r="AE257" s="313"/>
    </row>
    <row r="258" spans="1:31" ht="16.5">
      <c r="A258" s="100"/>
      <c r="B258" s="221"/>
      <c r="C258" s="221"/>
      <c r="D258" s="221"/>
      <c r="E258" s="221"/>
      <c r="F258" s="221"/>
      <c r="G258" s="221"/>
      <c r="H258" s="221"/>
      <c r="I258" s="221"/>
      <c r="J258" s="221"/>
      <c r="K258" s="221"/>
      <c r="L258" s="221"/>
      <c r="M258" s="221"/>
      <c r="N258" s="221"/>
      <c r="O258" s="221"/>
      <c r="P258" s="221"/>
      <c r="S258" s="298"/>
      <c r="T258" s="298"/>
      <c r="U258" s="4209" t="s">
        <v>3675</v>
      </c>
      <c r="V258" s="4201"/>
      <c r="W258" s="515">
        <v>0</v>
      </c>
      <c r="X258" s="151"/>
      <c r="Y258" s="314"/>
      <c r="Z258" s="271"/>
      <c r="AA258" s="274"/>
      <c r="AB258" s="315"/>
      <c r="AC258" s="313"/>
      <c r="AD258" s="313"/>
      <c r="AE258" s="313"/>
    </row>
    <row r="259" spans="1:31" ht="16.5">
      <c r="A259" s="100"/>
      <c r="B259" s="221"/>
      <c r="C259" s="221"/>
      <c r="D259" s="221"/>
      <c r="E259" s="221"/>
      <c r="F259" s="221"/>
      <c r="G259" s="221"/>
      <c r="H259" s="221"/>
      <c r="I259" s="221"/>
      <c r="J259" s="221"/>
      <c r="K259" s="221"/>
      <c r="L259" s="221"/>
      <c r="M259" s="221"/>
      <c r="N259" s="221"/>
      <c r="O259" s="221"/>
      <c r="P259" s="221"/>
      <c r="S259" s="298"/>
      <c r="T259" s="298"/>
      <c r="U259" s="4209" t="s">
        <v>3676</v>
      </c>
      <c r="V259" s="4201"/>
      <c r="W259" s="515">
        <f>SUM(Z236:Z242)</f>
        <v>123817.1088</v>
      </c>
      <c r="X259" s="151"/>
      <c r="Y259" s="314"/>
      <c r="Z259" s="273"/>
      <c r="AA259" s="317"/>
      <c r="AB259" s="311"/>
      <c r="AC259" s="313"/>
      <c r="AD259" s="313"/>
      <c r="AE259" s="313"/>
    </row>
    <row r="260" spans="1:31" ht="16.5">
      <c r="A260" s="100"/>
      <c r="B260" s="221"/>
      <c r="C260" s="221"/>
      <c r="D260" s="221"/>
      <c r="E260" s="221"/>
      <c r="F260" s="221"/>
      <c r="G260" s="221"/>
      <c r="H260" s="221"/>
      <c r="I260" s="221"/>
      <c r="J260" s="221"/>
      <c r="K260" s="221"/>
      <c r="L260" s="221"/>
      <c r="M260" s="221"/>
      <c r="N260" s="221"/>
      <c r="O260" s="221"/>
      <c r="P260" s="221"/>
      <c r="S260" s="298"/>
      <c r="T260" s="298"/>
      <c r="U260" s="4209" t="s">
        <v>3677</v>
      </c>
      <c r="V260" s="4201"/>
      <c r="W260" s="517">
        <v>0</v>
      </c>
      <c r="X260" s="152"/>
      <c r="Y260" s="316"/>
      <c r="Z260" s="317"/>
      <c r="AA260" s="269"/>
      <c r="AB260" s="311"/>
      <c r="AC260" s="313"/>
      <c r="AD260" s="313"/>
      <c r="AE260" s="313"/>
    </row>
    <row r="261" spans="1:31" ht="15.75" customHeight="1" thickBot="1">
      <c r="U261" s="4295" t="s">
        <v>183</v>
      </c>
      <c r="V261" s="4296"/>
      <c r="W261" s="1572">
        <f>SUM(W253:W260)</f>
        <v>533241.85120000003</v>
      </c>
      <c r="X261" s="150"/>
      <c r="Y261" s="310"/>
      <c r="Z261" s="269"/>
    </row>
    <row r="262" spans="1:31" ht="15.75" customHeight="1" thickTop="1"/>
  </sheetData>
  <mergeCells count="588">
    <mergeCell ref="L181:L217"/>
    <mergeCell ref="M181:M217"/>
    <mergeCell ref="N181:N217"/>
    <mergeCell ref="O181:O217"/>
    <mergeCell ref="P181:P217"/>
    <mergeCell ref="Q181:Q217"/>
    <mergeCell ref="R181:R217"/>
    <mergeCell ref="C181:C217"/>
    <mergeCell ref="D181:D217"/>
    <mergeCell ref="E181:E217"/>
    <mergeCell ref="F181:F217"/>
    <mergeCell ref="G181:G217"/>
    <mergeCell ref="H181:H217"/>
    <mergeCell ref="I181:I217"/>
    <mergeCell ref="J181:J217"/>
    <mergeCell ref="K181:K217"/>
    <mergeCell ref="E9:E13"/>
    <mergeCell ref="F9:F13"/>
    <mergeCell ref="G9:G13"/>
    <mergeCell ref="H9:H13"/>
    <mergeCell ref="I9:I13"/>
    <mergeCell ref="C14:C20"/>
    <mergeCell ref="C21:C25"/>
    <mergeCell ref="E21:E25"/>
    <mergeCell ref="F21:F25"/>
    <mergeCell ref="G21:G25"/>
    <mergeCell ref="H21:H25"/>
    <mergeCell ref="I21:I25"/>
    <mergeCell ref="D21:D25"/>
    <mergeCell ref="E31:E35"/>
    <mergeCell ref="F31:F35"/>
    <mergeCell ref="G31:G35"/>
    <mergeCell ref="H31:H35"/>
    <mergeCell ref="I31:I35"/>
    <mergeCell ref="J31:J35"/>
    <mergeCell ref="K31:K35"/>
    <mergeCell ref="L26:L30"/>
    <mergeCell ref="M26:M30"/>
    <mergeCell ref="E26:E30"/>
    <mergeCell ref="F26:F30"/>
    <mergeCell ref="G26:G30"/>
    <mergeCell ref="H26:H30"/>
    <mergeCell ref="I26:I30"/>
    <mergeCell ref="J26:J30"/>
    <mergeCell ref="K26:K30"/>
    <mergeCell ref="R68:R71"/>
    <mergeCell ref="J68:J71"/>
    <mergeCell ref="K68:K71"/>
    <mergeCell ref="L68:L71"/>
    <mergeCell ref="M68:M71"/>
    <mergeCell ref="N68:N71"/>
    <mergeCell ref="O68:O71"/>
    <mergeCell ref="P68:P71"/>
    <mergeCell ref="L31:L35"/>
    <mergeCell ref="M31:M35"/>
    <mergeCell ref="N31:N35"/>
    <mergeCell ref="O31:O35"/>
    <mergeCell ref="P31:P35"/>
    <mergeCell ref="Q31:Q35"/>
    <mergeCell ref="R31:R35"/>
    <mergeCell ref="E51:E62"/>
    <mergeCell ref="F51:F62"/>
    <mergeCell ref="G51:G62"/>
    <mergeCell ref="H51:H62"/>
    <mergeCell ref="I51:I62"/>
    <mergeCell ref="J63:J67"/>
    <mergeCell ref="K63:K67"/>
    <mergeCell ref="Q36:Q50"/>
    <mergeCell ref="R36:R50"/>
    <mergeCell ref="J36:J50"/>
    <mergeCell ref="K36:K50"/>
    <mergeCell ref="L36:L50"/>
    <mergeCell ref="M36:M50"/>
    <mergeCell ref="N36:N50"/>
    <mergeCell ref="O36:O50"/>
    <mergeCell ref="P36:P50"/>
    <mergeCell ref="E36:E50"/>
    <mergeCell ref="F36:F50"/>
    <mergeCell ref="G36:G50"/>
    <mergeCell ref="H36:H50"/>
    <mergeCell ref="I36:I50"/>
    <mergeCell ref="N89:N93"/>
    <mergeCell ref="O89:O93"/>
    <mergeCell ref="P89:P93"/>
    <mergeCell ref="Q89:Q93"/>
    <mergeCell ref="R89:R93"/>
    <mergeCell ref="AF89:AF93"/>
    <mergeCell ref="E89:E93"/>
    <mergeCell ref="F89:F93"/>
    <mergeCell ref="G89:G93"/>
    <mergeCell ref="H89:H93"/>
    <mergeCell ref="I89:I93"/>
    <mergeCell ref="J89:J93"/>
    <mergeCell ref="K89:K93"/>
    <mergeCell ref="L89:L93"/>
    <mergeCell ref="M89:M93"/>
    <mergeCell ref="AF63:AF67"/>
    <mergeCell ref="AF68:AF71"/>
    <mergeCell ref="C63:C67"/>
    <mergeCell ref="D63:D67"/>
    <mergeCell ref="E63:E67"/>
    <mergeCell ref="F63:F67"/>
    <mergeCell ref="G63:G67"/>
    <mergeCell ref="H63:H67"/>
    <mergeCell ref="I63:I67"/>
    <mergeCell ref="C68:C71"/>
    <mergeCell ref="D68:D71"/>
    <mergeCell ref="E68:E71"/>
    <mergeCell ref="F68:F71"/>
    <mergeCell ref="G68:G71"/>
    <mergeCell ref="H68:H71"/>
    <mergeCell ref="I68:I71"/>
    <mergeCell ref="L63:L67"/>
    <mergeCell ref="M63:M67"/>
    <mergeCell ref="N63:N67"/>
    <mergeCell ref="O63:O67"/>
    <mergeCell ref="P63:P67"/>
    <mergeCell ref="Q63:Q67"/>
    <mergeCell ref="R63:R67"/>
    <mergeCell ref="Q68:Q71"/>
    <mergeCell ref="N72:N78"/>
    <mergeCell ref="O72:O78"/>
    <mergeCell ref="P72:P78"/>
    <mergeCell ref="Q72:Q78"/>
    <mergeCell ref="R72:R78"/>
    <mergeCell ref="AF72:AF78"/>
    <mergeCell ref="E72:E78"/>
    <mergeCell ref="F72:F78"/>
    <mergeCell ref="G72:G78"/>
    <mergeCell ref="H72:H78"/>
    <mergeCell ref="I72:I78"/>
    <mergeCell ref="J72:J78"/>
    <mergeCell ref="K72:K78"/>
    <mergeCell ref="L72:L78"/>
    <mergeCell ref="M72:M78"/>
    <mergeCell ref="N79:N83"/>
    <mergeCell ref="O79:O83"/>
    <mergeCell ref="P79:P83"/>
    <mergeCell ref="Q79:Q83"/>
    <mergeCell ref="R79:R83"/>
    <mergeCell ref="AF79:AF83"/>
    <mergeCell ref="E79:E83"/>
    <mergeCell ref="F79:F83"/>
    <mergeCell ref="G79:G83"/>
    <mergeCell ref="H79:H83"/>
    <mergeCell ref="I79:I83"/>
    <mergeCell ref="J79:J83"/>
    <mergeCell ref="K79:K83"/>
    <mergeCell ref="L79:L83"/>
    <mergeCell ref="M79:M83"/>
    <mergeCell ref="L94:L98"/>
    <mergeCell ref="M94:M98"/>
    <mergeCell ref="N94:N98"/>
    <mergeCell ref="O94:O98"/>
    <mergeCell ref="P94:P98"/>
    <mergeCell ref="Q94:Q98"/>
    <mergeCell ref="R94:R98"/>
    <mergeCell ref="AF94:AF98"/>
    <mergeCell ref="E94:E98"/>
    <mergeCell ref="F94:F98"/>
    <mergeCell ref="G94:G98"/>
    <mergeCell ref="H94:H98"/>
    <mergeCell ref="I94:I98"/>
    <mergeCell ref="J94:J98"/>
    <mergeCell ref="K94:K98"/>
    <mergeCell ref="C26:C30"/>
    <mergeCell ref="D26:D30"/>
    <mergeCell ref="C72:C78"/>
    <mergeCell ref="D72:D78"/>
    <mergeCell ref="C79:C83"/>
    <mergeCell ref="D79:D83"/>
    <mergeCell ref="C84:C88"/>
    <mergeCell ref="D84:D88"/>
    <mergeCell ref="C89:C93"/>
    <mergeCell ref="D89:D93"/>
    <mergeCell ref="C51:C62"/>
    <mergeCell ref="D51:D62"/>
    <mergeCell ref="C31:C35"/>
    <mergeCell ref="D31:D35"/>
    <mergeCell ref="C36:C50"/>
    <mergeCell ref="D36:D50"/>
    <mergeCell ref="D94:D98"/>
    <mergeCell ref="D105:D109"/>
    <mergeCell ref="D110:D114"/>
    <mergeCell ref="D115:D119"/>
    <mergeCell ref="D120:D124"/>
    <mergeCell ref="D125:D129"/>
    <mergeCell ref="D130:D134"/>
    <mergeCell ref="C135:C139"/>
    <mergeCell ref="D135:D139"/>
    <mergeCell ref="B105:B150"/>
    <mergeCell ref="C105:C109"/>
    <mergeCell ref="C110:C114"/>
    <mergeCell ref="C115:C119"/>
    <mergeCell ref="C120:C124"/>
    <mergeCell ref="C125:C129"/>
    <mergeCell ref="C130:C134"/>
    <mergeCell ref="C145:C149"/>
    <mergeCell ref="C94:C98"/>
    <mergeCell ref="D140:D144"/>
    <mergeCell ref="C151:C155"/>
    <mergeCell ref="D151:D155"/>
    <mergeCell ref="C156:C160"/>
    <mergeCell ref="D156:D160"/>
    <mergeCell ref="O140:O144"/>
    <mergeCell ref="P140:P144"/>
    <mergeCell ref="Q140:Q144"/>
    <mergeCell ref="R140:R144"/>
    <mergeCell ref="L140:L144"/>
    <mergeCell ref="M140:M144"/>
    <mergeCell ref="N140:N144"/>
    <mergeCell ref="C140:C144"/>
    <mergeCell ref="L171:L175"/>
    <mergeCell ref="M171:M175"/>
    <mergeCell ref="N171:N175"/>
    <mergeCell ref="O171:O175"/>
    <mergeCell ref="P171:P175"/>
    <mergeCell ref="Q171:Q175"/>
    <mergeCell ref="C218:R218"/>
    <mergeCell ref="B9:B104"/>
    <mergeCell ref="B151:B218"/>
    <mergeCell ref="C161:C165"/>
    <mergeCell ref="D161:D165"/>
    <mergeCell ref="C166:C170"/>
    <mergeCell ref="D166:D170"/>
    <mergeCell ref="C171:C175"/>
    <mergeCell ref="D171:D175"/>
    <mergeCell ref="C176:C180"/>
    <mergeCell ref="D176:D180"/>
    <mergeCell ref="L130:L134"/>
    <mergeCell ref="M130:M134"/>
    <mergeCell ref="N130:N134"/>
    <mergeCell ref="O130:O134"/>
    <mergeCell ref="P130:P134"/>
    <mergeCell ref="Q130:Q134"/>
    <mergeCell ref="R130:R134"/>
    <mergeCell ref="A9:A219"/>
    <mergeCell ref="C9:C13"/>
    <mergeCell ref="D9:D13"/>
    <mergeCell ref="D14:D20"/>
    <mergeCell ref="D145:D149"/>
    <mergeCell ref="C150:R150"/>
    <mergeCell ref="L166:L170"/>
    <mergeCell ref="M166:M170"/>
    <mergeCell ref="N166:N170"/>
    <mergeCell ref="O166:O170"/>
    <mergeCell ref="P166:P170"/>
    <mergeCell ref="Q166:Q170"/>
    <mergeCell ref="R166:R170"/>
    <mergeCell ref="E166:E170"/>
    <mergeCell ref="F166:F170"/>
    <mergeCell ref="G166:G170"/>
    <mergeCell ref="H166:H170"/>
    <mergeCell ref="I166:I170"/>
    <mergeCell ref="J166:J170"/>
    <mergeCell ref="K166:K170"/>
    <mergeCell ref="L115:L119"/>
    <mergeCell ref="M115:M119"/>
    <mergeCell ref="N115:N119"/>
    <mergeCell ref="O115:O119"/>
    <mergeCell ref="AF130:AF134"/>
    <mergeCell ref="E130:E134"/>
    <mergeCell ref="F130:F134"/>
    <mergeCell ref="G130:G134"/>
    <mergeCell ref="H130:H134"/>
    <mergeCell ref="I130:I134"/>
    <mergeCell ref="J130:J134"/>
    <mergeCell ref="K130:K134"/>
    <mergeCell ref="L135:L139"/>
    <mergeCell ref="M135:M139"/>
    <mergeCell ref="N135:N139"/>
    <mergeCell ref="O135:O139"/>
    <mergeCell ref="P135:P139"/>
    <mergeCell ref="Q135:Q139"/>
    <mergeCell ref="R135:R139"/>
    <mergeCell ref="AF135:AF139"/>
    <mergeCell ref="E135:E139"/>
    <mergeCell ref="F135:F139"/>
    <mergeCell ref="G135:G139"/>
    <mergeCell ref="H135:H139"/>
    <mergeCell ref="I135:I139"/>
    <mergeCell ref="J135:J139"/>
    <mergeCell ref="K135:K139"/>
    <mergeCell ref="AF140:AF144"/>
    <mergeCell ref="E140:E144"/>
    <mergeCell ref="F140:F144"/>
    <mergeCell ref="G140:G144"/>
    <mergeCell ref="H140:H144"/>
    <mergeCell ref="I140:I144"/>
    <mergeCell ref="J140:J144"/>
    <mergeCell ref="K140:K144"/>
    <mergeCell ref="L145:L149"/>
    <mergeCell ref="M145:M149"/>
    <mergeCell ref="N145:N149"/>
    <mergeCell ref="O145:O149"/>
    <mergeCell ref="P145:P149"/>
    <mergeCell ref="Q145:Q149"/>
    <mergeCell ref="R145:R149"/>
    <mergeCell ref="F145:F149"/>
    <mergeCell ref="G145:G149"/>
    <mergeCell ref="H145:H149"/>
    <mergeCell ref="I145:I149"/>
    <mergeCell ref="J145:J149"/>
    <mergeCell ref="K145:K149"/>
    <mergeCell ref="E145:E149"/>
    <mergeCell ref="AF145:AF149"/>
    <mergeCell ref="U247:V247"/>
    <mergeCell ref="U255:V255"/>
    <mergeCell ref="U256:V256"/>
    <mergeCell ref="U257:V257"/>
    <mergeCell ref="U258:V258"/>
    <mergeCell ref="U259:V259"/>
    <mergeCell ref="AC150:AF150"/>
    <mergeCell ref="AF181:AF217"/>
    <mergeCell ref="AC218:AF218"/>
    <mergeCell ref="AC219:AF219"/>
    <mergeCell ref="S220:AF220"/>
    <mergeCell ref="U222:Z222"/>
    <mergeCell ref="AB221:AC221"/>
    <mergeCell ref="S219:Z219"/>
    <mergeCell ref="AF151:AF155"/>
    <mergeCell ref="AF156:AF160"/>
    <mergeCell ref="AF161:AF165"/>
    <mergeCell ref="AF166:AF170"/>
    <mergeCell ref="AF171:AF175"/>
    <mergeCell ref="AF176:AF180"/>
    <mergeCell ref="S150:Z150"/>
    <mergeCell ref="S218:Z218"/>
    <mergeCell ref="U246:W246"/>
    <mergeCell ref="U260:V260"/>
    <mergeCell ref="U261:V261"/>
    <mergeCell ref="U248:V248"/>
    <mergeCell ref="U249:V249"/>
    <mergeCell ref="U250:V250"/>
    <mergeCell ref="U251:V251"/>
    <mergeCell ref="U252:W252"/>
    <mergeCell ref="U253:V253"/>
    <mergeCell ref="U254:V254"/>
    <mergeCell ref="P115:P119"/>
    <mergeCell ref="Q115:Q119"/>
    <mergeCell ref="R115:R119"/>
    <mergeCell ref="AF115:AF119"/>
    <mergeCell ref="E115:E119"/>
    <mergeCell ref="F115:F119"/>
    <mergeCell ref="G115:G119"/>
    <mergeCell ref="H115:H119"/>
    <mergeCell ref="I115:I119"/>
    <mergeCell ref="J115:J119"/>
    <mergeCell ref="K115:K119"/>
    <mergeCell ref="L120:L124"/>
    <mergeCell ref="M120:M124"/>
    <mergeCell ref="N120:N124"/>
    <mergeCell ref="O120:O124"/>
    <mergeCell ref="P120:P124"/>
    <mergeCell ref="Q120:Q124"/>
    <mergeCell ref="R120:R124"/>
    <mergeCell ref="AF120:AF124"/>
    <mergeCell ref="E120:E124"/>
    <mergeCell ref="F120:F124"/>
    <mergeCell ref="G120:G124"/>
    <mergeCell ref="H120:H124"/>
    <mergeCell ref="I120:I124"/>
    <mergeCell ref="J120:J124"/>
    <mergeCell ref="K120:K124"/>
    <mergeCell ref="L125:L129"/>
    <mergeCell ref="M125:M129"/>
    <mergeCell ref="N125:N129"/>
    <mergeCell ref="O125:O129"/>
    <mergeCell ref="P125:P129"/>
    <mergeCell ref="Q125:Q129"/>
    <mergeCell ref="R125:R129"/>
    <mergeCell ref="AF125:AF129"/>
    <mergeCell ref="E125:E129"/>
    <mergeCell ref="F125:F129"/>
    <mergeCell ref="G125:G129"/>
    <mergeCell ref="H125:H129"/>
    <mergeCell ref="I125:I129"/>
    <mergeCell ref="J125:J129"/>
    <mergeCell ref="K125:K129"/>
    <mergeCell ref="R171:R175"/>
    <mergeCell ref="E171:E175"/>
    <mergeCell ref="F171:F175"/>
    <mergeCell ref="G171:G175"/>
    <mergeCell ref="H171:H175"/>
    <mergeCell ref="I171:I175"/>
    <mergeCell ref="J171:J175"/>
    <mergeCell ref="K171:K175"/>
    <mergeCell ref="K151:K155"/>
    <mergeCell ref="L151:L155"/>
    <mergeCell ref="M151:M155"/>
    <mergeCell ref="N151:N155"/>
    <mergeCell ref="O151:O155"/>
    <mergeCell ref="P151:P155"/>
    <mergeCell ref="Q151:Q155"/>
    <mergeCell ref="R151:R155"/>
    <mergeCell ref="E151:E155"/>
    <mergeCell ref="F151:F155"/>
    <mergeCell ref="G151:G155"/>
    <mergeCell ref="H151:H155"/>
    <mergeCell ref="I151:I155"/>
    <mergeCell ref="J151:J155"/>
    <mergeCell ref="L156:L160"/>
    <mergeCell ref="M156:M160"/>
    <mergeCell ref="R161:R165"/>
    <mergeCell ref="E161:E165"/>
    <mergeCell ref="F161:F165"/>
    <mergeCell ref="G161:G165"/>
    <mergeCell ref="H161:H165"/>
    <mergeCell ref="I161:I165"/>
    <mergeCell ref="J161:J165"/>
    <mergeCell ref="K161:K165"/>
    <mergeCell ref="N156:N160"/>
    <mergeCell ref="O156:O160"/>
    <mergeCell ref="P156:P160"/>
    <mergeCell ref="Q156:Q160"/>
    <mergeCell ref="R156:R160"/>
    <mergeCell ref="E156:E160"/>
    <mergeCell ref="F156:F160"/>
    <mergeCell ref="G156:G160"/>
    <mergeCell ref="H156:H160"/>
    <mergeCell ref="I156:I160"/>
    <mergeCell ref="J156:J160"/>
    <mergeCell ref="K156:K160"/>
    <mergeCell ref="A1:AE1"/>
    <mergeCell ref="A2:AE2"/>
    <mergeCell ref="A3:AE3"/>
    <mergeCell ref="A4:AE4"/>
    <mergeCell ref="L176:L180"/>
    <mergeCell ref="M176:M180"/>
    <mergeCell ref="N176:N180"/>
    <mergeCell ref="O176:O180"/>
    <mergeCell ref="P176:P180"/>
    <mergeCell ref="Q176:Q180"/>
    <mergeCell ref="R176:R180"/>
    <mergeCell ref="E176:E180"/>
    <mergeCell ref="F176:F180"/>
    <mergeCell ref="G176:G180"/>
    <mergeCell ref="H176:H180"/>
    <mergeCell ref="I176:I180"/>
    <mergeCell ref="J176:J180"/>
    <mergeCell ref="K176:K180"/>
    <mergeCell ref="L161:L165"/>
    <mergeCell ref="M161:M165"/>
    <mergeCell ref="N161:N165"/>
    <mergeCell ref="O161:O165"/>
    <mergeCell ref="P161:P165"/>
    <mergeCell ref="Q161:Q165"/>
    <mergeCell ref="Q9:Q13"/>
    <mergeCell ref="R9:R13"/>
    <mergeCell ref="AF9:AF13"/>
    <mergeCell ref="J9:J13"/>
    <mergeCell ref="K9:K13"/>
    <mergeCell ref="L9:L13"/>
    <mergeCell ref="M9:M13"/>
    <mergeCell ref="N9:N13"/>
    <mergeCell ref="O9:O13"/>
    <mergeCell ref="P9:P13"/>
    <mergeCell ref="L14:L20"/>
    <mergeCell ref="M14:M20"/>
    <mergeCell ref="AF14:AF20"/>
    <mergeCell ref="AF21:AF25"/>
    <mergeCell ref="AF26:AF30"/>
    <mergeCell ref="AF31:AF35"/>
    <mergeCell ref="AF36:AF50"/>
    <mergeCell ref="E14:E20"/>
    <mergeCell ref="F14:F20"/>
    <mergeCell ref="G14:G20"/>
    <mergeCell ref="H14:H20"/>
    <mergeCell ref="I14:I20"/>
    <mergeCell ref="J14:J20"/>
    <mergeCell ref="K14:K20"/>
    <mergeCell ref="N14:N20"/>
    <mergeCell ref="O14:O20"/>
    <mergeCell ref="P14:P20"/>
    <mergeCell ref="Q14:Q20"/>
    <mergeCell ref="R14:R20"/>
    <mergeCell ref="Q21:Q25"/>
    <mergeCell ref="R21:R25"/>
    <mergeCell ref="J21:J25"/>
    <mergeCell ref="K21:K25"/>
    <mergeCell ref="L21:L25"/>
    <mergeCell ref="M21:M25"/>
    <mergeCell ref="N21:N25"/>
    <mergeCell ref="O21:O25"/>
    <mergeCell ref="P21:P25"/>
    <mergeCell ref="Q51:Q62"/>
    <mergeCell ref="R51:R62"/>
    <mergeCell ref="AF51:AF62"/>
    <mergeCell ref="J51:J62"/>
    <mergeCell ref="K51:K62"/>
    <mergeCell ref="L51:L62"/>
    <mergeCell ref="M51:M62"/>
    <mergeCell ref="N51:N62"/>
    <mergeCell ref="O51:O62"/>
    <mergeCell ref="P51:P62"/>
    <mergeCell ref="N26:N30"/>
    <mergeCell ref="O26:O30"/>
    <mergeCell ref="P26:P30"/>
    <mergeCell ref="Q26:Q30"/>
    <mergeCell ref="R26:R30"/>
    <mergeCell ref="N84:N88"/>
    <mergeCell ref="O84:O88"/>
    <mergeCell ref="P84:P88"/>
    <mergeCell ref="Q84:Q88"/>
    <mergeCell ref="R84:R88"/>
    <mergeCell ref="AF84:AF88"/>
    <mergeCell ref="E84:E88"/>
    <mergeCell ref="F84:F88"/>
    <mergeCell ref="G84:G88"/>
    <mergeCell ref="H84:H88"/>
    <mergeCell ref="I84:I88"/>
    <mergeCell ref="J84:J88"/>
    <mergeCell ref="K84:K88"/>
    <mergeCell ref="L84:L88"/>
    <mergeCell ref="M84:M88"/>
    <mergeCell ref="Q99:Q103"/>
    <mergeCell ref="R99:R103"/>
    <mergeCell ref="AF99:AF103"/>
    <mergeCell ref="S104:Z104"/>
    <mergeCell ref="AC104:AF104"/>
    <mergeCell ref="J99:J103"/>
    <mergeCell ref="K99:K103"/>
    <mergeCell ref="L99:L103"/>
    <mergeCell ref="M99:M103"/>
    <mergeCell ref="N99:N103"/>
    <mergeCell ref="O99:O103"/>
    <mergeCell ref="P99:P103"/>
    <mergeCell ref="C104:R104"/>
    <mergeCell ref="C99:C103"/>
    <mergeCell ref="D99:D103"/>
    <mergeCell ref="E99:E103"/>
    <mergeCell ref="F99:F103"/>
    <mergeCell ref="G99:G103"/>
    <mergeCell ref="H99:H103"/>
    <mergeCell ref="I99:I103"/>
    <mergeCell ref="L105:L109"/>
    <mergeCell ref="M105:M109"/>
    <mergeCell ref="N105:N109"/>
    <mergeCell ref="O105:O109"/>
    <mergeCell ref="P105:P109"/>
    <mergeCell ref="Q105:Q109"/>
    <mergeCell ref="R105:R109"/>
    <mergeCell ref="AF105:AF109"/>
    <mergeCell ref="E105:E109"/>
    <mergeCell ref="F105:F109"/>
    <mergeCell ref="G105:G109"/>
    <mergeCell ref="H105:H109"/>
    <mergeCell ref="I105:I109"/>
    <mergeCell ref="J105:J109"/>
    <mergeCell ref="K105:K109"/>
    <mergeCell ref="L110:L114"/>
    <mergeCell ref="M110:M114"/>
    <mergeCell ref="N110:N114"/>
    <mergeCell ref="O110:O114"/>
    <mergeCell ref="P110:P114"/>
    <mergeCell ref="Q110:Q114"/>
    <mergeCell ref="R110:R114"/>
    <mergeCell ref="AF110:AF114"/>
    <mergeCell ref="E110:E114"/>
    <mergeCell ref="F110:F114"/>
    <mergeCell ref="G110:G114"/>
    <mergeCell ref="H110:H114"/>
    <mergeCell ref="I110:I114"/>
    <mergeCell ref="J110:J114"/>
    <mergeCell ref="K110:K114"/>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3">
    <dataValidation type="list" allowBlank="1" showErrorMessage="1" sqref="F9 F14 F21 F26 F31 F36 F51 F63 F68 F72 F79 F84 F89 F94 F99 F105 F110 F115 F120 F125 F130 F135 F140 F145 F151 F156 F161 F166 F171 F176 F181">
      <formula1>INDIRECT($E9)</formula1>
    </dataValidation>
    <dataValidation type="list" allowBlank="1" showErrorMessage="1" sqref="E9 E14 E21 E26 E31 E36 E51 E63 E68 E72 E79 E84 E89 E94 E99 E105 E110 E115 E120 E125 E130 E135 E140 E145 E151 E156 E161 E166 E171 E176 E181">
      <formula1>INDIRECT($G9)</formula1>
    </dataValidation>
    <dataValidation type="decimal" allowBlank="1" showInputMessage="1" showErrorMessage="1" prompt="DPLAN - Sólo debe ingresar valores, NO porcentajes." sqref="M31:O31 M36:O36 M63:O63 M68:O68 M72:O72 M79:O79 M84:O84 M89:O89 M94:O94 M99:O99 M110:O110 M115:O115 M120:O120 M125:O125 M130:O130 M135:O135 M140:O140 M145:O145 M156:O156 M161:O161 M166:O166 M176:O176 M181:O181">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&amp;"Cambria,Cursiva"&amp;12&amp;K0070C0Administración Central&amp;C&amp;"Century Schoolbook,Normal"&amp;12&amp;K002060&amp;P</oddHeader>
  </headerFooter>
  <ignoredErrors>
    <ignoredError sqref="X225:Y242 W230" numberStoredAsText="1"/>
  </ignoredErrors>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C14:D14 C21:D21 C26:D26 C31:D31 C36:D36 C51:D51 C63:D63 C68:D68 C72:D72 C79:D79 C84:D84 C89:D89 C94:D94 C99:D99</xm:sqref>
        </x14:dataValidation>
        <x14:dataValidation type="list" allowBlank="1" showErrorMessage="1">
          <x14:formula1>
            <xm:f>(PEDI!#REF!)</xm:f>
          </x14:formula1>
          <xm:sqref>H9 H14 H21 H26 H31 H36 H51 H63 H68 H72 H79 H84 H89 H94 H99</xm:sqref>
        </x14:dataValidation>
        <x14:dataValidation type="list" allowBlank="1" showErrorMessage="1">
          <x14:formula1>
            <xm:f>PEDI!#REF!</xm:f>
          </x14:formula1>
          <xm:sqref>G9 G14 G21 G26 G31 G36 G51 G63 G68 G72 G79 G84 G89 G94 G99</xm:sqref>
        </x14:dataValidation>
        <x14:dataValidation type="list" allowBlank="1" showErrorMessage="1">
          <x14:formula1>
            <xm:f>INDIRECT('Estrategias DAFO'!#REF!)</xm:f>
          </x14:formula1>
          <xm:sqref>I9 I14 I21 I26 I31 I36 I51 I63 I68 I72 I79 I84 I89 I94 I99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98"/>
  <sheetViews>
    <sheetView showGridLines="0" topLeftCell="R69" workbookViewId="0">
      <selection activeCell="Y82" sqref="Y82:Z85"/>
    </sheetView>
  </sheetViews>
  <sheetFormatPr baseColWidth="10" defaultColWidth="12.5703125" defaultRowHeight="15.75" customHeight="1"/>
  <cols>
    <col min="1" max="2" width="5" customWidth="1"/>
    <col min="3" max="12" width="22.42578125" customWidth="1"/>
    <col min="13" max="15" width="8.7109375" customWidth="1"/>
    <col min="16" max="18" width="22.42578125" customWidth="1"/>
    <col min="19" max="19" width="31.140625" customWidth="1"/>
    <col min="20" max="20" width="18.5703125" customWidth="1"/>
    <col min="21" max="21" width="24.7109375" customWidth="1"/>
    <col min="22" max="22" width="44.140625" customWidth="1"/>
    <col min="23" max="23" width="13.7109375" customWidth="1"/>
    <col min="24" max="28" width="12" customWidth="1"/>
    <col min="29" max="31" width="7.7109375" customWidth="1"/>
    <col min="32" max="32" width="25.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253"/>
      <c r="V2" s="4253"/>
      <c r="W2" s="4253"/>
      <c r="X2" s="4253"/>
      <c r="Y2" s="4253"/>
      <c r="Z2" s="4253"/>
      <c r="AA2" s="4253"/>
      <c r="AB2" s="4253"/>
      <c r="AC2" s="4253"/>
      <c r="AD2" s="4253"/>
      <c r="AE2" s="4253"/>
      <c r="AF2" s="4253"/>
    </row>
    <row r="3" spans="1:32" ht="30.75">
      <c r="A3" s="4254" t="s">
        <v>626</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68"/>
      <c r="B5" s="68"/>
      <c r="C5" s="68"/>
      <c r="D5" s="68"/>
      <c r="E5" s="68"/>
      <c r="F5" s="68"/>
      <c r="G5" s="68"/>
      <c r="H5" s="68"/>
      <c r="I5" s="68"/>
      <c r="J5" s="68"/>
      <c r="K5" s="68"/>
      <c r="L5" s="68"/>
      <c r="M5" s="68"/>
      <c r="N5" s="68"/>
      <c r="O5" s="68"/>
      <c r="P5" s="68"/>
      <c r="Q5" s="68"/>
      <c r="R5" s="68"/>
      <c r="S5" s="318"/>
      <c r="T5" s="318"/>
      <c r="U5" s="68"/>
      <c r="V5" s="319"/>
      <c r="W5" s="68"/>
      <c r="X5" s="68"/>
      <c r="Y5" s="68"/>
      <c r="Z5" s="68"/>
      <c r="AA5" s="68"/>
      <c r="AB5" s="68"/>
      <c r="AC5" s="68"/>
      <c r="AD5" s="68"/>
      <c r="AE5" s="68"/>
      <c r="AF5" s="68"/>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39" customHeight="1">
      <c r="A9" s="4358" t="s">
        <v>626</v>
      </c>
      <c r="B9" s="4359"/>
      <c r="C9" s="4616" t="s">
        <v>235</v>
      </c>
      <c r="D9" s="4355" t="s">
        <v>236</v>
      </c>
      <c r="E9" s="4355" t="s">
        <v>244</v>
      </c>
      <c r="F9" s="4355" t="s">
        <v>245</v>
      </c>
      <c r="G9" s="4366" t="s">
        <v>239</v>
      </c>
      <c r="H9" s="4355" t="s">
        <v>293</v>
      </c>
      <c r="I9" s="4355" t="s">
        <v>257</v>
      </c>
      <c r="J9" s="4347" t="s">
        <v>4220</v>
      </c>
      <c r="K9" s="4347" t="s">
        <v>4218</v>
      </c>
      <c r="L9" s="4355" t="s">
        <v>627</v>
      </c>
      <c r="M9" s="4612">
        <v>0</v>
      </c>
      <c r="N9" s="4612">
        <v>0.25</v>
      </c>
      <c r="O9" s="4612">
        <v>0.25</v>
      </c>
      <c r="P9" s="4347" t="s">
        <v>4200</v>
      </c>
      <c r="Q9" s="4347" t="s">
        <v>4190</v>
      </c>
      <c r="R9" s="4613" t="s">
        <v>628</v>
      </c>
      <c r="S9" s="2679" t="s">
        <v>11</v>
      </c>
      <c r="T9" s="2595" t="s">
        <v>61</v>
      </c>
      <c r="U9" s="2596"/>
      <c r="V9" s="2615" t="s">
        <v>24</v>
      </c>
      <c r="W9" s="2629"/>
      <c r="X9" s="577"/>
      <c r="Y9" s="2643"/>
      <c r="Z9" s="2643"/>
      <c r="AA9" s="2643"/>
      <c r="AB9" s="2644">
        <f>SUM($AA$10:$AA$13)</f>
        <v>2882.88</v>
      </c>
      <c r="AC9" s="577"/>
      <c r="AD9" s="320"/>
      <c r="AE9" s="320"/>
      <c r="AF9" s="4614" t="s">
        <v>4176</v>
      </c>
    </row>
    <row r="10" spans="1:32" ht="30" customHeight="1">
      <c r="A10" s="4360"/>
      <c r="B10" s="4361"/>
      <c r="C10" s="4464"/>
      <c r="D10" s="4215"/>
      <c r="E10" s="4215"/>
      <c r="F10" s="4215"/>
      <c r="G10" s="4215"/>
      <c r="H10" s="4215"/>
      <c r="I10" s="4215"/>
      <c r="J10" s="4215"/>
      <c r="K10" s="4215"/>
      <c r="L10" s="4215"/>
      <c r="M10" s="4226"/>
      <c r="N10" s="4226"/>
      <c r="O10" s="4226"/>
      <c r="P10" s="4215"/>
      <c r="Q10" s="4215"/>
      <c r="R10" s="4449"/>
      <c r="S10" s="2584"/>
      <c r="T10" s="2597"/>
      <c r="U10" s="2597" t="s">
        <v>629</v>
      </c>
      <c r="V10" s="2680" t="s">
        <v>4178</v>
      </c>
      <c r="W10" s="2630">
        <v>1</v>
      </c>
      <c r="X10" s="579" t="s">
        <v>269</v>
      </c>
      <c r="Y10" s="2645">
        <v>815</v>
      </c>
      <c r="Z10" s="2645">
        <f t="shared" ref="Z10:Z13" si="0">+W10*Y10</f>
        <v>815</v>
      </c>
      <c r="AA10" s="2645">
        <f t="shared" ref="AA10:AA13" si="1">+Z10*1.12</f>
        <v>912.80000000000007</v>
      </c>
      <c r="AB10" s="2646"/>
      <c r="AC10" s="539" t="s">
        <v>251</v>
      </c>
      <c r="AD10" s="541"/>
      <c r="AE10" s="541"/>
      <c r="AF10" s="4598"/>
    </row>
    <row r="11" spans="1:32" ht="30" customHeight="1">
      <c r="A11" s="4360"/>
      <c r="B11" s="4361"/>
      <c r="C11" s="4464"/>
      <c r="D11" s="4215"/>
      <c r="E11" s="4215"/>
      <c r="F11" s="4215"/>
      <c r="G11" s="4215"/>
      <c r="H11" s="4215"/>
      <c r="I11" s="4215"/>
      <c r="J11" s="4215"/>
      <c r="K11" s="4215"/>
      <c r="L11" s="4215"/>
      <c r="M11" s="4226"/>
      <c r="N11" s="4226"/>
      <c r="O11" s="4226"/>
      <c r="P11" s="4215"/>
      <c r="Q11" s="4215"/>
      <c r="R11" s="4449"/>
      <c r="S11" s="2584"/>
      <c r="T11" s="2597"/>
      <c r="U11" s="2597" t="s">
        <v>630</v>
      </c>
      <c r="V11" s="2616" t="s">
        <v>631</v>
      </c>
      <c r="W11" s="2630">
        <v>1</v>
      </c>
      <c r="X11" s="579" t="s">
        <v>269</v>
      </c>
      <c r="Y11" s="2645">
        <v>200</v>
      </c>
      <c r="Z11" s="2645">
        <f t="shared" si="0"/>
        <v>200</v>
      </c>
      <c r="AA11" s="2645">
        <f t="shared" si="1"/>
        <v>224.00000000000003</v>
      </c>
      <c r="AB11" s="2646"/>
      <c r="AC11" s="539" t="s">
        <v>251</v>
      </c>
      <c r="AD11" s="541"/>
      <c r="AE11" s="541"/>
      <c r="AF11" s="4598"/>
    </row>
    <row r="12" spans="1:32" ht="30" customHeight="1">
      <c r="A12" s="4360"/>
      <c r="B12" s="4361"/>
      <c r="C12" s="4464"/>
      <c r="D12" s="4215"/>
      <c r="E12" s="4215"/>
      <c r="F12" s="4215"/>
      <c r="G12" s="4215"/>
      <c r="H12" s="4215"/>
      <c r="I12" s="4215"/>
      <c r="J12" s="4215"/>
      <c r="K12" s="4215"/>
      <c r="L12" s="4215"/>
      <c r="M12" s="4226"/>
      <c r="N12" s="4226"/>
      <c r="O12" s="4226"/>
      <c r="P12" s="4215"/>
      <c r="Q12" s="4215"/>
      <c r="R12" s="4449"/>
      <c r="S12" s="2584"/>
      <c r="T12" s="2597"/>
      <c r="U12" s="2597" t="s">
        <v>632</v>
      </c>
      <c r="V12" s="2681" t="s">
        <v>4179</v>
      </c>
      <c r="W12" s="2630">
        <v>1</v>
      </c>
      <c r="X12" s="579" t="s">
        <v>269</v>
      </c>
      <c r="Y12" s="2645">
        <v>659</v>
      </c>
      <c r="Z12" s="2645">
        <f t="shared" si="0"/>
        <v>659</v>
      </c>
      <c r="AA12" s="2645">
        <f t="shared" si="1"/>
        <v>738.08</v>
      </c>
      <c r="AB12" s="2645"/>
      <c r="AC12" s="539"/>
      <c r="AD12" s="541" t="s">
        <v>251</v>
      </c>
      <c r="AE12" s="541"/>
      <c r="AF12" s="4598"/>
    </row>
    <row r="13" spans="1:32" ht="30" customHeight="1">
      <c r="A13" s="4360"/>
      <c r="B13" s="4361"/>
      <c r="C13" s="4468"/>
      <c r="D13" s="4348"/>
      <c r="E13" s="4348"/>
      <c r="F13" s="4348"/>
      <c r="G13" s="4348"/>
      <c r="H13" s="4348"/>
      <c r="I13" s="4348"/>
      <c r="J13" s="4348"/>
      <c r="K13" s="4348"/>
      <c r="L13" s="4348"/>
      <c r="M13" s="4357"/>
      <c r="N13" s="4357"/>
      <c r="O13" s="4357"/>
      <c r="P13" s="4348"/>
      <c r="Q13" s="4348"/>
      <c r="R13" s="4472"/>
      <c r="S13" s="2661"/>
      <c r="T13" s="2598"/>
      <c r="U13" s="2598" t="s">
        <v>632</v>
      </c>
      <c r="V13" s="2682" t="s">
        <v>4180</v>
      </c>
      <c r="W13" s="2631">
        <v>1</v>
      </c>
      <c r="X13" s="323" t="s">
        <v>269</v>
      </c>
      <c r="Y13" s="2647">
        <v>900</v>
      </c>
      <c r="Z13" s="2647">
        <f t="shared" si="0"/>
        <v>900</v>
      </c>
      <c r="AA13" s="2647">
        <f t="shared" si="1"/>
        <v>1008.0000000000001</v>
      </c>
      <c r="AB13" s="2647"/>
      <c r="AC13" s="325"/>
      <c r="AD13" s="326" t="s">
        <v>251</v>
      </c>
      <c r="AE13" s="326"/>
      <c r="AF13" s="4598"/>
    </row>
    <row r="14" spans="1:32" ht="37.5" customHeight="1">
      <c r="A14" s="4360"/>
      <c r="B14" s="4361"/>
      <c r="C14" s="4463" t="s">
        <v>235</v>
      </c>
      <c r="D14" s="4328" t="s">
        <v>236</v>
      </c>
      <c r="E14" s="4328" t="s">
        <v>244</v>
      </c>
      <c r="F14" s="4328" t="s">
        <v>309</v>
      </c>
      <c r="G14" s="4329" t="s">
        <v>239</v>
      </c>
      <c r="H14" s="4328" t="s">
        <v>293</v>
      </c>
      <c r="I14" s="4328" t="s">
        <v>278</v>
      </c>
      <c r="J14" s="4345" t="s">
        <v>4221</v>
      </c>
      <c r="K14" s="4345" t="s">
        <v>4219</v>
      </c>
      <c r="L14" s="4345" t="s">
        <v>633</v>
      </c>
      <c r="M14" s="4608">
        <v>0.05</v>
      </c>
      <c r="N14" s="4608">
        <v>0.1</v>
      </c>
      <c r="O14" s="4608">
        <v>0.1</v>
      </c>
      <c r="P14" s="4345" t="s">
        <v>4201</v>
      </c>
      <c r="Q14" s="4459" t="s">
        <v>4191</v>
      </c>
      <c r="R14" s="4609" t="s">
        <v>628</v>
      </c>
      <c r="S14" s="2589" t="s">
        <v>11</v>
      </c>
      <c r="T14" s="2599" t="s">
        <v>21</v>
      </c>
      <c r="U14" s="2600"/>
      <c r="V14" s="2618" t="s">
        <v>20</v>
      </c>
      <c r="W14" s="2632"/>
      <c r="X14" s="327"/>
      <c r="Y14" s="2648"/>
      <c r="Z14" s="2648"/>
      <c r="AA14" s="2648"/>
      <c r="AB14" s="2649">
        <f>SUM($AA$15:$AA$20)</f>
        <v>985.60000000000014</v>
      </c>
      <c r="AC14" s="328"/>
      <c r="AD14" s="329"/>
      <c r="AE14" s="329"/>
      <c r="AF14" s="4607" t="s">
        <v>4177</v>
      </c>
    </row>
    <row r="15" spans="1:32" ht="18" customHeight="1">
      <c r="A15" s="4360"/>
      <c r="B15" s="4361"/>
      <c r="C15" s="4464"/>
      <c r="D15" s="4215"/>
      <c r="E15" s="4215"/>
      <c r="F15" s="4215"/>
      <c r="G15" s="4215"/>
      <c r="H15" s="4215"/>
      <c r="I15" s="4215"/>
      <c r="J15" s="4215"/>
      <c r="K15" s="4215"/>
      <c r="L15" s="4215"/>
      <c r="M15" s="4226"/>
      <c r="N15" s="4226"/>
      <c r="O15" s="4226"/>
      <c r="P15" s="4215"/>
      <c r="Q15" s="4449"/>
      <c r="R15" s="4610"/>
      <c r="S15" s="2585"/>
      <c r="T15" s="2601"/>
      <c r="U15" s="2597" t="s">
        <v>634</v>
      </c>
      <c r="V15" s="2616" t="s">
        <v>635</v>
      </c>
      <c r="W15" s="2630">
        <v>1</v>
      </c>
      <c r="X15" s="579" t="s">
        <v>269</v>
      </c>
      <c r="Y15" s="2645">
        <v>40</v>
      </c>
      <c r="Z15" s="2645">
        <f t="shared" ref="Z15:Z20" si="2">+W15*Y15</f>
        <v>40</v>
      </c>
      <c r="AA15" s="2645">
        <f t="shared" ref="AA15:AA20" si="3">+Z15*1.12</f>
        <v>44.800000000000004</v>
      </c>
      <c r="AB15" s="2646"/>
      <c r="AC15" s="539" t="s">
        <v>251</v>
      </c>
      <c r="AD15" s="541"/>
      <c r="AE15" s="541"/>
      <c r="AF15" s="4598"/>
    </row>
    <row r="16" spans="1:32" ht="18" customHeight="1">
      <c r="A16" s="4360"/>
      <c r="B16" s="4361"/>
      <c r="C16" s="4464"/>
      <c r="D16" s="4215"/>
      <c r="E16" s="4215"/>
      <c r="F16" s="4215"/>
      <c r="G16" s="4215"/>
      <c r="H16" s="4215"/>
      <c r="I16" s="4215"/>
      <c r="J16" s="4215"/>
      <c r="K16" s="4215"/>
      <c r="L16" s="4215"/>
      <c r="M16" s="4226"/>
      <c r="N16" s="4226"/>
      <c r="O16" s="4226"/>
      <c r="P16" s="4215"/>
      <c r="Q16" s="4449"/>
      <c r="R16" s="4610"/>
      <c r="S16" s="2585"/>
      <c r="T16" s="2601"/>
      <c r="U16" s="2597" t="s">
        <v>636</v>
      </c>
      <c r="V16" s="2680" t="s">
        <v>4175</v>
      </c>
      <c r="W16" s="2630">
        <v>3</v>
      </c>
      <c r="X16" s="579" t="s">
        <v>269</v>
      </c>
      <c r="Y16" s="2645">
        <v>16</v>
      </c>
      <c r="Z16" s="2645">
        <f t="shared" si="2"/>
        <v>48</v>
      </c>
      <c r="AA16" s="2645">
        <f t="shared" si="3"/>
        <v>53.760000000000005</v>
      </c>
      <c r="AB16" s="2646"/>
      <c r="AC16" s="539" t="s">
        <v>251</v>
      </c>
      <c r="AD16" s="541"/>
      <c r="AE16" s="541"/>
      <c r="AF16" s="4598"/>
    </row>
    <row r="17" spans="1:32" ht="18" customHeight="1">
      <c r="A17" s="4360"/>
      <c r="B17" s="4361"/>
      <c r="C17" s="4464"/>
      <c r="D17" s="4215"/>
      <c r="E17" s="4215"/>
      <c r="F17" s="4215"/>
      <c r="G17" s="4215"/>
      <c r="H17" s="4215"/>
      <c r="I17" s="4215"/>
      <c r="J17" s="4215"/>
      <c r="K17" s="4215"/>
      <c r="L17" s="4215"/>
      <c r="M17" s="4226"/>
      <c r="N17" s="4226"/>
      <c r="O17" s="4226"/>
      <c r="P17" s="4215"/>
      <c r="Q17" s="4449"/>
      <c r="R17" s="4610"/>
      <c r="S17" s="2584"/>
      <c r="T17" s="2597"/>
      <c r="U17" s="2597" t="s">
        <v>637</v>
      </c>
      <c r="V17" s="2681" t="s">
        <v>4181</v>
      </c>
      <c r="W17" s="2630">
        <v>4</v>
      </c>
      <c r="X17" s="579" t="s">
        <v>269</v>
      </c>
      <c r="Y17" s="2645">
        <v>89</v>
      </c>
      <c r="Z17" s="2645">
        <f t="shared" si="2"/>
        <v>356</v>
      </c>
      <c r="AA17" s="2645">
        <f t="shared" si="3"/>
        <v>398.72</v>
      </c>
      <c r="AB17" s="2646"/>
      <c r="AC17" s="539" t="s">
        <v>251</v>
      </c>
      <c r="AD17" s="541"/>
      <c r="AE17" s="541"/>
      <c r="AF17" s="4598"/>
    </row>
    <row r="18" spans="1:32" ht="18" customHeight="1">
      <c r="A18" s="4360"/>
      <c r="B18" s="4361"/>
      <c r="C18" s="4464"/>
      <c r="D18" s="4215"/>
      <c r="E18" s="4215"/>
      <c r="F18" s="4215"/>
      <c r="G18" s="4215"/>
      <c r="H18" s="4215"/>
      <c r="I18" s="4215"/>
      <c r="J18" s="4215"/>
      <c r="K18" s="4215"/>
      <c r="L18" s="4215"/>
      <c r="M18" s="4226"/>
      <c r="N18" s="4226"/>
      <c r="O18" s="4226"/>
      <c r="P18" s="4215"/>
      <c r="Q18" s="4449"/>
      <c r="R18" s="4610"/>
      <c r="S18" s="2586"/>
      <c r="T18" s="2601"/>
      <c r="U18" s="2597" t="s">
        <v>638</v>
      </c>
      <c r="V18" s="2617" t="s">
        <v>639</v>
      </c>
      <c r="W18" s="2630">
        <v>2</v>
      </c>
      <c r="X18" s="579" t="s">
        <v>269</v>
      </c>
      <c r="Y18" s="2645">
        <v>20</v>
      </c>
      <c r="Z18" s="2645">
        <f t="shared" si="2"/>
        <v>40</v>
      </c>
      <c r="AA18" s="2645">
        <f t="shared" si="3"/>
        <v>44.800000000000004</v>
      </c>
      <c r="AB18" s="2646"/>
      <c r="AC18" s="539" t="s">
        <v>251</v>
      </c>
      <c r="AD18" s="541"/>
      <c r="AE18" s="541"/>
      <c r="AF18" s="4598"/>
    </row>
    <row r="19" spans="1:32" ht="18" customHeight="1">
      <c r="A19" s="4360"/>
      <c r="B19" s="4361"/>
      <c r="C19" s="4464"/>
      <c r="D19" s="4215"/>
      <c r="E19" s="4215"/>
      <c r="F19" s="4215"/>
      <c r="G19" s="4215"/>
      <c r="H19" s="4215"/>
      <c r="I19" s="4215"/>
      <c r="J19" s="4215"/>
      <c r="K19" s="4215"/>
      <c r="L19" s="4215"/>
      <c r="M19" s="4226"/>
      <c r="N19" s="4226"/>
      <c r="O19" s="4226"/>
      <c r="P19" s="4215"/>
      <c r="Q19" s="4449"/>
      <c r="R19" s="4610"/>
      <c r="S19" s="2586"/>
      <c r="T19" s="2601"/>
      <c r="U19" s="2597" t="s">
        <v>640</v>
      </c>
      <c r="V19" s="2680" t="s">
        <v>4182</v>
      </c>
      <c r="W19" s="2630">
        <v>3</v>
      </c>
      <c r="X19" s="579" t="s">
        <v>269</v>
      </c>
      <c r="Y19" s="2645">
        <v>82</v>
      </c>
      <c r="Z19" s="2645">
        <f t="shared" si="2"/>
        <v>246</v>
      </c>
      <c r="AA19" s="2645">
        <f t="shared" si="3"/>
        <v>275.52000000000004</v>
      </c>
      <c r="AB19" s="2646"/>
      <c r="AC19" s="539" t="s">
        <v>251</v>
      </c>
      <c r="AD19" s="541"/>
      <c r="AE19" s="541"/>
      <c r="AF19" s="4598"/>
    </row>
    <row r="20" spans="1:32" ht="18" customHeight="1">
      <c r="A20" s="4360"/>
      <c r="B20" s="4361"/>
      <c r="C20" s="4468"/>
      <c r="D20" s="4348"/>
      <c r="E20" s="4348"/>
      <c r="F20" s="4348"/>
      <c r="G20" s="4348"/>
      <c r="H20" s="4348"/>
      <c r="I20" s="4348"/>
      <c r="J20" s="4348"/>
      <c r="K20" s="4348"/>
      <c r="L20" s="4348"/>
      <c r="M20" s="4357"/>
      <c r="N20" s="4357"/>
      <c r="O20" s="4357"/>
      <c r="P20" s="4348"/>
      <c r="Q20" s="4472"/>
      <c r="R20" s="4611"/>
      <c r="S20" s="2662"/>
      <c r="T20" s="2677"/>
      <c r="U20" s="2665" t="s">
        <v>641</v>
      </c>
      <c r="V20" s="2678" t="s">
        <v>288</v>
      </c>
      <c r="W20" s="1781">
        <v>3</v>
      </c>
      <c r="X20" s="2666" t="s">
        <v>269</v>
      </c>
      <c r="Y20" s="2667">
        <v>50</v>
      </c>
      <c r="Z20" s="2667">
        <f t="shared" si="2"/>
        <v>150</v>
      </c>
      <c r="AA20" s="2667">
        <f t="shared" si="3"/>
        <v>168.00000000000003</v>
      </c>
      <c r="AB20" s="2668"/>
      <c r="AC20" s="2669" t="s">
        <v>251</v>
      </c>
      <c r="AD20" s="2670"/>
      <c r="AE20" s="2670"/>
      <c r="AF20" s="4603"/>
    </row>
    <row r="21" spans="1:32" ht="39" customHeight="1">
      <c r="A21" s="4360"/>
      <c r="B21" s="4361"/>
      <c r="C21" s="4463" t="s">
        <v>235</v>
      </c>
      <c r="D21" s="4328" t="s">
        <v>236</v>
      </c>
      <c r="E21" s="4328" t="s">
        <v>244</v>
      </c>
      <c r="F21" s="4328" t="s">
        <v>309</v>
      </c>
      <c r="G21" s="4329" t="s">
        <v>239</v>
      </c>
      <c r="H21" s="4328" t="s">
        <v>293</v>
      </c>
      <c r="I21" s="4328" t="s">
        <v>257</v>
      </c>
      <c r="J21" s="4606" t="s">
        <v>4222</v>
      </c>
      <c r="K21" s="4328" t="s">
        <v>642</v>
      </c>
      <c r="L21" s="4345" t="s">
        <v>4217</v>
      </c>
      <c r="M21" s="4249">
        <v>0</v>
      </c>
      <c r="N21" s="4249">
        <v>1</v>
      </c>
      <c r="O21" s="4249">
        <v>1</v>
      </c>
      <c r="P21" s="4345" t="s">
        <v>4202</v>
      </c>
      <c r="Q21" s="4345" t="s">
        <v>4192</v>
      </c>
      <c r="R21" s="4448" t="s">
        <v>628</v>
      </c>
      <c r="S21" s="2589" t="s">
        <v>11</v>
      </c>
      <c r="T21" s="2602" t="s">
        <v>63</v>
      </c>
      <c r="U21" s="2602"/>
      <c r="V21" s="2619" t="s">
        <v>20</v>
      </c>
      <c r="W21" s="2633"/>
      <c r="X21" s="1968"/>
      <c r="Y21" s="2650"/>
      <c r="Z21" s="2650"/>
      <c r="AA21" s="2651"/>
      <c r="AB21" s="2652">
        <f>SUM($AA$22:$AA$24)</f>
        <v>2934.4</v>
      </c>
      <c r="AC21" s="1969"/>
      <c r="AD21" s="1970"/>
      <c r="AE21" s="1970"/>
      <c r="AF21" s="4597"/>
    </row>
    <row r="22" spans="1:32" ht="29.25" customHeight="1">
      <c r="A22" s="4360"/>
      <c r="B22" s="4361"/>
      <c r="C22" s="4464"/>
      <c r="D22" s="4215"/>
      <c r="E22" s="4215"/>
      <c r="F22" s="4215"/>
      <c r="G22" s="4215"/>
      <c r="H22" s="4215"/>
      <c r="I22" s="4215"/>
      <c r="J22" s="4446"/>
      <c r="K22" s="4215"/>
      <c r="L22" s="4215"/>
      <c r="M22" s="4226"/>
      <c r="N22" s="4226"/>
      <c r="O22" s="4226"/>
      <c r="P22" s="4215"/>
      <c r="Q22" s="4215"/>
      <c r="R22" s="4449"/>
      <c r="S22" s="2584"/>
      <c r="T22" s="2597"/>
      <c r="U22" s="2597" t="s">
        <v>643</v>
      </c>
      <c r="V22" s="2683" t="s">
        <v>4183</v>
      </c>
      <c r="W22" s="2630">
        <v>2</v>
      </c>
      <c r="X22" s="579" t="s">
        <v>269</v>
      </c>
      <c r="Y22" s="2645">
        <v>750</v>
      </c>
      <c r="Z22" s="2645">
        <f t="shared" ref="Z22:Z24" si="4">+W22*Y22</f>
        <v>1500</v>
      </c>
      <c r="AA22" s="2645">
        <f t="shared" ref="AA22:AA24" si="5">+Z22*1.12</f>
        <v>1680.0000000000002</v>
      </c>
      <c r="AB22" s="2646"/>
      <c r="AC22" s="539"/>
      <c r="AD22" s="541" t="s">
        <v>251</v>
      </c>
      <c r="AE22" s="541"/>
      <c r="AF22" s="4598"/>
    </row>
    <row r="23" spans="1:32" ht="29.25" customHeight="1">
      <c r="A23" s="4360"/>
      <c r="B23" s="4361"/>
      <c r="C23" s="4464"/>
      <c r="D23" s="4215"/>
      <c r="E23" s="4215"/>
      <c r="F23" s="4215"/>
      <c r="G23" s="4215"/>
      <c r="H23" s="4215"/>
      <c r="I23" s="4215"/>
      <c r="J23" s="4446"/>
      <c r="K23" s="4215"/>
      <c r="L23" s="4215"/>
      <c r="M23" s="4226"/>
      <c r="N23" s="4226"/>
      <c r="O23" s="4226"/>
      <c r="P23" s="4215"/>
      <c r="Q23" s="4215"/>
      <c r="R23" s="4449"/>
      <c r="S23" s="2587"/>
      <c r="T23" s="2603"/>
      <c r="U23" s="2597" t="s">
        <v>644</v>
      </c>
      <c r="V23" s="2683" t="s">
        <v>4184</v>
      </c>
      <c r="W23" s="2630">
        <v>1</v>
      </c>
      <c r="X23" s="579" t="s">
        <v>269</v>
      </c>
      <c r="Y23" s="2645">
        <v>950</v>
      </c>
      <c r="Z23" s="2645">
        <f t="shared" si="4"/>
        <v>950</v>
      </c>
      <c r="AA23" s="2645">
        <f t="shared" si="5"/>
        <v>1064</v>
      </c>
      <c r="AB23" s="2645"/>
      <c r="AC23" s="539" t="s">
        <v>251</v>
      </c>
      <c r="AD23" s="541"/>
      <c r="AE23" s="541"/>
      <c r="AF23" s="4598"/>
    </row>
    <row r="24" spans="1:32" ht="29.25" customHeight="1">
      <c r="A24" s="4360"/>
      <c r="B24" s="4361"/>
      <c r="C24" s="4464"/>
      <c r="D24" s="4215"/>
      <c r="E24" s="4215"/>
      <c r="F24" s="4215"/>
      <c r="G24" s="4215"/>
      <c r="H24" s="4215"/>
      <c r="I24" s="4215"/>
      <c r="J24" s="4446"/>
      <c r="K24" s="4215"/>
      <c r="L24" s="4215"/>
      <c r="M24" s="4226"/>
      <c r="N24" s="4226"/>
      <c r="O24" s="4226"/>
      <c r="P24" s="4215"/>
      <c r="Q24" s="4215"/>
      <c r="R24" s="4449"/>
      <c r="S24" s="2585"/>
      <c r="T24" s="2604"/>
      <c r="U24" s="2605" t="s">
        <v>645</v>
      </c>
      <c r="V24" s="2680" t="s">
        <v>4185</v>
      </c>
      <c r="W24" s="2630">
        <v>1</v>
      </c>
      <c r="X24" s="579" t="s">
        <v>269</v>
      </c>
      <c r="Y24" s="2645">
        <v>170</v>
      </c>
      <c r="Z24" s="2645">
        <f t="shared" si="4"/>
        <v>170</v>
      </c>
      <c r="AA24" s="2645">
        <f t="shared" si="5"/>
        <v>190.4</v>
      </c>
      <c r="AB24" s="2646"/>
      <c r="AC24" s="539" t="s">
        <v>251</v>
      </c>
      <c r="AD24" s="541"/>
      <c r="AE24" s="541"/>
      <c r="AF24" s="4598"/>
    </row>
    <row r="25" spans="1:32" ht="29.25" customHeight="1">
      <c r="A25" s="4360"/>
      <c r="B25" s="4361"/>
      <c r="C25" s="4465"/>
      <c r="D25" s="4216"/>
      <c r="E25" s="4216"/>
      <c r="F25" s="4216"/>
      <c r="G25" s="4216"/>
      <c r="H25" s="4216"/>
      <c r="I25" s="4216"/>
      <c r="J25" s="4341"/>
      <c r="K25" s="4216"/>
      <c r="L25" s="4216"/>
      <c r="M25" s="4247"/>
      <c r="N25" s="4247"/>
      <c r="O25" s="4247"/>
      <c r="P25" s="4216"/>
      <c r="Q25" s="4216"/>
      <c r="R25" s="4450"/>
      <c r="S25" s="2661"/>
      <c r="T25" s="2598"/>
      <c r="U25" s="2598"/>
      <c r="V25" s="2620"/>
      <c r="W25" s="2634"/>
      <c r="X25" s="324"/>
      <c r="Y25" s="2647"/>
      <c r="Z25" s="2647"/>
      <c r="AA25" s="2647"/>
      <c r="AB25" s="2647"/>
      <c r="AC25" s="325"/>
      <c r="AD25" s="326"/>
      <c r="AE25" s="326"/>
      <c r="AF25" s="4605"/>
    </row>
    <row r="26" spans="1:32" ht="34.5" customHeight="1">
      <c r="A26" s="4360"/>
      <c r="B26" s="4361"/>
      <c r="C26" s="4463" t="s">
        <v>235</v>
      </c>
      <c r="D26" s="4328" t="s">
        <v>236</v>
      </c>
      <c r="E26" s="4328" t="s">
        <v>244</v>
      </c>
      <c r="F26" s="4328" t="s">
        <v>337</v>
      </c>
      <c r="G26" s="4338" t="s">
        <v>239</v>
      </c>
      <c r="H26" s="4273" t="s">
        <v>293</v>
      </c>
      <c r="I26" s="4273" t="s">
        <v>278</v>
      </c>
      <c r="J26" s="4445" t="s">
        <v>4223</v>
      </c>
      <c r="K26" s="4482" t="s">
        <v>646</v>
      </c>
      <c r="L26" s="4228" t="s">
        <v>4216</v>
      </c>
      <c r="M26" s="4246">
        <v>1</v>
      </c>
      <c r="N26" s="4246">
        <v>0</v>
      </c>
      <c r="O26" s="4249">
        <v>0</v>
      </c>
      <c r="P26" s="4345" t="s">
        <v>4203</v>
      </c>
      <c r="Q26" s="4345" t="s">
        <v>4193</v>
      </c>
      <c r="R26" s="4471" t="s">
        <v>628</v>
      </c>
      <c r="S26" s="2589" t="s">
        <v>11</v>
      </c>
      <c r="T26" s="2599" t="s">
        <v>53</v>
      </c>
      <c r="U26" s="2600"/>
      <c r="V26" s="2618" t="s">
        <v>41</v>
      </c>
      <c r="W26" s="2635"/>
      <c r="X26" s="332"/>
      <c r="Y26" s="2653"/>
      <c r="Z26" s="2653"/>
      <c r="AA26" s="2653"/>
      <c r="AB26" s="2649">
        <f>SUM($AA$27:$AA$27)</f>
        <v>8960</v>
      </c>
      <c r="AC26" s="328"/>
      <c r="AD26" s="333"/>
      <c r="AE26" s="333"/>
      <c r="AF26" s="4602"/>
    </row>
    <row r="27" spans="1:32" ht="25.5">
      <c r="A27" s="4360"/>
      <c r="B27" s="4361"/>
      <c r="C27" s="4464"/>
      <c r="D27" s="4215"/>
      <c r="E27" s="4215"/>
      <c r="F27" s="4215"/>
      <c r="G27" s="4215"/>
      <c r="H27" s="4215"/>
      <c r="I27" s="4215"/>
      <c r="J27" s="4446"/>
      <c r="K27" s="4215"/>
      <c r="L27" s="4215"/>
      <c r="M27" s="4226"/>
      <c r="N27" s="4226"/>
      <c r="O27" s="4226"/>
      <c r="P27" s="4215"/>
      <c r="Q27" s="4215"/>
      <c r="R27" s="4449"/>
      <c r="S27" s="2587"/>
      <c r="T27" s="2603"/>
      <c r="U27" s="2597" t="s">
        <v>647</v>
      </c>
      <c r="V27" s="2617" t="s">
        <v>648</v>
      </c>
      <c r="W27" s="2630">
        <v>1</v>
      </c>
      <c r="X27" s="579" t="s">
        <v>250</v>
      </c>
      <c r="Y27" s="2645">
        <v>8000</v>
      </c>
      <c r="Z27" s="2645">
        <f t="shared" ref="Z27" si="6">+W27*Y27</f>
        <v>8000</v>
      </c>
      <c r="AA27" s="2645">
        <f t="shared" ref="AA27" si="7">+Z27*1.12</f>
        <v>8960</v>
      </c>
      <c r="AB27" s="2646"/>
      <c r="AC27" s="539"/>
      <c r="AD27" s="539" t="s">
        <v>251</v>
      </c>
      <c r="AE27" s="334" t="s">
        <v>251</v>
      </c>
      <c r="AF27" s="4598"/>
    </row>
    <row r="28" spans="1:32" ht="31.5" customHeight="1">
      <c r="A28" s="4360"/>
      <c r="B28" s="4361"/>
      <c r="C28" s="4464"/>
      <c r="D28" s="4215"/>
      <c r="E28" s="4215"/>
      <c r="F28" s="4215"/>
      <c r="G28" s="4215"/>
      <c r="H28" s="4215"/>
      <c r="I28" s="4215"/>
      <c r="J28" s="4446"/>
      <c r="K28" s="4215"/>
      <c r="L28" s="4215"/>
      <c r="M28" s="4226"/>
      <c r="N28" s="4226"/>
      <c r="O28" s="4226"/>
      <c r="P28" s="4215"/>
      <c r="Q28" s="4215"/>
      <c r="R28" s="4449"/>
      <c r="S28" s="2588" t="s">
        <v>39</v>
      </c>
      <c r="T28" s="2606" t="s">
        <v>52</v>
      </c>
      <c r="U28" s="2607"/>
      <c r="V28" s="2623" t="s">
        <v>16</v>
      </c>
      <c r="W28" s="1636"/>
      <c r="X28" s="203"/>
      <c r="Y28" s="1644"/>
      <c r="Z28" s="1644"/>
      <c r="AA28" s="1644"/>
      <c r="AB28" s="2654">
        <f>SUM($AA$29:$AA$29)</f>
        <v>6720.0000000000009</v>
      </c>
      <c r="AC28" s="395"/>
      <c r="AD28" s="395"/>
      <c r="AE28" s="335"/>
      <c r="AF28" s="4598"/>
    </row>
    <row r="29" spans="1:32" ht="64.5" customHeight="1">
      <c r="A29" s="4360"/>
      <c r="B29" s="4361"/>
      <c r="C29" s="4464"/>
      <c r="D29" s="4215"/>
      <c r="E29" s="4215"/>
      <c r="F29" s="4215"/>
      <c r="G29" s="4215"/>
      <c r="H29" s="4215"/>
      <c r="I29" s="4215"/>
      <c r="J29" s="4446"/>
      <c r="K29" s="4215"/>
      <c r="L29" s="4215"/>
      <c r="M29" s="4226"/>
      <c r="N29" s="4226"/>
      <c r="O29" s="4226"/>
      <c r="P29" s="4215"/>
      <c r="Q29" s="4215"/>
      <c r="R29" s="4449"/>
      <c r="S29" s="2587"/>
      <c r="T29" s="2608"/>
      <c r="U29" s="2609" t="s">
        <v>649</v>
      </c>
      <c r="V29" s="1630" t="s">
        <v>650</v>
      </c>
      <c r="W29" s="1639">
        <v>1</v>
      </c>
      <c r="X29" s="203" t="s">
        <v>250</v>
      </c>
      <c r="Y29" s="1644">
        <v>6000</v>
      </c>
      <c r="Z29" s="1644">
        <f t="shared" ref="Z29" si="8">+W29*Y29</f>
        <v>6000</v>
      </c>
      <c r="AA29" s="1644">
        <f t="shared" ref="AA29" si="9">+Z29*1.12</f>
        <v>6720.0000000000009</v>
      </c>
      <c r="AB29" s="2654"/>
      <c r="AC29" s="395"/>
      <c r="AD29" s="395" t="s">
        <v>251</v>
      </c>
      <c r="AE29" s="335" t="s">
        <v>251</v>
      </c>
      <c r="AF29" s="4598"/>
    </row>
    <row r="30" spans="1:32" ht="39" customHeight="1">
      <c r="A30" s="4360"/>
      <c r="B30" s="4361"/>
      <c r="C30" s="4464"/>
      <c r="D30" s="4215"/>
      <c r="E30" s="4215"/>
      <c r="F30" s="4215"/>
      <c r="G30" s="4215"/>
      <c r="H30" s="4215"/>
      <c r="I30" s="4215"/>
      <c r="J30" s="4446"/>
      <c r="K30" s="4215"/>
      <c r="L30" s="4215"/>
      <c r="M30" s="4226"/>
      <c r="N30" s="4226"/>
      <c r="O30" s="4226"/>
      <c r="P30" s="4215"/>
      <c r="Q30" s="4215"/>
      <c r="R30" s="4449"/>
      <c r="S30" s="2589" t="s">
        <v>11</v>
      </c>
      <c r="T30" s="2606" t="s">
        <v>52</v>
      </c>
      <c r="U30" s="2607"/>
      <c r="V30" s="2623" t="s">
        <v>16</v>
      </c>
      <c r="W30" s="1636"/>
      <c r="X30" s="203"/>
      <c r="Y30" s="1644"/>
      <c r="Z30" s="1644"/>
      <c r="AA30" s="1644"/>
      <c r="AB30" s="2654">
        <f>SUM($AA$31:$AA$31)</f>
        <v>6720.0000000000009</v>
      </c>
      <c r="AC30" s="395"/>
      <c r="AD30" s="395"/>
      <c r="AE30" s="337"/>
      <c r="AF30" s="4598"/>
    </row>
    <row r="31" spans="1:32" ht="39" customHeight="1">
      <c r="A31" s="4360"/>
      <c r="B31" s="4361"/>
      <c r="C31" s="4464"/>
      <c r="D31" s="4215"/>
      <c r="E31" s="4215"/>
      <c r="F31" s="4215"/>
      <c r="G31" s="4348"/>
      <c r="H31" s="4348"/>
      <c r="I31" s="4348"/>
      <c r="J31" s="4604"/>
      <c r="K31" s="4348"/>
      <c r="L31" s="4348"/>
      <c r="M31" s="4357"/>
      <c r="N31" s="4357"/>
      <c r="O31" s="4226"/>
      <c r="P31" s="4215"/>
      <c r="Q31" s="4215"/>
      <c r="R31" s="4449"/>
      <c r="S31" s="2671"/>
      <c r="T31" s="2672"/>
      <c r="U31" s="2673" t="s">
        <v>651</v>
      </c>
      <c r="V31" s="1673" t="s">
        <v>652</v>
      </c>
      <c r="W31" s="1674">
        <v>1</v>
      </c>
      <c r="X31" s="2674" t="s">
        <v>250</v>
      </c>
      <c r="Y31" s="1677">
        <v>6000</v>
      </c>
      <c r="Z31" s="1677">
        <f t="shared" ref="Z31" si="10">+W31*Y31</f>
        <v>6000</v>
      </c>
      <c r="AA31" s="1677">
        <f t="shared" ref="AA31" si="11">+Z31*1.12</f>
        <v>6720.0000000000009</v>
      </c>
      <c r="AB31" s="1677"/>
      <c r="AC31" s="2675"/>
      <c r="AD31" s="2675"/>
      <c r="AE31" s="2676"/>
      <c r="AF31" s="4603"/>
    </row>
    <row r="32" spans="1:32" ht="30" customHeight="1">
      <c r="A32" s="4360"/>
      <c r="B32" s="4361"/>
      <c r="C32" s="4467" t="s">
        <v>235</v>
      </c>
      <c r="D32" s="4273" t="s">
        <v>236</v>
      </c>
      <c r="E32" s="4273" t="s">
        <v>244</v>
      </c>
      <c r="F32" s="4273" t="s">
        <v>309</v>
      </c>
      <c r="G32" s="4329" t="s">
        <v>239</v>
      </c>
      <c r="H32" s="4328" t="s">
        <v>293</v>
      </c>
      <c r="I32" s="4328" t="s">
        <v>278</v>
      </c>
      <c r="J32" s="4596" t="s">
        <v>4224</v>
      </c>
      <c r="K32" s="4475" t="s">
        <v>653</v>
      </c>
      <c r="L32" s="4345" t="s">
        <v>4215</v>
      </c>
      <c r="M32" s="4249">
        <v>1</v>
      </c>
      <c r="N32" s="4249">
        <v>1</v>
      </c>
      <c r="O32" s="4246">
        <v>0</v>
      </c>
      <c r="P32" s="4228" t="s">
        <v>4204</v>
      </c>
      <c r="Q32" s="4228" t="s">
        <v>4194</v>
      </c>
      <c r="R32" s="4471" t="s">
        <v>628</v>
      </c>
      <c r="S32" s="2589"/>
      <c r="T32" s="2602"/>
      <c r="U32" s="2611"/>
      <c r="V32" s="2619"/>
      <c r="W32" s="2636"/>
      <c r="X32" s="1972"/>
      <c r="Y32" s="2655"/>
      <c r="Z32" s="2651"/>
      <c r="AA32" s="2651"/>
      <c r="AB32" s="2652"/>
      <c r="AC32" s="1969"/>
      <c r="AD32" s="1970"/>
      <c r="AE32" s="1970"/>
      <c r="AF32" s="4597"/>
    </row>
    <row r="33" spans="1:32" ht="30" customHeight="1">
      <c r="A33" s="4360"/>
      <c r="B33" s="4361"/>
      <c r="C33" s="4464"/>
      <c r="D33" s="4215"/>
      <c r="E33" s="4215"/>
      <c r="F33" s="4215"/>
      <c r="G33" s="4215"/>
      <c r="H33" s="4215"/>
      <c r="I33" s="4215"/>
      <c r="J33" s="4446"/>
      <c r="K33" s="4215"/>
      <c r="L33" s="4215"/>
      <c r="M33" s="4226"/>
      <c r="N33" s="4226"/>
      <c r="O33" s="4226"/>
      <c r="P33" s="4215"/>
      <c r="Q33" s="4215"/>
      <c r="R33" s="4449"/>
      <c r="S33" s="2591"/>
      <c r="T33" s="2597"/>
      <c r="U33" s="2597"/>
      <c r="V33" s="2621"/>
      <c r="W33" s="2637"/>
      <c r="X33" s="509"/>
      <c r="Y33" s="2656"/>
      <c r="Z33" s="2645"/>
      <c r="AA33" s="2645"/>
      <c r="AB33" s="2646"/>
      <c r="AC33" s="539"/>
      <c r="AD33" s="541"/>
      <c r="AE33" s="541"/>
      <c r="AF33" s="4598"/>
    </row>
    <row r="34" spans="1:32" ht="30" customHeight="1">
      <c r="A34" s="4360"/>
      <c r="B34" s="4361"/>
      <c r="C34" s="4464"/>
      <c r="D34" s="4215"/>
      <c r="E34" s="4215"/>
      <c r="F34" s="4215"/>
      <c r="G34" s="4215"/>
      <c r="H34" s="4215"/>
      <c r="I34" s="4215"/>
      <c r="J34" s="4446"/>
      <c r="K34" s="4215"/>
      <c r="L34" s="4215"/>
      <c r="M34" s="4226"/>
      <c r="N34" s="4226"/>
      <c r="O34" s="4226"/>
      <c r="P34" s="4215"/>
      <c r="Q34" s="4215"/>
      <c r="R34" s="4449"/>
      <c r="S34" s="2588"/>
      <c r="T34" s="2601"/>
      <c r="U34" s="2597"/>
      <c r="V34" s="2622"/>
      <c r="W34" s="2630"/>
      <c r="X34" s="532"/>
      <c r="Y34" s="2645"/>
      <c r="Z34" s="2645"/>
      <c r="AA34" s="2645"/>
      <c r="AB34" s="2646"/>
      <c r="AC34" s="539"/>
      <c r="AD34" s="541"/>
      <c r="AE34" s="541"/>
      <c r="AF34" s="4598"/>
    </row>
    <row r="35" spans="1:32" ht="30" customHeight="1">
      <c r="A35" s="4360"/>
      <c r="B35" s="4361"/>
      <c r="C35" s="4464"/>
      <c r="D35" s="4215"/>
      <c r="E35" s="4215"/>
      <c r="F35" s="4215"/>
      <c r="G35" s="4215"/>
      <c r="H35" s="4215"/>
      <c r="I35" s="4215"/>
      <c r="J35" s="4446"/>
      <c r="K35" s="4215"/>
      <c r="L35" s="4215"/>
      <c r="M35" s="4226"/>
      <c r="N35" s="4226"/>
      <c r="O35" s="4226"/>
      <c r="P35" s="4215"/>
      <c r="Q35" s="4215"/>
      <c r="R35" s="4449"/>
      <c r="S35" s="2584"/>
      <c r="T35" s="2597"/>
      <c r="U35" s="2597"/>
      <c r="V35" s="2621"/>
      <c r="W35" s="2638"/>
      <c r="X35" s="579"/>
      <c r="Y35" s="2645"/>
      <c r="Z35" s="2645"/>
      <c r="AA35" s="2645"/>
      <c r="AB35" s="2646"/>
      <c r="AC35" s="539"/>
      <c r="AD35" s="541"/>
      <c r="AE35" s="541"/>
      <c r="AF35" s="4598"/>
    </row>
    <row r="36" spans="1:32" ht="30" customHeight="1">
      <c r="A36" s="4360"/>
      <c r="B36" s="4361"/>
      <c r="C36" s="4465"/>
      <c r="D36" s="4216"/>
      <c r="E36" s="4216"/>
      <c r="F36" s="4216"/>
      <c r="G36" s="4216"/>
      <c r="H36" s="4216"/>
      <c r="I36" s="4216"/>
      <c r="J36" s="4341"/>
      <c r="K36" s="4216"/>
      <c r="L36" s="4216"/>
      <c r="M36" s="4247"/>
      <c r="N36" s="4247"/>
      <c r="O36" s="4247"/>
      <c r="P36" s="4216"/>
      <c r="Q36" s="4216"/>
      <c r="R36" s="4450"/>
      <c r="S36" s="2661"/>
      <c r="T36" s="2598"/>
      <c r="U36" s="2598"/>
      <c r="V36" s="2620"/>
      <c r="W36" s="2634"/>
      <c r="X36" s="323"/>
      <c r="Y36" s="2647"/>
      <c r="Z36" s="2647"/>
      <c r="AA36" s="2647"/>
      <c r="AB36" s="2647"/>
      <c r="AC36" s="325"/>
      <c r="AD36" s="326"/>
      <c r="AE36" s="326"/>
      <c r="AF36" s="4605"/>
    </row>
    <row r="37" spans="1:32" ht="30" customHeight="1">
      <c r="A37" s="4360"/>
      <c r="B37" s="4361"/>
      <c r="C37" s="4467" t="s">
        <v>235</v>
      </c>
      <c r="D37" s="4273" t="s">
        <v>236</v>
      </c>
      <c r="E37" s="4273" t="s">
        <v>244</v>
      </c>
      <c r="F37" s="4273" t="s">
        <v>337</v>
      </c>
      <c r="G37" s="4329" t="s">
        <v>239</v>
      </c>
      <c r="H37" s="4273" t="s">
        <v>293</v>
      </c>
      <c r="I37" s="4273" t="s">
        <v>278</v>
      </c>
      <c r="J37" s="4445" t="s">
        <v>4225</v>
      </c>
      <c r="K37" s="4273" t="s">
        <v>654</v>
      </c>
      <c r="L37" s="4228" t="s">
        <v>4214</v>
      </c>
      <c r="M37" s="4246">
        <v>1</v>
      </c>
      <c r="N37" s="4249">
        <v>1</v>
      </c>
      <c r="O37" s="4246">
        <v>1</v>
      </c>
      <c r="P37" s="4228" t="s">
        <v>4205</v>
      </c>
      <c r="Q37" s="4228" t="s">
        <v>4195</v>
      </c>
      <c r="R37" s="4471" t="s">
        <v>628</v>
      </c>
      <c r="S37" s="2589" t="s">
        <v>11</v>
      </c>
      <c r="T37" s="2599" t="s">
        <v>60</v>
      </c>
      <c r="U37" s="2600"/>
      <c r="V37" s="2618" t="s">
        <v>22</v>
      </c>
      <c r="W37" s="2635"/>
      <c r="X37" s="332"/>
      <c r="Y37" s="2653"/>
      <c r="Z37" s="2653"/>
      <c r="AA37" s="2653"/>
      <c r="AB37" s="2649">
        <f>SUM($AA$38:$AA$40)</f>
        <v>1071.9968000000001</v>
      </c>
      <c r="AC37" s="328"/>
      <c r="AD37" s="333"/>
      <c r="AE37" s="333"/>
      <c r="AF37" s="4602"/>
    </row>
    <row r="38" spans="1:32" ht="30" customHeight="1">
      <c r="A38" s="4360"/>
      <c r="B38" s="4361"/>
      <c r="C38" s="4464"/>
      <c r="D38" s="4215"/>
      <c r="E38" s="4215"/>
      <c r="F38" s="4215"/>
      <c r="G38" s="4215"/>
      <c r="H38" s="4215"/>
      <c r="I38" s="4215"/>
      <c r="J38" s="4340"/>
      <c r="K38" s="4215"/>
      <c r="L38" s="4215"/>
      <c r="M38" s="4226"/>
      <c r="N38" s="4226"/>
      <c r="O38" s="4226"/>
      <c r="P38" s="4215"/>
      <c r="Q38" s="4215"/>
      <c r="R38" s="4449"/>
      <c r="S38" s="2587"/>
      <c r="T38" s="2603"/>
      <c r="U38" s="2597" t="s">
        <v>655</v>
      </c>
      <c r="V38" s="2621" t="s">
        <v>656</v>
      </c>
      <c r="W38" s="2630">
        <v>1</v>
      </c>
      <c r="X38" s="579" t="s">
        <v>269</v>
      </c>
      <c r="Y38" s="2645">
        <v>277.14</v>
      </c>
      <c r="Z38" s="2645">
        <f t="shared" ref="Z38:Z40" si="12">+W38*Y38</f>
        <v>277.14</v>
      </c>
      <c r="AA38" s="2645">
        <f t="shared" ref="AA38:AA40" si="13">+Z38*1.12</f>
        <v>310.39680000000004</v>
      </c>
      <c r="AB38" s="2646"/>
      <c r="AC38" s="539"/>
      <c r="AD38" s="539" t="s">
        <v>251</v>
      </c>
      <c r="AE38" s="334"/>
      <c r="AF38" s="4598"/>
    </row>
    <row r="39" spans="1:32" ht="30" customHeight="1">
      <c r="A39" s="4360"/>
      <c r="B39" s="4361"/>
      <c r="C39" s="4464"/>
      <c r="D39" s="4215"/>
      <c r="E39" s="4215"/>
      <c r="F39" s="4215"/>
      <c r="G39" s="4215"/>
      <c r="H39" s="4215"/>
      <c r="I39" s="4215"/>
      <c r="J39" s="4340"/>
      <c r="K39" s="4215"/>
      <c r="L39" s="4215"/>
      <c r="M39" s="4226"/>
      <c r="N39" s="4226"/>
      <c r="O39" s="4226"/>
      <c r="P39" s="4215"/>
      <c r="Q39" s="4215"/>
      <c r="R39" s="4449"/>
      <c r="S39" s="2585"/>
      <c r="T39" s="2604"/>
      <c r="U39" s="2597" t="s">
        <v>657</v>
      </c>
      <c r="V39" s="2621" t="s">
        <v>658</v>
      </c>
      <c r="W39" s="2638">
        <v>6</v>
      </c>
      <c r="X39" s="579" t="s">
        <v>269</v>
      </c>
      <c r="Y39" s="2645">
        <v>90</v>
      </c>
      <c r="Z39" s="2645">
        <f t="shared" si="12"/>
        <v>540</v>
      </c>
      <c r="AA39" s="2645">
        <f t="shared" si="13"/>
        <v>604.80000000000007</v>
      </c>
      <c r="AB39" s="2646"/>
      <c r="AC39" s="539"/>
      <c r="AD39" s="539" t="s">
        <v>251</v>
      </c>
      <c r="AE39" s="541"/>
      <c r="AF39" s="4598"/>
    </row>
    <row r="40" spans="1:32" ht="30" customHeight="1">
      <c r="A40" s="4360"/>
      <c r="B40" s="4361"/>
      <c r="C40" s="4464"/>
      <c r="D40" s="4215"/>
      <c r="E40" s="4215"/>
      <c r="F40" s="4215"/>
      <c r="G40" s="4215"/>
      <c r="H40" s="4215"/>
      <c r="I40" s="4215"/>
      <c r="J40" s="4340"/>
      <c r="K40" s="4215"/>
      <c r="L40" s="4215"/>
      <c r="M40" s="4226"/>
      <c r="N40" s="4226"/>
      <c r="O40" s="4226"/>
      <c r="P40" s="4215"/>
      <c r="Q40" s="4215"/>
      <c r="R40" s="4449"/>
      <c r="S40" s="2584"/>
      <c r="T40" s="2597"/>
      <c r="U40" s="2597" t="s">
        <v>659</v>
      </c>
      <c r="V40" s="2684" t="s">
        <v>4186</v>
      </c>
      <c r="W40" s="2638">
        <v>1</v>
      </c>
      <c r="X40" s="579" t="s">
        <v>269</v>
      </c>
      <c r="Y40" s="2645">
        <v>140</v>
      </c>
      <c r="Z40" s="2645">
        <f t="shared" si="12"/>
        <v>140</v>
      </c>
      <c r="AA40" s="2645">
        <f t="shared" si="13"/>
        <v>156.80000000000001</v>
      </c>
      <c r="AB40" s="2646"/>
      <c r="AC40" s="539"/>
      <c r="AD40" s="539" t="s">
        <v>251</v>
      </c>
      <c r="AE40" s="541"/>
      <c r="AF40" s="4598"/>
    </row>
    <row r="41" spans="1:32" ht="30" customHeight="1">
      <c r="A41" s="4360"/>
      <c r="B41" s="4361"/>
      <c r="C41" s="4465"/>
      <c r="D41" s="4216"/>
      <c r="E41" s="4216"/>
      <c r="F41" s="4216"/>
      <c r="G41" s="4216"/>
      <c r="H41" s="4216"/>
      <c r="I41" s="4216"/>
      <c r="J41" s="4341"/>
      <c r="K41" s="4216"/>
      <c r="L41" s="4216"/>
      <c r="M41" s="4247"/>
      <c r="N41" s="4247"/>
      <c r="O41" s="4247"/>
      <c r="P41" s="4216"/>
      <c r="Q41" s="4216"/>
      <c r="R41" s="4450"/>
      <c r="S41" s="2661"/>
      <c r="T41" s="2610"/>
      <c r="U41" s="2610"/>
      <c r="V41" s="2624"/>
      <c r="W41" s="2639"/>
      <c r="X41" s="162"/>
      <c r="Y41" s="2657"/>
      <c r="Z41" s="2657"/>
      <c r="AA41" s="2657"/>
      <c r="AB41" s="2657"/>
      <c r="AC41" s="339"/>
      <c r="AD41" s="339"/>
      <c r="AE41" s="330"/>
      <c r="AF41" s="4599"/>
    </row>
    <row r="42" spans="1:32" ht="30" customHeight="1">
      <c r="A42" s="4360"/>
      <c r="B42" s="4361"/>
      <c r="C42" s="4467" t="s">
        <v>235</v>
      </c>
      <c r="D42" s="4273" t="s">
        <v>236</v>
      </c>
      <c r="E42" s="4273" t="s">
        <v>244</v>
      </c>
      <c r="F42" s="4273" t="s">
        <v>430</v>
      </c>
      <c r="G42" s="4329" t="s">
        <v>239</v>
      </c>
      <c r="H42" s="4273" t="s">
        <v>293</v>
      </c>
      <c r="I42" s="4273" t="s">
        <v>241</v>
      </c>
      <c r="J42" s="4445" t="s">
        <v>4226</v>
      </c>
      <c r="K42" s="4273" t="s">
        <v>660</v>
      </c>
      <c r="L42" s="4228" t="s">
        <v>4213</v>
      </c>
      <c r="M42" s="4246">
        <v>1</v>
      </c>
      <c r="N42" s="4249">
        <v>1</v>
      </c>
      <c r="O42" s="4246">
        <v>1</v>
      </c>
      <c r="P42" s="4228" t="s">
        <v>4206</v>
      </c>
      <c r="Q42" s="4228" t="s">
        <v>4196</v>
      </c>
      <c r="R42" s="4471" t="s">
        <v>628</v>
      </c>
      <c r="S42" s="2589" t="s">
        <v>11</v>
      </c>
      <c r="T42" s="2601" t="s">
        <v>57</v>
      </c>
      <c r="U42" s="2597"/>
      <c r="V42" s="2622" t="s">
        <v>56</v>
      </c>
      <c r="W42" s="2630"/>
      <c r="X42" s="532"/>
      <c r="Y42" s="2645"/>
      <c r="Z42" s="2645"/>
      <c r="AA42" s="2645"/>
      <c r="AB42" s="2646">
        <f>SUM($AA$43:$AA$45)</f>
        <v>77.28</v>
      </c>
      <c r="AC42" s="539"/>
      <c r="AD42" s="1970"/>
      <c r="AE42" s="1970"/>
      <c r="AF42" s="4597"/>
    </row>
    <row r="43" spans="1:32" ht="30" customHeight="1">
      <c r="A43" s="4360"/>
      <c r="B43" s="4361"/>
      <c r="C43" s="4464"/>
      <c r="D43" s="4215"/>
      <c r="E43" s="4215"/>
      <c r="F43" s="4215"/>
      <c r="G43" s="4215"/>
      <c r="H43" s="4215"/>
      <c r="I43" s="4215"/>
      <c r="J43" s="4446"/>
      <c r="K43" s="4215"/>
      <c r="L43" s="4215"/>
      <c r="M43" s="4226"/>
      <c r="N43" s="4226"/>
      <c r="O43" s="4226"/>
      <c r="P43" s="4215"/>
      <c r="Q43" s="4215"/>
      <c r="R43" s="4449"/>
      <c r="S43" s="2584"/>
      <c r="T43" s="2597"/>
      <c r="U43" s="2597" t="s">
        <v>661</v>
      </c>
      <c r="V43" s="2621" t="s">
        <v>662</v>
      </c>
      <c r="W43" s="2638">
        <v>3</v>
      </c>
      <c r="X43" s="579" t="s">
        <v>269</v>
      </c>
      <c r="Y43" s="2645">
        <v>23</v>
      </c>
      <c r="Z43" s="2645">
        <f t="shared" ref="Z43" si="14">+W43*Y43</f>
        <v>69</v>
      </c>
      <c r="AA43" s="2645">
        <f t="shared" ref="AA43" si="15">+Z43*1.12</f>
        <v>77.28</v>
      </c>
      <c r="AB43" s="2646"/>
      <c r="AC43" s="539" t="s">
        <v>251</v>
      </c>
      <c r="AD43" s="541"/>
      <c r="AE43" s="541"/>
      <c r="AF43" s="4598"/>
    </row>
    <row r="44" spans="1:32" ht="30" customHeight="1">
      <c r="A44" s="4360"/>
      <c r="B44" s="4361"/>
      <c r="C44" s="4464"/>
      <c r="D44" s="4215"/>
      <c r="E44" s="4215"/>
      <c r="F44" s="4215"/>
      <c r="G44" s="4215"/>
      <c r="H44" s="4215"/>
      <c r="I44" s="4215"/>
      <c r="J44" s="4446"/>
      <c r="K44" s="4215"/>
      <c r="L44" s="4215"/>
      <c r="M44" s="4226"/>
      <c r="N44" s="4226"/>
      <c r="O44" s="4226"/>
      <c r="P44" s="4215"/>
      <c r="Q44" s="4215"/>
      <c r="R44" s="4449"/>
      <c r="S44" s="2588"/>
      <c r="T44" s="2601"/>
      <c r="U44" s="2597"/>
      <c r="V44" s="2622"/>
      <c r="W44" s="2630"/>
      <c r="X44" s="532"/>
      <c r="Y44" s="2645"/>
      <c r="Z44" s="2645"/>
      <c r="AA44" s="2645"/>
      <c r="AB44" s="2646"/>
      <c r="AC44" s="539"/>
      <c r="AD44" s="541"/>
      <c r="AE44" s="541"/>
      <c r="AF44" s="4598"/>
    </row>
    <row r="45" spans="1:32" ht="30" customHeight="1">
      <c r="A45" s="4360"/>
      <c r="B45" s="4361"/>
      <c r="C45" s="4464"/>
      <c r="D45" s="4215"/>
      <c r="E45" s="4215"/>
      <c r="F45" s="4215"/>
      <c r="G45" s="4215"/>
      <c r="H45" s="4215"/>
      <c r="I45" s="4215"/>
      <c r="J45" s="4446"/>
      <c r="K45" s="4215"/>
      <c r="L45" s="4215"/>
      <c r="M45" s="4226"/>
      <c r="N45" s="4226"/>
      <c r="O45" s="4226"/>
      <c r="P45" s="4215"/>
      <c r="Q45" s="4215"/>
      <c r="R45" s="4449"/>
      <c r="S45" s="2588"/>
      <c r="T45" s="2601"/>
      <c r="U45" s="2597"/>
      <c r="V45" s="2622"/>
      <c r="W45" s="2630"/>
      <c r="X45" s="532"/>
      <c r="Y45" s="2645"/>
      <c r="Z45" s="2645"/>
      <c r="AA45" s="2645"/>
      <c r="AB45" s="2646"/>
      <c r="AC45" s="539"/>
      <c r="AD45" s="541"/>
      <c r="AE45" s="541"/>
      <c r="AF45" s="4598"/>
    </row>
    <row r="46" spans="1:32" ht="30" customHeight="1">
      <c r="A46" s="4360"/>
      <c r="B46" s="4361"/>
      <c r="C46" s="4465"/>
      <c r="D46" s="4216"/>
      <c r="E46" s="4216"/>
      <c r="F46" s="4216"/>
      <c r="G46" s="4216"/>
      <c r="H46" s="4216"/>
      <c r="I46" s="4216"/>
      <c r="J46" s="4341"/>
      <c r="K46" s="4216"/>
      <c r="L46" s="4216"/>
      <c r="M46" s="4247"/>
      <c r="N46" s="4247"/>
      <c r="O46" s="4247"/>
      <c r="P46" s="4216"/>
      <c r="Q46" s="4216"/>
      <c r="R46" s="4450"/>
      <c r="S46" s="2661"/>
      <c r="T46" s="2598"/>
      <c r="U46" s="2598"/>
      <c r="V46" s="2620"/>
      <c r="W46" s="2634"/>
      <c r="X46" s="323"/>
      <c r="Y46" s="2647"/>
      <c r="Z46" s="2647"/>
      <c r="AA46" s="2647"/>
      <c r="AB46" s="2647"/>
      <c r="AC46" s="325"/>
      <c r="AD46" s="326"/>
      <c r="AE46" s="326"/>
      <c r="AF46" s="4605"/>
    </row>
    <row r="47" spans="1:32" ht="30.75" customHeight="1">
      <c r="A47" s="4360"/>
      <c r="B47" s="4361"/>
      <c r="C47" s="4463" t="s">
        <v>235</v>
      </c>
      <c r="D47" s="4328" t="s">
        <v>236</v>
      </c>
      <c r="E47" s="4328" t="s">
        <v>244</v>
      </c>
      <c r="F47" s="4328" t="s">
        <v>292</v>
      </c>
      <c r="G47" s="4329" t="s">
        <v>239</v>
      </c>
      <c r="H47" s="4273" t="s">
        <v>293</v>
      </c>
      <c r="I47" s="4328" t="s">
        <v>278</v>
      </c>
      <c r="J47" s="4445" t="s">
        <v>4227</v>
      </c>
      <c r="K47" s="4482" t="s">
        <v>663</v>
      </c>
      <c r="L47" s="4345" t="s">
        <v>4212</v>
      </c>
      <c r="M47" s="4249">
        <v>3</v>
      </c>
      <c r="N47" s="4249">
        <v>3</v>
      </c>
      <c r="O47" s="4249">
        <v>3</v>
      </c>
      <c r="P47" s="4345" t="s">
        <v>4207</v>
      </c>
      <c r="Q47" s="4345" t="s">
        <v>4197</v>
      </c>
      <c r="R47" s="4471" t="s">
        <v>628</v>
      </c>
      <c r="S47" s="2589" t="s">
        <v>11</v>
      </c>
      <c r="T47" s="2612" t="s">
        <v>55</v>
      </c>
      <c r="U47" s="2600"/>
      <c r="V47" s="2618" t="s">
        <v>54</v>
      </c>
      <c r="W47" s="2635"/>
      <c r="X47" s="331"/>
      <c r="Y47" s="2653"/>
      <c r="Z47" s="2653"/>
      <c r="AA47" s="2653"/>
      <c r="AB47" s="2649">
        <f>SUM($AA$48:$AA$48)</f>
        <v>1008.0000000000001</v>
      </c>
      <c r="AC47" s="340"/>
      <c r="AD47" s="329"/>
      <c r="AE47" s="329"/>
      <c r="AF47" s="4602"/>
    </row>
    <row r="48" spans="1:32" ht="24" customHeight="1">
      <c r="A48" s="4360"/>
      <c r="B48" s="4361"/>
      <c r="C48" s="4464"/>
      <c r="D48" s="4215"/>
      <c r="E48" s="4215"/>
      <c r="F48" s="4215"/>
      <c r="G48" s="4215"/>
      <c r="H48" s="4215"/>
      <c r="I48" s="4215"/>
      <c r="J48" s="4446"/>
      <c r="K48" s="4215"/>
      <c r="L48" s="4215"/>
      <c r="M48" s="4226"/>
      <c r="N48" s="4226"/>
      <c r="O48" s="4226"/>
      <c r="P48" s="4215"/>
      <c r="Q48" s="4215"/>
      <c r="R48" s="4449"/>
      <c r="S48" s="2584"/>
      <c r="T48" s="2597"/>
      <c r="U48" s="2597" t="s">
        <v>664</v>
      </c>
      <c r="V48" s="2625" t="s">
        <v>665</v>
      </c>
      <c r="W48" s="2630">
        <v>1</v>
      </c>
      <c r="X48" s="579" t="s">
        <v>269</v>
      </c>
      <c r="Y48" s="2645">
        <v>900</v>
      </c>
      <c r="Z48" s="2645">
        <f t="shared" ref="Z48" si="16">+W48*Y48</f>
        <v>900</v>
      </c>
      <c r="AA48" s="2645">
        <f t="shared" ref="AA48" si="17">+Z48*1.12</f>
        <v>1008.0000000000001</v>
      </c>
      <c r="AB48" s="2646"/>
      <c r="AC48" s="539" t="s">
        <v>251</v>
      </c>
      <c r="AD48" s="541"/>
      <c r="AE48" s="541"/>
      <c r="AF48" s="4598"/>
    </row>
    <row r="49" spans="1:32" ht="24" customHeight="1">
      <c r="A49" s="4360"/>
      <c r="B49" s="4361"/>
      <c r="C49" s="4464"/>
      <c r="D49" s="4215"/>
      <c r="E49" s="4215"/>
      <c r="F49" s="4215"/>
      <c r="G49" s="4215"/>
      <c r="H49" s="4215"/>
      <c r="I49" s="4215"/>
      <c r="J49" s="4446"/>
      <c r="K49" s="4215"/>
      <c r="L49" s="4215"/>
      <c r="M49" s="4226"/>
      <c r="N49" s="4226"/>
      <c r="O49" s="4226"/>
      <c r="P49" s="4215"/>
      <c r="Q49" s="4215"/>
      <c r="R49" s="4449"/>
      <c r="S49" s="2589" t="s">
        <v>11</v>
      </c>
      <c r="T49" s="2601" t="s">
        <v>59</v>
      </c>
      <c r="U49" s="2601"/>
      <c r="V49" s="2622" t="s">
        <v>58</v>
      </c>
      <c r="W49" s="2640"/>
      <c r="X49" s="579"/>
      <c r="Y49" s="2645"/>
      <c r="Z49" s="2645"/>
      <c r="AA49" s="2645"/>
      <c r="AB49" s="2646">
        <f>SUM($AA$50:$AA$52)</f>
        <v>94.080000000000013</v>
      </c>
      <c r="AC49" s="539"/>
      <c r="AD49" s="541"/>
      <c r="AE49" s="541"/>
      <c r="AF49" s="4598"/>
    </row>
    <row r="50" spans="1:32" ht="24" customHeight="1">
      <c r="A50" s="4360"/>
      <c r="B50" s="4361"/>
      <c r="C50" s="4464"/>
      <c r="D50" s="4215"/>
      <c r="E50" s="4215"/>
      <c r="F50" s="4215"/>
      <c r="G50" s="4215"/>
      <c r="H50" s="4215"/>
      <c r="I50" s="4215"/>
      <c r="J50" s="4446"/>
      <c r="K50" s="4215"/>
      <c r="L50" s="4215"/>
      <c r="M50" s="4226"/>
      <c r="N50" s="4226"/>
      <c r="O50" s="4226"/>
      <c r="P50" s="4215"/>
      <c r="Q50" s="4215"/>
      <c r="R50" s="4449"/>
      <c r="S50" s="2584"/>
      <c r="T50" s="2597"/>
      <c r="U50" s="2597"/>
      <c r="V50" s="2684" t="s">
        <v>4187</v>
      </c>
      <c r="W50" s="2630">
        <v>2</v>
      </c>
      <c r="X50" s="579" t="s">
        <v>269</v>
      </c>
      <c r="Y50" s="2645">
        <v>25</v>
      </c>
      <c r="Z50" s="2645">
        <f t="shared" ref="Z50:Z52" si="18">+W50*Y50</f>
        <v>50</v>
      </c>
      <c r="AA50" s="2645">
        <f t="shared" ref="AA50:AA52" si="19">+Z50*1.12</f>
        <v>56.000000000000007</v>
      </c>
      <c r="AB50" s="2646"/>
      <c r="AC50" s="539" t="s">
        <v>251</v>
      </c>
      <c r="AD50" s="541"/>
      <c r="AE50" s="541"/>
      <c r="AF50" s="4598"/>
    </row>
    <row r="51" spans="1:32" ht="24" customHeight="1">
      <c r="A51" s="4360"/>
      <c r="B51" s="4361"/>
      <c r="C51" s="4464"/>
      <c r="D51" s="4215"/>
      <c r="E51" s="4215"/>
      <c r="F51" s="4215"/>
      <c r="G51" s="4215"/>
      <c r="H51" s="4215"/>
      <c r="I51" s="4215"/>
      <c r="J51" s="4446"/>
      <c r="K51" s="4215"/>
      <c r="L51" s="4215"/>
      <c r="M51" s="4226"/>
      <c r="N51" s="4226"/>
      <c r="O51" s="4226"/>
      <c r="P51" s="4215"/>
      <c r="Q51" s="4215"/>
      <c r="R51" s="4449"/>
      <c r="S51" s="2592"/>
      <c r="T51" s="2611"/>
      <c r="U51" s="2611" t="s">
        <v>666</v>
      </c>
      <c r="V51" s="2685" t="s">
        <v>4188</v>
      </c>
      <c r="W51" s="2633">
        <v>1</v>
      </c>
      <c r="X51" s="1968" t="s">
        <v>269</v>
      </c>
      <c r="Y51" s="2651">
        <v>22</v>
      </c>
      <c r="Z51" s="2651">
        <f t="shared" si="18"/>
        <v>22</v>
      </c>
      <c r="AA51" s="2651">
        <f t="shared" si="19"/>
        <v>24.64</v>
      </c>
      <c r="AB51" s="2652"/>
      <c r="AC51" s="1969" t="s">
        <v>251</v>
      </c>
      <c r="AD51" s="541"/>
      <c r="AE51" s="541"/>
      <c r="AF51" s="4598"/>
    </row>
    <row r="52" spans="1:32" ht="24" customHeight="1">
      <c r="A52" s="4360"/>
      <c r="B52" s="4361"/>
      <c r="C52" s="4468"/>
      <c r="D52" s="4348"/>
      <c r="E52" s="4348"/>
      <c r="F52" s="4348"/>
      <c r="G52" s="4348"/>
      <c r="H52" s="4348"/>
      <c r="I52" s="4348"/>
      <c r="J52" s="4604"/>
      <c r="K52" s="4348"/>
      <c r="L52" s="4348"/>
      <c r="M52" s="4357"/>
      <c r="N52" s="4357"/>
      <c r="O52" s="4357"/>
      <c r="P52" s="4348"/>
      <c r="Q52" s="4348"/>
      <c r="R52" s="4472"/>
      <c r="S52" s="2663"/>
      <c r="T52" s="2664"/>
      <c r="U52" s="2665" t="s">
        <v>666</v>
      </c>
      <c r="V52" s="2686" t="s">
        <v>4189</v>
      </c>
      <c r="W52" s="1781">
        <v>1</v>
      </c>
      <c r="X52" s="2666" t="s">
        <v>269</v>
      </c>
      <c r="Y52" s="2667">
        <v>12</v>
      </c>
      <c r="Z52" s="2667">
        <f t="shared" si="18"/>
        <v>12</v>
      </c>
      <c r="AA52" s="2667">
        <f t="shared" si="19"/>
        <v>13.440000000000001</v>
      </c>
      <c r="AB52" s="2668"/>
      <c r="AC52" s="2669" t="s">
        <v>251</v>
      </c>
      <c r="AD52" s="2670"/>
      <c r="AE52" s="2670"/>
      <c r="AF52" s="4603"/>
    </row>
    <row r="53" spans="1:32" ht="30.75" customHeight="1">
      <c r="A53" s="4360"/>
      <c r="B53" s="4361"/>
      <c r="C53" s="4463" t="s">
        <v>235</v>
      </c>
      <c r="D53" s="4328" t="s">
        <v>236</v>
      </c>
      <c r="E53" s="4328" t="s">
        <v>244</v>
      </c>
      <c r="F53" s="4328" t="s">
        <v>337</v>
      </c>
      <c r="G53" s="4329" t="s">
        <v>239</v>
      </c>
      <c r="H53" s="4328" t="s">
        <v>293</v>
      </c>
      <c r="I53" s="4328" t="s">
        <v>257</v>
      </c>
      <c r="J53" s="4596" t="s">
        <v>4228</v>
      </c>
      <c r="K53" s="4328" t="s">
        <v>338</v>
      </c>
      <c r="L53" s="4345" t="s">
        <v>4211</v>
      </c>
      <c r="M53" s="4249">
        <v>0</v>
      </c>
      <c r="N53" s="4249">
        <v>1</v>
      </c>
      <c r="O53" s="4249">
        <v>1</v>
      </c>
      <c r="P53" s="4345" t="s">
        <v>4208</v>
      </c>
      <c r="Q53" s="4345" t="s">
        <v>4198</v>
      </c>
      <c r="R53" s="4448" t="s">
        <v>667</v>
      </c>
      <c r="S53" s="2592"/>
      <c r="T53" s="2611"/>
      <c r="U53" s="2611"/>
      <c r="V53" s="2626"/>
      <c r="W53" s="2633"/>
      <c r="X53" s="1967"/>
      <c r="Y53" s="2651"/>
      <c r="Z53" s="2651"/>
      <c r="AA53" s="2651"/>
      <c r="AB53" s="2652"/>
      <c r="AC53" s="1967"/>
      <c r="AD53" s="1970"/>
      <c r="AE53" s="1970"/>
      <c r="AF53" s="4597"/>
    </row>
    <row r="54" spans="1:32" ht="30.75" customHeight="1">
      <c r="A54" s="4360"/>
      <c r="B54" s="4361"/>
      <c r="C54" s="4464"/>
      <c r="D54" s="4215"/>
      <c r="E54" s="4215"/>
      <c r="F54" s="4215"/>
      <c r="G54" s="4215"/>
      <c r="H54" s="4215"/>
      <c r="I54" s="4215"/>
      <c r="J54" s="4446"/>
      <c r="K54" s="4215"/>
      <c r="L54" s="4215"/>
      <c r="M54" s="4226"/>
      <c r="N54" s="4226"/>
      <c r="O54" s="4226"/>
      <c r="P54" s="4215"/>
      <c r="Q54" s="4215"/>
      <c r="R54" s="4449"/>
      <c r="S54" s="2584"/>
      <c r="T54" s="2597"/>
      <c r="U54" s="2597"/>
      <c r="V54" s="2617"/>
      <c r="W54" s="2630"/>
      <c r="X54" s="532"/>
      <c r="Y54" s="2645"/>
      <c r="Z54" s="2645"/>
      <c r="AA54" s="2645"/>
      <c r="AB54" s="2646"/>
      <c r="AC54" s="532"/>
      <c r="AD54" s="541"/>
      <c r="AE54" s="541"/>
      <c r="AF54" s="4598"/>
    </row>
    <row r="55" spans="1:32" ht="30.75" customHeight="1">
      <c r="A55" s="4360"/>
      <c r="B55" s="4361"/>
      <c r="C55" s="4464"/>
      <c r="D55" s="4215"/>
      <c r="E55" s="4215"/>
      <c r="F55" s="4215"/>
      <c r="G55" s="4215"/>
      <c r="H55" s="4215"/>
      <c r="I55" s="4215"/>
      <c r="J55" s="4446"/>
      <c r="K55" s="4215"/>
      <c r="L55" s="4215"/>
      <c r="M55" s="4226"/>
      <c r="N55" s="4226"/>
      <c r="O55" s="4226"/>
      <c r="P55" s="4215"/>
      <c r="Q55" s="4215"/>
      <c r="R55" s="4449"/>
      <c r="S55" s="2584"/>
      <c r="T55" s="2597"/>
      <c r="U55" s="2597"/>
      <c r="V55" s="2617"/>
      <c r="W55" s="2630"/>
      <c r="X55" s="532"/>
      <c r="Y55" s="2645"/>
      <c r="Z55" s="2645"/>
      <c r="AA55" s="2645"/>
      <c r="AB55" s="2646"/>
      <c r="AC55" s="532"/>
      <c r="AD55" s="532"/>
      <c r="AE55" s="533"/>
      <c r="AF55" s="4598"/>
    </row>
    <row r="56" spans="1:32" ht="30.75" customHeight="1">
      <c r="A56" s="4360"/>
      <c r="B56" s="4361"/>
      <c r="C56" s="4464"/>
      <c r="D56" s="4215"/>
      <c r="E56" s="4215"/>
      <c r="F56" s="4215"/>
      <c r="G56" s="4215"/>
      <c r="H56" s="4215"/>
      <c r="I56" s="4215"/>
      <c r="J56" s="4446"/>
      <c r="K56" s="4215"/>
      <c r="L56" s="4215"/>
      <c r="M56" s="4226"/>
      <c r="N56" s="4226"/>
      <c r="O56" s="4226"/>
      <c r="P56" s="4215"/>
      <c r="Q56" s="4215"/>
      <c r="R56" s="4449"/>
      <c r="S56" s="2584"/>
      <c r="T56" s="2597"/>
      <c r="U56" s="2597"/>
      <c r="V56" s="2617"/>
      <c r="W56" s="2630"/>
      <c r="X56" s="532"/>
      <c r="Y56" s="2645"/>
      <c r="Z56" s="2645"/>
      <c r="AA56" s="2645"/>
      <c r="AB56" s="2646"/>
      <c r="AC56" s="532"/>
      <c r="AD56" s="532"/>
      <c r="AE56" s="533"/>
      <c r="AF56" s="4598"/>
    </row>
    <row r="57" spans="1:32" ht="30.75" customHeight="1">
      <c r="A57" s="4360"/>
      <c r="B57" s="4361"/>
      <c r="C57" s="4465"/>
      <c r="D57" s="4216"/>
      <c r="E57" s="4216"/>
      <c r="F57" s="4216"/>
      <c r="G57" s="4216"/>
      <c r="H57" s="4216"/>
      <c r="I57" s="4216"/>
      <c r="J57" s="4341"/>
      <c r="K57" s="4216"/>
      <c r="L57" s="4216"/>
      <c r="M57" s="4247"/>
      <c r="N57" s="4247"/>
      <c r="O57" s="4247"/>
      <c r="P57" s="4216"/>
      <c r="Q57" s="4216"/>
      <c r="R57" s="4450"/>
      <c r="S57" s="2590"/>
      <c r="T57" s="2610"/>
      <c r="U57" s="2610"/>
      <c r="V57" s="2627"/>
      <c r="W57" s="2641"/>
      <c r="X57" s="163"/>
      <c r="Y57" s="2657"/>
      <c r="Z57" s="2657"/>
      <c r="AA57" s="2657"/>
      <c r="AB57" s="2658"/>
      <c r="AC57" s="163"/>
      <c r="AD57" s="163"/>
      <c r="AE57" s="338"/>
      <c r="AF57" s="4599"/>
    </row>
    <row r="58" spans="1:32" ht="30" customHeight="1">
      <c r="A58" s="4360"/>
      <c r="B58" s="4361"/>
      <c r="C58" s="4467" t="s">
        <v>235</v>
      </c>
      <c r="D58" s="4273" t="s">
        <v>236</v>
      </c>
      <c r="E58" s="4273" t="s">
        <v>237</v>
      </c>
      <c r="F58" s="4273" t="s">
        <v>326</v>
      </c>
      <c r="G58" s="4329" t="s">
        <v>239</v>
      </c>
      <c r="H58" s="4273" t="s">
        <v>293</v>
      </c>
      <c r="I58" s="4273" t="s">
        <v>257</v>
      </c>
      <c r="J58" s="4473" t="s">
        <v>4229</v>
      </c>
      <c r="K58" s="4273" t="s">
        <v>371</v>
      </c>
      <c r="L58" s="4228" t="s">
        <v>4210</v>
      </c>
      <c r="M58" s="4246">
        <v>0</v>
      </c>
      <c r="N58" s="4249">
        <v>0</v>
      </c>
      <c r="O58" s="4246">
        <v>2</v>
      </c>
      <c r="P58" s="4228" t="s">
        <v>4209</v>
      </c>
      <c r="Q58" s="4228" t="s">
        <v>4199</v>
      </c>
      <c r="R58" s="4471" t="s">
        <v>628</v>
      </c>
      <c r="S58" s="2593"/>
      <c r="T58" s="2613"/>
      <c r="U58" s="2613"/>
      <c r="V58" s="2619"/>
      <c r="W58" s="2633"/>
      <c r="X58" s="1967"/>
      <c r="Y58" s="2651"/>
      <c r="Z58" s="2651"/>
      <c r="AA58" s="2651"/>
      <c r="AB58" s="2652"/>
      <c r="AC58" s="1967"/>
      <c r="AD58" s="1971"/>
      <c r="AE58" s="1971"/>
      <c r="AF58" s="4597"/>
    </row>
    <row r="59" spans="1:32" ht="30" customHeight="1">
      <c r="A59" s="4360"/>
      <c r="B59" s="4361"/>
      <c r="C59" s="4464"/>
      <c r="D59" s="4215"/>
      <c r="E59" s="4215"/>
      <c r="F59" s="4215"/>
      <c r="G59" s="4215"/>
      <c r="H59" s="4215"/>
      <c r="I59" s="4215"/>
      <c r="J59" s="4331"/>
      <c r="K59" s="4215"/>
      <c r="L59" s="4215"/>
      <c r="M59" s="4226"/>
      <c r="N59" s="4226"/>
      <c r="O59" s="4226"/>
      <c r="P59" s="4215"/>
      <c r="Q59" s="4215"/>
      <c r="R59" s="4449"/>
      <c r="S59" s="2584"/>
      <c r="T59" s="2597"/>
      <c r="U59" s="2597"/>
      <c r="V59" s="2617"/>
      <c r="W59" s="2630"/>
      <c r="X59" s="532"/>
      <c r="Y59" s="2645"/>
      <c r="Z59" s="2645"/>
      <c r="AA59" s="2645"/>
      <c r="AB59" s="2646"/>
      <c r="AC59" s="532"/>
      <c r="AD59" s="533"/>
      <c r="AE59" s="533"/>
      <c r="AF59" s="4598"/>
    </row>
    <row r="60" spans="1:32" ht="30" customHeight="1">
      <c r="A60" s="4360"/>
      <c r="B60" s="4361"/>
      <c r="C60" s="4464"/>
      <c r="D60" s="4215"/>
      <c r="E60" s="4215"/>
      <c r="F60" s="4215"/>
      <c r="G60" s="4215"/>
      <c r="H60" s="4215"/>
      <c r="I60" s="4215"/>
      <c r="J60" s="4331"/>
      <c r="K60" s="4215"/>
      <c r="L60" s="4215"/>
      <c r="M60" s="4226"/>
      <c r="N60" s="4226"/>
      <c r="O60" s="4226"/>
      <c r="P60" s="4215"/>
      <c r="Q60" s="4215"/>
      <c r="R60" s="4449"/>
      <c r="S60" s="2584"/>
      <c r="T60" s="2597"/>
      <c r="U60" s="2597"/>
      <c r="V60" s="2617"/>
      <c r="W60" s="2630"/>
      <c r="X60" s="532"/>
      <c r="Y60" s="2645"/>
      <c r="Z60" s="2645"/>
      <c r="AA60" s="2645"/>
      <c r="AB60" s="2646"/>
      <c r="AC60" s="532"/>
      <c r="AD60" s="533"/>
      <c r="AE60" s="533"/>
      <c r="AF60" s="4598"/>
    </row>
    <row r="61" spans="1:32" ht="30" customHeight="1">
      <c r="A61" s="4360"/>
      <c r="B61" s="4361"/>
      <c r="C61" s="4464"/>
      <c r="D61" s="4215"/>
      <c r="E61" s="4215"/>
      <c r="F61" s="4215"/>
      <c r="G61" s="4215"/>
      <c r="H61" s="4215"/>
      <c r="I61" s="4215"/>
      <c r="J61" s="4331"/>
      <c r="K61" s="4215"/>
      <c r="L61" s="4215"/>
      <c r="M61" s="4226"/>
      <c r="N61" s="4226"/>
      <c r="O61" s="4226"/>
      <c r="P61" s="4215"/>
      <c r="Q61" s="4215"/>
      <c r="R61" s="4449"/>
      <c r="S61" s="2584"/>
      <c r="T61" s="2597"/>
      <c r="U61" s="2597"/>
      <c r="V61" s="2617"/>
      <c r="W61" s="2630"/>
      <c r="X61" s="532"/>
      <c r="Y61" s="2645"/>
      <c r="Z61" s="2645"/>
      <c r="AA61" s="2645"/>
      <c r="AB61" s="2646"/>
      <c r="AC61" s="532"/>
      <c r="AD61" s="533"/>
      <c r="AE61" s="533"/>
      <c r="AF61" s="4598"/>
    </row>
    <row r="62" spans="1:32" ht="30" customHeight="1" thickBot="1">
      <c r="A62" s="4360"/>
      <c r="B62" s="4361"/>
      <c r="C62" s="4617"/>
      <c r="D62" s="4224"/>
      <c r="E62" s="4224"/>
      <c r="F62" s="4224"/>
      <c r="G62" s="4224"/>
      <c r="H62" s="4224"/>
      <c r="I62" s="4224"/>
      <c r="J62" s="4615"/>
      <c r="K62" s="4224"/>
      <c r="L62" s="4224"/>
      <c r="M62" s="4227"/>
      <c r="N62" s="4227"/>
      <c r="O62" s="4227"/>
      <c r="P62" s="4224"/>
      <c r="Q62" s="4224"/>
      <c r="R62" s="4595"/>
      <c r="S62" s="2594"/>
      <c r="T62" s="2614"/>
      <c r="U62" s="2614"/>
      <c r="V62" s="2628"/>
      <c r="W62" s="2642"/>
      <c r="X62" s="578"/>
      <c r="Y62" s="2659"/>
      <c r="Z62" s="2659"/>
      <c r="AA62" s="2659"/>
      <c r="AB62" s="2660"/>
      <c r="AC62" s="578"/>
      <c r="AD62" s="341"/>
      <c r="AE62" s="341"/>
      <c r="AF62" s="4600"/>
    </row>
    <row r="63" spans="1:32" ht="22.5" customHeight="1" thickBot="1">
      <c r="A63" s="4362"/>
      <c r="B63" s="4363"/>
      <c r="C63" s="1973"/>
      <c r="D63" s="1973"/>
      <c r="E63" s="1973"/>
      <c r="F63" s="1973"/>
      <c r="G63" s="1973"/>
      <c r="H63" s="1973"/>
      <c r="I63" s="1973"/>
      <c r="J63" s="1973"/>
      <c r="K63" s="1973"/>
      <c r="L63" s="1973"/>
      <c r="M63" s="1973"/>
      <c r="N63" s="1973"/>
      <c r="O63" s="1973"/>
      <c r="P63" s="1973"/>
      <c r="Q63" s="1973"/>
      <c r="R63" s="1973"/>
      <c r="S63" s="4601" t="s">
        <v>668</v>
      </c>
      <c r="T63" s="4314"/>
      <c r="U63" s="4314"/>
      <c r="V63" s="4314"/>
      <c r="W63" s="4314"/>
      <c r="X63" s="4314"/>
      <c r="Y63" s="4314"/>
      <c r="Z63" s="4314"/>
      <c r="AA63" s="2180" t="s">
        <v>340</v>
      </c>
      <c r="AB63" s="2181">
        <f>SUM(AB9:AB62)</f>
        <v>31454.236800000002</v>
      </c>
      <c r="AC63" s="4387"/>
      <c r="AD63" s="4316"/>
      <c r="AE63" s="4316"/>
      <c r="AF63" s="4317"/>
    </row>
    <row r="64" spans="1:32" ht="17.25" thickTop="1">
      <c r="A64" s="1"/>
      <c r="B64" s="12"/>
      <c r="C64" s="342" t="s">
        <v>669</v>
      </c>
      <c r="D64" s="221"/>
      <c r="E64" s="221"/>
      <c r="F64" s="221"/>
      <c r="G64" s="221"/>
      <c r="H64" s="221"/>
      <c r="I64" s="221"/>
      <c r="J64" s="221"/>
      <c r="K64" s="221"/>
      <c r="L64" s="221"/>
      <c r="M64" s="221"/>
      <c r="N64" s="221"/>
      <c r="O64" s="221"/>
      <c r="P64" s="221"/>
      <c r="Q64" s="221"/>
      <c r="R64" s="221"/>
      <c r="S64" s="4388" t="s">
        <v>670</v>
      </c>
      <c r="T64" s="4150"/>
      <c r="U64" s="4150"/>
      <c r="V64" s="4150"/>
      <c r="W64" s="4150"/>
      <c r="X64" s="4150"/>
      <c r="Y64" s="4150"/>
      <c r="Z64" s="4150"/>
      <c r="AA64" s="4150"/>
      <c r="AB64" s="4150"/>
      <c r="AC64" s="4150"/>
      <c r="AD64" s="4150"/>
      <c r="AE64" s="4150"/>
      <c r="AF64" s="4150"/>
    </row>
    <row r="65" spans="1:32" ht="16.5" customHeight="1">
      <c r="A65" s="1"/>
      <c r="B65" s="12"/>
      <c r="C65" s="342" t="s">
        <v>671</v>
      </c>
      <c r="D65" s="221"/>
      <c r="E65" s="221"/>
      <c r="F65" s="221"/>
      <c r="G65" s="221"/>
      <c r="H65" s="221"/>
      <c r="I65" s="221"/>
      <c r="J65" s="221"/>
      <c r="K65" s="221"/>
      <c r="L65" s="221"/>
      <c r="M65" s="221"/>
      <c r="N65" s="221"/>
      <c r="O65" s="221"/>
      <c r="P65" s="221"/>
      <c r="Q65" s="221"/>
      <c r="R65" s="221"/>
      <c r="S65" s="298"/>
      <c r="T65" s="298"/>
      <c r="U65" s="298"/>
      <c r="V65" s="1884"/>
      <c r="W65" s="1884"/>
      <c r="X65" s="1884"/>
      <c r="Y65" s="1884"/>
      <c r="Z65" s="1884"/>
      <c r="AA65" s="1884"/>
      <c r="AB65" s="4389"/>
      <c r="AC65" s="4150"/>
      <c r="AD65" s="298"/>
      <c r="AE65" s="298"/>
      <c r="AF65" s="298"/>
    </row>
    <row r="66" spans="1:32" ht="18.75">
      <c r="A66" s="1"/>
      <c r="B66" s="1"/>
      <c r="C66" s="221"/>
      <c r="D66" s="221"/>
      <c r="E66" s="221"/>
      <c r="F66" s="221"/>
      <c r="G66" s="221"/>
      <c r="H66" s="221"/>
      <c r="I66" s="221"/>
      <c r="J66" s="221"/>
      <c r="K66" s="221"/>
      <c r="L66" s="221"/>
      <c r="M66" s="221"/>
      <c r="N66" s="221"/>
      <c r="O66" s="221"/>
      <c r="P66" s="221"/>
      <c r="Q66" s="221"/>
      <c r="R66" s="221"/>
      <c r="S66" s="298"/>
      <c r="U66" s="4222" t="s">
        <v>343</v>
      </c>
      <c r="V66" s="4223"/>
      <c r="W66" s="4223"/>
      <c r="X66" s="4223"/>
      <c r="Y66" s="4223"/>
      <c r="Z66" s="4223"/>
      <c r="AA66" s="225"/>
      <c r="AB66" s="225"/>
      <c r="AC66" s="298"/>
      <c r="AD66" s="298"/>
      <c r="AE66" s="298"/>
    </row>
    <row r="67" spans="1:32" ht="16.5" customHeight="1" thickBot="1">
      <c r="A67" s="1"/>
      <c r="B67" s="1"/>
      <c r="C67" s="221"/>
      <c r="D67" s="221"/>
      <c r="E67" s="221"/>
      <c r="F67" s="221"/>
      <c r="G67" s="221"/>
      <c r="H67" s="221"/>
      <c r="I67" s="221"/>
      <c r="J67" s="221"/>
      <c r="K67" s="221"/>
      <c r="L67" s="221"/>
      <c r="M67" s="221"/>
      <c r="N67" s="221"/>
      <c r="O67" s="221"/>
      <c r="P67" s="221"/>
      <c r="Q67" s="221"/>
      <c r="R67" s="221"/>
      <c r="S67" s="226"/>
      <c r="T67" s="131"/>
      <c r="U67" s="131"/>
      <c r="V67" s="131"/>
      <c r="W67" s="131"/>
      <c r="X67" s="131"/>
      <c r="Y67" s="131"/>
      <c r="Z67" s="131"/>
      <c r="AA67" s="227"/>
      <c r="AB67" s="227"/>
      <c r="AC67" s="298"/>
      <c r="AD67" s="298"/>
      <c r="AE67" s="298"/>
    </row>
    <row r="68" spans="1:32" ht="16.5" customHeight="1" thickTop="1">
      <c r="A68" s="1"/>
      <c r="B68" s="1"/>
      <c r="C68" s="221"/>
      <c r="D68" s="221"/>
      <c r="E68" s="221"/>
      <c r="F68" s="221"/>
      <c r="G68" s="221"/>
      <c r="H68" s="221"/>
      <c r="I68" s="221"/>
      <c r="J68" s="221"/>
      <c r="K68" s="221"/>
      <c r="L68" s="221"/>
      <c r="M68" s="221"/>
      <c r="N68" s="221"/>
      <c r="O68" s="221"/>
      <c r="P68" s="221"/>
      <c r="Q68" s="221"/>
      <c r="R68" s="221"/>
      <c r="S68" s="262"/>
      <c r="U68" s="2238" t="s">
        <v>4</v>
      </c>
      <c r="V68" s="2239" t="s">
        <v>344</v>
      </c>
      <c r="W68" s="2240" t="s">
        <v>6</v>
      </c>
      <c r="X68" s="2241" t="s">
        <v>345</v>
      </c>
      <c r="Y68" s="2241" t="s">
        <v>8</v>
      </c>
      <c r="Z68" s="2242" t="s">
        <v>346</v>
      </c>
      <c r="AA68" s="228"/>
      <c r="AB68" s="229"/>
      <c r="AC68" s="298"/>
      <c r="AD68" s="298"/>
      <c r="AE68" s="298"/>
    </row>
    <row r="69" spans="1:32" ht="49.5">
      <c r="A69" s="1"/>
      <c r="B69" s="1"/>
      <c r="C69" s="221"/>
      <c r="D69" s="221"/>
      <c r="E69" s="221"/>
      <c r="F69" s="221"/>
      <c r="G69" s="221"/>
      <c r="H69" s="221"/>
      <c r="I69" s="221"/>
      <c r="J69" s="221"/>
      <c r="K69" s="221"/>
      <c r="L69" s="221"/>
      <c r="M69" s="221"/>
      <c r="N69" s="221"/>
      <c r="O69" s="221"/>
      <c r="U69" s="2259" t="s">
        <v>39</v>
      </c>
      <c r="V69" s="1618" t="s">
        <v>16</v>
      </c>
      <c r="W69" s="136" t="s">
        <v>52</v>
      </c>
      <c r="X69" s="137" t="s">
        <v>13</v>
      </c>
      <c r="Y69" s="1568" t="s">
        <v>18</v>
      </c>
      <c r="Z69" s="287">
        <f>SUM($AA$29:$AA$29)</f>
        <v>6720.0000000000009</v>
      </c>
      <c r="AA69" s="227"/>
      <c r="AB69" s="231"/>
      <c r="AC69" s="298"/>
      <c r="AD69" s="298"/>
      <c r="AE69" s="298"/>
    </row>
    <row r="70" spans="1:32" ht="49.5">
      <c r="A70" s="1"/>
      <c r="B70" s="1"/>
      <c r="C70" s="221"/>
      <c r="D70" s="221"/>
      <c r="E70" s="221"/>
      <c r="F70" s="221"/>
      <c r="G70" s="221"/>
      <c r="H70" s="221"/>
      <c r="I70" s="221"/>
      <c r="J70" s="221"/>
      <c r="K70" s="221"/>
      <c r="L70" s="221"/>
      <c r="M70" s="221"/>
      <c r="N70" s="221"/>
      <c r="O70" s="221"/>
      <c r="U70" s="2259" t="s">
        <v>11</v>
      </c>
      <c r="V70" s="1618" t="s">
        <v>16</v>
      </c>
      <c r="W70" s="136" t="s">
        <v>52</v>
      </c>
      <c r="X70" s="137" t="s">
        <v>13</v>
      </c>
      <c r="Y70" s="1568" t="s">
        <v>14</v>
      </c>
      <c r="Z70" s="343">
        <f>SUM($AA$31:$AA$31)</f>
        <v>6720.0000000000009</v>
      </c>
      <c r="AA70" s="227"/>
      <c r="AB70" s="231"/>
      <c r="AC70" s="298"/>
      <c r="AD70" s="298"/>
      <c r="AE70" s="298"/>
    </row>
    <row r="71" spans="1:32" ht="16.5" customHeight="1">
      <c r="A71" s="1"/>
      <c r="B71" s="1"/>
      <c r="C71" s="221"/>
      <c r="D71" s="221"/>
      <c r="E71" s="221"/>
      <c r="F71" s="221"/>
      <c r="G71" s="221"/>
      <c r="H71" s="221"/>
      <c r="I71" s="221"/>
      <c r="J71" s="221"/>
      <c r="K71" s="221"/>
      <c r="L71" s="221"/>
      <c r="M71" s="221"/>
      <c r="N71" s="221"/>
      <c r="O71" s="221"/>
      <c r="U71" s="2259" t="s">
        <v>11</v>
      </c>
      <c r="V71" s="1618" t="s">
        <v>41</v>
      </c>
      <c r="W71" s="136" t="s">
        <v>53</v>
      </c>
      <c r="X71" s="137" t="s">
        <v>13</v>
      </c>
      <c r="Y71" s="1568" t="s">
        <v>14</v>
      </c>
      <c r="Z71" s="287">
        <f>SUM($AA$27:$AA$27)</f>
        <v>8960</v>
      </c>
      <c r="AA71" s="302"/>
      <c r="AB71" s="302"/>
      <c r="AC71" s="298"/>
      <c r="AD71" s="298"/>
      <c r="AE71" s="298"/>
    </row>
    <row r="72" spans="1:32" ht="16.5" customHeight="1">
      <c r="A72" s="1"/>
      <c r="B72" s="1"/>
      <c r="C72" s="221"/>
      <c r="D72" s="221"/>
      <c r="E72" s="221"/>
      <c r="F72" s="221"/>
      <c r="G72" s="221"/>
      <c r="H72" s="221"/>
      <c r="I72" s="221"/>
      <c r="J72" s="221"/>
      <c r="K72" s="221"/>
      <c r="L72" s="221"/>
      <c r="M72" s="221"/>
      <c r="N72" s="221"/>
      <c r="O72" s="221"/>
      <c r="U72" s="2259" t="s">
        <v>11</v>
      </c>
      <c r="V72" s="1618" t="s">
        <v>54</v>
      </c>
      <c r="W72" s="344" t="s">
        <v>55</v>
      </c>
      <c r="X72" s="137" t="s">
        <v>13</v>
      </c>
      <c r="Y72" s="1568" t="s">
        <v>14</v>
      </c>
      <c r="Z72" s="287">
        <f>SUM($AA$48:$AA$48)</f>
        <v>1008.0000000000001</v>
      </c>
      <c r="AA72" s="302"/>
      <c r="AB72" s="302"/>
      <c r="AC72" s="298"/>
      <c r="AD72" s="298"/>
      <c r="AE72" s="298"/>
    </row>
    <row r="73" spans="1:32" ht="16.5" customHeight="1">
      <c r="A73" s="1"/>
      <c r="B73" s="1"/>
      <c r="C73" s="221"/>
      <c r="D73" s="221"/>
      <c r="E73" s="221"/>
      <c r="F73" s="221"/>
      <c r="G73" s="221"/>
      <c r="H73" s="221"/>
      <c r="I73" s="221"/>
      <c r="J73" s="221"/>
      <c r="K73" s="221"/>
      <c r="L73" s="221"/>
      <c r="M73" s="221"/>
      <c r="N73" s="221"/>
      <c r="O73" s="221"/>
      <c r="U73" s="2259" t="s">
        <v>11</v>
      </c>
      <c r="V73" s="1618" t="s">
        <v>56</v>
      </c>
      <c r="W73" s="344" t="s">
        <v>57</v>
      </c>
      <c r="X73" s="137" t="s">
        <v>13</v>
      </c>
      <c r="Y73" s="1568" t="s">
        <v>14</v>
      </c>
      <c r="Z73" s="287">
        <f>SUM($AA$43:$AA$45)</f>
        <v>77.28</v>
      </c>
      <c r="AA73" s="302"/>
      <c r="AB73" s="302"/>
      <c r="AC73" s="298"/>
      <c r="AD73" s="298"/>
      <c r="AE73" s="298"/>
    </row>
    <row r="74" spans="1:32" ht="16.5" customHeight="1">
      <c r="A74" s="1"/>
      <c r="B74" s="1"/>
      <c r="C74" s="221"/>
      <c r="D74" s="221"/>
      <c r="E74" s="221"/>
      <c r="F74" s="221"/>
      <c r="G74" s="221"/>
      <c r="H74" s="221"/>
      <c r="I74" s="221"/>
      <c r="J74" s="221"/>
      <c r="K74" s="221"/>
      <c r="L74" s="221"/>
      <c r="M74" s="221"/>
      <c r="N74" s="221"/>
      <c r="O74" s="221"/>
      <c r="U74" s="2259" t="s">
        <v>11</v>
      </c>
      <c r="V74" s="1618" t="s">
        <v>58</v>
      </c>
      <c r="W74" s="344" t="s">
        <v>59</v>
      </c>
      <c r="X74" s="137" t="s">
        <v>13</v>
      </c>
      <c r="Y74" s="1568" t="s">
        <v>14</v>
      </c>
      <c r="Z74" s="287">
        <f>SUM($AA$50:$AA$52)</f>
        <v>94.080000000000013</v>
      </c>
      <c r="AA74" s="302"/>
      <c r="AB74" s="302"/>
      <c r="AC74" s="298"/>
      <c r="AD74" s="298"/>
      <c r="AE74" s="298"/>
    </row>
    <row r="75" spans="1:32" ht="16.5" customHeight="1">
      <c r="A75" s="1"/>
      <c r="B75" s="1"/>
      <c r="C75" s="221"/>
      <c r="D75" s="221"/>
      <c r="E75" s="221"/>
      <c r="F75" s="221"/>
      <c r="G75" s="221"/>
      <c r="H75" s="221"/>
      <c r="I75" s="221"/>
      <c r="J75" s="221"/>
      <c r="K75" s="221"/>
      <c r="L75" s="221"/>
      <c r="M75" s="221"/>
      <c r="N75" s="221"/>
      <c r="O75" s="221"/>
      <c r="U75" s="2259" t="s">
        <v>11</v>
      </c>
      <c r="V75" s="1618" t="s">
        <v>20</v>
      </c>
      <c r="W75" s="136" t="s">
        <v>21</v>
      </c>
      <c r="X75" s="137" t="s">
        <v>13</v>
      </c>
      <c r="Y75" s="1568" t="s">
        <v>14</v>
      </c>
      <c r="Z75" s="287">
        <f>SUM($AA$15:$AA$20)</f>
        <v>985.60000000000014</v>
      </c>
      <c r="AA75" s="302"/>
      <c r="AB75" s="302"/>
      <c r="AC75" s="298"/>
      <c r="AD75" s="298"/>
      <c r="AE75" s="298"/>
    </row>
    <row r="76" spans="1:32" ht="16.5" customHeight="1">
      <c r="A76" s="1"/>
      <c r="B76" s="1"/>
      <c r="C76" s="221"/>
      <c r="D76" s="221"/>
      <c r="E76" s="221"/>
      <c r="F76" s="221"/>
      <c r="G76" s="221"/>
      <c r="H76" s="221"/>
      <c r="I76" s="221"/>
      <c r="J76" s="221"/>
      <c r="K76" s="221"/>
      <c r="L76" s="221"/>
      <c r="M76" s="221"/>
      <c r="N76" s="221"/>
      <c r="O76" s="221"/>
      <c r="U76" s="2259" t="s">
        <v>11</v>
      </c>
      <c r="V76" s="1618" t="s">
        <v>22</v>
      </c>
      <c r="W76" s="136" t="s">
        <v>60</v>
      </c>
      <c r="X76" s="137" t="s">
        <v>13</v>
      </c>
      <c r="Y76" s="1570" t="s">
        <v>14</v>
      </c>
      <c r="Z76" s="287">
        <f>SUM($AA$38:$AA$40)</f>
        <v>1071.9968000000001</v>
      </c>
      <c r="AA76" s="302"/>
      <c r="AB76" s="302"/>
      <c r="AC76" s="298"/>
      <c r="AD76" s="298"/>
      <c r="AE76" s="298"/>
    </row>
    <row r="77" spans="1:32" ht="16.5" customHeight="1">
      <c r="A77" s="1"/>
      <c r="B77" s="1"/>
      <c r="C77" s="221"/>
      <c r="D77" s="221"/>
      <c r="E77" s="221"/>
      <c r="F77" s="221"/>
      <c r="G77" s="221"/>
      <c r="H77" s="221"/>
      <c r="I77" s="221"/>
      <c r="J77" s="221"/>
      <c r="K77" s="221"/>
      <c r="L77" s="221"/>
      <c r="M77" s="221"/>
      <c r="N77" s="221"/>
      <c r="O77" s="221"/>
      <c r="U77" s="2259" t="s">
        <v>11</v>
      </c>
      <c r="V77" s="2255" t="s">
        <v>24</v>
      </c>
      <c r="W77" s="136" t="s">
        <v>61</v>
      </c>
      <c r="X77" s="137" t="s">
        <v>13</v>
      </c>
      <c r="Y77" s="1570" t="s">
        <v>14</v>
      </c>
      <c r="Z77" s="287">
        <f>SUM($AA$10:$AA$13)</f>
        <v>2882.88</v>
      </c>
      <c r="AA77" s="302"/>
      <c r="AB77" s="302"/>
      <c r="AC77" s="298"/>
      <c r="AD77" s="298"/>
      <c r="AE77" s="298"/>
    </row>
    <row r="78" spans="1:32" ht="16.5" customHeight="1">
      <c r="A78" s="1"/>
      <c r="B78" s="1"/>
      <c r="C78" s="221"/>
      <c r="D78" s="221"/>
      <c r="E78" s="221"/>
      <c r="F78" s="221"/>
      <c r="G78" s="221"/>
      <c r="H78" s="221"/>
      <c r="I78" s="221"/>
      <c r="J78" s="221"/>
      <c r="K78" s="221"/>
      <c r="L78" s="221"/>
      <c r="M78" s="221"/>
      <c r="N78" s="221"/>
      <c r="O78" s="221"/>
      <c r="U78" s="2259" t="s">
        <v>11</v>
      </c>
      <c r="V78" s="1618" t="s">
        <v>20</v>
      </c>
      <c r="W78" s="136" t="s">
        <v>63</v>
      </c>
      <c r="X78" s="137" t="s">
        <v>13</v>
      </c>
      <c r="Y78" s="1570" t="s">
        <v>14</v>
      </c>
      <c r="Z78" s="287">
        <f>SUM($AA$22:$AA$24)</f>
        <v>2934.4</v>
      </c>
      <c r="AA78" s="298"/>
      <c r="AB78" s="298"/>
      <c r="AC78" s="298"/>
      <c r="AD78" s="298"/>
      <c r="AE78" s="298"/>
    </row>
    <row r="79" spans="1:32" ht="16.5" customHeight="1" thickBot="1">
      <c r="A79" s="1"/>
      <c r="B79" s="1"/>
      <c r="C79" s="221"/>
      <c r="D79" s="221"/>
      <c r="E79" s="221"/>
      <c r="F79" s="221"/>
      <c r="G79" s="221"/>
      <c r="H79" s="221"/>
      <c r="I79" s="221"/>
      <c r="J79" s="221"/>
      <c r="K79" s="221"/>
      <c r="L79" s="221"/>
      <c r="M79" s="221"/>
      <c r="N79" s="221"/>
      <c r="O79" s="221"/>
      <c r="U79" s="2257"/>
      <c r="V79" s="2245" t="s">
        <v>183</v>
      </c>
      <c r="W79" s="2258"/>
      <c r="X79" s="2258"/>
      <c r="Y79" s="2246" t="s">
        <v>340</v>
      </c>
      <c r="Z79" s="140">
        <f>SUM(Z69:Z78)</f>
        <v>31454.236800000002</v>
      </c>
      <c r="AA79" s="298"/>
      <c r="AB79" s="307"/>
      <c r="AC79" s="298"/>
      <c r="AD79" s="298"/>
      <c r="AE79" s="298"/>
    </row>
    <row r="80" spans="1:32" ht="16.5" customHeight="1" thickTop="1">
      <c r="A80" s="1"/>
      <c r="B80" s="1"/>
      <c r="C80" s="221"/>
      <c r="D80" s="221"/>
      <c r="E80" s="221"/>
      <c r="F80" s="221"/>
      <c r="G80" s="221"/>
      <c r="H80" s="221"/>
      <c r="I80" s="221"/>
      <c r="J80" s="221"/>
      <c r="K80" s="221"/>
      <c r="L80" s="221"/>
      <c r="M80" s="221"/>
      <c r="N80" s="221"/>
      <c r="O80" s="221"/>
      <c r="P80" s="221"/>
      <c r="Q80" s="221"/>
      <c r="R80" s="221"/>
      <c r="T80" s="131"/>
      <c r="U80" s="131"/>
      <c r="V80" s="142" t="s">
        <v>347</v>
      </c>
      <c r="W80" s="143"/>
      <c r="X80" s="131"/>
      <c r="Y80" s="131"/>
      <c r="Z80" s="131"/>
      <c r="AA80" s="131"/>
      <c r="AB80" s="298"/>
      <c r="AC80" s="298"/>
      <c r="AD80" s="298"/>
      <c r="AE80" s="298"/>
    </row>
    <row r="81" spans="1:31" ht="31.5" customHeight="1" thickBot="1">
      <c r="A81" s="1"/>
      <c r="B81" s="1"/>
      <c r="C81" s="221"/>
      <c r="D81" s="221"/>
      <c r="E81" s="221"/>
      <c r="F81" s="221"/>
      <c r="G81" s="221"/>
      <c r="H81" s="221"/>
      <c r="I81" s="221"/>
      <c r="J81" s="221"/>
      <c r="K81" s="221"/>
      <c r="L81" s="221"/>
      <c r="M81" s="221"/>
      <c r="N81" s="221"/>
      <c r="O81" s="221"/>
      <c r="P81" s="221"/>
      <c r="Q81" s="221"/>
      <c r="R81" s="221"/>
      <c r="U81" s="131"/>
      <c r="V81" s="131"/>
      <c r="W81" s="131"/>
      <c r="X81" s="131"/>
      <c r="Y81" s="131"/>
      <c r="Z81" s="131"/>
      <c r="AA81" s="131"/>
      <c r="AB81" s="309"/>
      <c r="AC81" s="298"/>
      <c r="AD81" s="298"/>
      <c r="AE81" s="298"/>
    </row>
    <row r="82" spans="1:31" ht="16.5" customHeight="1" thickTop="1">
      <c r="A82" s="1"/>
      <c r="B82" s="1"/>
      <c r="C82" s="221"/>
      <c r="D82" s="221"/>
      <c r="E82" s="221"/>
      <c r="F82" s="221"/>
      <c r="G82" s="221"/>
      <c r="H82" s="221"/>
      <c r="I82" s="221"/>
      <c r="J82" s="221"/>
      <c r="K82" s="221"/>
      <c r="L82" s="221"/>
      <c r="M82" s="221"/>
      <c r="N82" s="221"/>
      <c r="O82" s="221"/>
      <c r="P82" s="221"/>
      <c r="Q82" s="221"/>
      <c r="R82" s="221"/>
      <c r="U82" s="4303" t="s">
        <v>348</v>
      </c>
      <c r="V82" s="4304"/>
      <c r="W82" s="4305"/>
      <c r="X82" s="131"/>
      <c r="Y82" s="144" t="s">
        <v>349</v>
      </c>
      <c r="Z82" s="145" t="str">
        <f>IF(Z79=AB63,"OK","NO")</f>
        <v>OK</v>
      </c>
      <c r="AA82" s="131"/>
      <c r="AB82" s="309"/>
      <c r="AC82" s="298"/>
      <c r="AD82" s="298"/>
      <c r="AE82" s="298"/>
    </row>
    <row r="83" spans="1:31" ht="16.5" customHeight="1">
      <c r="A83" s="1"/>
      <c r="B83" s="1"/>
      <c r="C83" s="221"/>
      <c r="D83" s="221"/>
      <c r="E83" s="221"/>
      <c r="F83" s="221"/>
      <c r="G83" s="221"/>
      <c r="H83" s="221"/>
      <c r="I83" s="221"/>
      <c r="J83" s="221"/>
      <c r="K83" s="221"/>
      <c r="L83" s="221"/>
      <c r="M83" s="221"/>
      <c r="N83" s="221"/>
      <c r="O83" s="221"/>
      <c r="P83" s="221"/>
      <c r="Q83" s="221"/>
      <c r="R83" s="221"/>
      <c r="S83" s="298"/>
      <c r="T83" s="298"/>
      <c r="U83" s="4213" t="s">
        <v>3666</v>
      </c>
      <c r="V83" s="4208"/>
      <c r="W83" s="516">
        <f>SUM(Z69)</f>
        <v>6720.0000000000009</v>
      </c>
      <c r="X83" s="143"/>
      <c r="Y83" s="131"/>
      <c r="Z83" s="145" t="str">
        <f>IF(W87=AB63,"OK","NO")</f>
        <v>OK</v>
      </c>
      <c r="AA83" s="131"/>
      <c r="AB83" s="309"/>
      <c r="AC83" s="298"/>
      <c r="AD83" s="298"/>
      <c r="AE83" s="298"/>
    </row>
    <row r="84" spans="1:31" ht="16.5" customHeight="1">
      <c r="A84" s="1"/>
      <c r="B84" s="1"/>
      <c r="C84" s="221"/>
      <c r="D84" s="221"/>
      <c r="E84" s="221"/>
      <c r="F84" s="221"/>
      <c r="G84" s="221"/>
      <c r="H84" s="221"/>
      <c r="I84" s="221"/>
      <c r="J84" s="221"/>
      <c r="K84" s="221"/>
      <c r="L84" s="221"/>
      <c r="M84" s="221"/>
      <c r="N84" s="221"/>
      <c r="O84" s="221"/>
      <c r="P84" s="221"/>
      <c r="Q84" s="221"/>
      <c r="R84" s="221"/>
      <c r="S84" s="298"/>
      <c r="T84" s="298"/>
      <c r="U84" s="4200" t="s">
        <v>3667</v>
      </c>
      <c r="V84" s="4201"/>
      <c r="W84" s="515">
        <v>0</v>
      </c>
      <c r="X84" s="143"/>
      <c r="Y84" s="131"/>
      <c r="Z84" s="145" t="str">
        <f>IF(W97=AB63,"OK","NO")</f>
        <v>OK</v>
      </c>
      <c r="AA84" s="131"/>
      <c r="AB84" s="309"/>
      <c r="AC84" s="298"/>
      <c r="AD84" s="298"/>
      <c r="AE84" s="298"/>
    </row>
    <row r="85" spans="1:31" ht="16.5" customHeight="1">
      <c r="A85" s="1"/>
      <c r="B85" s="1"/>
      <c r="C85" s="221"/>
      <c r="D85" s="221"/>
      <c r="E85" s="221"/>
      <c r="F85" s="221"/>
      <c r="G85" s="221"/>
      <c r="H85" s="221"/>
      <c r="I85" s="221"/>
      <c r="J85" s="221"/>
      <c r="K85" s="221"/>
      <c r="L85" s="221"/>
      <c r="M85" s="221"/>
      <c r="N85" s="221"/>
      <c r="O85" s="221"/>
      <c r="P85" s="221"/>
      <c r="Q85" s="221"/>
      <c r="R85" s="221"/>
      <c r="S85" s="298"/>
      <c r="T85" s="298"/>
      <c r="U85" s="4200" t="s">
        <v>3669</v>
      </c>
      <c r="V85" s="4201"/>
      <c r="W85" s="515">
        <f>SUM(Z70:Z78)</f>
        <v>24734.236800000002</v>
      </c>
      <c r="X85" s="143"/>
      <c r="Y85" s="143"/>
      <c r="Z85" s="145" t="str">
        <f>IF(Resumen!C351=AB63,"OK","NO")</f>
        <v>OK</v>
      </c>
      <c r="AA85" s="131"/>
      <c r="AB85" s="309"/>
      <c r="AC85" s="298"/>
      <c r="AD85" s="298"/>
      <c r="AE85" s="298"/>
    </row>
    <row r="86" spans="1:31" ht="16.5" customHeight="1">
      <c r="A86" s="1"/>
      <c r="B86" s="1"/>
      <c r="C86" s="221"/>
      <c r="D86" s="221"/>
      <c r="E86" s="221"/>
      <c r="F86" s="221"/>
      <c r="G86" s="221"/>
      <c r="H86" s="221"/>
      <c r="I86" s="221"/>
      <c r="J86" s="221"/>
      <c r="K86" s="221"/>
      <c r="L86" s="221"/>
      <c r="M86" s="221"/>
      <c r="N86" s="221"/>
      <c r="O86" s="221"/>
      <c r="P86" s="221"/>
      <c r="Q86" s="221"/>
      <c r="R86" s="221"/>
      <c r="S86" s="298"/>
      <c r="T86" s="298"/>
      <c r="U86" s="4200" t="s">
        <v>3668</v>
      </c>
      <c r="V86" s="4201"/>
      <c r="W86" s="517">
        <v>0</v>
      </c>
      <c r="X86" s="143"/>
      <c r="Y86" s="143"/>
      <c r="Z86" s="131"/>
      <c r="AA86" s="131"/>
      <c r="AB86" s="309"/>
      <c r="AC86" s="298"/>
      <c r="AD86" s="298"/>
      <c r="AE86" s="298"/>
    </row>
    <row r="87" spans="1:31" ht="16.5" customHeight="1">
      <c r="A87" s="1"/>
      <c r="B87" s="1"/>
      <c r="C87" s="221"/>
      <c r="D87" s="221"/>
      <c r="E87" s="221"/>
      <c r="F87" s="221"/>
      <c r="G87" s="221"/>
      <c r="H87" s="221"/>
      <c r="I87" s="221"/>
      <c r="J87" s="221"/>
      <c r="K87" s="221"/>
      <c r="L87" s="221"/>
      <c r="M87" s="221"/>
      <c r="N87" s="221"/>
      <c r="O87" s="221"/>
      <c r="P87" s="221"/>
      <c r="Q87" s="221"/>
      <c r="R87" s="221"/>
      <c r="S87" s="298"/>
      <c r="T87" s="298"/>
      <c r="U87" s="4553" t="s">
        <v>183</v>
      </c>
      <c r="V87" s="4554"/>
      <c r="W87" s="1571">
        <f>SUM(W83:W86)</f>
        <v>31454.236800000002</v>
      </c>
      <c r="X87" s="143"/>
      <c r="Y87" s="143"/>
      <c r="Z87" s="131"/>
      <c r="AA87" s="131"/>
      <c r="AB87" s="309"/>
      <c r="AC87" s="298"/>
      <c r="AD87" s="298"/>
      <c r="AE87" s="298"/>
    </row>
    <row r="88" spans="1:31" ht="16.5" customHeight="1">
      <c r="A88" s="1"/>
      <c r="B88" s="1"/>
      <c r="C88" s="221"/>
      <c r="D88" s="221"/>
      <c r="E88" s="221"/>
      <c r="F88" s="221"/>
      <c r="G88" s="221"/>
      <c r="H88" s="221"/>
      <c r="I88" s="221"/>
      <c r="J88" s="221"/>
      <c r="K88" s="221"/>
      <c r="L88" s="221"/>
      <c r="M88" s="221"/>
      <c r="N88" s="221"/>
      <c r="O88" s="221"/>
      <c r="P88" s="221"/>
      <c r="Q88" s="221"/>
      <c r="R88" s="221"/>
      <c r="S88" s="298"/>
      <c r="T88" s="298"/>
      <c r="U88" s="4555" t="s">
        <v>350</v>
      </c>
      <c r="V88" s="4556"/>
      <c r="W88" s="4557"/>
      <c r="X88" s="147"/>
      <c r="Y88" s="147"/>
      <c r="Z88" s="131"/>
      <c r="AA88" s="131"/>
      <c r="AB88" s="309"/>
      <c r="AC88" s="298"/>
      <c r="AD88" s="298"/>
      <c r="AE88" s="298"/>
    </row>
    <row r="89" spans="1:31" ht="16.5" customHeight="1">
      <c r="A89" s="1"/>
      <c r="B89" s="1"/>
      <c r="C89" s="221"/>
      <c r="D89" s="221"/>
      <c r="E89" s="221"/>
      <c r="F89" s="221"/>
      <c r="G89" s="221"/>
      <c r="H89" s="221"/>
      <c r="I89" s="221"/>
      <c r="J89" s="221"/>
      <c r="K89" s="221"/>
      <c r="L89" s="221"/>
      <c r="M89" s="221"/>
      <c r="N89" s="221"/>
      <c r="O89" s="221"/>
      <c r="P89" s="221"/>
      <c r="Q89" s="221"/>
      <c r="R89" s="221"/>
      <c r="S89" s="298"/>
      <c r="T89" s="298"/>
      <c r="U89" s="4207" t="s">
        <v>3670</v>
      </c>
      <c r="V89" s="4208"/>
      <c r="W89" s="516">
        <v>0</v>
      </c>
      <c r="X89" s="147"/>
      <c r="Y89" s="147"/>
      <c r="Z89" s="131"/>
      <c r="AA89" s="131"/>
      <c r="AB89" s="309"/>
      <c r="AC89" s="298"/>
      <c r="AD89" s="298"/>
      <c r="AE89" s="298"/>
    </row>
    <row r="90" spans="1:31" ht="16.5" customHeight="1">
      <c r="A90" s="1"/>
      <c r="B90" s="1"/>
      <c r="C90" s="221"/>
      <c r="D90" s="221"/>
      <c r="E90" s="221"/>
      <c r="F90" s="221"/>
      <c r="G90" s="221"/>
      <c r="H90" s="221"/>
      <c r="I90" s="221"/>
      <c r="J90" s="221"/>
      <c r="K90" s="221"/>
      <c r="L90" s="221"/>
      <c r="M90" s="221"/>
      <c r="N90" s="221"/>
      <c r="O90" s="221"/>
      <c r="P90" s="221"/>
      <c r="Q90" s="221"/>
      <c r="R90" s="221"/>
      <c r="S90" s="298"/>
      <c r="T90" s="298"/>
      <c r="U90" s="4209" t="s">
        <v>3671</v>
      </c>
      <c r="V90" s="4201"/>
      <c r="W90" s="515">
        <f>SUM(Z69:Z75)</f>
        <v>24564.959999999999</v>
      </c>
      <c r="X90" s="147"/>
      <c r="Y90" s="147"/>
      <c r="Z90" s="131"/>
      <c r="AA90" s="269"/>
      <c r="AB90" s="311"/>
      <c r="AC90" s="298"/>
      <c r="AD90" s="298"/>
      <c r="AE90" s="298"/>
    </row>
    <row r="91" spans="1:31" ht="16.5" customHeight="1">
      <c r="A91" s="1"/>
      <c r="B91" s="1"/>
      <c r="C91" s="221"/>
      <c r="D91" s="221"/>
      <c r="E91" s="221"/>
      <c r="F91" s="221"/>
      <c r="G91" s="221"/>
      <c r="H91" s="221"/>
      <c r="I91" s="221"/>
      <c r="J91" s="221"/>
      <c r="K91" s="221"/>
      <c r="L91" s="221"/>
      <c r="M91" s="221"/>
      <c r="N91" s="221"/>
      <c r="O91" s="221"/>
      <c r="P91" s="221"/>
      <c r="Q91" s="221"/>
      <c r="R91" s="221"/>
      <c r="S91" s="298"/>
      <c r="T91" s="298"/>
      <c r="U91" s="4209" t="s">
        <v>3672</v>
      </c>
      <c r="V91" s="4201"/>
      <c r="W91" s="515">
        <v>0</v>
      </c>
      <c r="X91" s="150"/>
      <c r="Y91" s="310"/>
      <c r="Z91" s="269"/>
      <c r="AA91" s="269"/>
      <c r="AB91" s="311"/>
      <c r="AC91" s="298"/>
      <c r="AD91" s="298"/>
      <c r="AE91" s="298"/>
    </row>
    <row r="92" spans="1:31" ht="16.5" customHeight="1">
      <c r="A92" s="1"/>
      <c r="B92" s="1"/>
      <c r="C92" s="221"/>
      <c r="D92" s="221"/>
      <c r="E92" s="221"/>
      <c r="F92" s="221"/>
      <c r="G92" s="221"/>
      <c r="H92" s="221"/>
      <c r="I92" s="221"/>
      <c r="J92" s="221"/>
      <c r="K92" s="221"/>
      <c r="L92" s="221"/>
      <c r="M92" s="221"/>
      <c r="N92" s="221"/>
      <c r="O92" s="221"/>
      <c r="P92" s="221"/>
      <c r="Q92" s="221"/>
      <c r="R92" s="221"/>
      <c r="S92" s="298"/>
      <c r="T92" s="298"/>
      <c r="U92" s="4209" t="s">
        <v>3673</v>
      </c>
      <c r="V92" s="4201"/>
      <c r="W92" s="515">
        <v>0</v>
      </c>
      <c r="X92" s="143"/>
      <c r="Y92" s="312"/>
      <c r="Z92" s="269"/>
      <c r="AA92" s="1884"/>
      <c r="AB92" s="1884"/>
      <c r="AC92" s="298"/>
      <c r="AD92" s="298"/>
      <c r="AE92" s="298"/>
    </row>
    <row r="93" spans="1:31" ht="16.5" customHeight="1">
      <c r="A93" s="1"/>
      <c r="B93" s="1"/>
      <c r="C93" s="221"/>
      <c r="D93" s="221"/>
      <c r="E93" s="221"/>
      <c r="F93" s="221"/>
      <c r="G93" s="221"/>
      <c r="H93" s="221"/>
      <c r="I93" s="221"/>
      <c r="J93" s="221"/>
      <c r="K93" s="221"/>
      <c r="L93" s="221"/>
      <c r="M93" s="221"/>
      <c r="N93" s="221"/>
      <c r="O93" s="221"/>
      <c r="P93" s="221"/>
      <c r="Q93" s="221"/>
      <c r="R93" s="221"/>
      <c r="S93" s="298"/>
      <c r="T93" s="298"/>
      <c r="U93" s="4209" t="s">
        <v>3674</v>
      </c>
      <c r="V93" s="4201"/>
      <c r="W93" s="515">
        <v>0</v>
      </c>
      <c r="X93" s="151"/>
      <c r="Y93" s="314"/>
      <c r="Z93" s="1887"/>
      <c r="AA93" s="272"/>
      <c r="AB93" s="271"/>
      <c r="AC93" s="298"/>
      <c r="AD93" s="298"/>
      <c r="AE93" s="298"/>
    </row>
    <row r="94" spans="1:31" ht="16.5" customHeight="1">
      <c r="A94" s="1"/>
      <c r="B94" s="1"/>
      <c r="C94" s="221"/>
      <c r="D94" s="221"/>
      <c r="E94" s="221"/>
      <c r="F94" s="221"/>
      <c r="G94" s="221"/>
      <c r="H94" s="221"/>
      <c r="I94" s="221"/>
      <c r="J94" s="221"/>
      <c r="K94" s="221"/>
      <c r="L94" s="221"/>
      <c r="M94" s="221"/>
      <c r="N94" s="221"/>
      <c r="O94" s="221"/>
      <c r="P94" s="221"/>
      <c r="Q94" s="221"/>
      <c r="R94" s="221"/>
      <c r="S94" s="298"/>
      <c r="T94" s="298"/>
      <c r="U94" s="4209" t="s">
        <v>3675</v>
      </c>
      <c r="V94" s="4201"/>
      <c r="W94" s="515">
        <v>0</v>
      </c>
      <c r="X94" s="151"/>
      <c r="Y94" s="314"/>
      <c r="Z94" s="271"/>
      <c r="AA94" s="274"/>
      <c r="AB94" s="346"/>
      <c r="AC94" s="298"/>
      <c r="AD94" s="298"/>
      <c r="AE94" s="298"/>
    </row>
    <row r="95" spans="1:31" ht="16.5" customHeight="1">
      <c r="A95" s="1"/>
      <c r="B95" s="1"/>
      <c r="C95" s="221"/>
      <c r="D95" s="221"/>
      <c r="E95" s="221"/>
      <c r="F95" s="221"/>
      <c r="G95" s="221"/>
      <c r="H95" s="221"/>
      <c r="I95" s="221"/>
      <c r="J95" s="221"/>
      <c r="K95" s="221"/>
      <c r="L95" s="221"/>
      <c r="M95" s="221"/>
      <c r="N95" s="221"/>
      <c r="O95" s="221"/>
      <c r="P95" s="221"/>
      <c r="Q95" s="221"/>
      <c r="R95" s="221"/>
      <c r="S95" s="298"/>
      <c r="T95" s="298"/>
      <c r="U95" s="4209" t="s">
        <v>3676</v>
      </c>
      <c r="V95" s="4201"/>
      <c r="W95" s="515">
        <f>SUM(Z76:Z78)</f>
        <v>6889.2767999999996</v>
      </c>
      <c r="X95" s="151"/>
      <c r="Y95" s="314"/>
      <c r="Z95" s="345"/>
      <c r="AA95" s="317"/>
      <c r="AB95" s="311"/>
      <c r="AC95" s="298"/>
      <c r="AD95" s="298"/>
      <c r="AE95" s="298"/>
    </row>
    <row r="96" spans="1:31" ht="16.5" customHeight="1">
      <c r="A96" s="1"/>
      <c r="B96" s="1"/>
      <c r="C96" s="221"/>
      <c r="D96" s="221"/>
      <c r="E96" s="221"/>
      <c r="F96" s="221"/>
      <c r="G96" s="221"/>
      <c r="H96" s="221"/>
      <c r="I96" s="221"/>
      <c r="J96" s="221"/>
      <c r="K96" s="221"/>
      <c r="L96" s="221"/>
      <c r="M96" s="221"/>
      <c r="N96" s="221"/>
      <c r="O96" s="221"/>
      <c r="P96" s="221"/>
      <c r="Q96" s="221"/>
      <c r="R96" s="221"/>
      <c r="S96" s="298"/>
      <c r="T96" s="298"/>
      <c r="U96" s="4209" t="s">
        <v>3677</v>
      </c>
      <c r="V96" s="4201"/>
      <c r="W96" s="517">
        <v>0</v>
      </c>
      <c r="X96" s="152"/>
      <c r="Y96" s="316"/>
      <c r="Z96" s="317"/>
      <c r="AA96" s="269"/>
      <c r="AB96" s="311"/>
      <c r="AC96" s="298"/>
      <c r="AD96" s="298"/>
      <c r="AE96" s="298"/>
    </row>
    <row r="97" spans="21:26" ht="15.75" customHeight="1" thickBot="1">
      <c r="U97" s="4295" t="s">
        <v>183</v>
      </c>
      <c r="V97" s="4296"/>
      <c r="W97" s="1572">
        <f>SUM(W89:W96)</f>
        <v>31454.236799999999</v>
      </c>
      <c r="X97" s="150"/>
      <c r="Y97" s="310"/>
      <c r="Z97" s="269"/>
    </row>
    <row r="98" spans="21:26" ht="15.75" customHeight="1" thickTop="1"/>
  </sheetData>
  <mergeCells count="219">
    <mergeCell ref="Q37:Q41"/>
    <mergeCell ref="R37:R41"/>
    <mergeCell ref="J32:J36"/>
    <mergeCell ref="K32:K36"/>
    <mergeCell ref="L32:L36"/>
    <mergeCell ref="M32:M36"/>
    <mergeCell ref="N32:N36"/>
    <mergeCell ref="O32:O36"/>
    <mergeCell ref="P32:P36"/>
    <mergeCell ref="J37:J41"/>
    <mergeCell ref="K37:K41"/>
    <mergeCell ref="Q32:Q36"/>
    <mergeCell ref="R32:R36"/>
    <mergeCell ref="L37:L41"/>
    <mergeCell ref="M37:M41"/>
    <mergeCell ref="N37:N41"/>
    <mergeCell ref="O37:O41"/>
    <mergeCell ref="P37:P41"/>
    <mergeCell ref="E47:E52"/>
    <mergeCell ref="F47:F52"/>
    <mergeCell ref="G47:G52"/>
    <mergeCell ref="H47:H52"/>
    <mergeCell ref="A9:B63"/>
    <mergeCell ref="C9:C13"/>
    <mergeCell ref="D9:D13"/>
    <mergeCell ref="C14:C20"/>
    <mergeCell ref="D14:D20"/>
    <mergeCell ref="C58:C62"/>
    <mergeCell ref="D58:D62"/>
    <mergeCell ref="C42:C46"/>
    <mergeCell ref="D42:D46"/>
    <mergeCell ref="C47:C52"/>
    <mergeCell ref="D47:D52"/>
    <mergeCell ref="C53:C57"/>
    <mergeCell ref="D53:D57"/>
    <mergeCell ref="C32:C36"/>
    <mergeCell ref="D32:D36"/>
    <mergeCell ref="C26:C31"/>
    <mergeCell ref="D26:D31"/>
    <mergeCell ref="C37:C41"/>
    <mergeCell ref="D37:D41"/>
    <mergeCell ref="E9:E13"/>
    <mergeCell ref="J9:J13"/>
    <mergeCell ref="A1:AF1"/>
    <mergeCell ref="A2:AF2"/>
    <mergeCell ref="A3:AF3"/>
    <mergeCell ref="A4:AF4"/>
    <mergeCell ref="O42:O46"/>
    <mergeCell ref="P42:P46"/>
    <mergeCell ref="E58:E62"/>
    <mergeCell ref="F58:F62"/>
    <mergeCell ref="G58:G62"/>
    <mergeCell ref="H58:H62"/>
    <mergeCell ref="I58:I62"/>
    <mergeCell ref="J58:J62"/>
    <mergeCell ref="K58:K62"/>
    <mergeCell ref="L58:L62"/>
    <mergeCell ref="M58:M62"/>
    <mergeCell ref="N58:N62"/>
    <mergeCell ref="O58:O62"/>
    <mergeCell ref="P58:P62"/>
    <mergeCell ref="E53:E57"/>
    <mergeCell ref="F53:F57"/>
    <mergeCell ref="G53:G57"/>
    <mergeCell ref="E42:E46"/>
    <mergeCell ref="F42:F46"/>
    <mergeCell ref="K9:K13"/>
    <mergeCell ref="L9:L13"/>
    <mergeCell ref="M9:M13"/>
    <mergeCell ref="N9:N13"/>
    <mergeCell ref="O9:O13"/>
    <mergeCell ref="P9:P13"/>
    <mergeCell ref="Q9:Q13"/>
    <mergeCell ref="R9:R13"/>
    <mergeCell ref="AF9:AF13"/>
    <mergeCell ref="AF14:AF20"/>
    <mergeCell ref="E14:E20"/>
    <mergeCell ref="F14:F20"/>
    <mergeCell ref="G14:G20"/>
    <mergeCell ref="H14:H20"/>
    <mergeCell ref="I14:I20"/>
    <mergeCell ref="J14:J20"/>
    <mergeCell ref="K14:K20"/>
    <mergeCell ref="N14:N20"/>
    <mergeCell ref="O14:O20"/>
    <mergeCell ref="P14:P20"/>
    <mergeCell ref="Q14:Q20"/>
    <mergeCell ref="R14:R20"/>
    <mergeCell ref="L14:L20"/>
    <mergeCell ref="M14:M20"/>
    <mergeCell ref="F9:F13"/>
    <mergeCell ref="G9:G13"/>
    <mergeCell ref="H9:H13"/>
    <mergeCell ref="I9:I13"/>
    <mergeCell ref="C21:C25"/>
    <mergeCell ref="D21:D25"/>
    <mergeCell ref="E21:E25"/>
    <mergeCell ref="F21:F25"/>
    <mergeCell ref="G21:G25"/>
    <mergeCell ref="H21:H25"/>
    <mergeCell ref="I21:I25"/>
    <mergeCell ref="AF21:AF25"/>
    <mergeCell ref="AF26:AF31"/>
    <mergeCell ref="Q26:Q31"/>
    <mergeCell ref="R26:R31"/>
    <mergeCell ref="Q21:Q25"/>
    <mergeCell ref="R21:R25"/>
    <mergeCell ref="E32:E36"/>
    <mergeCell ref="F32:F36"/>
    <mergeCell ref="G32:G36"/>
    <mergeCell ref="H32:H36"/>
    <mergeCell ref="I32:I36"/>
    <mergeCell ref="E26:E31"/>
    <mergeCell ref="F26:F31"/>
    <mergeCell ref="G26:G31"/>
    <mergeCell ref="H26:H31"/>
    <mergeCell ref="I26:I31"/>
    <mergeCell ref="J21:J25"/>
    <mergeCell ref="K21:K25"/>
    <mergeCell ref="L21:L25"/>
    <mergeCell ref="M21:M25"/>
    <mergeCell ref="N21:N25"/>
    <mergeCell ref="O21:O25"/>
    <mergeCell ref="P21:P25"/>
    <mergeCell ref="AF32:AF36"/>
    <mergeCell ref="J26:J31"/>
    <mergeCell ref="R42:R46"/>
    <mergeCell ref="J42:J46"/>
    <mergeCell ref="E37:E41"/>
    <mergeCell ref="F37:F41"/>
    <mergeCell ref="G37:G41"/>
    <mergeCell ref="H37:H41"/>
    <mergeCell ref="I37:I41"/>
    <mergeCell ref="AF37:AF41"/>
    <mergeCell ref="AF42:AF46"/>
    <mergeCell ref="K26:K31"/>
    <mergeCell ref="L26:L31"/>
    <mergeCell ref="M26:M31"/>
    <mergeCell ref="N26:N31"/>
    <mergeCell ref="O26:O31"/>
    <mergeCell ref="P26:P31"/>
    <mergeCell ref="H42:H46"/>
    <mergeCell ref="I42:I46"/>
    <mergeCell ref="Q42:Q46"/>
    <mergeCell ref="K42:K46"/>
    <mergeCell ref="L42:L46"/>
    <mergeCell ref="M42:M46"/>
    <mergeCell ref="N42:N46"/>
    <mergeCell ref="G42:G46"/>
    <mergeCell ref="I47:I52"/>
    <mergeCell ref="H53:H57"/>
    <mergeCell ref="I53:I57"/>
    <mergeCell ref="J53:J57"/>
    <mergeCell ref="K53:K57"/>
    <mergeCell ref="AF53:AF57"/>
    <mergeCell ref="AF58:AF62"/>
    <mergeCell ref="S63:Z63"/>
    <mergeCell ref="AC63:AF63"/>
    <mergeCell ref="AF47:AF52"/>
    <mergeCell ref="Q47:Q52"/>
    <mergeCell ref="R47:R52"/>
    <mergeCell ref="J47:J52"/>
    <mergeCell ref="K47:K52"/>
    <mergeCell ref="L47:L52"/>
    <mergeCell ref="M47:M52"/>
    <mergeCell ref="N47:N52"/>
    <mergeCell ref="O47:O52"/>
    <mergeCell ref="P47:P52"/>
    <mergeCell ref="L53:L57"/>
    <mergeCell ref="M53:M57"/>
    <mergeCell ref="N53:N57"/>
    <mergeCell ref="O53:O57"/>
    <mergeCell ref="P53:P57"/>
    <mergeCell ref="Q53:Q57"/>
    <mergeCell ref="R53:R57"/>
    <mergeCell ref="Q58:Q62"/>
    <mergeCell ref="R58:R62"/>
    <mergeCell ref="U66:Z66"/>
    <mergeCell ref="AB65:AC65"/>
    <mergeCell ref="U82:W82"/>
    <mergeCell ref="U83:V83"/>
    <mergeCell ref="U84:V84"/>
    <mergeCell ref="U85:V85"/>
    <mergeCell ref="U93:V93"/>
    <mergeCell ref="S64:AF64"/>
    <mergeCell ref="U94:V94"/>
    <mergeCell ref="U95:V95"/>
    <mergeCell ref="U96:V96"/>
    <mergeCell ref="U97:V97"/>
    <mergeCell ref="U86:V86"/>
    <mergeCell ref="U87:V87"/>
    <mergeCell ref="U88:W88"/>
    <mergeCell ref="U89:V89"/>
    <mergeCell ref="U90:V90"/>
    <mergeCell ref="U91:V91"/>
    <mergeCell ref="U92:V92"/>
    <mergeCell ref="A6:B8"/>
    <mergeCell ref="C6:D6"/>
    <mergeCell ref="E6:I6"/>
    <mergeCell ref="J6:R6"/>
    <mergeCell ref="S6:AF6"/>
    <mergeCell ref="C7:C8"/>
    <mergeCell ref="D7:D8"/>
    <mergeCell ref="E7:E8"/>
    <mergeCell ref="F7:F8"/>
    <mergeCell ref="G7:G8"/>
    <mergeCell ref="H7:H8"/>
    <mergeCell ref="I7:I8"/>
    <mergeCell ref="J7:J8"/>
    <mergeCell ref="K7:K8"/>
    <mergeCell ref="L7:L8"/>
    <mergeCell ref="M7:O7"/>
    <mergeCell ref="P7:P8"/>
    <mergeCell ref="Q7:Q8"/>
    <mergeCell ref="R7:R8"/>
    <mergeCell ref="S7:Y7"/>
    <mergeCell ref="Z7:AB7"/>
    <mergeCell ref="AC7:AE7"/>
    <mergeCell ref="AF7:AF8"/>
  </mergeCells>
  <dataValidations count="3">
    <dataValidation type="list" allowBlank="1" showErrorMessage="1" sqref="F9 F14 F21 F26 F32 F37 F42 F47 F53 F58">
      <formula1>INDIRECT($E9)</formula1>
    </dataValidation>
    <dataValidation type="list" allowBlank="1" showErrorMessage="1" sqref="E9 E14 E21 E26 E32 E37 E42 E47 E53 E58">
      <formula1>INDIRECT($G9)</formula1>
    </dataValidation>
    <dataValidation type="decimal" allowBlank="1" showInputMessage="1" showErrorMessage="1" prompt="DPLAN - Sólo debe ingresar valores, NO porcentajes." sqref="M26:O26 M32:O32 M37:O37 M42:O42 M53:O53 M58:O58">
      <formula1>0</formula1>
      <formula2>1000000</formula2>
    </dataValidation>
  </dataValidations>
  <printOptions horizontalCentered="1"/>
  <pageMargins left="0" right="0" top="0.78740157480314965" bottom="0.35433070866141736" header="0" footer="0"/>
  <pageSetup paperSize="9" scale="68" pageOrder="overThenDown" orientation="landscape" r:id="rId1"/>
  <headerFooter>
    <oddHeader>&amp;L&amp;"Britannic Bold,Normal"&amp;12&amp;K002060POA 2023&amp;"-,Normal"&amp;10&amp;K000000
&amp;"Cambria,Cursiva"&amp;12&amp;K0070C0Administración Central&amp;C&amp;"Century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C14:D14 C21:D21 C26:D26 C32:D32 C37:D37 C42:D42 C47:D47 C53:D53 C58:D58</xm:sqref>
        </x14:dataValidation>
        <x14:dataValidation type="list" allowBlank="1" showErrorMessage="1">
          <x14:formula1>
            <xm:f>(PEDI!#REF!)</xm:f>
          </x14:formula1>
          <xm:sqref>H9 H14 H21 H26 H32 H37 H42 H47 H53 H58</xm:sqref>
        </x14:dataValidation>
        <x14:dataValidation type="list" allowBlank="1" showErrorMessage="1">
          <x14:formula1>
            <xm:f>PEDI!#REF!</xm:f>
          </x14:formula1>
          <xm:sqref>G9 G14 G21 G26 G32 G37 G42 G47 G53 G58</xm:sqref>
        </x14:dataValidation>
        <x14:dataValidation type="list" allowBlank="1" showErrorMessage="1">
          <x14:formula1>
            <xm:f>INDIRECT('Estrategias DAFO'!#REF!)</xm:f>
          </x14:formula1>
          <xm:sqref>I9 I14 I21 I26 I32 I37 I42 I47 I53 I58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C09"/>
  </sheetPr>
  <dimension ref="A1:AF198"/>
  <sheetViews>
    <sheetView showGridLines="0" topLeftCell="S170" workbookViewId="0">
      <selection activeCell="AF198" sqref="AF198"/>
    </sheetView>
  </sheetViews>
  <sheetFormatPr baseColWidth="10" defaultColWidth="12.5703125" defaultRowHeight="15.75" customHeight="1"/>
  <cols>
    <col min="1" max="2" width="5" customWidth="1"/>
    <col min="3" max="7" width="22.42578125" customWidth="1"/>
    <col min="8" max="8" width="17.7109375" customWidth="1"/>
    <col min="9" max="9" width="17.42578125" customWidth="1"/>
    <col min="10" max="10" width="27.42578125" customWidth="1"/>
    <col min="11" max="11" width="20" customWidth="1"/>
    <col min="12" max="12" width="20.42578125" customWidth="1"/>
    <col min="13" max="15" width="8.7109375" customWidth="1"/>
    <col min="16" max="17" width="24.7109375" customWidth="1"/>
    <col min="18" max="18" width="22" customWidth="1"/>
    <col min="19" max="19" width="26.85546875" customWidth="1"/>
    <col min="20" max="20" width="16.42578125" customWidth="1"/>
    <col min="21" max="21" width="31.7109375" customWidth="1"/>
    <col min="22" max="22" width="47.85546875" customWidth="1"/>
    <col min="23" max="23" width="13.7109375" customWidth="1"/>
    <col min="24" max="25" width="14.42578125" customWidth="1"/>
    <col min="26" max="26" width="12.7109375" customWidth="1"/>
    <col min="27" max="27" width="12" customWidth="1"/>
    <col min="28" max="28" width="13.85546875" customWidth="1"/>
    <col min="29" max="31" width="7.7109375" customWidth="1"/>
    <col min="32" max="32" width="19.7109375" customWidth="1"/>
  </cols>
  <sheetData>
    <row r="1" spans="1:32" ht="39" customHeight="1">
      <c r="A1" s="4251" t="s">
        <v>0</v>
      </c>
      <c r="B1" s="4150"/>
      <c r="C1" s="4150"/>
      <c r="D1" s="4150"/>
      <c r="E1" s="4150"/>
      <c r="F1" s="4150"/>
      <c r="G1" s="4150"/>
      <c r="H1" s="4150"/>
      <c r="I1" s="4150"/>
      <c r="J1" s="4150"/>
      <c r="K1" s="4150"/>
      <c r="L1" s="4150"/>
      <c r="M1" s="4150"/>
      <c r="N1" s="4150"/>
      <c r="O1" s="4150"/>
      <c r="P1" s="4150"/>
      <c r="Q1" s="4150"/>
      <c r="R1" s="4150"/>
      <c r="S1" s="4150"/>
      <c r="T1" s="4150"/>
      <c r="U1" s="4150"/>
      <c r="V1" s="4150"/>
      <c r="W1" s="4150"/>
      <c r="X1" s="4150"/>
      <c r="Y1" s="4150"/>
      <c r="Z1" s="4150"/>
      <c r="AA1" s="4150"/>
      <c r="AB1" s="4150"/>
      <c r="AC1" s="4150"/>
      <c r="AD1" s="4150"/>
      <c r="AE1" s="4150"/>
      <c r="AF1" s="4150"/>
    </row>
    <row r="2" spans="1:32" ht="30">
      <c r="A2" s="4252" t="s">
        <v>1</v>
      </c>
      <c r="B2" s="4253"/>
      <c r="C2" s="4253"/>
      <c r="D2" s="4253"/>
      <c r="E2" s="4253"/>
      <c r="F2" s="4253"/>
      <c r="G2" s="4253"/>
      <c r="H2" s="4253"/>
      <c r="I2" s="4253"/>
      <c r="J2" s="4253"/>
      <c r="K2" s="4253"/>
      <c r="L2" s="4253"/>
      <c r="M2" s="4253"/>
      <c r="N2" s="4253"/>
      <c r="O2" s="4253"/>
      <c r="P2" s="4253"/>
      <c r="Q2" s="4253"/>
      <c r="R2" s="4253"/>
      <c r="S2" s="4253"/>
      <c r="T2" s="4253"/>
      <c r="U2" s="4150"/>
      <c r="V2" s="4253"/>
      <c r="W2" s="4253"/>
      <c r="X2" s="4253"/>
      <c r="Y2" s="4253"/>
      <c r="Z2" s="4253"/>
      <c r="AA2" s="4253"/>
      <c r="AB2" s="4253"/>
      <c r="AC2" s="4253"/>
      <c r="AD2" s="4253"/>
      <c r="AE2" s="4253"/>
      <c r="AF2" s="4253"/>
    </row>
    <row r="3" spans="1:32" ht="30.75">
      <c r="A3" s="4254" t="s">
        <v>672</v>
      </c>
      <c r="B3" s="4150"/>
      <c r="C3" s="4150"/>
      <c r="D3" s="4150"/>
      <c r="E3" s="4150"/>
      <c r="F3" s="4150"/>
      <c r="G3" s="4150"/>
      <c r="H3" s="4150"/>
      <c r="I3" s="4150"/>
      <c r="J3" s="4150"/>
      <c r="K3" s="4150"/>
      <c r="L3" s="4150"/>
      <c r="M3" s="4150"/>
      <c r="N3" s="4150"/>
      <c r="O3" s="4150"/>
      <c r="P3" s="4150"/>
      <c r="Q3" s="4150"/>
      <c r="R3" s="4150"/>
      <c r="S3" s="4150"/>
      <c r="T3" s="4150"/>
      <c r="U3" s="4150"/>
      <c r="V3" s="4150"/>
      <c r="W3" s="4150"/>
      <c r="X3" s="4150"/>
      <c r="Y3" s="4150"/>
      <c r="Z3" s="4150"/>
      <c r="AA3" s="4150"/>
      <c r="AB3" s="4150"/>
      <c r="AC3" s="4150"/>
      <c r="AD3" s="4150"/>
      <c r="AE3" s="4150"/>
      <c r="AF3" s="4150"/>
    </row>
    <row r="4" spans="1:32" ht="26.25">
      <c r="A4" s="4255" t="s">
        <v>199</v>
      </c>
      <c r="B4" s="4150"/>
      <c r="C4" s="4150"/>
      <c r="D4" s="4150"/>
      <c r="E4" s="4150"/>
      <c r="F4" s="4150"/>
      <c r="G4" s="4150"/>
      <c r="H4" s="4150"/>
      <c r="I4" s="4150"/>
      <c r="J4" s="4150"/>
      <c r="K4" s="4150"/>
      <c r="L4" s="4150"/>
      <c r="M4" s="4150"/>
      <c r="N4" s="4150"/>
      <c r="O4" s="4150"/>
      <c r="P4" s="4150"/>
      <c r="Q4" s="4150"/>
      <c r="R4" s="4150"/>
      <c r="S4" s="4150"/>
      <c r="T4" s="4150"/>
      <c r="U4" s="4150"/>
      <c r="V4" s="4150"/>
      <c r="W4" s="4150"/>
      <c r="X4" s="4150"/>
      <c r="Y4" s="4150"/>
      <c r="Z4" s="4150"/>
      <c r="AA4" s="4150"/>
      <c r="AB4" s="4150"/>
      <c r="AC4" s="4150"/>
      <c r="AD4" s="4150"/>
      <c r="AE4" s="4150"/>
      <c r="AF4" s="4150"/>
    </row>
    <row r="5" spans="1:32" ht="16.5" customHeight="1" thickBot="1">
      <c r="A5" s="71"/>
      <c r="B5" s="261"/>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347"/>
      <c r="AE5" s="68"/>
      <c r="AF5" s="68"/>
    </row>
    <row r="6" spans="1:32" s="1747" customFormat="1" ht="24.95" customHeight="1" thickTop="1">
      <c r="A6" s="4278" t="s">
        <v>200</v>
      </c>
      <c r="B6" s="4279"/>
      <c r="C6" s="4282" t="s">
        <v>201</v>
      </c>
      <c r="D6" s="4283"/>
      <c r="E6" s="4284" t="s">
        <v>202</v>
      </c>
      <c r="F6" s="4285"/>
      <c r="G6" s="4285"/>
      <c r="H6" s="4285"/>
      <c r="I6" s="4286"/>
      <c r="J6" s="4287" t="s">
        <v>203</v>
      </c>
      <c r="K6" s="4288"/>
      <c r="L6" s="4288"/>
      <c r="M6" s="4288"/>
      <c r="N6" s="4288"/>
      <c r="O6" s="4288"/>
      <c r="P6" s="4288"/>
      <c r="Q6" s="4288"/>
      <c r="R6" s="4289"/>
      <c r="S6" s="4290" t="s">
        <v>204</v>
      </c>
      <c r="T6" s="4291"/>
      <c r="U6" s="4291"/>
      <c r="V6" s="4291"/>
      <c r="W6" s="4291"/>
      <c r="X6" s="4291"/>
      <c r="Y6" s="4291"/>
      <c r="Z6" s="4291"/>
      <c r="AA6" s="4291"/>
      <c r="AB6" s="4291"/>
      <c r="AC6" s="4291"/>
      <c r="AD6" s="4291"/>
      <c r="AE6" s="4291"/>
      <c r="AF6" s="4292"/>
    </row>
    <row r="7" spans="1:32" s="1747" customFormat="1" ht="39.950000000000003" customHeight="1">
      <c r="A7" s="4280"/>
      <c r="B7" s="4161"/>
      <c r="C7" s="4175" t="s">
        <v>205</v>
      </c>
      <c r="D7" s="4177" t="s">
        <v>206</v>
      </c>
      <c r="E7" s="4179" t="s">
        <v>207</v>
      </c>
      <c r="F7" s="4179" t="s">
        <v>208</v>
      </c>
      <c r="G7" s="4179" t="s">
        <v>209</v>
      </c>
      <c r="H7" s="4179" t="s">
        <v>210</v>
      </c>
      <c r="I7" s="4179" t="s">
        <v>211</v>
      </c>
      <c r="J7" s="4181" t="s">
        <v>212</v>
      </c>
      <c r="K7" s="4183" t="s">
        <v>213</v>
      </c>
      <c r="L7" s="4183" t="s">
        <v>214</v>
      </c>
      <c r="M7" s="4185" t="s">
        <v>215</v>
      </c>
      <c r="N7" s="4186"/>
      <c r="O7" s="4187"/>
      <c r="P7" s="4183" t="s">
        <v>216</v>
      </c>
      <c r="Q7" s="4183" t="s">
        <v>217</v>
      </c>
      <c r="R7" s="4188" t="s">
        <v>218</v>
      </c>
      <c r="S7" s="4190" t="s">
        <v>219</v>
      </c>
      <c r="T7" s="4191"/>
      <c r="U7" s="4191"/>
      <c r="V7" s="4191"/>
      <c r="W7" s="4191"/>
      <c r="X7" s="4191"/>
      <c r="Y7" s="4192"/>
      <c r="Z7" s="4193" t="s">
        <v>220</v>
      </c>
      <c r="AA7" s="4194"/>
      <c r="AB7" s="4195"/>
      <c r="AC7" s="4193" t="s">
        <v>221</v>
      </c>
      <c r="AD7" s="4194"/>
      <c r="AE7" s="4195"/>
      <c r="AF7" s="4293" t="s">
        <v>222</v>
      </c>
    </row>
    <row r="8" spans="1:32" s="1747" customFormat="1" ht="51.95" customHeight="1" thickBot="1">
      <c r="A8" s="4281"/>
      <c r="B8" s="4163"/>
      <c r="C8" s="4176"/>
      <c r="D8" s="4178"/>
      <c r="E8" s="4180"/>
      <c r="F8" s="4180"/>
      <c r="G8" s="4180"/>
      <c r="H8" s="4180"/>
      <c r="I8" s="4180"/>
      <c r="J8" s="4182"/>
      <c r="K8" s="4184"/>
      <c r="L8" s="4184"/>
      <c r="M8" s="1748" t="s">
        <v>223</v>
      </c>
      <c r="N8" s="1748" t="s">
        <v>224</v>
      </c>
      <c r="O8" s="1748" t="s">
        <v>225</v>
      </c>
      <c r="P8" s="4184"/>
      <c r="Q8" s="4184"/>
      <c r="R8" s="4189"/>
      <c r="S8" s="1749" t="s">
        <v>226</v>
      </c>
      <c r="T8" s="1750" t="s">
        <v>227</v>
      </c>
      <c r="U8" s="1751" t="s">
        <v>3771</v>
      </c>
      <c r="V8" s="1750" t="s">
        <v>229</v>
      </c>
      <c r="W8" s="1750" t="s">
        <v>230</v>
      </c>
      <c r="X8" s="1750" t="s">
        <v>3770</v>
      </c>
      <c r="Y8" s="1752" t="s">
        <v>231</v>
      </c>
      <c r="Z8" s="1753" t="s">
        <v>232</v>
      </c>
      <c r="AA8" s="1753" t="s">
        <v>233</v>
      </c>
      <c r="AB8" s="1753" t="s">
        <v>234</v>
      </c>
      <c r="AC8" s="1754" t="s">
        <v>223</v>
      </c>
      <c r="AD8" s="1754" t="s">
        <v>224</v>
      </c>
      <c r="AE8" s="1754" t="s">
        <v>225</v>
      </c>
      <c r="AF8" s="4294"/>
    </row>
    <row r="9" spans="1:32" ht="33" customHeight="1">
      <c r="A9" s="4621" t="s">
        <v>672</v>
      </c>
      <c r="B9" s="4622"/>
      <c r="C9" s="4625" t="s">
        <v>235</v>
      </c>
      <c r="D9" s="4328" t="s">
        <v>236</v>
      </c>
      <c r="E9" s="4328" t="s">
        <v>237</v>
      </c>
      <c r="F9" s="4328" t="s">
        <v>326</v>
      </c>
      <c r="G9" s="4329" t="s">
        <v>239</v>
      </c>
      <c r="H9" s="4328" t="s">
        <v>240</v>
      </c>
      <c r="I9" s="4328" t="s">
        <v>257</v>
      </c>
      <c r="J9" s="4659" t="s">
        <v>4344</v>
      </c>
      <c r="K9" s="4661" t="s">
        <v>673</v>
      </c>
      <c r="L9" s="4345" t="s">
        <v>4297</v>
      </c>
      <c r="M9" s="4662">
        <v>2</v>
      </c>
      <c r="N9" s="4662">
        <v>2</v>
      </c>
      <c r="O9" s="4662">
        <v>2</v>
      </c>
      <c r="P9" s="4345" t="s">
        <v>4296</v>
      </c>
      <c r="Q9" s="4345" t="s">
        <v>4237</v>
      </c>
      <c r="R9" s="4459" t="s">
        <v>4345</v>
      </c>
      <c r="S9" s="2834"/>
      <c r="T9" s="1841"/>
      <c r="U9" s="1853"/>
      <c r="V9" s="2709"/>
      <c r="W9" s="2727"/>
      <c r="X9" s="1904"/>
      <c r="Y9" s="2744"/>
      <c r="Z9" s="2744"/>
      <c r="AA9" s="2745"/>
      <c r="AB9" s="1866"/>
      <c r="AC9" s="1745"/>
      <c r="AD9" s="1745"/>
      <c r="AE9" s="1745"/>
      <c r="AF9" s="4657"/>
    </row>
    <row r="10" spans="1:32" ht="30.75" customHeight="1">
      <c r="A10" s="4360"/>
      <c r="B10" s="4623"/>
      <c r="C10" s="4331"/>
      <c r="D10" s="4215"/>
      <c r="E10" s="4215"/>
      <c r="F10" s="4215"/>
      <c r="G10" s="4215"/>
      <c r="H10" s="4215"/>
      <c r="I10" s="4215"/>
      <c r="J10" s="4660"/>
      <c r="K10" s="4660"/>
      <c r="L10" s="4215"/>
      <c r="M10" s="4629"/>
      <c r="N10" s="4629"/>
      <c r="O10" s="4629"/>
      <c r="P10" s="4215"/>
      <c r="Q10" s="4215"/>
      <c r="R10" s="4449"/>
      <c r="S10" s="2797"/>
      <c r="T10" s="1842"/>
      <c r="U10" s="1842"/>
      <c r="V10" s="2710"/>
      <c r="W10" s="2728"/>
      <c r="X10" s="348"/>
      <c r="Y10" s="1867"/>
      <c r="Z10" s="2746"/>
      <c r="AA10" s="2747"/>
      <c r="AB10" s="2748"/>
      <c r="AC10" s="348"/>
      <c r="AD10" s="336"/>
      <c r="AE10" s="336"/>
      <c r="AF10" s="4650"/>
    </row>
    <row r="11" spans="1:32" ht="30.75" customHeight="1">
      <c r="A11" s="4360"/>
      <c r="B11" s="4623"/>
      <c r="C11" s="4331"/>
      <c r="D11" s="4215"/>
      <c r="E11" s="4215"/>
      <c r="F11" s="4215"/>
      <c r="G11" s="4215"/>
      <c r="H11" s="4215"/>
      <c r="I11" s="4215"/>
      <c r="J11" s="4660"/>
      <c r="K11" s="4660"/>
      <c r="L11" s="4215"/>
      <c r="M11" s="4629"/>
      <c r="N11" s="4629"/>
      <c r="O11" s="4629"/>
      <c r="P11" s="4215"/>
      <c r="Q11" s="4215"/>
      <c r="R11" s="4449"/>
      <c r="S11" s="2797"/>
      <c r="T11" s="1842"/>
      <c r="U11" s="1842"/>
      <c r="V11" s="2710"/>
      <c r="W11" s="2728"/>
      <c r="X11" s="348"/>
      <c r="Y11" s="1867"/>
      <c r="Z11" s="2746"/>
      <c r="AA11" s="2747"/>
      <c r="AB11" s="2748"/>
      <c r="AC11" s="348"/>
      <c r="AD11" s="336"/>
      <c r="AE11" s="336"/>
      <c r="AF11" s="4650"/>
    </row>
    <row r="12" spans="1:32" ht="30.75" customHeight="1">
      <c r="A12" s="4360"/>
      <c r="B12" s="4623"/>
      <c r="C12" s="4331"/>
      <c r="D12" s="4215"/>
      <c r="E12" s="4215"/>
      <c r="F12" s="4215"/>
      <c r="G12" s="4215"/>
      <c r="H12" s="4215"/>
      <c r="I12" s="4215"/>
      <c r="J12" s="4660"/>
      <c r="K12" s="4660"/>
      <c r="L12" s="4215"/>
      <c r="M12" s="4629"/>
      <c r="N12" s="4629"/>
      <c r="O12" s="4629"/>
      <c r="P12" s="4215"/>
      <c r="Q12" s="4215"/>
      <c r="R12" s="4449"/>
      <c r="S12" s="2797"/>
      <c r="T12" s="1842"/>
      <c r="U12" s="1842"/>
      <c r="V12" s="2710"/>
      <c r="W12" s="2728"/>
      <c r="X12" s="348"/>
      <c r="Y12" s="1867"/>
      <c r="Z12" s="2746"/>
      <c r="AA12" s="2747"/>
      <c r="AB12" s="2748"/>
      <c r="AC12" s="348"/>
      <c r="AD12" s="336"/>
      <c r="AE12" s="336"/>
      <c r="AF12" s="4650"/>
    </row>
    <row r="13" spans="1:32" ht="30.75" customHeight="1">
      <c r="A13" s="4360"/>
      <c r="B13" s="4623"/>
      <c r="C13" s="4331"/>
      <c r="D13" s="4216"/>
      <c r="E13" s="4215"/>
      <c r="F13" s="4215"/>
      <c r="G13" s="4215"/>
      <c r="H13" s="4215"/>
      <c r="I13" s="4215"/>
      <c r="J13" s="4660"/>
      <c r="K13" s="4660"/>
      <c r="L13" s="4215"/>
      <c r="M13" s="4629"/>
      <c r="N13" s="4629"/>
      <c r="O13" s="4629"/>
      <c r="P13" s="4215"/>
      <c r="Q13" s="4215"/>
      <c r="R13" s="4449"/>
      <c r="S13" s="2797"/>
      <c r="T13" s="1842"/>
      <c r="U13" s="1842"/>
      <c r="V13" s="2710"/>
      <c r="W13" s="2728"/>
      <c r="X13" s="348"/>
      <c r="Y13" s="1867"/>
      <c r="Z13" s="2746"/>
      <c r="AA13" s="2747"/>
      <c r="AB13" s="2748"/>
      <c r="AC13" s="348"/>
      <c r="AD13" s="336"/>
      <c r="AE13" s="336"/>
      <c r="AF13" s="4658"/>
    </row>
    <row r="14" spans="1:32" ht="52.5" customHeight="1">
      <c r="A14" s="4360"/>
      <c r="B14" s="4623"/>
      <c r="C14" s="4626" t="s">
        <v>272</v>
      </c>
      <c r="D14" s="4328" t="s">
        <v>273</v>
      </c>
      <c r="E14" s="4273" t="s">
        <v>674</v>
      </c>
      <c r="F14" s="4273" t="s">
        <v>675</v>
      </c>
      <c r="G14" s="4338" t="s">
        <v>276</v>
      </c>
      <c r="H14" s="4273" t="s">
        <v>314</v>
      </c>
      <c r="I14" s="4273" t="s">
        <v>241</v>
      </c>
      <c r="J14" s="4663" t="s">
        <v>4343</v>
      </c>
      <c r="K14" s="4665" t="s">
        <v>676</v>
      </c>
      <c r="L14" s="4228" t="s">
        <v>4298</v>
      </c>
      <c r="M14" s="4628">
        <v>0</v>
      </c>
      <c r="N14" s="4628">
        <v>0</v>
      </c>
      <c r="O14" s="4628">
        <v>5</v>
      </c>
      <c r="P14" s="4228" t="s">
        <v>4295</v>
      </c>
      <c r="Q14" s="4228" t="s">
        <v>4238</v>
      </c>
      <c r="R14" s="4458" t="s">
        <v>4230</v>
      </c>
      <c r="S14" s="2835" t="s">
        <v>17</v>
      </c>
      <c r="T14" s="1845">
        <v>530204</v>
      </c>
      <c r="U14" s="1852"/>
      <c r="V14" s="2825" t="s">
        <v>26</v>
      </c>
      <c r="W14" s="2729"/>
      <c r="X14" s="349"/>
      <c r="Y14" s="2749"/>
      <c r="Z14" s="2750"/>
      <c r="AA14" s="2751"/>
      <c r="AB14" s="2752">
        <f>SUM($AA$15:$AA$17)</f>
        <v>7280.0000000000009</v>
      </c>
      <c r="AC14" s="249"/>
      <c r="AD14" s="249"/>
      <c r="AE14" s="249"/>
      <c r="AF14" s="4657"/>
    </row>
    <row r="15" spans="1:32" ht="30" customHeight="1">
      <c r="A15" s="4360"/>
      <c r="B15" s="4623"/>
      <c r="C15" s="4331"/>
      <c r="D15" s="4215"/>
      <c r="E15" s="4215"/>
      <c r="F15" s="4215"/>
      <c r="G15" s="4215"/>
      <c r="H15" s="4215"/>
      <c r="I15" s="4215"/>
      <c r="J15" s="4660"/>
      <c r="K15" s="4660"/>
      <c r="L15" s="4215"/>
      <c r="M15" s="4629"/>
      <c r="N15" s="4629"/>
      <c r="O15" s="4629"/>
      <c r="P15" s="4215"/>
      <c r="Q15" s="4215"/>
      <c r="R15" s="4449"/>
      <c r="S15" s="2797"/>
      <c r="T15" s="1842"/>
      <c r="U15" s="1842">
        <v>891210911</v>
      </c>
      <c r="V15" s="2710" t="s">
        <v>677</v>
      </c>
      <c r="W15" s="2728">
        <v>1</v>
      </c>
      <c r="X15" s="395" t="s">
        <v>269</v>
      </c>
      <c r="Y15" s="2746">
        <v>3500</v>
      </c>
      <c r="Z15" s="2753">
        <f t="shared" ref="Z15:Z16" si="0">+W15*Y15</f>
        <v>3500</v>
      </c>
      <c r="AA15" s="2753">
        <f t="shared" ref="AA15:AA16" si="1">+Z15*1.12</f>
        <v>3920.0000000000005</v>
      </c>
      <c r="AB15" s="2754"/>
      <c r="AC15" s="348" t="s">
        <v>251</v>
      </c>
      <c r="AD15" s="348" t="s">
        <v>251</v>
      </c>
      <c r="AE15" s="348" t="s">
        <v>251</v>
      </c>
      <c r="AF15" s="4650"/>
    </row>
    <row r="16" spans="1:32" ht="30" customHeight="1">
      <c r="A16" s="4360"/>
      <c r="B16" s="4623"/>
      <c r="C16" s="4331"/>
      <c r="D16" s="4215"/>
      <c r="E16" s="4215"/>
      <c r="F16" s="4215"/>
      <c r="G16" s="4215"/>
      <c r="H16" s="4215"/>
      <c r="I16" s="4215"/>
      <c r="J16" s="4660"/>
      <c r="K16" s="4660"/>
      <c r="L16" s="4215"/>
      <c r="M16" s="4629"/>
      <c r="N16" s="4629"/>
      <c r="O16" s="4629"/>
      <c r="P16" s="4215"/>
      <c r="Q16" s="4215"/>
      <c r="R16" s="4449"/>
      <c r="S16" s="2797"/>
      <c r="T16" s="1842"/>
      <c r="U16" s="1842">
        <v>891210911</v>
      </c>
      <c r="V16" s="2710" t="s">
        <v>678</v>
      </c>
      <c r="W16" s="2728">
        <v>1</v>
      </c>
      <c r="X16" s="395" t="s">
        <v>269</v>
      </c>
      <c r="Y16" s="2746">
        <v>3000</v>
      </c>
      <c r="Z16" s="2753">
        <f t="shared" si="0"/>
        <v>3000</v>
      </c>
      <c r="AA16" s="2753">
        <f t="shared" si="1"/>
        <v>3360.0000000000005</v>
      </c>
      <c r="AB16" s="2754"/>
      <c r="AC16" s="348" t="s">
        <v>251</v>
      </c>
      <c r="AD16" s="348" t="s">
        <v>251</v>
      </c>
      <c r="AE16" s="348" t="s">
        <v>251</v>
      </c>
      <c r="AF16" s="4650"/>
    </row>
    <row r="17" spans="1:32" ht="18" customHeight="1">
      <c r="A17" s="4360"/>
      <c r="B17" s="4623"/>
      <c r="C17" s="4331"/>
      <c r="D17" s="4215"/>
      <c r="E17" s="4215"/>
      <c r="F17" s="4215"/>
      <c r="G17" s="4215"/>
      <c r="H17" s="4215"/>
      <c r="I17" s="4215"/>
      <c r="J17" s="4660"/>
      <c r="K17" s="4660"/>
      <c r="L17" s="4215"/>
      <c r="M17" s="4629"/>
      <c r="N17" s="4629"/>
      <c r="O17" s="4629"/>
      <c r="P17" s="4215"/>
      <c r="Q17" s="4215"/>
      <c r="R17" s="4449"/>
      <c r="S17" s="2797"/>
      <c r="T17" s="1842"/>
      <c r="U17" s="1842"/>
      <c r="V17" s="2710"/>
      <c r="W17" s="2728"/>
      <c r="X17" s="395"/>
      <c r="Y17" s="2746"/>
      <c r="Z17" s="2746"/>
      <c r="AA17" s="2747"/>
      <c r="AB17" s="2754"/>
      <c r="AC17" s="348"/>
      <c r="AD17" s="336"/>
      <c r="AE17" s="336"/>
      <c r="AF17" s="4650"/>
    </row>
    <row r="18" spans="1:32" ht="18" customHeight="1">
      <c r="A18" s="4360"/>
      <c r="B18" s="4623"/>
      <c r="C18" s="4332"/>
      <c r="D18" s="4216"/>
      <c r="E18" s="4216"/>
      <c r="F18" s="4216"/>
      <c r="G18" s="4216"/>
      <c r="H18" s="4216"/>
      <c r="I18" s="4216"/>
      <c r="J18" s="4664"/>
      <c r="K18" s="4664"/>
      <c r="L18" s="4216"/>
      <c r="M18" s="4630"/>
      <c r="N18" s="4630"/>
      <c r="O18" s="4630"/>
      <c r="P18" s="4216"/>
      <c r="Q18" s="4216"/>
      <c r="R18" s="4450"/>
      <c r="S18" s="2836"/>
      <c r="T18" s="1844"/>
      <c r="U18" s="1844"/>
      <c r="V18" s="2711"/>
      <c r="W18" s="2730"/>
      <c r="X18" s="443"/>
      <c r="Y18" s="2755"/>
      <c r="Z18" s="2755"/>
      <c r="AA18" s="2756"/>
      <c r="AB18" s="2757"/>
      <c r="AC18" s="443"/>
      <c r="AD18" s="252"/>
      <c r="AE18" s="252"/>
      <c r="AF18" s="4651"/>
    </row>
    <row r="19" spans="1:32" ht="19.5" customHeight="1">
      <c r="A19" s="4360"/>
      <c r="B19" s="4623"/>
      <c r="C19" s="4626" t="s">
        <v>272</v>
      </c>
      <c r="D19" s="4328" t="s">
        <v>679</v>
      </c>
      <c r="E19" s="4273" t="s">
        <v>680</v>
      </c>
      <c r="F19" s="4273" t="s">
        <v>681</v>
      </c>
      <c r="G19" s="4338" t="s">
        <v>682</v>
      </c>
      <c r="H19" s="4273" t="s">
        <v>240</v>
      </c>
      <c r="I19" s="4273" t="s">
        <v>241</v>
      </c>
      <c r="J19" s="4228" t="s">
        <v>4342</v>
      </c>
      <c r="K19" s="4273" t="s">
        <v>683</v>
      </c>
      <c r="L19" s="4228" t="s">
        <v>4299</v>
      </c>
      <c r="M19" s="4628">
        <v>0</v>
      </c>
      <c r="N19" s="4628">
        <v>1</v>
      </c>
      <c r="O19" s="4628">
        <v>0</v>
      </c>
      <c r="P19" s="4228" t="s">
        <v>4294</v>
      </c>
      <c r="Q19" s="4228" t="s">
        <v>4239</v>
      </c>
      <c r="R19" s="4458" t="s">
        <v>4346</v>
      </c>
      <c r="S19" s="2835" t="s">
        <v>17</v>
      </c>
      <c r="T19" s="1845">
        <v>530302</v>
      </c>
      <c r="U19" s="1845"/>
      <c r="V19" s="2712" t="s">
        <v>65</v>
      </c>
      <c r="W19" s="2731"/>
      <c r="X19" s="442"/>
      <c r="Y19" s="2750"/>
      <c r="Z19" s="2750"/>
      <c r="AA19" s="2751"/>
      <c r="AB19" s="2752">
        <f>SUM($AA$20:$AA$20)</f>
        <v>5040.0000000000009</v>
      </c>
      <c r="AC19" s="350"/>
      <c r="AD19" s="249"/>
      <c r="AE19" s="249"/>
      <c r="AF19" s="4649"/>
    </row>
    <row r="20" spans="1:32" ht="43.5" customHeight="1">
      <c r="A20" s="4360"/>
      <c r="B20" s="4623"/>
      <c r="C20" s="4331"/>
      <c r="D20" s="4215"/>
      <c r="E20" s="4215"/>
      <c r="F20" s="4215"/>
      <c r="G20" s="4215"/>
      <c r="H20" s="4215"/>
      <c r="I20" s="4215"/>
      <c r="J20" s="4215"/>
      <c r="K20" s="4215"/>
      <c r="L20" s="4215"/>
      <c r="M20" s="4629"/>
      <c r="N20" s="4629"/>
      <c r="O20" s="4629"/>
      <c r="P20" s="4215"/>
      <c r="Q20" s="4215"/>
      <c r="R20" s="4449"/>
      <c r="S20" s="2829"/>
      <c r="T20" s="1842"/>
      <c r="U20" s="2698"/>
      <c r="V20" s="2710" t="s">
        <v>684</v>
      </c>
      <c r="W20" s="2728">
        <v>1</v>
      </c>
      <c r="X20" s="395" t="s">
        <v>269</v>
      </c>
      <c r="Y20" s="2746">
        <v>4500</v>
      </c>
      <c r="Z20" s="2753">
        <f t="shared" ref="Z20" si="2">+W20*Y20</f>
        <v>4500</v>
      </c>
      <c r="AA20" s="2753">
        <f t="shared" ref="AA20" si="3">+Z20*1.12</f>
        <v>5040.0000000000009</v>
      </c>
      <c r="AB20" s="2754"/>
      <c r="AC20" s="348" t="s">
        <v>251</v>
      </c>
      <c r="AD20" s="348" t="s">
        <v>251</v>
      </c>
      <c r="AE20" s="348" t="s">
        <v>251</v>
      </c>
      <c r="AF20" s="4650"/>
    </row>
    <row r="21" spans="1:32" ht="18" customHeight="1">
      <c r="A21" s="4360"/>
      <c r="B21" s="4623"/>
      <c r="C21" s="4331"/>
      <c r="D21" s="4215"/>
      <c r="E21" s="4215"/>
      <c r="F21" s="4215"/>
      <c r="G21" s="4215"/>
      <c r="H21" s="4215"/>
      <c r="I21" s="4215"/>
      <c r="J21" s="4215"/>
      <c r="K21" s="4215"/>
      <c r="L21" s="4215"/>
      <c r="M21" s="4629"/>
      <c r="N21" s="4629"/>
      <c r="O21" s="4629"/>
      <c r="P21" s="4215"/>
      <c r="Q21" s="4215"/>
      <c r="R21" s="4449"/>
      <c r="S21" s="2830" t="s">
        <v>17</v>
      </c>
      <c r="T21" s="1843">
        <v>530304</v>
      </c>
      <c r="U21" s="1842"/>
      <c r="V21" s="2713" t="s">
        <v>12</v>
      </c>
      <c r="W21" s="2728"/>
      <c r="X21" s="395"/>
      <c r="Y21" s="2746"/>
      <c r="Z21" s="2746"/>
      <c r="AA21" s="2747"/>
      <c r="AB21" s="2758">
        <f>SUM($AA$22)</f>
        <v>3920.0000000000005</v>
      </c>
      <c r="AC21" s="348"/>
      <c r="AD21" s="336"/>
      <c r="AE21" s="336"/>
      <c r="AF21" s="4650"/>
    </row>
    <row r="22" spans="1:32" ht="40.5" customHeight="1">
      <c r="A22" s="4360"/>
      <c r="B22" s="4623"/>
      <c r="C22" s="4331"/>
      <c r="D22" s="4215"/>
      <c r="E22" s="4215"/>
      <c r="F22" s="4215"/>
      <c r="G22" s="4215"/>
      <c r="H22" s="4215"/>
      <c r="I22" s="4215"/>
      <c r="J22" s="4215"/>
      <c r="K22" s="4215"/>
      <c r="L22" s="4215"/>
      <c r="M22" s="4629"/>
      <c r="N22" s="4629"/>
      <c r="O22" s="4629"/>
      <c r="P22" s="4215"/>
      <c r="Q22" s="4215"/>
      <c r="R22" s="4449"/>
      <c r="S22" s="2837"/>
      <c r="T22" s="2699"/>
      <c r="U22" s="2698"/>
      <c r="V22" s="2710" t="s">
        <v>685</v>
      </c>
      <c r="W22" s="2728">
        <v>1</v>
      </c>
      <c r="X22" s="395" t="s">
        <v>269</v>
      </c>
      <c r="Y22" s="2746">
        <v>3500</v>
      </c>
      <c r="Z22" s="2753">
        <f>+W22*Y22</f>
        <v>3500</v>
      </c>
      <c r="AA22" s="2753">
        <f>+Z22*1.12</f>
        <v>3920.0000000000005</v>
      </c>
      <c r="AB22" s="2754"/>
      <c r="AC22" s="348" t="s">
        <v>251</v>
      </c>
      <c r="AD22" s="348" t="s">
        <v>251</v>
      </c>
      <c r="AE22" s="348" t="s">
        <v>251</v>
      </c>
      <c r="AF22" s="4650"/>
    </row>
    <row r="23" spans="1:32" ht="18" customHeight="1">
      <c r="A23" s="4360"/>
      <c r="B23" s="4623"/>
      <c r="C23" s="4331"/>
      <c r="D23" s="4215"/>
      <c r="E23" s="4215"/>
      <c r="F23" s="4215"/>
      <c r="G23" s="4215"/>
      <c r="H23" s="4215"/>
      <c r="I23" s="4215"/>
      <c r="J23" s="4215"/>
      <c r="K23" s="4215"/>
      <c r="L23" s="4215"/>
      <c r="M23" s="4629"/>
      <c r="N23" s="4629"/>
      <c r="O23" s="4629"/>
      <c r="P23" s="4215"/>
      <c r="Q23" s="4215"/>
      <c r="R23" s="4449"/>
      <c r="S23" s="2836"/>
      <c r="T23" s="1844"/>
      <c r="U23" s="2698"/>
      <c r="V23" s="2714"/>
      <c r="W23" s="2732"/>
      <c r="X23" s="443"/>
      <c r="Y23" s="2759"/>
      <c r="Z23" s="2759"/>
      <c r="AA23" s="2760"/>
      <c r="AB23" s="2761"/>
      <c r="AC23" s="351"/>
      <c r="AD23" s="351"/>
      <c r="AE23" s="351"/>
      <c r="AF23" s="4651"/>
    </row>
    <row r="24" spans="1:32" ht="30" customHeight="1">
      <c r="A24" s="4360"/>
      <c r="B24" s="4623"/>
      <c r="C24" s="4626" t="s">
        <v>235</v>
      </c>
      <c r="D24" s="4273" t="s">
        <v>236</v>
      </c>
      <c r="E24" s="4273" t="s">
        <v>244</v>
      </c>
      <c r="F24" s="4273" t="s">
        <v>430</v>
      </c>
      <c r="G24" s="4338" t="s">
        <v>239</v>
      </c>
      <c r="H24" s="4273" t="s">
        <v>686</v>
      </c>
      <c r="I24" s="4273" t="s">
        <v>294</v>
      </c>
      <c r="J24" s="4228" t="s">
        <v>4341</v>
      </c>
      <c r="K24" s="4273" t="s">
        <v>687</v>
      </c>
      <c r="L24" s="4228" t="s">
        <v>4300</v>
      </c>
      <c r="M24" s="4628">
        <v>0</v>
      </c>
      <c r="N24" s="4628">
        <v>0</v>
      </c>
      <c r="O24" s="4628">
        <v>1</v>
      </c>
      <c r="P24" s="4228" t="s">
        <v>4293</v>
      </c>
      <c r="Q24" s="4228" t="s">
        <v>4240</v>
      </c>
      <c r="R24" s="4458" t="s">
        <v>4346</v>
      </c>
      <c r="S24" s="2835"/>
      <c r="T24" s="1845"/>
      <c r="U24" s="1845"/>
      <c r="V24" s="2715"/>
      <c r="W24" s="2733"/>
      <c r="X24" s="352"/>
      <c r="Y24" s="2750"/>
      <c r="Z24" s="2750"/>
      <c r="AA24" s="2751"/>
      <c r="AB24" s="2752"/>
      <c r="AC24" s="350"/>
      <c r="AD24" s="249"/>
      <c r="AE24" s="249"/>
      <c r="AF24" s="4649"/>
    </row>
    <row r="25" spans="1:32" ht="30" customHeight="1">
      <c r="A25" s="4360"/>
      <c r="B25" s="4623"/>
      <c r="C25" s="4331"/>
      <c r="D25" s="4215"/>
      <c r="E25" s="4215"/>
      <c r="F25" s="4215"/>
      <c r="G25" s="4215"/>
      <c r="H25" s="4215"/>
      <c r="I25" s="4215"/>
      <c r="J25" s="4215"/>
      <c r="K25" s="4215"/>
      <c r="L25" s="4215"/>
      <c r="M25" s="4629"/>
      <c r="N25" s="4629"/>
      <c r="O25" s="4629"/>
      <c r="P25" s="4215"/>
      <c r="Q25" s="4215"/>
      <c r="R25" s="4449"/>
      <c r="S25" s="2797"/>
      <c r="T25" s="1842"/>
      <c r="U25" s="2698"/>
      <c r="V25" s="2710"/>
      <c r="W25" s="2728"/>
      <c r="X25" s="395"/>
      <c r="Y25" s="2746"/>
      <c r="Z25" s="2746"/>
      <c r="AA25" s="2747"/>
      <c r="AB25" s="2748"/>
      <c r="AC25" s="348"/>
      <c r="AD25" s="348"/>
      <c r="AE25" s="348"/>
      <c r="AF25" s="4650"/>
    </row>
    <row r="26" spans="1:32" ht="30" customHeight="1">
      <c r="A26" s="4360"/>
      <c r="B26" s="4623"/>
      <c r="C26" s="4331"/>
      <c r="D26" s="4215"/>
      <c r="E26" s="4215"/>
      <c r="F26" s="4215"/>
      <c r="G26" s="4215"/>
      <c r="H26" s="4215"/>
      <c r="I26" s="4215"/>
      <c r="J26" s="4215"/>
      <c r="K26" s="4215"/>
      <c r="L26" s="4215"/>
      <c r="M26" s="4629"/>
      <c r="N26" s="4629"/>
      <c r="O26" s="4629"/>
      <c r="P26" s="4215"/>
      <c r="Q26" s="4215"/>
      <c r="R26" s="4449"/>
      <c r="S26" s="2797"/>
      <c r="T26" s="1842"/>
      <c r="U26" s="1842"/>
      <c r="V26" s="2710"/>
      <c r="W26" s="2728"/>
      <c r="X26" s="395"/>
      <c r="Y26" s="2746"/>
      <c r="Z26" s="2746"/>
      <c r="AA26" s="2747"/>
      <c r="AB26" s="2748"/>
      <c r="AC26" s="348"/>
      <c r="AD26" s="336"/>
      <c r="AE26" s="336"/>
      <c r="AF26" s="4650"/>
    </row>
    <row r="27" spans="1:32" ht="30" customHeight="1">
      <c r="A27" s="4360"/>
      <c r="B27" s="4623"/>
      <c r="C27" s="4331"/>
      <c r="D27" s="4215"/>
      <c r="E27" s="4215"/>
      <c r="F27" s="4215"/>
      <c r="G27" s="4215"/>
      <c r="H27" s="4215"/>
      <c r="I27" s="4215"/>
      <c r="J27" s="4215"/>
      <c r="K27" s="4215"/>
      <c r="L27" s="4215"/>
      <c r="M27" s="4629"/>
      <c r="N27" s="4629"/>
      <c r="O27" s="4629"/>
      <c r="P27" s="4215"/>
      <c r="Q27" s="4215"/>
      <c r="R27" s="4449"/>
      <c r="S27" s="2797"/>
      <c r="T27" s="1842"/>
      <c r="U27" s="1842"/>
      <c r="V27" s="2716"/>
      <c r="W27" s="1862"/>
      <c r="X27" s="395"/>
      <c r="Y27" s="1867"/>
      <c r="Z27" s="1867"/>
      <c r="AA27" s="2762"/>
      <c r="AB27" s="2748"/>
      <c r="AC27" s="395"/>
      <c r="AD27" s="336"/>
      <c r="AE27" s="336"/>
      <c r="AF27" s="4650"/>
    </row>
    <row r="28" spans="1:32" ht="30" customHeight="1">
      <c r="A28" s="4360"/>
      <c r="B28" s="4623"/>
      <c r="C28" s="4332"/>
      <c r="D28" s="4216"/>
      <c r="E28" s="4216"/>
      <c r="F28" s="4216"/>
      <c r="G28" s="4216"/>
      <c r="H28" s="4216"/>
      <c r="I28" s="4216"/>
      <c r="J28" s="4216"/>
      <c r="K28" s="4216"/>
      <c r="L28" s="4216"/>
      <c r="M28" s="4630"/>
      <c r="N28" s="4630"/>
      <c r="O28" s="4630"/>
      <c r="P28" s="4216"/>
      <c r="Q28" s="4216"/>
      <c r="R28" s="4450"/>
      <c r="S28" s="2836"/>
      <c r="T28" s="1844"/>
      <c r="U28" s="1844"/>
      <c r="V28" s="2711"/>
      <c r="W28" s="2730"/>
      <c r="X28" s="443"/>
      <c r="Y28" s="2755"/>
      <c r="Z28" s="2755"/>
      <c r="AA28" s="2756"/>
      <c r="AB28" s="2757"/>
      <c r="AC28" s="443"/>
      <c r="AD28" s="252"/>
      <c r="AE28" s="252"/>
      <c r="AF28" s="4651"/>
    </row>
    <row r="29" spans="1:32" ht="33.75" customHeight="1">
      <c r="A29" s="4360"/>
      <c r="B29" s="4623"/>
      <c r="C29" s="4626" t="s">
        <v>272</v>
      </c>
      <c r="D29" s="4328" t="s">
        <v>679</v>
      </c>
      <c r="E29" s="4273" t="s">
        <v>680</v>
      </c>
      <c r="F29" s="4273" t="s">
        <v>688</v>
      </c>
      <c r="G29" s="4338" t="s">
        <v>682</v>
      </c>
      <c r="H29" s="4273" t="s">
        <v>686</v>
      </c>
      <c r="I29" s="4273" t="s">
        <v>278</v>
      </c>
      <c r="J29" s="4228" t="s">
        <v>4340</v>
      </c>
      <c r="K29" s="4273" t="s">
        <v>689</v>
      </c>
      <c r="L29" s="4228" t="s">
        <v>4301</v>
      </c>
      <c r="M29" s="4628">
        <v>0</v>
      </c>
      <c r="N29" s="4628">
        <v>0</v>
      </c>
      <c r="O29" s="4628">
        <v>1</v>
      </c>
      <c r="P29" s="4228" t="s">
        <v>4292</v>
      </c>
      <c r="Q29" s="4228" t="s">
        <v>4241</v>
      </c>
      <c r="R29" s="4458" t="s">
        <v>4346</v>
      </c>
      <c r="S29" s="2844" t="s">
        <v>29</v>
      </c>
      <c r="T29" s="1843">
        <v>570102</v>
      </c>
      <c r="U29" s="1843"/>
      <c r="V29" s="2824" t="s">
        <v>68</v>
      </c>
      <c r="W29" s="2728"/>
      <c r="X29" s="395"/>
      <c r="Y29" s="2746"/>
      <c r="Z29" s="2746"/>
      <c r="AA29" s="2747"/>
      <c r="AB29" s="2758">
        <f>SUM($AA$30:$AA$32)</f>
        <v>1120</v>
      </c>
      <c r="AC29" s="348"/>
      <c r="AD29" s="336"/>
      <c r="AE29" s="336"/>
      <c r="AF29" s="4649"/>
    </row>
    <row r="30" spans="1:32" ht="18" customHeight="1">
      <c r="A30" s="4360"/>
      <c r="B30" s="4623"/>
      <c r="C30" s="4331"/>
      <c r="D30" s="4215"/>
      <c r="E30" s="4215"/>
      <c r="F30" s="4215"/>
      <c r="G30" s="4215"/>
      <c r="H30" s="4215"/>
      <c r="I30" s="4215"/>
      <c r="J30" s="4215"/>
      <c r="K30" s="4215"/>
      <c r="L30" s="4215"/>
      <c r="M30" s="4629"/>
      <c r="N30" s="4629"/>
      <c r="O30" s="4629"/>
      <c r="P30" s="4215"/>
      <c r="Q30" s="4215"/>
      <c r="R30" s="4449"/>
      <c r="S30" s="2839"/>
      <c r="T30" s="2699"/>
      <c r="U30" s="2698"/>
      <c r="V30" s="2716" t="s">
        <v>690</v>
      </c>
      <c r="W30" s="2728">
        <v>1</v>
      </c>
      <c r="X30" s="395" t="s">
        <v>269</v>
      </c>
      <c r="Y30" s="2746">
        <v>1000</v>
      </c>
      <c r="Z30" s="2753">
        <f t="shared" ref="Z30" si="4">+W30*Y30</f>
        <v>1000</v>
      </c>
      <c r="AA30" s="2753">
        <f t="shared" ref="AA30" si="5">+Z30*1.12</f>
        <v>1120</v>
      </c>
      <c r="AB30" s="2758"/>
      <c r="AC30" s="348" t="s">
        <v>251</v>
      </c>
      <c r="AD30" s="348" t="s">
        <v>251</v>
      </c>
      <c r="AE30" s="348" t="s">
        <v>251</v>
      </c>
      <c r="AF30" s="4650"/>
    </row>
    <row r="31" spans="1:32" s="2294" customFormat="1" ht="18" customHeight="1">
      <c r="A31" s="4360"/>
      <c r="B31" s="4623"/>
      <c r="C31" s="4331"/>
      <c r="D31" s="4215"/>
      <c r="E31" s="4215"/>
      <c r="F31" s="4215"/>
      <c r="G31" s="4215"/>
      <c r="H31" s="4215"/>
      <c r="I31" s="4215"/>
      <c r="J31" s="4215"/>
      <c r="K31" s="4215"/>
      <c r="L31" s="4215"/>
      <c r="M31" s="4629"/>
      <c r="N31" s="4629"/>
      <c r="O31" s="4629"/>
      <c r="P31" s="4215"/>
      <c r="Q31" s="4215"/>
      <c r="R31" s="4449"/>
      <c r="S31" s="2840"/>
      <c r="T31" s="2792"/>
      <c r="U31" s="2698"/>
      <c r="V31" s="2716"/>
      <c r="W31" s="2728"/>
      <c r="X31" s="395"/>
      <c r="Y31" s="2746"/>
      <c r="Z31" s="2753"/>
      <c r="AA31" s="2753"/>
      <c r="AB31" s="2758"/>
      <c r="AC31" s="348"/>
      <c r="AD31" s="348"/>
      <c r="AE31" s="348"/>
      <c r="AF31" s="4650"/>
    </row>
    <row r="32" spans="1:32" ht="18" customHeight="1">
      <c r="A32" s="4360"/>
      <c r="B32" s="4623"/>
      <c r="C32" s="4331"/>
      <c r="D32" s="4215"/>
      <c r="E32" s="4215"/>
      <c r="F32" s="4215"/>
      <c r="G32" s="4215"/>
      <c r="H32" s="4215"/>
      <c r="I32" s="4215"/>
      <c r="J32" s="4215"/>
      <c r="K32" s="4215"/>
      <c r="L32" s="4215"/>
      <c r="M32" s="4629"/>
      <c r="N32" s="4629"/>
      <c r="O32" s="4629"/>
      <c r="P32" s="4215"/>
      <c r="Q32" s="4215"/>
      <c r="R32" s="4449"/>
      <c r="S32" s="2838"/>
      <c r="T32" s="1843"/>
      <c r="U32" s="1843"/>
      <c r="V32" s="2695"/>
      <c r="W32" s="2728"/>
      <c r="X32" s="395"/>
      <c r="Y32" s="2746"/>
      <c r="Z32" s="2753"/>
      <c r="AA32" s="2753"/>
      <c r="AB32" s="2758"/>
      <c r="AC32" s="348"/>
      <c r="AD32" s="336"/>
      <c r="AE32" s="336"/>
      <c r="AF32" s="4650"/>
    </row>
    <row r="33" spans="1:32" ht="18" customHeight="1">
      <c r="A33" s="4360"/>
      <c r="B33" s="4623"/>
      <c r="C33" s="4332"/>
      <c r="D33" s="4216"/>
      <c r="E33" s="4216"/>
      <c r="F33" s="4216"/>
      <c r="G33" s="4216"/>
      <c r="H33" s="4216"/>
      <c r="I33" s="4216"/>
      <c r="J33" s="4216"/>
      <c r="K33" s="4216"/>
      <c r="L33" s="4215"/>
      <c r="M33" s="4630"/>
      <c r="N33" s="4630"/>
      <c r="O33" s="4630"/>
      <c r="P33" s="4216"/>
      <c r="Q33" s="4216"/>
      <c r="R33" s="4450"/>
      <c r="S33" s="2836"/>
      <c r="T33" s="1844"/>
      <c r="U33" s="2698"/>
      <c r="V33" s="2711"/>
      <c r="W33" s="2732"/>
      <c r="X33" s="443"/>
      <c r="Y33" s="2759"/>
      <c r="Z33" s="2759"/>
      <c r="AA33" s="2760"/>
      <c r="AB33" s="2763"/>
      <c r="AC33" s="351"/>
      <c r="AD33" s="351"/>
      <c r="AE33" s="351"/>
      <c r="AF33" s="4651"/>
    </row>
    <row r="34" spans="1:32" ht="27.75" customHeight="1">
      <c r="A34" s="4360"/>
      <c r="B34" s="4623"/>
      <c r="C34" s="4626" t="s">
        <v>272</v>
      </c>
      <c r="D34" s="4328" t="s">
        <v>273</v>
      </c>
      <c r="E34" s="4273" t="s">
        <v>274</v>
      </c>
      <c r="F34" s="4273" t="s">
        <v>691</v>
      </c>
      <c r="G34" s="4338" t="s">
        <v>276</v>
      </c>
      <c r="H34" s="4273" t="s">
        <v>686</v>
      </c>
      <c r="I34" s="4273" t="s">
        <v>241</v>
      </c>
      <c r="J34" s="4228" t="s">
        <v>4339</v>
      </c>
      <c r="K34" s="4273" t="s">
        <v>692</v>
      </c>
      <c r="L34" s="4228" t="s">
        <v>4302</v>
      </c>
      <c r="M34" s="4628">
        <v>0</v>
      </c>
      <c r="N34" s="4628">
        <v>3</v>
      </c>
      <c r="O34" s="4628">
        <v>0</v>
      </c>
      <c r="P34" s="4228" t="s">
        <v>4291</v>
      </c>
      <c r="Q34" s="4228" t="s">
        <v>4242</v>
      </c>
      <c r="R34" s="4458" t="s">
        <v>4230</v>
      </c>
      <c r="S34" s="2844" t="s">
        <v>29</v>
      </c>
      <c r="T34" s="1845">
        <v>530239</v>
      </c>
      <c r="U34" s="1845"/>
      <c r="V34" s="2825" t="s">
        <v>27</v>
      </c>
      <c r="W34" s="2731"/>
      <c r="X34" s="442"/>
      <c r="Y34" s="2750"/>
      <c r="Z34" s="2750"/>
      <c r="AA34" s="2751"/>
      <c r="AB34" s="2752">
        <f>SUM($AA$35:$AA$37)</f>
        <v>560</v>
      </c>
      <c r="AC34" s="350"/>
      <c r="AD34" s="249"/>
      <c r="AE34" s="249"/>
      <c r="AF34" s="4649"/>
    </row>
    <row r="35" spans="1:32" ht="27.75" customHeight="1">
      <c r="A35" s="4360"/>
      <c r="B35" s="4623"/>
      <c r="C35" s="4331"/>
      <c r="D35" s="4215"/>
      <c r="E35" s="4215"/>
      <c r="F35" s="4215"/>
      <c r="G35" s="4215"/>
      <c r="H35" s="4215"/>
      <c r="I35" s="4215"/>
      <c r="J35" s="4215"/>
      <c r="K35" s="4215"/>
      <c r="L35" s="4215"/>
      <c r="M35" s="4629"/>
      <c r="N35" s="4629"/>
      <c r="O35" s="4629"/>
      <c r="P35" s="4215"/>
      <c r="Q35" s="4215"/>
      <c r="R35" s="4449"/>
      <c r="S35" s="2797"/>
      <c r="T35" s="1842"/>
      <c r="U35" s="2698"/>
      <c r="V35" s="2710" t="s">
        <v>693</v>
      </c>
      <c r="W35" s="2728">
        <v>1</v>
      </c>
      <c r="X35" s="395" t="s">
        <v>269</v>
      </c>
      <c r="Y35" s="2746">
        <v>500</v>
      </c>
      <c r="Z35" s="2753">
        <f t="shared" ref="Z35" si="6">+W35*Y35</f>
        <v>500</v>
      </c>
      <c r="AA35" s="2753">
        <f t="shared" ref="AA35" si="7">+Z35*1.12</f>
        <v>560</v>
      </c>
      <c r="AB35" s="2754"/>
      <c r="AC35" s="395" t="s">
        <v>251</v>
      </c>
      <c r="AD35" s="336" t="s">
        <v>251</v>
      </c>
      <c r="AE35" s="336"/>
      <c r="AF35" s="4650"/>
    </row>
    <row r="36" spans="1:32" s="2294" customFormat="1" ht="27.75" customHeight="1">
      <c r="A36" s="4360"/>
      <c r="B36" s="4623"/>
      <c r="C36" s="4331"/>
      <c r="D36" s="4215"/>
      <c r="E36" s="4215"/>
      <c r="F36" s="4215"/>
      <c r="G36" s="4215"/>
      <c r="H36" s="4215"/>
      <c r="I36" s="4215"/>
      <c r="J36" s="4215"/>
      <c r="K36" s="4215"/>
      <c r="L36" s="4215"/>
      <c r="M36" s="4629"/>
      <c r="N36" s="4629"/>
      <c r="O36" s="4629"/>
      <c r="P36" s="4215"/>
      <c r="Q36" s="4215"/>
      <c r="R36" s="4449"/>
      <c r="S36" s="2797"/>
      <c r="T36" s="1842"/>
      <c r="U36" s="2698"/>
      <c r="V36" s="2710"/>
      <c r="W36" s="2728"/>
      <c r="X36" s="395"/>
      <c r="Y36" s="2746"/>
      <c r="Z36" s="2753"/>
      <c r="AA36" s="2753"/>
      <c r="AB36" s="2754"/>
      <c r="AC36" s="395"/>
      <c r="AD36" s="336"/>
      <c r="AE36" s="336"/>
      <c r="AF36" s="4650"/>
    </row>
    <row r="37" spans="1:32" ht="27.75" customHeight="1">
      <c r="A37" s="4360"/>
      <c r="B37" s="4623"/>
      <c r="C37" s="4331"/>
      <c r="D37" s="4215"/>
      <c r="E37" s="4215"/>
      <c r="F37" s="4215"/>
      <c r="G37" s="4215"/>
      <c r="H37" s="4215"/>
      <c r="I37" s="4215"/>
      <c r="J37" s="4215"/>
      <c r="K37" s="4215"/>
      <c r="L37" s="4215"/>
      <c r="M37" s="4629"/>
      <c r="N37" s="4629"/>
      <c r="O37" s="4629"/>
      <c r="P37" s="4215"/>
      <c r="Q37" s="4215"/>
      <c r="R37" s="4449"/>
      <c r="S37" s="2838"/>
      <c r="T37" s="1843"/>
      <c r="U37" s="1843"/>
      <c r="V37" s="2695"/>
      <c r="W37" s="2728"/>
      <c r="X37" s="395"/>
      <c r="Y37" s="2746"/>
      <c r="Z37" s="2753"/>
      <c r="AA37" s="2753"/>
      <c r="AB37" s="2758"/>
      <c r="AC37" s="348"/>
      <c r="AD37" s="336"/>
      <c r="AE37" s="336"/>
      <c r="AF37" s="4650"/>
    </row>
    <row r="38" spans="1:32" ht="27.75" customHeight="1">
      <c r="A38" s="4360"/>
      <c r="B38" s="4623"/>
      <c r="C38" s="4332"/>
      <c r="D38" s="4216"/>
      <c r="E38" s="4216"/>
      <c r="F38" s="4216"/>
      <c r="G38" s="4216"/>
      <c r="H38" s="4216"/>
      <c r="I38" s="4216"/>
      <c r="J38" s="4216"/>
      <c r="K38" s="4216"/>
      <c r="L38" s="4215"/>
      <c r="M38" s="4630"/>
      <c r="N38" s="4630"/>
      <c r="O38" s="4630"/>
      <c r="P38" s="4216"/>
      <c r="Q38" s="4216"/>
      <c r="R38" s="4450"/>
      <c r="S38" s="2838"/>
      <c r="T38" s="2708"/>
      <c r="U38" s="2700"/>
      <c r="V38" s="2710"/>
      <c r="W38" s="2728"/>
      <c r="X38" s="395"/>
      <c r="Y38" s="2746"/>
      <c r="Z38" s="2746"/>
      <c r="AA38" s="2747"/>
      <c r="AB38" s="2764"/>
      <c r="AC38" s="395"/>
      <c r="AD38" s="336"/>
      <c r="AE38" s="252"/>
      <c r="AF38" s="4651"/>
    </row>
    <row r="39" spans="1:32" ht="36.75" customHeight="1">
      <c r="A39" s="4360"/>
      <c r="B39" s="4623"/>
      <c r="C39" s="4626" t="s">
        <v>272</v>
      </c>
      <c r="D39" s="4273" t="s">
        <v>679</v>
      </c>
      <c r="E39" s="4273" t="s">
        <v>680</v>
      </c>
      <c r="F39" s="4273" t="s">
        <v>681</v>
      </c>
      <c r="G39" s="4338" t="s">
        <v>682</v>
      </c>
      <c r="H39" s="4273" t="s">
        <v>314</v>
      </c>
      <c r="I39" s="4273" t="s">
        <v>241</v>
      </c>
      <c r="J39" s="4228" t="s">
        <v>4338</v>
      </c>
      <c r="K39" s="4228" t="s">
        <v>694</v>
      </c>
      <c r="L39" s="4228" t="s">
        <v>4303</v>
      </c>
      <c r="M39" s="4628">
        <v>0</v>
      </c>
      <c r="N39" s="4628">
        <v>10</v>
      </c>
      <c r="O39" s="4628">
        <v>15</v>
      </c>
      <c r="P39" s="4228" t="s">
        <v>4290</v>
      </c>
      <c r="Q39" s="4228" t="s">
        <v>4243</v>
      </c>
      <c r="R39" s="4458" t="s">
        <v>4231</v>
      </c>
      <c r="S39" s="2835"/>
      <c r="T39" s="1845"/>
      <c r="U39" s="1845"/>
      <c r="V39" s="2715"/>
      <c r="W39" s="2734"/>
      <c r="X39" s="442"/>
      <c r="Y39" s="2765"/>
      <c r="Z39" s="2765"/>
      <c r="AA39" s="2766"/>
      <c r="AB39" s="1866"/>
      <c r="AC39" s="442"/>
      <c r="AD39" s="249"/>
      <c r="AE39" s="249"/>
      <c r="AF39" s="4649"/>
    </row>
    <row r="40" spans="1:32" ht="36.75" customHeight="1">
      <c r="A40" s="4360"/>
      <c r="B40" s="4623"/>
      <c r="C40" s="4331"/>
      <c r="D40" s="4215"/>
      <c r="E40" s="4215"/>
      <c r="F40" s="4215"/>
      <c r="G40" s="4215"/>
      <c r="H40" s="4215"/>
      <c r="I40" s="4215"/>
      <c r="J40" s="4215"/>
      <c r="K40" s="4215"/>
      <c r="L40" s="4215"/>
      <c r="M40" s="4629"/>
      <c r="N40" s="4629"/>
      <c r="O40" s="4629"/>
      <c r="P40" s="4215"/>
      <c r="Q40" s="4215"/>
      <c r="R40" s="4449"/>
      <c r="S40" s="2797"/>
      <c r="T40" s="1842"/>
      <c r="U40" s="1842"/>
      <c r="V40" s="2716"/>
      <c r="W40" s="1862"/>
      <c r="X40" s="395"/>
      <c r="Y40" s="1867"/>
      <c r="Z40" s="1867"/>
      <c r="AA40" s="2762"/>
      <c r="AB40" s="2748"/>
      <c r="AC40" s="348"/>
      <c r="AD40" s="336"/>
      <c r="AE40" s="336"/>
      <c r="AF40" s="4650"/>
    </row>
    <row r="41" spans="1:32" ht="36.75" customHeight="1">
      <c r="A41" s="4360"/>
      <c r="B41" s="4623"/>
      <c r="C41" s="4331"/>
      <c r="D41" s="4215"/>
      <c r="E41" s="4215"/>
      <c r="F41" s="4215"/>
      <c r="G41" s="4215"/>
      <c r="H41" s="4215"/>
      <c r="I41" s="4215"/>
      <c r="J41" s="4215"/>
      <c r="K41" s="4215"/>
      <c r="L41" s="4215"/>
      <c r="M41" s="4629"/>
      <c r="N41" s="4629"/>
      <c r="O41" s="4629"/>
      <c r="P41" s="4215"/>
      <c r="Q41" s="4215"/>
      <c r="R41" s="4449"/>
      <c r="S41" s="2797"/>
      <c r="T41" s="1842"/>
      <c r="U41" s="1842"/>
      <c r="V41" s="2716"/>
      <c r="W41" s="1862"/>
      <c r="X41" s="395"/>
      <c r="Y41" s="1867"/>
      <c r="Z41" s="1867"/>
      <c r="AA41" s="2762"/>
      <c r="AB41" s="2748"/>
      <c r="AC41" s="348"/>
      <c r="AD41" s="336"/>
      <c r="AE41" s="336"/>
      <c r="AF41" s="4650"/>
    </row>
    <row r="42" spans="1:32" ht="36.75" customHeight="1">
      <c r="A42" s="4360"/>
      <c r="B42" s="4623"/>
      <c r="C42" s="4331"/>
      <c r="D42" s="4215"/>
      <c r="E42" s="4215"/>
      <c r="F42" s="4215"/>
      <c r="G42" s="4215"/>
      <c r="H42" s="4215"/>
      <c r="I42" s="4215"/>
      <c r="J42" s="4215"/>
      <c r="K42" s="4215"/>
      <c r="L42" s="4215"/>
      <c r="M42" s="4629"/>
      <c r="N42" s="4629"/>
      <c r="O42" s="4629"/>
      <c r="P42" s="4215"/>
      <c r="Q42" s="4215"/>
      <c r="R42" s="4449"/>
      <c r="S42" s="2797"/>
      <c r="T42" s="1842"/>
      <c r="U42" s="1842"/>
      <c r="V42" s="2716"/>
      <c r="W42" s="1862"/>
      <c r="X42" s="395"/>
      <c r="Y42" s="1867"/>
      <c r="Z42" s="1867"/>
      <c r="AA42" s="2762"/>
      <c r="AB42" s="2748"/>
      <c r="AC42" s="348"/>
      <c r="AD42" s="336"/>
      <c r="AE42" s="336"/>
      <c r="AF42" s="4650"/>
    </row>
    <row r="43" spans="1:32" ht="36.75" customHeight="1">
      <c r="A43" s="4360"/>
      <c r="B43" s="4623"/>
      <c r="C43" s="4331"/>
      <c r="D43" s="4216"/>
      <c r="E43" s="4215"/>
      <c r="F43" s="4215"/>
      <c r="G43" s="4215"/>
      <c r="H43" s="4215"/>
      <c r="I43" s="4215"/>
      <c r="J43" s="4215"/>
      <c r="K43" s="4215"/>
      <c r="L43" s="4215"/>
      <c r="M43" s="4629"/>
      <c r="N43" s="4629"/>
      <c r="O43" s="4629"/>
      <c r="P43" s="4215"/>
      <c r="Q43" s="4215"/>
      <c r="R43" s="4449"/>
      <c r="S43" s="2839"/>
      <c r="T43" s="2699"/>
      <c r="U43" s="2699"/>
      <c r="V43" s="2717"/>
      <c r="W43" s="2735"/>
      <c r="X43" s="1905"/>
      <c r="Y43" s="2767"/>
      <c r="Z43" s="2767"/>
      <c r="AA43" s="2768"/>
      <c r="AB43" s="2769"/>
      <c r="AC43" s="348"/>
      <c r="AD43" s="1906"/>
      <c r="AE43" s="1906"/>
      <c r="AF43" s="4656"/>
    </row>
    <row r="44" spans="1:32" ht="33" customHeight="1">
      <c r="A44" s="4360"/>
      <c r="B44" s="4623"/>
      <c r="C44" s="4626" t="s">
        <v>235</v>
      </c>
      <c r="D44" s="4328" t="s">
        <v>236</v>
      </c>
      <c r="E44" s="4273" t="s">
        <v>237</v>
      </c>
      <c r="F44" s="4273" t="s">
        <v>326</v>
      </c>
      <c r="G44" s="4338" t="s">
        <v>239</v>
      </c>
      <c r="H44" s="4273" t="s">
        <v>240</v>
      </c>
      <c r="I44" s="4273" t="s">
        <v>257</v>
      </c>
      <c r="J44" s="4228" t="s">
        <v>4337</v>
      </c>
      <c r="K44" s="4228" t="s">
        <v>695</v>
      </c>
      <c r="L44" s="4228" t="s">
        <v>4304</v>
      </c>
      <c r="M44" s="4628">
        <v>3</v>
      </c>
      <c r="N44" s="4628">
        <v>2</v>
      </c>
      <c r="O44" s="4628">
        <v>3</v>
      </c>
      <c r="P44" s="4228" t="s">
        <v>4289</v>
      </c>
      <c r="Q44" s="4228" t="s">
        <v>4244</v>
      </c>
      <c r="R44" s="4458" t="s">
        <v>4346</v>
      </c>
      <c r="S44" s="2835" t="s">
        <v>17</v>
      </c>
      <c r="T44" s="1845">
        <v>840107</v>
      </c>
      <c r="U44" s="1845"/>
      <c r="V44" s="2715" t="s">
        <v>20</v>
      </c>
      <c r="W44" s="2733"/>
      <c r="X44" s="352"/>
      <c r="Y44" s="2750"/>
      <c r="Z44" s="2750"/>
      <c r="AA44" s="2751"/>
      <c r="AB44" s="2752">
        <f>SUM($AA$45:$AA$47)</f>
        <v>13523.260800000002</v>
      </c>
      <c r="AC44" s="350"/>
      <c r="AD44" s="249"/>
      <c r="AE44" s="249"/>
      <c r="AF44" s="4657"/>
    </row>
    <row r="45" spans="1:32" ht="33" customHeight="1">
      <c r="A45" s="4360"/>
      <c r="B45" s="4623"/>
      <c r="C45" s="4331"/>
      <c r="D45" s="4215"/>
      <c r="E45" s="4215"/>
      <c r="F45" s="4215"/>
      <c r="G45" s="4215"/>
      <c r="H45" s="4215"/>
      <c r="I45" s="4215"/>
      <c r="J45" s="4215"/>
      <c r="K45" s="4215"/>
      <c r="L45" s="4215"/>
      <c r="M45" s="4629"/>
      <c r="N45" s="4629"/>
      <c r="O45" s="4629"/>
      <c r="P45" s="4215"/>
      <c r="Q45" s="4215"/>
      <c r="R45" s="4449"/>
      <c r="S45" s="2797"/>
      <c r="T45" s="1842"/>
      <c r="U45" s="1842"/>
      <c r="V45" s="2716" t="s">
        <v>696</v>
      </c>
      <c r="W45" s="2728">
        <v>3</v>
      </c>
      <c r="X45" s="348" t="s">
        <v>269</v>
      </c>
      <c r="Y45" s="2746">
        <v>1300</v>
      </c>
      <c r="Z45" s="2753">
        <f t="shared" ref="Z45:Z46" si="8">+W45*Y45</f>
        <v>3900</v>
      </c>
      <c r="AA45" s="2753">
        <f t="shared" ref="AA45:AA46" si="9">+Z45*1.12</f>
        <v>4368</v>
      </c>
      <c r="AB45" s="2758"/>
      <c r="AC45" s="348" t="s">
        <v>251</v>
      </c>
      <c r="AD45" s="348" t="s">
        <v>251</v>
      </c>
      <c r="AE45" s="336"/>
      <c r="AF45" s="4650"/>
    </row>
    <row r="46" spans="1:32" ht="33" customHeight="1">
      <c r="A46" s="4360"/>
      <c r="B46" s="4623"/>
      <c r="C46" s="4331"/>
      <c r="D46" s="4215"/>
      <c r="E46" s="4215"/>
      <c r="F46" s="4215"/>
      <c r="G46" s="4215"/>
      <c r="H46" s="4215"/>
      <c r="I46" s="4215"/>
      <c r="J46" s="4215"/>
      <c r="K46" s="4215"/>
      <c r="L46" s="4215"/>
      <c r="M46" s="4629"/>
      <c r="N46" s="4629"/>
      <c r="O46" s="4629"/>
      <c r="P46" s="4215"/>
      <c r="Q46" s="4215"/>
      <c r="R46" s="4449"/>
      <c r="S46" s="2797"/>
      <c r="T46" s="1842"/>
      <c r="U46" s="1842"/>
      <c r="V46" s="1881" t="s">
        <v>4347</v>
      </c>
      <c r="W46" s="2728">
        <v>6</v>
      </c>
      <c r="X46" s="348" t="s">
        <v>269</v>
      </c>
      <c r="Y46" s="2746">
        <f>1450-87.61</f>
        <v>1362.39</v>
      </c>
      <c r="Z46" s="2753">
        <f t="shared" si="8"/>
        <v>8174.34</v>
      </c>
      <c r="AA46" s="2753">
        <f t="shared" si="9"/>
        <v>9155.2608000000018</v>
      </c>
      <c r="AB46" s="2758"/>
      <c r="AC46" s="348" t="s">
        <v>251</v>
      </c>
      <c r="AD46" s="348" t="s">
        <v>251</v>
      </c>
      <c r="AE46" s="336"/>
      <c r="AF46" s="4650"/>
    </row>
    <row r="47" spans="1:32" ht="33" customHeight="1">
      <c r="A47" s="4360"/>
      <c r="B47" s="4623"/>
      <c r="C47" s="4331"/>
      <c r="D47" s="4215"/>
      <c r="E47" s="4215"/>
      <c r="F47" s="4215"/>
      <c r="G47" s="4215"/>
      <c r="H47" s="4215"/>
      <c r="I47" s="4215"/>
      <c r="J47" s="4215"/>
      <c r="K47" s="4215"/>
      <c r="L47" s="4215"/>
      <c r="M47" s="4629"/>
      <c r="N47" s="4629"/>
      <c r="O47" s="4629"/>
      <c r="P47" s="4215"/>
      <c r="Q47" s="4215"/>
      <c r="R47" s="4449"/>
      <c r="S47" s="2797"/>
      <c r="T47" s="1842"/>
      <c r="U47" s="1842"/>
      <c r="V47" s="2716"/>
      <c r="W47" s="1862"/>
      <c r="X47" s="395"/>
      <c r="Y47" s="1867"/>
      <c r="Z47" s="2753"/>
      <c r="AA47" s="2753"/>
      <c r="AB47" s="2748"/>
      <c r="AC47" s="395"/>
      <c r="AD47" s="336"/>
      <c r="AE47" s="336"/>
      <c r="AF47" s="4650"/>
    </row>
    <row r="48" spans="1:32" ht="33" customHeight="1">
      <c r="A48" s="4360"/>
      <c r="B48" s="4623"/>
      <c r="C48" s="4332"/>
      <c r="D48" s="4216"/>
      <c r="E48" s="4216"/>
      <c r="F48" s="4216"/>
      <c r="G48" s="4216"/>
      <c r="H48" s="4216"/>
      <c r="I48" s="4216"/>
      <c r="J48" s="4216"/>
      <c r="K48" s="4216"/>
      <c r="L48" s="4216"/>
      <c r="M48" s="4630"/>
      <c r="N48" s="4630"/>
      <c r="O48" s="4630"/>
      <c r="P48" s="4216"/>
      <c r="Q48" s="4216"/>
      <c r="R48" s="4450"/>
      <c r="S48" s="2836"/>
      <c r="T48" s="1844"/>
      <c r="U48" s="1844"/>
      <c r="V48" s="2711"/>
      <c r="W48" s="2730"/>
      <c r="X48" s="443"/>
      <c r="Y48" s="2755"/>
      <c r="Z48" s="2755"/>
      <c r="AA48" s="2756"/>
      <c r="AB48" s="2757"/>
      <c r="AC48" s="443"/>
      <c r="AD48" s="252"/>
      <c r="AE48" s="252"/>
      <c r="AF48" s="4651"/>
    </row>
    <row r="49" spans="1:32" ht="30" customHeight="1">
      <c r="A49" s="4360"/>
      <c r="B49" s="4623"/>
      <c r="C49" s="4626" t="s">
        <v>235</v>
      </c>
      <c r="D49" s="4328" t="s">
        <v>236</v>
      </c>
      <c r="E49" s="4273" t="s">
        <v>237</v>
      </c>
      <c r="F49" s="4273" t="s">
        <v>238</v>
      </c>
      <c r="G49" s="4338" t="s">
        <v>239</v>
      </c>
      <c r="H49" s="4273" t="s">
        <v>240</v>
      </c>
      <c r="I49" s="4273" t="s">
        <v>294</v>
      </c>
      <c r="J49" s="4228" t="s">
        <v>4336</v>
      </c>
      <c r="K49" s="4273" t="s">
        <v>697</v>
      </c>
      <c r="L49" s="4228" t="s">
        <v>787</v>
      </c>
      <c r="M49" s="4628">
        <v>0</v>
      </c>
      <c r="N49" s="4628">
        <v>5</v>
      </c>
      <c r="O49" s="4628">
        <v>5</v>
      </c>
      <c r="P49" s="4228" t="s">
        <v>4288</v>
      </c>
      <c r="Q49" s="4228" t="s">
        <v>4245</v>
      </c>
      <c r="R49" s="4458" t="s">
        <v>4346</v>
      </c>
      <c r="S49" s="2835"/>
      <c r="T49" s="1845"/>
      <c r="U49" s="1852"/>
      <c r="V49" s="2712"/>
      <c r="W49" s="2731"/>
      <c r="X49" s="442"/>
      <c r="Y49" s="2750"/>
      <c r="Z49" s="2750"/>
      <c r="AA49" s="2751"/>
      <c r="AB49" s="2752"/>
      <c r="AC49" s="350"/>
      <c r="AD49" s="249"/>
      <c r="AE49" s="249"/>
      <c r="AF49" s="4649"/>
    </row>
    <row r="50" spans="1:32" ht="30" customHeight="1">
      <c r="A50" s="4360"/>
      <c r="B50" s="4623"/>
      <c r="C50" s="4331"/>
      <c r="D50" s="4215"/>
      <c r="E50" s="4215"/>
      <c r="F50" s="4215"/>
      <c r="G50" s="4215"/>
      <c r="H50" s="4215"/>
      <c r="I50" s="4215"/>
      <c r="J50" s="4215"/>
      <c r="K50" s="4215"/>
      <c r="L50" s="4215"/>
      <c r="M50" s="4629"/>
      <c r="N50" s="4629"/>
      <c r="O50" s="4629"/>
      <c r="P50" s="4215"/>
      <c r="Q50" s="4215"/>
      <c r="R50" s="4449"/>
      <c r="S50" s="2797"/>
      <c r="T50" s="1842"/>
      <c r="U50" s="1842"/>
      <c r="V50" s="2716"/>
      <c r="W50" s="2728"/>
      <c r="X50" s="395"/>
      <c r="Y50" s="2746"/>
      <c r="Z50" s="2746"/>
      <c r="AA50" s="2747"/>
      <c r="AB50" s="2758"/>
      <c r="AC50" s="348"/>
      <c r="AD50" s="348"/>
      <c r="AE50" s="336"/>
      <c r="AF50" s="4650"/>
    </row>
    <row r="51" spans="1:32" ht="30" customHeight="1">
      <c r="A51" s="4360"/>
      <c r="B51" s="4623"/>
      <c r="C51" s="4331"/>
      <c r="D51" s="4215"/>
      <c r="E51" s="4215"/>
      <c r="F51" s="4215"/>
      <c r="G51" s="4215"/>
      <c r="H51" s="4215"/>
      <c r="I51" s="4215"/>
      <c r="J51" s="4215"/>
      <c r="K51" s="4215"/>
      <c r="L51" s="4215"/>
      <c r="M51" s="4629"/>
      <c r="N51" s="4629"/>
      <c r="O51" s="4629"/>
      <c r="P51" s="4215"/>
      <c r="Q51" s="4215"/>
      <c r="R51" s="4449"/>
      <c r="S51" s="2797"/>
      <c r="T51" s="1842"/>
      <c r="U51" s="1842"/>
      <c r="V51" s="2716"/>
      <c r="W51" s="2728"/>
      <c r="X51" s="348"/>
      <c r="Y51" s="2746"/>
      <c r="Z51" s="2746"/>
      <c r="AA51" s="2747"/>
      <c r="AB51" s="2758"/>
      <c r="AC51" s="348"/>
      <c r="AD51" s="336"/>
      <c r="AE51" s="336"/>
      <c r="AF51" s="4650"/>
    </row>
    <row r="52" spans="1:32" ht="30" customHeight="1">
      <c r="A52" s="4360"/>
      <c r="B52" s="4623"/>
      <c r="C52" s="4331"/>
      <c r="D52" s="4215"/>
      <c r="E52" s="4215"/>
      <c r="F52" s="4215"/>
      <c r="G52" s="4215"/>
      <c r="H52" s="4215"/>
      <c r="I52" s="4215"/>
      <c r="J52" s="4215"/>
      <c r="K52" s="4215"/>
      <c r="L52" s="4215"/>
      <c r="M52" s="4629"/>
      <c r="N52" s="4629"/>
      <c r="O52" s="4629"/>
      <c r="P52" s="4215"/>
      <c r="Q52" s="4215"/>
      <c r="R52" s="4449"/>
      <c r="S52" s="2797"/>
      <c r="T52" s="1842"/>
      <c r="U52" s="1842"/>
      <c r="V52" s="2716"/>
      <c r="W52" s="1862"/>
      <c r="X52" s="395"/>
      <c r="Y52" s="1867"/>
      <c r="Z52" s="1867"/>
      <c r="AA52" s="2762"/>
      <c r="AB52" s="2748"/>
      <c r="AC52" s="395"/>
      <c r="AD52" s="336"/>
      <c r="AE52" s="336"/>
      <c r="AF52" s="4650"/>
    </row>
    <row r="53" spans="1:32" ht="30" customHeight="1">
      <c r="A53" s="4360"/>
      <c r="B53" s="4623"/>
      <c r="C53" s="4332"/>
      <c r="D53" s="4216"/>
      <c r="E53" s="4216"/>
      <c r="F53" s="4216"/>
      <c r="G53" s="4216"/>
      <c r="H53" s="4216"/>
      <c r="I53" s="4216"/>
      <c r="J53" s="4216"/>
      <c r="K53" s="4216"/>
      <c r="L53" s="4216"/>
      <c r="M53" s="4630"/>
      <c r="N53" s="4630"/>
      <c r="O53" s="4630"/>
      <c r="P53" s="4216"/>
      <c r="Q53" s="4216"/>
      <c r="R53" s="4450"/>
      <c r="S53" s="2836"/>
      <c r="T53" s="1844"/>
      <c r="U53" s="1844"/>
      <c r="V53" s="2711"/>
      <c r="W53" s="2730"/>
      <c r="X53" s="443"/>
      <c r="Y53" s="2755"/>
      <c r="Z53" s="2755"/>
      <c r="AA53" s="2756"/>
      <c r="AB53" s="2757"/>
      <c r="AC53" s="443"/>
      <c r="AD53" s="252"/>
      <c r="AE53" s="252"/>
      <c r="AF53" s="4651"/>
    </row>
    <row r="54" spans="1:32" ht="22.5" customHeight="1">
      <c r="A54" s="4360"/>
      <c r="B54" s="4623"/>
      <c r="C54" s="4626" t="s">
        <v>272</v>
      </c>
      <c r="D54" s="4328" t="s">
        <v>679</v>
      </c>
      <c r="E54" s="4273" t="s">
        <v>680</v>
      </c>
      <c r="F54" s="4273" t="s">
        <v>698</v>
      </c>
      <c r="G54" s="4338" t="s">
        <v>682</v>
      </c>
      <c r="H54" s="4273" t="s">
        <v>686</v>
      </c>
      <c r="I54" s="4273" t="s">
        <v>278</v>
      </c>
      <c r="J54" s="4228" t="s">
        <v>4335</v>
      </c>
      <c r="K54" s="4273" t="s">
        <v>699</v>
      </c>
      <c r="L54" s="4228" t="s">
        <v>4305</v>
      </c>
      <c r="M54" s="4628">
        <v>0</v>
      </c>
      <c r="N54" s="4628">
        <v>0</v>
      </c>
      <c r="O54" s="4628">
        <v>1</v>
      </c>
      <c r="P54" s="4228" t="s">
        <v>4287</v>
      </c>
      <c r="Q54" s="4228" t="s">
        <v>4246</v>
      </c>
      <c r="R54" s="4458" t="s">
        <v>4348</v>
      </c>
      <c r="S54" s="2835"/>
      <c r="T54" s="1845"/>
      <c r="U54" s="1845"/>
      <c r="V54" s="2715"/>
      <c r="W54" s="2733"/>
      <c r="X54" s="352"/>
      <c r="Y54" s="2750"/>
      <c r="Z54" s="2750"/>
      <c r="AA54" s="2751"/>
      <c r="AB54" s="2752"/>
      <c r="AC54" s="442"/>
      <c r="AD54" s="249"/>
      <c r="AE54" s="249"/>
      <c r="AF54" s="4649"/>
    </row>
    <row r="55" spans="1:32" ht="22.5" customHeight="1">
      <c r="A55" s="4360"/>
      <c r="B55" s="4623"/>
      <c r="C55" s="4331"/>
      <c r="D55" s="4215"/>
      <c r="E55" s="4215"/>
      <c r="F55" s="4215"/>
      <c r="G55" s="4215"/>
      <c r="H55" s="4215"/>
      <c r="I55" s="4215"/>
      <c r="J55" s="4215"/>
      <c r="K55" s="4215"/>
      <c r="L55" s="4215"/>
      <c r="M55" s="4629"/>
      <c r="N55" s="4629"/>
      <c r="O55" s="4629"/>
      <c r="P55" s="4215"/>
      <c r="Q55" s="4215"/>
      <c r="R55" s="4449"/>
      <c r="S55" s="2838"/>
      <c r="T55" s="1843"/>
      <c r="U55" s="1843"/>
      <c r="V55" s="2716"/>
      <c r="W55" s="2728"/>
      <c r="X55" s="395"/>
      <c r="Y55" s="2746"/>
      <c r="Z55" s="2746"/>
      <c r="AA55" s="2747"/>
      <c r="AB55" s="2748"/>
      <c r="AC55" s="348"/>
      <c r="AD55" s="348"/>
      <c r="AE55" s="336"/>
      <c r="AF55" s="4650"/>
    </row>
    <row r="56" spans="1:32" ht="22.5" customHeight="1">
      <c r="A56" s="4360"/>
      <c r="B56" s="4623"/>
      <c r="C56" s="4331"/>
      <c r="D56" s="4215"/>
      <c r="E56" s="4215"/>
      <c r="F56" s="4215"/>
      <c r="G56" s="4215"/>
      <c r="H56" s="4215"/>
      <c r="I56" s="4215"/>
      <c r="J56" s="4215"/>
      <c r="K56" s="4215"/>
      <c r="L56" s="4215"/>
      <c r="M56" s="4629"/>
      <c r="N56" s="4629"/>
      <c r="O56" s="4629"/>
      <c r="P56" s="4215"/>
      <c r="Q56" s="4215"/>
      <c r="R56" s="4449"/>
      <c r="S56" s="2838"/>
      <c r="T56" s="1843"/>
      <c r="U56" s="1843"/>
      <c r="V56" s="2695"/>
      <c r="W56" s="1862"/>
      <c r="X56" s="395"/>
      <c r="Y56" s="1867"/>
      <c r="Z56" s="1867"/>
      <c r="AA56" s="2762"/>
      <c r="AB56" s="2748"/>
      <c r="AC56" s="395"/>
      <c r="AD56" s="336"/>
      <c r="AE56" s="336"/>
      <c r="AF56" s="4650"/>
    </row>
    <row r="57" spans="1:32" ht="22.5" customHeight="1">
      <c r="A57" s="4360"/>
      <c r="B57" s="4623"/>
      <c r="C57" s="4331"/>
      <c r="D57" s="4215"/>
      <c r="E57" s="4215"/>
      <c r="F57" s="4215"/>
      <c r="G57" s="4215"/>
      <c r="H57" s="4215"/>
      <c r="I57" s="4215"/>
      <c r="J57" s="4215"/>
      <c r="K57" s="4215"/>
      <c r="L57" s="4215"/>
      <c r="M57" s="4629"/>
      <c r="N57" s="4629"/>
      <c r="O57" s="4629"/>
      <c r="P57" s="4215"/>
      <c r="Q57" s="4215"/>
      <c r="R57" s="4449"/>
      <c r="S57" s="2797"/>
      <c r="T57" s="1842"/>
      <c r="U57" s="1842"/>
      <c r="V57" s="2716"/>
      <c r="W57" s="1862"/>
      <c r="X57" s="395"/>
      <c r="Y57" s="1867"/>
      <c r="Z57" s="1867"/>
      <c r="AA57" s="2762"/>
      <c r="AB57" s="2748"/>
      <c r="AC57" s="395"/>
      <c r="AD57" s="336"/>
      <c r="AE57" s="336"/>
      <c r="AF57" s="4650"/>
    </row>
    <row r="58" spans="1:32" ht="22.5" customHeight="1">
      <c r="A58" s="4360"/>
      <c r="B58" s="4623"/>
      <c r="C58" s="4332"/>
      <c r="D58" s="4216"/>
      <c r="E58" s="4216"/>
      <c r="F58" s="4216"/>
      <c r="G58" s="4216"/>
      <c r="H58" s="4216"/>
      <c r="I58" s="4216"/>
      <c r="J58" s="4216"/>
      <c r="K58" s="4216"/>
      <c r="L58" s="4216"/>
      <c r="M58" s="4630"/>
      <c r="N58" s="4630"/>
      <c r="O58" s="4630"/>
      <c r="P58" s="4216"/>
      <c r="Q58" s="4216"/>
      <c r="R58" s="4450"/>
      <c r="S58" s="2836"/>
      <c r="T58" s="1844"/>
      <c r="U58" s="1844"/>
      <c r="V58" s="2711"/>
      <c r="W58" s="2730"/>
      <c r="X58" s="443"/>
      <c r="Y58" s="2755"/>
      <c r="Z58" s="2755"/>
      <c r="AA58" s="2756"/>
      <c r="AB58" s="2757"/>
      <c r="AC58" s="443"/>
      <c r="AD58" s="252"/>
      <c r="AE58" s="252"/>
      <c r="AF58" s="4651"/>
    </row>
    <row r="59" spans="1:32" ht="22.5" customHeight="1">
      <c r="A59" s="4360"/>
      <c r="B59" s="4623"/>
      <c r="C59" s="4626" t="s">
        <v>272</v>
      </c>
      <c r="D59" s="4328" t="s">
        <v>679</v>
      </c>
      <c r="E59" s="4273" t="s">
        <v>680</v>
      </c>
      <c r="F59" s="4273" t="s">
        <v>700</v>
      </c>
      <c r="G59" s="4338" t="s">
        <v>682</v>
      </c>
      <c r="H59" s="4273" t="s">
        <v>262</v>
      </c>
      <c r="I59" s="4273" t="s">
        <v>241</v>
      </c>
      <c r="J59" s="4228" t="s">
        <v>4334</v>
      </c>
      <c r="K59" s="4273" t="s">
        <v>701</v>
      </c>
      <c r="L59" s="4228" t="s">
        <v>4306</v>
      </c>
      <c r="M59" s="4628">
        <v>2</v>
      </c>
      <c r="N59" s="4628">
        <v>1</v>
      </c>
      <c r="O59" s="4628">
        <v>1</v>
      </c>
      <c r="P59" s="4228" t="s">
        <v>4286</v>
      </c>
      <c r="Q59" s="4228" t="s">
        <v>4247</v>
      </c>
      <c r="R59" s="4458" t="s">
        <v>4346</v>
      </c>
      <c r="S59" s="2835"/>
      <c r="T59" s="1845"/>
      <c r="U59" s="1845"/>
      <c r="V59" s="2715"/>
      <c r="W59" s="2734"/>
      <c r="X59" s="442"/>
      <c r="Y59" s="2765"/>
      <c r="Z59" s="1867"/>
      <c r="AA59" s="2762"/>
      <c r="AB59" s="2770"/>
      <c r="AC59" s="442"/>
      <c r="AD59" s="249"/>
      <c r="AE59" s="249"/>
      <c r="AF59" s="4649"/>
    </row>
    <row r="60" spans="1:32" ht="22.5" customHeight="1">
      <c r="A60" s="4360"/>
      <c r="B60" s="4623"/>
      <c r="C60" s="4331"/>
      <c r="D60" s="4215"/>
      <c r="E60" s="4215"/>
      <c r="F60" s="4215"/>
      <c r="G60" s="4215"/>
      <c r="H60" s="4215"/>
      <c r="I60" s="4215"/>
      <c r="J60" s="4215"/>
      <c r="K60" s="4215"/>
      <c r="L60" s="4215"/>
      <c r="M60" s="4629"/>
      <c r="N60" s="4629"/>
      <c r="O60" s="4629"/>
      <c r="P60" s="4215"/>
      <c r="Q60" s="4215"/>
      <c r="R60" s="4449"/>
      <c r="S60" s="2797"/>
      <c r="T60" s="1842"/>
      <c r="U60" s="1842"/>
      <c r="V60" s="2716"/>
      <c r="W60" s="1862"/>
      <c r="X60" s="395"/>
      <c r="Y60" s="1867"/>
      <c r="Z60" s="1867"/>
      <c r="AA60" s="2762"/>
      <c r="AB60" s="2748"/>
      <c r="AC60" s="395"/>
      <c r="AD60" s="336"/>
      <c r="AE60" s="336"/>
      <c r="AF60" s="4650"/>
    </row>
    <row r="61" spans="1:32" ht="22.5" customHeight="1">
      <c r="A61" s="4360"/>
      <c r="B61" s="4623"/>
      <c r="C61" s="4331"/>
      <c r="D61" s="4215"/>
      <c r="E61" s="4215"/>
      <c r="F61" s="4215"/>
      <c r="G61" s="4215"/>
      <c r="H61" s="4215"/>
      <c r="I61" s="4215"/>
      <c r="J61" s="4215"/>
      <c r="K61" s="4215"/>
      <c r="L61" s="4215"/>
      <c r="M61" s="4629"/>
      <c r="N61" s="4629"/>
      <c r="O61" s="4629"/>
      <c r="P61" s="4215"/>
      <c r="Q61" s="4215"/>
      <c r="R61" s="4449"/>
      <c r="S61" s="2797"/>
      <c r="T61" s="1842"/>
      <c r="U61" s="1842"/>
      <c r="V61" s="2716"/>
      <c r="W61" s="1862"/>
      <c r="X61" s="395"/>
      <c r="Y61" s="1867"/>
      <c r="Z61" s="1867"/>
      <c r="AA61" s="2762"/>
      <c r="AB61" s="2748"/>
      <c r="AC61" s="395"/>
      <c r="AD61" s="336"/>
      <c r="AE61" s="336"/>
      <c r="AF61" s="4650"/>
    </row>
    <row r="62" spans="1:32" ht="22.5" customHeight="1">
      <c r="A62" s="4360"/>
      <c r="B62" s="4623"/>
      <c r="C62" s="4331"/>
      <c r="D62" s="4215"/>
      <c r="E62" s="4215"/>
      <c r="F62" s="4215"/>
      <c r="G62" s="4215"/>
      <c r="H62" s="4215"/>
      <c r="I62" s="4215"/>
      <c r="J62" s="4215"/>
      <c r="K62" s="4215"/>
      <c r="L62" s="4215"/>
      <c r="M62" s="4629"/>
      <c r="N62" s="4629"/>
      <c r="O62" s="4629"/>
      <c r="P62" s="4215"/>
      <c r="Q62" s="4215"/>
      <c r="R62" s="4449"/>
      <c r="S62" s="2797"/>
      <c r="T62" s="1842"/>
      <c r="U62" s="1842"/>
      <c r="V62" s="2716"/>
      <c r="W62" s="1862"/>
      <c r="X62" s="395"/>
      <c r="Y62" s="1867"/>
      <c r="Z62" s="1867"/>
      <c r="AA62" s="2762"/>
      <c r="AB62" s="2748"/>
      <c r="AC62" s="395"/>
      <c r="AD62" s="336"/>
      <c r="AE62" s="336"/>
      <c r="AF62" s="4650"/>
    </row>
    <row r="63" spans="1:32" ht="22.5" customHeight="1">
      <c r="A63" s="4360"/>
      <c r="B63" s="4623"/>
      <c r="C63" s="4332"/>
      <c r="D63" s="4216"/>
      <c r="E63" s="4216"/>
      <c r="F63" s="4216"/>
      <c r="G63" s="4216"/>
      <c r="H63" s="4216"/>
      <c r="I63" s="4216"/>
      <c r="J63" s="4216"/>
      <c r="K63" s="4216"/>
      <c r="L63" s="4216"/>
      <c r="M63" s="4630"/>
      <c r="N63" s="4630"/>
      <c r="O63" s="4630"/>
      <c r="P63" s="4216"/>
      <c r="Q63" s="4216"/>
      <c r="R63" s="4450"/>
      <c r="S63" s="2836"/>
      <c r="T63" s="1844"/>
      <c r="U63" s="1844"/>
      <c r="V63" s="2711"/>
      <c r="W63" s="2730"/>
      <c r="X63" s="443"/>
      <c r="Y63" s="2755"/>
      <c r="Z63" s="2755"/>
      <c r="AA63" s="2756"/>
      <c r="AB63" s="2757"/>
      <c r="AC63" s="443"/>
      <c r="AD63" s="252"/>
      <c r="AE63" s="252"/>
      <c r="AF63" s="4651"/>
    </row>
    <row r="64" spans="1:32" ht="36.75" customHeight="1">
      <c r="A64" s="4360"/>
      <c r="B64" s="4623"/>
      <c r="C64" s="4626" t="s">
        <v>235</v>
      </c>
      <c r="D64" s="4328" t="s">
        <v>236</v>
      </c>
      <c r="E64" s="4273" t="s">
        <v>244</v>
      </c>
      <c r="F64" s="4273" t="s">
        <v>245</v>
      </c>
      <c r="G64" s="4338" t="s">
        <v>239</v>
      </c>
      <c r="H64" s="4273" t="s">
        <v>240</v>
      </c>
      <c r="I64" s="4273" t="s">
        <v>241</v>
      </c>
      <c r="J64" s="4228" t="s">
        <v>4333</v>
      </c>
      <c r="K64" s="4273" t="s">
        <v>702</v>
      </c>
      <c r="L64" s="4228" t="s">
        <v>4307</v>
      </c>
      <c r="M64" s="4628">
        <v>5</v>
      </c>
      <c r="N64" s="4628">
        <v>5</v>
      </c>
      <c r="O64" s="4628">
        <v>0</v>
      </c>
      <c r="P64" s="4228" t="s">
        <v>4285</v>
      </c>
      <c r="Q64" s="4228" t="s">
        <v>4248</v>
      </c>
      <c r="R64" s="4458" t="s">
        <v>4349</v>
      </c>
      <c r="S64" s="2835" t="s">
        <v>17</v>
      </c>
      <c r="T64" s="1845">
        <v>530612</v>
      </c>
      <c r="U64" s="1845"/>
      <c r="V64" s="2715" t="s">
        <v>66</v>
      </c>
      <c r="W64" s="2733"/>
      <c r="X64" s="352"/>
      <c r="Y64" s="2750"/>
      <c r="Z64" s="2750"/>
      <c r="AA64" s="2751"/>
      <c r="AB64" s="2752">
        <f>SUM($AA$65:$AA$67)</f>
        <v>12320.000000000002</v>
      </c>
      <c r="AC64" s="350"/>
      <c r="AD64" s="249"/>
      <c r="AE64" s="249"/>
      <c r="AF64" s="4649"/>
    </row>
    <row r="65" spans="1:32" ht="36.75" customHeight="1">
      <c r="A65" s="4360"/>
      <c r="B65" s="4623"/>
      <c r="C65" s="4331"/>
      <c r="D65" s="4215"/>
      <c r="E65" s="4215"/>
      <c r="F65" s="4215"/>
      <c r="G65" s="4215"/>
      <c r="H65" s="4215"/>
      <c r="I65" s="4215"/>
      <c r="J65" s="4215"/>
      <c r="K65" s="4215"/>
      <c r="L65" s="4215"/>
      <c r="M65" s="4629"/>
      <c r="N65" s="4629"/>
      <c r="O65" s="4629"/>
      <c r="P65" s="4215"/>
      <c r="Q65" s="4215"/>
      <c r="R65" s="4449"/>
      <c r="S65" s="2797"/>
      <c r="T65" s="1842"/>
      <c r="U65" s="2698"/>
      <c r="V65" s="2710" t="s">
        <v>703</v>
      </c>
      <c r="W65" s="2736">
        <v>1</v>
      </c>
      <c r="X65" s="395" t="s">
        <v>269</v>
      </c>
      <c r="Y65" s="2746">
        <v>11000</v>
      </c>
      <c r="Z65" s="2753">
        <f t="shared" ref="Z65" si="10">+W65*Y65</f>
        <v>11000</v>
      </c>
      <c r="AA65" s="2753">
        <f t="shared" ref="AA65" si="11">+Z65*1.12</f>
        <v>12320.000000000002</v>
      </c>
      <c r="AB65" s="2758"/>
      <c r="AC65" s="348" t="s">
        <v>251</v>
      </c>
      <c r="AD65" s="348" t="s">
        <v>251</v>
      </c>
      <c r="AE65" s="336"/>
      <c r="AF65" s="4650"/>
    </row>
    <row r="66" spans="1:32" ht="36.75" customHeight="1">
      <c r="A66" s="4360"/>
      <c r="B66" s="4623"/>
      <c r="C66" s="4331"/>
      <c r="D66" s="4215"/>
      <c r="E66" s="4215"/>
      <c r="F66" s="4215"/>
      <c r="G66" s="4215"/>
      <c r="H66" s="4215"/>
      <c r="I66" s="4215"/>
      <c r="J66" s="4215"/>
      <c r="K66" s="4215"/>
      <c r="L66" s="4215"/>
      <c r="M66" s="4629"/>
      <c r="N66" s="4629"/>
      <c r="O66" s="4629"/>
      <c r="P66" s="4215"/>
      <c r="Q66" s="4215"/>
      <c r="R66" s="4449"/>
      <c r="S66" s="2797"/>
      <c r="T66" s="1842"/>
      <c r="U66" s="1842"/>
      <c r="V66" s="2716"/>
      <c r="W66" s="1862"/>
      <c r="X66" s="395"/>
      <c r="Y66" s="1867"/>
      <c r="Z66" s="2753"/>
      <c r="AA66" s="2753"/>
      <c r="AB66" s="2748"/>
      <c r="AC66" s="395"/>
      <c r="AD66" s="336"/>
      <c r="AE66" s="336"/>
      <c r="AF66" s="4650"/>
    </row>
    <row r="67" spans="1:32" ht="36.75" customHeight="1">
      <c r="A67" s="4360"/>
      <c r="B67" s="4623"/>
      <c r="C67" s="4331"/>
      <c r="D67" s="4215"/>
      <c r="E67" s="4215"/>
      <c r="F67" s="4215"/>
      <c r="G67" s="4215"/>
      <c r="H67" s="4215"/>
      <c r="I67" s="4215"/>
      <c r="J67" s="4215"/>
      <c r="K67" s="4215"/>
      <c r="L67" s="4215"/>
      <c r="M67" s="4629"/>
      <c r="N67" s="4629"/>
      <c r="O67" s="4629"/>
      <c r="P67" s="4215"/>
      <c r="Q67" s="4215"/>
      <c r="R67" s="4449"/>
      <c r="S67" s="2797"/>
      <c r="T67" s="1842"/>
      <c r="U67" s="1842"/>
      <c r="V67" s="2716"/>
      <c r="W67" s="1862"/>
      <c r="X67" s="395"/>
      <c r="Y67" s="1867"/>
      <c r="Z67" s="2753"/>
      <c r="AA67" s="2753"/>
      <c r="AB67" s="2748"/>
      <c r="AC67" s="395"/>
      <c r="AD67" s="336"/>
      <c r="AE67" s="336"/>
      <c r="AF67" s="4650"/>
    </row>
    <row r="68" spans="1:32" ht="36.75" customHeight="1">
      <c r="A68" s="4360"/>
      <c r="B68" s="4623"/>
      <c r="C68" s="4332"/>
      <c r="D68" s="4216"/>
      <c r="E68" s="4216"/>
      <c r="F68" s="4216"/>
      <c r="G68" s="4216"/>
      <c r="H68" s="4216"/>
      <c r="I68" s="4216"/>
      <c r="J68" s="4216"/>
      <c r="K68" s="4216"/>
      <c r="L68" s="4216"/>
      <c r="M68" s="4630"/>
      <c r="N68" s="4630"/>
      <c r="O68" s="4630"/>
      <c r="P68" s="4216"/>
      <c r="Q68" s="4216"/>
      <c r="R68" s="4450"/>
      <c r="S68" s="2836"/>
      <c r="T68" s="1844"/>
      <c r="U68" s="1844"/>
      <c r="V68" s="2711"/>
      <c r="W68" s="2730"/>
      <c r="X68" s="443"/>
      <c r="Y68" s="2755"/>
      <c r="Z68" s="2755"/>
      <c r="AA68" s="2756"/>
      <c r="AB68" s="2757"/>
      <c r="AC68" s="443"/>
      <c r="AD68" s="252"/>
      <c r="AE68" s="252"/>
      <c r="AF68" s="4651"/>
    </row>
    <row r="69" spans="1:32" ht="30" customHeight="1">
      <c r="A69" s="4360"/>
      <c r="B69" s="4623"/>
      <c r="C69" s="4626" t="s">
        <v>235</v>
      </c>
      <c r="D69" s="4328" t="s">
        <v>236</v>
      </c>
      <c r="E69" s="4273" t="s">
        <v>244</v>
      </c>
      <c r="F69" s="4273" t="s">
        <v>337</v>
      </c>
      <c r="G69" s="4338" t="s">
        <v>239</v>
      </c>
      <c r="H69" s="4273" t="s">
        <v>240</v>
      </c>
      <c r="I69" s="4273" t="s">
        <v>278</v>
      </c>
      <c r="J69" s="4228" t="s">
        <v>4332</v>
      </c>
      <c r="K69" s="4273" t="s">
        <v>704</v>
      </c>
      <c r="L69" s="4228" t="s">
        <v>4307</v>
      </c>
      <c r="M69" s="4628">
        <v>0</v>
      </c>
      <c r="N69" s="4628">
        <v>2</v>
      </c>
      <c r="O69" s="4628">
        <v>1</v>
      </c>
      <c r="P69" s="4228" t="s">
        <v>4284</v>
      </c>
      <c r="Q69" s="4228" t="s">
        <v>4249</v>
      </c>
      <c r="R69" s="4458" t="s">
        <v>4232</v>
      </c>
      <c r="S69" s="2835"/>
      <c r="T69" s="1845"/>
      <c r="U69" s="1845"/>
      <c r="V69" s="2715"/>
      <c r="W69" s="2734"/>
      <c r="X69" s="442"/>
      <c r="Y69" s="2765"/>
      <c r="Z69" s="1867"/>
      <c r="AA69" s="2762"/>
      <c r="AB69" s="2770"/>
      <c r="AC69" s="442"/>
      <c r="AD69" s="249"/>
      <c r="AE69" s="249"/>
      <c r="AF69" s="4649"/>
    </row>
    <row r="70" spans="1:32" ht="30" customHeight="1">
      <c r="A70" s="4360"/>
      <c r="B70" s="4623"/>
      <c r="C70" s="4331"/>
      <c r="D70" s="4215"/>
      <c r="E70" s="4215"/>
      <c r="F70" s="4215"/>
      <c r="G70" s="4215"/>
      <c r="H70" s="4215"/>
      <c r="I70" s="4215"/>
      <c r="J70" s="4215"/>
      <c r="K70" s="4215"/>
      <c r="L70" s="4215"/>
      <c r="M70" s="4629"/>
      <c r="N70" s="4629"/>
      <c r="O70" s="4629"/>
      <c r="P70" s="4215"/>
      <c r="Q70" s="4215"/>
      <c r="R70" s="4449"/>
      <c r="S70" s="2797"/>
      <c r="T70" s="1842"/>
      <c r="U70" s="1842"/>
      <c r="V70" s="2716"/>
      <c r="W70" s="1862"/>
      <c r="X70" s="395"/>
      <c r="Y70" s="1867"/>
      <c r="Z70" s="1867"/>
      <c r="AA70" s="2762"/>
      <c r="AB70" s="2748"/>
      <c r="AC70" s="395"/>
      <c r="AD70" s="336"/>
      <c r="AE70" s="336"/>
      <c r="AF70" s="4650"/>
    </row>
    <row r="71" spans="1:32" ht="30" customHeight="1">
      <c r="A71" s="4360"/>
      <c r="B71" s="4623"/>
      <c r="C71" s="4331"/>
      <c r="D71" s="4215"/>
      <c r="E71" s="4215"/>
      <c r="F71" s="4215"/>
      <c r="G71" s="4215"/>
      <c r="H71" s="4215"/>
      <c r="I71" s="4215"/>
      <c r="J71" s="4215"/>
      <c r="K71" s="4215"/>
      <c r="L71" s="4215"/>
      <c r="M71" s="4629"/>
      <c r="N71" s="4629"/>
      <c r="O71" s="4629"/>
      <c r="P71" s="4215"/>
      <c r="Q71" s="4215"/>
      <c r="R71" s="4449"/>
      <c r="S71" s="2797"/>
      <c r="T71" s="1842"/>
      <c r="U71" s="1842"/>
      <c r="V71" s="2716"/>
      <c r="W71" s="1862"/>
      <c r="X71" s="395"/>
      <c r="Y71" s="1867"/>
      <c r="Z71" s="1867"/>
      <c r="AA71" s="2762"/>
      <c r="AB71" s="2748"/>
      <c r="AC71" s="395"/>
      <c r="AD71" s="336"/>
      <c r="AE71" s="336"/>
      <c r="AF71" s="4650"/>
    </row>
    <row r="72" spans="1:32" ht="30" customHeight="1">
      <c r="A72" s="4360"/>
      <c r="B72" s="4623"/>
      <c r="C72" s="4331"/>
      <c r="D72" s="4215"/>
      <c r="E72" s="4215"/>
      <c r="F72" s="4215"/>
      <c r="G72" s="4215"/>
      <c r="H72" s="4215"/>
      <c r="I72" s="4215"/>
      <c r="J72" s="4215"/>
      <c r="K72" s="4215"/>
      <c r="L72" s="4215"/>
      <c r="M72" s="4629"/>
      <c r="N72" s="4629"/>
      <c r="O72" s="4629"/>
      <c r="P72" s="4215"/>
      <c r="Q72" s="4215"/>
      <c r="R72" s="4449"/>
      <c r="S72" s="2797"/>
      <c r="T72" s="1842"/>
      <c r="U72" s="1842"/>
      <c r="V72" s="2716"/>
      <c r="W72" s="1862"/>
      <c r="X72" s="395"/>
      <c r="Y72" s="1867"/>
      <c r="Z72" s="1867"/>
      <c r="AA72" s="2762"/>
      <c r="AB72" s="2748"/>
      <c r="AC72" s="395"/>
      <c r="AD72" s="336"/>
      <c r="AE72" s="336"/>
      <c r="AF72" s="4650"/>
    </row>
    <row r="73" spans="1:32" ht="30" customHeight="1">
      <c r="A73" s="4360"/>
      <c r="B73" s="4623"/>
      <c r="C73" s="4332"/>
      <c r="D73" s="4216"/>
      <c r="E73" s="4216"/>
      <c r="F73" s="4216"/>
      <c r="G73" s="4216"/>
      <c r="H73" s="4216"/>
      <c r="I73" s="4216"/>
      <c r="J73" s="4216"/>
      <c r="K73" s="4216"/>
      <c r="L73" s="4216"/>
      <c r="M73" s="4630"/>
      <c r="N73" s="4630"/>
      <c r="O73" s="4630"/>
      <c r="P73" s="4216"/>
      <c r="Q73" s="4216"/>
      <c r="R73" s="4450"/>
      <c r="S73" s="2836"/>
      <c r="T73" s="1844"/>
      <c r="U73" s="1844"/>
      <c r="V73" s="2711"/>
      <c r="W73" s="2730"/>
      <c r="X73" s="443"/>
      <c r="Y73" s="2755"/>
      <c r="Z73" s="2755"/>
      <c r="AA73" s="2756"/>
      <c r="AB73" s="2757"/>
      <c r="AC73" s="443"/>
      <c r="AD73" s="252"/>
      <c r="AE73" s="252"/>
      <c r="AF73" s="4651"/>
    </row>
    <row r="74" spans="1:32" ht="30" customHeight="1">
      <c r="A74" s="4360"/>
      <c r="B74" s="4623"/>
      <c r="C74" s="4626" t="s">
        <v>235</v>
      </c>
      <c r="D74" s="4328" t="s">
        <v>236</v>
      </c>
      <c r="E74" s="4273" t="s">
        <v>244</v>
      </c>
      <c r="F74" s="4273" t="s">
        <v>337</v>
      </c>
      <c r="G74" s="4338" t="s">
        <v>239</v>
      </c>
      <c r="H74" s="4273" t="s">
        <v>240</v>
      </c>
      <c r="I74" s="4273" t="s">
        <v>241</v>
      </c>
      <c r="J74" s="4228" t="s">
        <v>4331</v>
      </c>
      <c r="K74" s="4273" t="s">
        <v>705</v>
      </c>
      <c r="L74" s="4228" t="s">
        <v>4308</v>
      </c>
      <c r="M74" s="4628">
        <v>0</v>
      </c>
      <c r="N74" s="4628">
        <v>10</v>
      </c>
      <c r="O74" s="4628">
        <v>0</v>
      </c>
      <c r="P74" s="4228" t="s">
        <v>4283</v>
      </c>
      <c r="Q74" s="4228" t="s">
        <v>4250</v>
      </c>
      <c r="R74" s="4458" t="s">
        <v>4346</v>
      </c>
      <c r="S74" s="2841"/>
      <c r="T74" s="1852"/>
      <c r="U74" s="1852"/>
      <c r="V74" s="2712"/>
      <c r="W74" s="2731"/>
      <c r="X74" s="350"/>
      <c r="Y74" s="2750"/>
      <c r="Z74" s="1867"/>
      <c r="AA74" s="2762"/>
      <c r="AB74" s="2752"/>
      <c r="AC74" s="350"/>
      <c r="AD74" s="249"/>
      <c r="AE74" s="249"/>
      <c r="AF74" s="4649"/>
    </row>
    <row r="75" spans="1:32" ht="30" customHeight="1">
      <c r="A75" s="4360"/>
      <c r="B75" s="4623"/>
      <c r="C75" s="4331"/>
      <c r="D75" s="4215"/>
      <c r="E75" s="4215"/>
      <c r="F75" s="4215"/>
      <c r="G75" s="4215"/>
      <c r="H75" s="4215"/>
      <c r="I75" s="4215"/>
      <c r="J75" s="4215"/>
      <c r="K75" s="4215"/>
      <c r="L75" s="4215"/>
      <c r="M75" s="4629"/>
      <c r="N75" s="4629"/>
      <c r="O75" s="4629"/>
      <c r="P75" s="4215"/>
      <c r="Q75" s="4215"/>
      <c r="R75" s="4449"/>
      <c r="S75" s="2797"/>
      <c r="T75" s="1842"/>
      <c r="U75" s="1842"/>
      <c r="V75" s="2710"/>
      <c r="W75" s="2728"/>
      <c r="X75" s="395"/>
      <c r="Y75" s="2746"/>
      <c r="Z75" s="1867"/>
      <c r="AA75" s="2762"/>
      <c r="AB75" s="2758"/>
      <c r="AC75" s="348"/>
      <c r="AD75" s="336"/>
      <c r="AE75" s="336"/>
      <c r="AF75" s="4650"/>
    </row>
    <row r="76" spans="1:32" ht="30" customHeight="1">
      <c r="A76" s="4360"/>
      <c r="B76" s="4623"/>
      <c r="C76" s="4331"/>
      <c r="D76" s="4215"/>
      <c r="E76" s="4215"/>
      <c r="F76" s="4215"/>
      <c r="G76" s="4215"/>
      <c r="H76" s="4215"/>
      <c r="I76" s="4215"/>
      <c r="J76" s="4215"/>
      <c r="K76" s="4215"/>
      <c r="L76" s="4215"/>
      <c r="M76" s="4629"/>
      <c r="N76" s="4629"/>
      <c r="O76" s="4629"/>
      <c r="P76" s="4215"/>
      <c r="Q76" s="4215"/>
      <c r="R76" s="4449"/>
      <c r="S76" s="2797"/>
      <c r="T76" s="1842"/>
      <c r="U76" s="1842"/>
      <c r="V76" s="2710"/>
      <c r="W76" s="2728"/>
      <c r="X76" s="395"/>
      <c r="Y76" s="2746"/>
      <c r="Z76" s="1867"/>
      <c r="AA76" s="2762"/>
      <c r="AB76" s="2758"/>
      <c r="AC76" s="348"/>
      <c r="AD76" s="336"/>
      <c r="AE76" s="336"/>
      <c r="AF76" s="4650"/>
    </row>
    <row r="77" spans="1:32" ht="30" customHeight="1">
      <c r="A77" s="4360"/>
      <c r="B77" s="4623"/>
      <c r="C77" s="4331"/>
      <c r="D77" s="4215"/>
      <c r="E77" s="4215"/>
      <c r="F77" s="4215"/>
      <c r="G77" s="4215"/>
      <c r="H77" s="4215"/>
      <c r="I77" s="4215"/>
      <c r="J77" s="4215"/>
      <c r="K77" s="4215"/>
      <c r="L77" s="4215"/>
      <c r="M77" s="4629"/>
      <c r="N77" s="4629"/>
      <c r="O77" s="4629"/>
      <c r="P77" s="4215"/>
      <c r="Q77" s="4215"/>
      <c r="R77" s="4449"/>
      <c r="S77" s="2797"/>
      <c r="T77" s="1842"/>
      <c r="U77" s="1842"/>
      <c r="V77" s="2716"/>
      <c r="W77" s="1862"/>
      <c r="X77" s="395"/>
      <c r="Y77" s="1867"/>
      <c r="Z77" s="1867"/>
      <c r="AA77" s="2762"/>
      <c r="AB77" s="2748"/>
      <c r="AC77" s="395"/>
      <c r="AD77" s="336"/>
      <c r="AE77" s="336"/>
      <c r="AF77" s="4650"/>
    </row>
    <row r="78" spans="1:32" ht="30" customHeight="1">
      <c r="A78" s="4360"/>
      <c r="B78" s="4623"/>
      <c r="C78" s="4332"/>
      <c r="D78" s="4216"/>
      <c r="E78" s="4216"/>
      <c r="F78" s="4216"/>
      <c r="G78" s="4216"/>
      <c r="H78" s="4216"/>
      <c r="I78" s="4216"/>
      <c r="J78" s="4216"/>
      <c r="K78" s="4216"/>
      <c r="L78" s="4216"/>
      <c r="M78" s="4630"/>
      <c r="N78" s="4630"/>
      <c r="O78" s="4630"/>
      <c r="P78" s="4216"/>
      <c r="Q78" s="4216"/>
      <c r="R78" s="4450"/>
      <c r="S78" s="2836"/>
      <c r="T78" s="1844"/>
      <c r="U78" s="1844"/>
      <c r="V78" s="2711"/>
      <c r="W78" s="2730"/>
      <c r="X78" s="443"/>
      <c r="Y78" s="2755"/>
      <c r="Z78" s="2755"/>
      <c r="AA78" s="2756"/>
      <c r="AB78" s="2757"/>
      <c r="AC78" s="443"/>
      <c r="AD78" s="252"/>
      <c r="AE78" s="252"/>
      <c r="AF78" s="4651"/>
    </row>
    <row r="79" spans="1:32" ht="29.25" customHeight="1">
      <c r="A79" s="4360"/>
      <c r="B79" s="4623"/>
      <c r="C79" s="4626" t="s">
        <v>235</v>
      </c>
      <c r="D79" s="4328" t="s">
        <v>236</v>
      </c>
      <c r="E79" s="4273" t="s">
        <v>237</v>
      </c>
      <c r="F79" s="4273" t="s">
        <v>326</v>
      </c>
      <c r="G79" s="4338" t="s">
        <v>239</v>
      </c>
      <c r="H79" s="4273" t="s">
        <v>240</v>
      </c>
      <c r="I79" s="4273" t="s">
        <v>257</v>
      </c>
      <c r="J79" s="4228" t="s">
        <v>4330</v>
      </c>
      <c r="K79" s="4273" t="s">
        <v>706</v>
      </c>
      <c r="L79" s="4228" t="s">
        <v>778</v>
      </c>
      <c r="M79" s="4628">
        <v>0</v>
      </c>
      <c r="N79" s="4628">
        <v>1</v>
      </c>
      <c r="O79" s="4628">
        <v>1</v>
      </c>
      <c r="P79" s="4228" t="s">
        <v>4282</v>
      </c>
      <c r="Q79" s="4228" t="s">
        <v>4251</v>
      </c>
      <c r="R79" s="4458" t="s">
        <v>4346</v>
      </c>
      <c r="S79" s="2835"/>
      <c r="T79" s="1845"/>
      <c r="U79" s="1845"/>
      <c r="V79" s="2715"/>
      <c r="W79" s="2734"/>
      <c r="X79" s="442"/>
      <c r="Y79" s="2765"/>
      <c r="Z79" s="2765"/>
      <c r="AA79" s="2766"/>
      <c r="AB79" s="2770"/>
      <c r="AC79" s="442"/>
      <c r="AD79" s="249"/>
      <c r="AE79" s="249"/>
      <c r="AF79" s="4649"/>
    </row>
    <row r="80" spans="1:32" ht="29.25" customHeight="1">
      <c r="A80" s="4360"/>
      <c r="B80" s="4623"/>
      <c r="C80" s="4331"/>
      <c r="D80" s="4215"/>
      <c r="E80" s="4215"/>
      <c r="F80" s="4215"/>
      <c r="G80" s="4215"/>
      <c r="H80" s="4215"/>
      <c r="I80" s="4215"/>
      <c r="J80" s="4215"/>
      <c r="K80" s="4215"/>
      <c r="L80" s="4215"/>
      <c r="M80" s="4629"/>
      <c r="N80" s="4629"/>
      <c r="O80" s="4629"/>
      <c r="P80" s="4215"/>
      <c r="Q80" s="4215"/>
      <c r="R80" s="4449"/>
      <c r="S80" s="2797"/>
      <c r="T80" s="1842"/>
      <c r="U80" s="1842"/>
      <c r="V80" s="2716"/>
      <c r="W80" s="1862"/>
      <c r="X80" s="395"/>
      <c r="Y80" s="1867"/>
      <c r="Z80" s="1867"/>
      <c r="AA80" s="2762"/>
      <c r="AB80" s="2748"/>
      <c r="AC80" s="395"/>
      <c r="AD80" s="336"/>
      <c r="AE80" s="336"/>
      <c r="AF80" s="4650"/>
    </row>
    <row r="81" spans="1:32" ht="29.25" customHeight="1">
      <c r="A81" s="4360"/>
      <c r="B81" s="4623"/>
      <c r="C81" s="4331"/>
      <c r="D81" s="4215"/>
      <c r="E81" s="4215"/>
      <c r="F81" s="4215"/>
      <c r="G81" s="4215"/>
      <c r="H81" s="4215"/>
      <c r="I81" s="4215"/>
      <c r="J81" s="4215"/>
      <c r="K81" s="4215"/>
      <c r="L81" s="4215"/>
      <c r="M81" s="4629"/>
      <c r="N81" s="4629"/>
      <c r="O81" s="4629"/>
      <c r="P81" s="4215"/>
      <c r="Q81" s="4215"/>
      <c r="R81" s="4449"/>
      <c r="S81" s="2797"/>
      <c r="T81" s="1842"/>
      <c r="U81" s="1842"/>
      <c r="V81" s="2716"/>
      <c r="W81" s="1862"/>
      <c r="X81" s="395"/>
      <c r="Y81" s="1867"/>
      <c r="Z81" s="1867"/>
      <c r="AA81" s="2762"/>
      <c r="AB81" s="2748"/>
      <c r="AC81" s="395"/>
      <c r="AD81" s="336"/>
      <c r="AE81" s="336"/>
      <c r="AF81" s="4650"/>
    </row>
    <row r="82" spans="1:32" ht="29.25" customHeight="1">
      <c r="A82" s="4360"/>
      <c r="B82" s="4623"/>
      <c r="C82" s="4331"/>
      <c r="D82" s="4215"/>
      <c r="E82" s="4215"/>
      <c r="F82" s="4215"/>
      <c r="G82" s="4215"/>
      <c r="H82" s="4215"/>
      <c r="I82" s="4215"/>
      <c r="J82" s="4215"/>
      <c r="K82" s="4215"/>
      <c r="L82" s="4215"/>
      <c r="M82" s="4629"/>
      <c r="N82" s="4629"/>
      <c r="O82" s="4629"/>
      <c r="P82" s="4215"/>
      <c r="Q82" s="4215"/>
      <c r="R82" s="4449"/>
      <c r="S82" s="2797"/>
      <c r="T82" s="1842"/>
      <c r="U82" s="1842"/>
      <c r="V82" s="2716"/>
      <c r="W82" s="1862"/>
      <c r="X82" s="395"/>
      <c r="Y82" s="1867"/>
      <c r="Z82" s="1867"/>
      <c r="AA82" s="2762"/>
      <c r="AB82" s="2748"/>
      <c r="AC82" s="395"/>
      <c r="AD82" s="336"/>
      <c r="AE82" s="336"/>
      <c r="AF82" s="4650"/>
    </row>
    <row r="83" spans="1:32" ht="29.25" customHeight="1">
      <c r="A83" s="4360"/>
      <c r="B83" s="4623"/>
      <c r="C83" s="4332"/>
      <c r="D83" s="4216"/>
      <c r="E83" s="4216"/>
      <c r="F83" s="4216"/>
      <c r="G83" s="4216"/>
      <c r="H83" s="4216"/>
      <c r="I83" s="4216"/>
      <c r="J83" s="4216"/>
      <c r="K83" s="4216"/>
      <c r="L83" s="4216"/>
      <c r="M83" s="4630"/>
      <c r="N83" s="4630"/>
      <c r="O83" s="4630"/>
      <c r="P83" s="4216"/>
      <c r="Q83" s="4216"/>
      <c r="R83" s="4450"/>
      <c r="S83" s="2836"/>
      <c r="T83" s="1844"/>
      <c r="U83" s="1844"/>
      <c r="V83" s="2711"/>
      <c r="W83" s="2730"/>
      <c r="X83" s="443"/>
      <c r="Y83" s="2755"/>
      <c r="Z83" s="2755"/>
      <c r="AA83" s="2756"/>
      <c r="AB83" s="2757"/>
      <c r="AC83" s="443"/>
      <c r="AD83" s="252"/>
      <c r="AE83" s="252"/>
      <c r="AF83" s="4651"/>
    </row>
    <row r="84" spans="1:32" ht="30" customHeight="1">
      <c r="A84" s="4360"/>
      <c r="B84" s="4623"/>
      <c r="C84" s="4626" t="s">
        <v>235</v>
      </c>
      <c r="D84" s="4328" t="s">
        <v>236</v>
      </c>
      <c r="E84" s="4273" t="s">
        <v>237</v>
      </c>
      <c r="F84" s="4273" t="s">
        <v>326</v>
      </c>
      <c r="G84" s="4338" t="s">
        <v>239</v>
      </c>
      <c r="H84" s="4273" t="s">
        <v>240</v>
      </c>
      <c r="I84" s="4273" t="s">
        <v>257</v>
      </c>
      <c r="J84" s="4228" t="s">
        <v>4329</v>
      </c>
      <c r="K84" s="4273" t="s">
        <v>707</v>
      </c>
      <c r="L84" s="4228" t="s">
        <v>779</v>
      </c>
      <c r="M84" s="4628">
        <v>0</v>
      </c>
      <c r="N84" s="4628">
        <v>0</v>
      </c>
      <c r="O84" s="4628">
        <v>2</v>
      </c>
      <c r="P84" s="4228" t="s">
        <v>4281</v>
      </c>
      <c r="Q84" s="4228" t="s">
        <v>4252</v>
      </c>
      <c r="R84" s="4458" t="s">
        <v>4346</v>
      </c>
      <c r="S84" s="2835"/>
      <c r="T84" s="1845"/>
      <c r="U84" s="1845"/>
      <c r="V84" s="2715"/>
      <c r="W84" s="2734"/>
      <c r="X84" s="442"/>
      <c r="Y84" s="2765"/>
      <c r="Z84" s="1867"/>
      <c r="AA84" s="2762"/>
      <c r="AB84" s="2770"/>
      <c r="AC84" s="442"/>
      <c r="AD84" s="249"/>
      <c r="AE84" s="249"/>
      <c r="AF84" s="4649"/>
    </row>
    <row r="85" spans="1:32" ht="30" customHeight="1">
      <c r="A85" s="4360"/>
      <c r="B85" s="4623"/>
      <c r="C85" s="4331"/>
      <c r="D85" s="4215"/>
      <c r="E85" s="4215"/>
      <c r="F85" s="4215"/>
      <c r="G85" s="4215"/>
      <c r="H85" s="4215"/>
      <c r="I85" s="4215"/>
      <c r="J85" s="4215"/>
      <c r="K85" s="4215"/>
      <c r="L85" s="4215"/>
      <c r="M85" s="4629"/>
      <c r="N85" s="4629"/>
      <c r="O85" s="4629"/>
      <c r="P85" s="4215"/>
      <c r="Q85" s="4215"/>
      <c r="R85" s="4449"/>
      <c r="S85" s="2797"/>
      <c r="T85" s="1842"/>
      <c r="U85" s="1842"/>
      <c r="V85" s="2716"/>
      <c r="W85" s="1862"/>
      <c r="X85" s="395"/>
      <c r="Y85" s="1867"/>
      <c r="Z85" s="1867"/>
      <c r="AA85" s="2762"/>
      <c r="AB85" s="2748"/>
      <c r="AC85" s="395"/>
      <c r="AD85" s="336"/>
      <c r="AE85" s="336"/>
      <c r="AF85" s="4650"/>
    </row>
    <row r="86" spans="1:32" ht="30" customHeight="1">
      <c r="A86" s="4360"/>
      <c r="B86" s="4623"/>
      <c r="C86" s="4331"/>
      <c r="D86" s="4215"/>
      <c r="E86" s="4215"/>
      <c r="F86" s="4215"/>
      <c r="G86" s="4215"/>
      <c r="H86" s="4215"/>
      <c r="I86" s="4215"/>
      <c r="J86" s="4215"/>
      <c r="K86" s="4215"/>
      <c r="L86" s="4215"/>
      <c r="M86" s="4629"/>
      <c r="N86" s="4629"/>
      <c r="O86" s="4629"/>
      <c r="P86" s="4215"/>
      <c r="Q86" s="4215"/>
      <c r="R86" s="4449"/>
      <c r="S86" s="2797"/>
      <c r="T86" s="1842"/>
      <c r="U86" s="1842"/>
      <c r="V86" s="2716"/>
      <c r="W86" s="1862"/>
      <c r="X86" s="395"/>
      <c r="Y86" s="1867"/>
      <c r="Z86" s="1867"/>
      <c r="AA86" s="2762"/>
      <c r="AB86" s="2748"/>
      <c r="AC86" s="395"/>
      <c r="AD86" s="336"/>
      <c r="AE86" s="336"/>
      <c r="AF86" s="4650"/>
    </row>
    <row r="87" spans="1:32" ht="30" customHeight="1">
      <c r="A87" s="4360"/>
      <c r="B87" s="4623"/>
      <c r="C87" s="4331"/>
      <c r="D87" s="4215"/>
      <c r="E87" s="4215"/>
      <c r="F87" s="4215"/>
      <c r="G87" s="4215"/>
      <c r="H87" s="4215"/>
      <c r="I87" s="4215"/>
      <c r="J87" s="4215"/>
      <c r="K87" s="4215"/>
      <c r="L87" s="4215"/>
      <c r="M87" s="4629"/>
      <c r="N87" s="4629"/>
      <c r="O87" s="4629"/>
      <c r="P87" s="4215"/>
      <c r="Q87" s="4215"/>
      <c r="R87" s="4449"/>
      <c r="S87" s="2797"/>
      <c r="T87" s="1842"/>
      <c r="U87" s="1842"/>
      <c r="V87" s="2716"/>
      <c r="W87" s="1862"/>
      <c r="X87" s="395"/>
      <c r="Y87" s="1867"/>
      <c r="Z87" s="1867"/>
      <c r="AA87" s="2762"/>
      <c r="AB87" s="2748"/>
      <c r="AC87" s="395"/>
      <c r="AD87" s="336"/>
      <c r="AE87" s="336"/>
      <c r="AF87" s="4650"/>
    </row>
    <row r="88" spans="1:32" ht="30" customHeight="1">
      <c r="A88" s="4360"/>
      <c r="B88" s="4623"/>
      <c r="C88" s="4332"/>
      <c r="D88" s="4216"/>
      <c r="E88" s="4216"/>
      <c r="F88" s="4216"/>
      <c r="G88" s="4216"/>
      <c r="H88" s="4216"/>
      <c r="I88" s="4216"/>
      <c r="J88" s="4216"/>
      <c r="K88" s="4216"/>
      <c r="L88" s="4216"/>
      <c r="M88" s="4630"/>
      <c r="N88" s="4630"/>
      <c r="O88" s="4630"/>
      <c r="P88" s="4216"/>
      <c r="Q88" s="4216"/>
      <c r="R88" s="4450"/>
      <c r="S88" s="2836"/>
      <c r="T88" s="2699"/>
      <c r="U88" s="2699"/>
      <c r="V88" s="2717"/>
      <c r="W88" s="2735"/>
      <c r="X88" s="1905"/>
      <c r="Y88" s="2767"/>
      <c r="Z88" s="2767"/>
      <c r="AA88" s="2756"/>
      <c r="AB88" s="2757"/>
      <c r="AC88" s="1905"/>
      <c r="AD88" s="1906"/>
      <c r="AE88" s="1906"/>
      <c r="AF88" s="4650"/>
    </row>
    <row r="89" spans="1:32" ht="22.5" customHeight="1" thickBot="1">
      <c r="A89" s="4624"/>
      <c r="B89" s="4620"/>
      <c r="C89" s="2687"/>
      <c r="D89" s="2688"/>
      <c r="E89" s="2688"/>
      <c r="F89" s="2688"/>
      <c r="G89" s="2688"/>
      <c r="H89" s="2688"/>
      <c r="I89" s="2688"/>
      <c r="J89" s="2688"/>
      <c r="K89" s="2688"/>
      <c r="L89" s="2688"/>
      <c r="M89" s="1907"/>
      <c r="N89" s="1907"/>
      <c r="O89" s="1907"/>
      <c r="P89" s="2688"/>
      <c r="Q89" s="2688"/>
      <c r="R89" s="2688"/>
      <c r="S89" s="4652" t="s">
        <v>709</v>
      </c>
      <c r="T89" s="4653"/>
      <c r="U89" s="4653"/>
      <c r="V89" s="4653"/>
      <c r="W89" s="4653"/>
      <c r="X89" s="4653"/>
      <c r="Y89" s="4653"/>
      <c r="Z89" s="4653"/>
      <c r="AA89" s="2827" t="s">
        <v>340</v>
      </c>
      <c r="AB89" s="2828">
        <f>SUM(AB9:AB88)</f>
        <v>43763.260800000004</v>
      </c>
      <c r="AC89" s="4654"/>
      <c r="AD89" s="4653"/>
      <c r="AE89" s="4653"/>
      <c r="AF89" s="4457"/>
    </row>
    <row r="90" spans="1:32" ht="28.5" customHeight="1">
      <c r="A90" s="4618" t="s">
        <v>672</v>
      </c>
      <c r="B90" s="4619" t="s">
        <v>710</v>
      </c>
      <c r="C90" s="4627" t="s">
        <v>272</v>
      </c>
      <c r="D90" s="4273" t="s">
        <v>679</v>
      </c>
      <c r="E90" s="4273" t="s">
        <v>680</v>
      </c>
      <c r="F90" s="4273" t="s">
        <v>700</v>
      </c>
      <c r="G90" s="4338" t="s">
        <v>682</v>
      </c>
      <c r="H90" s="4273" t="s">
        <v>686</v>
      </c>
      <c r="I90" s="4273" t="s">
        <v>278</v>
      </c>
      <c r="J90" s="4471" t="s">
        <v>711</v>
      </c>
      <c r="K90" s="4273" t="s">
        <v>712</v>
      </c>
      <c r="L90" s="4228" t="s">
        <v>4309</v>
      </c>
      <c r="M90" s="4628">
        <v>0</v>
      </c>
      <c r="N90" s="1908"/>
      <c r="O90" s="4628">
        <v>1</v>
      </c>
      <c r="P90" s="4228" t="s">
        <v>4280</v>
      </c>
      <c r="Q90" s="4228" t="s">
        <v>4253</v>
      </c>
      <c r="R90" s="4458" t="s">
        <v>4233</v>
      </c>
      <c r="S90" s="2690"/>
      <c r="T90" s="2701"/>
      <c r="U90" s="2702"/>
      <c r="V90" s="2718"/>
      <c r="W90" s="2737"/>
      <c r="X90" s="355"/>
      <c r="Y90" s="2771"/>
      <c r="Z90" s="2771"/>
      <c r="AA90" s="2781"/>
      <c r="AB90" s="2782"/>
      <c r="AC90" s="355"/>
      <c r="AD90" s="356"/>
      <c r="AE90" s="356"/>
      <c r="AF90" s="4647"/>
    </row>
    <row r="91" spans="1:32" ht="28.5" customHeight="1">
      <c r="A91" s="4564"/>
      <c r="B91" s="4361"/>
      <c r="C91" s="4241"/>
      <c r="D91" s="4215"/>
      <c r="E91" s="4215"/>
      <c r="F91" s="4215"/>
      <c r="G91" s="4215"/>
      <c r="H91" s="4215"/>
      <c r="I91" s="4215"/>
      <c r="J91" s="4449"/>
      <c r="K91" s="4215"/>
      <c r="L91" s="4215"/>
      <c r="M91" s="4629"/>
      <c r="N91" s="1909"/>
      <c r="O91" s="4629"/>
      <c r="P91" s="4215"/>
      <c r="Q91" s="4215"/>
      <c r="R91" s="4449"/>
      <c r="S91" s="2690"/>
      <c r="T91" s="2701"/>
      <c r="U91" s="2703"/>
      <c r="V91" s="2719"/>
      <c r="W91" s="2738"/>
      <c r="X91" s="357"/>
      <c r="Y91" s="2774"/>
      <c r="Z91" s="2774"/>
      <c r="AA91" s="2775"/>
      <c r="AB91" s="2776"/>
      <c r="AC91" s="357"/>
      <c r="AD91" s="358"/>
      <c r="AE91" s="358"/>
      <c r="AF91" s="4496"/>
    </row>
    <row r="92" spans="1:32" ht="28.5" customHeight="1">
      <c r="A92" s="4564"/>
      <c r="B92" s="4361"/>
      <c r="C92" s="4241"/>
      <c r="D92" s="4215"/>
      <c r="E92" s="4215"/>
      <c r="F92" s="4215"/>
      <c r="G92" s="4215"/>
      <c r="H92" s="4215"/>
      <c r="I92" s="4215"/>
      <c r="J92" s="4449"/>
      <c r="K92" s="4215"/>
      <c r="L92" s="4215"/>
      <c r="M92" s="4629"/>
      <c r="N92" s="1909">
        <v>1</v>
      </c>
      <c r="O92" s="4629"/>
      <c r="P92" s="4215"/>
      <c r="Q92" s="4215"/>
      <c r="R92" s="4449"/>
      <c r="S92" s="2691"/>
      <c r="T92" s="2701"/>
      <c r="U92" s="2701"/>
      <c r="V92" s="2720"/>
      <c r="W92" s="2737"/>
      <c r="X92" s="355"/>
      <c r="Y92" s="2771"/>
      <c r="Z92" s="2774"/>
      <c r="AA92" s="2775"/>
      <c r="AB92" s="2776"/>
      <c r="AC92" s="357"/>
      <c r="AD92" s="358"/>
      <c r="AE92" s="358"/>
      <c r="AF92" s="4496"/>
    </row>
    <row r="93" spans="1:32" ht="28.5" customHeight="1">
      <c r="A93" s="4564"/>
      <c r="B93" s="4361"/>
      <c r="C93" s="4241"/>
      <c r="D93" s="4215"/>
      <c r="E93" s="4215"/>
      <c r="F93" s="4215"/>
      <c r="G93" s="4215"/>
      <c r="H93" s="4215"/>
      <c r="I93" s="4215"/>
      <c r="J93" s="4449"/>
      <c r="K93" s="4215"/>
      <c r="L93" s="4215"/>
      <c r="M93" s="4629"/>
      <c r="N93" s="1909"/>
      <c r="O93" s="4629"/>
      <c r="P93" s="4215"/>
      <c r="Q93" s="4215"/>
      <c r="R93" s="4449"/>
      <c r="S93" s="2690"/>
      <c r="T93" s="2702"/>
      <c r="U93" s="2702"/>
      <c r="V93" s="2720"/>
      <c r="W93" s="2737"/>
      <c r="X93" s="355"/>
      <c r="Y93" s="2771"/>
      <c r="Z93" s="2774"/>
      <c r="AA93" s="2775"/>
      <c r="AB93" s="2776"/>
      <c r="AC93" s="357"/>
      <c r="AD93" s="358"/>
      <c r="AE93" s="358"/>
      <c r="AF93" s="4496"/>
    </row>
    <row r="94" spans="1:32" ht="28.5" customHeight="1">
      <c r="A94" s="4564"/>
      <c r="B94" s="4361"/>
      <c r="C94" s="4242"/>
      <c r="D94" s="4216"/>
      <c r="E94" s="4216"/>
      <c r="F94" s="4216"/>
      <c r="G94" s="4216"/>
      <c r="H94" s="4216"/>
      <c r="I94" s="4216"/>
      <c r="J94" s="4450"/>
      <c r="K94" s="4216"/>
      <c r="L94" s="4216"/>
      <c r="M94" s="4630"/>
      <c r="N94" s="1910"/>
      <c r="O94" s="4630"/>
      <c r="P94" s="4216"/>
      <c r="Q94" s="4216"/>
      <c r="R94" s="4450"/>
      <c r="S94" s="2832"/>
      <c r="T94" s="2704"/>
      <c r="U94" s="2704"/>
      <c r="V94" s="2721"/>
      <c r="W94" s="2739"/>
      <c r="X94" s="361"/>
      <c r="Y94" s="2777"/>
      <c r="Z94" s="2777"/>
      <c r="AA94" s="2778"/>
      <c r="AB94" s="2779"/>
      <c r="AC94" s="361"/>
      <c r="AD94" s="354"/>
      <c r="AE94" s="354"/>
      <c r="AF94" s="4497"/>
    </row>
    <row r="95" spans="1:32" ht="26.25" customHeight="1">
      <c r="A95" s="4564"/>
      <c r="B95" s="4361"/>
      <c r="C95" s="4337" t="s">
        <v>272</v>
      </c>
      <c r="D95" s="4273" t="s">
        <v>679</v>
      </c>
      <c r="E95" s="4273" t="s">
        <v>680</v>
      </c>
      <c r="F95" s="4273" t="s">
        <v>700</v>
      </c>
      <c r="G95" s="4338" t="s">
        <v>682</v>
      </c>
      <c r="H95" s="4273" t="s">
        <v>686</v>
      </c>
      <c r="I95" s="4273" t="s">
        <v>278</v>
      </c>
      <c r="J95" s="4634" t="s">
        <v>713</v>
      </c>
      <c r="K95" s="4273" t="s">
        <v>714</v>
      </c>
      <c r="L95" s="4228" t="s">
        <v>4310</v>
      </c>
      <c r="M95" s="4628">
        <v>1</v>
      </c>
      <c r="N95" s="1908"/>
      <c r="O95" s="4628">
        <v>1</v>
      </c>
      <c r="P95" s="4228" t="s">
        <v>4279</v>
      </c>
      <c r="Q95" s="4228" t="s">
        <v>4254</v>
      </c>
      <c r="R95" s="4458" t="s">
        <v>4235</v>
      </c>
      <c r="S95" s="2833"/>
      <c r="T95" s="2705"/>
      <c r="U95" s="2705"/>
      <c r="V95" s="2722"/>
      <c r="W95" s="2740"/>
      <c r="X95" s="363"/>
      <c r="Y95" s="2780"/>
      <c r="Z95" s="2780"/>
      <c r="AA95" s="2772"/>
      <c r="AB95" s="2773"/>
      <c r="AC95" s="363"/>
      <c r="AD95" s="113"/>
      <c r="AE95" s="113"/>
      <c r="AF95" s="4640"/>
    </row>
    <row r="96" spans="1:32" ht="26.25" customHeight="1">
      <c r="A96" s="4564"/>
      <c r="B96" s="4361"/>
      <c r="C96" s="4241"/>
      <c r="D96" s="4215"/>
      <c r="E96" s="4215"/>
      <c r="F96" s="4215"/>
      <c r="G96" s="4215"/>
      <c r="H96" s="4215"/>
      <c r="I96" s="4215"/>
      <c r="J96" s="4340"/>
      <c r="K96" s="4215"/>
      <c r="L96" s="4215"/>
      <c r="M96" s="4629"/>
      <c r="N96" s="1909"/>
      <c r="O96" s="4629"/>
      <c r="P96" s="4215"/>
      <c r="Q96" s="4215"/>
      <c r="R96" s="4449"/>
      <c r="S96" s="2691"/>
      <c r="T96" s="2703"/>
      <c r="U96" s="2703"/>
      <c r="V96" s="2719"/>
      <c r="W96" s="2738"/>
      <c r="X96" s="357"/>
      <c r="Y96" s="2774"/>
      <c r="Z96" s="2774"/>
      <c r="AA96" s="2775"/>
      <c r="AB96" s="2776"/>
      <c r="AC96" s="357"/>
      <c r="AD96" s="357"/>
      <c r="AE96" s="108"/>
      <c r="AF96" s="4496"/>
    </row>
    <row r="97" spans="1:32" ht="26.25" customHeight="1">
      <c r="A97" s="4564"/>
      <c r="B97" s="4361"/>
      <c r="C97" s="4241"/>
      <c r="D97" s="4215"/>
      <c r="E97" s="4215"/>
      <c r="F97" s="4215"/>
      <c r="G97" s="4215"/>
      <c r="H97" s="4215"/>
      <c r="I97" s="4215"/>
      <c r="J97" s="4340"/>
      <c r="K97" s="4215"/>
      <c r="L97" s="4215"/>
      <c r="M97" s="4629"/>
      <c r="N97" s="1909">
        <v>1</v>
      </c>
      <c r="O97" s="4629"/>
      <c r="P97" s="4215"/>
      <c r="Q97" s="4215"/>
      <c r="R97" s="4449"/>
      <c r="S97" s="2691"/>
      <c r="T97" s="2703"/>
      <c r="U97" s="2703"/>
      <c r="V97" s="2719"/>
      <c r="W97" s="2738"/>
      <c r="X97" s="357"/>
      <c r="Y97" s="2774"/>
      <c r="Z97" s="2774"/>
      <c r="AA97" s="2775"/>
      <c r="AB97" s="2776"/>
      <c r="AC97" s="357"/>
      <c r="AD97" s="357"/>
      <c r="AE97" s="358"/>
      <c r="AF97" s="4496"/>
    </row>
    <row r="98" spans="1:32" ht="26.25" customHeight="1">
      <c r="A98" s="4564"/>
      <c r="B98" s="4361"/>
      <c r="C98" s="4241"/>
      <c r="D98" s="4215"/>
      <c r="E98" s="4215"/>
      <c r="F98" s="4215"/>
      <c r="G98" s="4215"/>
      <c r="H98" s="4215"/>
      <c r="I98" s="4215"/>
      <c r="J98" s="4340"/>
      <c r="K98" s="4215"/>
      <c r="L98" s="4215"/>
      <c r="M98" s="4629"/>
      <c r="N98" s="1909"/>
      <c r="O98" s="4629"/>
      <c r="P98" s="4215"/>
      <c r="Q98" s="4215"/>
      <c r="R98" s="4449"/>
      <c r="S98" s="2691"/>
      <c r="T98" s="2703"/>
      <c r="U98" s="2703"/>
      <c r="V98" s="2719"/>
      <c r="W98" s="2738"/>
      <c r="X98" s="357"/>
      <c r="Y98" s="2774"/>
      <c r="Z98" s="2774"/>
      <c r="AA98" s="2775"/>
      <c r="AB98" s="2776"/>
      <c r="AC98" s="357"/>
      <c r="AD98" s="357"/>
      <c r="AE98" s="358"/>
      <c r="AF98" s="4496"/>
    </row>
    <row r="99" spans="1:32" ht="26.25" customHeight="1">
      <c r="A99" s="4564"/>
      <c r="B99" s="4361"/>
      <c r="C99" s="4242"/>
      <c r="D99" s="4216"/>
      <c r="E99" s="4216"/>
      <c r="F99" s="4216"/>
      <c r="G99" s="4216"/>
      <c r="H99" s="4216"/>
      <c r="I99" s="4216"/>
      <c r="J99" s="4341"/>
      <c r="K99" s="4216"/>
      <c r="L99" s="4216"/>
      <c r="M99" s="4630"/>
      <c r="N99" s="1910"/>
      <c r="O99" s="4630"/>
      <c r="P99" s="4216"/>
      <c r="Q99" s="4216"/>
      <c r="R99" s="4450"/>
      <c r="S99" s="2692"/>
      <c r="T99" s="2704"/>
      <c r="U99" s="2704"/>
      <c r="V99" s="2721"/>
      <c r="W99" s="2739"/>
      <c r="X99" s="361"/>
      <c r="Y99" s="2777"/>
      <c r="Z99" s="2777"/>
      <c r="AA99" s="2778"/>
      <c r="AB99" s="2779"/>
      <c r="AC99" s="361"/>
      <c r="AD99" s="361"/>
      <c r="AE99" s="354"/>
      <c r="AF99" s="4497"/>
    </row>
    <row r="100" spans="1:32" ht="31.5" customHeight="1">
      <c r="A100" s="4564"/>
      <c r="B100" s="4361"/>
      <c r="C100" s="4337" t="s">
        <v>272</v>
      </c>
      <c r="D100" s="4273" t="s">
        <v>679</v>
      </c>
      <c r="E100" s="4273" t="s">
        <v>680</v>
      </c>
      <c r="F100" s="4273" t="s">
        <v>700</v>
      </c>
      <c r="G100" s="4338" t="s">
        <v>682</v>
      </c>
      <c r="H100" s="4273" t="s">
        <v>686</v>
      </c>
      <c r="I100" s="4273" t="s">
        <v>278</v>
      </c>
      <c r="J100" s="4633" t="s">
        <v>715</v>
      </c>
      <c r="K100" s="4273" t="s">
        <v>716</v>
      </c>
      <c r="L100" s="4228" t="s">
        <v>4311</v>
      </c>
      <c r="M100" s="4628">
        <v>4</v>
      </c>
      <c r="N100" s="1908"/>
      <c r="O100" s="4628">
        <v>0</v>
      </c>
      <c r="P100" s="4228" t="s">
        <v>4278</v>
      </c>
      <c r="Q100" s="4228" t="s">
        <v>4255</v>
      </c>
      <c r="R100" s="4322" t="s">
        <v>4234</v>
      </c>
      <c r="S100" s="2689"/>
      <c r="T100" s="2702"/>
      <c r="U100" s="2702"/>
      <c r="V100" s="2723"/>
      <c r="W100" s="2737"/>
      <c r="X100" s="355"/>
      <c r="Y100" s="2771"/>
      <c r="Z100" s="2771"/>
      <c r="AA100" s="2781"/>
      <c r="AB100" s="2782"/>
      <c r="AC100" s="355"/>
      <c r="AD100" s="356"/>
      <c r="AE100" s="356"/>
      <c r="AF100" s="4647"/>
    </row>
    <row r="101" spans="1:32" ht="31.5" customHeight="1">
      <c r="A101" s="4564"/>
      <c r="B101" s="4361"/>
      <c r="C101" s="4241"/>
      <c r="D101" s="4215"/>
      <c r="E101" s="4215"/>
      <c r="F101" s="4215"/>
      <c r="G101" s="4215"/>
      <c r="H101" s="4215"/>
      <c r="I101" s="4215"/>
      <c r="J101" s="4340"/>
      <c r="K101" s="4215"/>
      <c r="L101" s="4215"/>
      <c r="M101" s="4629"/>
      <c r="N101" s="1909"/>
      <c r="O101" s="4629"/>
      <c r="P101" s="4215"/>
      <c r="Q101" s="4215"/>
      <c r="R101" s="4233"/>
      <c r="S101" s="2690"/>
      <c r="T101" s="2701"/>
      <c r="U101" s="2701"/>
      <c r="V101" s="2719"/>
      <c r="W101" s="2738"/>
      <c r="X101" s="357"/>
      <c r="Y101" s="2774"/>
      <c r="Z101" s="2774"/>
      <c r="AA101" s="2775"/>
      <c r="AB101" s="2776"/>
      <c r="AC101" s="357"/>
      <c r="AD101" s="358"/>
      <c r="AE101" s="358"/>
      <c r="AF101" s="4496"/>
    </row>
    <row r="102" spans="1:32" ht="31.5" customHeight="1">
      <c r="A102" s="4564"/>
      <c r="B102" s="4361"/>
      <c r="C102" s="4241"/>
      <c r="D102" s="4215"/>
      <c r="E102" s="4215"/>
      <c r="F102" s="4215"/>
      <c r="G102" s="4215"/>
      <c r="H102" s="4215"/>
      <c r="I102" s="4215"/>
      <c r="J102" s="4340"/>
      <c r="K102" s="4215"/>
      <c r="L102" s="4215"/>
      <c r="M102" s="4629"/>
      <c r="N102" s="1909">
        <v>0</v>
      </c>
      <c r="O102" s="4629"/>
      <c r="P102" s="4215"/>
      <c r="Q102" s="4215"/>
      <c r="R102" s="4233"/>
      <c r="S102" s="2691"/>
      <c r="T102" s="2703"/>
      <c r="U102" s="2703"/>
      <c r="V102" s="2719"/>
      <c r="W102" s="2738"/>
      <c r="X102" s="357"/>
      <c r="Y102" s="2774"/>
      <c r="Z102" s="2774"/>
      <c r="AA102" s="2775"/>
      <c r="AB102" s="2776"/>
      <c r="AC102" s="357"/>
      <c r="AD102" s="358"/>
      <c r="AE102" s="358"/>
      <c r="AF102" s="4496"/>
    </row>
    <row r="103" spans="1:32" ht="31.5" customHeight="1">
      <c r="A103" s="4564"/>
      <c r="B103" s="4361"/>
      <c r="C103" s="4241"/>
      <c r="D103" s="4215"/>
      <c r="E103" s="4215"/>
      <c r="F103" s="4215"/>
      <c r="G103" s="4215"/>
      <c r="H103" s="4215"/>
      <c r="I103" s="4215"/>
      <c r="J103" s="4340"/>
      <c r="K103" s="4215"/>
      <c r="L103" s="4215"/>
      <c r="M103" s="4629"/>
      <c r="N103" s="1909"/>
      <c r="O103" s="4629"/>
      <c r="P103" s="4215"/>
      <c r="Q103" s="4215"/>
      <c r="R103" s="4233"/>
      <c r="S103" s="2691"/>
      <c r="T103" s="2703"/>
      <c r="U103" s="2703"/>
      <c r="V103" s="2719"/>
      <c r="W103" s="2738"/>
      <c r="X103" s="357"/>
      <c r="Y103" s="2774"/>
      <c r="Z103" s="2774"/>
      <c r="AA103" s="2775"/>
      <c r="AB103" s="2776"/>
      <c r="AC103" s="357"/>
      <c r="AD103" s="358"/>
      <c r="AE103" s="358"/>
      <c r="AF103" s="4496"/>
    </row>
    <row r="104" spans="1:32" ht="31.5" customHeight="1">
      <c r="A104" s="4564"/>
      <c r="B104" s="4361"/>
      <c r="C104" s="4242"/>
      <c r="D104" s="4216"/>
      <c r="E104" s="4216"/>
      <c r="F104" s="4216"/>
      <c r="G104" s="4216"/>
      <c r="H104" s="4216"/>
      <c r="I104" s="4216"/>
      <c r="J104" s="4341"/>
      <c r="K104" s="4216"/>
      <c r="L104" s="4216"/>
      <c r="M104" s="4630"/>
      <c r="N104" s="1910"/>
      <c r="O104" s="4630"/>
      <c r="P104" s="4216"/>
      <c r="Q104" s="4216"/>
      <c r="R104" s="4258"/>
      <c r="S104" s="2692"/>
      <c r="T104" s="2704"/>
      <c r="U104" s="2706"/>
      <c r="V104" s="2724"/>
      <c r="W104" s="2741"/>
      <c r="X104" s="353"/>
      <c r="Y104" s="2783"/>
      <c r="Z104" s="2777"/>
      <c r="AA104" s="2778"/>
      <c r="AB104" s="2784"/>
      <c r="AC104" s="353"/>
      <c r="AD104" s="1179"/>
      <c r="AE104" s="1179"/>
      <c r="AF104" s="4497"/>
    </row>
    <row r="105" spans="1:32" ht="22.5" customHeight="1">
      <c r="A105" s="4564"/>
      <c r="B105" s="4361"/>
      <c r="C105" s="4337" t="s">
        <v>272</v>
      </c>
      <c r="D105" s="4273" t="s">
        <v>679</v>
      </c>
      <c r="E105" s="4273" t="s">
        <v>680</v>
      </c>
      <c r="F105" s="4273" t="s">
        <v>700</v>
      </c>
      <c r="G105" s="4338" t="s">
        <v>682</v>
      </c>
      <c r="H105" s="4273" t="s">
        <v>686</v>
      </c>
      <c r="I105" s="4273" t="s">
        <v>278</v>
      </c>
      <c r="J105" s="4369" t="s">
        <v>4323</v>
      </c>
      <c r="K105" s="4273" t="s">
        <v>717</v>
      </c>
      <c r="L105" s="4228" t="s">
        <v>4312</v>
      </c>
      <c r="M105" s="4628">
        <v>3</v>
      </c>
      <c r="N105" s="1908"/>
      <c r="O105" s="4628">
        <v>3</v>
      </c>
      <c r="P105" s="4228" t="s">
        <v>4277</v>
      </c>
      <c r="Q105" s="4228" t="s">
        <v>4256</v>
      </c>
      <c r="R105" s="4322" t="s">
        <v>4235</v>
      </c>
      <c r="S105" s="2689"/>
      <c r="T105" s="2702"/>
      <c r="U105" s="2702"/>
      <c r="V105" s="2722"/>
      <c r="W105" s="2740"/>
      <c r="X105" s="363"/>
      <c r="Y105" s="2780"/>
      <c r="Z105" s="2771"/>
      <c r="AA105" s="2781"/>
      <c r="AB105" s="2773"/>
      <c r="AC105" s="363"/>
      <c r="AD105" s="367"/>
      <c r="AE105" s="367"/>
      <c r="AF105" s="4640"/>
    </row>
    <row r="106" spans="1:32" ht="22.5" customHeight="1">
      <c r="A106" s="4564"/>
      <c r="B106" s="4361"/>
      <c r="C106" s="4241"/>
      <c r="D106" s="4215"/>
      <c r="E106" s="4215"/>
      <c r="F106" s="4215"/>
      <c r="G106" s="4215"/>
      <c r="H106" s="4215"/>
      <c r="I106" s="4215"/>
      <c r="J106" s="4340"/>
      <c r="K106" s="4215"/>
      <c r="L106" s="4215"/>
      <c r="M106" s="4629"/>
      <c r="N106" s="1909"/>
      <c r="O106" s="4629"/>
      <c r="P106" s="4215"/>
      <c r="Q106" s="4215"/>
      <c r="R106" s="4233"/>
      <c r="S106" s="2691"/>
      <c r="T106" s="2703"/>
      <c r="U106" s="2703"/>
      <c r="V106" s="2719"/>
      <c r="W106" s="2738"/>
      <c r="X106" s="357"/>
      <c r="Y106" s="2774"/>
      <c r="Z106" s="2774"/>
      <c r="AA106" s="2775"/>
      <c r="AB106" s="2776"/>
      <c r="AC106" s="357"/>
      <c r="AD106" s="358"/>
      <c r="AE106" s="358"/>
      <c r="AF106" s="4496"/>
    </row>
    <row r="107" spans="1:32" ht="22.5" customHeight="1">
      <c r="A107" s="4564"/>
      <c r="B107" s="4361"/>
      <c r="C107" s="4241"/>
      <c r="D107" s="4215"/>
      <c r="E107" s="4215"/>
      <c r="F107" s="4215"/>
      <c r="G107" s="4215"/>
      <c r="H107" s="4215"/>
      <c r="I107" s="4215"/>
      <c r="J107" s="4340"/>
      <c r="K107" s="4215"/>
      <c r="L107" s="4215"/>
      <c r="M107" s="4629"/>
      <c r="N107" s="1909">
        <v>3</v>
      </c>
      <c r="O107" s="4629"/>
      <c r="P107" s="4215"/>
      <c r="Q107" s="4215"/>
      <c r="R107" s="4233"/>
      <c r="S107" s="2691"/>
      <c r="T107" s="2703"/>
      <c r="U107" s="2703"/>
      <c r="V107" s="2719"/>
      <c r="W107" s="2738"/>
      <c r="X107" s="357"/>
      <c r="Y107" s="2774"/>
      <c r="Z107" s="2774"/>
      <c r="AA107" s="2775"/>
      <c r="AB107" s="2776"/>
      <c r="AC107" s="357"/>
      <c r="AD107" s="358"/>
      <c r="AE107" s="358"/>
      <c r="AF107" s="4496"/>
    </row>
    <row r="108" spans="1:32" ht="22.5" customHeight="1">
      <c r="A108" s="4564"/>
      <c r="B108" s="4361"/>
      <c r="C108" s="4241"/>
      <c r="D108" s="4215"/>
      <c r="E108" s="4215"/>
      <c r="F108" s="4215"/>
      <c r="G108" s="4215"/>
      <c r="H108" s="4215"/>
      <c r="I108" s="4215"/>
      <c r="J108" s="4340"/>
      <c r="K108" s="4215"/>
      <c r="L108" s="4215"/>
      <c r="M108" s="4629"/>
      <c r="N108" s="1909"/>
      <c r="O108" s="4629"/>
      <c r="P108" s="4215"/>
      <c r="Q108" s="4215"/>
      <c r="R108" s="4233"/>
      <c r="S108" s="2691"/>
      <c r="T108" s="2703"/>
      <c r="U108" s="2703"/>
      <c r="V108" s="2719"/>
      <c r="W108" s="2738"/>
      <c r="X108" s="357"/>
      <c r="Y108" s="2774"/>
      <c r="Z108" s="2774"/>
      <c r="AA108" s="2775"/>
      <c r="AB108" s="2776"/>
      <c r="AC108" s="357"/>
      <c r="AD108" s="358"/>
      <c r="AE108" s="358"/>
      <c r="AF108" s="4496"/>
    </row>
    <row r="109" spans="1:32" ht="22.5" customHeight="1">
      <c r="A109" s="4564"/>
      <c r="B109" s="4361"/>
      <c r="C109" s="4242"/>
      <c r="D109" s="4216"/>
      <c r="E109" s="4216"/>
      <c r="F109" s="4216"/>
      <c r="G109" s="4216"/>
      <c r="H109" s="4216"/>
      <c r="I109" s="4216"/>
      <c r="J109" s="4341"/>
      <c r="K109" s="4216"/>
      <c r="L109" s="4216"/>
      <c r="M109" s="4630"/>
      <c r="N109" s="1910"/>
      <c r="O109" s="4630"/>
      <c r="P109" s="4216"/>
      <c r="Q109" s="4216"/>
      <c r="R109" s="4258"/>
      <c r="S109" s="2692"/>
      <c r="T109" s="2704"/>
      <c r="U109" s="2704"/>
      <c r="V109" s="2721"/>
      <c r="W109" s="2739"/>
      <c r="X109" s="361"/>
      <c r="Y109" s="2777"/>
      <c r="Z109" s="2777"/>
      <c r="AA109" s="2778"/>
      <c r="AB109" s="2779"/>
      <c r="AC109" s="361"/>
      <c r="AD109" s="354"/>
      <c r="AE109" s="354"/>
      <c r="AF109" s="4497"/>
    </row>
    <row r="110" spans="1:32" ht="22.5" customHeight="1">
      <c r="A110" s="4564"/>
      <c r="B110" s="4361"/>
      <c r="C110" s="4337" t="s">
        <v>272</v>
      </c>
      <c r="D110" s="4273" t="s">
        <v>679</v>
      </c>
      <c r="E110" s="4273" t="s">
        <v>680</v>
      </c>
      <c r="F110" s="4273" t="s">
        <v>700</v>
      </c>
      <c r="G110" s="4338" t="s">
        <v>682</v>
      </c>
      <c r="H110" s="4273" t="s">
        <v>686</v>
      </c>
      <c r="I110" s="4273" t="s">
        <v>278</v>
      </c>
      <c r="J110" s="4369" t="s">
        <v>4324</v>
      </c>
      <c r="K110" s="4273" t="s">
        <v>718</v>
      </c>
      <c r="L110" s="4228" t="s">
        <v>4313</v>
      </c>
      <c r="M110" s="4628">
        <v>3</v>
      </c>
      <c r="N110" s="1908"/>
      <c r="O110" s="4628">
        <v>3</v>
      </c>
      <c r="P110" s="4228" t="s">
        <v>4276</v>
      </c>
      <c r="Q110" s="4228" t="s">
        <v>4257</v>
      </c>
      <c r="R110" s="4322" t="s">
        <v>4235</v>
      </c>
      <c r="S110" s="2689"/>
      <c r="T110" s="2702"/>
      <c r="U110" s="2702"/>
      <c r="V110" s="2722"/>
      <c r="W110" s="2740"/>
      <c r="X110" s="363"/>
      <c r="Y110" s="2780"/>
      <c r="Z110" s="2771"/>
      <c r="AA110" s="2781"/>
      <c r="AB110" s="2773"/>
      <c r="AC110" s="363"/>
      <c r="AD110" s="367"/>
      <c r="AE110" s="367"/>
      <c r="AF110" s="4640"/>
    </row>
    <row r="111" spans="1:32" ht="22.5" customHeight="1">
      <c r="A111" s="4564"/>
      <c r="B111" s="4361"/>
      <c r="C111" s="4241"/>
      <c r="D111" s="4215"/>
      <c r="E111" s="4215"/>
      <c r="F111" s="4215"/>
      <c r="G111" s="4215"/>
      <c r="H111" s="4215"/>
      <c r="I111" s="4215"/>
      <c r="J111" s="4340"/>
      <c r="K111" s="4215"/>
      <c r="L111" s="4215"/>
      <c r="M111" s="4629"/>
      <c r="N111" s="1909"/>
      <c r="O111" s="4629"/>
      <c r="P111" s="4215"/>
      <c r="Q111" s="4215"/>
      <c r="R111" s="4233"/>
      <c r="S111" s="2691"/>
      <c r="T111" s="2703"/>
      <c r="U111" s="2703"/>
      <c r="V111" s="2719"/>
      <c r="W111" s="2738"/>
      <c r="X111" s="357"/>
      <c r="Y111" s="2774"/>
      <c r="Z111" s="2774"/>
      <c r="AA111" s="2775"/>
      <c r="AB111" s="2776"/>
      <c r="AC111" s="357"/>
      <c r="AD111" s="358"/>
      <c r="AE111" s="358"/>
      <c r="AF111" s="4496"/>
    </row>
    <row r="112" spans="1:32" ht="22.5" customHeight="1">
      <c r="A112" s="4564"/>
      <c r="B112" s="4361"/>
      <c r="C112" s="4241"/>
      <c r="D112" s="4215"/>
      <c r="E112" s="4215"/>
      <c r="F112" s="4215"/>
      <c r="G112" s="4215"/>
      <c r="H112" s="4215"/>
      <c r="I112" s="4215"/>
      <c r="J112" s="4340"/>
      <c r="K112" s="4215"/>
      <c r="L112" s="4215"/>
      <c r="M112" s="4629"/>
      <c r="N112" s="1909">
        <v>3</v>
      </c>
      <c r="O112" s="4629"/>
      <c r="P112" s="4215"/>
      <c r="Q112" s="4215"/>
      <c r="R112" s="4233"/>
      <c r="S112" s="2691"/>
      <c r="T112" s="2703"/>
      <c r="U112" s="2703"/>
      <c r="V112" s="2719"/>
      <c r="W112" s="2738"/>
      <c r="X112" s="357"/>
      <c r="Y112" s="2774"/>
      <c r="Z112" s="2774"/>
      <c r="AA112" s="2775"/>
      <c r="AB112" s="2776"/>
      <c r="AC112" s="357"/>
      <c r="AD112" s="358"/>
      <c r="AE112" s="358"/>
      <c r="AF112" s="4496"/>
    </row>
    <row r="113" spans="1:32" ht="22.5" customHeight="1">
      <c r="A113" s="4564"/>
      <c r="B113" s="4361"/>
      <c r="C113" s="4241"/>
      <c r="D113" s="4215"/>
      <c r="E113" s="4215"/>
      <c r="F113" s="4215"/>
      <c r="G113" s="4215"/>
      <c r="H113" s="4215"/>
      <c r="I113" s="4215"/>
      <c r="J113" s="4340"/>
      <c r="K113" s="4215"/>
      <c r="L113" s="4215"/>
      <c r="M113" s="4629"/>
      <c r="N113" s="1909"/>
      <c r="O113" s="4629"/>
      <c r="P113" s="4215"/>
      <c r="Q113" s="4215"/>
      <c r="R113" s="4233"/>
      <c r="S113" s="2691"/>
      <c r="T113" s="2703"/>
      <c r="U113" s="2703"/>
      <c r="V113" s="2719"/>
      <c r="W113" s="2738"/>
      <c r="X113" s="357"/>
      <c r="Y113" s="2774"/>
      <c r="Z113" s="2774"/>
      <c r="AA113" s="2775"/>
      <c r="AB113" s="2776"/>
      <c r="AC113" s="357"/>
      <c r="AD113" s="358"/>
      <c r="AE113" s="358"/>
      <c r="AF113" s="4496"/>
    </row>
    <row r="114" spans="1:32" ht="22.5" customHeight="1">
      <c r="A114" s="4564"/>
      <c r="B114" s="4361"/>
      <c r="C114" s="4242"/>
      <c r="D114" s="4216"/>
      <c r="E114" s="4216"/>
      <c r="F114" s="4216"/>
      <c r="G114" s="4216"/>
      <c r="H114" s="4216"/>
      <c r="I114" s="4216"/>
      <c r="J114" s="4341"/>
      <c r="K114" s="4216"/>
      <c r="L114" s="4216"/>
      <c r="M114" s="4630"/>
      <c r="N114" s="1910"/>
      <c r="O114" s="4630"/>
      <c r="P114" s="4216"/>
      <c r="Q114" s="4216"/>
      <c r="R114" s="4258"/>
      <c r="S114" s="2692"/>
      <c r="T114" s="2704"/>
      <c r="U114" s="2704"/>
      <c r="V114" s="2721"/>
      <c r="W114" s="2739"/>
      <c r="X114" s="361"/>
      <c r="Y114" s="2777"/>
      <c r="Z114" s="2777"/>
      <c r="AA114" s="2778"/>
      <c r="AB114" s="2779"/>
      <c r="AC114" s="361"/>
      <c r="AD114" s="354"/>
      <c r="AE114" s="354"/>
      <c r="AF114" s="4497"/>
    </row>
    <row r="115" spans="1:32" ht="23.25" customHeight="1">
      <c r="A115" s="4564"/>
      <c r="B115" s="4361"/>
      <c r="C115" s="4337" t="s">
        <v>272</v>
      </c>
      <c r="D115" s="4273" t="s">
        <v>679</v>
      </c>
      <c r="E115" s="4273" t="s">
        <v>680</v>
      </c>
      <c r="F115" s="4273" t="s">
        <v>700</v>
      </c>
      <c r="G115" s="4338" t="s">
        <v>682</v>
      </c>
      <c r="H115" s="4273" t="s">
        <v>686</v>
      </c>
      <c r="I115" s="4273" t="s">
        <v>278</v>
      </c>
      <c r="J115" s="4369" t="s">
        <v>4325</v>
      </c>
      <c r="K115" s="4228" t="s">
        <v>4322</v>
      </c>
      <c r="L115" s="4228" t="s">
        <v>4314</v>
      </c>
      <c r="M115" s="4628">
        <v>1</v>
      </c>
      <c r="N115" s="4628">
        <v>0</v>
      </c>
      <c r="O115" s="4628">
        <v>1</v>
      </c>
      <c r="P115" s="4228" t="s">
        <v>4275</v>
      </c>
      <c r="Q115" s="4228" t="s">
        <v>4258</v>
      </c>
      <c r="R115" s="4322" t="s">
        <v>4234</v>
      </c>
      <c r="S115" s="2693" t="s">
        <v>17</v>
      </c>
      <c r="T115" s="1843">
        <v>840104</v>
      </c>
      <c r="U115" s="1842"/>
      <c r="V115" s="2695" t="s">
        <v>24</v>
      </c>
      <c r="W115" s="2742"/>
      <c r="X115" s="368"/>
      <c r="Y115" s="2742"/>
      <c r="Z115" s="2742"/>
      <c r="AA115" s="2762"/>
      <c r="AB115" s="2752">
        <f>SUM($AA$116:$AA$118)</f>
        <v>4278.4000000000005</v>
      </c>
      <c r="AC115" s="368"/>
      <c r="AD115" s="371"/>
      <c r="AE115" s="367"/>
      <c r="AF115" s="4640"/>
    </row>
    <row r="116" spans="1:32" ht="23.25" customHeight="1">
      <c r="A116" s="4564"/>
      <c r="B116" s="4361"/>
      <c r="C116" s="4241"/>
      <c r="D116" s="4215"/>
      <c r="E116" s="4215"/>
      <c r="F116" s="4215"/>
      <c r="G116" s="4215"/>
      <c r="H116" s="4215"/>
      <c r="I116" s="4215"/>
      <c r="J116" s="4340"/>
      <c r="K116" s="4215"/>
      <c r="L116" s="4215"/>
      <c r="M116" s="4629"/>
      <c r="N116" s="4629"/>
      <c r="O116" s="4629"/>
      <c r="P116" s="4215"/>
      <c r="Q116" s="4215"/>
      <c r="R116" s="4233"/>
      <c r="S116" s="2694"/>
      <c r="T116" s="1842"/>
      <c r="U116" s="1842">
        <v>483530011</v>
      </c>
      <c r="V116" s="2710" t="s">
        <v>719</v>
      </c>
      <c r="W116" s="2738">
        <v>1</v>
      </c>
      <c r="X116" s="395" t="s">
        <v>269</v>
      </c>
      <c r="Y116" s="2785">
        <v>300</v>
      </c>
      <c r="Z116" s="2753">
        <f t="shared" ref="Z116:Z118" si="12">+W116*Y116</f>
        <v>300</v>
      </c>
      <c r="AA116" s="2753">
        <f t="shared" ref="AA116:AA118" si="13">+Z116*1.12</f>
        <v>336.00000000000006</v>
      </c>
      <c r="AB116" s="2742"/>
      <c r="AC116" s="368"/>
      <c r="AD116" s="371" t="s">
        <v>251</v>
      </c>
      <c r="AE116" s="358"/>
      <c r="AF116" s="4496"/>
    </row>
    <row r="117" spans="1:32" ht="23.25" customHeight="1">
      <c r="A117" s="4564"/>
      <c r="B117" s="4361"/>
      <c r="C117" s="4241"/>
      <c r="D117" s="4215"/>
      <c r="E117" s="4215"/>
      <c r="F117" s="4215"/>
      <c r="G117" s="4215"/>
      <c r="H117" s="4215"/>
      <c r="I117" s="4215"/>
      <c r="J117" s="4340"/>
      <c r="K117" s="4215"/>
      <c r="L117" s="4215"/>
      <c r="M117" s="4629"/>
      <c r="N117" s="4629"/>
      <c r="O117" s="4629"/>
      <c r="P117" s="4215"/>
      <c r="Q117" s="4215"/>
      <c r="R117" s="4233"/>
      <c r="S117" s="2694"/>
      <c r="T117" s="1842"/>
      <c r="U117" s="1842">
        <v>464200012</v>
      </c>
      <c r="V117" s="2710" t="s">
        <v>720</v>
      </c>
      <c r="W117" s="2738">
        <v>1</v>
      </c>
      <c r="X117" s="395" t="s">
        <v>269</v>
      </c>
      <c r="Y117" s="2785">
        <v>120</v>
      </c>
      <c r="Z117" s="2753">
        <f t="shared" si="12"/>
        <v>120</v>
      </c>
      <c r="AA117" s="2753">
        <f t="shared" si="13"/>
        <v>134.4</v>
      </c>
      <c r="AB117" s="2742"/>
      <c r="AC117" s="368"/>
      <c r="AD117" s="371" t="s">
        <v>251</v>
      </c>
      <c r="AE117" s="358"/>
      <c r="AF117" s="4496"/>
    </row>
    <row r="118" spans="1:32" ht="23.25" customHeight="1">
      <c r="A118" s="4564"/>
      <c r="B118" s="4361"/>
      <c r="C118" s="4241"/>
      <c r="D118" s="4215"/>
      <c r="E118" s="4215"/>
      <c r="F118" s="4215"/>
      <c r="G118" s="4215"/>
      <c r="H118" s="4215"/>
      <c r="I118" s="4215"/>
      <c r="J118" s="4340"/>
      <c r="K118" s="4215"/>
      <c r="L118" s="4215"/>
      <c r="M118" s="4629"/>
      <c r="N118" s="4629"/>
      <c r="O118" s="4629"/>
      <c r="P118" s="4215"/>
      <c r="Q118" s="4215"/>
      <c r="R118" s="4233"/>
      <c r="S118" s="2691"/>
      <c r="T118" s="2703"/>
      <c r="U118" s="1842">
        <v>732900012</v>
      </c>
      <c r="V118" s="2710" t="s">
        <v>721</v>
      </c>
      <c r="W118" s="2738">
        <v>1</v>
      </c>
      <c r="X118" s="357" t="s">
        <v>269</v>
      </c>
      <c r="Y118" s="2785">
        <v>3400</v>
      </c>
      <c r="Z118" s="2753">
        <f t="shared" si="12"/>
        <v>3400</v>
      </c>
      <c r="AA118" s="2753">
        <f t="shared" si="13"/>
        <v>3808.0000000000005</v>
      </c>
      <c r="AB118" s="2786"/>
      <c r="AC118" s="357"/>
      <c r="AD118" s="371" t="s">
        <v>251</v>
      </c>
      <c r="AE118" s="358"/>
      <c r="AF118" s="4496"/>
    </row>
    <row r="119" spans="1:32" ht="23.25" customHeight="1">
      <c r="A119" s="4564"/>
      <c r="B119" s="4361"/>
      <c r="C119" s="4242"/>
      <c r="D119" s="4216"/>
      <c r="E119" s="4216"/>
      <c r="F119" s="4216"/>
      <c r="G119" s="4216"/>
      <c r="H119" s="4216"/>
      <c r="I119" s="4216"/>
      <c r="J119" s="4341"/>
      <c r="K119" s="4216"/>
      <c r="L119" s="4216"/>
      <c r="M119" s="4630"/>
      <c r="N119" s="4630"/>
      <c r="O119" s="4630"/>
      <c r="P119" s="4216"/>
      <c r="Q119" s="4216"/>
      <c r="R119" s="4258"/>
      <c r="S119" s="2692"/>
      <c r="T119" s="2704"/>
      <c r="U119" s="2704"/>
      <c r="V119" s="2721"/>
      <c r="W119" s="2739"/>
      <c r="X119" s="361"/>
      <c r="Y119" s="2777"/>
      <c r="Z119" s="2787"/>
      <c r="AA119" s="2788"/>
      <c r="AB119" s="2779"/>
      <c r="AC119" s="361"/>
      <c r="AD119" s="371"/>
      <c r="AE119" s="354"/>
      <c r="AF119" s="4497"/>
    </row>
    <row r="120" spans="1:32" ht="21.75" customHeight="1">
      <c r="A120" s="4564"/>
      <c r="B120" s="4361"/>
      <c r="C120" s="4337" t="s">
        <v>272</v>
      </c>
      <c r="D120" s="4273" t="s">
        <v>679</v>
      </c>
      <c r="E120" s="4273" t="s">
        <v>680</v>
      </c>
      <c r="F120" s="4273" t="s">
        <v>700</v>
      </c>
      <c r="G120" s="4338" t="s">
        <v>682</v>
      </c>
      <c r="H120" s="4273" t="s">
        <v>686</v>
      </c>
      <c r="I120" s="4273" t="s">
        <v>278</v>
      </c>
      <c r="J120" s="4369" t="s">
        <v>4326</v>
      </c>
      <c r="K120" s="4273" t="s">
        <v>722</v>
      </c>
      <c r="L120" s="4228" t="s">
        <v>4315</v>
      </c>
      <c r="M120" s="4628">
        <v>4</v>
      </c>
      <c r="N120" s="1908"/>
      <c r="O120" s="4628">
        <v>2</v>
      </c>
      <c r="P120" s="4228" t="s">
        <v>4274</v>
      </c>
      <c r="Q120" s="4228" t="s">
        <v>4259</v>
      </c>
      <c r="R120" s="4322" t="s">
        <v>4234</v>
      </c>
      <c r="S120" s="2689"/>
      <c r="T120" s="2702"/>
      <c r="U120" s="2702"/>
      <c r="V120" s="2722"/>
      <c r="W120" s="2740"/>
      <c r="X120" s="363"/>
      <c r="Y120" s="2780"/>
      <c r="Z120" s="2771"/>
      <c r="AA120" s="2781"/>
      <c r="AB120" s="2773"/>
      <c r="AC120" s="363"/>
      <c r="AD120" s="367"/>
      <c r="AE120" s="367"/>
      <c r="AF120" s="4640"/>
    </row>
    <row r="121" spans="1:32" ht="21.75" customHeight="1">
      <c r="A121" s="4564"/>
      <c r="B121" s="4361"/>
      <c r="C121" s="4241"/>
      <c r="D121" s="4215"/>
      <c r="E121" s="4215"/>
      <c r="F121" s="4215"/>
      <c r="G121" s="4215"/>
      <c r="H121" s="4215"/>
      <c r="I121" s="4215"/>
      <c r="J121" s="4340"/>
      <c r="K121" s="4215"/>
      <c r="L121" s="4215"/>
      <c r="M121" s="4629"/>
      <c r="N121" s="1909"/>
      <c r="O121" s="4629"/>
      <c r="P121" s="4215"/>
      <c r="Q121" s="4215"/>
      <c r="R121" s="4233"/>
      <c r="S121" s="2691"/>
      <c r="T121" s="2703"/>
      <c r="U121" s="2703"/>
      <c r="V121" s="2719"/>
      <c r="W121" s="2738"/>
      <c r="X121" s="357"/>
      <c r="Y121" s="2774"/>
      <c r="Z121" s="2774"/>
      <c r="AA121" s="2775"/>
      <c r="AB121" s="2776"/>
      <c r="AC121" s="357"/>
      <c r="AD121" s="358"/>
      <c r="AE121" s="358"/>
      <c r="AF121" s="4496"/>
    </row>
    <row r="122" spans="1:32" ht="21.75" customHeight="1">
      <c r="A122" s="4564"/>
      <c r="B122" s="4361"/>
      <c r="C122" s="4241"/>
      <c r="D122" s="4215"/>
      <c r="E122" s="4215"/>
      <c r="F122" s="4215"/>
      <c r="G122" s="4215"/>
      <c r="H122" s="4215"/>
      <c r="I122" s="4215"/>
      <c r="J122" s="4340"/>
      <c r="K122" s="4215"/>
      <c r="L122" s="4215"/>
      <c r="M122" s="4629"/>
      <c r="N122" s="1909">
        <v>4</v>
      </c>
      <c r="O122" s="4629"/>
      <c r="P122" s="4215"/>
      <c r="Q122" s="4215"/>
      <c r="R122" s="4233"/>
      <c r="S122" s="2691"/>
      <c r="T122" s="2703"/>
      <c r="U122" s="2703"/>
      <c r="V122" s="2719"/>
      <c r="W122" s="2738"/>
      <c r="X122" s="357"/>
      <c r="Y122" s="2774"/>
      <c r="Z122" s="2774"/>
      <c r="AA122" s="2775"/>
      <c r="AB122" s="2776"/>
      <c r="AC122" s="357"/>
      <c r="AD122" s="358"/>
      <c r="AE122" s="358"/>
      <c r="AF122" s="4496"/>
    </row>
    <row r="123" spans="1:32" ht="21.75" customHeight="1">
      <c r="A123" s="4564"/>
      <c r="B123" s="4361"/>
      <c r="C123" s="4241"/>
      <c r="D123" s="4215"/>
      <c r="E123" s="4215"/>
      <c r="F123" s="4215"/>
      <c r="G123" s="4215"/>
      <c r="H123" s="4215"/>
      <c r="I123" s="4215"/>
      <c r="J123" s="4340"/>
      <c r="K123" s="4215"/>
      <c r="L123" s="4215"/>
      <c r="M123" s="4629"/>
      <c r="N123" s="1909"/>
      <c r="O123" s="4629"/>
      <c r="P123" s="4215"/>
      <c r="Q123" s="4215"/>
      <c r="R123" s="4233"/>
      <c r="S123" s="2691"/>
      <c r="T123" s="2703"/>
      <c r="U123" s="2703"/>
      <c r="V123" s="2719"/>
      <c r="W123" s="2738"/>
      <c r="X123" s="357"/>
      <c r="Y123" s="2774"/>
      <c r="Z123" s="2774"/>
      <c r="AA123" s="2775"/>
      <c r="AB123" s="2776"/>
      <c r="AC123" s="357"/>
      <c r="AD123" s="358"/>
      <c r="AE123" s="358"/>
      <c r="AF123" s="4496"/>
    </row>
    <row r="124" spans="1:32" ht="21.75" customHeight="1">
      <c r="A124" s="4564"/>
      <c r="B124" s="4361"/>
      <c r="C124" s="4242"/>
      <c r="D124" s="4216"/>
      <c r="E124" s="4216"/>
      <c r="F124" s="4216"/>
      <c r="G124" s="4216"/>
      <c r="H124" s="4216"/>
      <c r="I124" s="4216"/>
      <c r="J124" s="4341"/>
      <c r="K124" s="4216"/>
      <c r="L124" s="4216"/>
      <c r="M124" s="4630"/>
      <c r="N124" s="1910"/>
      <c r="O124" s="4630"/>
      <c r="P124" s="4216"/>
      <c r="Q124" s="4216"/>
      <c r="R124" s="4258"/>
      <c r="S124" s="2692"/>
      <c r="T124" s="2704"/>
      <c r="U124" s="2704"/>
      <c r="V124" s="2721"/>
      <c r="W124" s="2739"/>
      <c r="X124" s="361"/>
      <c r="Y124" s="2777"/>
      <c r="Z124" s="2777"/>
      <c r="AA124" s="2778"/>
      <c r="AB124" s="2779"/>
      <c r="AC124" s="361"/>
      <c r="AD124" s="354"/>
      <c r="AE124" s="354"/>
      <c r="AF124" s="4497"/>
    </row>
    <row r="125" spans="1:32" ht="28.5" customHeight="1">
      <c r="A125" s="4564"/>
      <c r="B125" s="4361"/>
      <c r="C125" s="4337" t="s">
        <v>272</v>
      </c>
      <c r="D125" s="4273" t="s">
        <v>679</v>
      </c>
      <c r="E125" s="4273" t="s">
        <v>680</v>
      </c>
      <c r="F125" s="4273" t="s">
        <v>700</v>
      </c>
      <c r="G125" s="4338" t="s">
        <v>682</v>
      </c>
      <c r="H125" s="4273" t="s">
        <v>686</v>
      </c>
      <c r="I125" s="4273" t="s">
        <v>278</v>
      </c>
      <c r="J125" s="4369" t="s">
        <v>4327</v>
      </c>
      <c r="K125" s="4273" t="s">
        <v>723</v>
      </c>
      <c r="L125" s="4228" t="s">
        <v>4316</v>
      </c>
      <c r="M125" s="4628">
        <v>1</v>
      </c>
      <c r="N125" s="4628">
        <v>2</v>
      </c>
      <c r="O125" s="4628">
        <v>3</v>
      </c>
      <c r="P125" s="4228" t="s">
        <v>4273</v>
      </c>
      <c r="Q125" s="4228" t="s">
        <v>4260</v>
      </c>
      <c r="R125" s="4322" t="s">
        <v>4234</v>
      </c>
      <c r="S125" s="2695"/>
      <c r="T125" s="1843"/>
      <c r="U125" s="1842"/>
      <c r="V125" s="2713"/>
      <c r="W125" s="2742"/>
      <c r="X125" s="368"/>
      <c r="Y125" s="2742"/>
      <c r="Z125" s="2742"/>
      <c r="AA125" s="2762"/>
      <c r="AB125" s="2748"/>
      <c r="AC125" s="368"/>
      <c r="AD125" s="371"/>
      <c r="AE125" s="367"/>
      <c r="AF125" s="4640"/>
    </row>
    <row r="126" spans="1:32" ht="28.5" customHeight="1">
      <c r="A126" s="4564"/>
      <c r="B126" s="4361"/>
      <c r="C126" s="4241"/>
      <c r="D126" s="4215"/>
      <c r="E126" s="4215"/>
      <c r="F126" s="4215"/>
      <c r="G126" s="4215"/>
      <c r="H126" s="4215"/>
      <c r="I126" s="4215"/>
      <c r="J126" s="4340"/>
      <c r="K126" s="4215"/>
      <c r="L126" s="4215"/>
      <c r="M126" s="4629"/>
      <c r="N126" s="4629"/>
      <c r="O126" s="4629"/>
      <c r="P126" s="4215"/>
      <c r="Q126" s="4215"/>
      <c r="R126" s="4233"/>
      <c r="S126" s="2696"/>
      <c r="T126" s="1842"/>
      <c r="U126" s="1842"/>
      <c r="V126" s="2710"/>
      <c r="W126" s="1862"/>
      <c r="X126" s="395"/>
      <c r="Y126" s="1867"/>
      <c r="Z126" s="1867"/>
      <c r="AA126" s="2762"/>
      <c r="AB126" s="2742"/>
      <c r="AC126" s="368"/>
      <c r="AD126" s="371"/>
      <c r="AE126" s="358"/>
      <c r="AF126" s="4496"/>
    </row>
    <row r="127" spans="1:32" ht="28.5" customHeight="1">
      <c r="A127" s="4564"/>
      <c r="B127" s="4361"/>
      <c r="C127" s="4241"/>
      <c r="D127" s="4215"/>
      <c r="E127" s="4215"/>
      <c r="F127" s="4215"/>
      <c r="G127" s="4215"/>
      <c r="H127" s="4215"/>
      <c r="I127" s="4215"/>
      <c r="J127" s="4340"/>
      <c r="K127" s="4215"/>
      <c r="L127" s="4215"/>
      <c r="M127" s="4629"/>
      <c r="N127" s="4629"/>
      <c r="O127" s="4629"/>
      <c r="P127" s="4215"/>
      <c r="Q127" s="4215"/>
      <c r="R127" s="4233"/>
      <c r="S127" s="2797"/>
      <c r="T127" s="1842"/>
      <c r="U127" s="1842"/>
      <c r="V127" s="2710"/>
      <c r="W127" s="1862"/>
      <c r="X127" s="395"/>
      <c r="Y127" s="1867"/>
      <c r="Z127" s="1867"/>
      <c r="AA127" s="2762"/>
      <c r="AB127" s="2742"/>
      <c r="AC127" s="368"/>
      <c r="AD127" s="371"/>
      <c r="AE127" s="358"/>
      <c r="AF127" s="4496"/>
    </row>
    <row r="128" spans="1:32" ht="28.5" customHeight="1">
      <c r="A128" s="4564"/>
      <c r="B128" s="4361"/>
      <c r="C128" s="4242"/>
      <c r="D128" s="4216"/>
      <c r="E128" s="4216"/>
      <c r="F128" s="4216"/>
      <c r="G128" s="4216"/>
      <c r="H128" s="4216"/>
      <c r="I128" s="4216"/>
      <c r="J128" s="4341"/>
      <c r="K128" s="4216"/>
      <c r="L128" s="4216"/>
      <c r="M128" s="4630"/>
      <c r="N128" s="4630"/>
      <c r="O128" s="4630"/>
      <c r="P128" s="4216"/>
      <c r="Q128" s="4216"/>
      <c r="R128" s="4258"/>
      <c r="S128" s="2798"/>
      <c r="T128" s="2799"/>
      <c r="U128" s="2799"/>
      <c r="V128" s="2800"/>
      <c r="W128" s="2801"/>
      <c r="X128" s="2675"/>
      <c r="Y128" s="2802"/>
      <c r="Z128" s="2802"/>
      <c r="AA128" s="2803"/>
      <c r="AB128" s="2804"/>
      <c r="AC128" s="2805"/>
      <c r="AD128" s="2806"/>
      <c r="AE128" s="2807"/>
      <c r="AF128" s="4496"/>
    </row>
    <row r="129" spans="1:32" ht="55.5" customHeight="1">
      <c r="A129" s="4564"/>
      <c r="B129" s="4361"/>
      <c r="C129" s="4337" t="s">
        <v>272</v>
      </c>
      <c r="D129" s="4273" t="s">
        <v>679</v>
      </c>
      <c r="E129" s="4273" t="s">
        <v>680</v>
      </c>
      <c r="F129" s="4273" t="s">
        <v>700</v>
      </c>
      <c r="G129" s="4338" t="s">
        <v>682</v>
      </c>
      <c r="H129" s="4273" t="s">
        <v>686</v>
      </c>
      <c r="I129" s="4273" t="s">
        <v>278</v>
      </c>
      <c r="J129" s="4633" t="s">
        <v>724</v>
      </c>
      <c r="K129" s="4273" t="s">
        <v>725</v>
      </c>
      <c r="L129" s="4228" t="s">
        <v>4317</v>
      </c>
      <c r="M129" s="4628">
        <v>4</v>
      </c>
      <c r="N129" s="4628">
        <v>4</v>
      </c>
      <c r="O129" s="4628">
        <v>4</v>
      </c>
      <c r="P129" s="4228" t="s">
        <v>4272</v>
      </c>
      <c r="Q129" s="4228" t="s">
        <v>4261</v>
      </c>
      <c r="R129" s="4458" t="s">
        <v>4235</v>
      </c>
      <c r="S129" s="2842" t="s">
        <v>29</v>
      </c>
      <c r="T129" s="1841">
        <v>530204</v>
      </c>
      <c r="U129" s="1841"/>
      <c r="V129" s="2826" t="s">
        <v>26</v>
      </c>
      <c r="W129" s="2793"/>
      <c r="X129" s="1744"/>
      <c r="Y129" s="2794"/>
      <c r="Z129" s="2794"/>
      <c r="AA129" s="2791"/>
      <c r="AB129" s="2795">
        <f>SUM($AA$130:$AA$130)</f>
        <v>8960</v>
      </c>
      <c r="AC129" s="1744"/>
      <c r="AD129" s="1745"/>
      <c r="AE129" s="2796"/>
      <c r="AF129" s="4640"/>
    </row>
    <row r="130" spans="1:32" ht="30" customHeight="1">
      <c r="A130" s="4564"/>
      <c r="B130" s="4361"/>
      <c r="C130" s="4241"/>
      <c r="D130" s="4215"/>
      <c r="E130" s="4215"/>
      <c r="F130" s="4215"/>
      <c r="G130" s="4215"/>
      <c r="H130" s="4215"/>
      <c r="I130" s="4215"/>
      <c r="J130" s="4340"/>
      <c r="K130" s="4215"/>
      <c r="L130" s="4215"/>
      <c r="M130" s="4629"/>
      <c r="N130" s="4629"/>
      <c r="O130" s="4629"/>
      <c r="P130" s="4215"/>
      <c r="Q130" s="4215"/>
      <c r="R130" s="4449"/>
      <c r="S130" s="2829"/>
      <c r="T130" s="1842"/>
      <c r="U130" s="1842">
        <v>891210911</v>
      </c>
      <c r="V130" s="2710" t="s">
        <v>726</v>
      </c>
      <c r="W130" s="1862">
        <v>1</v>
      </c>
      <c r="X130" s="395" t="s">
        <v>269</v>
      </c>
      <c r="Y130" s="1867">
        <v>8000</v>
      </c>
      <c r="Z130" s="2753">
        <f t="shared" ref="Z130" si="14">+W130*Y130</f>
        <v>8000</v>
      </c>
      <c r="AA130" s="2753">
        <f t="shared" ref="AA130" si="15">+Z130*1.12</f>
        <v>8960</v>
      </c>
      <c r="AB130" s="2742"/>
      <c r="AC130" s="368"/>
      <c r="AD130" s="371" t="s">
        <v>251</v>
      </c>
      <c r="AE130" s="370"/>
      <c r="AF130" s="4496"/>
    </row>
    <row r="131" spans="1:32" ht="18" customHeight="1">
      <c r="A131" s="4564"/>
      <c r="B131" s="4361"/>
      <c r="C131" s="4241"/>
      <c r="D131" s="4215"/>
      <c r="E131" s="4215"/>
      <c r="F131" s="4215"/>
      <c r="G131" s="4215"/>
      <c r="H131" s="4215"/>
      <c r="I131" s="4215"/>
      <c r="J131" s="4340"/>
      <c r="K131" s="4215"/>
      <c r="L131" s="4215"/>
      <c r="M131" s="4629"/>
      <c r="N131" s="4629"/>
      <c r="O131" s="4629"/>
      <c r="P131" s="4215"/>
      <c r="Q131" s="4215"/>
      <c r="R131" s="4449"/>
      <c r="S131" s="2830" t="s">
        <v>17</v>
      </c>
      <c r="T131" s="1843">
        <v>530702</v>
      </c>
      <c r="U131" s="1842"/>
      <c r="V131" s="2713" t="s">
        <v>67</v>
      </c>
      <c r="W131" s="2742"/>
      <c r="X131" s="368"/>
      <c r="Y131" s="2742"/>
      <c r="Z131" s="2742"/>
      <c r="AA131" s="2762"/>
      <c r="AB131" s="2758">
        <f>SUM($AA$132:$AA$133)</f>
        <v>8232.0000000000018</v>
      </c>
      <c r="AC131" s="368"/>
      <c r="AD131" s="371"/>
      <c r="AE131" s="370"/>
      <c r="AF131" s="4496"/>
    </row>
    <row r="132" spans="1:32" ht="18" customHeight="1">
      <c r="A132" s="4564"/>
      <c r="B132" s="4361"/>
      <c r="C132" s="4241"/>
      <c r="D132" s="4215"/>
      <c r="E132" s="4215"/>
      <c r="F132" s="4215"/>
      <c r="G132" s="4215"/>
      <c r="H132" s="4215"/>
      <c r="I132" s="4215"/>
      <c r="J132" s="4340"/>
      <c r="K132" s="4215"/>
      <c r="L132" s="4215"/>
      <c r="M132" s="4629"/>
      <c r="N132" s="4629"/>
      <c r="O132" s="4629"/>
      <c r="P132" s="4215"/>
      <c r="Q132" s="4215"/>
      <c r="R132" s="4449"/>
      <c r="S132" s="2797"/>
      <c r="T132" s="1842"/>
      <c r="U132" s="1842">
        <v>512900021</v>
      </c>
      <c r="V132" s="2710" t="s">
        <v>727</v>
      </c>
      <c r="W132" s="1862">
        <v>3</v>
      </c>
      <c r="X132" s="395" t="s">
        <v>269</v>
      </c>
      <c r="Y132" s="1867">
        <v>450</v>
      </c>
      <c r="Z132" s="2753">
        <f t="shared" ref="Z132:Z133" si="16">+W132*Y132</f>
        <v>1350</v>
      </c>
      <c r="AA132" s="2753">
        <f t="shared" ref="AA132:AA133" si="17">+Z132*1.12</f>
        <v>1512.0000000000002</v>
      </c>
      <c r="AB132" s="2742"/>
      <c r="AC132" s="371" t="s">
        <v>251</v>
      </c>
      <c r="AD132" s="371" t="s">
        <v>251</v>
      </c>
      <c r="AE132" s="370"/>
      <c r="AF132" s="4496"/>
    </row>
    <row r="133" spans="1:32" ht="18" customHeight="1">
      <c r="A133" s="4564"/>
      <c r="B133" s="4361"/>
      <c r="C133" s="4241"/>
      <c r="D133" s="4215"/>
      <c r="E133" s="4215"/>
      <c r="F133" s="4215"/>
      <c r="G133" s="4215"/>
      <c r="H133" s="4215"/>
      <c r="I133" s="4215"/>
      <c r="J133" s="4340"/>
      <c r="K133" s="4215"/>
      <c r="L133" s="4215"/>
      <c r="M133" s="4629"/>
      <c r="N133" s="4629"/>
      <c r="O133" s="4629"/>
      <c r="P133" s="4215"/>
      <c r="Q133" s="4215"/>
      <c r="R133" s="4449"/>
      <c r="S133" s="2798"/>
      <c r="T133" s="2799"/>
      <c r="U133" s="2811">
        <v>512900021</v>
      </c>
      <c r="V133" s="2800" t="s">
        <v>728</v>
      </c>
      <c r="W133" s="2801">
        <v>1</v>
      </c>
      <c r="X133" s="2675" t="s">
        <v>269</v>
      </c>
      <c r="Y133" s="2802">
        <v>6000</v>
      </c>
      <c r="Z133" s="2812">
        <f t="shared" si="16"/>
        <v>6000</v>
      </c>
      <c r="AA133" s="2812">
        <f t="shared" si="17"/>
        <v>6720.0000000000009</v>
      </c>
      <c r="AB133" s="2804"/>
      <c r="AC133" s="2806" t="s">
        <v>251</v>
      </c>
      <c r="AD133" s="2806" t="s">
        <v>251</v>
      </c>
      <c r="AE133" s="370"/>
      <c r="AF133" s="4496"/>
    </row>
    <row r="134" spans="1:32" ht="27.75" customHeight="1">
      <c r="A134" s="4564"/>
      <c r="B134" s="4361"/>
      <c r="C134" s="4337" t="s">
        <v>272</v>
      </c>
      <c r="D134" s="4273" t="s">
        <v>679</v>
      </c>
      <c r="E134" s="4273" t="s">
        <v>680</v>
      </c>
      <c r="F134" s="4273" t="s">
        <v>700</v>
      </c>
      <c r="G134" s="4338" t="s">
        <v>682</v>
      </c>
      <c r="H134" s="4273" t="s">
        <v>686</v>
      </c>
      <c r="I134" s="4273" t="s">
        <v>278</v>
      </c>
      <c r="J134" s="4632" t="s">
        <v>4328</v>
      </c>
      <c r="K134" s="4273" t="s">
        <v>729</v>
      </c>
      <c r="L134" s="4228" t="s">
        <v>4318</v>
      </c>
      <c r="M134" s="4628">
        <v>1</v>
      </c>
      <c r="N134" s="4628">
        <v>1</v>
      </c>
      <c r="O134" s="4628">
        <v>2</v>
      </c>
      <c r="P134" s="4228" t="s">
        <v>4271</v>
      </c>
      <c r="Q134" s="4228" t="s">
        <v>4262</v>
      </c>
      <c r="R134" s="4458" t="s">
        <v>4236</v>
      </c>
      <c r="S134" s="2843" t="s">
        <v>29</v>
      </c>
      <c r="T134" s="1841">
        <v>530702</v>
      </c>
      <c r="U134" s="1853"/>
      <c r="V134" s="2808" t="s">
        <v>67</v>
      </c>
      <c r="W134" s="2809"/>
      <c r="X134" s="1903"/>
      <c r="Y134" s="2809"/>
      <c r="Z134" s="2809"/>
      <c r="AA134" s="2791"/>
      <c r="AB134" s="2795">
        <f>SUM($AA$135:$AA$140)</f>
        <v>1398.88</v>
      </c>
      <c r="AC134" s="1903"/>
      <c r="AD134" s="2810" t="s">
        <v>251</v>
      </c>
      <c r="AE134" s="369"/>
      <c r="AF134" s="4640"/>
    </row>
    <row r="135" spans="1:32" ht="18" customHeight="1">
      <c r="A135" s="4564"/>
      <c r="B135" s="4361"/>
      <c r="C135" s="4241"/>
      <c r="D135" s="4215"/>
      <c r="E135" s="4215"/>
      <c r="F135" s="4215"/>
      <c r="G135" s="4215"/>
      <c r="H135" s="4215"/>
      <c r="I135" s="4215"/>
      <c r="J135" s="4331"/>
      <c r="K135" s="4215"/>
      <c r="L135" s="4215"/>
      <c r="M135" s="4629"/>
      <c r="N135" s="4629"/>
      <c r="O135" s="4629"/>
      <c r="P135" s="4215"/>
      <c r="Q135" s="4215"/>
      <c r="R135" s="4449"/>
      <c r="S135" s="2797"/>
      <c r="T135" s="1842"/>
      <c r="U135" s="1842">
        <v>512900021</v>
      </c>
      <c r="V135" s="2710" t="s">
        <v>730</v>
      </c>
      <c r="W135" s="2738">
        <v>1</v>
      </c>
      <c r="X135" s="395" t="s">
        <v>269</v>
      </c>
      <c r="Y135" s="2785">
        <v>200</v>
      </c>
      <c r="Z135" s="2753">
        <f t="shared" ref="Z135:Z140" si="18">+W135*Y135</f>
        <v>200</v>
      </c>
      <c r="AA135" s="2753">
        <f t="shared" ref="AA135:AA140" si="19">+Z135*1.12</f>
        <v>224.00000000000003</v>
      </c>
      <c r="AB135" s="2742"/>
      <c r="AC135" s="368"/>
      <c r="AD135" s="371" t="s">
        <v>251</v>
      </c>
      <c r="AE135" s="370"/>
      <c r="AF135" s="4496"/>
    </row>
    <row r="136" spans="1:32" ht="18" customHeight="1">
      <c r="A136" s="4564"/>
      <c r="B136" s="4361"/>
      <c r="C136" s="4241"/>
      <c r="D136" s="4215"/>
      <c r="E136" s="4215"/>
      <c r="F136" s="4215"/>
      <c r="G136" s="4215"/>
      <c r="H136" s="4215"/>
      <c r="I136" s="4215"/>
      <c r="J136" s="4331"/>
      <c r="K136" s="4215"/>
      <c r="L136" s="4215"/>
      <c r="M136" s="4629"/>
      <c r="N136" s="4629"/>
      <c r="O136" s="4629"/>
      <c r="P136" s="4215"/>
      <c r="Q136" s="4215"/>
      <c r="R136" s="4449"/>
      <c r="S136" s="2797"/>
      <c r="T136" s="1842"/>
      <c r="U136" s="1842">
        <v>512900021</v>
      </c>
      <c r="V136" s="2710" t="s">
        <v>731</v>
      </c>
      <c r="W136" s="2738">
        <v>1</v>
      </c>
      <c r="X136" s="395" t="s">
        <v>269</v>
      </c>
      <c r="Y136" s="2785">
        <v>200</v>
      </c>
      <c r="Z136" s="2753">
        <f t="shared" si="18"/>
        <v>200</v>
      </c>
      <c r="AA136" s="2753">
        <f t="shared" si="19"/>
        <v>224.00000000000003</v>
      </c>
      <c r="AB136" s="2742"/>
      <c r="AC136" s="368"/>
      <c r="AD136" s="371" t="s">
        <v>251</v>
      </c>
      <c r="AE136" s="370"/>
      <c r="AF136" s="4496"/>
    </row>
    <row r="137" spans="1:32" ht="18" customHeight="1">
      <c r="A137" s="4564"/>
      <c r="B137" s="4361"/>
      <c r="C137" s="4241"/>
      <c r="D137" s="4215"/>
      <c r="E137" s="4215"/>
      <c r="F137" s="4215"/>
      <c r="G137" s="4215"/>
      <c r="H137" s="4215"/>
      <c r="I137" s="4215"/>
      <c r="J137" s="4331"/>
      <c r="K137" s="4215"/>
      <c r="L137" s="4215"/>
      <c r="M137" s="4629"/>
      <c r="N137" s="4629"/>
      <c r="O137" s="4629"/>
      <c r="P137" s="4215"/>
      <c r="Q137" s="4215"/>
      <c r="R137" s="4449"/>
      <c r="S137" s="2797"/>
      <c r="T137" s="1842"/>
      <c r="U137" s="1842">
        <v>512900021</v>
      </c>
      <c r="V137" s="2725" t="s">
        <v>732</v>
      </c>
      <c r="W137" s="2738">
        <v>1</v>
      </c>
      <c r="X137" s="395" t="s">
        <v>269</v>
      </c>
      <c r="Y137" s="2785">
        <v>150</v>
      </c>
      <c r="Z137" s="2753">
        <f t="shared" si="18"/>
        <v>150</v>
      </c>
      <c r="AA137" s="2753">
        <f t="shared" si="19"/>
        <v>168.00000000000003</v>
      </c>
      <c r="AB137" s="2742"/>
      <c r="AC137" s="368"/>
      <c r="AD137" s="371" t="s">
        <v>251</v>
      </c>
      <c r="AE137" s="370"/>
      <c r="AF137" s="4496"/>
    </row>
    <row r="138" spans="1:32" ht="18" customHeight="1">
      <c r="A138" s="4564"/>
      <c r="B138" s="4361"/>
      <c r="C138" s="4241"/>
      <c r="D138" s="4215"/>
      <c r="E138" s="4215"/>
      <c r="F138" s="4215"/>
      <c r="G138" s="4215"/>
      <c r="H138" s="4215"/>
      <c r="I138" s="4215"/>
      <c r="J138" s="4331"/>
      <c r="K138" s="4215"/>
      <c r="L138" s="4215"/>
      <c r="M138" s="4629"/>
      <c r="N138" s="4629"/>
      <c r="O138" s="4629"/>
      <c r="P138" s="4215"/>
      <c r="Q138" s="4215"/>
      <c r="R138" s="4449"/>
      <c r="S138" s="2797"/>
      <c r="T138" s="1842"/>
      <c r="U138" s="2707">
        <v>512900021</v>
      </c>
      <c r="V138" s="2710" t="s">
        <v>733</v>
      </c>
      <c r="W138" s="2738">
        <v>1</v>
      </c>
      <c r="X138" s="395" t="s">
        <v>269</v>
      </c>
      <c r="Y138" s="2785">
        <v>200</v>
      </c>
      <c r="Z138" s="2753">
        <f t="shared" si="18"/>
        <v>200</v>
      </c>
      <c r="AA138" s="2753">
        <f t="shared" si="19"/>
        <v>224.00000000000003</v>
      </c>
      <c r="AB138" s="2742"/>
      <c r="AC138" s="368"/>
      <c r="AD138" s="371" t="s">
        <v>251</v>
      </c>
      <c r="AE138" s="370"/>
      <c r="AF138" s="4496"/>
    </row>
    <row r="139" spans="1:32" ht="18" customHeight="1">
      <c r="A139" s="4564"/>
      <c r="B139" s="4361"/>
      <c r="C139" s="4241"/>
      <c r="D139" s="4215"/>
      <c r="E139" s="4215"/>
      <c r="F139" s="4215"/>
      <c r="G139" s="4215"/>
      <c r="H139" s="4215"/>
      <c r="I139" s="4215"/>
      <c r="J139" s="4331"/>
      <c r="K139" s="4215"/>
      <c r="L139" s="4215"/>
      <c r="M139" s="4629"/>
      <c r="N139" s="4629"/>
      <c r="O139" s="4629"/>
      <c r="P139" s="4215"/>
      <c r="Q139" s="4215"/>
      <c r="R139" s="4449"/>
      <c r="S139" s="2797"/>
      <c r="T139" s="1842"/>
      <c r="U139" s="2707">
        <v>512900021</v>
      </c>
      <c r="V139" s="2710" t="s">
        <v>734</v>
      </c>
      <c r="W139" s="2738">
        <v>1</v>
      </c>
      <c r="X139" s="395" t="s">
        <v>269</v>
      </c>
      <c r="Y139" s="2785">
        <v>299</v>
      </c>
      <c r="Z139" s="2753">
        <f t="shared" si="18"/>
        <v>299</v>
      </c>
      <c r="AA139" s="2753">
        <f t="shared" si="19"/>
        <v>334.88000000000005</v>
      </c>
      <c r="AB139" s="2742"/>
      <c r="AC139" s="368"/>
      <c r="AD139" s="371" t="s">
        <v>251</v>
      </c>
      <c r="AE139" s="370"/>
      <c r="AF139" s="4496"/>
    </row>
    <row r="140" spans="1:32" ht="18" customHeight="1">
      <c r="A140" s="4564"/>
      <c r="B140" s="4361"/>
      <c r="C140" s="4241"/>
      <c r="D140" s="4215"/>
      <c r="E140" s="4215"/>
      <c r="F140" s="4215"/>
      <c r="G140" s="4215"/>
      <c r="H140" s="4215"/>
      <c r="I140" s="4215"/>
      <c r="J140" s="4331"/>
      <c r="K140" s="4215"/>
      <c r="L140" s="4215"/>
      <c r="M140" s="4629"/>
      <c r="N140" s="4629"/>
      <c r="O140" s="4629"/>
      <c r="P140" s="4215"/>
      <c r="Q140" s="4215"/>
      <c r="R140" s="4449"/>
      <c r="S140" s="2831"/>
      <c r="T140" s="2819"/>
      <c r="U140" s="2811">
        <v>512900021</v>
      </c>
      <c r="V140" s="2800" t="s">
        <v>735</v>
      </c>
      <c r="W140" s="2820">
        <v>1</v>
      </c>
      <c r="X140" s="2675" t="s">
        <v>269</v>
      </c>
      <c r="Y140" s="2821">
        <v>200</v>
      </c>
      <c r="Z140" s="2812">
        <f t="shared" si="18"/>
        <v>200</v>
      </c>
      <c r="AA140" s="2812">
        <f t="shared" si="19"/>
        <v>224.00000000000003</v>
      </c>
      <c r="AB140" s="2822"/>
      <c r="AC140" s="2805"/>
      <c r="AD140" s="2806" t="s">
        <v>251</v>
      </c>
      <c r="AE140" s="2823"/>
      <c r="AF140" s="4648"/>
    </row>
    <row r="141" spans="1:32" ht="41.25" customHeight="1">
      <c r="A141" s="4564"/>
      <c r="B141" s="4361"/>
      <c r="C141" s="4337" t="s">
        <v>272</v>
      </c>
      <c r="D141" s="4273" t="s">
        <v>679</v>
      </c>
      <c r="E141" s="4273" t="s">
        <v>680</v>
      </c>
      <c r="F141" s="4273" t="s">
        <v>700</v>
      </c>
      <c r="G141" s="4338" t="s">
        <v>682</v>
      </c>
      <c r="H141" s="4273" t="s">
        <v>686</v>
      </c>
      <c r="I141" s="4273" t="s">
        <v>278</v>
      </c>
      <c r="J141" s="4631" t="s">
        <v>736</v>
      </c>
      <c r="K141" s="4273" t="s">
        <v>737</v>
      </c>
      <c r="L141" s="4228" t="s">
        <v>4319</v>
      </c>
      <c r="M141" s="4628">
        <v>0</v>
      </c>
      <c r="N141" s="4628">
        <v>0</v>
      </c>
      <c r="O141" s="4628">
        <v>1</v>
      </c>
      <c r="P141" s="4228" t="s">
        <v>4270</v>
      </c>
      <c r="Q141" s="4228" t="s">
        <v>4263</v>
      </c>
      <c r="R141" s="4322" t="s">
        <v>4236</v>
      </c>
      <c r="S141" s="2690"/>
      <c r="T141" s="2701"/>
      <c r="U141" s="2813"/>
      <c r="V141" s="2814"/>
      <c r="W141" s="2815"/>
      <c r="X141" s="381"/>
      <c r="Y141" s="2816"/>
      <c r="Z141" s="2816"/>
      <c r="AA141" s="2817"/>
      <c r="AB141" s="2818"/>
      <c r="AC141" s="381"/>
      <c r="AD141" s="382"/>
      <c r="AE141" s="356"/>
      <c r="AF141" s="4647"/>
    </row>
    <row r="142" spans="1:32" ht="41.25" customHeight="1">
      <c r="A142" s="4564"/>
      <c r="B142" s="4361"/>
      <c r="C142" s="4241"/>
      <c r="D142" s="4215"/>
      <c r="E142" s="4215"/>
      <c r="F142" s="4215"/>
      <c r="G142" s="4215"/>
      <c r="H142" s="4215"/>
      <c r="I142" s="4215"/>
      <c r="J142" s="4331"/>
      <c r="K142" s="4215"/>
      <c r="L142" s="4215"/>
      <c r="M142" s="4629"/>
      <c r="N142" s="4629"/>
      <c r="O142" s="4629"/>
      <c r="P142" s="4215"/>
      <c r="Q142" s="4215"/>
      <c r="R142" s="4233"/>
      <c r="S142" s="2691"/>
      <c r="T142" s="2703"/>
      <c r="U142" s="2703"/>
      <c r="V142" s="2719"/>
      <c r="W142" s="2738"/>
      <c r="X142" s="357"/>
      <c r="Y142" s="2774"/>
      <c r="Z142" s="2774"/>
      <c r="AA142" s="2775"/>
      <c r="AB142" s="2776"/>
      <c r="AC142" s="357"/>
      <c r="AD142" s="358"/>
      <c r="AE142" s="358"/>
      <c r="AF142" s="4496"/>
    </row>
    <row r="143" spans="1:32" ht="41.25" customHeight="1">
      <c r="A143" s="4564"/>
      <c r="B143" s="4361"/>
      <c r="C143" s="4241"/>
      <c r="D143" s="4215"/>
      <c r="E143" s="4215"/>
      <c r="F143" s="4215"/>
      <c r="G143" s="4215"/>
      <c r="H143" s="4215"/>
      <c r="I143" s="4215"/>
      <c r="J143" s="4331"/>
      <c r="K143" s="4215"/>
      <c r="L143" s="4215"/>
      <c r="M143" s="4629"/>
      <c r="N143" s="4629"/>
      <c r="O143" s="4629"/>
      <c r="P143" s="4215"/>
      <c r="Q143" s="4215"/>
      <c r="R143" s="4233"/>
      <c r="S143" s="2691"/>
      <c r="T143" s="2703"/>
      <c r="U143" s="2703"/>
      <c r="V143" s="2719"/>
      <c r="W143" s="2738"/>
      <c r="X143" s="357"/>
      <c r="Y143" s="2774"/>
      <c r="Z143" s="2774"/>
      <c r="AA143" s="2775"/>
      <c r="AB143" s="2776"/>
      <c r="AC143" s="357"/>
      <c r="AD143" s="358"/>
      <c r="AE143" s="358"/>
      <c r="AF143" s="4496"/>
    </row>
    <row r="144" spans="1:32" ht="41.25" customHeight="1">
      <c r="A144" s="4564"/>
      <c r="B144" s="4361"/>
      <c r="C144" s="4241"/>
      <c r="D144" s="4215"/>
      <c r="E144" s="4215"/>
      <c r="F144" s="4215"/>
      <c r="G144" s="4215"/>
      <c r="H144" s="4215"/>
      <c r="I144" s="4215"/>
      <c r="J144" s="4331"/>
      <c r="K144" s="4215"/>
      <c r="L144" s="4215"/>
      <c r="M144" s="4629"/>
      <c r="N144" s="4629"/>
      <c r="O144" s="4629"/>
      <c r="P144" s="4215"/>
      <c r="Q144" s="4215"/>
      <c r="R144" s="4233"/>
      <c r="S144" s="2691"/>
      <c r="T144" s="2703"/>
      <c r="U144" s="2703"/>
      <c r="V144" s="2719"/>
      <c r="W144" s="2738"/>
      <c r="X144" s="357"/>
      <c r="Y144" s="2774"/>
      <c r="Z144" s="2774"/>
      <c r="AA144" s="2775"/>
      <c r="AB144" s="2776"/>
      <c r="AC144" s="357"/>
      <c r="AD144" s="358"/>
      <c r="AE144" s="358"/>
      <c r="AF144" s="4496"/>
    </row>
    <row r="145" spans="1:32" ht="41.25" customHeight="1">
      <c r="A145" s="4564"/>
      <c r="B145" s="4361"/>
      <c r="C145" s="4242"/>
      <c r="D145" s="4216"/>
      <c r="E145" s="4216"/>
      <c r="F145" s="4216"/>
      <c r="G145" s="4216"/>
      <c r="H145" s="4216"/>
      <c r="I145" s="4216"/>
      <c r="J145" s="4332"/>
      <c r="K145" s="4216"/>
      <c r="L145" s="4216"/>
      <c r="M145" s="4630"/>
      <c r="N145" s="4630"/>
      <c r="O145" s="4630"/>
      <c r="P145" s="4216"/>
      <c r="Q145" s="4216"/>
      <c r="R145" s="4258"/>
      <c r="S145" s="2691"/>
      <c r="T145" s="2703"/>
      <c r="U145" s="2703"/>
      <c r="V145" s="2719"/>
      <c r="W145" s="2738"/>
      <c r="X145" s="357"/>
      <c r="Y145" s="2774"/>
      <c r="Z145" s="2774"/>
      <c r="AA145" s="2778"/>
      <c r="AB145" s="2776"/>
      <c r="AC145" s="357"/>
      <c r="AD145" s="358"/>
      <c r="AE145" s="358"/>
      <c r="AF145" s="4497"/>
    </row>
    <row r="146" spans="1:32" ht="43.5" customHeight="1">
      <c r="A146" s="4564"/>
      <c r="B146" s="4361"/>
      <c r="C146" s="4337" t="s">
        <v>272</v>
      </c>
      <c r="D146" s="4273" t="s">
        <v>679</v>
      </c>
      <c r="E146" s="4273" t="s">
        <v>680</v>
      </c>
      <c r="F146" s="4273" t="s">
        <v>700</v>
      </c>
      <c r="G146" s="4338" t="s">
        <v>682</v>
      </c>
      <c r="H146" s="4273" t="s">
        <v>686</v>
      </c>
      <c r="I146" s="4273" t="s">
        <v>278</v>
      </c>
      <c r="J146" s="4471" t="s">
        <v>738</v>
      </c>
      <c r="K146" s="4273" t="s">
        <v>739</v>
      </c>
      <c r="L146" s="4228" t="s">
        <v>4320</v>
      </c>
      <c r="M146" s="4628">
        <v>1</v>
      </c>
      <c r="N146" s="1908"/>
      <c r="O146" s="4628">
        <v>1</v>
      </c>
      <c r="P146" s="4228" t="s">
        <v>4269</v>
      </c>
      <c r="Q146" s="4228" t="s">
        <v>4264</v>
      </c>
      <c r="R146" s="4322" t="s">
        <v>4234</v>
      </c>
      <c r="S146" s="2697"/>
      <c r="T146" s="2705"/>
      <c r="U146" s="2705"/>
      <c r="V146" s="2726"/>
      <c r="W146" s="2740"/>
      <c r="X146" s="363"/>
      <c r="Y146" s="2780"/>
      <c r="Z146" s="2780"/>
      <c r="AA146" s="2791"/>
      <c r="AB146" s="2773"/>
      <c r="AC146" s="363"/>
      <c r="AD146" s="367"/>
      <c r="AE146" s="367"/>
      <c r="AF146" s="4640"/>
    </row>
    <row r="147" spans="1:32" ht="43.5" customHeight="1">
      <c r="A147" s="4564"/>
      <c r="B147" s="4361"/>
      <c r="C147" s="4241"/>
      <c r="D147" s="4215"/>
      <c r="E147" s="4215"/>
      <c r="F147" s="4215"/>
      <c r="G147" s="4215"/>
      <c r="H147" s="4215"/>
      <c r="I147" s="4215"/>
      <c r="J147" s="4449"/>
      <c r="K147" s="4215"/>
      <c r="L147" s="4215"/>
      <c r="M147" s="4629"/>
      <c r="N147" s="1909"/>
      <c r="O147" s="4629"/>
      <c r="P147" s="4215"/>
      <c r="Q147" s="4215"/>
      <c r="R147" s="4233"/>
      <c r="S147" s="2690"/>
      <c r="T147" s="2701"/>
      <c r="U147" s="2701"/>
      <c r="V147" s="2719"/>
      <c r="W147" s="2738"/>
      <c r="X147" s="357"/>
      <c r="Y147" s="2774"/>
      <c r="Z147" s="2774"/>
      <c r="AA147" s="2775"/>
      <c r="AB147" s="2776"/>
      <c r="AC147" s="357"/>
      <c r="AD147" s="358"/>
      <c r="AE147" s="358"/>
      <c r="AF147" s="4496"/>
    </row>
    <row r="148" spans="1:32" ht="43.5" customHeight="1">
      <c r="A148" s="4564"/>
      <c r="B148" s="4361"/>
      <c r="C148" s="4241"/>
      <c r="D148" s="4215"/>
      <c r="E148" s="4215"/>
      <c r="F148" s="4215"/>
      <c r="G148" s="4215"/>
      <c r="H148" s="4215"/>
      <c r="I148" s="4215"/>
      <c r="J148" s="4449"/>
      <c r="K148" s="4215"/>
      <c r="L148" s="4215"/>
      <c r="M148" s="4629"/>
      <c r="N148" s="1909">
        <v>2</v>
      </c>
      <c r="O148" s="4629"/>
      <c r="P148" s="4215"/>
      <c r="Q148" s="4215"/>
      <c r="R148" s="4233"/>
      <c r="S148" s="2691"/>
      <c r="T148" s="2703"/>
      <c r="U148" s="2703"/>
      <c r="V148" s="2719"/>
      <c r="W148" s="2738"/>
      <c r="X148" s="357"/>
      <c r="Y148" s="2774"/>
      <c r="Z148" s="2774"/>
      <c r="AA148" s="2775"/>
      <c r="AB148" s="2776"/>
      <c r="AC148" s="357"/>
      <c r="AD148" s="358"/>
      <c r="AE148" s="358"/>
      <c r="AF148" s="4496"/>
    </row>
    <row r="149" spans="1:32" ht="43.5" customHeight="1">
      <c r="A149" s="4564"/>
      <c r="B149" s="4361"/>
      <c r="C149" s="4241"/>
      <c r="D149" s="4215"/>
      <c r="E149" s="4215"/>
      <c r="F149" s="4215"/>
      <c r="G149" s="4215"/>
      <c r="H149" s="4215"/>
      <c r="I149" s="4215"/>
      <c r="J149" s="4449"/>
      <c r="K149" s="4215"/>
      <c r="L149" s="4215"/>
      <c r="M149" s="4629"/>
      <c r="N149" s="1909"/>
      <c r="O149" s="4629"/>
      <c r="P149" s="4215"/>
      <c r="Q149" s="4215"/>
      <c r="R149" s="4233"/>
      <c r="S149" s="2691"/>
      <c r="T149" s="2703"/>
      <c r="U149" s="2703"/>
      <c r="V149" s="2719"/>
      <c r="W149" s="2738"/>
      <c r="X149" s="357"/>
      <c r="Y149" s="2774"/>
      <c r="Z149" s="2774"/>
      <c r="AA149" s="2775"/>
      <c r="AB149" s="2776"/>
      <c r="AC149" s="357"/>
      <c r="AD149" s="358"/>
      <c r="AE149" s="358"/>
      <c r="AF149" s="4496"/>
    </row>
    <row r="150" spans="1:32" ht="43.5" customHeight="1">
      <c r="A150" s="4564"/>
      <c r="B150" s="4361"/>
      <c r="C150" s="4242"/>
      <c r="D150" s="4216"/>
      <c r="E150" s="4216"/>
      <c r="F150" s="4216"/>
      <c r="G150" s="4216"/>
      <c r="H150" s="4216"/>
      <c r="I150" s="4216"/>
      <c r="J150" s="4450"/>
      <c r="K150" s="4216"/>
      <c r="L150" s="4216"/>
      <c r="M150" s="4630"/>
      <c r="N150" s="1910"/>
      <c r="O150" s="4630"/>
      <c r="P150" s="4216"/>
      <c r="Q150" s="4216"/>
      <c r="R150" s="4258"/>
      <c r="S150" s="2692"/>
      <c r="T150" s="2704"/>
      <c r="U150" s="2704"/>
      <c r="V150" s="2721"/>
      <c r="W150" s="2739"/>
      <c r="X150" s="361"/>
      <c r="Y150" s="2777"/>
      <c r="Z150" s="2777"/>
      <c r="AA150" s="2778"/>
      <c r="AB150" s="2779"/>
      <c r="AC150" s="361"/>
      <c r="AD150" s="354"/>
      <c r="AE150" s="354"/>
      <c r="AF150" s="4497"/>
    </row>
    <row r="151" spans="1:32" ht="39" customHeight="1">
      <c r="A151" s="4564"/>
      <c r="B151" s="4361"/>
      <c r="C151" s="4337" t="s">
        <v>235</v>
      </c>
      <c r="D151" s="4273" t="s">
        <v>236</v>
      </c>
      <c r="E151" s="4273" t="s">
        <v>237</v>
      </c>
      <c r="F151" s="4273" t="s">
        <v>238</v>
      </c>
      <c r="G151" s="4338" t="s">
        <v>239</v>
      </c>
      <c r="H151" s="4273" t="s">
        <v>686</v>
      </c>
      <c r="I151" s="4273" t="s">
        <v>257</v>
      </c>
      <c r="J151" s="4471" t="s">
        <v>740</v>
      </c>
      <c r="K151" s="4273" t="s">
        <v>741</v>
      </c>
      <c r="L151" s="4228" t="s">
        <v>4321</v>
      </c>
      <c r="M151" s="4628">
        <v>0</v>
      </c>
      <c r="N151" s="1908"/>
      <c r="O151" s="4628">
        <v>1</v>
      </c>
      <c r="P151" s="4228" t="s">
        <v>4268</v>
      </c>
      <c r="Q151" s="4228" t="s">
        <v>4265</v>
      </c>
      <c r="R151" s="4322" t="s">
        <v>4234</v>
      </c>
      <c r="S151" s="2697"/>
      <c r="T151" s="2705"/>
      <c r="U151" s="2705"/>
      <c r="V151" s="2726"/>
      <c r="W151" s="2740"/>
      <c r="X151" s="363"/>
      <c r="Y151" s="2780"/>
      <c r="Z151" s="2780"/>
      <c r="AA151" s="2772"/>
      <c r="AB151" s="2773"/>
      <c r="AC151" s="363"/>
      <c r="AD151" s="367"/>
      <c r="AE151" s="367"/>
      <c r="AF151" s="4640"/>
    </row>
    <row r="152" spans="1:32" ht="39" customHeight="1">
      <c r="A152" s="4564"/>
      <c r="B152" s="4361"/>
      <c r="C152" s="4241"/>
      <c r="D152" s="4215"/>
      <c r="E152" s="4215"/>
      <c r="F152" s="4215"/>
      <c r="G152" s="4215"/>
      <c r="H152" s="4215"/>
      <c r="I152" s="4215"/>
      <c r="J152" s="4449"/>
      <c r="K152" s="4215"/>
      <c r="L152" s="4215"/>
      <c r="M152" s="4629"/>
      <c r="N152" s="1909"/>
      <c r="O152" s="4629"/>
      <c r="P152" s="4215"/>
      <c r="Q152" s="4215"/>
      <c r="R152" s="4233"/>
      <c r="S152" s="2690"/>
      <c r="T152" s="2701"/>
      <c r="U152" s="2701"/>
      <c r="V152" s="2719"/>
      <c r="W152" s="2738"/>
      <c r="X152" s="357"/>
      <c r="Y152" s="2774"/>
      <c r="Z152" s="2774"/>
      <c r="AA152" s="2775"/>
      <c r="AB152" s="2776"/>
      <c r="AC152" s="357"/>
      <c r="AD152" s="358"/>
      <c r="AE152" s="358"/>
      <c r="AF152" s="4496"/>
    </row>
    <row r="153" spans="1:32" ht="39" customHeight="1">
      <c r="A153" s="4564"/>
      <c r="B153" s="4361"/>
      <c r="C153" s="4241"/>
      <c r="D153" s="4215"/>
      <c r="E153" s="4215"/>
      <c r="F153" s="4215"/>
      <c r="G153" s="4215"/>
      <c r="H153" s="4215"/>
      <c r="I153" s="4215"/>
      <c r="J153" s="4449"/>
      <c r="K153" s="4215"/>
      <c r="L153" s="4215"/>
      <c r="M153" s="4629"/>
      <c r="N153" s="1909">
        <v>1</v>
      </c>
      <c r="O153" s="4629"/>
      <c r="P153" s="4215"/>
      <c r="Q153" s="4215"/>
      <c r="R153" s="4233"/>
      <c r="S153" s="2691"/>
      <c r="T153" s="2703"/>
      <c r="U153" s="2703"/>
      <c r="V153" s="2719"/>
      <c r="W153" s="2738"/>
      <c r="X153" s="357"/>
      <c r="Y153" s="2774"/>
      <c r="Z153" s="2774"/>
      <c r="AA153" s="2775"/>
      <c r="AB153" s="2776"/>
      <c r="AC153" s="357"/>
      <c r="AD153" s="358"/>
      <c r="AE153" s="358"/>
      <c r="AF153" s="4496"/>
    </row>
    <row r="154" spans="1:32" ht="39" customHeight="1">
      <c r="A154" s="4564"/>
      <c r="B154" s="4361"/>
      <c r="C154" s="4241"/>
      <c r="D154" s="4215"/>
      <c r="E154" s="4215"/>
      <c r="F154" s="4215"/>
      <c r="G154" s="4215"/>
      <c r="H154" s="4215"/>
      <c r="I154" s="4215"/>
      <c r="J154" s="4449"/>
      <c r="K154" s="4215"/>
      <c r="L154" s="4215"/>
      <c r="M154" s="4629"/>
      <c r="N154" s="1909"/>
      <c r="O154" s="4629"/>
      <c r="P154" s="4215"/>
      <c r="Q154" s="4215"/>
      <c r="R154" s="4233"/>
      <c r="S154" s="2691"/>
      <c r="T154" s="2703"/>
      <c r="U154" s="2703"/>
      <c r="V154" s="2719"/>
      <c r="W154" s="2738"/>
      <c r="X154" s="357"/>
      <c r="Y154" s="2774"/>
      <c r="Z154" s="2774"/>
      <c r="AA154" s="2775"/>
      <c r="AB154" s="2776"/>
      <c r="AC154" s="357"/>
      <c r="AD154" s="358"/>
      <c r="AE154" s="358"/>
      <c r="AF154" s="4496"/>
    </row>
    <row r="155" spans="1:32" ht="39" customHeight="1">
      <c r="A155" s="4564"/>
      <c r="B155" s="4361"/>
      <c r="C155" s="4242"/>
      <c r="D155" s="4216"/>
      <c r="E155" s="4216"/>
      <c r="F155" s="4216"/>
      <c r="G155" s="4216"/>
      <c r="H155" s="4216"/>
      <c r="I155" s="4216"/>
      <c r="J155" s="4450"/>
      <c r="K155" s="4216"/>
      <c r="L155" s="4216"/>
      <c r="M155" s="4630"/>
      <c r="N155" s="1910"/>
      <c r="O155" s="4630"/>
      <c r="P155" s="4216"/>
      <c r="Q155" s="4216"/>
      <c r="R155" s="4258"/>
      <c r="S155" s="2692"/>
      <c r="T155" s="2704"/>
      <c r="U155" s="2704"/>
      <c r="V155" s="2721"/>
      <c r="W155" s="2739"/>
      <c r="X155" s="361"/>
      <c r="Y155" s="2777"/>
      <c r="Z155" s="2777"/>
      <c r="AA155" s="2778"/>
      <c r="AB155" s="2779"/>
      <c r="AC155" s="361"/>
      <c r="AD155" s="354"/>
      <c r="AE155" s="354"/>
      <c r="AF155" s="4497"/>
    </row>
    <row r="156" spans="1:32" ht="31.5" customHeight="1">
      <c r="A156" s="4564"/>
      <c r="B156" s="4361"/>
      <c r="C156" s="4337" t="s">
        <v>235</v>
      </c>
      <c r="D156" s="4273" t="s">
        <v>236</v>
      </c>
      <c r="E156" s="4273" t="s">
        <v>237</v>
      </c>
      <c r="F156" s="4273" t="s">
        <v>370</v>
      </c>
      <c r="G156" s="4338" t="s">
        <v>239</v>
      </c>
      <c r="H156" s="4273" t="s">
        <v>686</v>
      </c>
      <c r="I156" s="4273" t="s">
        <v>257</v>
      </c>
      <c r="J156" s="4471" t="s">
        <v>742</v>
      </c>
      <c r="K156" s="4273" t="s">
        <v>371</v>
      </c>
      <c r="L156" s="4228" t="s">
        <v>840</v>
      </c>
      <c r="M156" s="4628">
        <v>0</v>
      </c>
      <c r="N156" s="1908"/>
      <c r="O156" s="4628">
        <v>1</v>
      </c>
      <c r="P156" s="4228" t="s">
        <v>4267</v>
      </c>
      <c r="Q156" s="4228" t="s">
        <v>4266</v>
      </c>
      <c r="R156" s="4322" t="s">
        <v>4234</v>
      </c>
      <c r="S156" s="2697"/>
      <c r="T156" s="2705"/>
      <c r="U156" s="2705"/>
      <c r="V156" s="2726"/>
      <c r="W156" s="2740"/>
      <c r="X156" s="363"/>
      <c r="Y156" s="2780"/>
      <c r="Z156" s="2780"/>
      <c r="AA156" s="2772"/>
      <c r="AB156" s="2773"/>
      <c r="AC156" s="363"/>
      <c r="AD156" s="367"/>
      <c r="AE156" s="367"/>
      <c r="AF156" s="4640"/>
    </row>
    <row r="157" spans="1:32" ht="31.5" customHeight="1">
      <c r="A157" s="4564"/>
      <c r="B157" s="4361"/>
      <c r="C157" s="4241"/>
      <c r="D157" s="4215"/>
      <c r="E157" s="4215"/>
      <c r="F157" s="4215"/>
      <c r="G157" s="4215"/>
      <c r="H157" s="4215"/>
      <c r="I157" s="4215"/>
      <c r="J157" s="4449"/>
      <c r="K157" s="4215"/>
      <c r="L157" s="4215"/>
      <c r="M157" s="4629"/>
      <c r="N157" s="1909"/>
      <c r="O157" s="4629"/>
      <c r="P157" s="4215"/>
      <c r="Q157" s="4215"/>
      <c r="R157" s="4233"/>
      <c r="S157" s="2690"/>
      <c r="T157" s="2701"/>
      <c r="U157" s="2701"/>
      <c r="V157" s="2719"/>
      <c r="W157" s="2738"/>
      <c r="X157" s="357"/>
      <c r="Y157" s="2774"/>
      <c r="Z157" s="2774"/>
      <c r="AA157" s="2775"/>
      <c r="AB157" s="2776"/>
      <c r="AC157" s="357"/>
      <c r="AD157" s="358"/>
      <c r="AE157" s="358"/>
      <c r="AF157" s="4496"/>
    </row>
    <row r="158" spans="1:32" ht="31.5" customHeight="1">
      <c r="A158" s="4564"/>
      <c r="B158" s="4361"/>
      <c r="C158" s="4241"/>
      <c r="D158" s="4215"/>
      <c r="E158" s="4215"/>
      <c r="F158" s="4215"/>
      <c r="G158" s="4215"/>
      <c r="H158" s="4215"/>
      <c r="I158" s="4215"/>
      <c r="J158" s="4449"/>
      <c r="K158" s="4215"/>
      <c r="L158" s="4215"/>
      <c r="M158" s="4629"/>
      <c r="N158" s="1909">
        <v>0</v>
      </c>
      <c r="O158" s="4629"/>
      <c r="P158" s="4215"/>
      <c r="Q158" s="4215"/>
      <c r="R158" s="4233"/>
      <c r="S158" s="2691"/>
      <c r="T158" s="2703"/>
      <c r="U158" s="2703"/>
      <c r="V158" s="2719"/>
      <c r="W158" s="2738"/>
      <c r="X158" s="357"/>
      <c r="Y158" s="2774"/>
      <c r="Z158" s="2774"/>
      <c r="AA158" s="2775"/>
      <c r="AB158" s="2776"/>
      <c r="AC158" s="357"/>
      <c r="AD158" s="358"/>
      <c r="AE158" s="358"/>
      <c r="AF158" s="4496"/>
    </row>
    <row r="159" spans="1:32" ht="31.5" customHeight="1">
      <c r="A159" s="4564"/>
      <c r="B159" s="4361"/>
      <c r="C159" s="4241"/>
      <c r="D159" s="4215"/>
      <c r="E159" s="4215"/>
      <c r="F159" s="4215"/>
      <c r="G159" s="4215"/>
      <c r="H159" s="4215"/>
      <c r="I159" s="4215"/>
      <c r="J159" s="4449"/>
      <c r="K159" s="4215"/>
      <c r="L159" s="4215"/>
      <c r="M159" s="4629"/>
      <c r="N159" s="1909"/>
      <c r="O159" s="4629"/>
      <c r="P159" s="4215"/>
      <c r="Q159" s="4215"/>
      <c r="R159" s="4233"/>
      <c r="S159" s="2691"/>
      <c r="T159" s="2703"/>
      <c r="U159" s="2703"/>
      <c r="V159" s="2719"/>
      <c r="W159" s="2738"/>
      <c r="X159" s="357"/>
      <c r="Y159" s="2774"/>
      <c r="Z159" s="2774"/>
      <c r="AA159" s="2775"/>
      <c r="AB159" s="2776"/>
      <c r="AC159" s="357"/>
      <c r="AD159" s="358"/>
      <c r="AE159" s="358"/>
      <c r="AF159" s="4496"/>
    </row>
    <row r="160" spans="1:32" ht="31.5" customHeight="1">
      <c r="A160" s="4564"/>
      <c r="B160" s="4361"/>
      <c r="C160" s="4242"/>
      <c r="D160" s="4216"/>
      <c r="E160" s="4216"/>
      <c r="F160" s="4216"/>
      <c r="G160" s="4216"/>
      <c r="H160" s="4216"/>
      <c r="I160" s="4216"/>
      <c r="J160" s="4450"/>
      <c r="K160" s="4216"/>
      <c r="L160" s="4216"/>
      <c r="M160" s="4630"/>
      <c r="N160" s="1910"/>
      <c r="O160" s="4630"/>
      <c r="P160" s="4216"/>
      <c r="Q160" s="4216"/>
      <c r="R160" s="4258"/>
      <c r="S160" s="2692"/>
      <c r="T160" s="2704"/>
      <c r="U160" s="2704"/>
      <c r="V160" s="2721"/>
      <c r="W160" s="2739"/>
      <c r="X160" s="361"/>
      <c r="Y160" s="2777"/>
      <c r="Z160" s="2777"/>
      <c r="AA160" s="2778"/>
      <c r="AB160" s="2779"/>
      <c r="AC160" s="361"/>
      <c r="AD160" s="354"/>
      <c r="AE160" s="354"/>
      <c r="AF160" s="4497"/>
    </row>
    <row r="161" spans="1:32" ht="22.5" customHeight="1" thickBot="1">
      <c r="A161" s="4564"/>
      <c r="B161" s="4620"/>
      <c r="C161" s="1902"/>
      <c r="D161" s="1902"/>
      <c r="E161" s="1902"/>
      <c r="F161" s="1902"/>
      <c r="G161" s="1902"/>
      <c r="H161" s="1902"/>
      <c r="I161" s="1902"/>
      <c r="J161" s="1902"/>
      <c r="K161" s="1902"/>
      <c r="L161" s="1902"/>
      <c r="M161" s="1902"/>
      <c r="N161" s="1902"/>
      <c r="O161" s="1902"/>
      <c r="P161" s="1902"/>
      <c r="Q161" s="1902"/>
      <c r="R161" s="1902"/>
      <c r="S161" s="4503" t="s">
        <v>743</v>
      </c>
      <c r="T161" s="4504"/>
      <c r="U161" s="4504"/>
      <c r="V161" s="4504"/>
      <c r="W161" s="4504"/>
      <c r="X161" s="4504"/>
      <c r="Y161" s="4504"/>
      <c r="Z161" s="4504"/>
      <c r="AA161" s="2237" t="s">
        <v>340</v>
      </c>
      <c r="AB161" s="2236">
        <f>SUM(AB90:AB160)</f>
        <v>22869.280000000002</v>
      </c>
      <c r="AC161" s="4641"/>
      <c r="AD161" s="4642"/>
      <c r="AE161" s="4642"/>
      <c r="AF161" s="4643"/>
    </row>
    <row r="162" spans="1:32" ht="22.5" customHeight="1" thickBot="1">
      <c r="A162" s="2845"/>
      <c r="B162" s="1911"/>
      <c r="C162" s="1912"/>
      <c r="D162" s="1912"/>
      <c r="E162" s="1912"/>
      <c r="F162" s="1912"/>
      <c r="G162" s="1912"/>
      <c r="H162" s="1912"/>
      <c r="I162" s="1912"/>
      <c r="J162" s="1912"/>
      <c r="K162" s="1912"/>
      <c r="L162" s="1912"/>
      <c r="M162" s="1912"/>
      <c r="N162" s="1912"/>
      <c r="O162" s="1912"/>
      <c r="P162" s="1912"/>
      <c r="Q162" s="1912"/>
      <c r="R162" s="1913"/>
      <c r="S162" s="4644" t="s">
        <v>744</v>
      </c>
      <c r="T162" s="4645"/>
      <c r="U162" s="4645"/>
      <c r="V162" s="4645"/>
      <c r="W162" s="4645"/>
      <c r="X162" s="4645"/>
      <c r="Y162" s="4645"/>
      <c r="Z162" s="4645"/>
      <c r="AA162" s="2182" t="s">
        <v>340</v>
      </c>
      <c r="AB162" s="1914">
        <f>SUM(AB89,AB161)</f>
        <v>66632.540800000002</v>
      </c>
      <c r="AC162" s="4646"/>
      <c r="AD162" s="4506"/>
      <c r="AE162" s="4506"/>
      <c r="AF162" s="4507"/>
    </row>
    <row r="163" spans="1:32" ht="17.25" thickTop="1">
      <c r="A163" s="373"/>
      <c r="B163" s="374"/>
      <c r="C163" s="1915" t="s">
        <v>3913</v>
      </c>
      <c r="D163" s="298"/>
      <c r="E163" s="298"/>
      <c r="F163" s="298"/>
      <c r="G163" s="298"/>
      <c r="H163" s="298"/>
      <c r="I163" s="298"/>
      <c r="J163" s="298"/>
      <c r="K163" s="298"/>
      <c r="L163" s="298"/>
      <c r="M163" s="298"/>
      <c r="N163" s="298"/>
      <c r="O163" s="298"/>
      <c r="P163" s="298"/>
      <c r="Q163" s="298"/>
      <c r="R163" s="298"/>
      <c r="S163" s="4388" t="s">
        <v>745</v>
      </c>
      <c r="T163" s="4150"/>
      <c r="U163" s="4150"/>
      <c r="V163" s="4150"/>
      <c r="W163" s="4150"/>
      <c r="X163" s="4150"/>
      <c r="Y163" s="4150"/>
      <c r="Z163" s="4150"/>
      <c r="AA163" s="4150"/>
      <c r="AB163" s="4150"/>
      <c r="AC163" s="4150"/>
      <c r="AD163" s="4150"/>
      <c r="AE163" s="4150"/>
      <c r="AF163" s="4150"/>
    </row>
    <row r="164" spans="1:32" s="1884" customFormat="1" ht="16.5">
      <c r="A164" s="373"/>
      <c r="B164" s="374"/>
      <c r="C164" s="1916" t="s">
        <v>3925</v>
      </c>
      <c r="D164" s="298"/>
      <c r="E164" s="298"/>
      <c r="F164" s="298"/>
      <c r="G164" s="298"/>
      <c r="H164" s="298"/>
      <c r="I164" s="298"/>
      <c r="J164" s="298"/>
      <c r="K164" s="298"/>
      <c r="L164" s="298"/>
      <c r="M164" s="298"/>
      <c r="N164" s="298"/>
      <c r="O164" s="298"/>
      <c r="P164" s="298"/>
      <c r="Q164" s="298"/>
      <c r="R164" s="298"/>
      <c r="S164" s="1886"/>
    </row>
    <row r="165" spans="1:32" ht="16.5" customHeight="1">
      <c r="A165" s="373"/>
      <c r="B165" s="374"/>
      <c r="D165" s="298"/>
      <c r="E165" s="298"/>
      <c r="F165" s="298"/>
      <c r="G165" s="298"/>
      <c r="H165" s="298"/>
      <c r="I165" s="298"/>
      <c r="J165" s="298"/>
      <c r="K165" s="298"/>
      <c r="L165" s="298"/>
      <c r="M165" s="298"/>
      <c r="N165" s="298"/>
      <c r="O165" s="298"/>
      <c r="P165" s="298"/>
      <c r="Q165" s="298"/>
      <c r="R165" s="298"/>
      <c r="S165" s="298"/>
      <c r="T165" s="298"/>
      <c r="U165" s="4222" t="s">
        <v>343</v>
      </c>
      <c r="V165" s="4223"/>
      <c r="W165" s="4223"/>
      <c r="X165" s="4223"/>
      <c r="Y165" s="4223"/>
      <c r="Z165" s="4223"/>
      <c r="AA165" s="4389"/>
      <c r="AB165" s="4150"/>
      <c r="AC165" s="375"/>
      <c r="AD165" s="298"/>
      <c r="AE165" s="298"/>
    </row>
    <row r="166" spans="1:32" ht="17.25" thickBot="1">
      <c r="A166" s="373"/>
      <c r="B166" s="298"/>
      <c r="C166" s="298"/>
      <c r="D166" s="298"/>
      <c r="E166" s="298"/>
      <c r="F166" s="298"/>
      <c r="G166" s="298"/>
      <c r="H166" s="298"/>
      <c r="I166" s="298"/>
      <c r="J166" s="298"/>
      <c r="K166" s="298"/>
      <c r="L166" s="298"/>
      <c r="M166" s="298"/>
      <c r="N166" s="298"/>
      <c r="O166" s="298"/>
      <c r="P166" s="298"/>
      <c r="Q166" s="298"/>
      <c r="R166" s="298"/>
      <c r="S166" s="298"/>
      <c r="U166" s="131"/>
      <c r="V166" s="131"/>
      <c r="W166" s="131"/>
      <c r="X166" s="131"/>
      <c r="Y166" s="131"/>
      <c r="Z166" s="131"/>
      <c r="AA166" s="225"/>
      <c r="AB166" s="225"/>
      <c r="AC166" s="375"/>
      <c r="AD166" s="298"/>
      <c r="AE166" s="298"/>
    </row>
    <row r="167" spans="1:32" ht="16.5" customHeight="1" thickTop="1">
      <c r="A167" s="373"/>
      <c r="B167" s="298"/>
      <c r="C167" s="298"/>
      <c r="D167" s="298"/>
      <c r="E167" s="298"/>
      <c r="F167" s="298"/>
      <c r="G167" s="298"/>
      <c r="H167" s="298"/>
      <c r="I167" s="298"/>
      <c r="J167" s="298"/>
      <c r="K167" s="298"/>
      <c r="L167" s="298"/>
      <c r="M167" s="298"/>
      <c r="N167" s="298"/>
      <c r="O167" s="298"/>
      <c r="P167" s="298"/>
      <c r="Q167" s="298"/>
      <c r="R167" s="298"/>
      <c r="S167" s="226"/>
      <c r="T167" s="131"/>
      <c r="U167" s="2238" t="s">
        <v>4</v>
      </c>
      <c r="V167" s="2239" t="s">
        <v>344</v>
      </c>
      <c r="W167" s="2240" t="s">
        <v>6</v>
      </c>
      <c r="X167" s="2241" t="s">
        <v>345</v>
      </c>
      <c r="Y167" s="2241" t="s">
        <v>8</v>
      </c>
      <c r="Z167" s="2242" t="s">
        <v>346</v>
      </c>
      <c r="AA167" s="227"/>
      <c r="AB167" s="227"/>
      <c r="AC167" s="375"/>
      <c r="AD167" s="298"/>
      <c r="AE167" s="298"/>
    </row>
    <row r="168" spans="1:32" ht="66">
      <c r="A168" s="373"/>
      <c r="B168" s="298"/>
      <c r="C168" s="298"/>
      <c r="D168" s="298"/>
      <c r="E168" s="298"/>
      <c r="F168" s="298"/>
      <c r="G168" s="298"/>
      <c r="H168" s="298"/>
      <c r="I168" s="298"/>
      <c r="J168" s="298"/>
      <c r="K168" s="298"/>
      <c r="L168" s="298"/>
      <c r="M168" s="298"/>
      <c r="N168" s="298"/>
      <c r="O168" s="298"/>
      <c r="T168" s="135"/>
      <c r="U168" s="2252" t="s">
        <v>17</v>
      </c>
      <c r="V168" s="2260" t="s">
        <v>26</v>
      </c>
      <c r="W168" s="139">
        <v>530204</v>
      </c>
      <c r="X168" s="137" t="s">
        <v>13</v>
      </c>
      <c r="Y168" s="1568" t="s">
        <v>18</v>
      </c>
      <c r="Z168" s="299">
        <f>SUM($AA$15:$AA$17)</f>
        <v>7280.0000000000009</v>
      </c>
      <c r="AA168" s="228"/>
      <c r="AB168" s="229"/>
      <c r="AC168" s="375"/>
      <c r="AD168" s="298"/>
      <c r="AE168" s="298"/>
    </row>
    <row r="169" spans="1:32" ht="66">
      <c r="A169" s="373"/>
      <c r="B169" s="298"/>
      <c r="C169" s="298"/>
      <c r="D169" s="298"/>
      <c r="E169" s="298"/>
      <c r="F169" s="298"/>
      <c r="G169" s="298"/>
      <c r="H169" s="298"/>
      <c r="I169" s="298"/>
      <c r="J169" s="298"/>
      <c r="K169" s="298"/>
      <c r="L169" s="298"/>
      <c r="M169" s="298"/>
      <c r="N169" s="298"/>
      <c r="O169" s="298"/>
      <c r="T169" s="135"/>
      <c r="U169" s="2254" t="s">
        <v>29</v>
      </c>
      <c r="V169" s="2260" t="s">
        <v>26</v>
      </c>
      <c r="W169" s="139">
        <v>530204</v>
      </c>
      <c r="X169" s="137" t="s">
        <v>13</v>
      </c>
      <c r="Y169" s="1568" t="s">
        <v>30</v>
      </c>
      <c r="Z169" s="299">
        <f>SUM($AA$130:$AA$130)</f>
        <v>8960</v>
      </c>
      <c r="AA169" s="227"/>
      <c r="AB169" s="231"/>
      <c r="AC169" s="375"/>
      <c r="AD169" s="298"/>
      <c r="AE169" s="298"/>
    </row>
    <row r="170" spans="1:32" ht="33">
      <c r="A170" s="373"/>
      <c r="B170" s="298"/>
      <c r="C170" s="298"/>
      <c r="D170" s="298"/>
      <c r="E170" s="298"/>
      <c r="F170" s="298"/>
      <c r="G170" s="298"/>
      <c r="H170" s="298"/>
      <c r="I170" s="298"/>
      <c r="J170" s="298"/>
      <c r="K170" s="298"/>
      <c r="L170" s="298"/>
      <c r="M170" s="298"/>
      <c r="N170" s="298"/>
      <c r="O170" s="298"/>
      <c r="T170" s="135"/>
      <c r="U170" s="2254" t="s">
        <v>29</v>
      </c>
      <c r="V170" s="2260" t="s">
        <v>27</v>
      </c>
      <c r="W170" s="139">
        <v>530239</v>
      </c>
      <c r="X170" s="137" t="s">
        <v>13</v>
      </c>
      <c r="Y170" s="1568" t="s">
        <v>30</v>
      </c>
      <c r="Z170" s="299">
        <f>SUM($AA$35:$AA$37)</f>
        <v>560</v>
      </c>
      <c r="AA170" s="227"/>
      <c r="AB170" s="231"/>
      <c r="AC170" s="375"/>
      <c r="AD170" s="298"/>
      <c r="AE170" s="298"/>
    </row>
    <row r="171" spans="1:32" ht="16.5" customHeight="1">
      <c r="A171" s="373"/>
      <c r="B171" s="298"/>
      <c r="C171" s="298"/>
      <c r="D171" s="298"/>
      <c r="E171" s="298"/>
      <c r="F171" s="298"/>
      <c r="G171" s="298"/>
      <c r="H171" s="298"/>
      <c r="I171" s="298"/>
      <c r="J171" s="298"/>
      <c r="K171" s="298"/>
      <c r="L171" s="298"/>
      <c r="M171" s="298"/>
      <c r="N171" s="298"/>
      <c r="O171" s="298"/>
      <c r="T171" s="135"/>
      <c r="U171" s="2252" t="s">
        <v>17</v>
      </c>
      <c r="V171" s="2260" t="s">
        <v>65</v>
      </c>
      <c r="W171" s="139">
        <v>530302</v>
      </c>
      <c r="X171" s="137" t="s">
        <v>13</v>
      </c>
      <c r="Y171" s="1568" t="s">
        <v>18</v>
      </c>
      <c r="Z171" s="299">
        <f>SUM($AA$20:$AA$20)</f>
        <v>5040.0000000000009</v>
      </c>
      <c r="AA171" s="232"/>
      <c r="AB171" s="302"/>
      <c r="AC171" s="375"/>
      <c r="AD171" s="298"/>
      <c r="AE171" s="298"/>
    </row>
    <row r="172" spans="1:32" ht="16.5" customHeight="1">
      <c r="A172" s="373"/>
      <c r="B172" s="298"/>
      <c r="C172" s="298"/>
      <c r="D172" s="298"/>
      <c r="E172" s="298"/>
      <c r="F172" s="298"/>
      <c r="G172" s="298"/>
      <c r="H172" s="298"/>
      <c r="I172" s="298"/>
      <c r="J172" s="298"/>
      <c r="K172" s="298"/>
      <c r="L172" s="298"/>
      <c r="M172" s="298"/>
      <c r="N172" s="298"/>
      <c r="O172" s="298"/>
      <c r="T172" s="135"/>
      <c r="U172" s="2252" t="s">
        <v>17</v>
      </c>
      <c r="V172" s="2260" t="s">
        <v>12</v>
      </c>
      <c r="W172" s="139">
        <v>530304</v>
      </c>
      <c r="X172" s="137" t="s">
        <v>13</v>
      </c>
      <c r="Y172" s="1568" t="s">
        <v>18</v>
      </c>
      <c r="Z172" s="299">
        <f>SUM($AA$22)</f>
        <v>3920.0000000000005</v>
      </c>
      <c r="AA172" s="232"/>
      <c r="AB172" s="302"/>
      <c r="AC172" s="375"/>
      <c r="AD172" s="298"/>
      <c r="AE172" s="298"/>
    </row>
    <row r="173" spans="1:32" ht="16.5" customHeight="1">
      <c r="A173" s="373"/>
      <c r="B173" s="298"/>
      <c r="C173" s="298"/>
      <c r="D173" s="298"/>
      <c r="E173" s="298"/>
      <c r="F173" s="298"/>
      <c r="G173" s="298"/>
      <c r="H173" s="298"/>
      <c r="I173" s="298"/>
      <c r="J173" s="298"/>
      <c r="K173" s="298"/>
      <c r="L173" s="298"/>
      <c r="M173" s="298"/>
      <c r="N173" s="298"/>
      <c r="O173" s="298"/>
      <c r="T173" s="135"/>
      <c r="U173" s="2252" t="s">
        <v>17</v>
      </c>
      <c r="V173" s="2253" t="s">
        <v>66</v>
      </c>
      <c r="W173" s="139">
        <v>530612</v>
      </c>
      <c r="X173" s="137" t="s">
        <v>13</v>
      </c>
      <c r="Y173" s="1568" t="s">
        <v>30</v>
      </c>
      <c r="Z173" s="299">
        <f>SUM($AA$65:$AA$67)</f>
        <v>12320.000000000002</v>
      </c>
      <c r="AA173" s="232"/>
      <c r="AB173" s="302"/>
      <c r="AC173" s="375"/>
      <c r="AD173" s="298"/>
      <c r="AE173" s="298"/>
    </row>
    <row r="174" spans="1:32" ht="16.5" customHeight="1">
      <c r="A174" s="373"/>
      <c r="B174" s="298"/>
      <c r="C174" s="298"/>
      <c r="D174" s="298"/>
      <c r="E174" s="298"/>
      <c r="F174" s="298"/>
      <c r="G174" s="298"/>
      <c r="H174" s="298"/>
      <c r="I174" s="298"/>
      <c r="J174" s="298"/>
      <c r="K174" s="298"/>
      <c r="L174" s="298"/>
      <c r="M174" s="298"/>
      <c r="N174" s="298"/>
      <c r="O174" s="298"/>
      <c r="T174" s="135"/>
      <c r="U174" s="2252" t="s">
        <v>17</v>
      </c>
      <c r="V174" s="2260" t="s">
        <v>67</v>
      </c>
      <c r="W174" s="139">
        <v>530702</v>
      </c>
      <c r="X174" s="137" t="s">
        <v>13</v>
      </c>
      <c r="Y174" s="1568" t="s">
        <v>30</v>
      </c>
      <c r="Z174" s="299">
        <f>SUM($AA$132:$AA$133)</f>
        <v>8232.0000000000018</v>
      </c>
      <c r="AA174" s="232"/>
      <c r="AB174" s="302"/>
      <c r="AC174" s="375"/>
      <c r="AD174" s="298"/>
      <c r="AE174" s="298"/>
    </row>
    <row r="175" spans="1:32" ht="16.5" customHeight="1">
      <c r="A175" s="373"/>
      <c r="B175" s="298"/>
      <c r="C175" s="298"/>
      <c r="D175" s="298"/>
      <c r="E175" s="298"/>
      <c r="F175" s="298"/>
      <c r="G175" s="298"/>
      <c r="H175" s="298"/>
      <c r="I175" s="298"/>
      <c r="J175" s="298"/>
      <c r="K175" s="298"/>
      <c r="L175" s="298"/>
      <c r="M175" s="298"/>
      <c r="N175" s="298"/>
      <c r="O175" s="298"/>
      <c r="T175" s="135"/>
      <c r="U175" s="2254" t="s">
        <v>29</v>
      </c>
      <c r="V175" s="2260" t="s">
        <v>67</v>
      </c>
      <c r="W175" s="139">
        <v>530702</v>
      </c>
      <c r="X175" s="137" t="s">
        <v>13</v>
      </c>
      <c r="Y175" s="1568" t="s">
        <v>18</v>
      </c>
      <c r="Z175" s="299">
        <f>SUM($AA$135:$AA$140)</f>
        <v>1398.88</v>
      </c>
      <c r="AA175" s="232"/>
      <c r="AB175" s="302"/>
      <c r="AC175" s="375"/>
      <c r="AD175" s="298"/>
      <c r="AE175" s="298"/>
    </row>
    <row r="176" spans="1:32" ht="33">
      <c r="A176" s="373"/>
      <c r="B176" s="298"/>
      <c r="C176" s="298"/>
      <c r="D176" s="298"/>
      <c r="E176" s="298"/>
      <c r="F176" s="298"/>
      <c r="G176" s="298"/>
      <c r="H176" s="298"/>
      <c r="I176" s="298"/>
      <c r="J176" s="298"/>
      <c r="K176" s="298"/>
      <c r="L176" s="298"/>
      <c r="M176" s="298"/>
      <c r="N176" s="298"/>
      <c r="O176" s="298"/>
      <c r="T176" s="135"/>
      <c r="U176" s="2254" t="s">
        <v>29</v>
      </c>
      <c r="V176" s="2253" t="s">
        <v>68</v>
      </c>
      <c r="W176" s="139">
        <v>570102</v>
      </c>
      <c r="X176" s="137" t="s">
        <v>13</v>
      </c>
      <c r="Y176" s="1568" t="s">
        <v>14</v>
      </c>
      <c r="Z176" s="299">
        <f>SUM($AA$30:$AA$32)</f>
        <v>1120</v>
      </c>
      <c r="AA176" s="232"/>
      <c r="AB176" s="302"/>
      <c r="AC176" s="375"/>
      <c r="AD176" s="298"/>
      <c r="AE176" s="298"/>
    </row>
    <row r="177" spans="1:31" ht="16.5">
      <c r="A177" s="373"/>
      <c r="B177" s="298"/>
      <c r="C177" s="298"/>
      <c r="D177" s="298"/>
      <c r="E177" s="298"/>
      <c r="F177" s="298"/>
      <c r="G177" s="298"/>
      <c r="H177" s="298"/>
      <c r="I177" s="298"/>
      <c r="J177" s="298"/>
      <c r="K177" s="298"/>
      <c r="L177" s="298"/>
      <c r="M177" s="298"/>
      <c r="N177" s="298"/>
      <c r="O177" s="298"/>
      <c r="T177" s="135"/>
      <c r="U177" s="2252" t="s">
        <v>17</v>
      </c>
      <c r="V177" s="2253" t="s">
        <v>24</v>
      </c>
      <c r="W177" s="139">
        <v>840104</v>
      </c>
      <c r="X177" s="137" t="s">
        <v>13</v>
      </c>
      <c r="Y177" s="1570" t="s">
        <v>14</v>
      </c>
      <c r="Z177" s="299">
        <f>SUM($AA$116:$AA$118)</f>
        <v>4278.4000000000005</v>
      </c>
      <c r="AA177" s="232"/>
      <c r="AB177" s="302"/>
      <c r="AC177" s="375"/>
      <c r="AD177" s="298"/>
      <c r="AE177" s="298"/>
    </row>
    <row r="178" spans="1:31" ht="16.5" customHeight="1">
      <c r="A178" s="373"/>
      <c r="B178" s="298"/>
      <c r="C178" s="298"/>
      <c r="D178" s="298"/>
      <c r="E178" s="298"/>
      <c r="F178" s="298"/>
      <c r="G178" s="298"/>
      <c r="H178" s="298"/>
      <c r="I178" s="298"/>
      <c r="J178" s="298"/>
      <c r="K178" s="298"/>
      <c r="L178" s="298"/>
      <c r="M178" s="298"/>
      <c r="N178" s="298"/>
      <c r="O178" s="298"/>
      <c r="T178" s="135"/>
      <c r="U178" s="2252" t="s">
        <v>17</v>
      </c>
      <c r="V178" s="2253" t="s">
        <v>20</v>
      </c>
      <c r="W178" s="139">
        <v>840107</v>
      </c>
      <c r="X178" s="137" t="s">
        <v>13</v>
      </c>
      <c r="Y178" s="1570" t="s">
        <v>14</v>
      </c>
      <c r="Z178" s="299">
        <f>SUM($AA$45:$AA$47)</f>
        <v>13523.260800000002</v>
      </c>
      <c r="AA178" s="232"/>
      <c r="AB178" s="302"/>
      <c r="AC178" s="375"/>
      <c r="AD178" s="298"/>
      <c r="AE178" s="298"/>
    </row>
    <row r="179" spans="1:31" ht="16.5" customHeight="1" thickBot="1">
      <c r="A179" s="373"/>
      <c r="B179" s="298"/>
      <c r="C179" s="298"/>
      <c r="D179" s="298"/>
      <c r="E179" s="298"/>
      <c r="F179" s="298"/>
      <c r="G179" s="298"/>
      <c r="H179" s="298"/>
      <c r="I179" s="298"/>
      <c r="J179" s="298"/>
      <c r="K179" s="298"/>
      <c r="L179" s="298"/>
      <c r="M179" s="298"/>
      <c r="N179" s="298"/>
      <c r="O179" s="298"/>
      <c r="P179" s="376"/>
      <c r="Q179" s="377"/>
      <c r="R179" s="378"/>
      <c r="S179" s="379"/>
      <c r="T179" s="135"/>
      <c r="U179" s="2257"/>
      <c r="V179" s="2245" t="s">
        <v>183</v>
      </c>
      <c r="W179" s="2258"/>
      <c r="X179" s="2258"/>
      <c r="Y179" s="2246" t="s">
        <v>340</v>
      </c>
      <c r="Z179" s="140">
        <f>SUM(Z168:Z178)</f>
        <v>66632.540800000002</v>
      </c>
      <c r="AA179" s="221"/>
      <c r="AB179" s="298"/>
      <c r="AC179" s="375"/>
      <c r="AD179" s="298"/>
      <c r="AE179" s="298"/>
    </row>
    <row r="180" spans="1:31" ht="16.5" customHeight="1" thickTop="1">
      <c r="A180" s="373"/>
      <c r="B180" s="298"/>
      <c r="C180" s="298"/>
      <c r="D180" s="298"/>
      <c r="E180" s="298"/>
      <c r="F180" s="298"/>
      <c r="G180" s="298"/>
      <c r="H180" s="298"/>
      <c r="I180" s="298"/>
      <c r="J180" s="298"/>
      <c r="K180" s="298"/>
      <c r="L180" s="298"/>
      <c r="M180" s="298"/>
      <c r="N180" s="298"/>
      <c r="O180" s="298"/>
      <c r="P180" s="298"/>
      <c r="Q180" s="298"/>
      <c r="R180" s="298"/>
      <c r="T180" s="135"/>
      <c r="U180" s="131"/>
      <c r="V180" s="142" t="s">
        <v>347</v>
      </c>
      <c r="W180" s="143"/>
      <c r="X180" s="131"/>
      <c r="Y180" s="131"/>
      <c r="Z180" s="131"/>
      <c r="AA180" s="221"/>
      <c r="AB180" s="307"/>
      <c r="AC180" s="375"/>
      <c r="AD180" s="298"/>
      <c r="AE180" s="298"/>
    </row>
    <row r="181" spans="1:31" ht="16.5" customHeight="1" thickBot="1">
      <c r="A181" s="373"/>
      <c r="B181" s="298"/>
      <c r="C181" s="298"/>
      <c r="D181" s="298"/>
      <c r="E181" s="298"/>
      <c r="F181" s="298"/>
      <c r="G181" s="298"/>
      <c r="H181" s="298"/>
      <c r="I181" s="298"/>
      <c r="J181" s="298"/>
      <c r="K181" s="298"/>
      <c r="L181" s="298"/>
      <c r="M181" s="298"/>
      <c r="N181" s="298"/>
      <c r="O181" s="298"/>
      <c r="P181" s="298"/>
      <c r="Q181" s="298"/>
      <c r="R181" s="298"/>
      <c r="T181" s="131"/>
      <c r="U181" s="131"/>
      <c r="V181" s="131"/>
      <c r="W181" s="131"/>
      <c r="X181" s="131"/>
      <c r="Y181" s="131"/>
      <c r="Z181" s="131"/>
      <c r="AA181" s="131"/>
      <c r="AB181" s="221"/>
      <c r="AC181" s="375"/>
      <c r="AD181" s="298"/>
      <c r="AE181" s="298"/>
    </row>
    <row r="182" spans="1:31" ht="30.75" customHeight="1" thickTop="1">
      <c r="A182" s="373"/>
      <c r="B182" s="298"/>
      <c r="C182" s="298"/>
      <c r="D182" s="298"/>
      <c r="E182" s="298"/>
      <c r="F182" s="298"/>
      <c r="G182" s="298"/>
      <c r="H182" s="298"/>
      <c r="I182" s="298"/>
      <c r="J182" s="298"/>
      <c r="K182" s="298"/>
      <c r="L182" s="298"/>
      <c r="M182" s="298"/>
      <c r="N182" s="298"/>
      <c r="O182" s="298"/>
      <c r="P182" s="298"/>
      <c r="Q182" s="298"/>
      <c r="R182" s="298"/>
      <c r="U182" s="4303" t="s">
        <v>348</v>
      </c>
      <c r="V182" s="4304"/>
      <c r="W182" s="4305"/>
      <c r="X182" s="131"/>
      <c r="Y182" s="144" t="s">
        <v>349</v>
      </c>
      <c r="Z182" s="145" t="str">
        <f>IF(Z179=AB162,"OK","NO")</f>
        <v>OK</v>
      </c>
      <c r="AA182" s="131"/>
      <c r="AB182" s="268"/>
      <c r="AC182" s="298"/>
      <c r="AD182" s="375"/>
      <c r="AE182" s="298"/>
    </row>
    <row r="183" spans="1:31" ht="16.5" customHeight="1">
      <c r="A183" s="373"/>
      <c r="B183" s="298"/>
      <c r="C183" s="298"/>
      <c r="D183" s="298"/>
      <c r="E183" s="298"/>
      <c r="F183" s="298"/>
      <c r="G183" s="298"/>
      <c r="H183" s="298"/>
      <c r="I183" s="298"/>
      <c r="J183" s="298"/>
      <c r="K183" s="298"/>
      <c r="L183" s="298"/>
      <c r="M183" s="298"/>
      <c r="N183" s="298"/>
      <c r="O183" s="298"/>
      <c r="P183" s="298"/>
      <c r="Q183" s="298"/>
      <c r="R183" s="298"/>
      <c r="U183" s="4635" t="s">
        <v>3666</v>
      </c>
      <c r="V183" s="4636"/>
      <c r="W183" s="2379">
        <f>SUM(Z168,Z171,Z172,Z175)</f>
        <v>17638.88</v>
      </c>
      <c r="X183" s="143"/>
      <c r="Y183" s="131"/>
      <c r="Z183" s="145" t="str">
        <f>IF(W187=AB162,"OK","NO")</f>
        <v>OK</v>
      </c>
      <c r="AA183" s="131"/>
      <c r="AB183" s="268"/>
      <c r="AC183" s="298"/>
      <c r="AD183" s="375"/>
      <c r="AE183" s="298"/>
    </row>
    <row r="184" spans="1:31" ht="16.5" customHeight="1">
      <c r="A184" s="373"/>
      <c r="B184" s="298"/>
      <c r="C184" s="298"/>
      <c r="D184" s="298"/>
      <c r="E184" s="298"/>
      <c r="F184" s="298"/>
      <c r="G184" s="298"/>
      <c r="H184" s="298"/>
      <c r="I184" s="298"/>
      <c r="J184" s="298"/>
      <c r="K184" s="298"/>
      <c r="L184" s="298"/>
      <c r="M184" s="298"/>
      <c r="N184" s="298"/>
      <c r="O184" s="298"/>
      <c r="P184" s="298"/>
      <c r="Q184" s="298"/>
      <c r="R184" s="298"/>
      <c r="S184" s="298"/>
      <c r="T184" s="298"/>
      <c r="U184" s="4637" t="s">
        <v>3667</v>
      </c>
      <c r="V184" s="4638"/>
      <c r="W184" s="2380">
        <f>SUM(Z169,Z170,Z173,Z174)</f>
        <v>30072</v>
      </c>
      <c r="X184" s="143"/>
      <c r="Y184" s="131"/>
      <c r="Z184" s="145" t="str">
        <f>IF(W197=AB162,"OK","NO")</f>
        <v>OK</v>
      </c>
      <c r="AA184" s="131"/>
      <c r="AB184" s="268"/>
      <c r="AC184" s="298"/>
      <c r="AD184" s="375"/>
      <c r="AE184" s="298"/>
    </row>
    <row r="185" spans="1:31" ht="16.5" customHeight="1">
      <c r="A185" s="373"/>
      <c r="B185" s="298"/>
      <c r="C185" s="298"/>
      <c r="D185" s="298"/>
      <c r="E185" s="298"/>
      <c r="F185" s="298"/>
      <c r="G185" s="298"/>
      <c r="H185" s="298"/>
      <c r="I185" s="298"/>
      <c r="J185" s="298"/>
      <c r="K185" s="298"/>
      <c r="L185" s="298"/>
      <c r="M185" s="298"/>
      <c r="N185" s="298"/>
      <c r="O185" s="298"/>
      <c r="P185" s="298"/>
      <c r="Q185" s="298"/>
      <c r="R185" s="298"/>
      <c r="S185" s="298"/>
      <c r="T185" s="298"/>
      <c r="U185" s="4637" t="s">
        <v>3669</v>
      </c>
      <c r="V185" s="4638"/>
      <c r="W185" s="2380">
        <f>SUM(Z176:Z178)</f>
        <v>18921.660800000001</v>
      </c>
      <c r="X185" s="143"/>
      <c r="Y185" s="143"/>
      <c r="Z185" s="145" t="str">
        <f>IF(Resumen!C352=AB162,"OK","NO")</f>
        <v>OK</v>
      </c>
      <c r="AA185" s="131"/>
      <c r="AB185" s="268"/>
      <c r="AC185" s="298"/>
      <c r="AD185" s="375"/>
      <c r="AE185" s="298"/>
    </row>
    <row r="186" spans="1:31" ht="16.5" customHeight="1">
      <c r="A186" s="373"/>
      <c r="B186" s="298"/>
      <c r="C186" s="298"/>
      <c r="D186" s="298"/>
      <c r="E186" s="298"/>
      <c r="F186" s="298"/>
      <c r="G186" s="298"/>
      <c r="H186" s="298"/>
      <c r="I186" s="298"/>
      <c r="J186" s="298"/>
      <c r="K186" s="298"/>
      <c r="L186" s="298"/>
      <c r="M186" s="298"/>
      <c r="N186" s="298"/>
      <c r="O186" s="298"/>
      <c r="P186" s="298"/>
      <c r="Q186" s="298"/>
      <c r="R186" s="298"/>
      <c r="S186" s="298"/>
      <c r="T186" s="298"/>
      <c r="U186" s="4637" t="s">
        <v>3668</v>
      </c>
      <c r="V186" s="4638"/>
      <c r="W186" s="2381">
        <v>0</v>
      </c>
      <c r="X186" s="143"/>
      <c r="Y186" s="143"/>
      <c r="Z186" s="131"/>
      <c r="AA186" s="131"/>
      <c r="AB186" s="268"/>
      <c r="AC186" s="298"/>
      <c r="AD186" s="375"/>
      <c r="AE186" s="298"/>
    </row>
    <row r="187" spans="1:31" ht="16.5" customHeight="1">
      <c r="A187" s="373"/>
      <c r="B187" s="298"/>
      <c r="C187" s="298"/>
      <c r="D187" s="298"/>
      <c r="E187" s="298"/>
      <c r="F187" s="298"/>
      <c r="G187" s="298"/>
      <c r="H187" s="298"/>
      <c r="I187" s="298"/>
      <c r="J187" s="298"/>
      <c r="K187" s="298"/>
      <c r="L187" s="298"/>
      <c r="M187" s="298"/>
      <c r="N187" s="298"/>
      <c r="O187" s="298"/>
      <c r="P187" s="298"/>
      <c r="Q187" s="298"/>
      <c r="R187" s="298"/>
      <c r="S187" s="298"/>
      <c r="T187" s="298"/>
      <c r="U187" s="4202" t="s">
        <v>183</v>
      </c>
      <c r="V187" s="4203"/>
      <c r="W187" s="1571">
        <f>SUM(W183:W186)</f>
        <v>66632.540800000002</v>
      </c>
      <c r="X187" s="143"/>
      <c r="Y187" s="143"/>
      <c r="Z187" s="131"/>
      <c r="AA187" s="131"/>
      <c r="AB187" s="268"/>
      <c r="AC187" s="298"/>
      <c r="AD187" s="375"/>
      <c r="AE187" s="298"/>
    </row>
    <row r="188" spans="1:31" ht="16.5" customHeight="1">
      <c r="A188" s="373"/>
      <c r="B188" s="298"/>
      <c r="C188" s="298"/>
      <c r="D188" s="298"/>
      <c r="E188" s="298"/>
      <c r="F188" s="298"/>
      <c r="G188" s="298"/>
      <c r="H188" s="298"/>
      <c r="I188" s="298"/>
      <c r="J188" s="298"/>
      <c r="K188" s="298"/>
      <c r="L188" s="298"/>
      <c r="M188" s="298"/>
      <c r="N188" s="298"/>
      <c r="O188" s="298"/>
      <c r="P188" s="298"/>
      <c r="Q188" s="298"/>
      <c r="R188" s="298"/>
      <c r="S188" s="298"/>
      <c r="T188" s="298"/>
      <c r="U188" s="4555" t="s">
        <v>350</v>
      </c>
      <c r="V188" s="4556"/>
      <c r="W188" s="4557"/>
      <c r="X188" s="147"/>
      <c r="Y188" s="147"/>
      <c r="Z188" s="131"/>
      <c r="AA188" s="131"/>
      <c r="AB188" s="268"/>
      <c r="AC188" s="298"/>
      <c r="AD188" s="375"/>
      <c r="AE188" s="298"/>
    </row>
    <row r="189" spans="1:31" ht="16.5" customHeight="1">
      <c r="A189" s="373"/>
      <c r="B189" s="298"/>
      <c r="C189" s="298"/>
      <c r="D189" s="298"/>
      <c r="E189" s="298"/>
      <c r="F189" s="298"/>
      <c r="G189" s="298"/>
      <c r="H189" s="298"/>
      <c r="I189" s="298"/>
      <c r="J189" s="298"/>
      <c r="K189" s="298"/>
      <c r="L189" s="298"/>
      <c r="M189" s="298"/>
      <c r="N189" s="298"/>
      <c r="O189" s="298"/>
      <c r="P189" s="298"/>
      <c r="Q189" s="298"/>
      <c r="R189" s="298"/>
      <c r="S189" s="298"/>
      <c r="T189" s="298"/>
      <c r="U189" s="4655" t="s">
        <v>3670</v>
      </c>
      <c r="V189" s="4636"/>
      <c r="W189" s="2379">
        <v>0</v>
      </c>
      <c r="X189" s="147"/>
      <c r="Y189" s="147"/>
      <c r="Z189" s="131"/>
      <c r="AA189" s="131"/>
      <c r="AB189" s="268"/>
      <c r="AC189" s="298"/>
      <c r="AD189" s="375"/>
      <c r="AE189" s="298"/>
    </row>
    <row r="190" spans="1:31" ht="16.5" customHeight="1">
      <c r="A190" s="373"/>
      <c r="B190" s="298"/>
      <c r="C190" s="298"/>
      <c r="D190" s="298"/>
      <c r="E190" s="298"/>
      <c r="F190" s="298"/>
      <c r="G190" s="298"/>
      <c r="H190" s="298"/>
      <c r="I190" s="298"/>
      <c r="J190" s="298"/>
      <c r="K190" s="298"/>
      <c r="L190" s="298"/>
      <c r="M190" s="298"/>
      <c r="N190" s="298"/>
      <c r="O190" s="298"/>
      <c r="P190" s="298"/>
      <c r="Q190" s="298"/>
      <c r="R190" s="298"/>
      <c r="S190" s="298"/>
      <c r="T190" s="298"/>
      <c r="U190" s="4639" t="s">
        <v>3671</v>
      </c>
      <c r="V190" s="4638"/>
      <c r="W190" s="2380">
        <f>SUM(Z168:Z175)</f>
        <v>47710.879999999997</v>
      </c>
      <c r="X190" s="147"/>
      <c r="Y190" s="147"/>
      <c r="Z190" s="131"/>
      <c r="AA190" s="131"/>
      <c r="AB190" s="268"/>
      <c r="AC190" s="298"/>
      <c r="AD190" s="375"/>
      <c r="AE190" s="298"/>
    </row>
    <row r="191" spans="1:31" ht="16.5" customHeight="1">
      <c r="A191" s="373"/>
      <c r="B191" s="298"/>
      <c r="C191" s="298"/>
      <c r="D191" s="298"/>
      <c r="E191" s="298"/>
      <c r="F191" s="298"/>
      <c r="G191" s="298"/>
      <c r="H191" s="298"/>
      <c r="I191" s="298"/>
      <c r="J191" s="298"/>
      <c r="K191" s="298"/>
      <c r="L191" s="298"/>
      <c r="M191" s="298"/>
      <c r="N191" s="298"/>
      <c r="O191" s="298"/>
      <c r="P191" s="298"/>
      <c r="Q191" s="298"/>
      <c r="R191" s="298"/>
      <c r="S191" s="298"/>
      <c r="T191" s="298"/>
      <c r="U191" s="4639" t="s">
        <v>3672</v>
      </c>
      <c r="V191" s="4638"/>
      <c r="W191" s="2380">
        <f>SUM(Z176)</f>
        <v>1120</v>
      </c>
      <c r="X191" s="150"/>
      <c r="Y191" s="150"/>
      <c r="Z191" s="131"/>
      <c r="AA191" s="131"/>
      <c r="AB191" s="268"/>
      <c r="AC191" s="298"/>
      <c r="AD191" s="375"/>
      <c r="AE191" s="298"/>
    </row>
    <row r="192" spans="1:31" ht="16.5" customHeight="1">
      <c r="A192" s="373"/>
      <c r="B192" s="298"/>
      <c r="C192" s="298"/>
      <c r="D192" s="298"/>
      <c r="E192" s="298"/>
      <c r="F192" s="298"/>
      <c r="G192" s="298"/>
      <c r="H192" s="298"/>
      <c r="I192" s="298"/>
      <c r="J192" s="298"/>
      <c r="K192" s="298"/>
      <c r="L192" s="298"/>
      <c r="M192" s="298"/>
      <c r="N192" s="298"/>
      <c r="O192" s="298"/>
      <c r="P192" s="298"/>
      <c r="Q192" s="298"/>
      <c r="R192" s="298"/>
      <c r="S192" s="298"/>
      <c r="T192" s="298"/>
      <c r="U192" s="4639" t="s">
        <v>3673</v>
      </c>
      <c r="V192" s="4638"/>
      <c r="W192" s="2380">
        <v>0</v>
      </c>
      <c r="X192" s="143"/>
      <c r="Y192" s="312"/>
      <c r="Z192" s="269"/>
      <c r="AA192" s="269"/>
      <c r="AB192" s="270"/>
      <c r="AC192" s="298"/>
      <c r="AD192" s="375"/>
      <c r="AE192" s="298"/>
    </row>
    <row r="193" spans="1:31" ht="16.5" customHeight="1">
      <c r="A193" s="373"/>
      <c r="B193" s="298"/>
      <c r="C193" s="298"/>
      <c r="D193" s="298"/>
      <c r="E193" s="298"/>
      <c r="F193" s="298"/>
      <c r="G193" s="298"/>
      <c r="H193" s="298"/>
      <c r="I193" s="298"/>
      <c r="J193" s="298"/>
      <c r="K193" s="298"/>
      <c r="L193" s="298"/>
      <c r="M193" s="298"/>
      <c r="N193" s="298"/>
      <c r="O193" s="298"/>
      <c r="P193" s="298"/>
      <c r="Q193" s="298"/>
      <c r="R193" s="298"/>
      <c r="S193" s="298"/>
      <c r="T193" s="298"/>
      <c r="U193" s="4639" t="s">
        <v>3674</v>
      </c>
      <c r="V193" s="4638"/>
      <c r="W193" s="2380">
        <v>0</v>
      </c>
      <c r="X193" s="151"/>
      <c r="Y193" s="314"/>
      <c r="Z193" s="4480"/>
      <c r="AA193" s="4150"/>
      <c r="AB193" s="4150"/>
      <c r="AC193" s="298"/>
      <c r="AD193" s="375"/>
      <c r="AE193" s="298"/>
    </row>
    <row r="194" spans="1:31" ht="16.5" customHeight="1">
      <c r="A194" s="373"/>
      <c r="B194" s="298"/>
      <c r="C194" s="298"/>
      <c r="D194" s="298"/>
      <c r="E194" s="298"/>
      <c r="F194" s="298"/>
      <c r="G194" s="298"/>
      <c r="H194" s="298"/>
      <c r="I194" s="298"/>
      <c r="J194" s="298"/>
      <c r="K194" s="298"/>
      <c r="L194" s="298"/>
      <c r="M194" s="298"/>
      <c r="N194" s="298"/>
      <c r="O194" s="298"/>
      <c r="P194" s="298"/>
      <c r="Q194" s="298"/>
      <c r="R194" s="298"/>
      <c r="S194" s="298"/>
      <c r="T194" s="298"/>
      <c r="U194" s="4639" t="s">
        <v>3675</v>
      </c>
      <c r="V194" s="4638"/>
      <c r="W194" s="2380">
        <v>0</v>
      </c>
      <c r="X194" s="151"/>
      <c r="Y194" s="314"/>
      <c r="Z194" s="271"/>
      <c r="AA194" s="272"/>
      <c r="AB194" s="271"/>
      <c r="AC194" s="298"/>
      <c r="AD194" s="375"/>
      <c r="AE194" s="298"/>
    </row>
    <row r="195" spans="1:31" ht="16.5" customHeight="1">
      <c r="A195" s="373"/>
      <c r="B195" s="298"/>
      <c r="C195" s="298"/>
      <c r="D195" s="298"/>
      <c r="E195" s="298"/>
      <c r="F195" s="298"/>
      <c r="G195" s="298"/>
      <c r="H195" s="298"/>
      <c r="I195" s="298"/>
      <c r="J195" s="298"/>
      <c r="K195" s="298"/>
      <c r="L195" s="298"/>
      <c r="M195" s="298"/>
      <c r="N195" s="298"/>
      <c r="O195" s="298"/>
      <c r="P195" s="298"/>
      <c r="Q195" s="298"/>
      <c r="R195" s="298"/>
      <c r="S195" s="298"/>
      <c r="T195" s="298"/>
      <c r="U195" s="4639" t="s">
        <v>3676</v>
      </c>
      <c r="V195" s="4638"/>
      <c r="W195" s="2380">
        <f>SUM(Z177:Z178)</f>
        <v>17801.660800000001</v>
      </c>
      <c r="X195" s="151"/>
      <c r="Y195" s="314"/>
      <c r="Z195" s="345"/>
      <c r="AA195" s="274"/>
      <c r="AB195" s="380"/>
      <c r="AC195" s="298"/>
      <c r="AD195" s="375"/>
      <c r="AE195" s="298"/>
    </row>
    <row r="196" spans="1:31" ht="16.5" customHeight="1">
      <c r="A196" s="373"/>
      <c r="B196" s="298"/>
      <c r="C196" s="298"/>
      <c r="D196" s="298"/>
      <c r="E196" s="298"/>
      <c r="F196" s="298"/>
      <c r="G196" s="298"/>
      <c r="H196" s="298"/>
      <c r="I196" s="298"/>
      <c r="J196" s="298"/>
      <c r="K196" s="298"/>
      <c r="L196" s="298"/>
      <c r="M196" s="298"/>
      <c r="N196" s="298"/>
      <c r="O196" s="298"/>
      <c r="P196" s="298"/>
      <c r="Q196" s="298"/>
      <c r="R196" s="298"/>
      <c r="S196" s="298"/>
      <c r="T196" s="298"/>
      <c r="U196" s="4639" t="s">
        <v>3677</v>
      </c>
      <c r="V196" s="4638"/>
      <c r="W196" s="2381">
        <v>0</v>
      </c>
      <c r="X196" s="152"/>
      <c r="Y196" s="316"/>
      <c r="Z196" s="235"/>
      <c r="AA196" s="235"/>
      <c r="AB196" s="270"/>
      <c r="AC196" s="298"/>
      <c r="AD196" s="375"/>
      <c r="AE196" s="298"/>
    </row>
    <row r="197" spans="1:31" ht="16.5" customHeight="1" thickBot="1">
      <c r="A197" s="373"/>
      <c r="B197" s="298"/>
      <c r="C197" s="298"/>
      <c r="D197" s="298"/>
      <c r="E197" s="298"/>
      <c r="F197" s="298"/>
      <c r="G197" s="298"/>
      <c r="H197" s="298"/>
      <c r="I197" s="298"/>
      <c r="J197" s="298"/>
      <c r="K197" s="298"/>
      <c r="L197" s="298"/>
      <c r="M197" s="298"/>
      <c r="N197" s="298"/>
      <c r="O197" s="298"/>
      <c r="P197" s="298"/>
      <c r="Q197" s="298"/>
      <c r="R197" s="298"/>
      <c r="S197" s="298"/>
      <c r="T197" s="298"/>
      <c r="U197" s="4198" t="s">
        <v>183</v>
      </c>
      <c r="V197" s="4199"/>
      <c r="W197" s="1572">
        <f>SUM(W189:W196)</f>
        <v>66632.540800000002</v>
      </c>
      <c r="X197" s="150"/>
      <c r="Y197" s="310"/>
      <c r="Z197" s="269"/>
      <c r="AA197" s="269"/>
      <c r="AB197" s="270"/>
      <c r="AC197" s="298"/>
      <c r="AD197" s="375"/>
      <c r="AE197" s="298"/>
    </row>
    <row r="198" spans="1:31" ht="16.5" customHeight="1" thickTop="1">
      <c r="A198" s="373"/>
      <c r="B198" s="298"/>
      <c r="C198" s="298"/>
      <c r="D198" s="298"/>
      <c r="E198" s="298"/>
      <c r="F198" s="298"/>
      <c r="G198" s="298"/>
      <c r="H198" s="298"/>
      <c r="I198" s="298"/>
      <c r="J198" s="298"/>
      <c r="K198" s="298"/>
      <c r="L198" s="298"/>
      <c r="M198" s="298"/>
      <c r="N198" s="298"/>
      <c r="O198" s="298"/>
      <c r="P198" s="298"/>
      <c r="Q198" s="298"/>
      <c r="R198" s="298"/>
      <c r="S198" s="298"/>
      <c r="T198" s="298"/>
      <c r="AB198" s="313"/>
      <c r="AC198" s="298"/>
      <c r="AD198" s="375"/>
      <c r="AE198" s="298"/>
    </row>
  </sheetData>
  <mergeCells count="557">
    <mergeCell ref="R29:R33"/>
    <mergeCell ref="J29:J33"/>
    <mergeCell ref="K29:K33"/>
    <mergeCell ref="L29:L33"/>
    <mergeCell ref="M29:M33"/>
    <mergeCell ref="N29:N33"/>
    <mergeCell ref="C24:C28"/>
    <mergeCell ref="D24:D28"/>
    <mergeCell ref="E24:E28"/>
    <mergeCell ref="F24:F28"/>
    <mergeCell ref="G24:G28"/>
    <mergeCell ref="H24:H28"/>
    <mergeCell ref="I24:I28"/>
    <mergeCell ref="J24:J28"/>
    <mergeCell ref="K24:K28"/>
    <mergeCell ref="Q24:Q28"/>
    <mergeCell ref="C29:C33"/>
    <mergeCell ref="D29:D33"/>
    <mergeCell ref="E29:E33"/>
    <mergeCell ref="F29:F33"/>
    <mergeCell ref="G29:G33"/>
    <mergeCell ref="H29:H33"/>
    <mergeCell ref="I29:I33"/>
    <mergeCell ref="Q29:Q33"/>
    <mergeCell ref="AF14:AF18"/>
    <mergeCell ref="J14:J18"/>
    <mergeCell ref="K14:K18"/>
    <mergeCell ref="Q14:Q18"/>
    <mergeCell ref="R14:R18"/>
    <mergeCell ref="R34:R38"/>
    <mergeCell ref="J34:J38"/>
    <mergeCell ref="K34:K38"/>
    <mergeCell ref="L34:L38"/>
    <mergeCell ref="M34:M38"/>
    <mergeCell ref="N34:N38"/>
    <mergeCell ref="O34:O38"/>
    <mergeCell ref="P34:P38"/>
    <mergeCell ref="AF34:AF38"/>
    <mergeCell ref="R24:R28"/>
    <mergeCell ref="AF24:AF28"/>
    <mergeCell ref="AF29:AF33"/>
    <mergeCell ref="O29:O33"/>
    <mergeCell ref="P29:P33"/>
    <mergeCell ref="L24:L28"/>
    <mergeCell ref="M24:M28"/>
    <mergeCell ref="N24:N28"/>
    <mergeCell ref="O24:O28"/>
    <mergeCell ref="P24:P28"/>
    <mergeCell ref="A1:AF1"/>
    <mergeCell ref="A2:AF2"/>
    <mergeCell ref="A3:AF3"/>
    <mergeCell ref="A4:AF4"/>
    <mergeCell ref="Q9:Q13"/>
    <mergeCell ref="R9:R13"/>
    <mergeCell ref="AF9:AF13"/>
    <mergeCell ref="J9:J13"/>
    <mergeCell ref="K9:K13"/>
    <mergeCell ref="L9:L13"/>
    <mergeCell ref="M9:M13"/>
    <mergeCell ref="N9:N13"/>
    <mergeCell ref="O9:O13"/>
    <mergeCell ref="P9:P13"/>
    <mergeCell ref="A6:B8"/>
    <mergeCell ref="C6:D6"/>
    <mergeCell ref="E6:I6"/>
    <mergeCell ref="J6:R6"/>
    <mergeCell ref="S6:AF6"/>
    <mergeCell ref="C7:C8"/>
    <mergeCell ref="D7:D8"/>
    <mergeCell ref="E7:E8"/>
    <mergeCell ref="F7:F8"/>
    <mergeCell ref="G7:G8"/>
    <mergeCell ref="J39:J43"/>
    <mergeCell ref="K39:K43"/>
    <mergeCell ref="AF39:AF43"/>
    <mergeCell ref="AF44:AF48"/>
    <mergeCell ref="J44:J48"/>
    <mergeCell ref="K44:K48"/>
    <mergeCell ref="K19:K23"/>
    <mergeCell ref="AF19:AF23"/>
    <mergeCell ref="C19:C23"/>
    <mergeCell ref="D19:D23"/>
    <mergeCell ref="E19:E23"/>
    <mergeCell ref="F19:F23"/>
    <mergeCell ref="G19:G23"/>
    <mergeCell ref="H19:H23"/>
    <mergeCell ref="I19:I23"/>
    <mergeCell ref="C34:C38"/>
    <mergeCell ref="D34:D38"/>
    <mergeCell ref="E34:E38"/>
    <mergeCell ref="F34:F38"/>
    <mergeCell ref="G34:G38"/>
    <mergeCell ref="H34:H38"/>
    <mergeCell ref="I34:I38"/>
    <mergeCell ref="J19:J23"/>
    <mergeCell ref="Q34:Q38"/>
    <mergeCell ref="AF49:AF53"/>
    <mergeCell ref="AF54:AF58"/>
    <mergeCell ref="AF59:AF63"/>
    <mergeCell ref="L39:L43"/>
    <mergeCell ref="M39:M43"/>
    <mergeCell ref="N39:N43"/>
    <mergeCell ref="O39:O43"/>
    <mergeCell ref="P39:P43"/>
    <mergeCell ref="Q39:Q43"/>
    <mergeCell ref="R39:R43"/>
    <mergeCell ref="Q44:Q48"/>
    <mergeCell ref="R44:R48"/>
    <mergeCell ref="L44:L48"/>
    <mergeCell ref="M44:M48"/>
    <mergeCell ref="N44:N48"/>
    <mergeCell ref="O44:O48"/>
    <mergeCell ref="P44:P48"/>
    <mergeCell ref="Q59:Q63"/>
    <mergeCell ref="R59:R63"/>
    <mergeCell ref="C39:C43"/>
    <mergeCell ref="D39:D43"/>
    <mergeCell ref="C44:C48"/>
    <mergeCell ref="D44:D48"/>
    <mergeCell ref="E44:E48"/>
    <mergeCell ref="F44:F48"/>
    <mergeCell ref="G44:G48"/>
    <mergeCell ref="H44:H48"/>
    <mergeCell ref="I44:I48"/>
    <mergeCell ref="E39:E43"/>
    <mergeCell ref="F39:F43"/>
    <mergeCell ref="G39:G43"/>
    <mergeCell ref="H39:H43"/>
    <mergeCell ref="I39:I43"/>
    <mergeCell ref="C49:C53"/>
    <mergeCell ref="D49:D53"/>
    <mergeCell ref="E49:E53"/>
    <mergeCell ref="F49:F53"/>
    <mergeCell ref="G49:G53"/>
    <mergeCell ref="H49:H53"/>
    <mergeCell ref="I49:I53"/>
    <mergeCell ref="Q49:Q53"/>
    <mergeCell ref="R49:R53"/>
    <mergeCell ref="J49:J53"/>
    <mergeCell ref="K49:K53"/>
    <mergeCell ref="L49:L53"/>
    <mergeCell ref="M49:M53"/>
    <mergeCell ref="N49:N53"/>
    <mergeCell ref="O49:O53"/>
    <mergeCell ref="P49:P53"/>
    <mergeCell ref="U194:V194"/>
    <mergeCell ref="U195:V195"/>
    <mergeCell ref="U196:V196"/>
    <mergeCell ref="U197:V197"/>
    <mergeCell ref="U186:V186"/>
    <mergeCell ref="U187:V187"/>
    <mergeCell ref="U188:W188"/>
    <mergeCell ref="U189:V189"/>
    <mergeCell ref="U190:V190"/>
    <mergeCell ref="U191:V191"/>
    <mergeCell ref="U192:V192"/>
    <mergeCell ref="AF64:AF68"/>
    <mergeCell ref="AF69:AF73"/>
    <mergeCell ref="AF74:AF78"/>
    <mergeCell ref="AF79:AF83"/>
    <mergeCell ref="AF84:AF88"/>
    <mergeCell ref="S89:Z89"/>
    <mergeCell ref="AC89:AF89"/>
    <mergeCell ref="AF90:AF94"/>
    <mergeCell ref="AF95:AF99"/>
    <mergeCell ref="AF100:AF104"/>
    <mergeCell ref="AF105:AF109"/>
    <mergeCell ref="AF110:AF114"/>
    <mergeCell ref="AF115:AF119"/>
    <mergeCell ref="AF120:AF124"/>
    <mergeCell ref="AF125:AF128"/>
    <mergeCell ref="AF129:AF133"/>
    <mergeCell ref="AF134:AF140"/>
    <mergeCell ref="AF141:AF145"/>
    <mergeCell ref="AF146:AF150"/>
    <mergeCell ref="AF151:AF155"/>
    <mergeCell ref="AF156:AF160"/>
    <mergeCell ref="S161:Z161"/>
    <mergeCell ref="AC161:AF161"/>
    <mergeCell ref="S162:Z162"/>
    <mergeCell ref="AC162:AF162"/>
    <mergeCell ref="S163:AF163"/>
    <mergeCell ref="U165:Z165"/>
    <mergeCell ref="AA165:AB165"/>
    <mergeCell ref="U182:W182"/>
    <mergeCell ref="U183:V183"/>
    <mergeCell ref="U184:V184"/>
    <mergeCell ref="U185:V185"/>
    <mergeCell ref="U193:V193"/>
    <mergeCell ref="Z193:AB193"/>
    <mergeCell ref="L105:L109"/>
    <mergeCell ref="M105:M109"/>
    <mergeCell ref="O105:O109"/>
    <mergeCell ref="P105:P109"/>
    <mergeCell ref="Q105:Q109"/>
    <mergeCell ref="R105:R109"/>
    <mergeCell ref="L110:L114"/>
    <mergeCell ref="M110:M114"/>
    <mergeCell ref="O110:O114"/>
    <mergeCell ref="P110:P114"/>
    <mergeCell ref="Q110:Q114"/>
    <mergeCell ref="R110:R114"/>
    <mergeCell ref="P115:P119"/>
    <mergeCell ref="Q115:Q119"/>
    <mergeCell ref="R115:R119"/>
    <mergeCell ref="L120:L124"/>
    <mergeCell ref="M120:M124"/>
    <mergeCell ref="L129:L133"/>
    <mergeCell ref="N69:N73"/>
    <mergeCell ref="O69:O73"/>
    <mergeCell ref="P69:P73"/>
    <mergeCell ref="Q69:Q73"/>
    <mergeCell ref="R69:R73"/>
    <mergeCell ref="E69:E73"/>
    <mergeCell ref="F69:F73"/>
    <mergeCell ref="G69:G73"/>
    <mergeCell ref="H69:H73"/>
    <mergeCell ref="I69:I73"/>
    <mergeCell ref="J69:J73"/>
    <mergeCell ref="K69:K73"/>
    <mergeCell ref="L69:L73"/>
    <mergeCell ref="M69:M73"/>
    <mergeCell ref="N74:N78"/>
    <mergeCell ref="O74:O78"/>
    <mergeCell ref="P74:P78"/>
    <mergeCell ref="Q74:Q78"/>
    <mergeCell ref="R74:R78"/>
    <mergeCell ref="E74:E78"/>
    <mergeCell ref="F74:F78"/>
    <mergeCell ref="G74:G78"/>
    <mergeCell ref="H74:H78"/>
    <mergeCell ref="I74:I78"/>
    <mergeCell ref="J74:J78"/>
    <mergeCell ref="K74:K78"/>
    <mergeCell ref="L74:L78"/>
    <mergeCell ref="M74:M78"/>
    <mergeCell ref="Q79:Q83"/>
    <mergeCell ref="R79:R83"/>
    <mergeCell ref="E79:E83"/>
    <mergeCell ref="F79:F83"/>
    <mergeCell ref="G79:G83"/>
    <mergeCell ref="H79:H83"/>
    <mergeCell ref="I79:I83"/>
    <mergeCell ref="J79:J83"/>
    <mergeCell ref="K79:K83"/>
    <mergeCell ref="L79:L83"/>
    <mergeCell ref="M79:M83"/>
    <mergeCell ref="E100:E104"/>
    <mergeCell ref="F100:F104"/>
    <mergeCell ref="G100:G104"/>
    <mergeCell ref="H100:H104"/>
    <mergeCell ref="I100:I104"/>
    <mergeCell ref="J100:J104"/>
    <mergeCell ref="K100:K104"/>
    <mergeCell ref="E110:E114"/>
    <mergeCell ref="F110:F114"/>
    <mergeCell ref="G110:G114"/>
    <mergeCell ref="H110:H114"/>
    <mergeCell ref="I110:I114"/>
    <mergeCell ref="J110:J114"/>
    <mergeCell ref="K110:K114"/>
    <mergeCell ref="E105:E109"/>
    <mergeCell ref="F105:F109"/>
    <mergeCell ref="G105:G109"/>
    <mergeCell ref="H105:H109"/>
    <mergeCell ref="I105:I109"/>
    <mergeCell ref="J105:J109"/>
    <mergeCell ref="K105:K109"/>
    <mergeCell ref="I115:I119"/>
    <mergeCell ref="J115:J119"/>
    <mergeCell ref="K115:K119"/>
    <mergeCell ref="L115:L119"/>
    <mergeCell ref="M115:M119"/>
    <mergeCell ref="N115:N119"/>
    <mergeCell ref="O115:O119"/>
    <mergeCell ref="D105:D109"/>
    <mergeCell ref="D110:D114"/>
    <mergeCell ref="D115:D119"/>
    <mergeCell ref="E115:E119"/>
    <mergeCell ref="F115:F119"/>
    <mergeCell ref="G115:G119"/>
    <mergeCell ref="H115:H119"/>
    <mergeCell ref="E125:E128"/>
    <mergeCell ref="F125:F128"/>
    <mergeCell ref="G125:G128"/>
    <mergeCell ref="H125:H128"/>
    <mergeCell ref="I125:I128"/>
    <mergeCell ref="J125:J128"/>
    <mergeCell ref="K125:K128"/>
    <mergeCell ref="O120:O124"/>
    <mergeCell ref="P120:P124"/>
    <mergeCell ref="E120:E124"/>
    <mergeCell ref="F120:F124"/>
    <mergeCell ref="G120:G124"/>
    <mergeCell ref="H120:H124"/>
    <mergeCell ref="I120:I124"/>
    <mergeCell ref="J120:J124"/>
    <mergeCell ref="K120:K124"/>
    <mergeCell ref="Q19:Q23"/>
    <mergeCell ref="R19:R23"/>
    <mergeCell ref="L125:L128"/>
    <mergeCell ref="M125:M128"/>
    <mergeCell ref="N125:N128"/>
    <mergeCell ref="O125:O128"/>
    <mergeCell ref="P125:P128"/>
    <mergeCell ref="Q125:Q128"/>
    <mergeCell ref="R125:R128"/>
    <mergeCell ref="Q120:Q124"/>
    <mergeCell ref="R120:R124"/>
    <mergeCell ref="O100:O104"/>
    <mergeCell ref="P100:P104"/>
    <mergeCell ref="Q100:Q104"/>
    <mergeCell ref="R100:R104"/>
    <mergeCell ref="L100:L104"/>
    <mergeCell ref="M100:M104"/>
    <mergeCell ref="N79:N83"/>
    <mergeCell ref="O79:O83"/>
    <mergeCell ref="P79:P83"/>
    <mergeCell ref="L19:L23"/>
    <mergeCell ref="M19:M23"/>
    <mergeCell ref="N19:N23"/>
    <mergeCell ref="O19:O23"/>
    <mergeCell ref="P19:P23"/>
    <mergeCell ref="E9:E13"/>
    <mergeCell ref="F9:F13"/>
    <mergeCell ref="G9:G13"/>
    <mergeCell ref="H9:H13"/>
    <mergeCell ref="I9:I13"/>
    <mergeCell ref="N14:N18"/>
    <mergeCell ref="O14:O18"/>
    <mergeCell ref="P14:P18"/>
    <mergeCell ref="E14:E18"/>
    <mergeCell ref="F14:F18"/>
    <mergeCell ref="G14:G18"/>
    <mergeCell ref="H14:H18"/>
    <mergeCell ref="I14:I18"/>
    <mergeCell ref="L14:L18"/>
    <mergeCell ref="M14:M18"/>
    <mergeCell ref="C54:C58"/>
    <mergeCell ref="D54:D58"/>
    <mergeCell ref="E54:E58"/>
    <mergeCell ref="F54:F58"/>
    <mergeCell ref="G54:G58"/>
    <mergeCell ref="H54:H58"/>
    <mergeCell ref="I54:I58"/>
    <mergeCell ref="Q54:Q58"/>
    <mergeCell ref="R54:R58"/>
    <mergeCell ref="J54:J58"/>
    <mergeCell ref="K54:K58"/>
    <mergeCell ref="L54:L58"/>
    <mergeCell ref="M54:M58"/>
    <mergeCell ref="N54:N58"/>
    <mergeCell ref="O54:O58"/>
    <mergeCell ref="P54:P58"/>
    <mergeCell ref="N64:N68"/>
    <mergeCell ref="O64:O68"/>
    <mergeCell ref="P64:P68"/>
    <mergeCell ref="Q64:Q68"/>
    <mergeCell ref="R64:R68"/>
    <mergeCell ref="J59:J63"/>
    <mergeCell ref="K59:K63"/>
    <mergeCell ref="L59:L63"/>
    <mergeCell ref="M59:M63"/>
    <mergeCell ref="N59:N63"/>
    <mergeCell ref="O59:O63"/>
    <mergeCell ref="P59:P63"/>
    <mergeCell ref="J64:J68"/>
    <mergeCell ref="K64:K68"/>
    <mergeCell ref="C59:C63"/>
    <mergeCell ref="D59:D63"/>
    <mergeCell ref="E59:E63"/>
    <mergeCell ref="F59:F63"/>
    <mergeCell ref="G59:G63"/>
    <mergeCell ref="H59:H63"/>
    <mergeCell ref="I59:I63"/>
    <mergeCell ref="L84:L88"/>
    <mergeCell ref="M84:M88"/>
    <mergeCell ref="C69:C73"/>
    <mergeCell ref="D69:D73"/>
    <mergeCell ref="C74:C78"/>
    <mergeCell ref="D74:D78"/>
    <mergeCell ref="C79:C83"/>
    <mergeCell ref="D79:D83"/>
    <mergeCell ref="L64:L68"/>
    <mergeCell ref="M64:M68"/>
    <mergeCell ref="C64:C68"/>
    <mergeCell ref="D64:D68"/>
    <mergeCell ref="E64:E68"/>
    <mergeCell ref="F64:F68"/>
    <mergeCell ref="G64:G68"/>
    <mergeCell ref="H64:H68"/>
    <mergeCell ref="I64:I68"/>
    <mergeCell ref="N84:N88"/>
    <mergeCell ref="O84:O88"/>
    <mergeCell ref="P84:P88"/>
    <mergeCell ref="Q84:Q88"/>
    <mergeCell ref="R84:R88"/>
    <mergeCell ref="E84:E88"/>
    <mergeCell ref="F84:F88"/>
    <mergeCell ref="G84:G88"/>
    <mergeCell ref="H84:H88"/>
    <mergeCell ref="I84:I88"/>
    <mergeCell ref="J84:J88"/>
    <mergeCell ref="K84:K88"/>
    <mergeCell ref="O90:O94"/>
    <mergeCell ref="P90:P94"/>
    <mergeCell ref="Q90:Q94"/>
    <mergeCell ref="R90:R94"/>
    <mergeCell ref="E90:E94"/>
    <mergeCell ref="F90:F94"/>
    <mergeCell ref="G90:G94"/>
    <mergeCell ref="H90:H94"/>
    <mergeCell ref="I90:I94"/>
    <mergeCell ref="J90:J94"/>
    <mergeCell ref="K90:K94"/>
    <mergeCell ref="L90:L94"/>
    <mergeCell ref="M90:M94"/>
    <mergeCell ref="O95:O99"/>
    <mergeCell ref="P95:P99"/>
    <mergeCell ref="Q95:Q99"/>
    <mergeCell ref="R95:R99"/>
    <mergeCell ref="E95:E99"/>
    <mergeCell ref="F95:F99"/>
    <mergeCell ref="G95:G99"/>
    <mergeCell ref="H95:H99"/>
    <mergeCell ref="I95:I99"/>
    <mergeCell ref="J95:J99"/>
    <mergeCell ref="K95:K99"/>
    <mergeCell ref="L95:L99"/>
    <mergeCell ref="M95:M99"/>
    <mergeCell ref="M129:M133"/>
    <mergeCell ref="N129:N133"/>
    <mergeCell ref="O129:O133"/>
    <mergeCell ref="P129:P133"/>
    <mergeCell ref="Q129:Q133"/>
    <mergeCell ref="R129:R133"/>
    <mergeCell ref="E129:E133"/>
    <mergeCell ref="F129:F133"/>
    <mergeCell ref="G129:G133"/>
    <mergeCell ref="H129:H133"/>
    <mergeCell ref="I129:I133"/>
    <mergeCell ref="J129:J133"/>
    <mergeCell ref="K129:K133"/>
    <mergeCell ref="L134:L140"/>
    <mergeCell ref="M134:M140"/>
    <mergeCell ref="N134:N140"/>
    <mergeCell ref="O134:O140"/>
    <mergeCell ref="P134:P140"/>
    <mergeCell ref="Q134:Q140"/>
    <mergeCell ref="R134:R140"/>
    <mergeCell ref="E134:E140"/>
    <mergeCell ref="F134:F140"/>
    <mergeCell ref="G134:G140"/>
    <mergeCell ref="H134:H140"/>
    <mergeCell ref="I134:I140"/>
    <mergeCell ref="J134:J140"/>
    <mergeCell ref="K134:K140"/>
    <mergeCell ref="N141:N145"/>
    <mergeCell ref="O141:O145"/>
    <mergeCell ref="P141:P145"/>
    <mergeCell ref="Q141:Q145"/>
    <mergeCell ref="R141:R145"/>
    <mergeCell ref="O151:O155"/>
    <mergeCell ref="O156:O160"/>
    <mergeCell ref="P156:P160"/>
    <mergeCell ref="Q156:Q160"/>
    <mergeCell ref="R156:R160"/>
    <mergeCell ref="O146:O150"/>
    <mergeCell ref="P146:P150"/>
    <mergeCell ref="Q146:Q150"/>
    <mergeCell ref="R146:R150"/>
    <mergeCell ref="P151:P155"/>
    <mergeCell ref="Q151:Q155"/>
    <mergeCell ref="R151:R155"/>
    <mergeCell ref="C100:C104"/>
    <mergeCell ref="C105:C109"/>
    <mergeCell ref="C110:C114"/>
    <mergeCell ref="C115:C119"/>
    <mergeCell ref="C120:C124"/>
    <mergeCell ref="D120:D124"/>
    <mergeCell ref="D125:D128"/>
    <mergeCell ref="C125:C128"/>
    <mergeCell ref="C129:C133"/>
    <mergeCell ref="D129:D133"/>
    <mergeCell ref="E141:E145"/>
    <mergeCell ref="F141:F145"/>
    <mergeCell ref="G141:G145"/>
    <mergeCell ref="H141:H145"/>
    <mergeCell ref="I141:I145"/>
    <mergeCell ref="J141:J145"/>
    <mergeCell ref="K141:K145"/>
    <mergeCell ref="L141:L145"/>
    <mergeCell ref="M141:M145"/>
    <mergeCell ref="L146:L150"/>
    <mergeCell ref="M146:M150"/>
    <mergeCell ref="E146:E150"/>
    <mergeCell ref="F146:F150"/>
    <mergeCell ref="G146:G150"/>
    <mergeCell ref="H146:H150"/>
    <mergeCell ref="I146:I150"/>
    <mergeCell ref="J146:J150"/>
    <mergeCell ref="K146:K150"/>
    <mergeCell ref="L151:L155"/>
    <mergeCell ref="M151:M155"/>
    <mergeCell ref="E151:E155"/>
    <mergeCell ref="F151:F155"/>
    <mergeCell ref="G151:G155"/>
    <mergeCell ref="H151:H155"/>
    <mergeCell ref="I151:I155"/>
    <mergeCell ref="J151:J155"/>
    <mergeCell ref="K151:K155"/>
    <mergeCell ref="L156:L160"/>
    <mergeCell ref="M156:M160"/>
    <mergeCell ref="E156:E160"/>
    <mergeCell ref="F156:F160"/>
    <mergeCell ref="G156:G160"/>
    <mergeCell ref="H156:H160"/>
    <mergeCell ref="I156:I160"/>
    <mergeCell ref="J156:J160"/>
    <mergeCell ref="K156:K160"/>
    <mergeCell ref="A90:A161"/>
    <mergeCell ref="B90:B161"/>
    <mergeCell ref="A9:B89"/>
    <mergeCell ref="C9:C13"/>
    <mergeCell ref="D9:D13"/>
    <mergeCell ref="C14:C18"/>
    <mergeCell ref="D14:D18"/>
    <mergeCell ref="C84:C88"/>
    <mergeCell ref="D84:D88"/>
    <mergeCell ref="C90:C94"/>
    <mergeCell ref="D90:D94"/>
    <mergeCell ref="C95:C99"/>
    <mergeCell ref="D95:D99"/>
    <mergeCell ref="D100:D104"/>
    <mergeCell ref="C146:C150"/>
    <mergeCell ref="D146:D150"/>
    <mergeCell ref="C151:C155"/>
    <mergeCell ref="D151:D155"/>
    <mergeCell ref="C156:C160"/>
    <mergeCell ref="D156:D160"/>
    <mergeCell ref="C134:C140"/>
    <mergeCell ref="D134:D140"/>
    <mergeCell ref="C141:C145"/>
    <mergeCell ref="D141:D145"/>
    <mergeCell ref="S7:Y7"/>
    <mergeCell ref="Z7:AB7"/>
    <mergeCell ref="AC7:AE7"/>
    <mergeCell ref="AF7:AF8"/>
    <mergeCell ref="H7:H8"/>
    <mergeCell ref="I7:I8"/>
    <mergeCell ref="J7:J8"/>
    <mergeCell ref="K7:K8"/>
    <mergeCell ref="L7:L8"/>
    <mergeCell ref="M7:O7"/>
    <mergeCell ref="P7:P8"/>
    <mergeCell ref="Q7:Q8"/>
    <mergeCell ref="R7:R8"/>
  </mergeCells>
  <dataValidations count="5">
    <dataValidation type="list" allowBlank="1" showInputMessage="1" showErrorMessage="1" prompt="Orientación: - Escoja un Lineamiento Estratégico de la lista despegable." sqref="F90">
      <formula1>INDIRECT($E90)</formula1>
    </dataValidation>
    <dataValidation type="list" allowBlank="1" showErrorMessage="1" sqref="F9 F14 F19 F24 F29 F34 F39 F44 F49 F54 F59 F64 F69 F74 F79 F84 F95 F100 F105 F110 F115 F120 F125 F129 F134 F141 F146 F151 F156">
      <formula1>INDIRECT($E9)</formula1>
    </dataValidation>
    <dataValidation type="list" allowBlank="1" showInputMessage="1" showErrorMessage="1" prompt="Orientación: - Escoja un Eje Estratégico de la lista despegable." sqref="E90">
      <formula1>INDIRECT($G90)</formula1>
    </dataValidation>
    <dataValidation type="list" allowBlank="1" showErrorMessage="1" sqref="E9 E14 E19 E24 E29 E34 E39 E44 E49 E54 E59 E64 E69 E74 E79 E84 E95 E100 E105 E110 E115 E120 E125 E129 E134 E141 E146 E151 E156">
      <formula1>INDIRECT($G9)</formula1>
    </dataValidation>
    <dataValidation type="decimal" allowBlank="1" showInputMessage="1" showErrorMessage="1" prompt="DPLAN - Sólo debe ingresar valores, NO porcentajes." sqref="M9:O9 M14:O14 M19:O19 M24:O24 M29:O29 M34:O34 M39:O39 M44:O44 M49:O49 M54:O54 M59:O59 M64:O64 M69:O69 M74:O74 M79:O79 M84:O84 M95:O95 N96:N99 M100:O100 N101:N104 M105:O105 N106:N109 M110:O110 N111:N114 M115:O115 M120:O120 N121:N124 M125:O125 M129:O129 M141:O141 M146:O146 N147:N150 M151:O151 N152:N155 M156:O156 N157:N160">
      <formula1>0</formula1>
      <formula2>1000000</formula2>
    </dataValidation>
  </dataValidations>
  <printOptions horizontalCentered="1"/>
  <pageMargins left="0" right="0" top="0.78740157480314965" bottom="0.35433070866141736" header="0" footer="0"/>
  <pageSetup paperSize="9" scale="70" pageOrder="overThenDown" orientation="landscape" r:id="rId1"/>
  <headerFooter>
    <oddHeader>&amp;L&amp;"Britannic Bold,Normal"&amp;12&amp;K002060POA 2023&amp;"-,Normal"&amp;10&amp;K000000
&amp;"Cambria,Cursiva"&amp;12&amp;K0070C0Administración Central&amp;C&amp;"Century Schoolbook,Normal"&amp;12&amp;K002060&amp;P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14:formula1>
            <xm:f>PND!#REF!</xm:f>
          </x14:formula1>
          <xm:sqref>C9:D9 C14:D14 C19:D19 C24:D24 C29:D29 C34:D34 C39:D39 C44:D44 C49:D49 C54:D54 C59:D59 C64:D64 C69:D69 C74:D74 C79:D79 C84:D84</xm:sqref>
        </x14:dataValidation>
        <x14:dataValidation type="list" allowBlank="1" showErrorMessage="1">
          <x14:formula1>
            <xm:f>(PEDI!#REF!)</xm:f>
          </x14:formula1>
          <xm:sqref>H9 H14 H19 H24 H29 H34 H39 H44 H49 H54 H59 H64 H69 H74 H79 H84</xm:sqref>
        </x14:dataValidation>
        <x14:dataValidation type="list" allowBlank="1" showErrorMessage="1">
          <x14:formula1>
            <xm:f>PEDI!#REF!</xm:f>
          </x14:formula1>
          <xm:sqref>G9 G14 G19 G24 G29 G34 G39 G44 G49 G54 G59 G64 G69 G74 G79 G84</xm:sqref>
        </x14:dataValidation>
        <x14:dataValidation type="list" allowBlank="1" showErrorMessage="1">
          <x14:formula1>
            <xm:f>INDIRECT('Estrategias DAFO'!#REF!)</xm:f>
          </x14:formula1>
          <xm:sqref>I9 I14 I19 I24 I29 I34 I39 I44 I49 I54 I59 I64 I69 I74 I79 I84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22</vt:i4>
      </vt:variant>
    </vt:vector>
  </HeadingPairs>
  <TitlesOfParts>
    <vt:vector size="48" baseType="lpstr">
      <vt:lpstr>Resumen</vt:lpstr>
      <vt:lpstr>1. REC</vt:lpstr>
      <vt:lpstr>2. PG</vt:lpstr>
      <vt:lpstr>3. DIRCOM</vt:lpstr>
      <vt:lpstr>4. SG</vt:lpstr>
      <vt:lpstr>5. DPLAN</vt:lpstr>
      <vt:lpstr>6. DBUAC</vt:lpstr>
      <vt:lpstr>7. DAC</vt:lpstr>
      <vt:lpstr>8. VIVP</vt:lpstr>
      <vt:lpstr>9. DIDI</vt:lpstr>
      <vt:lpstr>10. DPOS</vt:lpstr>
      <vt:lpstr>11. DV</vt:lpstr>
      <vt:lpstr>12. VAC</vt:lpstr>
      <vt:lpstr>14. DFP</vt:lpstr>
      <vt:lpstr>13. DA</vt:lpstr>
      <vt:lpstr>15. DEC</vt:lpstr>
      <vt:lpstr>16. VAD</vt:lpstr>
      <vt:lpstr>17. DTIC</vt:lpstr>
      <vt:lpstr>18. DTH</vt:lpstr>
      <vt:lpstr>19. DFIN</vt:lpstr>
      <vt:lpstr>20. DADM</vt:lpstr>
      <vt:lpstr>21.1. FCA</vt:lpstr>
      <vt:lpstr>21.2. FCE</vt:lpstr>
      <vt:lpstr>21.3. FCQS</vt:lpstr>
      <vt:lpstr>21.4. FCS</vt:lpstr>
      <vt:lpstr>21.5. FIC</vt:lpstr>
      <vt:lpstr>'10. DPOS'!Títulos_a_imprimir</vt:lpstr>
      <vt:lpstr>'11. DV'!Títulos_a_imprimir</vt:lpstr>
      <vt:lpstr>'12. VAC'!Títulos_a_imprimir</vt:lpstr>
      <vt:lpstr>'13. DA'!Títulos_a_imprimir</vt:lpstr>
      <vt:lpstr>'14. DFP'!Títulos_a_imprimir</vt:lpstr>
      <vt:lpstr>'15. DEC'!Títulos_a_imprimir</vt:lpstr>
      <vt:lpstr>'16. VAD'!Títulos_a_imprimir</vt:lpstr>
      <vt:lpstr>'17. DTIC'!Títulos_a_imprimir</vt:lpstr>
      <vt:lpstr>'18. DTH'!Títulos_a_imprimir</vt:lpstr>
      <vt:lpstr>'19. DFIN'!Títulos_a_imprimir</vt:lpstr>
      <vt:lpstr>'20. DADM'!Títulos_a_imprimir</vt:lpstr>
      <vt:lpstr>'21.1. FCA'!Títulos_a_imprimir</vt:lpstr>
      <vt:lpstr>'21.2. FCE'!Títulos_a_imprimir</vt:lpstr>
      <vt:lpstr>'21.3. FCQS'!Títulos_a_imprimir</vt:lpstr>
      <vt:lpstr>'21.4. FCS'!Títulos_a_imprimir</vt:lpstr>
      <vt:lpstr>'21.5. FIC'!Títulos_a_imprimir</vt:lpstr>
      <vt:lpstr>'4. SG'!Títulos_a_imprimir</vt:lpstr>
      <vt:lpstr>'5. DPLAN'!Títulos_a_imprimir</vt:lpstr>
      <vt:lpstr>'6. DBUAC'!Títulos_a_imprimir</vt:lpstr>
      <vt:lpstr>'7. DAC'!Títulos_a_imprimir</vt:lpstr>
      <vt:lpstr>'8. VIVP'!Títulos_a_imprimir</vt:lpstr>
      <vt:lpstr>'9. DIDI'!Títulos_a_imprimir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Eunice Basilio</cp:lastModifiedBy>
  <cp:lastPrinted>2022-12-29T16:29:07Z</cp:lastPrinted>
  <dcterms:created xsi:type="dcterms:W3CDTF">2022-11-29T14:51:20Z</dcterms:created>
  <dcterms:modified xsi:type="dcterms:W3CDTF">2023-02-08T13:28:38Z</dcterms:modified>
</cp:coreProperties>
</file>